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blem Families" sheetId="1" r:id="rId4"/>
    <sheet state="visible" name="Problems" sheetId="2" r:id="rId5"/>
    <sheet state="visible" name="Sheet1" sheetId="3" r:id="rId6"/>
    <sheet state="visible" name="Parallel Algos" sheetId="4" r:id="rId7"/>
    <sheet state="visible" name="Additional Parallel Algos" sheetId="5" r:id="rId8"/>
    <sheet state="visible" name="Distributed Algorithms" sheetId="6" r:id="rId9"/>
    <sheet state="visible" name="Lower Bounds" sheetId="7" r:id="rId10"/>
    <sheet state="visible" name="Data-structures " sheetId="8" r:id="rId11"/>
    <sheet state="visible" name="DS Notes" sheetId="9" r:id="rId12"/>
    <sheet state="visible" name="Data-structures Problems" sheetId="10" r:id="rId13"/>
    <sheet state="visible" name="New Entries to Sheet 1" sheetId="11" r:id="rId14"/>
    <sheet state="visible" name="Rate of Improvements" sheetId="12" r:id="rId15"/>
    <sheet state="visible" name="ROI Simplified" sheetId="13" r:id="rId16"/>
    <sheet state="visible" name="Relative Rate" sheetId="14" r:id="rId17"/>
    <sheet state="visible" name="0.001 Algos" sheetId="15" r:id="rId18"/>
    <sheet state="visible" name="AssumptionsHypotheses" sheetId="16" r:id="rId19"/>
    <sheet state="visible" name="Reduction Types" sheetId="17" r:id="rId20"/>
    <sheet state="visible" name="Reductions" sheetId="18" r:id="rId21"/>
    <sheet state="visible" name="APSP" sheetId="19" r:id="rId22"/>
    <sheet state="visible" name="Journals" sheetId="20" r:id="rId23"/>
  </sheets>
  <definedNames>
    <definedName hidden="1" localSheetId="2" name="Z_0092811B_0D96_4821_83DA_C39CFF1F7FF9_.wvu.FilterData">Sheet1!$A$1:$BR$1286</definedName>
    <definedName hidden="1" localSheetId="3" name="Z_0092811B_0D96_4821_83DA_C39CFF1F7FF9_.wvu.FilterData">'Parallel Algos'!$A$1:$BW$1430</definedName>
    <definedName hidden="1" localSheetId="4" name="Z_0092811B_0D96_4821_83DA_C39CFF1F7FF9_.wvu.FilterData">'Additional Parallel Algos'!$A$1:$BW$1382</definedName>
    <definedName hidden="1" localSheetId="2" name="Z_5B731686_55DD_4ECD_A5E9_94F946142004_.wvu.FilterData">Sheet1!$A$1:$BR$1041</definedName>
    <definedName hidden="1" localSheetId="3" name="Z_5B731686_55DD_4ECD_A5E9_94F946142004_.wvu.FilterData">'Parallel Algos'!$A$1:$BW$1430</definedName>
    <definedName hidden="1" localSheetId="4" name="Z_5B731686_55DD_4ECD_A5E9_94F946142004_.wvu.FilterData">'Additional Parallel Algos'!$A$1:$BW$1382</definedName>
    <definedName hidden="1" localSheetId="10" name="Z_5B731686_55DD_4ECD_A5E9_94F946142004_.wvu.FilterData">'New Entries to Sheet 1'!$AE$21:$AE$33</definedName>
    <definedName hidden="1" localSheetId="2" name="Z_1FCB2FF3_6EA7_4063_9F70_CDD88B2708F8_.wvu.FilterData">Sheet1!$A$1:$BR$1286</definedName>
    <definedName hidden="1" localSheetId="3" name="Z_1FCB2FF3_6EA7_4063_9F70_CDD88B2708F8_.wvu.FilterData">'Parallel Algos'!$A$1:$BW$1430</definedName>
    <definedName hidden="1" localSheetId="4" name="Z_1FCB2FF3_6EA7_4063_9F70_CDD88B2708F8_.wvu.FilterData">'Additional Parallel Algos'!$A$1:$BW$1382</definedName>
    <definedName hidden="1" localSheetId="2" name="Z_BD78F700_EA15_4507_B85B_4F9520AF309C_.wvu.FilterData">Sheet1!$C$1:$C$1286</definedName>
    <definedName hidden="1" localSheetId="3" name="Z_BD78F700_EA15_4507_B85B_4F9520AF309C_.wvu.FilterData">'Parallel Algos'!$C$1:$C$1430</definedName>
    <definedName hidden="1" localSheetId="4" name="Z_BD78F700_EA15_4507_B85B_4F9520AF309C_.wvu.FilterData">'Additional Parallel Algos'!$C$1:$C$1382</definedName>
    <definedName hidden="1" localSheetId="10" name="Z_BD78F700_EA15_4507_B85B_4F9520AF309C_.wvu.FilterData">'New Entries to Sheet 1'!$A$1:$BE$1286</definedName>
    <definedName hidden="1" localSheetId="2" name="Z_338F3E80_D509_4F22_9E68_3129878C81AC_.wvu.FilterData">Sheet1!$A$1:$BR$1286</definedName>
    <definedName hidden="1" localSheetId="3" name="Z_338F3E80_D509_4F22_9E68_3129878C81AC_.wvu.FilterData">'Parallel Algos'!$A$1:$BW$1430</definedName>
    <definedName hidden="1" localSheetId="4" name="Z_338F3E80_D509_4F22_9E68_3129878C81AC_.wvu.FilterData">'Additional Parallel Algos'!$A$1:$BW$1382</definedName>
  </definedNames>
  <calcPr/>
  <customWorkbookViews>
    <customWorkbookView activeSheetId="0" maximized="1" windowHeight="0" windowWidth="0" guid="{0092811B-0D96-4821-83DA-C39CFF1F7FF9}" name="Todo"/>
    <customWorkbookView activeSheetId="0" maximized="1" windowHeight="0" windowWidth="0" guid="{5B731686-55DD-4ECD-A5E9-94F946142004}" name="Filter 2"/>
    <customWorkbookView activeSheetId="0" maximized="1" windowHeight="0" windowWidth="0" guid="{1FCB2FF3-6EA7-4063-9F70-CDD88B2708F8}" name="Filter 3"/>
    <customWorkbookView activeSheetId="0" maximized="1" windowHeight="0" windowWidth="0" guid="{BD78F700-EA15-4507-B85B-4F9520AF309C}" name="Filter 1"/>
    <customWorkbookView activeSheetId="0" maximized="1" windowHeight="0" windowWidth="0" guid="{338F3E80-D509-4F22-9E68-3129878C81AC}" name="Exact (no parallel, quantum, approximate)"/>
  </customWorkbookViews>
</workbook>
</file>

<file path=xl/comments1.xml><?xml version="1.0" encoding="utf-8"?>
<comments xmlns:r="http://schemas.openxmlformats.org/officeDocument/2006/relationships" xmlns="http://schemas.openxmlformats.org/spreadsheetml/2006/main">
  <authors>
    <author/>
  </authors>
  <commentList>
    <comment authorId="0" ref="C1">
      <text>
        <t xml:space="preserve">0 - no
0.001 - briefly but seems to have issues
1 - partially
2 - [mostly] yes</t>
      </text>
    </comment>
    <comment authorId="0" ref="D1">
      <text>
        <t xml:space="preserve">Use '; ' as delimiter if multiple variations.
If adding new variations, make sure to also put them in the "Problems" sheet</t>
      </text>
    </comment>
    <comment authorId="0" ref="U1">
      <text>
        <t xml:space="preserve">These are Yash's classifications. To convert from these to Hayden's, do 
9 minus Yash's</t>
      </text>
    </comment>
    <comment authorId="0" ref="V1">
      <text>
        <t xml:space="preserve">NOTE: this is just for Hayden's graphing purposes
format: "(parameter wrt): (class)"
1: constant
2: logarithmic
3: linear
4: quasilinear (n log n)
5: quadratic
6: cubic
7: polynomial (&gt;3)
8: exponential / factorial
For decimal/fractional polynomials, interpolate between 5,6,7,8</t>
      </text>
    </comment>
    <comment authorId="0" ref="W1">
      <text>
        <t xml:space="preserve">NOTE: when something is n^1.3 for example, interpolate between 4,5 so that when you round up, it goes to n^2 rather than to nlogn
also n^0.5 would go to 2.5 so that we round up to linear
format: "(parameter wrt): (class)"
1: constant
2: logarithmic
3: linear
4: quasilinear (n log n)
5: quadratic
6: cubic
7: polynomial (&gt;3)
8: exponential / factorial
For decimal/fractional polynomials, interpolate between 5,6,7,8
for these, i consider a logn to be +0.01 when interpolating</t>
      </text>
    </comment>
    <comment authorId="0" ref="AE1">
      <text>
        <t xml:space="preserve">NOTE: this is just for Hayden's graphing purposes
format: "(parameter wrt): (class)"
(comma and new line between different parameters)
1: constant
2: logarithmic
3: linear
4: quasilinear (n log n)
5: quadratic
6: cubic
7: polynomial (&gt;3)
8: exponential
9: factorial
For decimal/fractional polynomials, interpolate between 5,6,7,8
</t>
      </text>
    </comment>
    <comment authorId="0" ref="AI1">
      <text>
        <t xml:space="preserve">0 - there is a paper reference for it
1 - we derived ourselves</t>
      </text>
    </comment>
    <comment authorId="0" ref="AJ1">
      <text>
        <t xml:space="preserve">1 if space complexity reference == paper/reference link
0 if space complexity reference is a different paper than the original
0 if space complexity was derived</t>
      </text>
    </comment>
    <comment authorId="0" ref="AZ1">
      <text>
        <t xml:space="preserve">Values for space complexity (note: only calculating for the first algo and the best-space algo for each problem family, for sake of finding "average annualized rate of improvement" to compare to the same value for time from Yash's work)</t>
      </text>
    </comment>
    <comment authorId="0" ref="BF1">
      <text>
        <t xml:space="preserve">Values for time complexity</t>
      </text>
    </comment>
    <comment authorId="0" ref="P143">
      <text>
        <t xml:space="preserve">https://cs.uwaterloo.ca/~eschost/Exam/Schoenhage--Partial_and_total_matrix_multiplication.pdf</t>
      </text>
    </comment>
    <comment authorId="0" ref="J144">
      <text>
        <t xml:space="preserve">The paper just says "polynomial-time"</t>
      </text>
    </comment>
    <comment authorId="0" ref="X167">
      <text>
        <t xml:space="preserve">Expected time</t>
      </text>
    </comment>
    <comment authorId="0" ref="P176">
      <text>
        <t xml:space="preserve">this link has been changed from the original (since the original didn't work)</t>
      </text>
    </comment>
    <comment authorId="0" ref="Y892">
      <text>
        <t xml:space="preserve">originally had:
n == N
m == n
sigma == V()</t>
      </text>
    </comment>
  </commentList>
</comments>
</file>

<file path=xl/comments2.xml><?xml version="1.0" encoding="utf-8"?>
<comments xmlns:r="http://schemas.openxmlformats.org/officeDocument/2006/relationships" xmlns="http://schemas.openxmlformats.org/spreadsheetml/2006/main">
  <authors>
    <author/>
  </authors>
  <commentList>
    <comment authorId="0" ref="C1">
      <text>
        <t xml:space="preserve">0 - no
0.001 - briefly but seems to have issues
1 - partially
2 - [mostly] yes</t>
      </text>
    </comment>
    <comment authorId="0" ref="D1">
      <text>
        <t xml:space="preserve">Use '; ' as delimiter if multiple variations.
If adding new variations, make sure to also put them in the "Problems" sheet</t>
      </text>
    </comment>
    <comment authorId="0" ref="U1">
      <text>
        <t xml:space="preserve">These are Yash's classifications. To convert from these to Hayden's, do 
9 minus Yash's</t>
      </text>
    </comment>
    <comment authorId="0" ref="V1">
      <text>
        <t xml:space="preserve">NOTE: this is just for Hayden's graphing purposes
format: "(parameter wrt): (class)"
1: constant
2: logarithmic
3: linear
4: quasilinear (n log n)
5: quadratic
6: cubic
7: polynomial (&gt;3)
8: exponential / factorial
For decimal/fractional polynomials, interpolate between 5,6,7,8</t>
      </text>
    </comment>
    <comment authorId="0" ref="W1">
      <text>
        <t xml:space="preserve">NOTE: when something is n^1.3 for example, interpolate between 4,5 so that when you round up, it goes to n^2 rather than to nlogn
also n^0.5 would go to 2.5 so that we round up to linear
format: "(parameter wrt): (class)"
1: constant
2: logarithmic
3: linear
4: quasilinear (n log n)
5: quadratic
6: cubic
7: polynomial (&gt;3)
8: exponential / factorial
For decimal/fractional polynomials, interpolate between 5,6,7,8
for these, i consider a logn to be +0.01 when interpolating</t>
      </text>
    </comment>
    <comment authorId="0" ref="AC1">
      <text>
        <t xml:space="preserve">also note cache efficiency (in memory hierarchy)?</t>
      </text>
    </comment>
    <comment authorId="0" ref="AJ1">
      <text>
        <t xml:space="preserve">NOTE: this is just for Hayden's graphing purposes
format: "(parameter wrt): (class)"
(comma and new line between different parameters)
1: constant
2: logarithmic
3: linear
4: quasilinear (n log n)
5: quadratic
6: cubic
7: polynomial (&gt;3)
8: exponential
9: factorial
For decimal/fractional polynomials, interpolate between 5,6,7,8
</t>
      </text>
    </comment>
    <comment authorId="0" ref="AN1">
      <text>
        <t xml:space="preserve">0 - there is a paper reference for it
1 - we derived ourselves</t>
      </text>
    </comment>
    <comment authorId="0" ref="AO1">
      <text>
        <t xml:space="preserve">1 if space complexity reference == paper/reference link
0 if space complexity reference is a different paper than the original
0 if space complexity was derived</t>
      </text>
    </comment>
    <comment authorId="0" ref="BE1">
      <text>
        <t xml:space="preserve">Values for space complexity (note: only calculating for the first algo and the best-space algo for each problem family, for sake of finding "average annualized rate of improvement" to compare to the same value for time from Yash's work)</t>
      </text>
    </comment>
    <comment authorId="0" ref="BK1">
      <text>
        <t xml:space="preserve">Values for time complexity</t>
      </text>
    </comment>
    <comment authorId="0" ref="P175">
      <text>
        <t xml:space="preserve">Alternative source: https://epubs.siam.org/doi/abs/10.1137/0210049</t>
      </text>
    </comment>
    <comment authorId="0" ref="X201">
      <text>
        <t xml:space="preserve">Lower bound of 2 log n + c for some constant c
(for all graph problems mentioned)</t>
      </text>
    </comment>
    <comment authorId="0" ref="X209">
      <text>
        <t xml:space="preserve">O(f(n)/p + log^2(n))
f(n) is o(n^3)</t>
      </text>
    </comment>
    <comment authorId="0" ref="P287">
      <text>
        <t xml:space="preserve">https://cs.uwaterloo.ca/~eschost/Exam/Schoenhage--Partial_and_total_matrix_multiplication.pdf</t>
      </text>
    </comment>
    <comment authorId="0" ref="J288">
      <text>
        <t xml:space="preserve">The paper just says "polynomial-time"</t>
      </text>
    </comment>
    <comment authorId="0" ref="X311">
      <text>
        <t xml:space="preserve">Expected time</t>
      </text>
    </comment>
    <comment authorId="0" ref="P320">
      <text>
        <t xml:space="preserve">this link has been changed from the original (since the original didn't work)</t>
      </text>
    </comment>
    <comment authorId="0" ref="AD1036">
      <text>
        <t xml:space="preserve">originally had:
n == N
m == n
sigma == V()</t>
      </text>
    </comment>
  </commentList>
</comments>
</file>

<file path=xl/comments3.xml><?xml version="1.0" encoding="utf-8"?>
<comments xmlns:r="http://schemas.openxmlformats.org/officeDocument/2006/relationships" xmlns="http://schemas.openxmlformats.org/spreadsheetml/2006/main">
  <authors>
    <author/>
  </authors>
  <commentList>
    <comment authorId="0" ref="C1">
      <text>
        <t xml:space="preserve">0 - no
0.001 - briefly but seems to have issues
1 - partially
2 - [mostly] yes</t>
      </text>
    </comment>
    <comment authorId="0" ref="D1">
      <text>
        <t xml:space="preserve">Use '; ' as delimiter if multiple variations.
If adding new variations, make sure to also put them in the "Problems" sheet</t>
      </text>
    </comment>
    <comment authorId="0" ref="U1">
      <text>
        <t xml:space="preserve">These are Yash's classifications. To convert from these to Hayden's, do 
9 minus Yash's</t>
      </text>
    </comment>
    <comment authorId="0" ref="V1">
      <text>
        <t xml:space="preserve">NOTE: this is just for Hayden's graphing purposes
format: "(parameter wrt): (class)"
1: constant
2: logarithmic
3: linear
4: quasilinear (n log n)
5: quadratic
6: cubic
7: polynomial (&gt;3)
8: exponential / factorial
For decimal/fractional polynomials, interpolate between 5,6,7,8</t>
      </text>
    </comment>
    <comment authorId="0" ref="W1">
      <text>
        <t xml:space="preserve">NOTE: when something is n^1.3 for example, interpolate between 4,5 so that when you round up, it goes to n^2 rather than to nlogn
also n^0.5 would go to 2.5 so that we round up to linear
format: "(parameter wrt): (class)"
1: constant
2: logarithmic
3: linear
4: quasilinear (n log n)
5: quadratic
6: cubic
7: polynomial (&gt;3)
8: exponential / factorial
For decimal/fractional polynomials, interpolate between 5,6,7,8
for these, i consider a logn to be +0.01 when interpolating</t>
      </text>
    </comment>
    <comment authorId="0" ref="AC1">
      <text>
        <t xml:space="preserve">also note cache efficiency (in memory hierarchy)?</t>
      </text>
    </comment>
    <comment authorId="0" ref="AJ1">
      <text>
        <t xml:space="preserve">NOTE: this is just for Hayden's graphing purposes
format: "(parameter wrt): (class)"
(comma and new line between different parameters)
1: constant
2: logarithmic
3: linear
4: quasilinear (n log n)
5: quadratic
6: cubic
7: polynomial (&gt;3)
8: exponential
9: factorial
For decimal/fractional polynomials, interpolate between 5,6,7,8
</t>
      </text>
    </comment>
    <comment authorId="0" ref="AN1">
      <text>
        <t xml:space="preserve">0 - there is a paper reference for it
1 - we derived ourselves</t>
      </text>
    </comment>
    <comment authorId="0" ref="AO1">
      <text>
        <t xml:space="preserve">1 if space complexity reference == paper/reference link
0 if space complexity reference is a different paper than the original
0 if space complexity was derived</t>
      </text>
    </comment>
    <comment authorId="0" ref="BE1">
      <text>
        <t xml:space="preserve">Values for space complexity (note: only calculating for the first algo and the best-space algo for each problem family, for sake of finding "average annualized rate of improvement" to compare to the same value for time from Yash's work)</t>
      </text>
    </comment>
    <comment authorId="0" ref="BK1">
      <text>
        <t xml:space="preserve">Values for time complexity</t>
      </text>
    </comment>
    <comment authorId="0" ref="P128">
      <text>
        <t xml:space="preserve">Alternative source: https://epubs.siam.org/doi/abs/10.1137/0210049</t>
      </text>
    </comment>
    <comment authorId="0" ref="X154">
      <text>
        <t xml:space="preserve">Lower bound of 2 log n + c for some constant c
(for all graph problems mentioned)</t>
      </text>
    </comment>
    <comment authorId="0" ref="P239">
      <text>
        <t xml:space="preserve">https://cs.uwaterloo.ca/~eschost/Exam/Schoenhage--Partial_and_total_matrix_multiplication.pdf</t>
      </text>
    </comment>
    <comment authorId="0" ref="J240">
      <text>
        <t xml:space="preserve">The paper just says "polynomial-time"</t>
      </text>
    </comment>
    <comment authorId="0" ref="X263">
      <text>
        <t xml:space="preserve">Expected time</t>
      </text>
    </comment>
    <comment authorId="0" ref="P272">
      <text>
        <t xml:space="preserve">this link has been changed from the original (since the original didn't work)</t>
      </text>
    </comment>
    <comment authorId="0" ref="AD988">
      <text>
        <t xml:space="preserve">originally had:
n == N
m == n
sigma == V()</t>
      </text>
    </comment>
  </commentList>
</comments>
</file>

<file path=xl/comments4.xml><?xml version="1.0" encoding="utf-8"?>
<comments xmlns:r="http://schemas.openxmlformats.org/officeDocument/2006/relationships" xmlns="http://schemas.openxmlformats.org/spreadsheetml/2006/main">
  <authors>
    <author/>
  </authors>
  <commentList>
    <comment authorId="0" ref="C1">
      <text>
        <t xml:space="preserve">0 - no
0.001 - briefly but seems to have issues
1 - partially
2 - [mostly] yes</t>
      </text>
    </comment>
    <comment authorId="0" ref="D1">
      <text>
        <t xml:space="preserve">Use '; ' as delimiter if multiple variations.
If adding new variations, make sure to also put them in the "Problems" sheet</t>
      </text>
    </comment>
    <comment authorId="0" ref="U1">
      <text>
        <t xml:space="preserve">These are Yash's classifications. To convert from these to Hayden's, do 
9 minus Yash's</t>
      </text>
    </comment>
    <comment authorId="0" ref="V1">
      <text>
        <t xml:space="preserve">NOTE: this is just for Hayden's graphing purposes
format: "(parameter wrt): (class)"
1: constant
2: logarithmic
3: linear
4: quasilinear (n log n)
5: quadratic
6: cubic
7: polynomial (&gt;3)
8: exponential / factorial
For decimal/fractional polynomials, interpolate between 5,6,7,8</t>
      </text>
    </comment>
    <comment authorId="0" ref="W1">
      <text>
        <t xml:space="preserve">NOTE: when something is n^1.3 for example, interpolate between 4,5 so that when you round up, it goes to n^2 rather than to nlogn
also n^0.5 would go to 2.5 so that we round up to linear
format: "(parameter wrt): (class)"
1: constant
2: logarithmic
3: linear
4: quasilinear (n log n)
5: quadratic
6: cubic
7: polynomial (&gt;3)
8: exponential / factorial
For decimal/fractional polynomials, interpolate between 5,6,7,8
for these, i consider a logn to be +0.01 when interpolating</t>
      </text>
    </comment>
    <comment authorId="0" ref="AW1">
      <text>
        <t xml:space="preserve">Values for space complexity (note: only calculating for the first algo and the best-space algo for each problem family, for sake of finding "average annualized rate of improvement" to compare to the same value for time from Yash's work)</t>
      </text>
    </comment>
    <comment authorId="0" ref="BC1">
      <text>
        <t xml:space="preserve">Values for time complexity</t>
      </text>
    </comment>
  </commentList>
</comments>
</file>

<file path=xl/comments5.xml><?xml version="1.0" encoding="utf-8"?>
<comments xmlns:r="http://schemas.openxmlformats.org/officeDocument/2006/relationships" xmlns="http://schemas.openxmlformats.org/spreadsheetml/2006/main">
  <authors>
    <author/>
  </authors>
  <commentList>
    <comment authorId="0" ref="V1">
      <text>
        <t xml:space="preserve">NOTE: this is just for Hayden's graphing purposes
format: "(parameter wrt): (class)"
if there is a clear parameter that is most important, just list that #
1: constant
2: logarithmic
3: linear
4: n log n
5: quadratic
6: cubic
7: polynomial (&gt;3)
8: exponential
For decimal/fractional polynomials, interpolate between 5,6,7,8</t>
      </text>
    </comment>
    <comment authorId="0" ref="AD1">
      <text>
        <t xml:space="preserve">NOTE: this is just for Hayden's graphing purposes
format: "(parameter wrt): (class)"
1: constant
2: logarithmic
3: linear
4: n log n
5: quadratic
6: cubic
7: polynomial (&gt;3)
8: exponential
9: factorial
For decimal/fractional polynomials, interpolate between 5,6,7,8</t>
      </text>
    </comment>
  </commentList>
</comments>
</file>

<file path=xl/comments6.xml><?xml version="1.0" encoding="utf-8"?>
<comments xmlns:r="http://schemas.openxmlformats.org/officeDocument/2006/relationships" xmlns="http://schemas.openxmlformats.org/spreadsheetml/2006/main">
  <authors>
    <author/>
  </authors>
  <commentList>
    <comment authorId="0" ref="D1">
      <text>
        <t xml:space="preserve">Use '; ' as delimiter if multiple variations.
If adding new variations, make sure to also put them in the "Problems" sheet</t>
      </text>
    </comment>
  </commentList>
</comments>
</file>

<file path=xl/comments7.xml><?xml version="1.0" encoding="utf-8"?>
<comments xmlns:r="http://schemas.openxmlformats.org/officeDocument/2006/relationships" xmlns="http://schemas.openxmlformats.org/spreadsheetml/2006/main">
  <authors>
    <author/>
  </authors>
  <commentList>
    <comment authorId="0" ref="F1">
      <text>
        <t xml:space="preserve">Lower bounds for the problem, might be parameterized (actually I now think this should be phrased as an implication with its associated types)</t>
      </text>
    </comment>
    <comment authorId="0" ref="H1">
      <text>
        <t xml:space="preserve">What computation model does this apply to</t>
      </text>
    </comment>
    <comment authorId="0" ref="L1">
      <text>
        <t xml:space="preserve">True/False/No. Almost always is 'No'</t>
      </text>
    </comment>
  </commentList>
</comments>
</file>

<file path=xl/comments8.xml><?xml version="1.0" encoding="utf-8"?>
<comments xmlns:r="http://schemas.openxmlformats.org/officeDocument/2006/relationships" xmlns="http://schemas.openxmlformats.org/spreadsheetml/2006/main">
  <authors>
    <author/>
  </authors>
  <commentList>
    <comment authorId="0" ref="G50">
      <text>
        <t xml:space="preserve">for equivalences, should put both ways just for completeness</t>
      </text>
    </comment>
  </commentList>
</comments>
</file>

<file path=xl/comments9.xml><?xml version="1.0" encoding="utf-8"?>
<comments xmlns:r="http://schemas.openxmlformats.org/officeDocument/2006/relationships" xmlns="http://schemas.openxmlformats.org/spreadsheetml/2006/main">
  <authors>
    <author/>
  </authors>
  <commentList>
    <comment authorId="0" ref="F7">
      <text>
        <t xml:space="preserve">O(V^2 \log^2 V) if \omega = 2</t>
      </text>
    </comment>
    <comment authorId="0" ref="B15">
      <text>
        <t xml:space="preserve">0 - undirected
1 - directed
2 - both</t>
      </text>
    </comment>
    <comment authorId="0" ref="C15">
      <text>
        <t xml:space="preserve">0 - unweighted
1 - edge-weighted
2 - vertex-weighted</t>
      </text>
    </comment>
    <comment authorId="0" ref="F16">
      <text>
        <t xml:space="preserve">modified Bellman Ford</t>
      </text>
    </comment>
    <comment authorId="0" ref="F18">
      <text>
        <t xml:space="preserve">O(V^2 \log^2 V) if \omega = 2</t>
      </text>
    </comment>
  </commentList>
</comments>
</file>

<file path=xl/sharedStrings.xml><?xml version="1.0" encoding="utf-8"?>
<sst xmlns="http://schemas.openxmlformats.org/spreadsheetml/2006/main" count="31452" uniqueCount="9148">
  <si>
    <t>Family Name</t>
  </si>
  <si>
    <t>Family Description</t>
  </si>
  <si>
    <t>Old Family #</t>
  </si>
  <si>
    <t>Variation</t>
  </si>
  <si>
    <t>Alias</t>
  </si>
  <si>
    <t>Parents</t>
  </si>
  <si>
    <t>Children</t>
  </si>
  <si>
    <t>Problem Description</t>
  </si>
  <si>
    <t>Description Reference</t>
  </si>
  <si>
    <t>Parameters</t>
  </si>
  <si>
    <t>Parameter for graphs</t>
  </si>
  <si>
    <t>Input Size</t>
  </si>
  <si>
    <t>Output Size</t>
  </si>
  <si>
    <t>Best Known Upper Bound</t>
  </si>
  <si>
    <t>Upper Bound Reference</t>
  </si>
  <si>
    <t>Best Known Lower Bound</t>
  </si>
  <si>
    <t>Lower Bound Reference</t>
  </si>
  <si>
    <t>Domain</t>
  </si>
  <si>
    <t>Sorting</t>
  </si>
  <si>
    <t>A sorting algorithm is an algorithm that puts elements of a list in a certain order</t>
  </si>
  <si>
    <t>https://www.researchgate.net/profile/Adolf-Fenyi-2/publication/346468901_Comparative_Analysis_of_Comparison_and_Non_Comparison_based_Sorting_Algorithms/links/62d80a6c492b5a42c7c3715c/Comparative-Analysis-of-Comparison-and-Non-Comparison-based-Sorting-Algorithms.pdf</t>
  </si>
  <si>
    <t>$n$: size of list</t>
  </si>
  <si>
    <t>n</t>
  </si>
  <si>
    <t>Combinatorics</t>
  </si>
  <si>
    <t>Comparison Sorting</t>
  </si>
  <si>
    <t>A sorting algorithm is an algorithm that puts elements of a list in a certain order, using comparisons between elements.</t>
  </si>
  <si>
    <t>O(n*logn)</t>
  </si>
  <si>
    <t>CLRS</t>
  </si>
  <si>
    <t>Omega(n*logn)</t>
  </si>
  <si>
    <t>Non-Comparison Sorting</t>
  </si>
  <si>
    <t>A sorting algorithm is an algorithm that puts elements of a list in a certain order, not using comparisons between elements (so elements are typically integers or real numbers).</t>
  </si>
  <si>
    <t>kth Order Statistic</t>
  </si>
  <si>
    <t>An algorithm seeks to find the $k^{th}$ order statistic of a statistical sample, or the $k^{th}$-smallest value in a list or array.</t>
  </si>
  <si>
    <t>https://dl.acm.org/citation.cfm?doid=366622.366647</t>
  </si>
  <si>
    <t>O(1)</t>
  </si>
  <si>
    <t>O(n)</t>
  </si>
  <si>
    <t>https://11011110.github.io/blog/2007/10/09/blum-style-analysis-of.html</t>
  </si>
  <si>
    <t>Omega(n)</t>
  </si>
  <si>
    <t>Easily derived</t>
  </si>
  <si>
    <t>Matrix Chain Multiplication</t>
  </si>
  <si>
    <t>Matrix Chain Ordering Problem</t>
  </si>
  <si>
    <t>MCOP</t>
  </si>
  <si>
    <t>Matrix chain multiplication (or Matrix Chain Ordering Problem; MCOP) is an optimization problem. Given a sequence of matrices, the goal is to find the most efficient way to multiply these matrices.</t>
  </si>
  <si>
    <t>https://dl.acm.org/doi/pdf/10.1145/359545.359556</t>
  </si>
  <si>
    <t>$n$: number of matrices</t>
  </si>
  <si>
    <t>$O(n \log n)$</t>
  </si>
  <si>
    <t>https://citeseerx.ist.psu.edu/viewdoc/citations?doi=10.1.1.695.2923</t>
  </si>
  <si>
    <t>Approximate MCOP</t>
  </si>
  <si>
    <t>Matrix chain multiplication (or Matrix Chain Ordering Problem; MCOP) is an optimization problem. Given a sequence of matrices, the goal is to find the most efficient way to multiply these matrices. In the approximation problem, the matrix multiplication carried out with the output result will use a number of operations that has some sort of upper bound based on the optimal solution.</t>
  </si>
  <si>
    <t>$O(\log \log n)$</t>
  </si>
  <si>
    <t>https://citeseerx.ist.psu.edu/viewdoc/download?doi=10.1.1.218.8168&amp;rep=rep1&amp;type=pdf</t>
  </si>
  <si>
    <t>Matrix Chain Scheduling Problem</t>
  </si>
  <si>
    <t>MCSP</t>
  </si>
  <si>
    <t>The Matrix Chain Scheduling Problem (or MCSP) is an optimization problem_x000c_ where the goal is to find the product sequence for evaluating a chain of matrix products and the processor schedule for the sequence such that the evaluation time is minimized on a parallel system.</t>
  </si>
  <si>
    <t>https://citeseerx.ist.psu.edu/viewdoc/download?doi=10.1.1.56.222&amp;rep=rep1&amp;type=pdf</t>
  </si>
  <si>
    <t>$P$: number of processors
$n$: number of matrices</t>
  </si>
  <si>
    <t>$O(\log^3 n)$</t>
  </si>
  <si>
    <t>https://citeseerx.ist.psu.edu/viewdoc/download?doi=10.1.1.54.9426&amp;rep=rep1&amp;type=pdf</t>
  </si>
  <si>
    <t>NP-hard</t>
  </si>
  <si>
    <t>Approximate MCSP</t>
  </si>
  <si>
    <t>The Matrix Chain Scheduling Problem (or MCSP) is an optimization problem_x000c_ where the goal is to find the product sequence for evaluating a chain of matrix products and the processor schedule for the sequence such that the evaluation time is minimized on a parallel system. In the approximation problem, the matrix multiplication carried out with the output result will use a number of operations that has some sort of upper bound based on the optimal solution.</t>
  </si>
  <si>
    <t>$O(n^2)$</t>
  </si>
  <si>
    <t>http://citeseerx.ist.psu.edu/viewdoc/download?doi=10.1.1.56.222&amp;rep=rep1&amp;type=pdf</t>
  </si>
  <si>
    <t>Longest Common Subsequence</t>
  </si>
  <si>
    <t>LCS</t>
  </si>
  <si>
    <t>The longest common subsequence (LCS) problem is the problem of finding the longest subsequence common to all sequences in a set of sequences (often just two sequences).</t>
  </si>
  <si>
    <t>https://cse.hkust.edu.hk/mjg_lib/bibs/DPSu/DPSu.Files/HuSz77.pdf</t>
  </si>
  <si>
    <t>$n$: length of the longer input string
$m$: length of the shorter input string
$r$: length of the LCS
$s$: size of the alphabet
$p$: the number of dominant matches (AKA number of minimal candidates), i.e. the total number of ordered pairs of positions at which the two sequences match</t>
  </si>
  <si>
    <t>m+n</t>
  </si>
  <si>
    <t>O(min(m, n))</t>
  </si>
  <si>
    <t>Omega(n^2)</t>
  </si>
  <si>
    <r>
      <rPr/>
      <t xml:space="preserve">Reduction from SETH
</t>
    </r>
    <r>
      <rPr>
        <color rgb="FF1155CC"/>
        <u/>
      </rPr>
      <t>https://link.springer.com/chapter/10.1007/978-3-662-43948-7_4</t>
    </r>
  </si>
  <si>
    <t>Longest Common Substring with don't cares</t>
  </si>
  <si>
    <t>Find the length of the longest common substring of two strings S and T, where S is a binary string and T is is a binary string and additional * characters that can match either 0 or 1.</t>
  </si>
  <si>
    <t>https://link.springer.com/chapter/10.1007/978-3-662-43948-7_4</t>
  </si>
  <si>
    <r>
      <rPr/>
      <t xml:space="preserve">Reduction from SETH
</t>
    </r>
    <r>
      <rPr>
        <color rgb="FF1155CC"/>
        <u/>
      </rPr>
      <t>https://link.springer.com/chapter/10.1007/978-3-662-43948-7_4</t>
    </r>
  </si>
  <si>
    <t>Maximum Flow</t>
  </si>
  <si>
    <t>st-Maximum Flow</t>
  </si>
  <si>
    <t>Find the maximum flow from $s$ to $t$</t>
  </si>
  <si>
    <t>https://dl.acm.org/doi/abs/10.1145/3212510</t>
  </si>
  <si>
    <t>$V$: number of vertices
$E$: number of edges
$U$: maximum edge capacity</t>
  </si>
  <si>
    <t>V</t>
  </si>
  <si>
    <t>O(ElogU)</t>
  </si>
  <si>
    <t>O(1) for value, O(ElogU) for network</t>
  </si>
  <si>
    <t>Integer Maximum Flow</t>
  </si>
  <si>
    <t>Non-Integer Maximum Flow</t>
  </si>
  <si>
    <t>Maximum flow problems involve finding a feasible flow through a flow network that is maximum. In this variant, the capacities must be integers.</t>
  </si>
  <si>
    <t>O(min(VE, E^(1+o(1))*log(U)))</t>
  </si>
  <si>
    <t>https://arxiv.org/abs/2203.00671, 
https://dl.acm.org/doi/10.1145/2488608.2488705</t>
  </si>
  <si>
    <t>Unweighted Maximum Flow</t>
  </si>
  <si>
    <t>Maximum flow problems involve finding a feasible flow through a flow network that is maximum. In this variant, all edges have unit weight.</t>
  </si>
  <si>
    <t>$V$: number of vertices
$E$: number of edges</t>
  </si>
  <si>
    <t>O(E)</t>
  </si>
  <si>
    <t>O(1) for value, O(E) for network</t>
  </si>
  <si>
    <t>O(E^(1+o(1)))</t>
  </si>
  <si>
    <t>https://arxiv.org/abs/2203.00671</t>
  </si>
  <si>
    <t>Non-integer Maximum Flow</t>
  </si>
  <si>
    <t>Maximum flow problems involve finding a feasible flow through a flow network that is maximum. In this variant, the capacities may be non-integers.</t>
  </si>
  <si>
    <t>Minimum-Cost Flow</t>
  </si>
  <si>
    <t>MCF</t>
  </si>
  <si>
    <t>Maximum flow problems involve finding a feasible flow through a flow network that is maximum. In this variant, each edge is given a cost coefficient, and we wish to minimize total cost while reaching a threshold flow.</t>
  </si>
  <si>
    <t>https://www.tandfonline.com/doi/pdf/10.1080/10556788.2014.895828</t>
  </si>
  <si>
    <t>$V$: number of vertices
$E$: number of edges
$U$: maximum edge capacity
$d$: minimum required flow</t>
  </si>
  <si>
    <t>O(E^(1+o(1))*log(U))</t>
  </si>
  <si>
    <t>All-Pairs Maximum Flow</t>
  </si>
  <si>
    <t>Find the maximum flow between all pairs of nodes</t>
  </si>
  <si>
    <t>Maximum Local Edge Connectivity</t>
  </si>
  <si>
    <t>Find the pair of nodes with the maximum number of edge-disjoint paths between them</t>
  </si>
  <si>
    <r>
      <rPr>
        <color rgb="FF000000"/>
      </rPr>
      <t xml:space="preserve">reduction from SETH
</t>
    </r>
    <r>
      <rPr>
        <color rgb="FF1155CC"/>
        <u/>
      </rPr>
      <t>https://dl.acm.org/doi/abs/10.1145/3212510</t>
    </r>
  </si>
  <si>
    <t>Matrix Product</t>
  </si>
  <si>
    <t>Matrix Multiplication</t>
  </si>
  <si>
    <t xml:space="preserve">Matrix Multiplication or Matrix Product is a binary operation that produces a matrix from two matrices with entries in a field; or; more generally; in a ring or even a semiring. </t>
  </si>
  <si>
    <t>https://era.ed.ac.uk/bitstream/handle/1842/4734/Stothers2010.pdf</t>
  </si>
  <si>
    <t>$n$: dimension of square matrix</t>
  </si>
  <si>
    <t>n^2</t>
  </si>
  <si>
    <t>O(n^2)</t>
  </si>
  <si>
    <t>O(n^2.37285956)</t>
  </si>
  <si>
    <t>https://arxiv.org/pdf/2010.05846.pdf</t>
  </si>
  <si>
    <t>Boolean Matrix Multiplication</t>
  </si>
  <si>
    <t>BMM; and-or Matrix Product</t>
  </si>
  <si>
    <t>Matrix multiplication of two boolean matrices (i.e. where all entries are in $F_2$ and addition is mod 2)</t>
  </si>
  <si>
    <t>https://ieeexplore.ieee.org/stamp/stamp.jsp?arnumber=4569672</t>
  </si>
  <si>
    <t>Boolean Matrix Multiplication (Combinatorial)</t>
  </si>
  <si>
    <t>BMM (Combinatorial)</t>
  </si>
  <si>
    <t>Matrix multiplication of two boolean matrices (i.e. where all entries are in $F_2$ and addition is mod 2). Here, only "combinatorial" algorithms are considered.</t>
  </si>
  <si>
    <t>https://dl.acm.org/doi/pdf/10.1145/3186893</t>
  </si>
  <si>
    <t>O(n^3*poly(log log n)/log^4 n)</t>
  </si>
  <si>
    <t>https://www.sciencedirect.com/science/article/pii/S0890540118300099</t>
  </si>
  <si>
    <t>$\Omega(n^{3-\epsilon})$ for any $\epsilon &gt; 0$ for combinatorial algorithms</t>
  </si>
  <si>
    <t>BMM Hypothesis</t>
  </si>
  <si>
    <t>Matrix Product Verification</t>
  </si>
  <si>
    <t>Given three matrices $A, B, C$, verify that $AB = C$, i.e. that $C$ is the matrix product of $A$ and $B$</t>
  </si>
  <si>
    <t>Distance Product</t>
  </si>
  <si>
    <t>$(\min, +)$ Matrix Multiplication; $(\min, +)$ Matrix Product; Funny Matrix Multiplication</t>
  </si>
  <si>
    <t>Matrix product over the $(\min, +)$-semiring</t>
  </si>
  <si>
    <t>$(\min, \leq)$ Product</t>
  </si>
  <si>
    <t>$(\min, \leq)$ Matrix Multiplication</t>
  </si>
  <si>
    <t>Matrix product over the $(\min, \leq)$-semiring</t>
  </si>
  <si>
    <t>Linear System</t>
  </si>
  <si>
    <t>General Linear System</t>
  </si>
  <si>
    <t>A system of linear equations (or linear system) is a collection of one or more linear equations involving the same set of variables. This is typically written in the form $Ax=b$ where $A$ is a matrix and $x, b$ are vectors. In this case, we impose no restrictions on $A$.</t>
  </si>
  <si>
    <t>https://wires.onlinelibrary.wiley.com/doi/pdfdirect/10.1002/wics.164</t>
  </si>
  <si>
    <t>$n$: number of variables and number of equations
$m$: number of nonzero entries in matrix
$k$: ratio between largest and smallest eigenvalues</t>
  </si>
  <si>
    <t>Matrix inverse (which has the same complexity as matrix multiplication)</t>
  </si>
  <si>
    <t>Numerical Analysis</t>
  </si>
  <si>
    <t>Sparse Linear System</t>
  </si>
  <si>
    <t>In this case, we restrict $A$ to be sparse (i.e. $A$ only has $O(n)$ nonzero entries).</t>
  </si>
  <si>
    <t>https://arxiv.org/pdf/0811.3171.pdf</t>
  </si>
  <si>
    <t>O(m)</t>
  </si>
  <si>
    <t>O(n^2.37285956) deterministic, O(n^2.331642) randomized/roughly approximate</t>
  </si>
  <si>
    <t>https://arxiv.org/abs/2007.10254</t>
  </si>
  <si>
    <t>Positive Definite, Hermitian Matrix</t>
  </si>
  <si>
    <t>In this case, we restrict $A$ to be positive definite and hermitian (or symmetric, if $A$ is real-valued).</t>
  </si>
  <si>
    <t>https://www.cs.utexas.edu/users/flame/Notes/NotesOnChol.pdf</t>
  </si>
  <si>
    <t>Non-Definite, Symmetric Matrix</t>
  </si>
  <si>
    <t>In this case, we restrict $A$ to be non-definite and symmetric.</t>
  </si>
  <si>
    <t>https://link.springer.com/article/10.1007/BF01931804</t>
  </si>
  <si>
    <t>Toeplitz Matrix</t>
  </si>
  <si>
    <t>In this case, we restrict $A$ to be a Toeplitz matrix.</t>
  </si>
  <si>
    <t>https://link.springer.com/content/pdf/10.1007/BF02163269.pdf</t>
  </si>
  <si>
    <t>min(O(n^2), C*O(n*log^2(n)))</t>
  </si>
  <si>
    <t>https://en.wikipedia.org/wiki/Levinson_recursion</t>
  </si>
  <si>
    <t>Vandermonde Matrix</t>
  </si>
  <si>
    <t>In this case, we restrict $A$ to be a Vandermonde matrix.</t>
  </si>
  <si>
    <t>https://www.jstor.org/stable/2004623</t>
  </si>
  <si>
    <t>Algorithm #108</t>
  </si>
  <si>
    <t>Linear Programming</t>
  </si>
  <si>
    <t>General Linear Programming</t>
  </si>
  <si>
    <t>Linear programming (LP; also called linear optimization) is a method to achieve the best outcome (such as maximum profit or lowest cost) in a mathematical model whose requirements are represented by linear relationships. Linear programming is a special case of mathematical programming (also known as mathematical optimization).</t>
  </si>
  <si>
    <t>https://books.google.com/books?hl=en&amp;lr=&amp;id=DTjPAAAAQBAJ&amp;oi=fnd&amp;pg=PP1&amp;dq=general+linear+programming&amp;ots=vD4ZikjK9Z&amp;sig=hKNx-yjfv4eztlHMjbWBIEWhfGA#v=onepage&amp;q=general%20linear%20programming&amp;f=false</t>
  </si>
  <si>
    <t>$n$: number of variables
$m$: number of constraints
$L$: length of input, in bits</t>
  </si>
  <si>
    <t>O(L)</t>
  </si>
  <si>
    <t>O(1) for value, ~O(n) for variable values</t>
  </si>
  <si>
    <t>Linear Programming with Reals</t>
  </si>
  <si>
    <t>In this case, we allow all of the variables to be any real number.</t>
  </si>
  <si>
    <t>https://link.springer.com/content/pdf/10.1007/BF01580859.pdf</t>
  </si>
  <si>
    <t>O(n^2.37285956*polylog(n, m, L))</t>
  </si>
  <si>
    <t>https://arxiv.org/abs/1810.07896</t>
  </si>
  <si>
    <t>Integer Linear Programming</t>
  </si>
  <si>
    <t>ILP</t>
  </si>
  <si>
    <t>In this case, we require all of the variables to be integers.</t>
  </si>
  <si>
    <t>https://d1wqtxts1xzle7.cloudfront.net/30784929/15023096-libre.pdf?1392035464=&amp;response-content-disposition=inline%3B+filename%3DThree_models_of_fuzzy_integer_linear_pro.pdf&amp;Expires=1661187732&amp;Signature=KJX0f8E8YpE~2X0f4tgDBvqlsPKVldp3BztygETrIDDscwI25~PAsRrtZ8JYXgalpEd1vJEuYuUDCyefMcdsMqq0I-yN0l0DOn6AaZhB-Wr-bjzxuorwUjudediDpIFtzK6t6ue30Gy5smKflevKkLzd~C9gDO9wLM7rXs9Qc3Pt3WRq~eyXrNERyyX8nQCj3-FtOFPVWttivVFqKopzQ7zHUnkMsSQ9~TOyB58tJX5mjZ0qwTnG-E5WdkYIcxSqFFMvQciOztMjOw4ztTOoaR-bK4zm23a~Rhmy9YnvyN6H807Dn4R7Gz2HhIi7fBpZKuN7TRUUDLZoYF3E6AhV1g__&amp;Key-Pair-Id=APKAJLOHF5GGSLRBV4ZA</t>
  </si>
  <si>
    <t>Omega(poly(n, m, L))</t>
  </si>
  <si>
    <t>0-1 Linear Programming</t>
  </si>
  <si>
    <t>In this case, we require all of the variables to be either 0 or 1.</t>
  </si>
  <si>
    <t>https://www.jstor.org/stable/pdf/2628745.pdf</t>
  </si>
  <si>
    <t>Line segment intersection</t>
  </si>
  <si>
    <t>Reporting all intersection points, line segments</t>
  </si>
  <si>
    <t>Reporting all intersection points, generalized segments</t>
  </si>
  <si>
    <t>The line segment intersection problem supplies a list of line segments in the Euclidean plane and asks about the points where they intersect (cross), if any. In this case, we wish to report all points of intersection.</t>
  </si>
  <si>
    <t>https://dl.acm.org/doi/10.1145/147508.147511</t>
  </si>
  <si>
    <t>$n$: number of line segments
$k$: number of points of intersection</t>
  </si>
  <si>
    <t>O(k)</t>
  </si>
  <si>
    <t>O(n*log(n)+k)</t>
  </si>
  <si>
    <t>Omega(n*log(n)+k)</t>
  </si>
  <si>
    <t>Reduction from element uniqueness (see https://dl.acm.org/doi/10.1145/304893.304991)</t>
  </si>
  <si>
    <t>Image Processing</t>
  </si>
  <si>
    <t>In this case, the segments are generalized (i.e. have algebraic degree ≥1); we still wish to report all points of intersection.</t>
  </si>
  <si>
    <t>https://epubs.siam.org/doi/abs/10.1137/S0097539797329373</t>
  </si>
  <si>
    <t>https://dl.acm.org/citation.cfm?id=304991</t>
  </si>
  <si>
    <t>&lt;= slightly imprecise and possibly outdated here (particularly for upper bound), due to algorithms mostly solving for lower degree</t>
  </si>
  <si>
    <t>Reporting all intersection points, convex polygons</t>
  </si>
  <si>
    <t>Reporting all intersection points, general polygons</t>
  </si>
  <si>
    <t>In this case, we are supplied with a list of convex polygons, and we wish to report all regions of intersection.</t>
  </si>
  <si>
    <t>https://pdfs.semanticscholar.org/a571/cc92218132a1b0e65c2adbf663c79d015737.pdf</t>
  </si>
  <si>
    <t>In this case, we are supplied with a list of polygons (not necessarily convex), and we wish to report all regions of intersection.</t>
  </si>
  <si>
    <t>O((n+k)*log(n))</t>
  </si>
  <si>
    <t>Counting number of intersection points, line segments</t>
  </si>
  <si>
    <t>In this case, we are supplied with a list of line segments, and we wish to count the number of points of intersection.</t>
  </si>
  <si>
    <t>https://www.sciencedirect.com/science/article/pii/0022000086900255</t>
  </si>
  <si>
    <t>O(log k)</t>
  </si>
  <si>
    <t>O(min(n^1.695, n*log(n)+k))</t>
  </si>
  <si>
    <t>&lt;= upper bound ref is for n^1.695</t>
  </si>
  <si>
    <t>Convex Hull</t>
  </si>
  <si>
    <t>2-dimensional Convex Hull</t>
  </si>
  <si>
    <t>d-dimensional Convex Hull</t>
  </si>
  <si>
    <t>The convex hull or convex envelope or convex closure of a set X of points in the Euclidean plane or in a Euclidean space (or; more generally; in an affine space over the reals) is the smallest convex set that contains X. Here, we are looking at the 2-dimensional case.</t>
  </si>
  <si>
    <t>https://dl.acm.org/doi/10.1145/359423.359430</t>
  </si>
  <si>
    <t>$n$: number of line segments
$h$: number of points on the convex hull</t>
  </si>
  <si>
    <t>O(h)</t>
  </si>
  <si>
    <t>O(n*log(h))</t>
  </si>
  <si>
    <t>https://ecommons.cornell.edu/handle/1813/6417</t>
  </si>
  <si>
    <t>Omega(n*log(h))</t>
  </si>
  <si>
    <r>
      <rPr/>
      <t xml:space="preserve">For more on convex hull algos in general see </t>
    </r>
    <r>
      <rPr>
        <color rgb="FF1155CC"/>
        <u/>
      </rPr>
      <t>https://link.springer.com/chapter/10.1007/978-1-4612-1098-6_3</t>
    </r>
  </si>
  <si>
    <t>3-dimensional Convex Hull</t>
  </si>
  <si>
    <t>Here, we are looking at the 3-dimensional case.</t>
  </si>
  <si>
    <t>https://link.springer.com/article/10.1007/BF02712873</t>
  </si>
  <si>
    <t>Reduction to 2-dimensional case</t>
  </si>
  <si>
    <t>Here, we are looking at the general d-dimensional case.</t>
  </si>
  <si>
    <t>https://dl.acm.org/doi/pdf/10.1145/12130.12172</t>
  </si>
  <si>
    <t>$n$: number of line segments
$h$: number of points on the convex hull
$f_1$: number of facets on the convex hull
$f_2$: number of subfacets on the convex hull</t>
  </si>
  <si>
    <t>2-dimensional Convex Hull, Online</t>
  </si>
  <si>
    <t>Here, we are given the input points one by one, and must maintain the current convex hull after each input point.</t>
  </si>
  <si>
    <t>https://dl.acm.org/doi/abs/10.1145/359131.359132</t>
  </si>
  <si>
    <t>O(log(n)) per operation, O(n*log(n)) total</t>
  </si>
  <si>
    <t>Omega(log(n)) per operation, Omega(n*log(n)) total</t>
  </si>
  <si>
    <t>https://link.springer.com/content/pdf/10.1007/978-1-4612-1098-6.pdf</t>
  </si>
  <si>
    <t>2-dimensional Convex Hull, Dynamic</t>
  </si>
  <si>
    <t>Here, the input points may be sequentially inserted or deleted, and the convex hull must be updated after each insert/delete operation.</t>
  </si>
  <si>
    <t>https://www.sciencedirect.com/science/article/pii/002200008190012X?via%3Dihub</t>
  </si>
  <si>
    <r>
      <rPr/>
      <t xml:space="preserve">&lt;= for more see </t>
    </r>
    <r>
      <rPr>
        <color rgb="FF1155CC"/>
        <u/>
      </rPr>
      <t>https://en.wikipedia.org/wiki/Dynamic_convex_hull</t>
    </r>
  </si>
  <si>
    <t>Strongly Connected Components</t>
  </si>
  <si>
    <t>SCCs</t>
  </si>
  <si>
    <t>The strongly connected components or diconnected components of an arbitrary directed graph form a partition into subgraphs that are themselves strongly connected.</t>
  </si>
  <si>
    <t>https://ieeexplore.ieee.org/abstract/document/6979028?casa_token=daaoBjrHUa4AAAAA:DCjk_WMWZ5Is6KvGpmS8a2bL9LskvV0P1zEG4U2u-Tm_C8sixu1w65OpTyjml1HEpaikXhtYsg</t>
  </si>
  <si>
    <t>O(V+E)</t>
  </si>
  <si>
    <t>Many algorithms</t>
  </si>
  <si>
    <t>Omega(V+E)</t>
  </si>
  <si>
    <t>Transitive Closure</t>
  </si>
  <si>
    <t>In this problem, we also want to compute the transitive closure of a graph. (Perhaps this should be a separate problem?)</t>
  </si>
  <si>
    <t>https://link.springer.com/article/10.1007/BF01940892</t>
  </si>
  <si>
    <t>O(V^2)</t>
  </si>
  <si>
    <t>Maximum Strongly Connected Component</t>
  </si>
  <si>
    <t>MaxSCC</t>
  </si>
  <si>
    <t>maintain: a directed graph, under: edge insertions/deletions, answer: what is the size of the largest SCC?</t>
  </si>
  <si>
    <t>Strong Connectivity (dynamic)</t>
  </si>
  <si>
    <t>maintain: a directed graph, under edge insertions/deletions, answer: is the graph strongly connected?</t>
  </si>
  <si>
    <t>2 Strong Components (dynamic)</t>
  </si>
  <si>
    <t>SC2</t>
  </si>
  <si>
    <t>maintain: a directed graph, under: edge insertion/deletions, answer: are there more than 2 strongly connected components?</t>
  </si>
  <si>
    <t>Connected Subgraph</t>
  </si>
  <si>
    <t>ConnSub</t>
  </si>
  <si>
    <t>Subgraph connectivity asks us to maintainan understanding of connectivity under vertex updates: updates can turn vertices on and off, and queries refer to the subgraph induced by "on" vertices. (For instance, this is closer to applications in networks of routers, where node faults may occur.)</t>
  </si>
  <si>
    <t>Minimum Spanning Tree (MST)</t>
  </si>
  <si>
    <t>Undirected, General MST</t>
  </si>
  <si>
    <t>A minimum spanning tree (MST) or minimum weight spanning tree is a subset of the edges of a connected; edge-weighted undirected graph that connects all the vertices together; without any cycles and with the minimum possible total edge weight. Here, there are no restrictions on edge weights or graph density.</t>
  </si>
  <si>
    <t>https://dl.acm.org/citation.cfm?id=2791225</t>
  </si>
  <si>
    <t>$V$: number of vertices
$E$: number of edges
$U$: maximum edge weight</t>
  </si>
  <si>
    <t>O(V)</t>
  </si>
  <si>
    <t>Unknown but matches lower bound</t>
  </si>
  <si>
    <t>https://dl.acm.org/doi/10.1145/505241.505243</t>
  </si>
  <si>
    <t>Unknown but matches upper bound</t>
  </si>
  <si>
    <t>Undirected, Dense MST</t>
  </si>
  <si>
    <t>A minimum spanning tree (MST) or minimum weight spanning tree is a subset of the edges of a connected; edge-weighted undirected graph that connects all the vertices together; without any cycles and with the minimum possible total edge weight. Here, we assume that the graph is dense (i.e. $E = \Omega(V)$).</t>
  </si>
  <si>
    <t>https://epubs.siam.org/doi/abs/10.1137/0205051</t>
  </si>
  <si>
    <t>Omega(E)</t>
  </si>
  <si>
    <t>Undirected, Planar MST</t>
  </si>
  <si>
    <t>A minimum spanning tree (MST) or minimum weight spanning tree is a subset of the edges of a connected; edge-weighted undirected graph that connects all the vertices together; without any cycles and with the minimum possible total edge weight. Here, we assume that the graph is planar.</t>
  </si>
  <si>
    <t>Omega(V)</t>
  </si>
  <si>
    <t>Undirected, Integer Weights MST</t>
  </si>
  <si>
    <t>A minimum spanning tree (MST) or minimum weight spanning tree is a subset of the edges of a connected; edge-weighted undirected graph that connects all the vertices together; without any cycles and with the minimum possible total edge weight. Here, we assume that the edges have integer weights, represented in binary.</t>
  </si>
  <si>
    <t>https://www.sciencedirect.com/science/article/pii/S0022000005800649?via%3Dihub</t>
  </si>
  <si>
    <t>Directed (Optimum Branchings), General MST</t>
  </si>
  <si>
    <t>A minimum spanning tree (MST) or minimum weight spanning tree is a subset of the edges of a connected; edge-weighted undirected graph that connects all the vertices together; without any cycles and with the minimum possible total edge weight. Here, we're given a directed graph with a root, and we wish to find a spanning arborescence of minimum weight that is rooted at the root.</t>
  </si>
  <si>
    <t>https://nvlpubs.nist.gov/nistpubs/jres/71b/jresv71bn4p233_a1b.pdf</t>
  </si>
  <si>
    <t>O(E+VlogV)</t>
  </si>
  <si>
    <t>https://link.springer.com/article/10.1007/BF02579168</t>
  </si>
  <si>
    <t>Directed (Optimum Branchings), Super Dense MST</t>
  </si>
  <si>
    <t>A minimum spanning tree (MST) or minimum weight spanning tree is a subset of the edges of a connected; edge-weighted undirected graph that connects all the vertices together; without any cycles and with the minimum possible total edge weight. Here, we're given a directed graph with a root and $E=\Omega(V^2)$ edges, and we wish to find a spanning arborescence of minimum weight that is rooted at the root.</t>
  </si>
  <si>
    <t>https://onlinelibrary.wiley.com/doi/10.1002/net.3230070103</t>
  </si>
  <si>
    <t>Omega(V^2)</t>
  </si>
  <si>
    <t>Closest Pair Problem</t>
  </si>
  <si>
    <t>k-dimensional space, $l_m$ (or $l_\infty$) norm</t>
  </si>
  <si>
    <t xml:space="preserve">Given $n$ points in metric space, typically $k$-dimensional space equipped with $l_m$ (or $l_\infty$) norm, find a pair of points with the smallest distance between them. </t>
  </si>
  <si>
    <t>https://dl.acm.org/citation.cfm?id=540196</t>
  </si>
  <si>
    <t>$n$: number of points
$k$: dimension of space</t>
  </si>
  <si>
    <t>O(kn loglogn+n*3^k) or O(kn logn)</t>
  </si>
  <si>
    <t>Divide-and-conquer or Fortune-Hopcruft algorithm</t>
  </si>
  <si>
    <t>&lt;= has a dynamic version that's worth exploring</t>
  </si>
  <si>
    <t>2-dimensional space, $l_m$ (or $l_\infty$) norm</t>
  </si>
  <si>
    <t xml:space="preserve">Given $n$ points in 2-dimensional space equipped with the $l_m$ (or $l_\infty$) norm, find a pair of points with the smallest distance between them. </t>
  </si>
  <si>
    <t>https://www.sciencedirect.com/science/article/pii/0020019088901500</t>
  </si>
  <si>
    <t>2-dimensional space, Euclidean metric</t>
  </si>
  <si>
    <t xml:space="preserve">Given $n$ points in 2-dimensional space equipped with the Eucildean metric, find a pair of points with the smallest distance between them. </t>
  </si>
  <si>
    <t>https://ieeexplore.ieee.org/document/4567872</t>
  </si>
  <si>
    <t>2-dimensional array representation</t>
  </si>
  <si>
    <t xml:space="preserve">Given $n$ points in 2-dimensional space in array representation, find a pair of points with the smallest distance between them. </t>
  </si>
  <si>
    <t>https://www.sciencedirect.com/science/article/pii/0020019080900356</t>
  </si>
  <si>
    <t>Shortest Path (Directed Graphs)</t>
  </si>
  <si>
    <t>General Weights</t>
  </si>
  <si>
    <t>The shortest path problem is the problem of finding a path between two vertices (or nodes) in a graph such that the sum of the weights of its constituent edges is minimized. Here, the weights can be any real number.</t>
  </si>
  <si>
    <t>https://apps.dtic.mil/sti/pdfs/AD0422842.pdf</t>
  </si>
  <si>
    <t>$V$: number of vertices
$E$: number of edges
$L$: maximum absolute value of edge cost</t>
  </si>
  <si>
    <t>O(ElogL)</t>
  </si>
  <si>
    <t>Nonnegative Weights</t>
  </si>
  <si>
    <t>general weights</t>
  </si>
  <si>
    <t>The shortest path problem is the problem of finding a path between two vertices (or nodes) in a graph such that the sum of the weights of its constituent edges is minimized. Here, the weights are restricted to be nonnegative.</t>
  </si>
  <si>
    <t>https://www.jstor.org/stable/3007178?seq=1#page_scan_tab_contents</t>
  </si>
  <si>
    <t>O(E + V log V)</t>
  </si>
  <si>
    <t>https://www.cs.princeton.edu/courses/archive/fall03/cs528/handouts/fibonacci%20heaps.pdf</t>
  </si>
  <si>
    <t>Nonnegative Integer Weights</t>
  </si>
  <si>
    <t>nonnegative weights</t>
  </si>
  <si>
    <t>The shortest path problem is the problem of finding a path between two vertices (or nodes) in a graph such that the sum of the weights of its constituent edges is minimized. Here, the weights are restricted to be nonnegative integers.</t>
  </si>
  <si>
    <t>https://doi.org/10.1016/0166-218X(83)90104-X</t>
  </si>
  <si>
    <t>O(E + V min(log log V, log log L))</t>
  </si>
  <si>
    <t>https://dl.acm.org/doi/10.1016/j.jcss.2004.04.003</t>
  </si>
  <si>
    <t>Second Shortest Simple Path</t>
  </si>
  <si>
    <t>st-Shortest Path</t>
  </si>
  <si>
    <t>Given a weighted digraph $G=(V,E)$, find the second shortest path between two given vertices $s$ and $t$.</t>
  </si>
  <si>
    <t>Given a weighted digraph $G=(V,E)$, find the shortest path between two given vertices $s$ and $t$.</t>
  </si>
  <si>
    <t>https://arxiv.org/pdf/1703.01638.pdf</t>
  </si>
  <si>
    <t>1-sensitive (3/2)-approximate ss-shortest paths</t>
  </si>
  <si>
    <t>Approximate the single source shortest paths problem within a factor of 3/2 with a sensitivity of 1.</t>
  </si>
  <si>
    <t>2-sensitive (7/5)-approximate st-shortest paths</t>
  </si>
  <si>
    <t>Approximate the st-shortest paths problem within a factor of 7/5 with a sensitivity of 2.</t>
  </si>
  <si>
    <t>1-sensitive decremental st-shortest paths</t>
  </si>
  <si>
    <t>Determine the st-shortest path with a sensitivity of 1 using decremental techniques.</t>
  </si>
  <si>
    <t>2-sensitive decremental st-shortest paths</t>
  </si>
  <si>
    <t>Determine the st-shortest path with a sensitivity of 2 using decremental techniques.</t>
  </si>
  <si>
    <t>Replacement Paths Problem</t>
  </si>
  <si>
    <t>RPP</t>
  </si>
  <si>
    <t>Given nodes $s$ and $t$ in a weighted directed graph and a shortest path $P$ from $s$ to $t$, compute the length of the shortest simple path that avoids edge $e$, for all edges $e$ on $P$</t>
  </si>
  <si>
    <t>All-Pairs Shortest Paths (APSP)</t>
  </si>
  <si>
    <t>APSP</t>
  </si>
  <si>
    <t>All-Pairs Shortest Paths</t>
  </si>
  <si>
    <t>The shortest path problem is the problem of finding a path between two vertices (or nodes) in a graph such that the sum of the weights of its constituent edges is minimized.</t>
  </si>
  <si>
    <t>https://dl.acm.org/doi/10.1145/2591796.2591811</t>
  </si>
  <si>
    <t>$n$: number of vertices
$m$: number of edges</t>
  </si>
  <si>
    <t>APSP on Dense Directed Graphs with Arbitrary Weights</t>
  </si>
  <si>
    <t>In this case, the graph $G=(V,E)$ that we consider is dense ($m = O(n^2)$), is directed, and has arbitrary weights.</t>
  </si>
  <si>
    <t>APSP on Dense Undirected Graphs with Arbitrary Weights</t>
  </si>
  <si>
    <t>In this case, the graph $G=(V,E)$ that we consider is dense ($m = O(n^2)$), is undirected, and has arbitrary weights.</t>
  </si>
  <si>
    <t>APSP on Geometrically Weighted Graphs</t>
  </si>
  <si>
    <t>In this case, the graph $G=(V,E)$ that we consider may be dense or sparse, may be directed or undirected, and has weights from a fixed set of $c$ values.</t>
  </si>
  <si>
    <t>$n$: number of vertices
$m$: number of edges
$c$: number of unique weights</t>
  </si>
  <si>
    <t>APSP on Dense Undirected Graphs with Positive Integer Weights</t>
  </si>
  <si>
    <t>In this case, the graph $G=(V,E)$ that we consider is dense ($m = O(n^2)$), is undirected, and has positive integer weights.</t>
  </si>
  <si>
    <t>APSP on Sparse Directed Graphs with Arbitrary Weights</t>
  </si>
  <si>
    <t>In this case, the graph $G=(V,E)$ that we consider is sparse ($m = O(n)$), is directed, and has arbitrary weights.</t>
  </si>
  <si>
    <t>https://dl.acm.org/doi/10.1145/321992.321993</t>
  </si>
  <si>
    <t>APSP on Sparse Undirected Graphs with Positive Integer Weights</t>
  </si>
  <si>
    <t>In this case, the graph $G=(V,E)$ that we consider is sparse ($m = O(n)$), is undirected, and has positive integer weights.</t>
  </si>
  <si>
    <t>http://citeseerx.ist.psu.edu/viewdoc/download?doi=10.1.1.22.7128&amp;rep=rep1&amp;type=pdf</t>
  </si>
  <si>
    <t>APSP on Sparse Undirected Graphs with Arbitrary Weights</t>
  </si>
  <si>
    <t>In this case, the graph $G=(V,E)$ that we consider is sparse ($m = O(n)$), is undirected, and has arbitrary weights.</t>
  </si>
  <si>
    <t>APSP on Dense Directed Unweighted Graphs</t>
  </si>
  <si>
    <t>In this case, the graph $G=(V,E)$ that we consider is dense ($m = O(n^2)$), is directed, and is unweighted (or equivalently, has all unit weights).</t>
  </si>
  <si>
    <t>https://dl.acm.org/doi/abs/10.1145/567112.567114</t>
  </si>
  <si>
    <t>APSP on Dense Undirected Unweighted Graphs</t>
  </si>
  <si>
    <t>In this case, the graph $G=(V,E)$ that we consider is dense ($m = O(n^2)$), is undirected, and is unweighted (or equivalently, has all unit weights).</t>
  </si>
  <si>
    <t>https://www.sciencedirect.com/science/article/pii/S0022000085710781?via%3Dihub</t>
  </si>
  <si>
    <t>APSP on Sparse Directed Unweighted Graphs</t>
  </si>
  <si>
    <t>In this case, the graph $G=(V,E)$ that we consider is sparse ($m = O(n)$), is directed, and is unweighted (or equivalently, has all unit weights).</t>
  </si>
  <si>
    <t>APSP on Sparse Undirected Unweighted Graphs</t>
  </si>
  <si>
    <t>In this case, the graph $G=(V,E)$ that we consider is sparse ($m = O(n)$), is undirected, and is unweighted (or equivalently, has all unit weights).</t>
  </si>
  <si>
    <t>(5/3)-approximate ap-shortest paths</t>
  </si>
  <si>
    <t>Approximate APSP within a factor of 5/3.</t>
  </si>
  <si>
    <t>Integer Factoring</t>
  </si>
  <si>
    <t>First Category Integer Factoring</t>
  </si>
  <si>
    <t>Given an $n$-bit integer $N$, find a non-trivial factorization $N=pq$ (where $p, q&gt;1$ are integers) or return that $N$ is prime. For "first category" algorithms, the running time depends on the size of smallest prime factor.</t>
  </si>
  <si>
    <t>https://link.springer.com/content/pdf/10.1007/BF01933667.pdf</t>
  </si>
  <si>
    <t>$n$: number of bits in the integer
$B$: bound parameter (if needed)</t>
  </si>
  <si>
    <t>O(exp((1+o(1))(32n/9)^(1/3)(log n)^(2/3)) heuristically?</t>
  </si>
  <si>
    <t>Special Number Field Sieve</t>
  </si>
  <si>
    <t>Smallest Factor</t>
  </si>
  <si>
    <t>Second Category Integer Factoring</t>
  </si>
  <si>
    <t>Given an $n$-bit integer $N$, find a non-trivial factorization $N=pq$ (where $p, q&gt;1$ are integers) or return that $N$ is prime. For "second category" algorithms, the running time depends solely on the size of the integer to be factored</t>
  </si>
  <si>
    <t>https://www.ams.org/journals/mcom/1981-36-153/S0025-5718-1981-0595059-1/home.html</t>
  </si>
  <si>
    <t>$n$: number of bits in the integer</t>
  </si>
  <si>
    <t>O(exp((1+o(1))(64n/9)^(1/3)(log n)^(2/3)) heuristically?</t>
  </si>
  <si>
    <t>General Number Field Sieve</t>
  </si>
  <si>
    <t>https://core.ac.uk/download/pdf/301669364.pdf</t>
  </si>
  <si>
    <t>&lt;= possibly good survey?</t>
  </si>
  <si>
    <t>LU Decomposition</t>
  </si>
  <si>
    <t>Rectangular Matrix LU Decomposition</t>
  </si>
  <si>
    <t>Lower–upper (LU) decomposition or factorization factors a matrix as the product of a lower triangular matrix and an upper triangular matrix. In the general case, the input is an $m \times n$ matrix.</t>
  </si>
  <si>
    <t>https://arxiv.org/abs/math/0506382</t>
  </si>
  <si>
    <t>$m$: number of rows in input matrix
$n$: number of columns in input matrix
$l$: number of columns chosen to use in the decomposition ($l \geq k$)
$k$: desired rank of decomposition</t>
  </si>
  <si>
    <t>mn</t>
  </si>
  <si>
    <t>O(mn)</t>
  </si>
  <si>
    <t>Square Matrix LU Decomposition</t>
  </si>
  <si>
    <t>Lower–upper (LU) decomposition or factorization factors a matrix as the product of a lower triangular matrix and an upper triangular matrix. In this specific case, the input is a square $n \times n$ matrix</t>
  </si>
  <si>
    <t>Informed Search</t>
  </si>
  <si>
    <t>Informed search tries to reduce the amount of search that must be done by making intelligent choices for the nodes that are selected for expansion.</t>
  </si>
  <si>
    <t>https://ieeexplore.ieee.org/stamp/stamp.jsp?tp=&amp;arnumber=4082128</t>
  </si>
  <si>
    <t>$b$: branching factor (the average number of successors per state)
$d$: the depth of the solution (the shortest path)
$n$: total number of nodes</t>
  </si>
  <si>
    <t>d</t>
  </si>
  <si>
    <t>O(d)</t>
  </si>
  <si>
    <t>O(b^d)</t>
  </si>
  <si>
    <t>D* Lite</t>
  </si>
  <si>
    <t>Trivial (there could be a stronger one from APSP?)</t>
  </si>
  <si>
    <t>Robotics</t>
  </si>
  <si>
    <t>String Search</t>
  </si>
  <si>
    <t>Single String Search</t>
  </si>
  <si>
    <t>Single string search algorithms try to find a place where a string (also called a pattern) is found within a larger string or text.</t>
  </si>
  <si>
    <t>http://www.cs.jhu.edu/~misha/ReadingSeminar/Papers/Knuth77.pdf</t>
  </si>
  <si>
    <t>$m$: pattern length
$n$: length of searchable text
$s$: size of the alphabet</t>
  </si>
  <si>
    <t>n+m+s</t>
  </si>
  <si>
    <t>Multiple String Search</t>
  </si>
  <si>
    <t>Multiple string search algorithms try to find a place where one or several strings (also called patterns) are found within a larger string or text.</t>
  </si>
  <si>
    <t>$m$: longest pattern length
$n$: length of searchable text
$s$: size of the alphabet
$k$: number of patterns to search for
$z$: number of matches</t>
  </si>
  <si>
    <t>n+O(km)+s</t>
  </si>
  <si>
    <t>$O(n + m + z)$</t>
  </si>
  <si>
    <t>https://cr.yp.to/bib/1975/aho.pdf</t>
  </si>
  <si>
    <t>Sequence Alignment</t>
  </si>
  <si>
    <t>Edit Distance, constant-size alphabet</t>
  </si>
  <si>
    <t>Given two strings, determine the minimum number of edits required to transform one of the strings into the other. Assume we have a constant-size alphabet.</t>
  </si>
  <si>
    <t>https://doi.org/10.1016/0022-0000(80)90002-1</t>
  </si>
  <si>
    <t>$m,n$: lengths of input strings; assume $m\leq n$</t>
  </si>
  <si>
    <t>O(mn/log^2(n))</t>
  </si>
  <si>
    <t>https://www.sciencedirect.com/science/article/pii/0022000080900021?via%3Dihub</t>
  </si>
  <si>
    <t>Omega((mn)^(1-eps)) for any eps&gt;0</t>
  </si>
  <si>
    <t>Reduction #4</t>
  </si>
  <si>
    <t>Bioinformatics</t>
  </si>
  <si>
    <t>Edit Sequence, constant-size alphabet</t>
  </si>
  <si>
    <t>Given two strings, determine the shortest sequence of edits required to transform one of the strings into the other. Assume we have a constant-size alphabet.</t>
  </si>
  <si>
    <t>Joins</t>
  </si>
  <si>
    <t>An SQL join clause - corresponding to a join operation in relational algebra - combines columns from one or more tables in a relational database.</t>
  </si>
  <si>
    <t>https://www.w3schools.com/sql/sql_join.asp</t>
  </si>
  <si>
    <t>$m,n$: sizes of input tables</t>
  </si>
  <si>
    <t>Databases</t>
  </si>
  <si>
    <t>Line Clipping</t>
  </si>
  <si>
    <t>Rectangular Window</t>
  </si>
  <si>
    <t>Convex Polygonal Window</t>
  </si>
  <si>
    <t>Line clipping is the process of removing lines or portions of lines outside an area of interest. Typically; any line or part thereof which is outside of the viewing area is removed. Here, the viewing area is rectangular.</t>
  </si>
  <si>
    <t>https://dl.acm.org/doi/pdf/10.1145/357332.357333</t>
  </si>
  <si>
    <t>$n$: number of lines</t>
  </si>
  <si>
    <r>
      <rPr>
        <sz val="10.0"/>
      </rPr>
      <t xml:space="preserve">Many, e.g. </t>
    </r>
    <r>
      <rPr>
        <color rgb="FF1155CC"/>
        <sz val="10.0"/>
        <u/>
      </rPr>
      <t>https://dl.acm.org/doi/10.1145/357332.357333</t>
    </r>
  </si>
  <si>
    <t>Convex Polyhedral Window</t>
  </si>
  <si>
    <t>Line clipping is the process of removing lines or portions of lines outside an area of interest. Typically; any line or part thereof which is outside of the viewing area is removed. Here, the viewing area is a convex polygon.</t>
  </si>
  <si>
    <t>https://www.sciencedirect.com/science/article/pii/0097849378900213</t>
  </si>
  <si>
    <t>$n$: number of lines
$p$: number of edges on polygon</t>
  </si>
  <si>
    <t>O(n+p)</t>
  </si>
  <si>
    <t>O(n*log(p))</t>
  </si>
  <si>
    <t>https://www.sciencedirect.com/science/article/pii/0097849394900647/pdf?md5=06bd1f11031af17d1fd34626c4e2f49b&amp;pid=1-s2.0-0097849394900647-main.pdf</t>
  </si>
  <si>
    <t>Omega(n+p)?</t>
  </si>
  <si>
    <t>Line clipping is the process of removing lines or portions of lines outside an area of interest. Typically; any line or part thereof which is outside of the viewing area is removed. Here, the viewing area is a convex polyhedron.</t>
  </si>
  <si>
    <t>$n$: number of lines
$p$: number of faces on polyhedron</t>
  </si>
  <si>
    <t>O(np)</t>
  </si>
  <si>
    <t>https://onlinelibrary.wiley.com/doi/abs/10.1111/1467-8659.1510061</t>
  </si>
  <si>
    <t>NFA to DFA conversion</t>
  </si>
  <si>
    <t>Convert a given nondeterministic finite automota (NFA) to a deterministic finite automota (DFA).</t>
  </si>
  <si>
    <t>https://ieeexplore.ieee.org/document/5392601</t>
  </si>
  <si>
    <t>$n$: number of states in the given NFA</t>
  </si>
  <si>
    <t>Multiplication</t>
  </si>
  <si>
    <t>Multiplication is one of the four elementary mathematical operations of arithmetic; with the others being addition; subtraction and division. Given two $n$-bit integers, compute their product, which should be a $2n$-bit integer.</t>
  </si>
  <si>
    <t>https://mathworld.wolfram.com/Multiplication.html</t>
  </si>
  <si>
    <t>$n$: length of one of the integers, in bits</t>
  </si>
  <si>
    <t>2n</t>
  </si>
  <si>
    <t>https://hal.archives-ouvertes.fr/hal-02070778</t>
  </si>
  <si>
    <t>Maximum Cardinality Matching</t>
  </si>
  <si>
    <t>Bipartite Graph MCM</t>
  </si>
  <si>
    <t>General Graph MCM</t>
  </si>
  <si>
    <t>The goal of maximum cardinality matching is to find a matching with as many edges as possible (equivalently: a matching that covers as many vertices as possible). Here, the graph is bipartite.</t>
  </si>
  <si>
    <t>https://epubs.siam.org/doi/epdf/10.1137/0202019</t>
  </si>
  <si>
    <t>The goal of maximum cardinality matching is to find a matching with as many edges as possible (equivalently: a matching that covers as many vertices as possible). Here, the graph can be any general graph.</t>
  </si>
  <si>
    <t>https://web.eecs.umich.edu/~pettie/matching/Blum-matching-ICALP90.pdf</t>
  </si>
  <si>
    <t>Planar Bipartite Graph Perfect Matching</t>
  </si>
  <si>
    <t>The goal of maximum cardinality matching is to find a matching with as many edges as possible (equivalently: a matching that covers as many vertices as possible). Here, the graph is a planar bipartite graph.</t>
  </si>
  <si>
    <t>http://theory.stanford.edu/~virgi/cs267/papers/planar-sssp.pdf</t>
  </si>
  <si>
    <t>Key Exchange</t>
  </si>
  <si>
    <t>Key exchange (also key establishment) is a method in cryptography by which cryptographic keys are exchanged between two parties, allowing use of a cryptographic algorithm.</t>
  </si>
  <si>
    <t>https://caislab.kaist.ac.kr/lecture/2010/spring/cs548/basic/B08.pdf</t>
  </si>
  <si>
    <t>$n$: maximum size of numbers (prime, parameters, keys), in bits</t>
  </si>
  <si>
    <t>(none)</t>
  </si>
  <si>
    <t>Cryptography</t>
  </si>
  <si>
    <t>Mutual Exclusion</t>
  </si>
  <si>
    <t>Mutual exclusion is a property of concurrency control; which is instituted for the purpose of preventing race conditions.</t>
  </si>
  <si>
    <t>https://dl.acm.org/doi/abs/10.5555/6649</t>
  </si>
  <si>
    <t>$n$: number of processors</t>
  </si>
  <si>
    <t>Operating Systems</t>
  </si>
  <si>
    <t>SDD Systems Solvers</t>
  </si>
  <si>
    <t>Exact Laplacian Solver</t>
  </si>
  <si>
    <t>Symmetric Diagonally Dominant System Solvers</t>
  </si>
  <si>
    <t>This problem refers to solving equations of the form $Lx = b$ where $L$ is a Laplacian of a graph. In other words, this is solving equations of the form $Ax = b$ for a SDD matrix $A$.
This variation of the problem requires an exact solution with no error.</t>
  </si>
  <si>
    <t>https://theory.epfl.ch/vishnoi/Lxb-Web.pdf</t>
  </si>
  <si>
    <t>$n$: dimension of matrix</t>
  </si>
  <si>
    <t>Inexact Laplacian Solver</t>
  </si>
  <si>
    <t>This problem refers to solving equations of the form $Lx = b$ where $L$ is a Laplacian of a graph. In other words, this is solving equations of the form $Ax = b$ for a SDD matrix $A$.
This variation of the problem permits some error.</t>
  </si>
  <si>
    <t>Cycle Detection</t>
  </si>
  <si>
    <t>Cycle Finding; Loop Detection</t>
  </si>
  <si>
    <t>Cycle detection or cycle finding is the algorithmic problem of finding a cycle in a sequence of iterated function values.</t>
  </si>
  <si>
    <t>http://bvicam.in/INDIACom/BJIT/downloads/BIJIT%20-%20Complete%20Issue%2012.pdf#page=25</t>
  </si>
  <si>
    <t>$t_f$: time to perform one evaluation of $f$
$\mu$: the starting index of the cycle
$\lambda$: the period of the cycle
$M$: number of values stored</t>
  </si>
  <si>
    <t>\mu</t>
  </si>
  <si>
    <t>$t_f (\mu + \lambda)(1+\Theta(1/sqrt(M)))$</t>
  </si>
  <si>
    <t>Algorithm #324</t>
  </si>
  <si>
    <t>(\mu + \lambda)(1 + 1/(M-1))</t>
  </si>
  <si>
    <t>https://www.sciencedirect.com/science/article/pii/0304397585900441?via%3Dihub</t>
  </si>
  <si>
    <t>Generating Random Permutations</t>
  </si>
  <si>
    <t>General Permutations</t>
  </si>
  <si>
    <t xml:space="preserve">Given an input string/array, generate a single random permutation of the characters/elements of the string/array. </t>
  </si>
  <si>
    <t>https://dl.acm.org/doi/10.1145/364520.364540</t>
  </si>
  <si>
    <t>$n$: number of elements</t>
  </si>
  <si>
    <t>Durstenfeld's Algorithm 235</t>
  </si>
  <si>
    <t>Cyclic Permutations</t>
  </si>
  <si>
    <t xml:space="preserve">Given an input string/array, generate a single random cyclic permutation of the characters/elements of the string/array. </t>
  </si>
  <si>
    <t>https://www.sciencedirect.com/science/article/pii/0020019086900736</t>
  </si>
  <si>
    <t>Sattolo's algorithm</t>
  </si>
  <si>
    <t>Convex Optimization (Non-linear)</t>
  </si>
  <si>
    <t>Convex optimization is a subfield of mathematical optimization that studies the problem of minimizing convex functions over convex sets.</t>
  </si>
  <si>
    <t>https://web.stanford.edu/~boyd/cvxbook/bv_cvxbook.pdf</t>
  </si>
  <si>
    <t>Gröbner Bases</t>
  </si>
  <si>
    <t>In mathematics, and more specifically in computer algebra, computational algebraic geometry, and computational commutative algebra, a Gröbner basis is a particular kind of generating set of an ideal in a polynomial ring $K[x_1, \ldots ,x_n]$ over a field $K$. As an algorithmic problem, given a set of polynomials in $K[x_1, \ldots,x_n]$, determine a Gröbner basis.</t>
  </si>
  <si>
    <t>https://dl.acm.org/doi/10.1145/1088216.1088219</t>
  </si>
  <si>
    <t>$n$: number of variables in each polynomial
$d$: maximal total degree of the polynomials</t>
  </si>
  <si>
    <t>(potentially massive)</t>
  </si>
  <si>
    <t>Minimum value in each row of an implicitly-defined totally monotone matrix</t>
  </si>
  <si>
    <t>Given a totally monotone matrix $A$ whose entries $A[i, j]$ are implicitly defined by some function $f(i, j)$ (assume $f$ takes constant time to evaluate for all relevant $(i, j)$), determine the minimum value in each row.</t>
  </si>
  <si>
    <t>https://link.springer.com/article/10.1007/BF01840359</t>
  </si>
  <si>
    <t>$m,n$: dimensions of matrix; assume $m≥n$
possibly uses a function $f$ to define entries; assume evaluation of $f$ takes time $O(1)$</t>
  </si>
  <si>
    <t>O(n(1+log(n/m)))</t>
  </si>
  <si>
    <t>SMAWK algorithm</t>
  </si>
  <si>
    <t>All Permutations</t>
  </si>
  <si>
    <t>Generate all permuttaions of the characters/elements in a string/array.</t>
  </si>
  <si>
    <t>https://doi.org/10.1090/S0025-5718-1963-0159764-2</t>
  </si>
  <si>
    <t>O(n) per permutation, or O(1) if in-situ</t>
  </si>
  <si>
    <t>O(1) per permutation</t>
  </si>
  <si>
    <t>Heap's algorithm, among others</t>
  </si>
  <si>
    <t>Omega(1) per permutation</t>
  </si>
  <si>
    <t>https://dl.acm.org/doi/10.1145/356689.356692</t>
  </si>
  <si>
    <t>&lt;= big survey</t>
  </si>
  <si>
    <t>https://en.wikipedia.org/wiki/Permutation#Generation_with_minimal_changes</t>
  </si>
  <si>
    <t>&lt;= also more here</t>
  </si>
  <si>
    <t>Optimal Binary Search Trees</t>
  </si>
  <si>
    <t>Optimal Binary Search Tree Problem</t>
  </si>
  <si>
    <t>OBST</t>
  </si>
  <si>
    <t>Suppose we are given $n$ keys and the probabilities of accessing each key and those occurring in the gap between two successive keys. The optimal binary search tree problem is to construct a binary search tree on these $n$ keys that minimizes the expected access time.</t>
  </si>
  <si>
    <t>https://doi.org/10.1016/S0304-3975(96)00320-9</t>
  </si>
  <si>
    <t>Approximate OBST</t>
  </si>
  <si>
    <t>Suppose we are given $n$ keys and the probabilities of accessing each key and those occurring in the gap between two successive keys. The approximate optimal binary search tree problem is to construct a binary search tree on these $n$ keys, whose expected access time is within an approximation factor of the optimal time.</t>
  </si>
  <si>
    <t>Huffman Encoding</t>
  </si>
  <si>
    <t>Huffman Tree Problem</t>
  </si>
  <si>
    <t>A related problem to the OBST problem is when there is no order between the keys and there are probabilities associated only with the gaps and the objective is to build a binary tree with minimum expected weighted path length from the root. This is called the Huffman Tree Problem</t>
  </si>
  <si>
    <t>Alphabetic Tree Problem</t>
  </si>
  <si>
    <t>A variant of the OBST problem is when only the gaps have nonzero access probabilities, and is called the optimal alphabetic tree problem.</t>
  </si>
  <si>
    <t>Nash Equilibria</t>
  </si>
  <si>
    <t>2-Player</t>
  </si>
  <si>
    <t>n-player</t>
  </si>
  <si>
    <t>In game theory, the Nash equilibrium, named after the mathematician John Forbes Nash Jr., is a proposed solution of a non-cooperative game involving two or more players in which each player is assumed to know the equilibrium strategies of the other players, and no player has anything to gain by changing only his own strategy. As an algorithmic problem, given the payoff matrices for a bimatrix game, determine a Nash equilibrium.</t>
  </si>
  <si>
    <t>https://dl.acm.org/doi/pdf/10.1145/779928.779933</t>
  </si>
  <si>
    <t>$m,n$: dimensions of payoff matrices</t>
  </si>
  <si>
    <t>O(m+n)</t>
  </si>
  <si>
    <t>https://www.sciencedirect.com/science/article/pii/S0899825606000935?via%3Dihub</t>
  </si>
  <si>
    <t>&lt;= look into this?</t>
  </si>
  <si>
    <t>n-Player</t>
  </si>
  <si>
    <t>Here, given the payoff matrices for an $n$-player game, determine a Nash equilibrium.</t>
  </si>
  <si>
    <t>$n$: number of players</t>
  </si>
  <si>
    <t>Maximum-Weight Matching</t>
  </si>
  <si>
    <t>In computer science, the maximum weight matching problem is the problem of finding, in a weighted graph, a matching in which the sum of weights is maximized. Here, the graph is unrestricted; i.e. can be any general graph.</t>
  </si>
  <si>
    <t>https://ieeexplore.ieee.org/stamp/stamp.jsp?arnumber=1366244</t>
  </si>
  <si>
    <t>$n$: number of vertices
$m$: number of edges
$N$: largest weight magnitude</t>
  </si>
  <si>
    <t>O(mlogN)</t>
  </si>
  <si>
    <t>Bipartite Maximum-Weight Matching</t>
  </si>
  <si>
    <t>In computer science, the maximum weight matching problem is the problem of finding, in a weighted graph, a matching in which the sum of weights is maximized. Here, the graph must be bipartite.</t>
  </si>
  <si>
    <t>https://web.eecs.umich.edu/~pettie/papers/ApproxMWM-JACM.pdf</t>
  </si>
  <si>
    <t>&lt;= has big tables of algorithm runtimes</t>
  </si>
  <si>
    <t>Constructing Eulerian Trails in a Graph</t>
  </si>
  <si>
    <t>In graph theory, an Eulerian trail (or Eulerian path) is a trail in a finite graph that visits every edge exactly once (allowing for revisiting vertices). Similarly, an Eulerian circuit or Eulerian cycle is an Eulerian trail that starts and ends on the same vertex.</t>
  </si>
  <si>
    <t>https://drops.dagstuhl.de/opus/volltexte/2016/6474/pdf/LIPIcs-MFCS-2016-62.pdf</t>
  </si>
  <si>
    <t>Discrete Fourier Transform</t>
  </si>
  <si>
    <t>In mathematics, the discrete Fourier transform (DFT) converts a finite sequence of equally-spaced samples of a function into a same-length sequence of equally-spaced samples of the discrete-time Fourier transform (DTFT), which is a complex-valued function of frequency.</t>
  </si>
  <si>
    <t>https://www.ams.org/journals/mcom/1978-32-141/S0025-5718-1978-0468306-4/S0025-5718-1978-0468306-4.pdf</t>
  </si>
  <si>
    <t>$n$: length of the input data set</t>
  </si>
  <si>
    <t>$O(n)$</t>
  </si>
  <si>
    <t>Signal Processing</t>
  </si>
  <si>
    <t>Line Drawing</t>
  </si>
  <si>
    <t>Given a line segment with endpoints $(x_0, y_0), (x_1, y_1)$ and a discrete graphical medium (like pixel-based displays and printers), draw/approximate the line segment on the medium, potentially with antialiasing.</t>
  </si>
  <si>
    <t>http://www.cs.gettysburg.edu/~ilinkin/courses/Fall-2014/cs373/handouts/papers/gs-fegsd-81.pdf</t>
  </si>
  <si>
    <t>$n$: number of pixels the line goes through</t>
  </si>
  <si>
    <t>(many algorithms, such as this one)</t>
  </si>
  <si>
    <t>Polygon Clipping</t>
  </si>
  <si>
    <t>Polygon Clipping with Arbitrary Clipping Polygon</t>
  </si>
  <si>
    <t>Clipping is an essential part of image synthesis. Traditionally, polygon clipping has been used to clip out the portions of a polygon that lie outside the window of the output device to prevent undesirable effects. In the recent past polygon clipping is used to render 3D images through hidden surface removal and to produce high-quality surface details using techniques such as Beam tracing. Polygon clipping is also used in distributing the objects of a scene to appropriate processors in multiprocessor raytracing systems to improve rendering speeds.</t>
  </si>
  <si>
    <t>https://davis.wpi.edu/~matt/courses/clipping/</t>
  </si>
  <si>
    <t>Polygon Clipping with Convex Clipping Polygon</t>
  </si>
  <si>
    <t>Here, the clipping polygon is restricted to being convex.</t>
  </si>
  <si>
    <t>Shown Surface Determination</t>
  </si>
  <si>
    <t>(3-Dimensional, i.e. project onto a 2D plane)</t>
  </si>
  <si>
    <t>This is the process of identifying what surfaces and parts of surfaces can be seen from a particular viewing angle. Given a set of obstacles in the Euclidean space, two points in the space are said to be visible to each other, if the line segment that joins them does not intersect any obstacles.</t>
  </si>
  <si>
    <t>https://www.cs.drexel.edu/~david/Classes/Papers/p443-newell.pdf</t>
  </si>
  <si>
    <t>$n$: number of polygons
$p$: number of pixels in viewport</t>
  </si>
  <si>
    <t>Omega(n+p)</t>
  </si>
  <si>
    <t>Line Simplification</t>
  </si>
  <si>
    <t>Line simplification is the process of taking a line/curve as represented by a list of points and reducing the number of points needed to accurately represent the given line.</t>
  </si>
  <si>
    <t>https://citeseerx.ist.psu.edu/viewdoc/summary?doi=10.1.1.494.7321</t>
  </si>
  <si>
    <t>$n$: number of points representing the curve/line initially</t>
  </si>
  <si>
    <t>Eigenvalues (Iterative Methods)</t>
  </si>
  <si>
    <t>All Eigenvalues</t>
  </si>
  <si>
    <t>Any Eigenvalue</t>
  </si>
  <si>
    <t>Given an $n \times n$ matrix $A$, find all eigenvalues of $A$.</t>
  </si>
  <si>
    <t>https://mathworld.wolfram.com/Eigenvalue.html#:~:text=Eigenvalues%20are%20a%20special%20set,Marcus%20and%20Minc%201988,%20p.</t>
  </si>
  <si>
    <t>Any Eigenpair</t>
  </si>
  <si>
    <t>Given an $n \times n$ matrix $A$, find any eigenvalue of $A$.</t>
  </si>
  <si>
    <t>All Eigenpairs</t>
  </si>
  <si>
    <t>Given an $n \times n$ matrix $A$, find all eigenpairs (eigenvalues and associated eigenvectors) of $A$.</t>
  </si>
  <si>
    <t>Given an $n \times n$ matrix $A$, find any eigenpair (eigenvalue and associated eigenvector) of $A$.</t>
  </si>
  <si>
    <t>Eigenpair with the Largest Eigenvalue</t>
  </si>
  <si>
    <t>Given an $n \times n$ matrix $A$, find the eigenpair (eigenvalue and associated eigenvector) of $A$ with the largest eigenvalue.</t>
  </si>
  <si>
    <t>Eigenpair closest to mu</t>
  </si>
  <si>
    <t>Given an $n \times n$ matrix $A$, find the eigenpair (eigenvalue and associated eigenvector) of $A$ with the eigenvalue closest to $\mu$.</t>
  </si>
  <si>
    <t>Root Computation</t>
  </si>
  <si>
    <t>General Root Computation</t>
  </si>
  <si>
    <t>Given a real continuous function, compute one of the roots.</t>
  </si>
  <si>
    <t>https://ieeexplore.ieee.org/stamp/stamp.jsp?arnumber=1084580</t>
  </si>
  <si>
    <t>$\epsilon$: (additive) tolerance error
$a, b$: endpoint values, with $b&gt;a$
$n_{max}$: maximum number of iterations</t>
  </si>
  <si>
    <t>n_max</t>
  </si>
  <si>
    <t>Root Computation with continuous first derivative</t>
  </si>
  <si>
    <t>Given a real function with continuous first derivative, compute one of the roots.</t>
  </si>
  <si>
    <t>Nearest Neighbor Search</t>
  </si>
  <si>
    <t>k Nearest Neighbors Search</t>
  </si>
  <si>
    <t>k-NNS</t>
  </si>
  <si>
    <t>Within a dataset of $n$ points, find the $k$ closest points to a specified point.</t>
  </si>
  <si>
    <t>https://dl.acm.org/doi/pdf/10.1145/355744.355745</t>
  </si>
  <si>
    <t>$n$: number of points in dataset
$k$: number of neighbors to find</t>
  </si>
  <si>
    <t>k Approximate Nearest Neighbors Search</t>
  </si>
  <si>
    <t>k-ANNS</t>
  </si>
  <si>
    <t>Within a dataset of $n$ points, find approximately the $k$ closest points to a specified point.</t>
  </si>
  <si>
    <t>https://ieeexplore.ieee.org/document/8594636</t>
  </si>
  <si>
    <t>k-ANNS for a dense 3D map of geometric points</t>
  </si>
  <si>
    <t>Within a dataset of $n$ points in a dense 3D geometric map, find approximately the $k$ closest points to a specified point.</t>
  </si>
  <si>
    <t>Coset Enumeration</t>
  </si>
  <si>
    <t>Coset enumeration programs implement systematic procedures for enumerating the cosets of a subgroup H of finite index in a group G, given a set of defining relations for G and words generating H.</t>
  </si>
  <si>
    <t>https://arxiv.org/pdf/math/9406202.pdf</t>
  </si>
  <si>
    <t>$n$: number of generators
$g$: order of group (possibly exponential in $n$)
$k$: number of relations
$c$: maximum number of generators multiplied together in a relation</t>
  </si>
  <si>
    <t>Maximum Likelihood Parameters</t>
  </si>
  <si>
    <t>In these algorithms, the goal is to estimate hyperparameters using maximum likelihood.</t>
  </si>
  <si>
    <t>https://www.jstor.org/stable/2984875</t>
  </si>
  <si>
    <t>$n$: number of observations in sample
$r$: number of parameters + latent variables</t>
  </si>
  <si>
    <t>O(r)</t>
  </si>
  <si>
    <t>Cardinality Estimation</t>
  </si>
  <si>
    <t>Given a multiset of (possibly hashed) values, estimate the number of distinct elements of the multiset. Of interest is minimizing storage usage.</t>
  </si>
  <si>
    <t>http://algo.inria.fr/flajolet/Publications/FlFuGaMe07.pdf</t>
  </si>
  <si>
    <t>$N$: number of values in multiset
$n$: cardinality of multiset (not known)</t>
  </si>
  <si>
    <t>N</t>
  </si>
  <si>
    <t>O(N)</t>
  </si>
  <si>
    <t>https://oertl.github.io/hyperloglog-sketch-estimation-paper/paper/paper.pdf</t>
  </si>
  <si>
    <t>https://www.vldb.org/pvldb/vol11/p499-harmouch.pdf</t>
  </si>
  <si>
    <t>&lt;= see these for more algos?</t>
  </si>
  <si>
    <t>Register Allocation</t>
  </si>
  <si>
    <t>Local Register Allocation</t>
  </si>
  <si>
    <t>Register allocation is the process of mapping the unlimited number of symbolic registers assumed in the intermediate language into the limited real machine registers.
Local register allocation deals with the allocation of registers in straight-line code segments (http://www.cs.ucr.edu/~gupta/research/Publications/Comp/p370-gupta.pdf).</t>
  </si>
  <si>
    <t>https://citeseerx.ist.psu.edu/viewdoc/download?doi=10.1.1.452.8606&amp;rep=rep1&amp;type=pdf</t>
  </si>
  <si>
    <t>$n$: number of live ranges (the number of candidates to reside in registers)</t>
  </si>
  <si>
    <t>http://web.cs.ucla.edu/~palsberg/course/cs132/linearscan.pdf</t>
  </si>
  <si>
    <t>Global Register Allocation</t>
  </si>
  <si>
    <t>Register allocation is the process of mapping the unlimited number of symbolic registers assumed in the intermediate language into the limited real machine registers.
Global register allocation deals with the allocation of registers in code containing branches (http://www.cs.ucr.edu/~gupta/research/Publications/Comp/p370-gupta.pdf).</t>
  </si>
  <si>
    <t>NP-Complete</t>
  </si>
  <si>
    <t>http://www.cs.ucr.edu/~gupta/research/Publications/Comp/p370-gupta.pdf</t>
  </si>
  <si>
    <t>Voronoi Diagrams</t>
  </si>
  <si>
    <t>Given a set of $n$ points in 2-dimensional space, compute the Voronoi diagram with the $n$ points as seeds.</t>
  </si>
  <si>
    <t>https://www.wias-berlin.de/people/si/course/files/Fortune87-SweepLine-Voronoi.pdf</t>
  </si>
  <si>
    <t>$n$: number of points</t>
  </si>
  <si>
    <t>O(n*log(n))</t>
  </si>
  <si>
    <t>Fortune's algorithm</t>
  </si>
  <si>
    <t>Omega(n*log(n))</t>
  </si>
  <si>
    <t>Reduction from sorting</t>
  </si>
  <si>
    <t>Variance Calculations</t>
  </si>
  <si>
    <t>Given a set of n (real/integer) numbers, compute the variance (sample or population). Of interest is streaming algorithms and numerical stability.</t>
  </si>
  <si>
    <t>http://citeseerx.ist.psu.edu/viewdoc/download?doi=10.1.1.302.7503&amp;rep=rep1&amp;type=pdf</t>
  </si>
  <si>
    <t>$n$: number of values</t>
  </si>
  <si>
    <t>(many algorithms)</t>
  </si>
  <si>
    <t>Topological Sorting</t>
  </si>
  <si>
    <t xml:space="preserve">Given a graph or network, find a topological sorting of the graph. A list in topological order has a special property. Simply expressed: proceeding from element to element along any path in the network, one passes through the list in one direction only. Stated another way, a list in topological order is such that no element appears in it until after all elements appearing on all paths leading to the particular element have been listed. </t>
  </si>
  <si>
    <t>https://dl.acm.org/doi/10.1145/368996.369025</t>
  </si>
  <si>
    <t>DFA Minimization</t>
  </si>
  <si>
    <t>Given a finite deterministic automaton (DFA) from a class $C$ of DFAs, determine its minimal automaton given by the equivalence relation on states.</t>
  </si>
  <si>
    <t>https://www.labri.fr/perso/zeitoun/research/pdf/Almeida-Zeitoun-IPL2008.pdf</t>
  </si>
  <si>
    <t>$n$: number of states
$d$: number of transitions
$k$: size of alphabet</t>
  </si>
  <si>
    <t>O(n + d)</t>
  </si>
  <si>
    <t>Acyclic DFA Minimization</t>
  </si>
  <si>
    <t>Given an acyclic finite deterministic automaton (DFA) from a class $C$ of DFAs, determine its minimal automaton given by the equivalence relation on states.</t>
  </si>
  <si>
    <t>Cyclic Nontrivial SCCs DFA Minimization</t>
  </si>
  <si>
    <t>Given an finite deterministic automaton (DFA) from a class $C$ of DFAs, whose nontrivial SCCs are cyclic, determine its minimal automaton given by the equivalence relation on states.</t>
  </si>
  <si>
    <t>Lowest Common Ancestor</t>
  </si>
  <si>
    <t>Nearest Common Ancestor</t>
  </si>
  <si>
    <t>Given a collection of rooted trees, answer queries of the form, "What is the nearest
common ancestor of vertices $x$ and $y$?"</t>
  </si>
  <si>
    <t>https://www.semanticscholar.org/paper/Fast-Algorithms-for-Finding-Nearest-Common-Harel-Tarjan/8867d059dda279b1aed4a0301e4e46f9daf65174</t>
  </si>
  <si>
    <t>$n$: number of vertices
$m$: number of total number of operations (queries, links, and cuts)</t>
  </si>
  <si>
    <t>Off-Line Lowest Common Ancestor</t>
  </si>
  <si>
    <t>Given a collection of rooted trees, answer queries of the form, "What is the nearest
common ancestor of vertices $x$ and $y$?" In this version of the problem, the collection of trees is static and the entire sequence of queries is specified in advance.</t>
  </si>
  <si>
    <t>Lowest Common Ancestor with Static Trees</t>
  </si>
  <si>
    <t>Given a collection of rooted trees, answer queries of the form, "What is the nearest
common ancestor of vertices $x$ and $y$?" In this version of the problem, the collection of trees is static but the queries are given on-line. That is, each query must be answered before the next one is known.</t>
  </si>
  <si>
    <t>Lowest Common Ancestor with Linking Roots</t>
  </si>
  <si>
    <t>Given a collection of rooted trees, answer queries of the form, "What is the nearest
common ancestor of vertices $x$ and $y$?" In this version of the problem, The queries are given on-line. Interspersed with the queries are on-line commands of the form $link(x, y)$ where $x$ and $y$ are tree roots. The effect of a command $link(x, y)$ is to combine the trees containing $x$ and $y$ by making $x$ the parent of $y$.</t>
  </si>
  <si>
    <t>Lowest Common Ancestor with Linking</t>
  </si>
  <si>
    <t>Given a collection of rooted trees, answer queries of the form, "What is the nearest
common ancestor of vertices $x$ and $y$?" In this version of the problem, the queries are on-line. Interspersed with the queries are on-line commands $link(x, y)$ such that $y$, but not necessarily $x$, is a tree root. The effect of a command $link(x, y)$ is to combine the trees containing $x$ and $y$ by making $x$ the parent of $y$.</t>
  </si>
  <si>
    <t>Lowest Common Ancestors with Linking and Cutting</t>
  </si>
  <si>
    <t>Given a collection of rooted trees, answer queries of the form, "What is the nearest
common ancestor of vertices $x$ and $y$?" In this version of the problem, the queries are on-line. Interspersed with the queries are on-line commands of two types: $link(x, y)$, where $y$ but not necessarily $x$ is a tree root, and $cut (x)$, where $x$ is not a root. The effect of a command $link(x, y)$ is to combine the trees containing $x$ and $y$ by making $x$ the parent of $y$. The effect of a command $cut (x)$ is to cut the edge connecting $x$ and its parent, splitting the tree containing $x$ into two trees: one containing all descendants of $x$ and another containing all nondescendants of $x$.</t>
  </si>
  <si>
    <t>Graph Edit Distance Computation</t>
  </si>
  <si>
    <t>Exact GED</t>
  </si>
  <si>
    <t>GED Computation</t>
  </si>
  <si>
    <t>The GED of two graphs is defined as the minimum cost of an edit path between them, where an edit path is a sequence of edit operations (inserting, deleting, and relabeling vertices or edges) that transforms one graph into another. Exact GED computes the GED exactly.</t>
  </si>
  <si>
    <t>https://www.sciencedirect.com/science/article/am/pii/S095070511830488X</t>
  </si>
  <si>
    <t>$V$: number of vertices in the larger of the two graphs</t>
  </si>
  <si>
    <t>exp(V)</t>
  </si>
  <si>
    <t>NP-Hard</t>
  </si>
  <si>
    <t>Inexact GED</t>
  </si>
  <si>
    <t>The GED of two graphs is defined as the minimum cost of an edit path between them, where an edit path is a sequence of edit operations (inserting, deleting, and relabeling vertices or edges) that transforms one graph into another. Inexact GED computes an answer that is not gauranteed to be the exact GED.</t>
  </si>
  <si>
    <t>Clique Problems</t>
  </si>
  <si>
    <t>Enumerating Maximal Cliques, arbitrary graph</t>
  </si>
  <si>
    <t>A maximal clique (complete subgraph) is a clique that is not contained in any other clique. The goal here is to enumerate such maximal cliques in a given graph.</t>
  </si>
  <si>
    <t>https://dl.acm.org/doi/10.1145/362342.362367</t>
  </si>
  <si>
    <t>O(3^(n/3))</t>
  </si>
  <si>
    <t>k-Clique</t>
  </si>
  <si>
    <t>For a constant $k \geq 3$, the $k$-Clique problem is as follows: given a graph $G = (V, E)$ on $n$ vertices, does $G$ contain $k$ distinct vertices $a_1, \ldots, a_k$ so that for every $(i, j)$, $i \neq j$, $(a_i, a_j ) \in E$? Such a $k$ node graph is called a $k$-clique.</t>
  </si>
  <si>
    <t>https://people.csail.mit.edu/virgi/eccentri.pdf</t>
  </si>
  <si>
    <t>$n$: number of vertices
$m$: number of edges
$k$: size of clique</t>
  </si>
  <si>
    <t>O(n^(k-(3-omega)*floor(k/3)) where omega is the exponent on matrix multiplication</t>
  </si>
  <si>
    <t>https://dml.cz/bitstream/handle/10338.dmlcz/106381/CommentatMathUnivCarol_026-1985-2_22.pdf</t>
  </si>
  <si>
    <t>$\Omega(n^{\omega k / 3 - \epsilon})$ for all $\epsilon &gt; 0$</t>
  </si>
  <si>
    <t>k-Clique Hypothesis</t>
  </si>
  <si>
    <t>Exact k-Clique</t>
  </si>
  <si>
    <t>Given a graph $G = (V, E)$, find a $k$-clique of weight 0.</t>
  </si>
  <si>
    <t>$\Omega(n^{k-o(1)})$</t>
  </si>
  <si>
    <t>Exact k-Clique Hypothesis</t>
  </si>
  <si>
    <t>Min-Weight k-Clique</t>
  </si>
  <si>
    <t>Given a graph $G = (V, E)$, find the $k$-clique of minimum weight.</t>
  </si>
  <si>
    <t>Min-Weight k-Clique Hypothesis</t>
  </si>
  <si>
    <t>Max-Weight k-Clique</t>
  </si>
  <si>
    <t>Given a graph $G = (V, E)$, find the $k$-clique of maximum weight.</t>
  </si>
  <si>
    <t>https://arxiv.org/pdf/1602.05837.pdf</t>
  </si>
  <si>
    <t>Min-Weight k-Clique Hypothesis, negate weights</t>
  </si>
  <si>
    <t>The Traveling-Salesman Problem</t>
  </si>
  <si>
    <t>Minimum TSP</t>
  </si>
  <si>
    <t>TSP</t>
  </si>
  <si>
    <t>In Minimum TSP, you are given a set $C$ of cities and distances between each distinct pair of cities. The goal is to find an ordering or tour of the cities, such that you visit each city exactly once and return to the origin city, that minimizes the length of the tour. This is the typical variation of TSP.</t>
  </si>
  <si>
    <t>https://dl.acm.org/doi/pdf/10.1145/876638.876640</t>
  </si>
  <si>
    <t>$V$: number of cities (nodes)
$E$: number of roads (edges)</t>
  </si>
  <si>
    <t>O(V^2 2^V)</t>
  </si>
  <si>
    <t>Algo #484</t>
  </si>
  <si>
    <t>\Omega(\poly(V))</t>
  </si>
  <si>
    <t>Karp 1972</t>
  </si>
  <si>
    <t>Maximum TSP</t>
  </si>
  <si>
    <t>In Maximum TSP, you are given a set $C$ of cities and distances between each distinct pair of cities. The goal is to find an ordering or tour of the cities, such that you visit each city exactly once and return to the origin city, that maximizes the length of the tour.</t>
  </si>
  <si>
    <t>Approximate TSP</t>
  </si>
  <si>
    <t>Approximate TSP is the problem of finding an approximate answer to Minimum TSP.
In Minimum TSP, you are given a set $C$ of cities and distances between each distinct pair of cities. The goal is to find an ordering or tour of the cities, such that you visit each city exactly once and return to the origin city, that minimizes the length of the tour. This is the typical variation of TSP.</t>
  </si>
  <si>
    <t>https://link.springer.com/chapter/10.1007/978-1-4020-9688-4_3</t>
  </si>
  <si>
    <t>Poisson Problem</t>
  </si>
  <si>
    <t>2-Dimensional Poisson Problem</t>
  </si>
  <si>
    <t>Two-dimensional elliptic partial differential equations</t>
  </si>
  <si>
    <t>Given $f$, solve for $u$ in the 2-dimensional Poisson equation:
$u_{xx} + u_{yy} = f(x,y)$</t>
  </si>
  <si>
    <t>https://dl.acm.org/doi/abs/10.1145/1053379.1053381</t>
  </si>
  <si>
    <t>$n$: dimension of grid (where grid is discretized)</t>
  </si>
  <si>
    <r>
      <rPr/>
      <t xml:space="preserve">Better version: </t>
    </r>
    <r>
      <rPr>
        <color rgb="FF1155CC"/>
        <u/>
      </rPr>
      <t>https://docs.lib.purdue.edu/cgi/viewcontent.cgi?article=1117&amp;context=cstech</t>
    </r>
  </si>
  <si>
    <t>3-Dimensional Poisson Problem</t>
  </si>
  <si>
    <t>Three-dimensional elliptic partial differential equations</t>
  </si>
  <si>
    <t>Given $f$, solve for $u$ in the 3-dimensional Poisson equation:
$u_{xx} + u_{yy} + u_{zz} = f(x,y,z)$</t>
  </si>
  <si>
    <t>Delaunay Triangulation</t>
  </si>
  <si>
    <t>Given a set of points, the Delaunay Triangulation problem is to triangulate the points using the following notion of triangulation.
$AB$ is an edge of the Delaunay triangulation iff there is a circle passing through $A$ and $B$ so that all other points in the point set, $C$, where $C$ is not equal to $A$ or $B$, lie outside the circle. Equivalently, all triangles in the Delaunay triangulation for a set of points will have empty circumscribed circles. That is, no points lie in the interior of any triangle's circumcircle.</t>
  </si>
  <si>
    <t>http://www.geom.uiuc.edu/~samuelp/del_project.html</t>
  </si>
  <si>
    <t>De Novo Genome Assembly</t>
  </si>
  <si>
    <t>De novo sequencing refers to sequencing a novel genome where there is no reference sequence available for alignment. Sequence reads are assembled as contigs, and the coverage quality of de novo sequence data depends on the size and continuity of the contigs (ie, the number of gaps in the data).</t>
  </si>
  <si>
    <t>https://www.illumina.com/techniques/sequencing/dna-sequencing/whole-genome-sequencing/de-novo-sequencing.html</t>
  </si>
  <si>
    <t>$n$: sum of lengths of reads
$f$: number of input sequences</t>
  </si>
  <si>
    <t>The Subset-Sum Problem</t>
  </si>
  <si>
    <t>Subset Sum</t>
  </si>
  <si>
    <t>Given a set $S$ of integers and a target sum $t$, determine whether there is a subset of $S$ that sum to $t$.</t>
  </si>
  <si>
    <t>https://dl.acm.org/doi/pdf/10.1145/3329863</t>
  </si>
  <si>
    <t>$S$: the set of integers
$n$: the number of integers in the set
$n'$: the number of distinct elements in the set
$t$: the target sum
$\sigma$: sum of elements in the set</t>
  </si>
  <si>
    <t>\tilde{O}(min{\sqrt{n'}t, t^{5/4}, σ})</t>
  </si>
  <si>
    <t>Algo #544</t>
  </si>
  <si>
    <t>\Omega(t^{1-\epsilon} 2^{o(n)})</t>
  </si>
  <si>
    <t>Reduction #136</t>
  </si>
  <si>
    <t>Dependency Inference Problem</t>
  </si>
  <si>
    <t>Functional Dependency Inference Problem</t>
  </si>
  <si>
    <t xml:space="preserve">The functional dependency inference problem is to find a cover for the set of functional dependencies that hold in a given relation.
A functional dependency (abbr. FD), $f$, is a statement $f: X \rightarrow Y$ where $X$ and $Y$ are sets of attributes. If $R(X, Y, \ldots)$ is a relation on a set of attributes that contains $X$ and $Y$, then $R$ obeys the FD $f$ if every two tuples of $R$ which have the same projection on $X$ also have the same projection on $Y$. Given $f: X \rightarrow Y$, we say that $f$ is a functional dependency from $X$ to $Y$, that $Y$ is functionally dependent on $X$ or that $X$ functionally determines $Y$. From the definition it follows that for each pair of sets $X$ and $Y$ there is at most one functional dependency from $X$ to $Y$. Therefore, we usually omit the name of the FD and write $X \rightarrow Y$. </t>
  </si>
  <si>
    <t>https://dl.acm.org/doi/pdf/10.1145/509404.509414</t>
  </si>
  <si>
    <t>$n$: number of attributes
$p$: number of tuples/rows/data points</t>
  </si>
  <si>
    <t>O(2^n)</t>
  </si>
  <si>
    <t>https://www.sciencedirect.com/science/article/pii/0166218X92900315</t>
  </si>
  <si>
    <t>Multivalued Dependency Inference Problem</t>
  </si>
  <si>
    <t>The multivalued dependency inference problem is to find a cover for the set of multivalued dependencies that hold in a given relation.
A multivalued dependency (abbr. MVD), $g$, on a set of attributes $U$ is a statement $g: X \rightarrow \rightarrow Y$, where $X$ and $Y$ are subsets of $U$. Let $Z$ be the complement of the union of $X$ and $Y$ in $U$. A relation $R(U)$ obeys the MVD $g: X \rightarrow \rightarrow Y$ if for every $XZ$-value, $xz$, that appears in $R$, we have $Y_R(xz) = Y_R (x)$. In words, the MVD $g$ is valid in $R$ if the set of $Y$-values that appears in $R$ with a given $x$ appears with every combination of $x$ and $z$ in $R$. Thus, this set is a function of $x$ alone and does not depend on the $Z$-values that appear with $x$. Given $g: X \rightarrow \rightarrow Y$, we say that $g$ is a multivalued dependency from $X$ to $Y$ (in the set $U$). As we do for functional dependencies (FD's), here also we usually omit the name $g$ of the MVD and just write $X \rightarrow \rightarrow Y$.</t>
  </si>
  <si>
    <t>O(kn^2)</t>
  </si>
  <si>
    <t>https://doi.org/10.1016/0950-5849(92)90028-N</t>
  </si>
  <si>
    <t>BCNF Decomposition</t>
  </si>
  <si>
    <t>Boyce-Codd Normal Form Decomposition</t>
  </si>
  <si>
    <t>BCNF Decomposition is the problem of decomposing a relation schema into Boyce-Codd normal form (BCNF).
A relation schema $R$ is in Boyce Codd Normal Form (abbr. BCNF) if for all non-trivial FDs $X \rightarrow Y$ in $F^+$, $X$ is a superkey. In extending this notion to database schemas, we must be conscious of the UR-assumption. We say that $R_i = &lt;ATTR_i,F_i&gt;$ is in BCNF if the schema $&lt;ATTR_i, F^+[ATTR_i]&gt;$ is in BCNF, and $D$ is in BCNF if each $R_i$ is.</t>
  </si>
  <si>
    <t>https://www.microsoft.com/en-us/research/uploads/prod/2020/12/WhatDoesBCNFdo-VLDB1980.pdf</t>
  </si>
  <si>
    <t>$n$: size of database?
$k$: number of functional dependencies</t>
  </si>
  <si>
    <t>Decisional BCNF</t>
  </si>
  <si>
    <t>Decisional Boyce-Codd Normal Form</t>
  </si>
  <si>
    <t>Decisional BCNF is the problem of deciding whether or not a relation schema can be turned into Boyce-Codd normal form (BCNF).
A relation schema $R$ is in Boyce Codd Normal Form (abbr. BCNF) if for all non-trivial FDs $X \rightarrow Y$ in $F^+$, $X$ is a superkey. In extending this notion to database schemas, we must be conscious of the UR-assumption. We say that $R_i = &lt;ATTR_i,F_i&gt;$ is in BCNF if the schema $&lt;ATTR_i, F^+[ATTR_i]&gt;$ is in BCNF, and $D$ is in BCNF if each $R_i$ is.</t>
  </si>
  <si>
    <t>https://dl.acm.org/doi/pdf/10.1145/990511.990513</t>
  </si>
  <si>
    <t>4NF Decomposition</t>
  </si>
  <si>
    <t>Fourth Normal Form Decomposition</t>
  </si>
  <si>
    <t>4NF Decomposition is the problem of decomposing a relation schema into fourth normal form (4NF).
A relation schema $R^*$ is in fourth normal form (4NF) if, whenever a nontrivial multivalued dependency $X \rightarrow \rightarrow Y$ holds for $R^*$, then so does the functiunal dependency $X \rightarrow A$ for every column name $A$ of $R^*$. Intuitively all dependencies are the result of keys. In particular a 4NF relation schema can have no nontrivial multivalued dependencies that are not functional dependencies.</t>
  </si>
  <si>
    <t>https://dl.acm.org/doi/abs/10.1145/320557.320571</t>
  </si>
  <si>
    <t>4NF Decomposition for Functional and Multivalued Dependency Sets</t>
  </si>
  <si>
    <t>4NF Decomposition is the problem of decomposing a relation schema into fourth normal form (4NF). This variation specifies that the input dependency set has only functional and multivalued dependencies.
A relation schema $R^*$ is in fourth normal form (4NF) if, whenever a nontrivial multivalued dependency $X \rightarrow \rightarrow Y$ holds for $R^*$, then so does the functiunal dependency $X \rightarrow A$ for every column name $A$ of $R^*$. Intuitively all dependencies are the result of keys. In particular a 4NF relation schema can have no nontrivial multivalued dependencies that are not functional dependencies.</t>
  </si>
  <si>
    <t>https://www.vldb.org/conf/1983/P186.PDF</t>
  </si>
  <si>
    <t>4NF Decomposition for Conflict-Free Dependency Sets</t>
  </si>
  <si>
    <t>4NF Decomposition is the problem of decomposing a relation schema into fourth normal form (4NF). This variation specifies that the input dependency set is conflict-free.
A relation schema $R^*$ is in fourth normal form (4NF) if, whenever a nontrivial multivalued dependency $X \rightarrow \rightarrow Y$ holds for $R^*$, then so does the functiunal dependency $X \rightarrow A$ for every column name $A$ of $R^*$. Intuitively all dependencies are the result of keys. In particular a 4NF relation schema can have no nontrivial multivalued dependencies that are not functional dependencies.</t>
  </si>
  <si>
    <t>Disk Scheduling</t>
  </si>
  <si>
    <t xml:space="preserve">When disk requests arrive at the disk device, they are queued for service and a disk scheduling algorithm is used to decide which of a waiting queue of disk requests to serve next. </t>
  </si>
  <si>
    <t>https://dl.acm.org/doi/10.1145/98949.99156</t>
  </si>
  <si>
    <t>$n$: number of requests</t>
  </si>
  <si>
    <t>O(n) for schedule, O(1) for seek distance</t>
  </si>
  <si>
    <t>The Vertex Cover Problem</t>
  </si>
  <si>
    <t>VC</t>
  </si>
  <si>
    <t>A vertex cover of a graph $G$ is a set $C$ of vertices such that every edge of $G$ has at least one endpoint in $C$. The vertex cover problem is to find a minimum-size vertex cover in a given graph $G$.</t>
  </si>
  <si>
    <t>https://dl.acm.org/doi/pdf/10.1145/1101821.1101823</t>
  </si>
  <si>
    <t>$n$: number of vertices
$m$: number of edges
$k$: size of vertex cover</t>
  </si>
  <si>
    <t>O(m + n)</t>
  </si>
  <si>
    <t>The Vertex Cover Problem, Degrees Bounded By 3</t>
  </si>
  <si>
    <t>3DVC</t>
  </si>
  <si>
    <t>A vertex cover of a graph $G$ is a set $C$ of vertices such that every edge of $G$ has at least one endpoint in $C$. The vertex cover problem is to find a minimum-size vertex cover in a given graph $G$. This version of the problem is such that the input graph $G$ has all vertices' degree bounded by 3.</t>
  </si>
  <si>
    <t>https://doi.org/10.1002/1097-0037(200007)35:4&lt;253::AID-NET3&gt;3.0.CO;2-K</t>
  </si>
  <si>
    <t>CFG Problems</t>
  </si>
  <si>
    <t>CFG Parsing</t>
  </si>
  <si>
    <t>Given a grammar $G$ and a string $s$, find the parse structure, or analysis, assigned to the string $s$ by the grammar $G$.</t>
  </si>
  <si>
    <t>https://arxiv.org/pdf/cs/0112018.pdf</t>
  </si>
  <si>
    <t>$n$: length of the given string
$|G|$: size of the grammar</t>
  </si>
  <si>
    <t>O(n + |G|)</t>
  </si>
  <si>
    <t>O(n^3)</t>
  </si>
  <si>
    <t>https://link.springer.com/chapter/10.1007%2F978-3-662-21545-6_18</t>
  </si>
  <si>
    <t>CFG Recognition</t>
  </si>
  <si>
    <t>Given a grammar $G$ and a string $s$, determine if the string $s$ can be derived by the grammar $G$.</t>
  </si>
  <si>
    <t>O(n^2.38 * |G|)</t>
  </si>
  <si>
    <t>https://linkinghub.elsevier.com/retrieve/pii/S0022000075800468</t>
  </si>
  <si>
    <t>Finding Frequent Itemsets</t>
  </si>
  <si>
    <t>Finding Association Rules</t>
  </si>
  <si>
    <t>We assume there is a number $s$, called the support threshold. If $I$ is a set of items, the support for $I$ is the number of baskets for which $I$ is a subset. We say $I$ is frequent if its support is $s$ or more</t>
  </si>
  <si>
    <t>http://infolab.stanford.edu/~ullman/mmds/ch6.pdf</t>
  </si>
  <si>
    <t>$n$: total number of transactions (size of database)</t>
  </si>
  <si>
    <t>Data Compression</t>
  </si>
  <si>
    <t>Lossy Compression</t>
  </si>
  <si>
    <t xml:space="preserve">The reduction or ideally elimination of redundancies in the original data to result in smaller required storage space is the goal of every compression scheme. There are two categories of data compression: lossy and lossless.
Lossy compression is achieved by only discarding the redundancies and out of human perception information and getting rid of those extra bits. </t>
  </si>
  <si>
    <t>https://ieeexplore.ieee.org/stamp/stamp.jsp?tp=&amp;arnumber=8708945</t>
  </si>
  <si>
    <t>$n$: number of items in input series of data</t>
  </si>
  <si>
    <t>Lossless Compression</t>
  </si>
  <si>
    <t>The reduction or ideally elimination of redundancies in the original data to result in smaller required storage space is the goal of every compression scheme. There are two categories of data compression: lossy and lossless.
Lossless compression is fully information-preserving and fully reversible.</t>
  </si>
  <si>
    <t>Factorization of Polynomials Over Finite Fields</t>
  </si>
  <si>
    <t>Factor a given polynomial over a finite field into a product of irreducible polynomials.</t>
  </si>
  <si>
    <t>https://ieeexplore.ieee.org/stamp/stamp.jsp?tp=&amp;arnumber=6768643</t>
  </si>
  <si>
    <t>$n$: degree of polynomial
$p$: characteristic of finite field</t>
  </si>
  <si>
    <t>https://www.sciencedirect.com/science/article/abs/pii/0020019090901954</t>
  </si>
  <si>
    <t>Cryptanalysis of Linear Feedback Shift Registers</t>
  </si>
  <si>
    <t>Find the shortest linear feedback shift register that can generate a given finite sequence of digits.</t>
  </si>
  <si>
    <t>https://ieeexplore.ieee.org/stamp/stamp.jsp?tp=&amp;arnumber=1054260</t>
  </si>
  <si>
    <t>$n$: size of input stream</t>
  </si>
  <si>
    <t>Stable Matching Problem</t>
  </si>
  <si>
    <t>Stable Marriage Problem</t>
  </si>
  <si>
    <t>Stable Matching Problem, SMP</t>
  </si>
  <si>
    <t>Stable Roommates Problem</t>
  </si>
  <si>
    <t>Given $n$ men and $n$ women, where each person has ranked all members of the opposite sex in order of preference, marry the men and women together such that there are no two people of opposite sex who would both rather have each other than their current partners. When there are no such pairs of people, the set of marriages is deemed stable.</t>
  </si>
  <si>
    <t>http://www.eecs.harvard.edu/cs286r/courses/fall09/papers/galeshapley.pdf</t>
  </si>
  <si>
    <t>$n$: number of men and number of women</t>
  </si>
  <si>
    <t>http://www.dcs.gla.ac.uk/~davidm/pubs/7981.pdf</t>
  </si>
  <si>
    <t>Almost Stable Marriage Problem</t>
  </si>
  <si>
    <t>The task in the Almost Stable Marriage Problem is to find a matching that minimises the number of unstable edges, but the matching does not have to be a maximum matching.</t>
  </si>
  <si>
    <t>https://arxiv.org/pdf/0812.4893.pdf</t>
  </si>
  <si>
    <t>SRP</t>
  </si>
  <si>
    <t>Given $2n$ participants, each of participant ranks the others in strict order of preference. A matching is a set of $n$ disjoint pairs of participants. A matching $M$ in an instance of SRP is stable if there are no two participants $x$ and $y$, each of whom prefers the other to their partner in $M$. Such a pair is said to block $M$, or to be a blocking pair with respect to $M$.</t>
  </si>
  <si>
    <t>https://doi.org/10.1016/0196-6774(85)90033-1</t>
  </si>
  <si>
    <t>$n$: number of pairs of roommates</t>
  </si>
  <si>
    <t>Boolean d-Attribute Stable Matching</t>
  </si>
  <si>
    <t>SMP in the d-attribute model. In the d-attribute model, we assume that there are d different attributes (e.g. income, height, sense of humor, etc.) with a fixed, possibly objective, ranking of the men for each attribute. Each woman’s preference list is based on a linear combination of the attributes of the men, where each woman can have different weights for each attribute. Some women may care more about, say, height whereas others care more about sense of humor. Men’s preferences are defined analogously.</t>
  </si>
  <si>
    <t>https://arxiv.org/pdf/1510.06452.pdf</t>
  </si>
  <si>
    <t>$n$: number of men and number of women
$d$: number of attributes</t>
  </si>
  <si>
    <t>O(nd)</t>
  </si>
  <si>
    <t>Stable Matching Verification</t>
  </si>
  <si>
    <t>Verify that a given matching is stable, given the preferences</t>
  </si>
  <si>
    <t>Stable Pair Checking</t>
  </si>
  <si>
    <t>Verify that a given pairing is stable, given the preferences</t>
  </si>
  <si>
    <t>Longest Path Problem</t>
  </si>
  <si>
    <t>Longest Path on Interval Graphs</t>
  </si>
  <si>
    <t>The longest path problem is the problem of finding a path of maximum length in a graph.
A graph $G$ is called interval graph if its vertices can be put in a one-to-one correspondence with a family $F$ of intervals on the real line such that two vertices are adjacent in $G$ if and only if the corresponding intervals intersect; $F$ is called an intersection model for $G$.</t>
  </si>
  <si>
    <t>https://link.springer.com/content/pdf/10.1007/s00453-010-9411-3.pdf</t>
  </si>
  <si>
    <t>Maximum Subarray Problem</t>
  </si>
  <si>
    <t>Maximum Subarray</t>
  </si>
  <si>
    <t>Given a $d$-dimensional array $M$ with $n^d$ real-valued entries, find the $d$-dimensional subarray of $M$ which maximizes the sum of the elements it contains.</t>
  </si>
  <si>
    <t>$n$: length of array
$d$: dimensionality of array</t>
  </si>
  <si>
    <t>n^d</t>
  </si>
  <si>
    <t>O(n^d)</t>
  </si>
  <si>
    <t>1D Maximum Subarray</t>
  </si>
  <si>
    <t>Maximum Subsequence</t>
  </si>
  <si>
    <t>Given an array $A$ of length $n$, find $i, j$ with $1\leq i \leq j \leq n$ maximizing $\sum^j_{x=i} A[x]$, that is, find a contiguous subarray of $A$ of maximum sum</t>
  </si>
  <si>
    <t>$n$: length of array</t>
  </si>
  <si>
    <t>Kadane's algorithm</t>
  </si>
  <si>
    <t>must read all of input</t>
  </si>
  <si>
    <t>2D Maximum Subarray</t>
  </si>
  <si>
    <t>Given an $n \times n$ matrix $A$ of integers, find $i, j, k,l \in [n]$ with $i \leq j, k \leq l$ maximizing $\sum^j_{x=i}\sum^l_{y=k}A[x,y]$, that is, find a contiguous subarray of $A$ of maximum sum</t>
  </si>
  <si>
    <t>$n$: dimension of array</t>
  </si>
  <si>
    <t>O(n^3 * ((log log n)/(log n))^(1/2))</t>
  </si>
  <si>
    <t>https://www.sciencedirect.com/science/article/pii/S1571066104003135?via%3Dihub</t>
  </si>
  <si>
    <t>Omega(n^{3-\epsilon})</t>
  </si>
  <si>
    <t>Reduction from APSP</t>
  </si>
  <si>
    <t>Maximum Square Subarray</t>
  </si>
  <si>
    <t>Given an $n \times n$ matrix find a maximum subarray with sides of equal length.</t>
  </si>
  <si>
    <t>Constructing Suffix Trees</t>
  </si>
  <si>
    <t xml:space="preserve">Let $T = t_1 t_2 \cdots t_n, be a string over an alphabet $\Sigma$. Each string $x$ such that $T = uxv$ for some (possibly empty) strings $u$ and $v$ is a substring of $T$, and each string $T_i = t_i \cdots t_n$, where $1 \leq i \leq n + 1$ is a suffix of $T$; in particular, $T_{n+1} = \epsilon$ is the empty suffix. The set of all suffixes of $T$ is denoted $\sigma(T)$. The suffix trie $STrie(T)$ of $T$ is a trie representing $\sigma(T)$.
Suffix tree $STree(T)$ of $T$ is a data structure that represents $STrie(T)$ in space linear in the length $|T|$ of $T$. This is achieved by representing only a subset $Q' \cup \{ \perp \}$ of the states of $STrie(T)$. </t>
  </si>
  <si>
    <t>https://link.springer.com/content/pdf/10.1007/BF01206331.pdf</t>
  </si>
  <si>
    <t>$n$: length of string</t>
  </si>
  <si>
    <t>Ray Tracing</t>
  </si>
  <si>
    <t>Ray tracing is an image rendering technique in which rays are cast from the viewpoint and followed as they reflect off of objects in the scene.</t>
  </si>
  <si>
    <t>https://graphics.stanford.edu/courses/Appel.pdf</t>
  </si>
  <si>
    <t>Entity Resolution</t>
  </si>
  <si>
    <t>ER</t>
  </si>
  <si>
    <t>Entity resolution (ER) is the problem of matching records that represent the same real-world entity and then merging the matching records. ER is a well known problem that arises in many applications. An exhaustive ER process involves comparing all the pairs of records, which can be very expensive for large datasets.</t>
  </si>
  <si>
    <t>https://dl.acm.org/doi/pdf/10.1145/1559845.1559870</t>
  </si>
  <si>
    <t>$n$: number of records
$k$: number of features</t>
  </si>
  <si>
    <t>Longest Palindromic Substring</t>
  </si>
  <si>
    <t>Given a string of length $n$, find the palindromic substrings of maximal length.</t>
  </si>
  <si>
    <t>https://link.springer.com/content/pdf/10.1007/BF01182773.pdf</t>
  </si>
  <si>
    <t>$n$: length of given string</t>
  </si>
  <si>
    <t>O(n) (if outputting multiple substrings, or if outputting the substrings themselves)</t>
  </si>
  <si>
    <t>AST to Code Translation</t>
  </si>
  <si>
    <t>Translate a given abstract syntax tree (AST) into machine-readable code that uses as few registers as possible.</t>
  </si>
  <si>
    <t>https://hillside.net/plop/plop2003/Papers/Jones-ImplementingASTs.pdf</t>
  </si>
  <si>
    <t>$n$: number of nodes in the tree</t>
  </si>
  <si>
    <t>Arithmetic Expression Binary Tree</t>
  </si>
  <si>
    <t>Translate a given arithmetic expression binary tree into machine-readable code that uses as few registers as possible.</t>
  </si>
  <si>
    <t>https://dl.acm.org/doi/10.1145/236114.236117</t>
  </si>
  <si>
    <t>Graph Isomorphism Problem</t>
  </si>
  <si>
    <t>Graph Isomorphism, General Graphs</t>
  </si>
  <si>
    <t>Given two graphs, determine whether they are isomorphic to one another.</t>
  </si>
  <si>
    <t>https://onlinelibrary.wiley.com/doi/pdf/10.1002/jgt.3190010410</t>
  </si>
  <si>
    <t>$n$: number of vertices in the larger graph</t>
  </si>
  <si>
    <t>$O(1)$</t>
  </si>
  <si>
    <t>Graph Isomorphism, Bounded Number of Vertices of Each Color</t>
  </si>
  <si>
    <t>Given two colored graphs with the number of vertices of each color bounded, determine whether they are isomorphic to one another.</t>
  </si>
  <si>
    <t>https://link.springer.com/content/pdf/10.1007/BF02104746.pdf</t>
  </si>
  <si>
    <t>Graph Isomorphism, Trivalent Graphs</t>
  </si>
  <si>
    <t>Given two trivalent graphs (AKA cubic graphs--graphs in which each vertex has degree 3), determine whether they are isomorphic to one another.</t>
  </si>
  <si>
    <t>Graph Isomorphism, Bounded Vertex Valences</t>
  </si>
  <si>
    <t>Given two graphs with the degree of each vertex bounded, determine whether they are isomorphic to one another.</t>
  </si>
  <si>
    <t>Largest Common Subtree</t>
  </si>
  <si>
    <t>LCST</t>
  </si>
  <si>
    <t>Find a largest tree which occurs as a common subgraph in a given collection of trees.</t>
  </si>
  <si>
    <t>https://citeseerx.ist.psu.edu/viewdoc/download?doi=10.1.1.41.4833&amp;rep=rep1&amp;type=pdf</t>
  </si>
  <si>
    <t>$n$: number of vertices in the largest tree in the collection</t>
  </si>
  <si>
    <t>Subtree Isomorphism</t>
  </si>
  <si>
    <t>Determine whether a given tree is contained within another tree.</t>
  </si>
  <si>
    <t>https://dl.acm.org/doi/pdf/10.1145/3093239</t>
  </si>
  <si>
    <t>Graph Realization Problems</t>
  </si>
  <si>
    <t>Digraph Realization Problem</t>
  </si>
  <si>
    <t>Given a sequence $S := (a_1, b_1), \ldots, (a_n, b_n)$ with $a_i, b_i \in \mathbb{Z}_0^+$, does there exist a directed graph (no parallel arcs allowed) with labeled vertex set $V := \{v_1, \ldots , v_n\}$ such that for all $v_i \in V$ indegree and outdegree of $v_i$ match exactly the given numbers $a_i$ and $b_i$, respectively?</t>
  </si>
  <si>
    <t>https://arxiv.org/pdf/1203.3636.pdf</t>
  </si>
  <si>
    <t>$n$: number of degree pairs</t>
  </si>
  <si>
    <t>$O(VE)$</t>
  </si>
  <si>
    <t>https://linkinghub.elsevier.com/retrieve/pii/0012365X7390037X</t>
  </si>
  <si>
    <t>DAG Realization Problem</t>
  </si>
  <si>
    <t>Given a sequence $S := (a_1, b_1), \ldots, (a_n, b_n)$ with $a_i, b_i \in \mathbb{Z}_0^+$, does there exist a directed acyclic graph (DAG) (no parallel arcs allowed) with labeled vertex set $V := \{v_1, \ldots , v_n\}$ such that for all $v_i \in V$ indegree and outdegree of $v_i$ match exactly the given numbers $a_i$ and $b_i$, respectively?</t>
  </si>
  <si>
    <t>https://link.springer.com/chapter/10.1007/978-3-642-30870-3_29</t>
  </si>
  <si>
    <t>Duplicate Elimination</t>
  </si>
  <si>
    <t>Record Linkage; De-Duplication; Instance Identification; Object Identification; Record Matching</t>
  </si>
  <si>
    <t>SQL does not eliminate duplicates implicitly. It allows to enter duplicate values on columns other than candidate key or if did not specified any keys. If the user wants to eliminate duplicate records, he has to use DISTINCT keyword in the query.
Databases, therefore, can have duplicate entries. The problem deals with identifying and removing duplicates from a database.</t>
  </si>
  <si>
    <t>https://doi.org/10.1109/ICMV.2009.43</t>
  </si>
  <si>
    <t>$n$: number of records</t>
  </si>
  <si>
    <t>Hyperbolic Spline Interpolation</t>
  </si>
  <si>
    <t>The problem of restoring complex curves and surfaces from discrete data so that their shape is preserved is called isogeometric interpolation. A very popular tool for solving this problem are hyperbolic splines in tension, which were introduced in 1966 by Schweikert. These splines have smoothness sufficient for many applications; combined with algorithms for the automatic selection of the tension parameters, they adapt well to the given data. Unfortunately, the evaluation of hyperbolic splines is a very difficult problem because of roundoff errors (for small values of the tension parameters) and overflows (for large values of these parameters)._x0000_</t>
  </si>
  <si>
    <t>https://link.springer.com/content/pdf/10.1134/S0965542511050095.pdf</t>
  </si>
  <si>
    <t>Mesh Parameterization</t>
  </si>
  <si>
    <t>Given any two surfaces with similar topology it is possible to compute a one-to-one and onto mapping between them. If one of these surfaces is represented by a triangular mesh, the problem of computing such a mapping is referred to as mesh parameterization.</t>
  </si>
  <si>
    <t>https://dl.acm.org/doi/10.1145/1236246.1236287</t>
  </si>
  <si>
    <t>Maximum Likelihood Methods in Unknown Latent Variables</t>
  </si>
  <si>
    <t>In this problem, the goal is to compute maximum-likelihood estimates when the observations can be viewed as incomplete data.</t>
  </si>
  <si>
    <t>https://www.jstor.org/stable/2984875#metadata_info_tab_contents</t>
  </si>
  <si>
    <t>Statistics</t>
  </si>
  <si>
    <t>Collaborative Filtering</t>
  </si>
  <si>
    <t>Matrix Factorization</t>
  </si>
  <si>
    <t>Collaborative filtering is a technique used in recommendation systems. It analyzes relationships between users and interdependencies among products to identify new user-item associations.
A method of collaborative filtering uses matrix factorization. In its basic form, matrix factorization characterizes both items and users by vectors of factors inferred from item rating patterns.</t>
  </si>
  <si>
    <t>https://doi.org/10.1109/MC.2009.263</t>
  </si>
  <si>
    <t>Feature Detection</t>
  </si>
  <si>
    <t>Corner Detection</t>
  </si>
  <si>
    <t>Conventionally, a corner is defined as the intersection point or the junction point between two or more straight line edges (i.e. edges which have discontinuities along a straight line). Corner detection is the problem of detecting such corners in a given image.</t>
  </si>
  <si>
    <t>https://doi.org/10.1016/0031-3203(90)90118-5</t>
  </si>
  <si>
    <t>Blob Detection</t>
  </si>
  <si>
    <t>The regions or points which have noticeable difference with their surroundings is called blob. Blob detection is the problem of detecting such blobs in a given image.</t>
  </si>
  <si>
    <t>https://ieeexplore.ieee.org/stamp/stamp.jsp?arnumber=7467122</t>
  </si>
  <si>
    <t>Culling</t>
  </si>
  <si>
    <t>Culling is the process of rejecting primitives or objects in their entireity before rendering in the case that they would not be shown in the view, reducing unnecessary computations.</t>
  </si>
  <si>
    <t>https://dl.acm.org/doi/pdf/10.1145/253284.253312</t>
  </si>
  <si>
    <t>Filtering Problem (Stochastic Processes)</t>
  </si>
  <si>
    <t>The filtering problem is to obtain the best linear estimate $\hat{z}_t$ of $z_t$ based on the past observations ($y_s | s\leq t)$. Abstractly, the solution to the problem of filtering corresponds to explicitly computing
$\hat{z}_t = P_t^y(z_t)$
where $P_t^y$ is the projection operator onto the Hilbert space $H_t^y$.</t>
  </si>
  <si>
    <t>https://ieeexplore.ieee.org/abstract/document/506400</t>
  </si>
  <si>
    <t>$n$: number of dimensions in state space</t>
  </si>
  <si>
    <t>Optimal Policies for MDPs</t>
  </si>
  <si>
    <t>In an MDP, a policy is a choice of what action to choose at each state An Optimal Policy is a policy where you are always choosing the action that maximizes the “return”/”utility” of the current state. The problem here is to find such an optimal policy from a given MDP.</t>
  </si>
  <si>
    <t>https://mas.cs.umass.edu/classes/cs683/lectures-2010/Lec13_MDP2-F2010-4up.pdf</t>
  </si>
  <si>
    <t>$n$: number of states</t>
  </si>
  <si>
    <t>The Set-Covering Problem</t>
  </si>
  <si>
    <t>Unweighted Set-Covering</t>
  </si>
  <si>
    <t>Weighted Set-Covering</t>
  </si>
  <si>
    <t>Given a universe $U$, i.e. a set of elements $\{1, 2, \ldots, n\}$, and a collection $S$ of $m$ sets whose union is the universe, identify the smallest sub-collection of $S$ whose union is the universe.</t>
  </si>
  <si>
    <t>https://dl.acm.org/doi/pdf/10.1145/237814.237991</t>
  </si>
  <si>
    <t>$U$: the universe of elements to be covered
$S$: the collection of sets
$n$: number of elements in the universe
$m$: number of sets in the collection
$H(x)$: the $x^{th}$ Harmonic number</t>
  </si>
  <si>
    <t>$\Omega(n^{2-\epsilon}\poly(d))$</t>
  </si>
  <si>
    <t>Hypothesis #9 (#5 in the linked paper)</t>
  </si>
  <si>
    <t>The set-covering problem where each set $s\in S$ is assigned a weight and the goal is to find the minimum weight sub-collection of $S$ that covers the universe.</t>
  </si>
  <si>
    <t>https://www.jstor.org/stable/pdf/3689577.pdf</t>
  </si>
  <si>
    <t>Motif Search</t>
  </si>
  <si>
    <t>Motif search is the problem of identifying motifs, recurring or conserved patterns, in the strings (typically biological sequence data sets).</t>
  </si>
  <si>
    <t>https://bmcbioinformatics.biomedcentral.com/articles/10.1186/1471-2105-8-S7-S21#MOESM6</t>
  </si>
  <si>
    <t>$n$: size of set of input strings
$m$: size of input strings
$k$: length of substrings
$\sigma$: function $V(k, m)$ defined as the number of $k$-mers that are at most $m$ Hamming distance from the motif space</t>
  </si>
  <si>
    <t>$\Omega(n)$</t>
  </si>
  <si>
    <t>Trivial</t>
  </si>
  <si>
    <t>All Maximal Non-Branching Paths in a Graph</t>
  </si>
  <si>
    <t>A node $v$ in a directed graph $G$ is called a 1-in-1-out node if its indegree and outdegree are both equal to 1, i.e., $in(v) = out(v) = 1$.  We can rephrase the definition of a "maximal non-branching path" from the main text as a path whose internal nodes are 1-in-1-out nodes and whose initial and final nodes are not 1-in-1-out nodes.
The problem is to find all maximal non-branching paths in a given graph.</t>
  </si>
  <si>
    <t>https://rosalind.info/problems/ba3m/</t>
  </si>
  <si>
    <t>Link Analysis</t>
  </si>
  <si>
    <t>InDegree Analysis</t>
  </si>
  <si>
    <t>A simple heuristic that can be viewed as the predecessor of all Link Analysis Ranking algorithms is to rank the pages according to their popularity (also referred to as visibility [Marchiori 1997]). The popularity of a page is measured by the number of pages that link to this page. We refer to this algorithm as the InDegree algorithm, since it ranks pages according to their in-degree in the graph $G$. That is, for every node $i$, $a_i = |B(i)|$.</t>
  </si>
  <si>
    <t>https://dl.acm.org/doi/pdf/10.1145/1052934.1052942</t>
  </si>
  <si>
    <t>$n$: number of pages
$m$: number of hyperlinks
$z$: # of topics/categories</t>
  </si>
  <si>
    <t>http://snap.stanford.edu/class/cs224w-readings/borodin05pagerank.pdf</t>
  </si>
  <si>
    <t>https://ipsen.math.ncsu.edu/ps/simax43980.pdf</t>
  </si>
  <si>
    <t>Image Compositing</t>
  </si>
  <si>
    <t>Image compositing is the act of creating a single image from multiple images.</t>
  </si>
  <si>
    <t>https://dl.acm.org/doi/pdf/10.1145/800031.808606</t>
  </si>
  <si>
    <t>Texture Synthesis</t>
  </si>
  <si>
    <t>Given a texture sample, synthesize a new texture that, when perceived by a human observer, appears to be generated by the same underlying stochastic process.</t>
  </si>
  <si>
    <t>https://dl.acm.org/doi/abs/10.1145/344779.345009</t>
  </si>
  <si>
    <t>$n$: number of pixels</t>
  </si>
  <si>
    <t>Distributed Locking Algorithms</t>
  </si>
  <si>
    <t>The purpose of a lock is to ensure that among several nodes that might try to do the same piece of work, only one actually does it (at least only one at a time). That work might be to write some data to a shared storage system, to perform some computation, to call some external API, or suchlike. At a high level, there are two reasons why you might want a lock in a distributed application: for efficiency or for correctness.</t>
  </si>
  <si>
    <t>https://martin.kleppmann.com/2016/02/08/how-to-do-distributed-locking.html</t>
  </si>
  <si>
    <t>$n$: number of clients
$f$: number of files</t>
  </si>
  <si>
    <t>Cyclic Peptide Sequencing Problem</t>
  </si>
  <si>
    <t>CPSP</t>
  </si>
  <si>
    <t>Given an experimental $MS^3$ spectrum $S$, find a cyclic peptide $P$ maximizing the number of shared masses between $S$ and the theoretical spectrum of $P$.</t>
  </si>
  <si>
    <t>https://link.springer.com/content/pdf/10.1007/978-3-540-78839-3_16.pdf</t>
  </si>
  <si>
    <t>$n$: size of peptide, in daltons
$m$: number of elements in experimental spectrum</t>
  </si>
  <si>
    <t>Texture Mapping</t>
  </si>
  <si>
    <t>Diffuse Reflection</t>
  </si>
  <si>
    <t>Texture mapping means the mapping of a function onto a surface in 3D. The domain of the function can be one, two, or three dimensional, and it can be represented by either an array or a mathematical function.
The source image (texture) is mapped onto a surface in 3D object space, which is then mapped to the destination image (screen) by the viewing projection. Texture space is labeled $(u, v)$, object space is labeled $(x_0, y_0, z_0)$, and screen space is labeled $(x, y)$.
Diffuse reflection is the light that is scattered off of the incident surface.</t>
  </si>
  <si>
    <t>https://web.archive.org/web/20100727005751/http://www.cs.berkeley.edu/~ravir/6998/papers/p165-hanrahan.pdf</t>
  </si>
  <si>
    <t>Specular Reflection</t>
  </si>
  <si>
    <t>Texture mapping means the mapping of a function onto a surface in 3D. The domain of the function can be one, two, or three dimensional, and it can be represented by either an array or a mathematical function.
The source image (texture) is mapped onto a surface in 3D object space, which is then mapped to the destination image (screen) by the viewing projection. Texture space is labeled $(u, v)$, object space is labeled $(x_0, y_0, z_0)$, and screen space is labeled $(x, y)$.
Specular reflection is the light that is perfectly reflected off of the incident surface.</t>
  </si>
  <si>
    <t>Point-in-Polygon</t>
  </si>
  <si>
    <t>With a given polygon $P$ and an arbitrary point $q$, determine whether point $q$ is enclosed by the edges of the polygon.</t>
  </si>
  <si>
    <t>https://ir.nctu.edu.tw/bitstream/11536/749/1/A1997WM15100010.pdf</t>
  </si>
  <si>
    <t>$n$: number of edges of polygon</t>
  </si>
  <si>
    <t>Image Segmentation</t>
  </si>
  <si>
    <t>Image segmentation is the division of an image into different regions, each having certain properties. It is the first step of image analysis which aims at either a description of an image or a classification of the image if a class label is meaningful. An example of the former is the description of an office
scene. An example of the latter is the classification of the image of a cancerous cell. Image segmentation is a critical component of an image recognition system because errors in segmentation might propagate to feature extraction and classification.</t>
  </si>
  <si>
    <t>http://www.ttcenter.ir/ArticleFiles/ENARTICLE/3405.pdf</t>
  </si>
  <si>
    <t>Mesh Simplification</t>
  </si>
  <si>
    <t>Given a surface mesh, accurately simplify it so that you may render the mesh accurately with less computing power.</t>
  </si>
  <si>
    <t>http://webdocs.cs.ualberta.ca/~anup/Courses/604_3DTV/Presentation_files/Polygon_Simplification/7.pdf</t>
  </si>
  <si>
    <t>Clock Synchronization in Distributed Systems</t>
  </si>
  <si>
    <t>The difference between the largest and the smallest clock values among all stations in a Mobile Ad Hoc Network (MANET) is called the maximum clock offset. The goal is to minimize the maximum clock offset.</t>
  </si>
  <si>
    <t>https://ieeexplore.ieee.org/stamp/stamp.jsp?tp=&amp;arnumber=4359404</t>
  </si>
  <si>
    <t>$n$: number of nodes in network</t>
  </si>
  <si>
    <t>POMDPs</t>
  </si>
  <si>
    <t>Partially Observable Markov Decision Process</t>
  </si>
  <si>
    <t>At (discrete) time step $t$, the environment is assumed to be in some state $X_t$. The agent then performs an action (control) $A_t$, whereupon the environment (stochastically) changes to a new state $X_{t+1}$. The agent doesn’t see the environment state, but instead receives an observation $Y_t$, which is some (stochastic) function of $X_t$. (If $Y_t = X_t$, the POMDP reduces to a fully observed MDP.) In addition, the agent receives a special observation signal called the reward, $R_t$. The POMDP is characterized by the state transition function $P(X_{t+1}|X_t, A_t)$, the observation function $P(Y_t|X_t, A_{t−1})$, and the reward function $E(R_t|X_t, A_{t−1})$. The goal of the agent is to learn a policy $\pi$ which maps the observation history (trajectory) into an action $A_t$ to maximize $\pi$’s quality or value.</t>
  </si>
  <si>
    <t>https://www.techfak.uni-bielefeld.de/~skopp/Lehre/STdKI_SS10/POMDP_survey.pdf</t>
  </si>
  <si>
    <t>Rasterization</t>
  </si>
  <si>
    <t>Raster-scan displays are most commonly driven by a frame buffer, a memory that stores the color value for every picture element on the screen and refreshes the display continuously. The process of generating these picture clement values from a geometric description of the image is known as rasterization.</t>
  </si>
  <si>
    <t>https://dl.acm.org/doi/abs/10.1145/74333.74370</t>
  </si>
  <si>
    <t>Environment Mapping</t>
  </si>
  <si>
    <t>Reflection Mapping; Illumination Mapping;</t>
  </si>
  <si>
    <t>Texture mapping means the mapping of a function onto a surface in 3D. The domain of the function can be one, two, or three dimensional, and it can be represented by either an array or a mathematical function.
The source image (texture) is mapped onto a surface in 3D object space, which is then mapped to the destination image (screen) by the viewing projection. Texture space is labeled $(u, v)$, object space is labeled $(x_0, y_0, z_0)$, and screen space is labeled $(x, y)$.
Illumination mapping is the mapping of specular or diffuse reflection. It is also known as reflection mapping or environment mapping.</t>
  </si>
  <si>
    <t>https://doi.org/10.1109/MCG.1986.276672</t>
  </si>
  <si>
    <t>Occupancy Grid Mapping</t>
  </si>
  <si>
    <t>OGM</t>
  </si>
  <si>
    <t xml:space="preserve">Assuming a robot's pose is known, generate a occupancy grid mapping of the area. The occupancy grid is a multidimensional random field that maintains stochastic estimates of the occupancy state of the cells in a spatial lattice. To construct a sensor-derived map of the robot’s world, the cell state estimates are obtained by interpreting the incoming range readings using probabilistic sensor models. Bayesian estimation procedures allow the incremental updating of the occupancy grid using readings taken from several sensors over multiple points of view. </t>
  </si>
  <si>
    <t>https://ieeexplore.ieee.org/stamp/stamp.jsp?arnumber=30720</t>
  </si>
  <si>
    <t>SLAM Algorithms</t>
  </si>
  <si>
    <t>Simultaneous localization and mapping (SLAM) is the computational problem of constructing or updating a map of an unknown environment while simultaneously keeping track of an agent's location within it.</t>
  </si>
  <si>
    <t>http://ais.informatik.uni-freiburg.de/teaching/ss12/robotics/slides/12-slam.pdf</t>
  </si>
  <si>
    <t>d-Neighborhood of a String</t>
  </si>
  <si>
    <t>Given a DNA string pattern and an integer $d$, find the collection of strings that are within a $d$-neighborhood of the given pattern. A $d$-neighborhood is the set of all $k$-mers whose Hamming distance from the pattern is at most $d$.</t>
  </si>
  <si>
    <t>https://rosalind.info/problems/ba1n/</t>
  </si>
  <si>
    <t>$n$: length of string
$d$: neighborhood distance threshold
$\sigma$: size of alphabet</t>
  </si>
  <si>
    <t>Maximum Cut</t>
  </si>
  <si>
    <t>Max Cut</t>
  </si>
  <si>
    <t>Given a graph $G=(V, E)$ with edge weights $c_e &gt; 0$ for all $e\in E$, find a cut $\delta(W)$ such that $c(\delta(W)):=\Sigma_{e\in \dela(W)} c_e$ is as large as possible.</t>
  </si>
  <si>
    <t>https://doi.org/10.1016/0167-6377(81)90020-1</t>
  </si>
  <si>
    <t>Wiener Index</t>
  </si>
  <si>
    <t>Minimum Wiener Connector Problem</t>
  </si>
  <si>
    <t>Given a connected graph $G = (V, E)$ and a set $Q \subseteq V$ of query vertices, find a subgraph of $G$ that connects all query vertices and has minimum Wiener index.</t>
  </si>
  <si>
    <t>https://dl.acm.org/doi/10.1145/2723372.2749449</t>
  </si>
  <si>
    <t>$n$: number of vertices
$m$: number of edges
$q$: number of query vertices</t>
  </si>
  <si>
    <t>O(n+m)</t>
  </si>
  <si>
    <t>$\tilde{O}(qm) for an O(1)-approximation</t>
  </si>
  <si>
    <t>Undirected Wiener Index</t>
  </si>
  <si>
    <t>Calculate the sum of the lengths of the shortest paths between all pairs of vertices in an undirected graph (typically in the chemical graph representing the non-hydrogen atoms in the molecule).</t>
  </si>
  <si>
    <t>https://arxiv.org/pdf/1712.08147v2.pdf</t>
  </si>
  <si>
    <t>$n$: number of vertices (number of non-hydrogen atoms in the molecule)</t>
  </si>
  <si>
    <t>Determinant of Matrices with Integer Entries</t>
  </si>
  <si>
    <t>Calculate the determinant of a given matrix with integer matrices. For such matrices, the determinant is also an integer.</t>
  </si>
  <si>
    <t>https://www.ams.org/journals/mcom/1968-22-103/S0025-5718-1968-0226829-0/S0025-5718-1968-0226829-0.pdf</t>
  </si>
  <si>
    <t>Integer Relation</t>
  </si>
  <si>
    <t>Integer Relation Among Reals</t>
  </si>
  <si>
    <t>Given a vector $x \in \mathbb{R}^n$, find an integer relation, i.e. a non-zero vector $m \in \mathbb{Z}^n$ such that $&lt;x, m&gt; = 0$</t>
  </si>
  <si>
    <t>https://epubs.siam.org/doi/pdf/10.1137/0218059</t>
  </si>
  <si>
    <t>$n$: dimensionality of vectors</t>
  </si>
  <si>
    <t>Algo #925</t>
  </si>
  <si>
    <t>Integer Relation Among Integers</t>
  </si>
  <si>
    <t>Given a vector $x \in \mathbb{Z}^n$, find an integer relation, i.e. a non-zero vector $m \in \mathbb{Z}^n$ such that $&lt;x, m&gt; = 0$</t>
  </si>
  <si>
    <t>Sequence-to-Graph Alignment</t>
  </si>
  <si>
    <t>Sequence-To-Graph Alignment</t>
  </si>
  <si>
    <t>Pattern Matching on Hypertext</t>
  </si>
  <si>
    <t>This is pattern matching where you are given a pattern and a hypertext graph. The hypertext model is that the text forms a graph of $N$ nodes and $E$ edges, where a string is stored inside each node, and the edges indicate alternative texts that may follow the current node. The pattern is still a simple string of length $m$. It is also customary to transform this graph into a one-character hypertext, i.e. one where there is exactly one character per node (by converting each node containing a text of length $l$ into a chain of $l$ nodes). This graph has $n$ nodes and $e$ edges (note that $n$ is the text size and $e = n − N + E$).
Additonal notes: (changes are allowed in the query sequence alone) Linear gap penalty?</t>
  </si>
  <si>
    <t>https://doi.org/10.1016/S0304-3975(99)00333-3</t>
  </si>
  <si>
    <t>$N$: number of vertices in original hypertext graph
$E$: number of edges in original hypertext graph
$m$: length of pattern
$n$: number of vertices in converted graph (total text size)
$e$: number of edges in converted graph</t>
  </si>
  <si>
    <t>O(N + E + m)</t>
  </si>
  <si>
    <t>O(n + e)</t>
  </si>
  <si>
    <t>Logarithm Calculations</t>
  </si>
  <si>
    <t>Discrete Logarithm Over Finite Fields</t>
  </si>
  <si>
    <t>Let $F_{p^n}$ denote the finite field of $p^n$ elements, where $p$ is a prime. Let $x$ be a generator for the multiplicative group of $F_{p^n}$. The discrete logarithm problem over $F_{p^n}$ is to compute, for any given nonzero $h \in F_{p^n}$, the least nonnegative integer $e$ such that $x^e=h$. In this context we shall write $e=\log_x h$.</t>
  </si>
  <si>
    <t>https://doi.org/10.1006/inco.1998.2761</t>
  </si>
  <si>
    <t>$n$: number of digits/bits in the order of the finite group</t>
  </si>
  <si>
    <t>Rod-Cutting Problem</t>
  </si>
  <si>
    <t>Given a rod of length $n$, and prices $p_i$ for which one can sell a segment of the rod of length $i$ ($1 \leq i \leq n$), find the splitting of the rod for which one can earn the most money once they sell the rod segments produced.</t>
  </si>
  <si>
    <t>https://web.stanford.edu/class/archive/cs/cs161/cs161.1168/lecture12.pdf</t>
  </si>
  <si>
    <t>$n$: length of rod</t>
  </si>
  <si>
    <t>dynamic programming</t>
  </si>
  <si>
    <t>Self-Balancing Trees Creation</t>
  </si>
  <si>
    <t>Create a self-balancing tree given a list of elements.</t>
  </si>
  <si>
    <t>https://ieeexplore.ieee.org/stamp/stamp.jsp?tp=&amp;arnumber=4567957</t>
  </si>
  <si>
    <t>$n$: size of tree</t>
  </si>
  <si>
    <t>Self-Balancing Trees Insertion</t>
  </si>
  <si>
    <t>Insert a given element into a self-balancing tree.</t>
  </si>
  <si>
    <t>Self-Balancing Trees Deletion</t>
  </si>
  <si>
    <t>Delete a given element from a self-balancing tree.</t>
  </si>
  <si>
    <t>Self-Balancing Trees Search</t>
  </si>
  <si>
    <t>Search for a given element within a self-balancing tree.</t>
  </si>
  <si>
    <t>Transitive Reduction Problem</t>
  </si>
  <si>
    <t>Transitive Reduction Problem of Directed Graphs</t>
  </si>
  <si>
    <t>A directed graph $G^t$ is said to be a transitive reduction of the directed graph $G$ provided that (i) $G$ has a directed path from vertex $u$ to vertex $v$ if and only if $G$ has a directed path from vertex $u$ to vertex $v$, and (ii) there is no graph with fewer arcs than $G^t$ satisfying condition (i). The problem asks to find such a graph $G^t$ for a given digraph $G$.</t>
  </si>
  <si>
    <t>https://epubs.siam.org/doi/pdf/10.1137/0201008</t>
  </si>
  <si>
    <t>O(n^omega) where omega is the exponent on boolean matrix multiplication</t>
  </si>
  <si>
    <t>Easily derived (equal to output size)</t>
  </si>
  <si>
    <t>Change-Making Problem</t>
  </si>
  <si>
    <t>Given an unlimited amount of coins of denominations $c_1, \ldots, c_n$, and a desired sum $S$, find the minimum number of coins necessary to make $S$.</t>
  </si>
  <si>
    <t>https://dl.acm.org/doi/10.1145/321864.321874</t>
  </si>
  <si>
    <t>$n$: number of coin denominations
$S$: sum to be made</t>
  </si>
  <si>
    <t>O(nS)</t>
  </si>
  <si>
    <t>Turnpike Problem</t>
  </si>
  <si>
    <t>Given $n$ points and $\binom{n}{2}$ distances, find each distance's corresponding pair of points.</t>
  </si>
  <si>
    <t>http://hariharan-ramesh.com/ppts/turnpike.pdf</t>
  </si>
  <si>
    <t>O(2^n n \log n)</t>
  </si>
  <si>
    <t>https://sandbox.dodona.be/en/activities/1441444585/description/sKfgfbq-Wnx-ufBY/media/Dakic2000.pdf</t>
  </si>
  <si>
    <t>&lt;= see this reference as well</t>
  </si>
  <si>
    <t>n-Queens Problem</t>
  </si>
  <si>
    <t>Counting Solutions</t>
  </si>
  <si>
    <t>How many ways can one put $n$ queens on an $n \times n$ chessboard so that no two queens attack each other? In other words, how many points can be placed on an $n \times n$ grid so that no two are on the same row, column, or diagonal?</t>
  </si>
  <si>
    <t>https://doi.org/10.1080/00029890.1994.11997004</t>
  </si>
  <si>
    <t>$n$: number of queens, size of chessboard</t>
  </si>
  <si>
    <t>https://dl.acm.org/citation.cfm?id=1243380</t>
  </si>
  <si>
    <t>Constructing Solutions</t>
  </si>
  <si>
    <t>What are all of the ways can one put $n$ queens on an $n \times n$ chessboard so that no two queens attack each other?</t>
  </si>
  <si>
    <t>n-Queens Completion</t>
  </si>
  <si>
    <t>Given an $n \times n$ chessboard that already has $k$ queens on it, complete the board such that there are $n$ queens, all of which cannot attack each other.</t>
  </si>
  <si>
    <t>$n$: size of chessboard
$k$: number of queens given</t>
  </si>
  <si>
    <t>Median String Problem</t>
  </si>
  <si>
    <t>Median String Problem with Unbounded Alphabets</t>
  </si>
  <si>
    <t>Given an unbounded alphabet $\Sigma$, a set $W$ of strings over $\Sigma$, and the Levenshtein distance between strings, find a string over $\Sigma$ that minimizes the sum of distances to the strings of $W$.</t>
  </si>
  <si>
    <t>https://link.springer.com/content/pdf/10.1007/3-540-44888-8_23.pdf</t>
  </si>
  <si>
    <t>$n$: number of strings</t>
  </si>
  <si>
    <t>2^O(n)</t>
  </si>
  <si>
    <t>Median String Problem with Bounded Alphabets</t>
  </si>
  <si>
    <t>Given a bounded alphabet $\Sigma$, a set $W$ of strings over $\Sigma$, and the Levenshtein distance between strings, find a string over $\Sigma$ that minimizes the sum of distances to the strings of $W$.</t>
  </si>
  <si>
    <t>Median String Problem with Binary Alphabets</t>
  </si>
  <si>
    <t>Given a binary alphabet $\Sigma$, a set $W$ of strings over $\Sigma$, and the Levenshtein distance between strings, find a string over $\Sigma$ that minimizes the sum of distances to the strings of $W$.</t>
  </si>
  <si>
    <t>Frequent Words with Mismatches Problem</t>
  </si>
  <si>
    <t>Given two strings, determine the most frequent substring with at most $k$ mismatches, where mismatches are not counted towards the length of the substring.</t>
  </si>
  <si>
    <t>https://academic.oup.com/bioinformatics/article/30/14/2000/2391348</t>
  </si>
  <si>
    <t>$n$: length of string
$k$: length of words
$d$: number of allowed mismatches
$\sigma$: size of alphabet</t>
  </si>
  <si>
    <t>?</t>
  </si>
  <si>
    <t>Tower of Hanoi</t>
  </si>
  <si>
    <t>The Tower of Hanoi puzzle consists of $n$ discs, no two of the same size, stacked on $p \geq 3$ vertical pegs, in such a way that no disc lies on top of a smaller disc. A permissible $move$ is to take the top disc from one of the pegs and move it to one of the other pegs, as long as it is not placed on top of a smaller disc. Initially, they are all stacked on the first peg. The goal is to end up with them all stacked on the last peg.</t>
  </si>
  <si>
    <t>https://www.fmf.uni-lj.si/~klavzar/preprints/topdiscs-scan.pdf</t>
  </si>
  <si>
    <t>$n$: number of discs
$p$: number of pegs</t>
  </si>
  <si>
    <t>The Frequent Words Problem</t>
  </si>
  <si>
    <t>The Frequent $k$-mers Problem</t>
  </si>
  <si>
    <t>Given a string of length $n$ and in input integer $k$, determine the most frequent $k$-mers in the string, i.e. the most frequent words of length $k$.</t>
  </si>
  <si>
    <t>https://bioinformaticsalgorithms.com/data/debugdatasets/replication/FrequentWordsProblem.pdf</t>
  </si>
  <si>
    <t>$n$: length of string
$k$: length of words
$\sigma$: size of alphabet</t>
  </si>
  <si>
    <t>http://bioinformaticsalgorithms.com/data/debugdatasets/replication/FrequentWordsProblem.pdf</t>
  </si>
  <si>
    <t>Integral Equations</t>
  </si>
  <si>
    <t>Fredholm Equations</t>
  </si>
  <si>
    <t>Integral equations are equations where an unknown function appears under an integral sign.
Fredholm equations have both limits of integration fixed, and there are three types of Fredholm equations.</t>
  </si>
  <si>
    <t>https://books.google.com/books?hl=en&amp;lr=&amp;id=JFU0ltx0E68C&amp;oi=fnd&amp;pg=PR3&amp;dq=integral+equations&amp;ots=Kp98jJWIJT&amp;sig=CXobYQkw_g35JhZ6qKjdy7P1idw#v=onepage&amp;q=integral%20equations&amp;f=false</t>
  </si>
  <si>
    <t>Volterra Equations</t>
  </si>
  <si>
    <t>Integral equations are equations where an unknown function appears under an integral sign.
Volterra equations have one limit of integration fixed while the other is a variable.</t>
  </si>
  <si>
    <t>One-Way Hash Functions</t>
  </si>
  <si>
    <t>Keyed Hash Functions</t>
  </si>
  <si>
    <t>A hash function, otherwise known as a one-way hash function, takes an arbitrary message of arbitrary length and creates an output (a hash) of a fixed length. The main characteristics of a cryptographic hash function are that given a message, it is easy to compute the hash; given the hash, it is difficult to compute the message; and that given a message, it is difficult to find a different message that would produce the same hash (this is known as a collision).
A keyed hash function takes a message and a secret key as input and outputs a fixed-length hash.</t>
  </si>
  <si>
    <t>https://doi.org/10.1016/B0-12-227240-4/00054-X</t>
  </si>
  <si>
    <t>n: length of message</t>
  </si>
  <si>
    <t>Unkeyed Hash Functions</t>
  </si>
  <si>
    <t>A hash function, otherwise known as a one-way hash function, takes an arbitrary message of arbitrary length and creates an output (a hash) of a fixed length. The main characteristics of a cryptographic hash function are that given a message, it is easy to compute the hash; given the hash, it is difficult to compute the message; and that given a message, it is difficult to find a different message that would produce the same hash (this is known as a collision).
An unkeyed hash function takes just a message as input and outputs a fixed-length hash.</t>
  </si>
  <si>
    <t>Secret Sharing</t>
  </si>
  <si>
    <t>Secret Sharing is the splitting up of a secret amongst a group such that no individual can learn the entire secret alone, but when a sufficient amount of the group comes together with their parts of the secret, they can reconstruct the secret.</t>
  </si>
  <si>
    <t>https://doi.org/10.1145%2F359168.359176</t>
  </si>
  <si>
    <t>$n$: size of the group the secret is being shared with
$t$: threshold number of players</t>
  </si>
  <si>
    <t>Solutions to Nonlinear Equations</t>
  </si>
  <si>
    <t>Compute the solutions to a given nonlinear equation of the form $f(x) = 0$.</t>
  </si>
  <si>
    <t>https://link.springer.com/content/pdf/10.1007/s11075-006-9015-9.pdf</t>
  </si>
  <si>
    <t>$\epsilon$: (additive) tolerance error
$a, b$: endpoint values, with $b&gt;a$
$n_{max}$: maximum number of iterations$</t>
  </si>
  <si>
    <t>Block Ciphers</t>
  </si>
  <si>
    <t>A block cipher is a pair of functions $E: \{0, 1\}^k \times \{0, 1\}^n \rightarrow \{0, 1\}^n$ and $D: \{0, 1\}^k \times \{0, 1\}^n \rightarrow \{0, 1\}^n$ that encode and decode a length $n$ string with a length $k$ key.</t>
  </si>
  <si>
    <t>https://www.cs.ucdavis.edu/~rogaway/classes/227/spring05/book/main.pdf</t>
  </si>
  <si>
    <t>$n$: text length (block size)
$k$: key length</t>
  </si>
  <si>
    <t>Polynomial Interpolation</t>
  </si>
  <si>
    <t>Given a finite number of points $x_1, \ldots , x_n$, some real constants $y_1, \ldots , y_n$ and a subspace $V$ of $\Pi^d$, find a polynomial $p \in V$, such that
$p(x_j) = y_j$, $j = 1, ... , n$</t>
  </si>
  <si>
    <t>https://link.springer.com/content/pdf/10.1023/A:1018981505752.pdf</t>
  </si>
  <si>
    <t>$n$: number of points
$d$: dimension of space</t>
  </si>
  <si>
    <t>Greatest Common Divisor</t>
  </si>
  <si>
    <t>GCD</t>
  </si>
  <si>
    <t>Let $a_1, \ldots, a_m$ be given nonzero integers. Then $g$ is called the greatest common divisor (GCD) of $a_1, \ldots, a_m$ if and only if it is the largest integer that divides all $a_1, \ldots, a_m$.</t>
  </si>
  <si>
    <t>https://dl.acm.org/doi/pdf/10.1145/321662.321664</t>
  </si>
  <si>
    <t>$n$: sum of number of bits among the integers</t>
  </si>
  <si>
    <t>Interval Scheduling</t>
  </si>
  <si>
    <t>Unweighted Interval Scheduling</t>
  </si>
  <si>
    <t>Given are $n$ intervals of the form $[s_j , f_j)$ with $s_j &lt; f_j$, for $j = 1, \ldots , n$. These intervals are the jobs that require uninterrupted processing during that interval. We will assume (without loss of generality) that the $s_j$’s and the $f_j$’s are nonnegative integers. We say that two intervals (or jobs) overlap if their intersection is nonempty, otherwise they are called disjoint. Further, there are machines. In the basic interval scheduling problem each machine can process at most one job at a time and is always available, i.e. each machine is continuously available in $[0,\infty)$. We assume that, when processed, each job is assigned to a single machine, thus, we do not allow interrupting a job and resuming it on another machine, unless explicitly stated otherwise. The basic interval scheduling problem is now to process all jobs using a minimum number of machines. In other words, find an assignment of jobs to machines such that no two jobs assigned to the same machine overlap while using a minimum number of machines. We call an assignment of (a subset of) the jobs to the machines a schedule.</t>
  </si>
  <si>
    <t>https://onlinelibrary.wiley.com/doi/pdf/10.1002/nav.20231</t>
  </si>
  <si>
    <t>$n$: number of tasks (intervals)
$k$: number of machines (resources)</t>
  </si>
  <si>
    <t>Unweighted Interval Scheduling, Online</t>
  </si>
  <si>
    <t>Given are $n$ intervals of the form $[s_j , f_j)$ with $s_j &lt; f_j$, for $j = 1, \ldots , n$. These intervals are the jobs that require uninterrupted processing during that interval. We will assume (without loss of generality) that the $s_j$’s and the $f_j$’s are nonnegative integers. We say that two intervals (or jobs) overlap if their intersection is nonempty, otherwise they are called disjoint. Further, there are machines. In the basic interval scheduling problem each machine can process at most one job at a time and is always available, i.e. each machine is continuously available in $[0,\infty)$. We assume that, when processed, each job is assigned to a single machine, thus, we do not allow interrupting a job and resuming it on another machine, unless explicitly stated otherwise. The basic interval scheduling problem is now to process all jobs using a minimum number of machines. In other words, find an assignment of jobs to machines such that no two jobs assigned to the same machine overlap while using a minimum number of machines. We call an assignment of (a subset of) the jobs to the machines a schedule.
This is the online version of the problem.</t>
  </si>
  <si>
    <t>Weighted Interval Schedule Maximization Problem (ISMP)</t>
  </si>
  <si>
    <t>Weighted Activity Selection Problem</t>
  </si>
  <si>
    <t>In Weighted Interval Scheduling, each interval has an associated weight. The goal is to maximize the weights of the accepted (and not interrupted) intervals.</t>
  </si>
  <si>
    <t>Deadlock Avoidance</t>
  </si>
  <si>
    <t>A deadlock means that the processing of some parts, once started, cannot finish because each of these parts requests for its advancement some resource(s) currently held by some other part(s) in this set.
In a deadlock avoidance approach, the controller must ensure that the granting of resources to any process will lead to a resulting state which is “safe,” i.e., a state from which all the parts being processed can terminate.</t>
  </si>
  <si>
    <t>https://doi.org/10.1109/TRA.2002.801048</t>
  </si>
  <si>
    <t>$n$: number of processes
$m$: number of resource types</t>
  </si>
  <si>
    <t>Dining Philosophers Problem</t>
  </si>
  <si>
    <t>There are $n$ philosophers numbered 0 through $n-1$, seated around a circle table. Their only problem--besides philosophy--is that the dish served is a very difficult kind of spaghetti, that has to be eaten with two forks. There are two forks next to each plate, so that presents no difficulty: as a consequence, however, no two neighbors may be eating simultaneously. The philosophers' lives consist of an alternation between eating and thinking. The goal is to devise a strategy such that no philosopher is stuck thinking forever and each philosopher may eat at reasonable intervals.</t>
  </si>
  <si>
    <t>https://www.cs.utexas.edu/~EWD/ewd03xx/EWD310.PDF</t>
  </si>
  <si>
    <t>$n$: number of philosophers</t>
  </si>
  <si>
    <t>Page Replacements</t>
  </si>
  <si>
    <t>Offline</t>
  </si>
  <si>
    <t>When page fault occurs during the program execution, operating systems use page replacement algorithms to select a victim page from primary memory and makes room for the required page.</t>
  </si>
  <si>
    <t>https://www.researchgate.net/profile/Gyanendra-Kumar-3/publication/319467661_A_Novel_Longest_Distance_First_Page_Replacement_Algorithm/links/59b209f1aca2728472d14684/A-Novel-Longest-Distance-First-Page-Replacement-Algorithm.pdf</t>
  </si>
  <si>
    <t>$n$: number of page requests
$k$: number of pages able to fit in cache</t>
  </si>
  <si>
    <t>Online</t>
  </si>
  <si>
    <t>Recovery</t>
  </si>
  <si>
    <t>Steal, No-Force</t>
  </si>
  <si>
    <t>Recovery is the process of reverting back to a safe state prior to a system failure.
With a Steal/No-Force policy, the recovery algorithm will write possibly uncommited data to memory, while not forcing all commits to memory.</t>
  </si>
  <si>
    <t>https://dsf.berkeley.edu/jmh/cs186/f02/lecs/lec25_6up.pdf</t>
  </si>
  <si>
    <t>$n$: number of transactions before crash</t>
  </si>
  <si>
    <t>https://dl.acm.org/doi/pdf/10.1145/128765.128770</t>
  </si>
  <si>
    <t>No-Steal, Force</t>
  </si>
  <si>
    <t>Recovery is the process of reverting back to a safe state prior to a system failure.
With a No-Steal/Force policy, the recovery algorithm will never write uncommited data to memory, but will force all commits to memory.</t>
  </si>
  <si>
    <t>Unlike "flat" document collections, the World Wide Web is hypertext and provides considerable auxiliary information on top of the text of the web pages, such as link structure and link text. With link analysis, we take advantage of the link structure of the Web to produce a global "importance" ranking of every web page that helps search engines and users quickly make sense of the vast heterogeneity of the World Wide Web.</t>
  </si>
  <si>
    <t>http://ilpubs.stanford.edu:8090/422/1/1999-66.pdf</t>
  </si>
  <si>
    <t>Graph Coloring</t>
  </si>
  <si>
    <t>k-Graph Coloring</t>
  </si>
  <si>
    <t>Graph coloring is a special case of graph labeling; it is an assignment of labels traditionally called "colors" to elements of a graph subject to certain constraints. In this case, the number of colors we have is given as an input.</t>
  </si>
  <si>
    <t>https://www.sciencedirect.com/science/article/pii/0166218X96000960/pdf?md5=0a6c305277dd00a5e798cf731f79731e&amp;pid=1-s2.0-0166218X96000960-main.pdf</t>
  </si>
  <si>
    <t>$n$: number of vertices
$m$: number of edges
$k$: number of colors given to color the graph</t>
  </si>
  <si>
    <t>O(2^n*poly(n))</t>
  </si>
  <si>
    <t>https://ieeexplore.ieee.org/stamp/stamp.jsp?arnumber=4031392</t>
  </si>
  <si>
    <t>Omega(poly(n))</t>
  </si>
  <si>
    <t>Chromatic Number</t>
  </si>
  <si>
    <t>In this case, we wish to compute the chromatic number of a graph; that is, the smallest number of colors needed to color the graph.</t>
  </si>
  <si>
    <r>
      <rPr/>
      <t xml:space="preserve">Possibly good survey: </t>
    </r>
    <r>
      <rPr>
        <color rgb="FF1155CC"/>
        <u/>
      </rPr>
      <t>https://www.cambridge.org/core/books/topics-in-chromatic-graph-theory/graph-colouring-algorithms/0057166BDF05B304D0D81D6C1EB911B6</t>
    </r>
  </si>
  <si>
    <t>2-Graph Coloring</t>
  </si>
  <si>
    <t>In this case, we wish to determine whether or not a graph is 2-colorable.</t>
  </si>
  <si>
    <t>Any graph traversal algorithm</t>
  </si>
  <si>
    <t>Omega(m+n)</t>
  </si>
  <si>
    <t>3-Graph Coloring</t>
  </si>
  <si>
    <t>In this case, we wish to determine whether or not a graph is 3-colorable.</t>
  </si>
  <si>
    <t>O(1.3289^n)</t>
  </si>
  <si>
    <t>https://www.sciencedirect.com/science/article/pii/S0196677404001117?via%3Dihub</t>
  </si>
  <si>
    <t>4-Graph Coloring</t>
  </si>
  <si>
    <t>In this case, we wish to determine whether or not a graph is 4-colorable.</t>
  </si>
  <si>
    <t>O(1.7272^n)</t>
  </si>
  <si>
    <t>https://link.springer.com/chapter/10.1007/978-3-540-73545-8_9</t>
  </si>
  <si>
    <t>5-Graph Coloring</t>
  </si>
  <si>
    <t>In this case, we wish to determine whether or not a graph is 5-colorable.</t>
  </si>
  <si>
    <t>O((2-eps)^n) for some eps&gt;0</t>
  </si>
  <si>
    <t>https://drops.dagstuhl.de/opus/volltexte/2021/14182/pdf/LIPIcs-ICALP-2021-113.pdf</t>
  </si>
  <si>
    <t>#k-Graph Coloring</t>
  </si>
  <si>
    <t>Chromatic Polynomial</t>
  </si>
  <si>
    <t>In this case, the number of colors we have is given as an input, and we want to determine the number of all possible k-colorings of a graph. In other words, calculate the value of the chromatic polynomial of the graph with input k.</t>
  </si>
  <si>
    <t>http://web.cs.elte.hu/blobs/diplomamunkak/mat/2009/hubai_tamas.pdf</t>
  </si>
  <si>
    <t>#P-hard</t>
  </si>
  <si>
    <t>#2-Graph Coloring</t>
  </si>
  <si>
    <t>In this case, we wish to determine the number of all possible 2-colorings of a graph.</t>
  </si>
  <si>
    <t>#3-Graph Coloring</t>
  </si>
  <si>
    <t>In this case, we wish to determine the number of all possible 3-colorings of a graph.</t>
  </si>
  <si>
    <t>O(1.6262^n)</t>
  </si>
  <si>
    <t>#4-Graph Coloring</t>
  </si>
  <si>
    <t>In this case, we wish to determine the number of all possible 4-colorings of a graph.</t>
  </si>
  <si>
    <t>O(1.9464^n)</t>
  </si>
  <si>
    <t>#5-Graph Coloring</t>
  </si>
  <si>
    <t>In this case, we wish to determine the number of all possible 5-colorings of a graph.</t>
  </si>
  <si>
    <t>Boolean Satisfiability</t>
  </si>
  <si>
    <t>SAT</t>
  </si>
  <si>
    <t>Boolean satisfiability problems involve determining if there is an assignment of variables that satisfies a given boolean formula.</t>
  </si>
  <si>
    <t>https://eprints.soton.ac.uk/265340/1/jpms-wodes08.pdf</t>
  </si>
  <si>
    <t>$n$: number of variables</t>
  </si>
  <si>
    <t>\Omega(\poly(n))</t>
  </si>
  <si>
    <t>Cook-Levin Theorem</t>
  </si>
  <si>
    <t>Conjunctive Normal Form SAT</t>
  </si>
  <si>
    <t>CNF-SAT</t>
  </si>
  <si>
    <t>CNF-SAT restricts the boolean formula to conjunctive normal form (CNF), meaning it is the AND of ORs.</t>
  </si>
  <si>
    <t>https://dl.acm.org/doi/pdf/10.1145/2925416</t>
  </si>
  <si>
    <t>Disjunctive Normal Form SAT</t>
  </si>
  <si>
    <t>DNF-SAT</t>
  </si>
  <si>
    <t>DNF-SAT restricts the boolean formula to disjunctive normal form (DNF), meaning it is the OR of ANDs.</t>
  </si>
  <si>
    <t>https://link.springer.com/content/pdf/10.1007/BF00996269.pdf</t>
  </si>
  <si>
    <t>\poly(n)</t>
  </si>
  <si>
    <t>Trivial--only need one clause to be satisfied</t>
  </si>
  <si>
    <t>1-in-3SAT</t>
  </si>
  <si>
    <t>3SAT</t>
  </si>
  <si>
    <t>1-in-3SAT restricts the boolean formula to CNF with 3 literals per clause and determines whether there is an assignment of variables such that exactly 1 of the 3 literals in each clause is TRUE</t>
  </si>
  <si>
    <t>https://dl.acm.org/doi/pdf/10.1145/800133.804350</t>
  </si>
  <si>
    <t>Schaefer 1978</t>
  </si>
  <si>
    <t>Monotone 1-in-3SAT</t>
  </si>
  <si>
    <t>Monotone 1-in-3SAT is 1-in-3SAT with the restriction that all of the literals in a clause are all positive (note: here, we don't allow clauses to be all negated literals)</t>
  </si>
  <si>
    <t>https://drops.dagstuhl.de/opus/volltexte/2016/6476/pdf/LIPIcs-MFCS-2016-64.pdf</t>
  </si>
  <si>
    <t>Monotone Not-Exactly-1-in-3SAT</t>
  </si>
  <si>
    <t>Monotone Not-Exactly-1-in-3SAT is Monotone 1-in-3SAT, except that rather than exactly one variable in a clause being true, it requires exactly 0, 2, or 3 of the variables in a clause being true</t>
  </si>
  <si>
    <t>https://www.sciencedirect.com/science/article/pii/S1572528613000030</t>
  </si>
  <si>
    <t>All-Equal-SAT</t>
  </si>
  <si>
    <t>All-Equal-SAT restricts the boolean formula to CNF and determines whether there is an assignment of variables such that, for all of the clauses, all literals have the same boolean value</t>
  </si>
  <si>
    <t>Not-All-Equal 3-SAT (NAE 3SAT)</t>
  </si>
  <si>
    <t>NAE 3SAT restricts the boolean formula to CNF with 3 literals per clause and determines whether there is an assignment of variables such that, for none of the clauses, all 3 literals have the same boolean value</t>
  </si>
  <si>
    <t>Monotone Not-All-Equal 3-SAT (Monotone NAE 3SAT)</t>
  </si>
  <si>
    <t>Monotone NAE 3SAT is NAE 3SAT with the restriction that all of the literals in a clause are either all negated or all positive</t>
  </si>
  <si>
    <t>https://doi.org/10.1016/j.tcs.2020.02.010</t>
  </si>
  <si>
    <t>k-SAT</t>
  </si>
  <si>
    <t>k-SAT restricts the boolean formula to CNF with (at most) k literals per clause</t>
  </si>
  <si>
    <t>https://dl.acm.org/doi/pdf/10.1145/3491210?casa_token=9ge17j5R2vAAAAAA:Ex4kBr0hTUo_VEVlcFUJgW3zwfdyUhGW6VyV6IxDUq9eJbxBMa8GPx0dv-AR8xyuyCKk6uie8To</t>
  </si>
  <si>
    <t>$n$: number of variables
$k$: max number of literals per clause
$c$: dependant on $k$</t>
  </si>
  <si>
    <t>O(c^n)</t>
  </si>
  <si>
    <t>PPSZ Algorithm</t>
  </si>
  <si>
    <t>\Omega(2^n)</t>
  </si>
  <si>
    <t>SETH</t>
  </si>
  <si>
    <t>2SAT</t>
  </si>
  <si>
    <t>2-SAT</t>
  </si>
  <si>
    <t>2SAT restricts the boolean formula to CNF with (at most) 2 literals per clause</t>
  </si>
  <si>
    <t>Trivial--Check each x_i and follow implications</t>
  </si>
  <si>
    <t>3-SAT</t>
  </si>
  <si>
    <t>3SAT restricts the boolean formula to CNF with (at most) 3 literals per clause</t>
  </si>
  <si>
    <t>O(1.308^n) (Randomized)</t>
  </si>
  <si>
    <t>Hertli 2014</t>
  </si>
  <si>
    <t>3SAT-5</t>
  </si>
  <si>
    <t>3-SAT-5</t>
  </si>
  <si>
    <t>3SAT-5 is 3SAT with the restriction that each variable occurs in at most 5 clauses</t>
  </si>
  <si>
    <t>https://dl.acm.org/doi/pdf/10.1145/237814.237977</t>
  </si>
  <si>
    <t>Feige-JACM 1998</t>
  </si>
  <si>
    <t>4SAT</t>
  </si>
  <si>
    <t>4-SAT</t>
  </si>
  <si>
    <t>4SAT restricts the boolean formula to CNF with (at most) 4 literals per clause</t>
  </si>
  <si>
    <t>O(1.469^n) (Randomized)</t>
  </si>
  <si>
    <t>Monotone 3SAT</t>
  </si>
  <si>
    <t>Monotone 3SAT is 3SAT with the restriction that all of the literals in a clause are either all negated or all positive</t>
  </si>
  <si>
    <t>https://iccl.inf.tu-dresden.de/w/images/9/9d/Brandt-ECAI-2004.pdf</t>
  </si>
  <si>
    <t>Gold-I&amp;C 1978</t>
  </si>
  <si>
    <t>XOR-SAT</t>
  </si>
  <si>
    <t>XOR-SAT replaces the ORs in CNF with XORs</t>
  </si>
  <si>
    <t>https://doi.org/10.1016/S0166-218X(99)00032-3</t>
  </si>
  <si>
    <t>Gaussian Elimination</t>
  </si>
  <si>
    <t>Horn SAT</t>
  </si>
  <si>
    <t>Horn SAT restricts the boolean formula to the conjunction of Horn clauses, i.e. clauses with at most one positive literal</t>
  </si>
  <si>
    <t>https://doi.org/10.1016/0743-1066(84)90014-1</t>
  </si>
  <si>
    <t>Horn 1951</t>
  </si>
  <si>
    <t>Dual-Horn SAT</t>
  </si>
  <si>
    <t>Dual-Horn SAT restricts the boolean formula to the conjunction of dual-Horn clauses, i.e. clauses with at most one negated literal</t>
  </si>
  <si>
    <t>https://www.sciencedirect.com/science/article/pii/S0304397519300076?via%3Dihub</t>
  </si>
  <si>
    <t>Renamable Horn</t>
  </si>
  <si>
    <t>Renamable Horn asks the question whether or not there exists a subset of variables that can be negated such that the boolean formula is turned into a Horn formula</t>
  </si>
  <si>
    <t>https://doi.org/10.1145%2F322047.322059</t>
  </si>
  <si>
    <t>$n$: number of variables
$m$: number of clauses</t>
  </si>
  <si>
    <t>O(mn^2)</t>
  </si>
  <si>
    <t>Lewis 1978</t>
  </si>
  <si>
    <t>MaxSAT</t>
  </si>
  <si>
    <t>MAX-CNF-SAT</t>
  </si>
  <si>
    <t>Given an instance of SAT represented in Conjunctive Normal Form (CNF), compute an assignment to the variables that maximizes the number of satisfied clauses.</t>
  </si>
  <si>
    <t>Orthogonal Vectors</t>
  </si>
  <si>
    <t>OV</t>
  </si>
  <si>
    <t>2-OV</t>
  </si>
  <si>
    <t>k-OV</t>
  </si>
  <si>
    <t>Given $n$ vectors in $\{0,1\}^{O(\log n)}$, are two of them orthogonal?</t>
  </si>
  <si>
    <t>https://epubs.siam.org/doi/epdf/10.1137/1.9781611975482.2</t>
  </si>
  <si>
    <t>$n$: number of vectors
$d$: dimension of each vector; $d = O(log(n))$ typically</t>
  </si>
  <si>
    <t>$O(n^{2-1/O(d/log(n)))})$</t>
  </si>
  <si>
    <t>https://epubs.siam.org/doi/abs/10.1137/1.9781611974331.ch87</t>
  </si>
  <si>
    <t>\Omega(n^{2-o(1)})</t>
  </si>
  <si>
    <t>2-OV Hypothesis</t>
  </si>
  <si>
    <t>Given $k$ sets of $d$-dimensional vectors $A_1, A_2, \ldots, A_k$, each of size $n$, does there exist $a_1 \in A_1, a_2 \in A_2, \ldots, a_k \in A_k$ such that $a_1 * a_2 * \ldots * a_k = 0$?</t>
  </si>
  <si>
    <t>https://drops.dagstuhl.de/opus/volltexte/2018/9031/pdf/LIPIcs-ICALP-2018-27.pdf</t>
  </si>
  <si>
    <t>$n$: number of vectors per set
$k$: number of sets
$d$: dimension of each vector; $d = omega(log(n))$</t>
  </si>
  <si>
    <t>$O(n^{k-1/O(d/log(n)))})$</t>
  </si>
  <si>
    <t>\Omega(n^{k-o(1)})</t>
  </si>
  <si>
    <t>k-OV Hypothesis</t>
  </si>
  <si>
    <t>3-OV</t>
  </si>
  <si>
    <t>Given 3 sets of $d$-dimensional vectors $A_1, A_2, A_3$, each of size $n$, does there exist $a_1 \in A_1, a_2 \in A_2, a_3 \in A_3$ such that $a_1 * a_2 * a_3 = 0$?</t>
  </si>
  <si>
    <t>$n$: number of vectors per set
$d$: dimension of each vector; $d = omega(log(n))$</t>
  </si>
  <si>
    <t>$O(n^{3-1/O(d/log(n)))})$</t>
  </si>
  <si>
    <t>\Omega(n^{3-o(1)})</t>
  </si>
  <si>
    <t>3-OV Hypothesis</t>
  </si>
  <si>
    <t>Unbalanced OV</t>
  </si>
  <si>
    <t>UOV</t>
  </si>
  <si>
    <t>Let $0 &lt; \alpha \leq 1$. UOV is the OV problem with the specifications that $A$ is of size $n$ and $B$ is of size $m=\Theta(n^\alpha)$ and $d\leq n^{o(1)}$.</t>
  </si>
  <si>
    <t>https://arxiv.org/pdf/1502.01063.pdf</t>
  </si>
  <si>
    <t>$n$: size of $A$
$m$: size of $B$
$d$: dimensionality of vectors</t>
  </si>
  <si>
    <t>\Omega((nm)^{(1-\epsilon)})</t>
  </si>
  <si>
    <t>UOVH</t>
  </si>
  <si>
    <t>Graph Metrics</t>
  </si>
  <si>
    <t>Median</t>
  </si>
  <si>
    <t>Given a graph $G = (V, E)$, determine the median $m$ of the graph, where $m := \min\limits_{v\in V} \sum\limits_{u\in V} d(u, v)$</t>
  </si>
  <si>
    <t>https://doi.org/10.1016/0378-8733(94)00248-9</t>
  </si>
  <si>
    <t>Radius</t>
  </si>
  <si>
    <t>Eccentricity</t>
  </si>
  <si>
    <t>Given a graph $G = (V, E)$, determine the radius $r$ of the graph, i.e. the minimum eccentricity over all of the vertices of the graph</t>
  </si>
  <si>
    <t>Diameter</t>
  </si>
  <si>
    <t>Given a graph $G = (V, E)$, determine the diameter $d$ of the graph, i.e. the maximum eccentricity over all of the vertices of the graph</t>
  </si>
  <si>
    <t>&lt;= has variants</t>
  </si>
  <si>
    <t>Diameter 2 vs 3</t>
  </si>
  <si>
    <t>4/3-Diameter</t>
  </si>
  <si>
    <t>Approximate Diameter</t>
  </si>
  <si>
    <t>Given a graph $G = (V, E)$, distinguish between diameter 2 and diameter 3. In other words, approximate diameter within a factor of $4/3-\epsilon$.</t>
  </si>
  <si>
    <t>https://people.csail.mit.edu/virgi/diam.pdf</t>
  </si>
  <si>
    <t>$n$: number of nodes
$m$: number of edges</t>
  </si>
  <si>
    <t>Diameter 3 vs 7</t>
  </si>
  <si>
    <t>Given a graph $G = (V, E)$, distinguish between diameter 3 and diameter 7. In other words, approximate diameter within a factor of $9/4-\epsilon$.</t>
  </si>
  <si>
    <t>Given a graph $G = (V, E)$, approximate the diameter within a given factor.</t>
  </si>
  <si>
    <t>Decremental Diameter</t>
  </si>
  <si>
    <t>Determine the diameter of a graph decrementally, i.e. by removing edges and querying the resulting graph.</t>
  </si>
  <si>
    <t>1-sensitive (4/3)-approximate decremental diameter</t>
  </si>
  <si>
    <t>1-sensitive decremental diameter</t>
  </si>
  <si>
    <t>Approximate the diameter of a graph decrementally within a factor of 4/3, with a sensativity of 1, i.e. when a single edge is removed.</t>
  </si>
  <si>
    <t>Determine the diameter of a graph decrementally, with a sensativity of 1, i.e. when a single edge is removed.</t>
  </si>
  <si>
    <t>constant sensitivity (4/3)-approximate incremental diameter</t>
  </si>
  <si>
    <t>Approximate the diameter of a graph decrementally within a factor of 4/3, with a constant sensitivity of $K(\epsilon, t)$, i.e. when a $K(\epsilon, t)$ edges are removed.</t>
  </si>
  <si>
    <t>1-sensitive (4/3)-approximate decremental eccentricity</t>
  </si>
  <si>
    <t>Approximate the eccentricity of a graph decrementally within a factor of 4/3, with a sensativity of 1, i.e. when a single edge is removed.</t>
  </si>
  <si>
    <t>Vertex Centrality</t>
  </si>
  <si>
    <t>Given a graph $G = (V, E)$ and a vertex $v \in V$, calculate the eccentricity $\epsilon(v) := \max \limits_{u\in V} d(u, v)$</t>
  </si>
  <si>
    <t>All-Nodes Median Parity</t>
  </si>
  <si>
    <t>Given a graph $G = (V, E)$, compute $Med(v) (\mod 2)$ for all $v\in V$, where $Med(v) := \sum\limits_{w\in V} d(v, w)$</t>
  </si>
  <si>
    <t>https://epubs.siam.org/doi/10.1137/1.9781611973730.112</t>
  </si>
  <si>
    <t>Betweenness Centrality</t>
  </si>
  <si>
    <t>BC</t>
  </si>
  <si>
    <t>Given a graph $G = (V, E)$ and a vertex $v \in V$, calculate the betweenness centrality of vertex $v$ (or the proportion of shortest paths that go through $v$), i.e. $BC(v) := \sum\limits_{s\neq t \neq v \in V} \frac{\sigma_{st}(v)}{\sigma_{st}}$ where $\sigma_{st}(v)$ is the number of shortest paths from $s$ to $t$ that go through $v$ and $\sigma_{st}$ is the number of shortest paths from $s$ to $t$.</t>
  </si>
  <si>
    <t>https://doi.org/10.1137/1.9781611973730.112</t>
  </si>
  <si>
    <t>Approximate Betweenness Centrality</t>
  </si>
  <si>
    <t>Given a graph $G = (V, E)$ and a vertex $v \in V$, approximate the betweenness centrality of vertex $v$</t>
  </si>
  <si>
    <t>Positive Betweenness Centrality</t>
  </si>
  <si>
    <t>Given a graph $G=(V,E)$ and a vertex $v \in V$, determine whether the betweenness centrality of $v$ is positive.</t>
  </si>
  <si>
    <t>Directed All-Nodes Positive Betweenness Centrality</t>
  </si>
  <si>
    <t>Given a directed graph, determine whether the betweenness centrality of all nodes is positive.</t>
  </si>
  <si>
    <t>Undirected All-Nodes Positive Betweenness Centrality</t>
  </si>
  <si>
    <t>Given an undirected graph, determine whether the betweenness centrality of all nodes is positive.</t>
  </si>
  <si>
    <t>Reach Centrality</t>
  </si>
  <si>
    <t>The reach centrality of a node $w$ is the smallest distance $r$ such that any $s-t$ shortest path passing through $w$ has either $s$ or $t$ in the ball of radius $r$ around $w$.</t>
  </si>
  <si>
    <t>https://epubs.siam.org/doi/epdf/10.1137/1.9781611973730.112</t>
  </si>
  <si>
    <t>Directed All-Nodes Reach Centrality</t>
  </si>
  <si>
    <t>The reach centrality of a node $w$ is the smallest distance $r$ such that any $s-t$ shortest path passing through $w$ has either $s$ or $t$ in the ball of radius $r$ around $w$.
Directed All-Nodes Reach Centrality is the version of the problem in a directed graph where you must calculate the reach centrality of each node.</t>
  </si>
  <si>
    <t>Undirected All-Nodes Reach Centrality</t>
  </si>
  <si>
    <t>The reach centrality of a node $w$ is the smallest distance $r$ such that any $s-t$ shortest path passing through $w$ has either $s$ or $t$ in the ball of radius $r$ around $w$.
Undirected All-Nodes Reach Centrality is the version of the problem in an undirected graph where you must calculate the reach centrality of each node.</t>
  </si>
  <si>
    <t>Approximate Reach Centrality</t>
  </si>
  <si>
    <t>The reach centrality of a node $w$ is the smallest distance $r$ such that any $s-t$ shortest path passing through $w$ has either $s$ or $t$ in the ball of radius $r$ around $w$.
Approximate reach centrality is the approximation version of the problem.</t>
  </si>
  <si>
    <t>Graph Triangle Problems</t>
  </si>
  <si>
    <t>Negative Triangle Detection</t>
  </si>
  <si>
    <t>Triangle Detection</t>
  </si>
  <si>
    <t>Given an $n$ node graph $G = (V, E)$ with edge weights $w: E \rightarrow W$, determine whether there is a negative triangle, i.e. three vertices that form a triangle with total edge weights summing to a negative number.</t>
  </si>
  <si>
    <t>Negative Triangle Search</t>
  </si>
  <si>
    <t>Given an $n$ node graph $G = (V, E)$ with edge weights $w: E \rightarrow W$, find a negative triangle, i.e. three vertices that form a triangle with total edge weights summing to a negative number.</t>
  </si>
  <si>
    <t>Negative Triangle Listing</t>
  </si>
  <si>
    <t>Given an $n$ node graph $G = (V, E)$ with edge weights $w: E \rightarrow W$, list the negative triangles, i.e. three vertices that form a triangle with total edge weights summing to a negative number.</t>
  </si>
  <si>
    <t>Nondecreasing Triangle</t>
  </si>
  <si>
    <t>Given a tripartite graph with partitions $I, J, K$ and real edge weights, find a triangle $i \in I, j \in J, k \in K$ such that $w(i, k) \leq w(k, j) \leq w(i, j)$.</t>
  </si>
  <si>
    <t>Minimum Triangle</t>
  </si>
  <si>
    <t>Find the triangle in a graph with minimum weight</t>
  </si>
  <si>
    <t>Triangle in Unweighted Graph</t>
  </si>
  <si>
    <t>Find a triangle in an unweighted graph</t>
  </si>
  <si>
    <t>Determine whether or not there is a triangle in a given graph</t>
  </si>
  <si>
    <t>Triangle Collection*</t>
  </si>
  <si>
    <t>TC*</t>
  </si>
  <si>
    <t>See Definition 3 of reference.</t>
  </si>
  <si>
    <t>https://arxiv.org/abs/1602.06705</t>
  </si>
  <si>
    <t>Metricity</t>
  </si>
  <si>
    <t>Given an $n\times n$ nonnegative matrix $A$, determine whether $A$ defines a metric on $[n]$, that is, that A is symmetric, has 0s on the diagonal, and its entries satisfy the triangle inequality.</t>
  </si>
  <si>
    <t>$n$: dimensionality of matrix</t>
  </si>
  <si>
    <t>Frechet Distance</t>
  </si>
  <si>
    <t xml:space="preserve">Intuitively, the (continuous) Fréchet distance of two curves $P, Q$ is the minimal length of a leash required to connect a dog to its owner, as they walk along $P$ or $Q$, respectively, without backtracking. </t>
  </si>
  <si>
    <t>https://people.mpi-inf.mpg.de/~kbringma/paper/2014FOCS.pdf</t>
  </si>
  <si>
    <t>$n$: length of first curve
$m$: length of second curve</t>
  </si>
  <si>
    <t>m,n</t>
  </si>
  <si>
    <t>Dynamic Time Warping</t>
  </si>
  <si>
    <t>DTW</t>
  </si>
  <si>
    <t>Fix a metric space $(M, d)$. A sequence of points in $M$ is called a curve. Consider two curves $x, y$ of length $n, m (n \geq m)$. We may traverse $x$ and $y$ by starting in their first entries, in any time step advancing to the next entry in $x$ or $y$ or both, and ending in their last entries. The cost of such a traversal is the sum over all points in time of the distance between the current entries. The dynamic time warping distance of $x$ and $y$ is the minimal cost of any traversal.</t>
  </si>
  <si>
    <t>Partial Match</t>
  </si>
  <si>
    <t>In the Partial Match problem, we are given a "database" of $n$ binary strings, and a list of $n$ "queries" which are strings in $\{0,1,?\}^*$. (Here, "?" represents a wildcard.) We say that a query $q=q_1,...,q_d$ matches a string $x=x_1,...,x_d$ if for all $i=1,...,d$, if $q_i$ in $\{0,1\}$ then $q_i = x_i$.
Output: Determine for all $n$ queries, which of them match some string in the database.</t>
  </si>
  <si>
    <t>https://people.csail.mit.edu/virgi/6.s078/lecture6-post.txt</t>
  </si>
  <si>
    <t>$n$: number of binary strings/queries
$d$: length of strings/queries</t>
  </si>
  <si>
    <t>nd</t>
  </si>
  <si>
    <t>$\Omega(n^{2-\epsilon}*\poly(d))$</t>
  </si>
  <si>
    <t>Reduction #9</t>
  </si>
  <si>
    <t>Geometric Incidence Problems</t>
  </si>
  <si>
    <t>3 Points on Line</t>
  </si>
  <si>
    <t>Given a set of points in the plane, is there a line that contains at least three of the points?</t>
  </si>
  <si>
    <t>https://doi.org/10.1016/0925-7721(95)00022-2</t>
  </si>
  <si>
    <t>Point on 3 Lines</t>
  </si>
  <si>
    <t>Given a set of lines in the plane, is there a point that lies on at least three of them?</t>
  </si>
  <si>
    <t>Geometric Separator Problems</t>
  </si>
  <si>
    <t>Separator1</t>
  </si>
  <si>
    <t>Given a set $S$ of $n$ possible half-infinite, closed horizontal line segments, is there a non-horizontal separator?
Separator definition: Given a set $S$ of $n$ objects in the plane, we call a line $l$ a separator of $S$ if $l$ does not intersect any object in $S$ and both halfplanes bounded by $l$ contain a non-empty subset of the objects in $S$.</t>
  </si>
  <si>
    <t>$n$: number of line segments</t>
  </si>
  <si>
    <t>Separator2</t>
  </si>
  <si>
    <t>Given a set $S$ of $n$ closed, non-intersecting (nor touching), axis-parallel line segments, is there a separator?</t>
  </si>
  <si>
    <t>Geometric Covering Problems</t>
  </si>
  <si>
    <t>Strips Cover Box</t>
  </si>
  <si>
    <t>Given a set of strips in the plane, does their union contain a given axis-parallel rectangle?</t>
  </si>
  <si>
    <t>$n$: number of strips</t>
  </si>
  <si>
    <t>Triangles Cover Triangle</t>
  </si>
  <si>
    <t>Given a set of triangles in the plane, does their union contain another given triangle?</t>
  </si>
  <si>
    <t>$n$: number of triangles</t>
  </si>
  <si>
    <t>Hole in Union</t>
  </si>
  <si>
    <t>Given a set of triangles in the plane, does their union contain a hole?</t>
  </si>
  <si>
    <t>Triangle Measure</t>
  </si>
  <si>
    <t>Given a set of triangles in the plane, compute the measure of their union.</t>
  </si>
  <si>
    <t>Point Covering</t>
  </si>
  <si>
    <t>Given a set of $n$ halfplanes and a number $k$, determine whether there is a point $p$ that is covered by at least $k$ of the halfplanes.</t>
  </si>
  <si>
    <t>$n$: number of halfplanes</t>
  </si>
  <si>
    <t>Max-Weight Rectangle</t>
  </si>
  <si>
    <t>Given $n$ weighted points (positive or negative) in $d \geq 2$ dimensions, what is the axis-aligned box which maximizes the total weight of the points it contains?</t>
  </si>
  <si>
    <t>$n$: number of points
$d$: dimensionality of space</t>
  </si>
  <si>
    <t>https://doi.org/10.1016/j.ipl.2014.03.007</t>
  </si>
  <si>
    <t>\Omega(n^d)</t>
  </si>
  <si>
    <t>Weighted Depth</t>
  </si>
  <si>
    <t>Given a set of $n$ weighted axis-parallel boxes in $d$-dimensional space $\mathbb{R}^d$, find a point $p \in \mathbb{R}^d$ that maximizes the sum of the weights of the boxes containing $p$.</t>
  </si>
  <si>
    <t>$n$: number of boxes
$d$: dimensionality of space</t>
  </si>
  <si>
    <t>O(n^{d/2})</t>
  </si>
  <si>
    <t>https://doi.org/10.1109/FOCS.2013.51</t>
  </si>
  <si>
    <t>\Omega(n^{d/2})</t>
  </si>
  <si>
    <t>Geometric Visibility Problems</t>
  </si>
  <si>
    <t>Visibility Between Segments</t>
  </si>
  <si>
    <t>Given a set $S$ of $n$ horizontal line segments in the plane and two particular horizontal segments $s_1$ and $s_2$, determine whether there are points on $s_1$ and $s_2$ that can see each other, that is, such that the open segment between the points does not intersect any segment in $S$.</t>
  </si>
  <si>
    <t>$n$: number of horizontal line segments</t>
  </si>
  <si>
    <t>Visibility From Infinity</t>
  </si>
  <si>
    <t>Given a set $S$ of axis-parallel line segments in the plane and one particular horizontal segments $s$, determine whether there is a point on $s$ that can be seen from infinity, that is, whether there exists an infinite ray starting at the point on $s$ that does not intersect any segment.</t>
  </si>
  <si>
    <t>$n$: number of axis-parallel line segments</t>
  </si>
  <si>
    <t>Visible Triangle</t>
  </si>
  <si>
    <t>Given a set $S$ of opaque horizontal triangles, another horizontal triangle $t$ and a viewpoint $p$, is there a point on $t$ that can be seen from $p$?</t>
  </si>
  <si>
    <t>$n$: number of opaque horizontal triangles</t>
  </si>
  <si>
    <t>Motion Planning Problems</t>
  </si>
  <si>
    <t>Planar Motion Planning</t>
  </si>
  <si>
    <t>Given a set of non-intersecting, non-touching, axis-parallel line segment obstacles in the plane and a line segment robot (a rod or ladder), determine whether the rod can be moved (allowing both translation and rotation) from a given source to a given goal configuration without colliding with the obstacles.</t>
  </si>
  <si>
    <t>$n$: number of line segment obstacles</t>
  </si>
  <si>
    <t>https://link.springer.com/content/pdf/10.1007/3-540-52846-6_81.pdf</t>
  </si>
  <si>
    <t>3D Motion Planning</t>
  </si>
  <si>
    <t>Given a set of horizontal (that is, parallel to the xy-plane) non-intersecting, non-touching triangle obstacles in 3-space, and a vertical line segment as a robot, determine whether the robot can be moved, using translations only, from a source to a goal position without colliding with the obstacles.</t>
  </si>
  <si>
    <t>$n$: number of triangle obstacles</t>
  </si>
  <si>
    <t>O(n^2 \log n)</t>
  </si>
  <si>
    <t>Y. Ke and J. O'Rourke, An algorithm for moving a ladder in three dimensions, 1987</t>
  </si>
  <si>
    <t>Geometric Base</t>
  </si>
  <si>
    <t>GeomBase</t>
  </si>
  <si>
    <t>Given a set of $n$ points with integer coordinates on three horizontal lines $y = 0, y = 1$, and $y = 2$, determine whether there exists a non-horizontal line containing three of the points</t>
  </si>
  <si>
    <t>Local Alignment</t>
  </si>
  <si>
    <t>Given two input strings and a scoring function on pairs of letters, one is asked to find the substrings of the two input strings that are most similar under the scoring function.</t>
  </si>
  <si>
    <t>$n$: length of input strings</t>
  </si>
  <si>
    <t>Multiple Local Alignment</t>
  </si>
  <si>
    <t>Given $k$ input strings and a scoring function on pairs of letters, one is asked to find the substrings of the $k$ input strings that are most similar under the scoring function.</t>
  </si>
  <si>
    <t>$k$: number of input strings
$n$: length of input strings</t>
  </si>
  <si>
    <t>kn</t>
  </si>
  <si>
    <t>Minimum Witness</t>
  </si>
  <si>
    <t>Minimum Witness Finding</t>
  </si>
  <si>
    <t>Fix an instance of negative triangle with node sets $I, J, K$ and weight function $w$. Let $i \in I, j \in J, k \in K$. Recall that the triple $(i, j, k)$ is a negative triangle iff $(w(i, k) \odot w(k, j)) + w(i, j) &lt; 0$. Fix a total ordering $&lt;$ on the nodes in $K$ in the negative triangle instance. For any $i \in I, j \in J$, a node $k \in K$ is called a minimum witness for $(i, j)$ if $(i, j, k)$ is a negative triangle but $(i, j, k')$ is not a negative triangle for all $k' &lt; k$ according to the ordering.
Minimum Witness Finding is the problem of finding a negative triangle $(i,j,k)$ such that $k$ is a minimum witness for $(i,j)$.</t>
  </si>
  <si>
    <t>All Pairs Minimum Witness</t>
  </si>
  <si>
    <t>APMW</t>
  </si>
  <si>
    <t>Fix an instance of negative triangle with node sets $I, J, K$ and weight function $w$. Let $i \in I, j \in J, k \in K$. Recall that the triple $(i, j, k)$ is a negative triangle iff $(w(i, k) \odot w(k, j)) + w(i, j) &lt; 0$. Fix a total ordering $&lt;$ on the nodes in $K$ in the negative triangle instance. For any $i \in I, j \in J$, a node $k \in K$ is called a minimum witness for $(i, j)$ if $(i, j, k)$ is a negative triangle but $(i, j, k')$ is not a negative triangle for all $k' &lt; k$ according to the ordering.
All Pairs Minimum Witness (APMW) is the problem of finding a minimum witness $k$ for each pair $(i,k)$ if such a $k$ exists for $(i,j)$.</t>
  </si>
  <si>
    <t>Independent Set Queries</t>
  </si>
  <si>
    <t>For a graph $G=(V,E)$ and a given subset of vertices $S\subseteq G$, answer the query of the form "is $S$ an independent set?"</t>
  </si>
  <si>
    <t>Price Query</t>
  </si>
  <si>
    <t>For a graph with edge weight function $c : E \rightarrow Z$, a price query is an assignment of node weights $p : V \rightarrow Z$. Such a query has a yes answer if and only if there is a $(u,v) \in E$ such that $p(u) + p(v) &gt; c(u,v)$. (Intuitively, the $p(v)$ are “prices” on the nodes, the $c(u,v)$ are costs of producing $u$ and $v$, and a price query asks if there is an edge we are willing to “sell” at the prices given by the query.)</t>
  </si>
  <si>
    <t>Graph Cycles</t>
  </si>
  <si>
    <t>Shortest Cycle</t>
  </si>
  <si>
    <t>Minimum Weight Cycle</t>
  </si>
  <si>
    <t>Given a graph $G=(V,E)$ with non-negative weights, find a minimum weight cycle.</t>
  </si>
  <si>
    <t>Shortest k-Cycle</t>
  </si>
  <si>
    <t>Minimum Weight k-Cycle</t>
  </si>
  <si>
    <t>Given a graph $G=(V,E)$ with non-negative weights, find a minimum weight cycle of length $k$.</t>
  </si>
  <si>
    <t>$n$: number of vertices
$m$: number of edges
$k$: length of cycle</t>
  </si>
  <si>
    <t>Matrix-Vector Multiplication</t>
  </si>
  <si>
    <t>Online Matrix-Vector Multiplication</t>
  </si>
  <si>
    <t>OMv</t>
  </si>
  <si>
    <t>We are given an $n \times n$ matrix $M$ and will receive $n$ column-vectors of size $n$, denoted by $v_1, \ldots , v_n$, one by one. After seeing each vector $v_i$, we have to output the product $Mv_i$ before we can see the next vector.</t>
  </si>
  <si>
    <t>https://doi.org/10.1145/2746539.2746609</t>
  </si>
  <si>
    <t>$n$: dimension of square matrix, number of vectors, size of vectors</t>
  </si>
  <si>
    <t>O(n^3 / (log n)^2) deterministic, O(n^3 / 2^(Omega(sqrt(log n)))) randomized</t>
  </si>
  <si>
    <t>https://epubs.siam.org/doi/abs/10.1137/1.9781611974782.142</t>
  </si>
  <si>
    <t>$\Omega(n^{3-\epsilon})$ for any $\epsilon &gt; 0$</t>
  </si>
  <si>
    <t>OMV Hypothesis</t>
  </si>
  <si>
    <t>Online Vector-Matrix-Vector Multiplication</t>
  </si>
  <si>
    <t>OuMv</t>
  </si>
  <si>
    <t>Let $M$ be a binary $n \times n$ matrix than can be preprocessed. After preprocessing $n$ vector pairs $(u^1, v^1), \ldots, (u^n, v^n)$, arrive one at a time and the task is to compute $(u^i)^T M v^i$ before being presented with the $i+1$th vector pair for every $i$.</t>
  </si>
  <si>
    <t>$n$: dimension of square matrix, number of vector pairs, size of vectors</t>
  </si>
  <si>
    <t>$\Omega(n^{3-\epsilon})$</t>
  </si>
  <si>
    <t>https://arxiv.org/pdf/1602.06705.pdf</t>
  </si>
  <si>
    <t>Vertex Reachability</t>
  </si>
  <si>
    <t>#SSR</t>
  </si>
  <si>
    <t>Calculate the number of nodes reachable from a given single source</t>
  </si>
  <si>
    <t>sensitive incremental #SSR</t>
  </si>
  <si>
    <t>A data structure with sensitivity $d$ for a problem $P$ has the following properties: It obtains an instance $p$ of $P$ and is allowed polynomial preprocessing time on $p$. After the preprocessing, the data structure must provide the following operations:
(Batch) Update: Up to $d$ changes are performed to the initial problem instance $p$, e.g., $d$ edges are added to or removed from $p$.
Query: The user queries a specific property about the instance of the problem after the last update, e.g., the shortest path between two nodes avoiding the edges deleted in the last update.
In the incremental version of these problems, the batch update adds edges to $p$.</t>
  </si>
  <si>
    <t>$n$: number of vertices
$m$: number of edges
$d$: sensitivity</t>
  </si>
  <si>
    <t>ST-Reach</t>
  </si>
  <si>
    <t>Given a graph $G=(V,E)$, determine whether each node $s\in S\subseteq V$ can reach a node $t\in T \subseteq V$.</t>
  </si>
  <si>
    <t>st-Reach</t>
  </si>
  <si>
    <t>Given a directed graph $G=(V,E)$ and vertices $s, t \in V$, determine wheteher $t$ is reachable from $s$.</t>
  </si>
  <si>
    <t>constant sensitivity incremental ST-Reach</t>
  </si>
  <si>
    <t>Given a graph $G=(V,E)$, incrementally determine whether each node $s\in S\subseteq V$ can reach a node $t\in T \subseteq V$, with a constant sensitivity of $K(\epsilon, t)$, i.e. when $K(\epsilon, t)$ edges are added.</t>
  </si>
  <si>
    <t>1-sensitive incremental ss-reach</t>
  </si>
  <si>
    <t>Given a directed graph $G=(V,E)$ and a source node $s \in G$, an incremental single-source reachability algorithm maintains the set of nodes reachable from $s$ (i.e., all nodes $v$ for which there is a path from $s$ to $v$ in the current version of $G$) during a sequence of edge insertions, with sensitivity 1, i.e. when 1 edge is inserted.</t>
  </si>
  <si>
    <t>2-sensitive incremental st-reach</t>
  </si>
  <si>
    <t>Given a directed graph $G=(V,E)$ and vertices $s, t \in V$, incrementally determine wheteher $t$ is reachable from $s$, with sensitivity 2, i.e. when 2 edges are added.</t>
  </si>
  <si>
    <t>ap-reach</t>
  </si>
  <si>
    <t>Given a directed graph $G=(V,E)$, determine for each pair $s \neq t \in V$ whether $t$ is reachable from $s$.</t>
  </si>
  <si>
    <t>RNA Folding</t>
  </si>
  <si>
    <t>In RNA Folding we are given a string over some alphabet (e.g. $\{A, C, G, T\}$) with a fixed pairing between its symbols (e.g. $A − T$ match and $C − G$ match), and the goal is to compute the maximum number of non-crossing arcs between matching letters that one can draw above the string (which corresponds to the minimum energy folding in two dimensions).</t>
  </si>
  <si>
    <t>https://ieeexplore.ieee.org/iel7/8100284/8104011/08104058.pdf?casa_token=tuNJo01Tyh0AAAAA:VuzSKuC4fDZ_f7O99-O062M2xCFl8qZqUr1BjNKgzWI6rp9Ij6-NXHZvpi16JN_jEucLmPI</t>
  </si>
  <si>
    <t>$n$: length of the given string</t>
  </si>
  <si>
    <t>Maximum Inner Product Search</t>
  </si>
  <si>
    <t>MIPS</t>
  </si>
  <si>
    <t>Given a new query $q$, MIPS targets at retrieving the datum having the largest inner product with $q$ from the database $A$. Formally, the MIPS problem is formulated as below:
$p = \arg \max \limits_{a \in A} a \top q$</t>
  </si>
  <si>
    <t>https://www.cv-foundation.org/openaccess/content_iccv_2015/papers/Shen_Learning_Binary_Codes_ICCV_2015_paper.pdf</t>
  </si>
  <si>
    <t>Model-Checking Problem</t>
  </si>
  <si>
    <t>Reachability in MDPs</t>
  </si>
  <si>
    <t>Given a model of a system and an objective, the model-checking problem asks whether the model satisfies the objective.
In this case, the model is a Markov Decision Process (MDP), and the objective is reachability: given a set of target vertices $T\subseteq V$, determine whether there is an infinite path that visits a vertex in $T$ at least once (i.e. you want to reach some vertex in $T$).</t>
  </si>
  <si>
    <t>https://dl.acm.org/doi/pdf/10.1145/2933575.2935304</t>
  </si>
  <si>
    <t>$n$: number of vertices
$m$: number of edges
$MEC$: O(\min(n^2, m^{1.5}))</t>
  </si>
  <si>
    <t>Disjunctive Reachability Queries in MDPs</t>
  </si>
  <si>
    <t>Given a model of a system and an objective, the model-checking problem asks whether the model satisfies the objective.
In this case, the model is a Markov Decision Process (MDP), and the objective is reachability: given a set of target vertices $T\subseteq V$, determine whether there is an infinite path that visits a vertex in $T$ at least once (i.e. you want to reach some vertex in $T$).
Furthermore, given $k$ reachability objectives, the disjunctive reachability query question asks whether there is a strategy for player 1 to ensure that one of the reachability objectives is satisfied with probability 1.
Disjunctive queries do not coincide with disjunctive objectives on MDPs.</t>
  </si>
  <si>
    <t>Conjunctive Reachability Queries in MDPs</t>
  </si>
  <si>
    <t>Generalized Reachability in MDPs</t>
  </si>
  <si>
    <t>Given a model of a system and an objective, the model-checking problem asks whether the model satisfies the objective.
In this case, the model is a Markov Decision Process (MDP), and the objective is reachability: given a set of target vertices $T\subseteq V$, determine whether there is an infinite path that visits a vertex in $T$ at least once (i.e. you want to reach some vertex in $T$).
Furthermore, given $k$ reachability objectives, the conjunctive reachability query question asks whether there is a strategy for player 1 to ensure that all the reachability objectives are satisfied with probability 1.
Conjunctive queries coincide with conjunctive objectives on graphs and MDPs.</t>
  </si>
  <si>
    <t>Safety in MDPs</t>
  </si>
  <si>
    <t>Safety in Graphs</t>
  </si>
  <si>
    <t>Given a model of a system and an objective, the model-checking problem asks whether the model satisfies the objective.
In this case, the model is a Markov Decision Process (MDP), and the objective is safety: given a set of target vertices $T\subseteq V$, determine whether there is an infinite path that does not visit any vertex in $T$ (i.e. you want to avoid all vertices in $T$).</t>
  </si>
  <si>
    <t>Disjunctive Safety Queries in MDPs</t>
  </si>
  <si>
    <t>Given a model of a system and an objective, the model-checking problem asks whether the model satisfies the objective.
In this case, the model is a Markov Decision Process (MDP), and the objective is safety: given a set of target vertices $T\subseteq V$, determine whether there is an infinite path that does not visit any vertex in $T$ (i.e. you want to avoid all vertices in $T$).
Furthermore, given $k$ safety objectives, the disjunctive safety query question asks whether there is a strategy for player 1 to ensure that one of the safety objectives is satisfied with probability 1.
Disjunctive queries do not coincide with disjunctive objectives on MDPs.</t>
  </si>
  <si>
    <t>Conjunctive Safety Queries in MDPs</t>
  </si>
  <si>
    <t>Given a model of a system and an objective, the model-checking problem asks whether the model satisfies the objective.
In this case, the model is a Markov Decision Process (MDP), and the objective is safety: given a set of target vertices $T\subseteq V$, determine whether there is an infinite path that does not visit any vertex in $T$ (i.e. you want to avoid all vertices in $T$).
Furthermore, given $k$ safety objectives, the conjunctive safety query question asks whether there is a strategy for player 1 to ensure that all the safety objectives are satisfied with probability 1.
Conjunctive queries coincide with conjunctive objectives on graphs and MDPs.</t>
  </si>
  <si>
    <t>Given a model of a system and an objective, the model-checking problem asks whether the model satisfies the objective.
In this case, the model is a standard graph, and the objective is safety: given a set of target vertices $T\subseteq V$, determine whether or not there is a path that does not visit any vertex in $T$ (i.e. you want to avoid all vertices in $T$).</t>
  </si>
  <si>
    <t>Disjunctive Queries of Safety in Graphs</t>
  </si>
  <si>
    <t>Given a model of a system and an objective, the model-checking problem asks whether the model satisfies the objective.
In this case, the model is a standard graph, and the objective is safety: given a set of target vertices $T\subseteq V$, determine whether or not there is a path that does not visit any vertex in $T$ (i.e. you want to avoid all vertices in $T$).
Furthermore, in the disjunctive queries problem, you are given multiple safety objectives (i.e. multiple target sets $T_i$) and you are to determine whether or not there is a path where at least one of the safety objectives is satisfied (i.e. whether or not an infinite path avoids all vertices in at least one of the target sets).
Disjunctive queries coincide with disjunctive objectives on graphs.</t>
  </si>
  <si>
    <t>Disjunctive coBüchi Objectives</t>
  </si>
  <si>
    <t>Given a model of a system and an objective, the model-checking problem asks whether the model satisfies the objective.
In this case, the model is a standard graph, and the objective is coBüchi: given a set of target vertices $T\subseteq V$, determine whether or not there is a path that visits the set $T$ a finite amount of times.
Furthermore, in the disjunctive problem, you are given multiple coBüchi objectives (i.e. multiple target sets $T_i$) and you are to determine whether or not there is a path where at least one of the coBüchi objectives is satisfied (i.e. whether or not an infinite path visits any target set $T_i$ a finite amount of times).</t>
  </si>
  <si>
    <t>Generalized Büchi Games</t>
  </si>
  <si>
    <t>Conjunctive Büchi Objectives</t>
  </si>
  <si>
    <t>Given a model of a system and an objective, the model-checking problem asks whether the model satisfies the objective.
In this case, the model is a standard graph, and the objective is Büchi: given a set of target vertices $T\subseteq V$, determine whether or not there is a path that visits the set $T$ an infinite amount of times.
Furthermore, in the conjunctive problem, you are given multiple Büchi objectives (i.e. multiple target sets $T_i$) and you are to determine whether or not there is a path where all of the Büchi objectives are satisfied (i.e. whether or not an infinite path visits all target sets $T_i$ an infinite amount of times).</t>
  </si>
  <si>
    <t>Dihedral Rotation Queries</t>
  </si>
  <si>
    <t>Static Dihedral Rotation Queries</t>
  </si>
  <si>
    <t>Determine whether a given dihedral rotation is feasible or not, without modifying the chain.</t>
  </si>
  <si>
    <t>https://doi.org/10.1016/S0925-7721(02)00156-6</t>
  </si>
  <si>
    <t>$n$: number of edges in the chain</t>
  </si>
  <si>
    <t>preprocessing: $\Omega(n^2)$
or
query: $\Omega(n)$</t>
  </si>
  <si>
    <t>Dynamic Dihedral Rotation Queries</t>
  </si>
  <si>
    <t>Determine whether a given dihedral rotation is feasible or not, and if it is, modify the chain by performing the rotation.</t>
  </si>
  <si>
    <t>preprocessing: $\Omega(n^2)$
query: $\Omega(n)$</t>
  </si>
  <si>
    <t>Bichromatic Hamming Close Pair</t>
  </si>
  <si>
    <t>BHCP</t>
  </si>
  <si>
    <t>Given two sets $A = \{a_1, \ldots, a_n\} \subseteq \{0, 1\}^d$ and $B = \{b_1, \ldots, b_n\} \subseteq \{0, 1\}^d$ of $n$ binary vectors and an integer $t \in \{2, \ldots, d\}$, decide if there exists a pair $a \in A$ and $b \in B$ such that the number of coordinates in which they differ is less than $t$ (formally, $Hamming(a, b) := ||a − b||1 &lt; t$). If there is such a pair $(a, b)$, we call it a close pair.</t>
  </si>
  <si>
    <t>https://proceedings.neurips.cc/paper/2017/file/635440afdfc39fe37995fed127d7df4f-Paper.pdf</t>
  </si>
  <si>
    <t>$n$: number of binary vectors in each set
$d$: dimensionality of vectors
$t$: max Hamming distance</t>
  </si>
  <si>
    <t>Support Vector Machines (SVM)</t>
  </si>
  <si>
    <t>Approximate Hard-Margin SVM</t>
  </si>
  <si>
    <t>A (primal) hard-margin SVM is an optimization problem of the following form: 
$\min\limits_{\alpha_1,\ldots,\alpha_n\geq 0} \frac{1}{2} \sum \limits_{i,j = 1}^n \alpha_i \alpha_j y_i y_j k(x_i, x_j)$
subject to $y_i f(x_i) \geq 1, i = 1, \ldots, n$
where $f(x) := \sum_{i=1}^n \alpha_i y_i k(x_i, x)$</t>
  </si>
  <si>
    <t>3SUM</t>
  </si>
  <si>
    <t>Real 3SUM</t>
  </si>
  <si>
    <t>Given a set $S$ of integers, determine whether there is a subset of $S$ of size 3 that sums to 0.</t>
  </si>
  <si>
    <t>$S$: the set of integers
$n$: the number of integers in the set</t>
  </si>
  <si>
    <t>O(n^2/max(w/(log w)^2, (log n)^2/(log log n)^2))</t>
  </si>
  <si>
    <t>https://link.springer.com/article/10.1007/s00453-007-9036-3</t>
  </si>
  <si>
    <t>\Omega(n^{2-\epsilon})</t>
  </si>
  <si>
    <t>3SUM Hypothesis</t>
  </si>
  <si>
    <t>Given a set $S$ of reals, determine whether there is a subset of $S$ of size 3 that sums to 0.</t>
  </si>
  <si>
    <t>https://dl.acm.org/doi/abs/10.1145/3363541</t>
  </si>
  <si>
    <t>$S$: the set of reals
$n$: the number of real numbers in the set</t>
  </si>
  <si>
    <t>O(n^2*(log log n)^{O(1)}/(log n)^2)</t>
  </si>
  <si>
    <t>3SUM'</t>
  </si>
  <si>
    <t>Given three sets of integers $A, B, C$ of total size $n$, are there $a\in A, b\in B, c\in C$ such that $a + b = c$?</t>
  </si>
  <si>
    <t>$n$: number of integers in each set</t>
  </si>
  <si>
    <t>All-Integers 3SUM</t>
  </si>
  <si>
    <t>Given three lists $A, B, C$ of $n$ integers each, output the list of all integers $a \in A$ such that there exist $b \in B,c \in C$ with $a + b + c = 0$.</t>
  </si>
  <si>
    <t>Looked at?</t>
  </si>
  <si>
    <t>Algo ID</t>
  </si>
  <si>
    <t>Algorithm Description</t>
  </si>
  <si>
    <t>Final Call</t>
  </si>
  <si>
    <t>Exact Problem Statement?</t>
  </si>
  <si>
    <t>Exact algorithm?</t>
  </si>
  <si>
    <t>Time Complexity (Average)</t>
  </si>
  <si>
    <t>Average Case Distribution</t>
  </si>
  <si>
    <t>Reference?</t>
  </si>
  <si>
    <t>Algorithm Name</t>
  </si>
  <si>
    <t>Year</t>
  </si>
  <si>
    <t>Paper/Reference Link</t>
  </si>
  <si>
    <t>Constants</t>
  </si>
  <si>
    <t>Derived?</t>
  </si>
  <si>
    <t>Paper Reference for Constants</t>
  </si>
  <si>
    <t>Time Complexity Improvement?</t>
  </si>
  <si>
    <t>Transition Class</t>
  </si>
  <si>
    <t>Time Complexity Class</t>
  </si>
  <si>
    <t>Param: Time Class</t>
  </si>
  <si>
    <t>Time Complexity (Worst Only)</t>
  </si>
  <si>
    <t>Parameter definitions</t>
  </si>
  <si>
    <t>Preferred Parameter</t>
  </si>
  <si>
    <t>Time Complexity Reference</t>
  </si>
  <si>
    <t>Derived Time Complexity?</t>
  </si>
  <si>
    <t>Computational Model</t>
  </si>
  <si>
    <t>Unit of Space</t>
  </si>
  <si>
    <t>Space Complexity Class</t>
  </si>
  <si>
    <t>Param: Space Class</t>
  </si>
  <si>
    <t>Space Complexity (Auxiliary)</t>
  </si>
  <si>
    <t>Space Complexity Reference</t>
  </si>
  <si>
    <t>Derived Space Complexity?</t>
  </si>
  <si>
    <t>Space Complexity in Original Paper?</t>
  </si>
  <si>
    <t>Interesting Space Complexity?</t>
  </si>
  <si>
    <t>Randomized?</t>
  </si>
  <si>
    <t>Type of Randomized Algorithm (e.g. Las Vegas, Monte Carlo, Atlantic City)</t>
  </si>
  <si>
    <t>Approximate?</t>
  </si>
  <si>
    <t>Approximation Factor (if approximate algorithm)</t>
  </si>
  <si>
    <t>Heuristic-based?</t>
  </si>
  <si>
    <t>Parallel?</t>
  </si>
  <si>
    <t># of
Processors</t>
  </si>
  <si>
    <t>Quantum?</t>
  </si>
  <si>
    <t>GPU-based?</t>
  </si>
  <si>
    <t>Other References</t>
  </si>
  <si>
    <t>Problem Statement</t>
  </si>
  <si>
    <t>Algorithm family
parameters</t>
  </si>
  <si>
    <t>Description of Inputs</t>
  </si>
  <si>
    <t>Ratios of input parameter sizes</t>
  </si>
  <si>
    <t>Space n = 1000 value</t>
  </si>
  <si>
    <t>Space n = 1000 rate</t>
  </si>
  <si>
    <t>Space n = 10^6 value</t>
  </si>
  <si>
    <t>Space n = 10^6 rate</t>
  </si>
  <si>
    <t>Space n = 10^9 value</t>
  </si>
  <si>
    <t>Space n = 10^9 rate</t>
  </si>
  <si>
    <t>n = 1000 value</t>
  </si>
  <si>
    <t>n = 1000 scale</t>
  </si>
  <si>
    <t>n = 1000 Rate</t>
  </si>
  <si>
    <t>n = 10^6 value</t>
  </si>
  <si>
    <t>n = 10^6 scale</t>
  </si>
  <si>
    <t>n = 10^6 Rate</t>
  </si>
  <si>
    <t>n = 10^9 value</t>
  </si>
  <si>
    <t>n = 10^9 scale</t>
  </si>
  <si>
    <t>n = 10^9 Rate</t>
  </si>
  <si>
    <t>Starting Complexity</t>
  </si>
  <si>
    <t>Remarks</t>
  </si>
  <si>
    <t>Papers for ratio evaluations</t>
  </si>
  <si>
    <t>Domains</t>
  </si>
  <si>
    <t>Melhorn's Approximation algorithm</t>
  </si>
  <si>
    <t>https://people.mpi-inf.mpg.de/~mehlhorn/ftp/mehlhorn3.pdf</t>
  </si>
  <si>
    <t>n: 3</t>
  </si>
  <si>
    <t>H: entropy of the distribution
P_opt:
P_balanced: 
n: number of elements</t>
  </si>
  <si>
    <r>
      <rPr>
        <color rgb="FF1155CC"/>
        <sz val="10.0"/>
        <u/>
      </rPr>
      <t>https://people.mpi-inf.mpg.de/~mehlhorn/ftp/mehlhorn3.pdf</t>
    </r>
    <r>
      <rPr>
        <sz val="10.0"/>
      </rPr>
      <t>, storing left/right subtrees' weights</t>
    </r>
  </si>
  <si>
    <t>0.63 H \leq P_opt \leq P_balanced \leq 2 + 1.44 H</t>
  </si>
  <si>
    <t>an optimal binary search tree (Optimal BST); sometimes called a weight-balanced
 binary tree; is a binary search tree which provides the smallest possible search
 time (or expected search time) for a given sequence of accesses
 (or access probabilities). Optimal BSTs are generally divided
 into two types: static and dynamic.</t>
  </si>
  <si>
    <t>O(n^0.6)</t>
  </si>
  <si>
    <t>Karpinski</t>
  </si>
  <si>
    <t>https://citeseerx.ist.psu.edu/viewdoc/download?doi=10.1.1.54.6940&amp;rep=rep1&amp;type=pdf</t>
  </si>
  <si>
    <t>n: 2.6</t>
  </si>
  <si>
    <t>O(n^{0.6})</t>
  </si>
  <si>
    <t>n: number of elements</t>
  </si>
  <si>
    <t>n: 1</t>
  </si>
  <si>
    <t>Derived: dynamic programming and making use of Monge matrix properties</t>
  </si>
  <si>
    <t>\epsilon = o(1)</t>
  </si>
  <si>
    <t>Klawe; Mumey</t>
  </si>
  <si>
    <t>https://epubs.siam.org/doi/abs/10.1137/S0895480193256651?journalCode=sjdmec</t>
  </si>
  <si>
    <t>Derived: uses a worklist of size O(n)</t>
  </si>
  <si>
    <t>weights within constant factors of each other or exponentially separated</t>
  </si>
  <si>
    <t>Inf</t>
  </si>
  <si>
    <t>O(n^1.6)</t>
  </si>
  <si>
    <t>Larmore</t>
  </si>
  <si>
    <t>https://www.sciencedirect.com/science/article/pii/0196677487900526</t>
  </si>
  <si>
    <t>n: 4.6</t>
  </si>
  <si>
    <t>O(n^{1.6})</t>
  </si>
  <si>
    <t>Derived: Computing and storing f_{d,l} for each n elements</t>
  </si>
  <si>
    <t>O(nlogn)</t>
  </si>
  <si>
    <t>Hierarchical Navigable Small World (HNSW)</t>
  </si>
  <si>
    <t>https://doi.org/10.1109/TPAMI.2018.2889473</t>
  </si>
  <si>
    <t>n: 4</t>
  </si>
  <si>
    <t>n: number of elements
M: heuristic choice -- number of closest neighbors for a part of the algo</t>
  </si>
  <si>
    <t>bytes of memory</t>
  </si>
  <si>
    <t>n: 1,
M: 3</t>
  </si>
  <si>
    <t>O(M)</t>
  </si>
  <si>
    <r>
      <rPr>
        <color rgb="FF1155CC"/>
        <sz val="10.0"/>
        <u/>
      </rPr>
      <t>https://arxiv.org/abs/1603.09320</t>
    </r>
    <r>
      <rPr>
        <sz val="10.0"/>
      </rPr>
      <t>, "Memory usage is proportional to choice of M"</t>
    </r>
  </si>
  <si>
    <t>? experimental results</t>
  </si>
  <si>
    <t>O(nLkt) [pre-processing]
O(L(kt+dnP_2^k)) [query-time]</t>
  </si>
  <si>
    <t>Locality-sensitive hashing</t>
  </si>
  <si>
    <t>http://infolab.stanford.edu/~ullman/mmds/ch3n.pdf</t>
  </si>
  <si>
    <t>n: 3,
k: 3,
L: 3,
t: 3,
d: 3</t>
  </si>
  <si>
    <t>$O(nLkt)$ [pre-processing]
$O(L(kt+dnP_2^k))$ [query-time]</t>
  </si>
  <si>
    <t>$n$: number of elements
$L$: number of hash tables
$k$: width parameter
$t$: time to evaluate a function
$d$: dimensionality of the data
$P_1, P_2$: Probabilities inherent in the hash functions
$c$: approximation factor</t>
  </si>
  <si>
    <t>hash table cells</t>
  </si>
  <si>
    <t>n: 3,
L: 3</t>
  </si>
  <si>
    <t>O(nL)</t>
  </si>
  <si>
    <t>https://en.wikipedia.org/wiki/Locality-sensitive_hashing#LSH_algorithm_for_nearest_neighbor_search</t>
  </si>
  <si>
    <t>c</t>
  </si>
  <si>
    <t>Projected radial search</t>
  </si>
  <si>
    <t>http://www.araa.asn.au/acra/acra2013/papers/pap148s1-file1.pdf</t>
  </si>
  <si>
    <t>k: 3</t>
  </si>
  <si>
    <t>k: number of neighbors to find</t>
  </si>
  <si>
    <t>Word RAM</t>
  </si>
  <si>
    <t>words</t>
  </si>
  <si>
    <t>Derived: There are 5 local variables and no tables or lists aside from input/output</t>
  </si>
  <si>
    <t>Varies by codebook structure</t>
  </si>
  <si>
    <t>Compression/Clustering [Vector Quantization]</t>
  </si>
  <si>
    <t>5-&gt;6</t>
  </si>
  <si>
    <t>Table 2</t>
  </si>
  <si>
    <t>O(nt/logt)</t>
  </si>
  <si>
    <t>Pisinger</t>
  </si>
  <si>
    <t>https://link.springer.com/article/10.1007/s00453-002-0989-y</t>
  </si>
  <si>
    <t>n: 3,
t: 2.99</t>
  </si>
  <si>
    <t>n: number of elements in the set
t: target sum</t>
  </si>
  <si>
    <t>n: 1,
t: 2.5</t>
  </si>
  <si>
    <t>O(t/logt)</t>
  </si>
  <si>
    <t>O(n' t)</t>
  </si>
  <si>
    <t>Faaland</t>
  </si>
  <si>
    <t>https://doi.org/10.1287/opre.21.1.332</t>
  </si>
  <si>
    <t>n: 3,
n': 3,
t: 3</t>
  </si>
  <si>
    <t>n': number of distinct elements in the set
t: target sum</t>
  </si>
  <si>
    <t>n: 1,
t: 3</t>
  </si>
  <si>
    <t>O(t)</t>
  </si>
  <si>
    <r>
      <rPr>
        <rFont val="Arial"/>
        <color rgb="FF1155CC"/>
        <sz val="10.0"/>
        <u/>
      </rPr>
      <t>https://dl.acm.org/doi/pdf/10.1145/3329863</t>
    </r>
    <r>
      <rPr>
        <rFont val="Arial"/>
        <color rgb="FF000000"/>
        <sz val="10.0"/>
      </rPr>
      <t>, Table 1</t>
    </r>
  </si>
  <si>
    <t>Dynamic Programming</t>
  </si>
  <si>
    <t>Pferschy</t>
  </si>
  <si>
    <t>https://link.springer.com/article/10.1007/s006070050042</t>
  </si>
  <si>
    <r>
      <rPr>
        <rFont val="Arial"/>
        <color rgb="FF1155CC"/>
        <sz val="10.0"/>
        <u/>
      </rPr>
      <t>https://dl.acm.org/doi/pdf/10.1145/3329863</t>
    </r>
    <r>
      <rPr>
        <rFont val="Arial"/>
        <color rgb="FF000000"/>
        <sz val="10.0"/>
      </rPr>
      <t>, Table 1</t>
    </r>
  </si>
  <si>
    <r>
      <rPr>
        <rFont val="Arial"/>
        <color rgb="FF1155CC"/>
        <sz val="10.0"/>
        <u/>
      </rPr>
      <t>https://dl.acm.org/doi/pdf/10.1145/3329863</t>
    </r>
    <r>
      <rPr>
        <rFont val="Arial"/>
        <color rgb="FF000000"/>
        <sz val="10.0"/>
      </rPr>
      <t>, Table 1</t>
    </r>
  </si>
  <si>
    <t>O(σ^{(3/2)})</t>
  </si>
  <si>
    <t>Klinz</t>
  </si>
  <si>
    <t>https://doi.org/10.1002/(SICI)1097-0037(199905)33:3%3C189::AID-NET5%3E3.0.CO;2-2</t>
  </si>
  <si>
    <t>n: 4.5,
\sigma: 4.5</t>
  </si>
  <si>
    <t>$O(σ^{(3/2)})$</t>
  </si>
  <si>
    <t>$\sigma$: sum of integers in the set ($\sigma \geq n$)</t>
  </si>
  <si>
    <r>
      <rPr>
        <rFont val="Arial"/>
        <color rgb="FF1155CC"/>
        <sz val="10.0"/>
        <u/>
      </rPr>
      <t>https://dl.acm.org/doi/pdf/10.1145/3329863</t>
    </r>
    <r>
      <rPr>
        <rFont val="Arial"/>
        <color rgb="FF000000"/>
        <sz val="10.0"/>
      </rPr>
      <t>, Table 1</t>
    </r>
  </si>
  <si>
    <r>
      <rPr>
        <rFont val="Arial"/>
        <color rgb="FF1155CC"/>
        <sz val="10.0"/>
        <u/>
      </rPr>
      <t>https://dl.acm.org/doi/pdf/10.1145/3329863</t>
    </r>
    <r>
      <rPr>
        <rFont val="Arial"/>
        <color rgb="FF000000"/>
        <sz val="10.0"/>
      </rPr>
      <t>, Table 1</t>
    </r>
  </si>
  <si>
    <t>\tilde{O}(n max(S))</t>
  </si>
  <si>
    <t>Eppstein</t>
  </si>
  <si>
    <t>https://www.sciencedirect.com/science/article/abs/pii/S019667749690841X?via%3Dihub</t>
  </si>
  <si>
    <t>n: 4,
max(S): 3</t>
  </si>
  <si>
    <t>$\tilde{O}(n max(S))$</t>
  </si>
  <si>
    <t>n: number of elements in the set
S: the set
t: target sum</t>
  </si>
  <si>
    <t>n: 1,
t: 4</t>
  </si>
  <si>
    <t>O(t logt)</t>
  </si>
  <si>
    <r>
      <rPr>
        <rFont val="Arial"/>
        <color rgb="FF1155CC"/>
        <sz val="10.0"/>
        <u/>
      </rPr>
      <t>https://dl.acm.org/doi/pdf/10.1145/3329863</t>
    </r>
    <r>
      <rPr>
        <rFont val="Arial"/>
        <color rgb="FF000000"/>
        <sz val="10.0"/>
      </rPr>
      <t>, Table 1</t>
    </r>
  </si>
  <si>
    <t>Serang</t>
  </si>
  <si>
    <t>https://journals.plos.org/plosone/article?id=10.1371/journal.pone.0091507</t>
  </si>
  <si>
    <r>
      <rPr>
        <rFont val="Arial"/>
        <color rgb="FF1155CC"/>
        <sz val="10.0"/>
        <u/>
      </rPr>
      <t>https://dl.acm.org/doi/pdf/10.1145/3329863</t>
    </r>
    <r>
      <rPr>
        <rFont val="Arial"/>
        <color rgb="FF000000"/>
        <sz val="10.0"/>
      </rPr>
      <t>, Table 1</t>
    </r>
  </si>
  <si>
    <t>https://www.liebertpub.com/doi/10.1089/cmb.2015.0013</t>
  </si>
  <si>
    <r>
      <rPr>
        <rFont val="Arial"/>
        <color rgb="FF1155CC"/>
        <sz val="10.0"/>
        <u/>
      </rPr>
      <t>https://dl.acm.org/doi/pdf/10.1145/3329863</t>
    </r>
    <r>
      <rPr>
        <rFont val="Arial"/>
        <color rgb="FF000000"/>
        <sz val="10.0"/>
      </rPr>
      <t>, Table 1</t>
    </r>
  </si>
  <si>
    <t>\tilde{O}(n^3 t)</t>
  </si>
  <si>
    <t>Lokshtanov</t>
  </si>
  <si>
    <t>https://dl.acm.org/doi/abs/10.1145/1806689.1806735</t>
  </si>
  <si>
    <t>n: 6,
t: 3</t>
  </si>
  <si>
    <t>$\tilde{O}(n^3 t)$</t>
  </si>
  <si>
    <t>n: 5,
t: 1</t>
  </si>
  <si>
    <r>
      <rPr>
        <rFont val="Arial"/>
        <color rgb="FF1155CC"/>
        <sz val="10.0"/>
        <u/>
      </rPr>
      <t>https://dl.acm.org/doi/pdf/10.1145/3329863</t>
    </r>
    <r>
      <rPr>
        <rFont val="Arial"/>
        <color rgb="FF000000"/>
        <sz val="10.0"/>
      </rPr>
      <t>, Table 1</t>
    </r>
  </si>
  <si>
    <t>Valentin Polishchuk, and Jukka Suomela</t>
  </si>
  <si>
    <t>n: number of people in set</t>
  </si>
  <si>
    <t>derived: must be \leq time complexity</t>
  </si>
  <si>
    <t>2 + \epsilon</t>
  </si>
  <si>
    <t>O(nm)</t>
  </si>
  <si>
    <t>Lawrence, Reilly</t>
  </si>
  <si>
    <t>https://www.ncbi.nlm.nih.gov/pubmed/2184437</t>
  </si>
  <si>
    <t>n: 3,
m: 3,
mn: 3</t>
  </si>
  <si>
    <t>n: number of sequences
m: length of sequences</t>
  </si>
  <si>
    <t>https://www.ncbi.nlm.nih.gov/pmc/articles/PMC2966288/</t>
  </si>
  <si>
    <t>m=n= (value/2)</t>
  </si>
  <si>
    <t>Lawrence Gibbs Sampling</t>
  </si>
  <si>
    <t>https://science.sciencemag.org/content/262/5131/208</t>
  </si>
  <si>
    <t>n: 3,
m: 3,
mn: 2.5</t>
  </si>
  <si>
    <t>O(n + m)</t>
  </si>
  <si>
    <t>derived: two data structures, one uses O(n) and one uses O(m)</t>
  </si>
  <si>
    <t xml:space="preserve">MotifSampler </t>
  </si>
  <si>
    <t>https://www.ncbi.nlm.nih.gov/pubmed/12015892</t>
  </si>
  <si>
    <t>derived: essentially just modified Gibbs sampling</t>
  </si>
  <si>
    <t>O(n^2 log n)</t>
  </si>
  <si>
    <t>tree-structured vector quantization Wei-Levoy</t>
  </si>
  <si>
    <t>n: 5.01</t>
  </si>
  <si>
    <t>n: number of pixels in input image
d: neighborhood size</t>
  </si>
  <si>
    <t>TSVQ Tree</t>
  </si>
  <si>
    <t>n: 3,
d: 3</t>
  </si>
  <si>
    <t>Spatial GAN-Based; Urs Bergmann, Nikolay Jetchev, Roland Vollgraf</t>
  </si>
  <si>
    <t>https://arxiv.org/abs/1705.06566</t>
  </si>
  <si>
    <t>n: 3,
N: 3</t>
  </si>
  <si>
    <t>N: number of pixels in output image</t>
  </si>
  <si>
    <t>N: 3</t>
  </si>
  <si>
    <t>experimental results in paper</t>
  </si>
  <si>
    <t>Grigoryan</t>
  </si>
  <si>
    <t>https://arxiv.org/abs/1912.05935</t>
  </si>
  <si>
    <t>1-&gt;6</t>
  </si>
  <si>
    <t>n: 3,
n^2: 2.5</t>
  </si>
  <si>
    <t>n: board of dimension n x n
k: number of queens</t>
  </si>
  <si>
    <t>n: 3,
n^2: 5</t>
  </si>
  <si>
    <t>Derived: two control arrays of size O(n)</t>
  </si>
  <si>
    <t>Monte Carlo</t>
  </si>
  <si>
    <t>error &lt; 0.0001 and decreases with increasing n</t>
  </si>
  <si>
    <t>(\mu + \lambda)(1+\Theta(1/sqrt(M)))</t>
  </si>
  <si>
    <t>mentioned in conclusion that the analysis might be interesting, but it wasn't actually done</t>
  </si>
  <si>
    <t>https://epubs.siam.org/doi/abs/10.1137/0211030?journalCode=smjcat</t>
  </si>
  <si>
    <t>Sedgewick; Szymanski; and Yao</t>
  </si>
  <si>
    <t>https://www.semanticscholar.org/paper/The-Complexity-of-Finding-Cycles-in-Periodic-Sedgewick-Szymanski/8f1e5d92733380112a44630d0561611121c3228d</t>
  </si>
  <si>
    <t>\mu: 3,
\lambda: 3,
M: 1.5</t>
  </si>
  <si>
    <t>$(\mu + \lambda)(1+\Theta(1/sqrt(M)))$</t>
  </si>
  <si>
    <t>$\mu$: first index of element in cycle
$\lambda$: period
$M$: number of memory cells available</t>
  </si>
  <si>
    <t>Memory cells</t>
  </si>
  <si>
    <t>M: 3,
\mu: 1</t>
  </si>
  <si>
    <t>M</t>
  </si>
  <si>
    <t>cycle detection or cycle finding is the algorithmic problem of finding a cycle
 in a sequence of iterated function values.</t>
  </si>
  <si>
    <t>\mu + 3/2 \lambda</t>
  </si>
  <si>
    <t>Elements have independently random magnitudes, subject to periodicity constraints \mu and \lambda</t>
  </si>
  <si>
    <t>https://drive.google.com/file/d/16H_lrjeaBJqWvcn07C_w-6VNHldJ-ZZl/view</t>
  </si>
  <si>
    <t>Nivasch</t>
  </si>
  <si>
    <t>\mu: 3,
\lambda: 3</t>
  </si>
  <si>
    <t>$O(\mu + \lambda)$</t>
  </si>
  <si>
    <t>$\mu$: index of first element in cycle
$\lambda$: cycle length</t>
  </si>
  <si>
    <t>not mentioned</t>
  </si>
  <si>
    <t>Stack size</t>
  </si>
  <si>
    <t>\mu: 2</t>
  </si>
  <si>
    <t>O(\log\mu)</t>
  </si>
  <si>
    <t>https://www.gabrielnivasch.org/fun/cycle-detection</t>
  </si>
  <si>
    <t>O( n² )</t>
  </si>
  <si>
    <t>uniform distribution over all possible permutations</t>
  </si>
  <si>
    <t>"CLRS"?</t>
  </si>
  <si>
    <t>Naive sorting</t>
  </si>
  <si>
    <t>-</t>
  </si>
  <si>
    <t>n: 5</t>
  </si>
  <si>
    <t>n: size of list</t>
  </si>
  <si>
    <t>O(1) (in-situ)</t>
  </si>
  <si>
    <t>in-situ</t>
  </si>
  <si>
    <t>A sorting algorithm is an algorithm that puts elements of a list in a certain order.</t>
  </si>
  <si>
    <t>n is the size of the array to be sorted.</t>
  </si>
  <si>
    <t>NA</t>
  </si>
  <si>
    <t>Any distribution (runtime is same regardless of input)</t>
  </si>
  <si>
    <t>(same behavior across all inputs)</t>
  </si>
  <si>
    <t>Selection Sort</t>
  </si>
  <si>
    <t>https://en.wikipedia.org/wiki/Selection_sort</t>
  </si>
  <si>
    <t>O(n logn)</t>
  </si>
  <si>
    <t>Any distribution (runtime is same regardless of input, at least in the typical implementation)</t>
  </si>
  <si>
    <t>Merge Sort</t>
  </si>
  <si>
    <t>4-&gt;5</t>
  </si>
  <si>
    <t>O(n \log n)</t>
  </si>
  <si>
    <t>need some way to store partially processed lists while merging</t>
  </si>
  <si>
    <t>https://en.wikipedia.org/wiki/Merge_sort#cite_note-2
https://www.ijser.org/researchpaper/Evaluation-of-Sorting-Algorithms-Mathematical-and-Empirical-Analysis-of-sorting-Algorithms.pdf</t>
  </si>
  <si>
    <t>(can be easily derived)</t>
  </si>
  <si>
    <t>Bubble Sort</t>
  </si>
  <si>
    <t>https://www.ijser.org/researchpaper/Evaluation-of-Sorting-Algorithms-Mathematical-and-Empirical-Analysis-of-sorting-Algorithms.pdf</t>
  </si>
  <si>
    <t>(lower bound for average-case in sorting + upper bound for heapsort)</t>
  </si>
  <si>
    <t>Intro Sort</t>
  </si>
  <si>
    <t>https://onlinelibrary.wiley.com/doi/abs/10.1002/%28SICI%291097-024X%28199708%2927%3A8%3C983%3A%3AAID-SPE117%3E3.0.CO%3B2-%23</t>
  </si>
  <si>
    <t>n: 2</t>
  </si>
  <si>
    <t>O(logn)</t>
  </si>
  <si>
    <t>(see quicksort + heapsort)</t>
  </si>
  <si>
    <t>https://en.wikipedia.org/wiki/Introsort</t>
  </si>
  <si>
    <t>uniform distribution over all possible permutations (reference proof possibly not complete?)</t>
  </si>
  <si>
    <t>https://www.sciencedirect.com/science/article/pii/030439759390364Y?via%3Dihub</t>
  </si>
  <si>
    <t>Heap Sort</t>
  </si>
  <si>
    <t>https://www.bibsonomy.org/bibtex/2f485e4ea9a877871b59ab503151a7f10/bjoern</t>
  </si>
  <si>
    <t>https://en.wikipedia.org/wiki/Heapsort</t>
  </si>
  <si>
    <t>O(n+k)</t>
  </si>
  <si>
    <t>uniform distribution over all sets of key values</t>
  </si>
  <si>
    <t>Counting Sort</t>
  </si>
  <si>
    <t>http://bitsavers.org/pdf/mit/whirlwind/R-series/R-232_Information_Sorting_in_the_Application_of_Electronic_Digital_Computers_to_Business_Operations_May54.pdf</t>
  </si>
  <si>
    <t>n: 3,
k: 3</t>
  </si>
  <si>
    <t>n: size of list
k: range of non-negative key values</t>
  </si>
  <si>
    <t>https://en.wikipedia.org/wiki/Counting_sort
https://www.ijser.org/researchpaper/Evaluation-of-Sorting-Algorithms-Mathematical-and-Empirical-Analysis-of-sorting-Algorithms.pdf</t>
  </si>
  <si>
    <r>
      <rPr>
        <rFont val="Arial"/>
        <color theme="1"/>
        <sz val="10.0"/>
      </rPr>
      <t xml:space="preserve">uniform distribution of </t>
    </r>
    <r>
      <rPr>
        <rFont val="Arial"/>
        <b/>
        <color theme="1"/>
        <sz val="10.0"/>
      </rPr>
      <t>elements</t>
    </r>
    <r>
      <rPr>
        <rFont val="Arial"/>
        <color theme="1"/>
        <sz val="10.0"/>
      </rPr>
      <t xml:space="preserve"> within domain of array</t>
    </r>
  </si>
  <si>
    <t>Bucket Sort</t>
  </si>
  <si>
    <t>O(wn)</t>
  </si>
  <si>
    <t>(same general behavior across all inputs)</t>
  </si>
  <si>
    <t>Radix Sort</t>
  </si>
  <si>
    <t>4-&gt;6</t>
  </si>
  <si>
    <t>n: 3,
w: 3</t>
  </si>
  <si>
    <t>n: size of list
w: length of word</t>
  </si>
  <si>
    <t>O(w+n)</t>
  </si>
  <si>
    <t>(wikipedia page?)</t>
  </si>
  <si>
    <t>https://en.wikipedia.org/wiki/Radix_sort
https://www.ijser.org/researchpaper/Evaluation-of-Sorting-Algorithms-Mathematical-and-Empirical-Analysis-of-sorting-Algorithms.pdf</t>
  </si>
  <si>
    <t>uniform distribution over all possible permutations (see sorting)</t>
  </si>
  <si>
    <t>(can derive from sorting + linear scan)</t>
  </si>
  <si>
    <t>Naive Selection</t>
  </si>
  <si>
    <t>https://en.wikipedia.org/wiki/Selection_algorithm</t>
  </si>
  <si>
    <t>can be easily derived</t>
  </si>
  <si>
    <t>the kth order statistic of a statistical sample is equal to its kth-smallest value.</t>
  </si>
  <si>
    <t>n is the size of the array</t>
  </si>
  <si>
    <t>Hoare's Selection Algorithm (QuickSelect)</t>
  </si>
  <si>
    <t>O (4^n)</t>
  </si>
  <si>
    <t>CLRS for runtime</t>
  </si>
  <si>
    <t>Brute Force</t>
  </si>
  <si>
    <t>http://www.cs.tut.fi/~elomaa/teach/AADS-2014-7.pdf</t>
  </si>
  <si>
    <t>n: 8</t>
  </si>
  <si>
    <t>$O(4^n)$</t>
  </si>
  <si>
    <t>n: number of matrices</t>
  </si>
  <si>
    <t>can be derived</t>
  </si>
  <si>
    <t>Matrix chain multiplication (or Matrix Chain Ordering Problem; MCOP) is an
 optimization problem that can be solved using dynamic programming.
 Given a sequence of matrices; the goal is to find the most efficient
 way to multiply these matrices.</t>
  </si>
  <si>
    <t>Dynamic Programming Algorithm (S. S. Godbole)</t>
  </si>
  <si>
    <t>1-&gt;3</t>
  </si>
  <si>
    <t>n: 6</t>
  </si>
  <si>
    <r>
      <rPr>
        <sz val="10.0"/>
      </rPr>
      <t xml:space="preserve">CLRS </t>
    </r>
    <r>
      <rPr>
        <color rgb="FF1155CC"/>
        <sz val="10.0"/>
        <u/>
      </rPr>
      <t>http://mitpress.mit.edu/9780262046305/introduction-to-algorithms/</t>
    </r>
  </si>
  <si>
    <t>Wagner and Fischer</t>
  </si>
  <si>
    <t>https://dl.acm.org/citation.cfm?doid=321796.321811</t>
  </si>
  <si>
    <t>n: 3,
m: 3,
m+n: 5</t>
  </si>
  <si>
    <t>n, m: lengths of input strings</t>
  </si>
  <si>
    <t>https://dl.acm.org/doi/10.1145/360825.360861</t>
  </si>
  <si>
    <t>O(E^2U)</t>
  </si>
  <si>
    <t>&lt;= possibly open if there's a better bound? i.e. for Erdos-Renyi with uniform edge weights</t>
  </si>
  <si>
    <t>Ford &amp; Fulkerson</t>
  </si>
  <si>
    <t>http://www.cs.yale.edu/homes/lans/readings/routing/ford-max_flow-1956.pdf</t>
  </si>
  <si>
    <t>2-&gt;3</t>
  </si>
  <si>
    <t>V: 7,
E: 5,
U: 3</t>
  </si>
  <si>
    <t>V: number of vertices
E: number of edges
U: maximum edge capacity
Edge weights must be integers</t>
  </si>
  <si>
    <t>E: 3,
V: 5</t>
  </si>
  <si>
    <t>https://core.ac.uk/download/pdf/81946904.pdf</t>
  </si>
  <si>
    <t>maximum flow problems involve finding a feasible flow through a flow network that is maximum.</t>
  </si>
  <si>
    <t>V:E:U
0.6:1:1</t>
  </si>
  <si>
    <t>O(V^2E)</t>
  </si>
  <si>
    <t>^ see above</t>
  </si>
  <si>
    <t>Dinitz</t>
  </si>
  <si>
    <t>https://www.scirp.org/(S(lz5mqp453edsnp55rrgjct55))/reference/ReferencesPapers.aspx?ReferenceID=1690549</t>
  </si>
  <si>
    <t>V: 7,
E: 3</t>
  </si>
  <si>
    <t>V: number of vertices
E: number of edges
U: maximum edge capacity</t>
  </si>
  <si>
    <t>O(E^2LogU)</t>
  </si>
  <si>
    <t>Edmonds &amp; Karp</t>
  </si>
  <si>
    <t>https://web.eecs.umich.edu/~pettie/matching/Edmonds-Karp-network-flow.pdf</t>
  </si>
  <si>
    <t>V: 7,
E: 5,
U: 2</t>
  </si>
  <si>
    <t>O(E^2 \log U)</t>
  </si>
  <si>
    <t>O(V^3)</t>
  </si>
  <si>
    <t>Karzanov</t>
  </si>
  <si>
    <t>http://alexander-karzanov.net/Publications/maxflow-acyc.pdf</t>
  </si>
  <si>
    <t>V: 6</t>
  </si>
  <si>
    <t>E: 1,
V: 5</t>
  </si>
  <si>
    <t>O(VELog^2V)</t>
  </si>
  <si>
    <t>Galil &amp; Naamad</t>
  </si>
  <si>
    <t>V: 6.02,
E: 3</t>
  </si>
  <si>
    <t>O(VE \log^2 V)</t>
  </si>
  <si>
    <t>"Any distribution (runtime is same regardless of input)"</t>
  </si>
  <si>
    <t>(can be easily derived because additions and multiplications can be done in constant time)</t>
  </si>
  <si>
    <t>Naive algorithm</t>
  </si>
  <si>
    <t>n: 6,
n^2: 4.5</t>
  </si>
  <si>
    <t>n: dimension of square matrix</t>
  </si>
  <si>
    <t>n: 1,
n^2: 1</t>
  </si>
  <si>
    <t>O(1) auxiliary</t>
  </si>
  <si>
    <t xml:space="preserve">matrix multiplication or matrix product is a binary operation that produces a matrix
 from two matrices with entries in a field; or; more generally; in a ring
 or even a semiring. </t>
  </si>
  <si>
    <t>O(n^{(log7/log2)}) ~ O(n^2.807)</t>
  </si>
  <si>
    <t>Strassen's algorithm</t>
  </si>
  <si>
    <t>https://link.springer.com/article/10.1007%2FBF02165411</t>
  </si>
  <si>
    <t>n: 5.807,
n^2: 4.4035</t>
  </si>
  <si>
    <t>$O(n^{(log7/log2)}) ~ O(n^{2.807})$</t>
  </si>
  <si>
    <t>n: 5,
n^2: 3</t>
  </si>
  <si>
    <t>http://www.cs.cmu.edu/afs/cs/academic/class/15750-s17/ScribeNotes/lecture1.pdf</t>
  </si>
  <si>
    <t>O(n^{(log(143640)/log(70))}) ~ O(n^{2.795})</t>
  </si>
  <si>
    <t>Pan's algorithm</t>
  </si>
  <si>
    <t>https://ieeexplore.ieee.org/document/4567976</t>
  </si>
  <si>
    <t>n: 5.795,
n^2: 4.3975</t>
  </si>
  <si>
    <t>$O(n^{(log(143640)/log(70))}) ~ O(n^{2.795})$</t>
  </si>
  <si>
    <t>Re-use of space in recursive branches</t>
  </si>
  <si>
    <t>O(n^{2.51665})</t>
  </si>
  <si>
    <t>Any reasonable nontrivial distribution</t>
  </si>
  <si>
    <t>https://arxiv.org/abs/2202.08996</t>
  </si>
  <si>
    <t>Romani's algorithm</t>
  </si>
  <si>
    <t>https://epubs.siam.org/doi/abs/10.1137/0211020</t>
  </si>
  <si>
    <t>n: 5.51665,
n^2: 4.258325</t>
  </si>
  <si>
    <t>$O(n^{2.51665})$</t>
  </si>
  <si>
    <t>https://simons.berkeley.edu/sites/default/files/docs/2438/slideslegall.pdf</t>
  </si>
  <si>
    <t>O(n^{2.495548})</t>
  </si>
  <si>
    <t>Coppersmith–Winograd algorithm</t>
  </si>
  <si>
    <t>https://epubs.siam.org/doi/abs/10.1137/0211038</t>
  </si>
  <si>
    <t>n: 5.495568,
n^2: 4.247774</t>
  </si>
  <si>
    <t>$O(n^{2.495548})$</t>
  </si>
  <si>
    <t>O(n^{(log54/log5)}) ~ O(n^{(2.4785)})</t>
  </si>
  <si>
    <t>https://ieeexplore.ieee.org/abstract/document/4568194</t>
  </si>
  <si>
    <t>n: 5.4785,
n^2: 4.23925</t>
  </si>
  <si>
    <t>$O(n^{(log54/log5)}) ~ O(n^{(2.4785)})$</t>
  </si>
  <si>
    <t>O(n^{2.3755})</t>
  </si>
  <si>
    <t>http://www.cs.umd.edu/~gasarch/TOPICS/ramsey/matrixmult.pdf</t>
  </si>
  <si>
    <t>n: 5.3755,
n^2: 4.18775</t>
  </si>
  <si>
    <t>$O(n^{2.3755})$</t>
  </si>
  <si>
    <t>O(n^{2.372873})</t>
  </si>
  <si>
    <t>Vassilevska Williams</t>
  </si>
  <si>
    <t>http://theory.stanford.edu/~virgi/matrixmult-f.pdf</t>
  </si>
  <si>
    <t>n: 5.372873,
n^2: 4.1864365</t>
  </si>
  <si>
    <t>$O(n^{2.372873})$</t>
  </si>
  <si>
    <t>O(n^{2.3728639})</t>
  </si>
  <si>
    <t>François Le Gall</t>
  </si>
  <si>
    <t>https://arxiv.org/abs/1401.7714</t>
  </si>
  <si>
    <t>n: 5.3728639,
n^2: 4.18643195</t>
  </si>
  <si>
    <t>$O(n^{2.3728639})$</t>
  </si>
  <si>
    <t>O((n+m)*3^n)</t>
  </si>
  <si>
    <t>Brute-force search</t>
  </si>
  <si>
    <t>n: 8,
m: 3</t>
  </si>
  <si>
    <t>$O((m+n)*3^n)$</t>
  </si>
  <si>
    <t>n: number of vertices
m: number of edges</t>
  </si>
  <si>
    <t>O(n) auxiliary</t>
  </si>
  <si>
    <t xml:space="preserve">graph coloring is a special case of graph labeling; it is an assignment
 of labels traditionally called "colors" to elements of a graph subject
 to certain constraints. </t>
  </si>
  <si>
    <t>O((m+n)*4^n)</t>
  </si>
  <si>
    <t>Brute force</t>
  </si>
  <si>
    <t>$O((m+n)*4^n)$</t>
  </si>
  <si>
    <t>General Linear System; Positive Definite, Hermitian Matrix; Non-Definite, Symmetric Matrix; Toeplitz Matrix; Vandermonde Matrix</t>
  </si>
  <si>
    <t>Presumably any continuous random matrix distribution?</t>
  </si>
  <si>
    <t>(none, though intuitively it seems "rare" to run into special cases where runtime is smaller)</t>
  </si>
  <si>
    <t>Gaussian-Jordan Elimination</t>
  </si>
  <si>
    <t>$O(n^3)$</t>
  </si>
  <si>
    <t>n: number of variables and number of equations</t>
  </si>
  <si>
    <t>a system of linear equations (or linear system) is a collection of one or
 more linear equations involving the same set of variables.</t>
  </si>
  <si>
    <t>n:m:k
1:1:1</t>
  </si>
  <si>
    <t>^see above (with caveat that matrix has to be positive definite and hermitian)</t>
  </si>
  <si>
    <t>^see above</t>
  </si>
  <si>
    <t>Cholesky</t>
  </si>
  <si>
    <t>^see above (non-definite, symmetric)</t>
  </si>
  <si>
    <t>Aasen's method</t>
  </si>
  <si>
    <t>O(n^2) total</t>
  </si>
  <si>
    <t>^see above (Toeplitz)</t>
  </si>
  <si>
    <t>Levinson–Durbin recursion</t>
  </si>
  <si>
    <t>https://onlinelibrary.wiley.com/doi/abs/10.1002/sapm1946251261</t>
  </si>
  <si>
    <t>can be easily derived (lower bounded by input size, upper bounded by runtime)</t>
  </si>
  <si>
    <t>Bareiss Algorithm</t>
  </si>
  <si>
    <t>https://link.springer.com/article/10.1007/BF02163269</t>
  </si>
  <si>
    <t>^see above (Vandermonde)</t>
  </si>
  <si>
    <t>Bjorck-Pereyra</t>
  </si>
  <si>
    <t>https://www.jstor.org/stable/2004623?seq=1</t>
  </si>
  <si>
    <t>O((m/4)^{(2^n)})</t>
  </si>
  <si>
    <t>(same behavior across all inputs, at least for naive implementation)</t>
  </si>
  <si>
    <t>Fourier–Motzkin elimination</t>
  </si>
  <si>
    <t>http://www.cs.cmu.edu/~odonnell/toolkit13/lecture13-anonymous.pdf</t>
  </si>
  <si>
    <t>n: 8,
m: 7</t>
  </si>
  <si>
    <t>n: number of variables
m: number of constraints
L: length of input, in bits</t>
  </si>
  <si>
    <t>(can be easily derived? you have that many inequalities)</t>
  </si>
  <si>
    <t>https://gallica.bnf.fr/ark:/12148/bpt6k32227/f53</t>
  </si>
  <si>
    <t>O(n^6 * L^2 logL loglogL)</t>
  </si>
  <si>
    <t>(same behavior across all inputs?)</t>
  </si>
  <si>
    <t xml:space="preserve">Khachiyan Ellipsoid algorithm </t>
  </si>
  <si>
    <t>https://www.sciencedirect.com/science/article/abs/pii/0041555380900610</t>
  </si>
  <si>
    <t>1-&gt;2</t>
  </si>
  <si>
    <t>n: 7,
L: 5.02</t>
  </si>
  <si>
    <t>O(n^6 * L^2 \log L \log\log L)</t>
  </si>
  <si>
    <t>n: 3,
m: 3,
L: 3</t>
  </si>
  <si>
    <t>O(nmL)</t>
  </si>
  <si>
    <t>see orginal paper (noting that O(alpha*log(H*alpha)) = O(L))</t>
  </si>
  <si>
    <t>https://en.wikipedia.org/wiki/Linear_programming#Ellipsoid_algorithm,_following_Khachiyan</t>
  </si>
  <si>
    <t>Naive</t>
  </si>
  <si>
    <t>n: number of line segments
k: number of points of intersection</t>
  </si>
  <si>
    <t>Real RAM</t>
  </si>
  <si>
    <t>The line segment intersection problem supplies a list of line segments in the Euclidean plane and asks about the points where they intersect (cross), if any.</t>
  </si>
  <si>
    <t>O( n log n + k log n)</t>
  </si>
  <si>
    <t>Bentley–Ottmann algorithm</t>
  </si>
  <si>
    <t>https://doi.org/10.1109%2FTC.1979.1675432</t>
  </si>
  <si>
    <t>n: 4,
k: 3</t>
  </si>
  <si>
    <t>O( n \log n + k \log n)</t>
  </si>
  <si>
    <t>https://dl.acm.org/doi/pdf/10.1145/147508.147511</t>
  </si>
  <si>
    <t>k=n^0.5</t>
  </si>
  <si>
    <t>2-dimensional</t>
  </si>
  <si>
    <t>http://math.uaa.alaska.edu/~afkjm/cs351/handouts/bruteforce</t>
  </si>
  <si>
    <t>n: number of line segments
h: number of points on the convex hull</t>
  </si>
  <si>
    <t xml:space="preserve">the convex hull or convex envelope or convex closure of a set X of points
 in the Euclidean plane or in a Euclidean space
 (or; more generally; in an affine space over the reals) is the smallest 
convex set that contains X. </t>
  </si>
  <si>
    <t>h = n^0.5</t>
  </si>
  <si>
    <t>O(nh)</t>
  </si>
  <si>
    <t>Jarvis</t>
  </si>
  <si>
    <t>https://linkinghub.elsevier.com/retrieve/pii/0020019073900203</t>
  </si>
  <si>
    <t>n: 3,
h: 3</t>
  </si>
  <si>
    <t>O(E + Vlog^2(V))</t>
  </si>
  <si>
    <t>"Either full or random graphs whose cost edges are assigned at random independently of the rest (using any continuous distribution)"</t>
  </si>
  <si>
    <t>https://dl.acm.org/doi/10.5555/2791171.2791187</t>
  </si>
  <si>
    <t>Kruskal’s algorithm with demand-sorting</t>
  </si>
  <si>
    <t>https://link.springer.com/chapter/10.1007/BFb0028279</t>
  </si>
  <si>
    <t>V: 5.01,
E: 3</t>
  </si>
  <si>
    <t>O(E \log V)</t>
  </si>
  <si>
    <t>V: number of vertices
E: number of edges
U: maximum edge weight</t>
  </si>
  <si>
    <t>A minimum spanning tree (MST) or minimum weight spanning tree is a subset
 of the edges of a connected; edge-weighted undirected graph that
 connects all the vertices together; without any cycles and
 with the minimum possible total edge weight.</t>
  </si>
  <si>
    <t>V:E
5:7</t>
  </si>
  <si>
    <t>Quick Kruskal algorithm</t>
  </si>
  <si>
    <t>https://dl.acm.org/citation.cfm?id=2791187</t>
  </si>
  <si>
    <t>Randomness within the algorithm steps themselves</t>
  </si>
  <si>
    <t>http://cs.brown.edu/research/pubs/pdfs/1995/Karger-1995-RLT.pdf</t>
  </si>
  <si>
    <t>Karger; Klein &amp; Tarjan</t>
  </si>
  <si>
    <t>V: 5,
E: 3</t>
  </si>
  <si>
    <t>O(min(V^2, ElogV))</t>
  </si>
  <si>
    <t>Las Vegas</t>
  </si>
  <si>
    <t>k-dimensional space, l_m (or l_infty) norm</t>
  </si>
  <si>
    <t>Naive Implementation</t>
  </si>
  <si>
    <t>n: 5,
k: 3</t>
  </si>
  <si>
    <t>n: number of points
k: dimension of space</t>
  </si>
  <si>
    <t xml:space="preserve">given n points in metric space; find a pair of points with the smallest
 distance between them. </t>
  </si>
  <si>
    <t>Any</t>
  </si>
  <si>
    <t>Doolittle Algorithm</t>
  </si>
  <si>
    <t>https://www.geeksforgeeks.org/doolittle-algorithm-lu-decomposition/</t>
  </si>
  <si>
    <t>$\tilde{O}(1)$</t>
  </si>
  <si>
    <t>Derived: only storing 1 intermediate variable</t>
  </si>
  <si>
    <t>lower–upper (LU) decomposition or factorization factors a matrix as the product
 of a lower triangular matrix and an upper triangular matrix.</t>
  </si>
  <si>
    <t>This is essentially just Gaussian elimination
Original paper is "Method employed in the solution of normal equations and the adjustment of a triangularization"</t>
  </si>
  <si>
    <t>Crout and LUP algorithms</t>
  </si>
  <si>
    <t>https://en.wikipedia.org/wiki/Crout_matrix_decomposition</t>
  </si>
  <si>
    <t>Slight variation of Doolittle</t>
  </si>
  <si>
    <t>Okunev; Johnson</t>
  </si>
  <si>
    <t>Derived: all in-place calculations</t>
  </si>
  <si>
    <t>A* Algorithm</t>
  </si>
  <si>
    <t>https://ieeexplore.ieee.org/document/4082128/</t>
  </si>
  <si>
    <t>b: 7,
d: 8</t>
  </si>
  <si>
    <t>b: branching factor (the average number of successors per state)
d: the depth of the solution (the shortest path)</t>
  </si>
  <si>
    <r>
      <rPr>
        <color rgb="FF1155CC"/>
        <sz val="10.0"/>
        <u/>
      </rPr>
      <t>https://en.wikipedia.org/wiki/A*_search_algorithm:</t>
    </r>
    <r>
      <rPr>
        <sz val="10.0"/>
      </rPr>
      <t xml:space="preserve"> Stores all generated nodes in memory</t>
    </r>
  </si>
  <si>
    <t>https://www.cs.auckland.ac.nz/compsci767s2c/projectReportExamples.d/astarNilsson.pdf</t>
  </si>
  <si>
    <t>Informed search tries to reduce the amount of search that must be done by making
 intelligent choices for the nodes that are selected for expansion.</t>
  </si>
  <si>
    <t>O(b^{(d/2)})</t>
  </si>
  <si>
    <r>
      <rPr>
        <color rgb="FF1155CC"/>
        <sz val="10.0"/>
        <u/>
      </rPr>
      <t>https://arxiv.org/pdf/1703.03868.pdf</t>
    </r>
    <r>
      <rPr>
        <color rgb="FF000000"/>
        <sz val="10.0"/>
      </rPr>
      <t xml:space="preserve"> for experimental results</t>
    </r>
  </si>
  <si>
    <t>Bidirectional A* Algorithm</t>
  </si>
  <si>
    <t>https://www.cs.princeton.edu/courses/archive/spr06/cos423/Handouts/EPP%20shortest%20path%20algorithms.pdf</t>
  </si>
  <si>
    <t>http://theory.stanford.edu/~amitp/GameProgramming/Variations.html</t>
  </si>
  <si>
    <t>$O(b^{(d/2)})$</t>
  </si>
  <si>
    <t>Stores all generated nodes in memory</t>
  </si>
  <si>
    <t>https://en.wikipedia.org/wiki/Bidirectional_search</t>
  </si>
  <si>
    <t>Fringe Saving A* (FSA*)</t>
  </si>
  <si>
    <t>http://idm-lab.org/bib/abstracts/papers/aamas09d.pdf</t>
  </si>
  <si>
    <t>$O(b^d)$</t>
  </si>
  <si>
    <t>Generalized Adaptive A* (GAA*)</t>
  </si>
  <si>
    <t>http://idm-lab.org/bib/abstracts/papers/aamas08b.pdf</t>
  </si>
  <si>
    <t>Iterative Deepening A* (IDA*)</t>
  </si>
  <si>
    <t>https://linkinghub.elsevier.com/retrieve/pii/0004370285900840</t>
  </si>
  <si>
    <t>Jump Point Search (JPS)</t>
  </si>
  <si>
    <t>http://users.cecs.anu.edu.au/~dharabor/data/papers/harabor-grastien-aaai11.pdf</t>
  </si>
  <si>
    <t>Lifelong Planning A* (LPA*)</t>
  </si>
  <si>
    <t>http://idm-lab.org/bib/abstracts/papers/aaai02b.pdf</t>
  </si>
  <si>
    <t>Simplified Memory-Bounded A* (SMA*)</t>
  </si>
  <si>
    <t>https://citeseerx.ist.psu.edu/viewdoc/summary?doi=10.1.1.105.7839</t>
  </si>
  <si>
    <t>Theta*</t>
  </si>
  <si>
    <t>http://idm-lab.org/bib/abstracts/papers/aaai07a.pdf</t>
  </si>
  <si>
    <t>Anytime Repairing A* (ARA*)</t>
  </si>
  <si>
    <t>https://papers.nips.cc/paper/2382-ara-anytime-a-with-provable-bounds-on-sub-optimality.pdf</t>
  </si>
  <si>
    <t>Time-Bounded A* (TBA*)</t>
  </si>
  <si>
    <t>https://www.cs.du.edu/~sturtevant/papers/TBA.pdf</t>
  </si>
  <si>
    <t>Linear searching</t>
  </si>
  <si>
    <t>O(m(n-m+1))</t>
  </si>
  <si>
    <t>Wikipedia claims this is O(n+m)</t>
  </si>
  <si>
    <t>Naïve string-search algorithm</t>
  </si>
  <si>
    <t>https://en.wikipedia.org/wiki/String-searching_algorithm</t>
  </si>
  <si>
    <t>m: 3,
n: 3,
m+n: 5</t>
  </si>
  <si>
    <t>$O(m(n-m+1))$</t>
  </si>
  <si>
    <t>m: pattern length
n: length of searchable text</t>
  </si>
  <si>
    <t>n: 1,
m: 1,
s: 1,
m+n: 1</t>
  </si>
  <si>
    <t>Derived (pointer algorithm)</t>
  </si>
  <si>
    <t>try to find a place where one or several strings (also called patterns) are
 found within a larger string or text.</t>
  </si>
  <si>
    <t>n:m:k
150000:50:8</t>
  </si>
  <si>
    <t>http://citeseerx.ist.psu.edu/viewdoc/download?doi=10.1.1.100.7210&amp;rep=rep1&amp;type=pdf</t>
  </si>
  <si>
    <t>Automaton-based</t>
  </si>
  <si>
    <t>Knuth-Morris-Pratt (KMP) algorithm</t>
  </si>
  <si>
    <t>https://pdfs.semanticscholar.org/4479/9559a1067e06b5a6bf052f8f10637707928f.pdf</t>
  </si>
  <si>
    <t>m: 3,
n: 3,
m+n: 3</t>
  </si>
  <si>
    <t>$O(m+n)$</t>
  </si>
  <si>
    <t>n: 1,
m: 3,
s: 1,
m+n: 3</t>
  </si>
  <si>
    <t>Heuristics-based, bad-character and good-suffix heuristics</t>
  </si>
  <si>
    <t>O(mn + s)</t>
  </si>
  <si>
    <t>Boyer-Moore (BM) algorithm</t>
  </si>
  <si>
    <t>https://www.cs.utexas.edu/users/moore/publications/fstrpos.pdf</t>
  </si>
  <si>
    <t>m: 3,
n: 3,
s: 3,
m+n: 5</t>
  </si>
  <si>
    <t>$O(mn + s)$</t>
  </si>
  <si>
    <t>m: pattern length
n: length of searchable text
s: size of the alphabet</t>
  </si>
  <si>
    <t>n: 1,
m: 1,
s: 3,
m+n: 1</t>
  </si>
  <si>
    <t>O(s)</t>
  </si>
  <si>
    <t>Hashing-based, compare the text and patterns via their hash functions</t>
  </si>
  <si>
    <t>Rabin-Karp (RK) algorithm</t>
  </si>
  <si>
    <t>https://pdfs.semanticscholar.org/c47d/151f09c567013761632c89e237431c6291a2.pdf</t>
  </si>
  <si>
    <t>$O(mn)$</t>
  </si>
  <si>
    <t>Derived: only storing a rolling hash</t>
  </si>
  <si>
    <t>Edit sequence, global alignment</t>
  </si>
  <si>
    <t>Needleman–Wunsch algorithm</t>
  </si>
  <si>
    <t>https://www.sciencedirect.com/science/article/pii/0022283670900574</t>
  </si>
  <si>
    <t>n, m: lengths of input strings; assume n≥m</t>
  </si>
  <si>
    <t>Uses an m*n array, whose contents are of size O(1)</t>
  </si>
  <si>
    <t>a sequence alignment is a way of arranging the sequences of DNA; RNA;
 or protein to identify regions of similarity that may be a consequence of functional;
 structural; or evolutionary relationships between the sequences.</t>
  </si>
  <si>
    <t>n:m
1:1</t>
  </si>
  <si>
    <t>Edit sequence, local alignment</t>
  </si>
  <si>
    <t>Smith–Waterman algorithm</t>
  </si>
  <si>
    <t>https://www.sciencedirect.com/science/article/pii/0022283681900875</t>
  </si>
  <si>
    <t>m: 3,
n: 5,
m+n: 6</t>
  </si>
  <si>
    <t>$O(mn^2)$</t>
  </si>
  <si>
    <t>Edit distance</t>
  </si>
  <si>
    <t>O(mn / log(n))</t>
  </si>
  <si>
    <t>Masek; Patterson</t>
  </si>
  <si>
    <t>https://www.sciencedirect.com/science/article/pii/0022000080900021</t>
  </si>
  <si>
    <t>https://reader.elsevier.com/reader/sd/pii/0022000080900021?token=73AF2A185C2FC6C67F5579CDB00D3B782FF86C4EB03694E1E783EFF5885B871AB0841E8A69D206FB16A1EFF882EB712C</t>
  </si>
  <si>
    <t>m: 3,
n: 3,
m+n: 4.99</t>
  </si>
  <si>
    <t>$O(mn / log(n))$</t>
  </si>
  <si>
    <t>n: 3,
m: 1,
m+n: 3</t>
  </si>
  <si>
    <t>Edit sequence</t>
  </si>
  <si>
    <t>Hirschberg's algorithm</t>
  </si>
  <si>
    <t>FASTA</t>
  </si>
  <si>
    <t>https://www.ncbi.nlm.nih.gov/pubmed/2983426</t>
  </si>
  <si>
    <t>https://en.wikipedia.org/wiki/FASTA</t>
  </si>
  <si>
    <t>Gotoh</t>
  </si>
  <si>
    <t>https://www.sciencedirect.com/science/article/pii/0022283682903989</t>
  </si>
  <si>
    <t>Uses a constant number of m*n arrays, whose contents are of size O(1)</t>
  </si>
  <si>
    <t>Altschul and Erickson</t>
  </si>
  <si>
    <t>https://link.springer.com/article/10.1007/BF02462326</t>
  </si>
  <si>
    <t>Myers and Miller</t>
  </si>
  <si>
    <t>https://academic.oup.com/bioinformatics/article/4/1/11/205106?login=true</t>
  </si>
  <si>
    <t>n: 3,
m: 2,
m+n: 3</t>
  </si>
  <si>
    <t>O(n+log(m))</t>
  </si>
  <si>
    <t>David Sankoff</t>
  </si>
  <si>
    <t>https://www.ncbi.nlm.nih.gov/pmc/articles/PMC427531/</t>
  </si>
  <si>
    <t>Cohen–Sutherland</t>
  </si>
  <si>
    <t>https://books.google.com/books/about/Principles_of_interactive_computer_graph.html?id=inJ8AAAAIAAJ</t>
  </si>
  <si>
    <t>https://www.geeksforgeeks.org/line-clipping-set-1-cohen-sutherland-algorithm/</t>
  </si>
  <si>
    <t>n: number of lines</t>
  </si>
  <si>
    <t>Word/Real RAM</t>
  </si>
  <si>
    <t>Easily derived (O(1) per segment, space can be re-used)</t>
  </si>
  <si>
    <t>line clipping is the process of removing lines or portions of lines outside an area
 of interest. Typically; any line or part thereof which is outside of the viewing
 area is removed.</t>
  </si>
  <si>
    <t>Liang–Barsky</t>
  </si>
  <si>
    <t>https://dl.acm.org/doi/10.1145/357332.357333</t>
  </si>
  <si>
    <t>Convex Polygonal Window; Convex Polyhedral window</t>
  </si>
  <si>
    <t>Cyrus–Beck</t>
  </si>
  <si>
    <t>n: 3,
p: 3</t>
  </si>
  <si>
    <t>n: number of lines
p: number of edges/faces on polygon/polyhedron</t>
  </si>
  <si>
    <t>Easily derived? (O(1) per segment, space can be re-used)</t>
  </si>
  <si>
    <t>Nicholl–Lee–Nicholl</t>
  </si>
  <si>
    <t>https://dl.acm.org/doi/10.1145/37401.37432</t>
  </si>
  <si>
    <t>https://www.cs.drexel.edu/~david/Classes/Talks/McCurdyPresentation.pdf</t>
  </si>
  <si>
    <t>Fast clipping</t>
  </si>
  <si>
    <t>https://www.sciencedirect.com/science/article/pii/0097849387900616</t>
  </si>
  <si>
    <t>Rabin–Scott powerset construction</t>
  </si>
  <si>
    <t>http://www.cs.nuim.ie/~jpower/Courses/Previous/parsing/node9.html</t>
  </si>
  <si>
    <t>n: number of states</t>
  </si>
  <si>
    <t>Derived: besides the O(2^n) output nodes and the O(n) input nodes, there's nothing to store</t>
  </si>
  <si>
    <t>O(n^1.58)</t>
  </si>
  <si>
    <t>Karatsuba Algorithm</t>
  </si>
  <si>
    <t>http://www.mathnet.ru/php/archive.phtml?wshow=paper&amp;jrnid=dan&amp;paperid=26729&amp;option_lang=eng</t>
  </si>
  <si>
    <t>n: 4.58</t>
  </si>
  <si>
    <t>$O(n^{1.58})$</t>
  </si>
  <si>
    <t>n: length of one of the integers, in bits</t>
  </si>
  <si>
    <t>Word RAM?</t>
  </si>
  <si>
    <t>bits</t>
  </si>
  <si>
    <t>Re-use space across recursive subcalls (to obtain the recursion S(n) = S(n/2)+O(n))</t>
  </si>
  <si>
    <t>Multiplication is one of the four elementary mathematical operations of arithmetic;
with the others being addition; subtraction and division.</t>
  </si>
  <si>
    <t>O(log*n) = 12</t>
  </si>
  <si>
    <t>O(n^1.46)</t>
  </si>
  <si>
    <t>Toom-3</t>
  </si>
  <si>
    <t>https://www.ams.org/journals/tran/1969-142-00/S0002-9947-1969-0249212-8/S0002-9947-1969-0249212-8.pdf</t>
  </si>
  <si>
    <t>n: 4.46</t>
  </si>
  <si>
    <t>$O(n^{1.46})$</t>
  </si>
  <si>
    <t>Re-use space across recursive subcalls (to obtain the recursion S(n) = S(n/3)+O(n))</t>
  </si>
  <si>
    <t>Long Multiplication</t>
  </si>
  <si>
    <t>https://en.wikipedia.org/wiki/Multiplication_algorithm</t>
  </si>
  <si>
    <t>Easily derived (needed for intermediate results)</t>
  </si>
  <si>
    <t>Ramer–Douglas–Peucker algorithm</t>
  </si>
  <si>
    <t>https://www.sciencedirect.com/science/article/abs/pii/S0146664X72800170</t>
  </si>
  <si>
    <t>n: number of points (n-1 line segments)</t>
  </si>
  <si>
    <t>Derived: Recursive algorithm that has a worst-case recursion tree depth of O(n), and O(1) info stored per level</t>
  </si>
  <si>
    <t>Visvalingam–Whyatt</t>
  </si>
  <si>
    <t>https://hull-repository.worktribe.com/output/459275</t>
  </si>
  <si>
    <t>Derived: Storing each points effective area</t>
  </si>
  <si>
    <t>Reumann–Witkam</t>
  </si>
  <si>
    <t>Derived: The only auxiliary space used is the current search line and the distance from the next point to the line.</t>
  </si>
  <si>
    <t>http://psimpl.sourceforge.net/reumann-witkam.html</t>
  </si>
  <si>
    <t>Opheim simplification</t>
  </si>
  <si>
    <t>http://dx.doi.org/10.2312/eg.19811012</t>
  </si>
  <si>
    <t>Derived: The only auxiliary space used is the current search ray and the current best, the distances from the next point to the ray and to the ray's origin, candidate point to stay in the simplified line</t>
  </si>
  <si>
    <t>Lang simplification</t>
  </si>
  <si>
    <t>Derived: The only auxiliary space used is the current search line and the distance from a point in the search interval to the search line, which is all $O(1)$ space</t>
  </si>
  <si>
    <t>http://koreascience.or.kr/article/JAKO201300763572495.page</t>
  </si>
  <si>
    <t>Zhao-Saalfeld</t>
  </si>
  <si>
    <t>http://citeseerx.ist.psu.edu/viewdoc/summary?doi=10.1.1.494.7321</t>
  </si>
  <si>
    <t>Derived: There is an auxiliary sleeve set that is $O(n)$ size worst-case</t>
  </si>
  <si>
    <t>Nearest Neighbor Search (NNS)</t>
  </si>
  <si>
    <t>Linear search</t>
  </si>
  <si>
    <t>Derived: Only ever storing the current shortest distance and the corresponding node</t>
  </si>
  <si>
    <t>k-d Tree construction: O(n log n)
NNS: O(log n)</t>
  </si>
  <si>
    <t>Beta distribution B(m, n). See paper for details</t>
  </si>
  <si>
    <t>k-d Tree</t>
  </si>
  <si>
    <t>https://www.geeksforgeeks.org/k-dimensional-tree/</t>
  </si>
  <si>
    <t>k-d Tree construction: $O(n \log n)$
NNS: $O(n)$</t>
  </si>
  <si>
    <t>R-Tree construction: O(n log n)
NNS: O(log n)</t>
  </si>
  <si>
    <t>R-tree</t>
  </si>
  <si>
    <t>http://www-db.deis.unibo.it/courses/SI-LS/papers/Gut84.pdf</t>
  </si>
  <si>
    <t>R-Tree construction: $O(n \log n)$
NNS: $O(n)$</t>
  </si>
  <si>
    <t>O(log n)</t>
  </si>
  <si>
    <r>
      <rPr>
        <color rgb="FF1155CC"/>
        <sz val="10.0"/>
        <u/>
      </rPr>
      <t>https://www.sciencedirect.com/science/article/pii/S1877050915019675</t>
    </r>
    <r>
      <rPr>
        <sz val="10.0"/>
      </rPr>
      <t>, Table 2</t>
    </r>
  </si>
  <si>
    <t>O(2^{(n/2)})</t>
  </si>
  <si>
    <t>Horowitz and Sahni</t>
  </si>
  <si>
    <t>https://dl.acm.org/doi/10.1145/321812.321823</t>
  </si>
  <si>
    <t>$O(2^{(n/2)})$</t>
  </si>
  <si>
    <t>n: the number of integers in the set</t>
  </si>
  <si>
    <t>n: 8,
t: 1</t>
  </si>
  <si>
    <t>O(n t)</t>
  </si>
  <si>
    <t>Bellman dynamic programming algorithm</t>
  </si>
  <si>
    <t>https://onlinelibrary.wiley.com/doi/10.1002/nav.3800030107</t>
  </si>
  <si>
    <t>n: 3,
t: 3</t>
  </si>
  <si>
    <t>$O(n t)$</t>
  </si>
  <si>
    <t>n: the number of integers in the set
t: the target sum</t>
  </si>
  <si>
    <r>
      <rPr>
        <color rgb="FF1155CC"/>
        <sz val="10.0"/>
        <u/>
      </rPr>
      <t>https://dl.acm.org/doi/pdf/10.1145/3329863</t>
    </r>
    <r>
      <rPr>
        <sz val="10.0"/>
      </rPr>
      <t>, Table 1</t>
    </r>
  </si>
  <si>
    <t>https://en.wikipedia.org/wiki/Subset_sum_problem</t>
  </si>
  <si>
    <t>O(n max(S))</t>
  </si>
  <si>
    <t>Psinger</t>
  </si>
  <si>
    <t>https://www.sciencedirect.com/science/article/abs/pii/S0196677499910349</t>
  </si>
  <si>
    <t>n: 3,
max(S): 3</t>
  </si>
  <si>
    <t>$O(n max(S))$</t>
  </si>
  <si>
    <t>n: the number of integers in the set
max(S): largest number in the set</t>
  </si>
  <si>
    <r>
      <rPr>
        <color rgb="FF1155CC"/>
        <sz val="10.0"/>
        <u/>
      </rPr>
      <t>https://dl.acm.org/doi/pdf/10.1145/3329863</t>
    </r>
    <r>
      <rPr>
        <sz val="10.0"/>
      </rPr>
      <t>, Table 1</t>
    </r>
  </si>
  <si>
    <t>Koiliaris and Xu</t>
  </si>
  <si>
    <t>n: 4,
t: 4.25,
\sigma: 3</t>
  </si>
  <si>
    <t>$\tilde{O}(min{\sqrt{n'}t, t^{5/4}, σ})$</t>
  </si>
  <si>
    <t>n': the number of distinct elements in the set
t: the target sum
σ: sum of elements in the set</t>
  </si>
  <si>
    <r>
      <rPr>
        <color rgb="FF1155CC"/>
        <sz val="10.0"/>
        <u/>
      </rPr>
      <t>https://dl.acm.org/doi/pdf/10.1145/3329863</t>
    </r>
    <r>
      <rPr>
        <sz val="10.0"/>
      </rPr>
      <t>, Table 1</t>
    </r>
  </si>
  <si>
    <t>\tilde{O}(nt^{1+\epsilon})</t>
  </si>
  <si>
    <t>Bringman</t>
  </si>
  <si>
    <t>https://arxiv.org/abs/1610.04712</t>
  </si>
  <si>
    <t>n: 4,
t: 4.01</t>
  </si>
  <si>
    <t>$\tilde{O}(nt^{1+\epsilon})$</t>
  </si>
  <si>
    <t>n: the number of integers in the set
t: the target sum
\epsilon: any positive constant</t>
  </si>
  <si>
    <t>n: 3,
t: 5?</t>
  </si>
  <si>
    <t>\tilde{O}(nt^\epsilon)</t>
  </si>
  <si>
    <t>(n+t)^{-\Omega(1)} error</t>
  </si>
  <si>
    <t>"Any distribution/runtime same regardless of input"</t>
  </si>
  <si>
    <t>(same general behavior regardless of input)</t>
  </si>
  <si>
    <t>n: length of array</t>
  </si>
  <si>
    <t>keep track of which subarray is being computed, along with current maximum</t>
  </si>
  <si>
    <t>https://en.wikipedia.org/wiki/Maximum_subarray_problem</t>
  </si>
  <si>
    <t>Grenander</t>
  </si>
  <si>
    <t>3-&gt;4</t>
  </si>
  <si>
    <t>storing precomputed cumulative sums</t>
  </si>
  <si>
    <t>Faster Brute Force (via x[L:U] = x[L:U-1]+x[U])</t>
  </si>
  <si>
    <t>https://dl.acm.org/doi/pdf/10.1145/358234.381162</t>
  </si>
  <si>
    <t>Shamos</t>
  </si>
  <si>
    <t>O(\log n)</t>
  </si>
  <si>
    <t>keep track of recursive maximums</t>
  </si>
  <si>
    <t>Kadane's Algorithm</t>
  </si>
  <si>
    <t>keep track of current tail sum and best sum</t>
  </si>
  <si>
    <t>Perumalla and Deo</t>
  </si>
  <si>
    <t>https://citeseerx.ist.psu.edu/viewdoc/download?doi=10.1.1.24.1291&amp;rep=rep1&amp;type=pdf</t>
  </si>
  <si>
    <t>EREW PRAM</t>
  </si>
  <si>
    <t>constant number of arrays as outlined in algorithm</t>
  </si>
  <si>
    <t>O(n/log n)</t>
  </si>
  <si>
    <t>O(n^2m \sigma)</t>
  </si>
  <si>
    <t>Speller</t>
  </si>
  <si>
    <t>https://link.springer.com/chapter/10.1007/BFb0054337</t>
  </si>
  <si>
    <t>m: 3,
n: 5,
\sigma: 3,
mn: 5.5</t>
  </si>
  <si>
    <t>$O(mn^2 \sigma)$</t>
  </si>
  <si>
    <t>$n$: size of set of input strings
$m$: size of input strings
$k$: length of substrings
$\sigma$: function V(k, m) defined as the number of k-mers that are at most m Hamming distance from the motif space
$w$: size of a word machine</t>
  </si>
  <si>
    <t>m: 3,
n: 5,
k: 1,
mn: 5.5</t>
  </si>
  <si>
    <t>O(mn^2/w)</t>
  </si>
  <si>
    <t>https://www.ncbi.nlm.nih.gov/pmc/articles/PMC2966288/pdf/1471-2105-11-S8-S1.pdf</t>
  </si>
  <si>
    <t>O(k nm \sigma)</t>
  </si>
  <si>
    <t>Mitra</t>
  </si>
  <si>
    <t>https://pubmed.ncbi.nlm.nih.gov/12169566/</t>
  </si>
  <si>
    <t>m: 3,
n: 3,
k: 3,
\sigma: 3,
mn: 3</t>
  </si>
  <si>
    <t>$O(k nm \sigma)$</t>
  </si>
  <si>
    <t>m: 3,
n: 3,
k: 3,
mn: 3</t>
  </si>
  <si>
    <t>O(mnk)</t>
  </si>
  <si>
    <t>Census</t>
  </si>
  <si>
    <t>https://link.springer.com/chapter/10.1007/978-3-540-45078-8_5</t>
  </si>
  <si>
    <t>Risotto</t>
  </si>
  <si>
    <t>https://link.springer.com/chapter/10.1007/11682462_69</t>
  </si>
  <si>
    <t>O(nm^2 \sigma)</t>
  </si>
  <si>
    <t>PMS</t>
  </si>
  <si>
    <t>https://ieeexplore.ieee.org/abstract/document/4359890</t>
  </si>
  <si>
    <t>m: 5,
n: 3,
\sigma: 3,
mn: 5.5</t>
  </si>
  <si>
    <t>$O(nm^2 \sigma)$</t>
  </si>
  <si>
    <t>m: 5,
n: 3,
k: 1,
mn: 5.5</t>
  </si>
  <si>
    <t>O(m^2 n)</t>
  </si>
  <si>
    <t>O(n*2^n)</t>
  </si>
  <si>
    <t>$O(n*2^n)$</t>
  </si>
  <si>
    <t>n: length of rod</t>
  </si>
  <si>
    <t>easily derived</t>
  </si>
  <si>
    <t>https://en.wikipedia.org/wiki/Dynamic_programming
 https://web.stanford.edu/class/archive/cs/cs161/cs161.1168/lecture12.pdf</t>
  </si>
  <si>
    <t>https://www.geeksforgeeks.org/cutting-a-rod-dp-13/</t>
  </si>
  <si>
    <t>1-&gt;4</t>
  </si>
  <si>
    <t>https://en.wikipedia.org/wiki/Dynamic_programming
https://web.stanford.edu/class/archive/cs/cs161/cs161.1168/lecture12.pdf</t>
  </si>
  <si>
    <t>O(S^n)</t>
  </si>
  <si>
    <t>https://en.wikipedia.org/wiki/Change-making_problem#:~:text=It%20is%20also%20the%20most,the%20order%20of%20the%20coins.</t>
  </si>
  <si>
    <t>n: 8,
S: 7</t>
  </si>
  <si>
    <t>$O(S^n)$</t>
  </si>
  <si>
    <t>n: number of coin denominations
S: sum to be made</t>
  </si>
  <si>
    <t>https://en.wikipedia.org/wiki/Change-making_problem</t>
  </si>
  <si>
    <t>O(Sn)</t>
  </si>
  <si>
    <t>n: 5,
S: 3</t>
  </si>
  <si>
    <t>$O(Sn)$</t>
  </si>
  <si>
    <t>$O(\log n)$</t>
  </si>
  <si>
    <t>Czumaj</t>
  </si>
  <si>
    <t>n: number of matrices in chain</t>
  </si>
  <si>
    <t>CREW PRAM</t>
  </si>
  <si>
    <t>words?</t>
  </si>
  <si>
    <t>Derived: solving the optimal triangulation problem of a convex polygon where there are $n+1$ vertices and $n+1$, so total $O(n)$ auxiliary space</t>
  </si>
  <si>
    <t>n/a</t>
  </si>
  <si>
    <t>$n / \log n$</t>
  </si>
  <si>
    <t>n: 1.99</t>
  </si>
  <si>
    <t>COMMON CRCW PRAM</t>
  </si>
  <si>
    <t>$n / \log \log n$</t>
  </si>
  <si>
    <t>Chandra</t>
  </si>
  <si>
    <t>https://www.worldcat.org/title/computing-matrix-chain-products-in-near-optimal-time/oclc/727708286</t>
  </si>
  <si>
    <t>$O(n)$?</t>
  </si>
  <si>
    <t>Derived: cannot find pdf of original paper or any description of the actual algorithm, but likely the same space as Chin's algorithm</t>
  </si>
  <si>
    <t>Chin</t>
  </si>
  <si>
    <t>https://dl.acm.org/citation.cfm?id=359556</t>
  </si>
  <si>
    <t>Derived: There are a few auxiliary variables, only one of which is variable length. That is a list of length $O(n)$.</t>
  </si>
  <si>
    <t>O(n^{2.7799})</t>
  </si>
  <si>
    <t>Bini's algorithm</t>
  </si>
  <si>
    <t>https://doi.org/10.1016/0020-0190(79)90113-3</t>
  </si>
  <si>
    <t>n: 5.7799,
n^2: 4.38995</t>
  </si>
  <si>
    <t>$O(n^{2.7799})$</t>
  </si>
  <si>
    <t>Derived: Same idea as Strassen's, plus three additional nxn matrices</t>
  </si>
  <si>
    <t>$O(n logn)$ error</t>
  </si>
  <si>
    <t>O(n^{(3*log52/log110)}) ~ O(n^{2.5218})</t>
  </si>
  <si>
    <t>Schonhage's algorithm</t>
  </si>
  <si>
    <t>https://epubs.siam.org/doi/abs/10.1137/0210032</t>
  </si>
  <si>
    <t>n: 5.5218,
n^2: 4.2609</t>
  </si>
  <si>
    <t>$O(n^{(3*\log 52/l \og 110)}) ~ O(n^{2.5218})$</t>
  </si>
  <si>
    <t>O(n^{3/14}) coloring a 3-colorable graph</t>
  </si>
  <si>
    <t>O(poly(V))</t>
  </si>
  <si>
    <t>Karger, Blum</t>
  </si>
  <si>
    <t>http://citeseerx.ist.psu.edu/viewdoc/summary?doi=10.1.1.36.4204</t>
  </si>
  <si>
    <t>n: 7</t>
  </si>
  <si>
    <t>$O(poly(n))$</t>
  </si>
  <si>
    <t>n: number of nodes
m: number of edges</t>
  </si>
  <si>
    <t/>
  </si>
  <si>
    <t>$\tilde{O}(n^{3/14})$</t>
  </si>
  <si>
    <t>Brélaz (DSatur)</t>
  </si>
  <si>
    <t>https://dl.acm.org/doi/10.1145/359094.359101</t>
  </si>
  <si>
    <t>n: 5,
m: 3</t>
  </si>
  <si>
    <t>Derived using adjacency lists</t>
  </si>
  <si>
    <t>O(V^0.5 E)</t>
  </si>
  <si>
    <t>https://link.springer.com/content/pdf/10.1007/PL00009186.pdf</t>
  </si>
  <si>
    <t>Micali and Vazirani</t>
  </si>
  <si>
    <t>https://ieeexplore.ieee.org/document/4567800</t>
  </si>
  <si>
    <t>V: 5.5,
E: 3</t>
  </si>
  <si>
    <t>$O(V^{0.5} E)$</t>
  </si>
  <si>
    <t>V: #nodes
E: #edges</t>
  </si>
  <si>
    <t>Restricted Randomness (RR)</t>
  </si>
  <si>
    <t>V: 3</t>
  </si>
  <si>
    <t>https://ieeexplore.ieee.org/stamp/stamp.jsp?tp=&amp;arnumber=4567800</t>
  </si>
  <si>
    <t>the goal is to find a matching with as many edges as possible
 (equivalently: a matching that covers as many vertices as possible).</t>
  </si>
  <si>
    <t>ILP formulation</t>
  </si>
  <si>
    <t xml:space="preserve">Miller-Tucker-Zemlin (MTZ) formulation </t>
  </si>
  <si>
    <t>https://dl.acm.org/doi/10.1145/321043.321046</t>
  </si>
  <si>
    <t>V: 8</t>
  </si>
  <si>
    <t>$exp(V)$</t>
  </si>
  <si>
    <t>V: number of vertices
E: number of edges</t>
  </si>
  <si>
    <t>Derived: Integer programming is NP-hard and this uses O(V^2) constraints on O(V^2) variables</t>
  </si>
  <si>
    <t>V:7</t>
  </si>
  <si>
    <t>O(V^4)</t>
  </si>
  <si>
    <t>Derived: V^2 + 2V constraints on V^2 variables, most integer programs use space of O(nm) where n=#vars and m=#constraints</t>
  </si>
  <si>
    <t>O(1.674^V E^2)</t>
  </si>
  <si>
    <t>Dantzig-Fulkerson-Johnson (DFJ) formulation</t>
  </si>
  <si>
    <t>https://doi.org/10.1287/opre.2.4.393</t>
  </si>
  <si>
    <t>V: 8,
E: 5</t>
  </si>
  <si>
    <t>$O(1.674^V E^2)$</t>
  </si>
  <si>
    <t>O(2^V)</t>
  </si>
  <si>
    <t>http://web.ist.utl.pt/~ist11038/CD_Casquilho/TSP1992EJOR_Laporte.pdf</t>
  </si>
  <si>
    <t>Geometric Maximum TSP</t>
  </si>
  <si>
    <t>Tunneling</t>
  </si>
  <si>
    <t>O(V^2 loglogE)</t>
  </si>
  <si>
    <t>Barvinok</t>
  </si>
  <si>
    <t>https://dl.acm.org/doi/10.1145/876638.876640</t>
  </si>
  <si>
    <t>V: 5.01,
E: 1.99</t>
  </si>
  <si>
    <t>$O(V^2 \log\log E)$</t>
  </si>
  <si>
    <t>memory cells</t>
  </si>
  <si>
    <t>O(V)?</t>
  </si>
  <si>
    <t>Derived: One memory cell per tunnel-city pair, with one tunnel total</t>
  </si>
  <si>
    <r>
      <rPr/>
      <t xml:space="preserve">Experimental results here: </t>
    </r>
    <r>
      <rPr>
        <color rgb="FF1155CC"/>
        <u/>
      </rPr>
      <t>https://ieeexplore.ieee.org/stamp/stamp.jsp?tp=&amp;arnumber=4739758</t>
    </r>
  </si>
  <si>
    <t>Harris and Stephens algorithm</t>
  </si>
  <si>
    <t>http://www.bmva.org/bmvc/1988/avc-88-023.pdf</t>
  </si>
  <si>
    <t>https://www.mdpi.com/2076-3417/10/2/443/htm</t>
  </si>
  <si>
    <t>L. Kitchen and A. Rosenfeld</t>
  </si>
  <si>
    <t>https://www.sciencedirect.com/science/article/abs/pii/0167865582900204</t>
  </si>
  <si>
    <t>n: size of neighborhood around pixel</t>
  </si>
  <si>
    <r>
      <rPr/>
      <t xml:space="preserve">Experimental results here: </t>
    </r>
    <r>
      <rPr>
        <color rgb="FF1155CC"/>
        <u/>
      </rPr>
      <t>https://ieeexplore.ieee.org/stamp/stamp.jsp?tp=&amp;arnumber=4739758</t>
    </r>
  </si>
  <si>
    <t>The SUSAN corner detector</t>
  </si>
  <si>
    <t>O(dn^2)</t>
  </si>
  <si>
    <t>Chvatal greedy heuristic</t>
  </si>
  <si>
    <t>https://www.jstor.org/stable/3689577#metadata_info_tab_contents</t>
  </si>
  <si>
    <t>n: 5,
d: 3</t>
  </si>
  <si>
    <t>$O(dn^2)$</t>
  </si>
  <si>
    <t>n: number of elements in the universe
d: size of the largest set in S
m: number of sets in S</t>
  </si>
  <si>
    <t>d: 3,
m: 3,
n: 5</t>
  </si>
  <si>
    <t>O(dm)</t>
  </si>
  <si>
    <t>Derived -- worst case, updating each set in S to be something else and we don't want to change the input</t>
  </si>
  <si>
    <t>ln n - lnln n + \Theta(1)</t>
  </si>
  <si>
    <t>http://dl.acm.org/citation.cfm?id=237991</t>
  </si>
  <si>
    <t>Alon; Moshkovitz &amp; Safra</t>
  </si>
  <si>
    <t>https://dl.acm.org/doi/pdf/10.1145/1150334.1150336</t>
  </si>
  <si>
    <t>$O(nlogn)$</t>
  </si>
  <si>
    <t>n: number of elements in the universe</t>
  </si>
  <si>
    <t>Roth AlignACE</t>
  </si>
  <si>
    <t>https://www.ncbi.nlm.nih.gov/pubmed/9788350</t>
  </si>
  <si>
    <t>$O(nm)$</t>
  </si>
  <si>
    <t>n: 3,
m: 3,
mn: 2</t>
  </si>
  <si>
    <t>O(n^2 k/r)</t>
  </si>
  <si>
    <t>Petro Vlahos Algorithm</t>
  </si>
  <si>
    <t>$O(n^2 k/r)$</t>
  </si>
  <si>
    <t>n: number of images?
k: number of pixels in each image?</t>
  </si>
  <si>
    <t>O(nk)??</t>
  </si>
  <si>
    <t>Keeps track of all pixels across all images</t>
  </si>
  <si>
    <t>non-parametric sampling Efros and Leung</t>
  </si>
  <si>
    <t>https://ieeexplore.ieee.org/abstract/document/790383</t>
  </si>
  <si>
    <t>n: number of pixels in input image</t>
  </si>
  <si>
    <t>O(N log n)</t>
  </si>
  <si>
    <t>image analogies Hertzmann</t>
  </si>
  <si>
    <t>https://dl.acm.org/doi/abs/10.1145/383259.383295</t>
  </si>
  <si>
    <t>N: 3,
n: 4</t>
  </si>
  <si>
    <t>$O(N \log n)$</t>
  </si>
  <si>
    <t>n: number of pixels in input image
N: number of pixels in output image</t>
  </si>
  <si>
    <t>R. Paget ; I.D. Longstaff</t>
  </si>
  <si>
    <t>https://ieeexplore.ieee.org/abstract/document/679446</t>
  </si>
  <si>
    <t>Image quilting Efros-Freeman</t>
  </si>
  <si>
    <t>https://dl.acm.org/doi/abs/10.1145/383259.383296</t>
  </si>
  <si>
    <t>don't think "avg case distribution" makes sense here</t>
  </si>
  <si>
    <t>EKF SLAM</t>
  </si>
  <si>
    <t>n: number of dimensions in state space</t>
  </si>
  <si>
    <t>Real RAM?</t>
  </si>
  <si>
    <t>O(n^2)?</t>
  </si>
  <si>
    <t>(can be easily derived? it's mostly square matrices here)</t>
  </si>
  <si>
    <t>https://www.researchgate.net/figure/Computational-Complexity-of-Different-Forms-of-Unscented-Kalman-Filter_tbl1_220398698
https://www.researchgate.net/publication/283824088_Computational_cost_analysis_of_extended_Kalman_filter_in_simultaneous_localization_and_mapping_EKF-SLAM_problem_for_autonomous_vehicle
https://www.researchgate.net/figure/Computational-Complexity-of-Different-Forms-of-Unscented-Kalman-Filter_tbl1_220398698</t>
  </si>
  <si>
    <t>UKF</t>
  </si>
  <si>
    <t>https://www.seas.harvard.edu/courses/cs281/papers/unscented.pdf</t>
  </si>
  <si>
    <t>(see above)</t>
  </si>
  <si>
    <t>Compressed Extended KF</t>
  </si>
  <si>
    <t>https://citeseerx.ist.psu.edu/viewdoc/download?doi=10.1.1.206.999&amp;rep=rep1&amp;type=pdf</t>
  </si>
  <si>
    <t>Rao-Blackwellized Particle Filtering SLAM</t>
  </si>
  <si>
    <t>https://papers.nips.cc/paper/1716-bayesian-map-learning-in-dynamic-environments.pdf</t>
  </si>
  <si>
    <t>O(n)?</t>
  </si>
  <si>
    <t>(based on Section 4 of the paper?)</t>
  </si>
  <si>
    <t>Petford and Welsh</t>
  </si>
  <si>
    <t>https://www.sciencedirect.com/science/article/pii/0012365X89902148</t>
  </si>
  <si>
    <t>1-&gt;5</t>
  </si>
  <si>
    <t>n: #vertices</t>
  </si>
  <si>
    <t>Derived: we store the coloring of each vertex in a dictionary and the maximum size of this dictionary is equal to the number of vertices in the graph, n.</t>
  </si>
  <si>
    <t>Fomin; Gaspers &amp; Saurabh</t>
  </si>
  <si>
    <t>https://www.researchgate.net/publication/221426668_Improved_Exact_Algorithms_for_Counting_3-_and_4-Colorings</t>
  </si>
  <si>
    <t>$O(1.7272^n)$</t>
  </si>
  <si>
    <t>n: #vertices
m: #edges</t>
  </si>
  <si>
    <t>Derived: we store the sets I and C (in algorithm enumIS), and the maximum size of these sets is equal to the number of vertices in the graph. The algorithm also stores the solution sets S1 and S2, which have a maximum size equal to the number of vertices in the graph. We also call a 3-coloring algorithm, which likely has O(n) space complexity</t>
  </si>
  <si>
    <t>Randomized Sieve</t>
  </si>
  <si>
    <t>Khuller; Matias</t>
  </si>
  <si>
    <t>https://www.sciencedirect.com/science/article/pii/S0890540185710498</t>
  </si>
  <si>
    <t>n: #points</t>
  </si>
  <si>
    <t>O(n), not sure if this is auxiliary</t>
  </si>
  <si>
    <r>
      <rPr>
        <color rgb="FF1155CC"/>
        <sz val="10.0"/>
        <u/>
      </rPr>
      <t>https://www.sciencedirect.com/science/article/pii/S0890540185710498</t>
    </r>
    <r>
      <rPr>
        <sz val="10.0"/>
      </rPr>
      <t>, Theorem 2.3</t>
    </r>
  </si>
  <si>
    <t>O(n^2.376)</t>
  </si>
  <si>
    <t>Bunch; Hopcroft</t>
  </si>
  <si>
    <t>https://dl.acm.org/citation.cfm?id=248979</t>
  </si>
  <si>
    <t>https://www.ams.org/journals/mcom/1974-28-125/S0025-5718-1974-0331751-8/</t>
  </si>
  <si>
    <t>n: 5.376,
n^2: 4.188</t>
  </si>
  <si>
    <t>$O(n^{2.376})$</t>
  </si>
  <si>
    <t>n: 5.01,
n^2: 4</t>
  </si>
  <si>
    <t>$\tilde{O}(n^2)$</t>
  </si>
  <si>
    <t>Derived: Uses Strassen multiplication and a constant number of $n \times n$ auxiliary matrices</t>
  </si>
  <si>
    <t>Bitap algorithm</t>
  </si>
  <si>
    <t>https://en.wikipedia.org/wiki/Bitap_algorithm</t>
  </si>
  <si>
    <t>m: pattern length
n: text length</t>
  </si>
  <si>
    <t>n: 1,
m: 3,
m+n: 3</t>
  </si>
  <si>
    <t>$O(m)$</t>
  </si>
  <si>
    <t>Derived: Uses a bit array of size $O(m)$</t>
  </si>
  <si>
    <t>n:m
9:1</t>
  </si>
  <si>
    <t>(derive from lower + upper bounds)</t>
  </si>
  <si>
    <t>Tree sort</t>
  </si>
  <si>
    <t>https://link.springer.com/chapter/10.1007/978-1-349-08147-9_4</t>
  </si>
  <si>
    <t>Derived: Need some way to store the tree of elements, so we need $O(n)$ auxiliary space.</t>
  </si>
  <si>
    <t>https://academic.oup.com/comjnl/article/5/1/10/395338?login=true</t>
  </si>
  <si>
    <t>Quick Sort</t>
  </si>
  <si>
    <t>https://apps.dtic.mil/dtic/tr/fulltext/u2/740110.pdf</t>
  </si>
  <si>
    <t>O(n*log n)</t>
  </si>
  <si>
    <t>uniform distribution over all possible permutations (implicit; reference says runtime is O(n+n*log(rho)) where rho is number of runs but expected value of rho is Theta(n)</t>
  </si>
  <si>
    <t>https://drops.dagstuhl.de/opus/volltexte/2018/9467/</t>
  </si>
  <si>
    <t>Tim Sort</t>
  </si>
  <si>
    <t>$O(n logn)$</t>
  </si>
  <si>
    <t>https://en.wikipedia.org/wiki/Timsort</t>
  </si>
  <si>
    <r>
      <rPr>
        <rFont val="Arial"/>
        <color theme="1"/>
        <sz val="10.0"/>
      </rPr>
      <t xml:space="preserve">Cube Sort </t>
    </r>
    <r>
      <rPr>
        <rFont val="Arial"/>
        <b/>
        <color theme="1"/>
        <sz val="10.0"/>
      </rPr>
      <t>Parallel Implementation</t>
    </r>
  </si>
  <si>
    <t>https://www.sciencedirect.com/science/article/pii/0196677492900166?via%3Dihub</t>
  </si>
  <si>
    <t>Parallel RAM</t>
  </si>
  <si>
    <t>https://en.wikipedia.org/wiki/Cubesort</t>
  </si>
  <si>
    <t>&lt;= potentially open?</t>
  </si>
  <si>
    <t>Shell Sort (Shell)</t>
  </si>
  <si>
    <t>https://dl.acm.org/citation.cfm?doid=368370.368387</t>
  </si>
  <si>
    <t>in-situ sorting</t>
  </si>
  <si>
    <t>https://en.wikipedia.org/wiki/Shellsort</t>
  </si>
  <si>
    <t>O(n^1.5)</t>
  </si>
  <si>
    <t>&lt;= I think this is an open problem to determine if there's a better average-case bound</t>
  </si>
  <si>
    <t>Shell Sort (Frank &amp; Lazarus)</t>
  </si>
  <si>
    <t>https://dl.acm.org/citation.cfm?doid=366947.366957</t>
  </si>
  <si>
    <t>n: 4.5</t>
  </si>
  <si>
    <t>$O(n^{1.5})$</t>
  </si>
  <si>
    <t>None</t>
  </si>
  <si>
    <t>O(n log² n)</t>
  </si>
  <si>
    <t>Shell Sort (Pratt)</t>
  </si>
  <si>
    <t>https://apps.dtic.mil/sti/pdfs/AD0740110.pdf</t>
  </si>
  <si>
    <t>n: 4.01</t>
  </si>
  <si>
    <t>$O(n \log^2 n)$</t>
  </si>
  <si>
    <t>O(n^1.33)</t>
  </si>
  <si>
    <t>Shell Sort (Sedgewick)</t>
  </si>
  <si>
    <t>https://www.sciencedirect.com/science/article/pii/0196677486900015?via%3Dihub</t>
  </si>
  <si>
    <t>n: 4.33</t>
  </si>
  <si>
    <t>$O(n^{1.33})$</t>
  </si>
  <si>
    <t>O(log² n)</t>
  </si>
  <si>
    <r>
      <rPr>
        <rFont val="Arial"/>
        <color theme="1"/>
        <sz val="10.0"/>
      </rPr>
      <t xml:space="preserve">Bitonic Merge Sort </t>
    </r>
    <r>
      <rPr>
        <rFont val="Arial"/>
        <b/>
        <color theme="1"/>
        <sz val="10.0"/>
      </rPr>
      <t>Parallel Implementation</t>
    </r>
  </si>
  <si>
    <t>https://epubs.siam.org/doi/abs/10.1137/0218014</t>
  </si>
  <si>
    <t>$O(\log^2 n)$</t>
  </si>
  <si>
    <t>PRAC (shared-memory multiprocessor of the EREW PRAM variety)</t>
  </si>
  <si>
    <t>Paper claims "logspace uniform", so with O(log n) words, this is constant # of words</t>
  </si>
  <si>
    <t>n/log(n)</t>
  </si>
  <si>
    <t>O(n loglogn)</t>
  </si>
  <si>
    <t>Thorup's Sorting Algorithm</t>
  </si>
  <si>
    <t>https://www.sciencedirect.com/science/article/pii/S0196677402912113</t>
  </si>
  <si>
    <t>$O(n \log \log n)$</t>
  </si>
  <si>
    <t>uniform distribution over all possible permutations?</t>
  </si>
  <si>
    <t>can consider expected number of swaps per element</t>
  </si>
  <si>
    <t>Flash Sort</t>
  </si>
  <si>
    <t>http://www.neubert.net/FSOIntro.html</t>
  </si>
  <si>
    <r>
      <rPr>
        <color rgb="FF1155CC"/>
        <sz val="10.0"/>
        <u/>
      </rPr>
      <t>http://www.neubert.net/FSOIntro.html</t>
    </r>
    <r>
      <rPr>
        <sz val="10.0"/>
      </rPr>
      <t>, "array of size # of different keys"</t>
    </r>
  </si>
  <si>
    <r>
      <rPr>
        <rFont val="Arial"/>
        <color theme="1"/>
        <sz val="10.0"/>
      </rPr>
      <t xml:space="preserve">uniform distribution over all sets of </t>
    </r>
    <r>
      <rPr>
        <rFont val="Arial"/>
        <b/>
        <color theme="1"/>
        <sz val="10.0"/>
      </rPr>
      <t>positive</t>
    </r>
    <r>
      <rPr>
        <rFont val="Arial"/>
        <color theme="1"/>
        <sz val="10.0"/>
      </rPr>
      <t xml:space="preserve"> key values</t>
    </r>
  </si>
  <si>
    <t>Bead Sort</t>
  </si>
  <si>
    <t>https://web.archive.org/web/20170809110409/https://www.cs.auckland.ac.nz/~jaru003/research/publications/journals/beadsort.pdf</t>
  </si>
  <si>
    <t>Any distribution (runtime is same regardless of input)?</t>
  </si>
  <si>
    <t>Burst Sort</t>
  </si>
  <si>
    <t>https://dl.acm.org/citation.cfm?doid=1005813.1041517</t>
  </si>
  <si>
    <t>n: 4,
w: 3</t>
  </si>
  <si>
    <t>$O(wn)$</t>
  </si>
  <si>
    <t>Lots of distributions (uniform, Gaussian, etc.)</t>
  </si>
  <si>
    <t>https://www.semanticscholar.org/paper/The-Spreadsort-High-performance-General-case-Ross/41f5b49e9843b2d98b6b22a84924dae5761e6e52</t>
  </si>
  <si>
    <t>Spreadsort</t>
  </si>
  <si>
    <t>(can be easily derived?)</t>
  </si>
  <si>
    <t>https://en.wikipedia.org/wiki/Spreadsort#cite_note-1
https://www.ijser.org/researchpaper/Evaluation-of-Sorting-Algorithms-Mathematical-and-Empirical-Analysis-of-sorting-Algorithms.pdf</t>
  </si>
  <si>
    <t>input values are uniformly distributed over a given range? wikipedia claims expected O(sqrt(n))</t>
  </si>
  <si>
    <t>Hashing</t>
  </si>
  <si>
    <t>Derived: size of hashtable</t>
  </si>
  <si>
    <t>(same behavior across inputs)</t>
  </si>
  <si>
    <t>T. C. Hu ; M. T. Shing</t>
  </si>
  <si>
    <t>https://doi.org/10.1137/0211028</t>
  </si>
  <si>
    <t>http://www.cs.ust.hk/mjg_lib/bibs/DPSu/DPSu.Files/0213017.pdf</t>
  </si>
  <si>
    <t>3-&gt;5</t>
  </si>
  <si>
    <t>can be derived?</t>
  </si>
  <si>
    <t>O((n^2/k) \log n)</t>
  </si>
  <si>
    <t>Average case value of $p$ is $n^2/k$ where $k = |\Sigma|$</t>
  </si>
  <si>
    <t>https://dl.acm.org/doi/10.1145/74697.74702</t>
  </si>
  <si>
    <t>Hunt and Szymanski</t>
  </si>
  <si>
    <t>http://www.cs.ust.hk/mjg_lib/bibs/DPSu/DPSu.Files/HuSz77.pdf</t>
  </si>
  <si>
    <t>n: 4,
p: 3,
m+n: 3</t>
  </si>
  <si>
    <t>$O((n + p) \log n)$</t>
  </si>
  <si>
    <t>$n$: length of the longer input string
$m$: length of the shorter input string
$p$: the number of dominant matches (AKA number of minimal candidates), i.e. the total number of ordered pairs of positions at which the two sequences match
$k$: $|\Sigma|$</t>
  </si>
  <si>
    <t>n: 3,
p: 3,
m+n: 3</t>
  </si>
  <si>
    <t>$O(p + n)$</t>
  </si>
  <si>
    <t>1. O(m + n)
2. O((m+ n)\log(m+ n))</t>
  </si>
  <si>
    <t>1. Finite alphabet
2. Infinite alphabet</t>
  </si>
  <si>
    <t>https://www.sciencedirect.com/science/article/pii/0020025580900250</t>
  </si>
  <si>
    <t>Mukhopadhyay</t>
  </si>
  <si>
    <t>O(V^2EU)</t>
  </si>
  <si>
    <t>Dantzig</t>
  </si>
  <si>
    <t>V: 7,
E: 3,
U: 3</t>
  </si>
  <si>
    <t>$O(V^2EU)$</t>
  </si>
  <si>
    <t>V: 6,
E: 3</t>
  </si>
  <si>
    <t>O(VE)?</t>
  </si>
  <si>
    <t>Assuming this is referring to translating maximum flow into linear programming and using the simplex algorithm, this requires $O(VE)$ space.</t>
  </si>
  <si>
    <t>O(VELogU)</t>
  </si>
  <si>
    <t>Dinitz (with dynamic trees)</t>
  </si>
  <si>
    <t>V: 6,
E: 3,
U: 2</t>
  </si>
  <si>
    <t>$O(VE \log U)$</t>
  </si>
  <si>
    <t>The dynamic tree should take $O(E)$ extra space, and that should be the only extra space (if any) compared to Dinitz's original algorithm. Thus, this requires $O(E)$ space.</t>
  </si>
  <si>
    <t>O(V^2E^0.5)</t>
  </si>
  <si>
    <t>Cherkassky</t>
  </si>
  <si>
    <t>https://www.sciencedirect.com/science/article/abs/pii/S037722179600269X</t>
  </si>
  <si>
    <t>V: 6,
E: 2.5</t>
  </si>
  <si>
    <t>$O(V^2E^{0.5})$</t>
  </si>
  <si>
    <t>O(VELogV)</t>
  </si>
  <si>
    <t>Sleator &amp; Tarjan</t>
  </si>
  <si>
    <t>https://www.sciencedirect.com/science/article/pii/0022000083900065</t>
  </si>
  <si>
    <t>V: 6.01,
E: 3</t>
  </si>
  <si>
    <t>$O(VE \log V)$</t>
  </si>
  <si>
    <t>O(VELog(V^2/E))</t>
  </si>
  <si>
    <t>Goldberg &amp; Tarjan</t>
  </si>
  <si>
    <t>https://www.cs.princeton.edu/courses/archive/fall03/cs528/handouts/a%20new%20approach.pdf</t>
  </si>
  <si>
    <t>$O(VE \log (V^2/E))$</t>
  </si>
  <si>
    <t>can be derived? also hints of space complexity might be in the paper</t>
  </si>
  <si>
    <t>O(VE + V^2LogU)</t>
  </si>
  <si>
    <t>Ahuja &amp; Orlin</t>
  </si>
  <si>
    <t>https://www.researchgate.net/publication/38008130_A_Fast_and_Simple_Algorithm_for_the_Maximum_Flow_Problem</t>
  </si>
  <si>
    <t>$O(VE + V^2 \log U)$</t>
  </si>
  <si>
    <t>V: 5,
E: 3,
U: 2</t>
  </si>
  <si>
    <t>O(ELogU)</t>
  </si>
  <si>
    <t>derived in sheet</t>
  </si>
  <si>
    <t>Push-relabel method</t>
  </si>
  <si>
    <t>O(VE + V^2(LogV)^2)</t>
  </si>
  <si>
    <t>[some distribution in this paper]</t>
  </si>
  <si>
    <t>https://ieeexplore.ieee.org/document/63465</t>
  </si>
  <si>
    <t>Cheriyan &amp; Hagerup</t>
  </si>
  <si>
    <t>O(V + E)</t>
  </si>
  <si>
    <t>Derived: d_heap and e_heap are size O(V). Adjacency list of a given vertex is O(V). Dynamic trees data structure is size O(E).</t>
  </si>
  <si>
    <t>Derandomization of Cheriyan &amp; Hagerup</t>
  </si>
  <si>
    <t>O(V^3 / LogV)</t>
  </si>
  <si>
    <t>see 233</t>
  </si>
  <si>
    <t>Cheriyan et al.</t>
  </si>
  <si>
    <t>https://link.springer.com/chapter/10.1007/BFb0032035</t>
  </si>
  <si>
    <t>V: 5.99</t>
  </si>
  <si>
    <t>$O(V^3 / \log V)$</t>
  </si>
  <si>
    <t>Uniform-Cost RAM (is this the same as Word RAM?)</t>
  </si>
  <si>
    <t>Derived: essentially the same as [CH89] above but derandomized</t>
  </si>
  <si>
    <t>O(VE + V^{(2.66)}LogV)</t>
  </si>
  <si>
    <t>^ see 233</t>
  </si>
  <si>
    <t>Alon</t>
  </si>
  <si>
    <t>https://www.sciencedirect.com/science/article/pii/002001909090024R</t>
  </si>
  <si>
    <t>$O(VE + V^{2.66} \log V)$</t>
  </si>
  <si>
    <t>O(VE + V^{(2+\epsilon)})</t>
  </si>
  <si>
    <t>King et al. (KRT)</t>
  </si>
  <si>
    <t>https://dl.acm.org/citation.cfm?id=139438</t>
  </si>
  <si>
    <t>$O(VE + V^{2+\epsilon})$</t>
  </si>
  <si>
    <t>V: number of vertices
E: number of edges
U: maximum edge capacity
eps: any positive real number</t>
  </si>
  <si>
    <t>O(VE(Log(V;V/E)) + V^2(LogV)^2 )</t>
  </si>
  <si>
    <t>Phillips &amp; Westbrook</t>
  </si>
  <si>
    <t>https://dl.acm.org/citation.cfm?id=167201</t>
  </si>
  <si>
    <t>$O(VE(\log(V;V/E)) + V^2(\log V)^2 )$</t>
  </si>
  <si>
    <t>Finding blocking flows</t>
  </si>
  <si>
    <t>O(E^{1.5} Log(V^2/E) LogU)</t>
  </si>
  <si>
    <t>Goldberg &amp; Rao</t>
  </si>
  <si>
    <t>https://dl.acm.org/citation.cfm?id=290181</t>
  </si>
  <si>
    <t>V: 6,
E: 4.5,
U: 2</t>
  </si>
  <si>
    <t>$O(E^{1.5} \log(V^2/E) \log U)$</t>
  </si>
  <si>
    <t>Derived: creates and updates an auxiliary graph</t>
  </si>
  <si>
    <t>O(V^{0.66}E Log(V^2/E) LogU)</t>
  </si>
  <si>
    <t>V: 5.66,
E: 3,
U: 2</t>
  </si>
  <si>
    <t>$O(V^{0.66}E \log(V^2/E) \log U)$</t>
  </si>
  <si>
    <t>Improvement of the KRT algorithm</t>
  </si>
  <si>
    <t>O(VE)</t>
  </si>
  <si>
    <t>James B Orlin's + KRT (King; Rao; Tarjan)'s algorithm</t>
  </si>
  <si>
    <t>https://dl.acm.org/citation.cfm?id=2488705</t>
  </si>
  <si>
    <t>O(m*n*3^{(n/3)}) ~ O(mn(1.445)^n)</t>
  </si>
  <si>
    <t>Lawler</t>
  </si>
  <si>
    <t>https://www.sciencedirect.com/science/article/pii/002001907690065X?via%3Dihub</t>
  </si>
  <si>
    <t>$O(m*n*3^{(n/3)}) ~ O(mn(1.445)^n)$</t>
  </si>
  <si>
    <t>n: 3,
m: 1</t>
  </si>
  <si>
    <t>(can be easily derived; see section 6 of ref)</t>
  </si>
  <si>
    <t>O(1.415^n)</t>
  </si>
  <si>
    <t>Schiermeyer</t>
  </si>
  <si>
    <t>https://link.springer.com/chapter/10.1007/3-540-57899-4_51</t>
  </si>
  <si>
    <t>$O(1.415^n)$</t>
  </si>
  <si>
    <t>n: 6,
m: 3</t>
  </si>
  <si>
    <t>O(nm+n^2) loose bound, possibly O(n+m)?</t>
  </si>
  <si>
    <t>(can be derived from steps of algorithm)</t>
  </si>
  <si>
    <t>O(1.3446^n)</t>
  </si>
  <si>
    <t>(unclear if there is a notable distribution where average runtime is faster)</t>
  </si>
  <si>
    <t>Beigel &amp; Eppstein</t>
  </si>
  <si>
    <t>https://ieeexplore.ieee.org/stamp/stamp.jsp?arnumber=492575</t>
  </si>
  <si>
    <t>$O(1.3446^n)$</t>
  </si>
  <si>
    <t>can be derived from steps of algorithm? you add at most O(n^2) constraints, other info shouldn't take more than O(n^2) space, and you can reuse space during recursive steps</t>
  </si>
  <si>
    <t>$O(1.3289^n)$</t>
  </si>
  <si>
    <t>can be derived from steps of algorithm? similar to above</t>
  </si>
  <si>
    <t>O((m + n)*2^n)</t>
  </si>
  <si>
    <t>$O((m + n)*2^n)$</t>
  </si>
  <si>
    <t>O(1.7504^n)</t>
  </si>
  <si>
    <t>Byskov</t>
  </si>
  <si>
    <t>https://www.sciencedirect.com/science/article/abs/pii/S0167637704000409?via%3Dihub</t>
  </si>
  <si>
    <t>$O(1.7504^n)$</t>
  </si>
  <si>
    <t>can be derived from algo 89 plus the paper's algo for finding MIS's?</t>
  </si>
  <si>
    <t>Positive Definite Matrix</t>
  </si>
  <si>
    <t>O (m k^0.5)</t>
  </si>
  <si>
    <t>^see above (positive definite)</t>
  </si>
  <si>
    <t>Conjugate Gradient</t>
  </si>
  <si>
    <t>https://nvlpubs.nist.gov/nistpubs/jres/049/jresv49n6p409_A1b.pdf</t>
  </si>
  <si>
    <t>https://en.wikipedia.org/wiki/Conjugate_gradient_method</t>
  </si>
  <si>
    <t>m: 3,
k: 2.5,
n^2: 3</t>
  </si>
  <si>
    <t>$O(m k^{0.5})$</t>
  </si>
  <si>
    <t>n: number of variables and number of equations
m: number of nonzero entries in matrix
k: ratio between largest and smallest eigenvalues</t>
  </si>
  <si>
    <t>m: 3,
n: 5,
n^2: 3</t>
  </si>
  <si>
    <t>http://www.cs.cmu.edu/~quake-papers/painless-conjugate-gradient.pdf</t>
  </si>
  <si>
    <t>Quantum algorithm</t>
  </si>
  <si>
    <t>O (k^2*logn)</t>
  </si>
  <si>
    <t>Harrow (Quantum)</t>
  </si>
  <si>
    <t>https://journals.aps.org/prl/abstract/10.1103/PhysRevLett.103.150502</t>
  </si>
  <si>
    <t>k: 5,
n: 2,
n^2: 2</t>
  </si>
  <si>
    <t>$O(k^2*\log n)$</t>
  </si>
  <si>
    <t>n: number of variables and number of equations
k: ratio between largest and smallest eigenvalues</t>
  </si>
  <si>
    <t>Quantum Computer</t>
  </si>
  <si>
    <t>qubits</t>
  </si>
  <si>
    <t>n: 2,
n^2: 2</t>
  </si>
  <si>
    <t>https://en.wikipedia.org/wiki/Quantum_algorithm_for_linear_systems_of_equations</t>
  </si>
  <si>
    <t>O(n^3.5 L^2 logL loglogL)</t>
  </si>
  <si>
    <t>Karmarkar's algorithm</t>
  </si>
  <si>
    <t>https://web.archive.org/web/20131228145520/http://retis.sssup.it/~bini/teaching/optim2010/karmarkar.pdf</t>
  </si>
  <si>
    <t>n: 6.5,
L: 5.02</t>
  </si>
  <si>
    <t>$O(n^{3.5} L^2 logL loglogL)$</t>
  </si>
  <si>
    <t>can be derived from paper?</t>
  </si>
  <si>
    <t>L = 10
nnz(A) = n</t>
  </si>
  <si>
    <t>O(2^n*poly(n, m))? (previously O(2^n))</t>
  </si>
  <si>
    <t>Simplex Algorithm</t>
  </si>
  <si>
    <t>$O(2^n*poly(n, m))$</t>
  </si>
  <si>
    <t>n: 3,
m: 3</t>
  </si>
  <si>
    <t>can be easily derived?</t>
  </si>
  <si>
    <t>http://www-leland.stanford.edu/group/SOL/reports/OR-80-27.pdf</t>
  </si>
  <si>
    <t>Terlaky's Criss-cross algorithm</t>
  </si>
  <si>
    <t>https://link.springer.com/content/pdf/10.1007/BF01585729.pdf</t>
  </si>
  <si>
    <t>? (originally O(n^{3.5} L) but seems unclear)</t>
  </si>
  <si>
    <t>Affine scaling</t>
  </si>
  <si>
    <t>n: 6.5,
L: 3</t>
  </si>
  <si>
    <t>? (originally $O(n^{3.5} L)$ but seems unclear)</t>
  </si>
  <si>
    <t>n: 3,
m: 5</t>
  </si>
  <si>
    <t>O(nm+m^2)?</t>
  </si>
  <si>
    <t>https://pdfs.semanticscholar.org/c23c/43d781da35b8314489d83ee8f3b5490541ea.pdf</t>
  </si>
  <si>
    <t>$O(n^{(max(omega, 2.5-alpha/2, 13/6))}*polylog(n, m, L))$, where omega is the exponent on matrix multiplication, alpha is the dual exponent of matrix multiplication;
currently $O(n^{2.37285956})$</t>
  </si>
  <si>
    <t>Cohen; Lee and Song</t>
  </si>
  <si>
    <t>$O(n^{max(omega, 2.5-alpha/2, 13/6)}*polylog(n, m, L))$, where omega is the exponent on matrix multiplication, alpha is the dual exponent of matrix multiplication;
currently $O(n^2.37285956)$</t>
  </si>
  <si>
    <t>O(nm+n^2)?</t>
  </si>
  <si>
    <t>Not entirely sure about this, but it seems like each iteration manipulates a constant number of $O(m+n)\times O(n)$ matrices, along with a constant number of vectors of size $O(m+n)$, all of whose elements are of size $O(1)$ words.</t>
  </si>
  <si>
    <t>O((nnz(A) + n^2) n^{0.5})</t>
  </si>
  <si>
    <t>Lee and Sidford</t>
  </si>
  <si>
    <t>https://arxiv.org/abs/1503.01752</t>
  </si>
  <si>
    <t>n: 5.5</t>
  </si>
  <si>
    <t>$O((nnz(A) + n^2) n^{0.5})$</t>
  </si>
  <si>
    <t>O(nm+n^2)??</t>
  </si>
  <si>
    <t>Same reasoning as ^</t>
  </si>
  <si>
    <t>O( nlog n + k )</t>
  </si>
  <si>
    <t>Chazelle &amp; Edelsbrunner</t>
  </si>
  <si>
    <t>$O( n \log n + k )$</t>
  </si>
  <si>
    <t>O(n+k) total?</t>
  </si>
  <si>
    <t>O( n*log^2(n)/(log log n) + k)</t>
  </si>
  <si>
    <t>CHAZELLE</t>
  </si>
  <si>
    <t>$O( n*log^2(n)/(log log n) + k)$</t>
  </si>
  <si>
    <t>O(n+k) total (and possibly auxiliary as well?)</t>
  </si>
  <si>
    <t>NIEVERGELT. J.. AND PREPARATA (Section 3)</t>
  </si>
  <si>
    <t>https://dl.acm.org/doi/pdf/10.1145/358656.358681</t>
  </si>
  <si>
    <t>n: 3,
k: 1</t>
  </si>
  <si>
    <t>https://courses.cs.duke.edu/cps234/spring04/papers/NP82.pdf</t>
  </si>
  <si>
    <t xml:space="preserve">Jean-Daniel Boissonnat and Franco P.
Preparata. </t>
  </si>
  <si>
    <t>$O(n \log n + k \log n)$</t>
  </si>
  <si>
    <t>Real RAM, under more restrictions/considerations? (predicate arithmetic, exact arithmetic)</t>
  </si>
  <si>
    <t>https://epubs.siam.org/doi/epdf/10.1137/S0097539797329373</t>
  </si>
  <si>
    <t>Balaban.</t>
  </si>
  <si>
    <t>https://dl.acm.org/doi/pdf/10.1145/220279.220302</t>
  </si>
  <si>
    <t>$O(n \log n + k )$</t>
  </si>
  <si>
    <t>Boissonnat; Snoeyink</t>
  </si>
  <si>
    <t>Real RAM, under more restrictions/considerations? (predicate arithmetic)</t>
  </si>
  <si>
    <t>O(log^2(n))</t>
  </si>
  <si>
    <t>Goodrich</t>
  </si>
  <si>
    <t>https://dl.acm.org/citation.cfm?id=72950</t>
  </si>
  <si>
    <t>$O(\log^2(n))$</t>
  </si>
  <si>
    <t>Seems to require creating/storing an O(n)-sized data structure ("segment tree"), and then computing the O(k) intersections using the data structure</t>
  </si>
  <si>
    <t>O(n + k/log n)</t>
  </si>
  <si>
    <t>https://link.springer.com/chapter/10.1007/978-1-4612-1098-6_3</t>
  </si>
  <si>
    <t>Graham</t>
  </si>
  <si>
    <t>https://www.sciencedirect.com/science/article/pii/0020019072900452?via%3Dihub</t>
  </si>
  <si>
    <t>(pseudorandom sampling; experimental)</t>
  </si>
  <si>
    <t>https://dl.acm.org/citation.cfm?id=355766</t>
  </si>
  <si>
    <t>W. Eddy Quickhull</t>
  </si>
  <si>
    <t>n: 5,
h: 3</t>
  </si>
  <si>
    <t>$O(nh)$</t>
  </si>
  <si>
    <t>O(h)?</t>
  </si>
  <si>
    <t>2-dimensional; 3-dimensional</t>
  </si>
  <si>
    <t>Preparata and Hong</t>
  </si>
  <si>
    <t>https://dl.acm.org/citation.cfm?id=359430</t>
  </si>
  <si>
    <t>Divide and conquer can be done in linear space total as space can be reused after conquer steps</t>
  </si>
  <si>
    <t>Andrew's algorithm</t>
  </si>
  <si>
    <t>https://www.sciencedirect.com/science/article/pii/0020019079900723</t>
  </si>
  <si>
    <t>O(n log h)</t>
  </si>
  <si>
    <t>The ultimate planar convex hull algorithm</t>
  </si>
  <si>
    <t>https://www.cs.princeton.edu/~chazelle/temp/451/451-2019/KirkSeidel.pdf</t>
  </si>
  <si>
    <t>n: 4,
h: 2</t>
  </si>
  <si>
    <t>$O(n log h)$</t>
  </si>
  <si>
    <t>Chan's algorithm</t>
  </si>
  <si>
    <t>O(logn) time using
O(n) processors</t>
  </si>
  <si>
    <t>Miller; Stout</t>
  </si>
  <si>
    <t>https://cse.buffalo.edu/faculty/miller/Papers/IEEETC88a.pdf</t>
  </si>
  <si>
    <t>5-&gt;7</t>
  </si>
  <si>
    <t>$O(logn)$ time using
$O(n)$ processors</t>
  </si>
  <si>
    <t>EREW PRAM, possibly others (see paper)</t>
  </si>
  <si>
    <t>O(n) total?</t>
  </si>
  <si>
    <t>Kosaraju's algorithm</t>
  </si>
  <si>
    <t>https://www.sciencedirect.com/science/article/pii/0898122181900080</t>
  </si>
  <si>
    <t>$O(V+E)$</t>
  </si>
  <si>
    <t>auxiliary data structures take up at most that much space</t>
  </si>
  <si>
    <t>The strongly connected components or diconnected components of an arbitrary
 directed graph form a partition into subgraphs that are themselves
 strongly connected.</t>
  </si>
  <si>
    <t>V:E
3:4</t>
  </si>
  <si>
    <t>https://www.sciencedirect.com/science/article/pii/B9780123743640500114</t>
  </si>
  <si>
    <t>Tarjan's strongly connected components algorithm</t>
  </si>
  <si>
    <t>https://www.semanticscholar.org/paper/Depth-First-Search-and-Linear-Graph-Algorithms-Tarjan/385742fffcf113656f0d3cf6c06ef95cb8439dc6</t>
  </si>
  <si>
    <t>https://www.geeksforgeeks.org/tarjan-algorithm-find-strongly-connected-components/</t>
  </si>
  <si>
    <t>V: 3,
E: 1</t>
  </si>
  <si>
    <t>https://www.sciencedirect.com/science/article/pii/S0020019015001532</t>
  </si>
  <si>
    <t>Path-based strong components algorithm; Dijkstra</t>
  </si>
  <si>
    <t>https://www.worldcat.org/title/discipline-of-programming/oclc/1958445</t>
  </si>
  <si>
    <t>constant number of auxiliary stacks?</t>
  </si>
  <si>
    <t>O(ElogV+V)</t>
  </si>
  <si>
    <t>Fleischer forward-backward (FB) algorithm</t>
  </si>
  <si>
    <t>https://ldhulipala.github.io/readings/sequential-scc.pdf</t>
  </si>
  <si>
    <t>E: 3,
V: 5.01</t>
  </si>
  <si>
    <t>$O(E\log V+V)$</t>
  </si>
  <si>
    <t>V: 3,
E: 3</t>
  </si>
  <si>
    <t>constructing recursive subgraphs? and reuse space across recursive calls</t>
  </si>
  <si>
    <t>Pearce</t>
  </si>
  <si>
    <t>Path-based depth-first search Gabow</t>
  </si>
  <si>
    <t>https://www.sciencedirect.com/science/article/pii/S002001900000051X?via%3Dihub</t>
  </si>
  <si>
    <t>O(V+E) total, O(V) auxiliary?</t>
  </si>
  <si>
    <t>Each edge is selected with probability p, 0&lt;p&lt;1</t>
  </si>
  <si>
    <t>https://link.springer.com/content/pdf/10.1007/BF01940892.pdf</t>
  </si>
  <si>
    <t>Paul Purdom</t>
  </si>
  <si>
    <t>https://link.springer.com/article/10.1007%2FBF01940892</t>
  </si>
  <si>
    <t>$O(V^2+VE)$</t>
  </si>
  <si>
    <t>V: 5,
E: 1</t>
  </si>
  <si>
    <t>Lowe’s Algorithm</t>
  </si>
  <si>
    <t>http://www.cs.ox.ac.uk/people/gavin.lowe/parallelDFS.html</t>
  </si>
  <si>
    <t>$O(V^2)$</t>
  </si>
  <si>
    <t>V: number of vertices
E: number of edges
p: number of processors</t>
  </si>
  <si>
    <t>O(V) per processor</t>
  </si>
  <si>
    <t>http://essay.utwente.nl/67128/1/Bloemen_MA_EEMCS.pdf</t>
  </si>
  <si>
    <t>O(p*(V+E)*alpha(V, E))?</t>
  </si>
  <si>
    <t>Renault’s Algorithm</t>
  </si>
  <si>
    <t>https://link.springer.com/chapter/10.1007/978-3-642-45221-5_44</t>
  </si>
  <si>
    <t>V: 5,
E: 3,
p: 3</t>
  </si>
  <si>
    <t>$O(p*(V+E)*\alpha(V, E))$</t>
  </si>
  <si>
    <t>Couvreur</t>
  </si>
  <si>
    <t>https://link.springer.com/chapter/10.1007/3-540-48119-2_16</t>
  </si>
  <si>
    <t>O(E + VlogV)</t>
  </si>
  <si>
    <t>Munro’s algorithm</t>
  </si>
  <si>
    <t>https://www.sciencedirect.com/science/article/pii/0020019071900068</t>
  </si>
  <si>
    <t>$O(E + V \log V)$</t>
  </si>
  <si>
    <t>O(V(V+E))</t>
  </si>
  <si>
    <t>OBF Algorithm</t>
  </si>
  <si>
    <t>https://ieeexplore.ieee.org/document/8133154</t>
  </si>
  <si>
    <t>E: 3,
V: 6</t>
  </si>
  <si>
    <t>$O(V(V+E))$</t>
  </si>
  <si>
    <t>O(E+V^2) total</t>
  </si>
  <si>
    <t>https://ris.utwente.nl/ws/files/6872352/Barnat09distributed.pdf</t>
  </si>
  <si>
    <t>CH Algorithm</t>
  </si>
  <si>
    <t>https://research.vu.nl/en/publications/on-distributed-verification-and-verified-distribution</t>
  </si>
  <si>
    <t>O(V+E)?</t>
  </si>
  <si>
    <t>Each vertex needs to keep track of one color; then we need to build recursive subgraphs</t>
  </si>
  <si>
    <t>Hong’s algorithm</t>
  </si>
  <si>
    <t>https://stanford-ppl.github.io/website/papers/sc13-hong.pdf</t>
  </si>
  <si>
    <t>Building recursive subgraphs</t>
  </si>
  <si>
    <t>O(ElogV)</t>
  </si>
  <si>
    <t>Borůvka's algorithm</t>
  </si>
  <si>
    <t>https://www.geeksforgeeks.org/boruvkas-algorithm-greedy-algo-9/</t>
  </si>
  <si>
    <t>$O(E \log V)$</t>
  </si>
  <si>
    <t>O(V) auxiliary</t>
  </si>
  <si>
    <t>https://scholarworks.rit.edu/cgi/viewcontent.cgi?article=1658&amp;context=theses</t>
  </si>
  <si>
    <t>Prim's algorithm + adjacency matrix searching</t>
  </si>
  <si>
    <t>https://ieeexplore.ieee.org/document/6773228</t>
  </si>
  <si>
    <t>V: 5</t>
  </si>
  <si>
    <t>Prim's algorithm + Fibonacci heaps; Fredman &amp; Tarjan</t>
  </si>
  <si>
    <t>https://dl.acm.org/citation.cfm?id=28874</t>
  </si>
  <si>
    <t>O(V) auxiliary?</t>
  </si>
  <si>
    <t>O(ElogE)</t>
  </si>
  <si>
    <t>Kruskal's algorithm</t>
  </si>
  <si>
    <t>https://www.jstor.org/stable/2033241</t>
  </si>
  <si>
    <t>V: 5.01,
E: 4</t>
  </si>
  <si>
    <t>$O(E \log E)$</t>
  </si>
  <si>
    <t>O(E) auxiliary</t>
  </si>
  <si>
    <t>O(EloglogV)</t>
  </si>
  <si>
    <t>Yao's algorithm</t>
  </si>
  <si>
    <t>https://www.sciencedirect.com/science/article/pii/0020019075900563</t>
  </si>
  <si>
    <t>V: 5.001,
E: 4</t>
  </si>
  <si>
    <t>$O(E \log \log V)$</t>
  </si>
  <si>
    <t>O(E) auxiliary?</t>
  </si>
  <si>
    <t>Cheriton-Tarjan Algorithm</t>
  </si>
  <si>
    <t>keep track of copy of graph where edges may be deleted?</t>
  </si>
  <si>
    <t>O(E+Vlog(V)log(E/V)), equivalent to O(E + Vlog(V)loglog(V))</t>
  </si>
  <si>
    <t>"Arbitrary graph, random edge weights"</t>
  </si>
  <si>
    <t>https://dl.acm.org/doi/10.5555/2791220.2791225</t>
  </si>
  <si>
    <t>Filter Kruskal algorithm</t>
  </si>
  <si>
    <t>Kruskal-based, with minimal overhead? filtering should only remove edges, and each edge should only require O(1) information</t>
  </si>
  <si>
    <t>O(E*alpha(E, V))</t>
  </si>
  <si>
    <t>Chazelle's algorithm</t>
  </si>
  <si>
    <t>https://www.cs.princeton.edu/~chazelle/pubs/mst.pdf</t>
  </si>
  <si>
    <t>$O(E*\alpha(E, V))$</t>
  </si>
  <si>
    <t>O(E) auxiliary??</t>
  </si>
  <si>
    <t>Seems like it uses Boruvka phases and contracts the graph, which requires $O(E)$ space, and then additional information in the tree data structure/soft heap don't require space beyond that</t>
  </si>
  <si>
    <t>O(E LogV (loglogV)^3)</t>
  </si>
  <si>
    <t>Thorup (reverse-delete)</t>
  </si>
  <si>
    <t>https://www.cs.princeton.edu/courses/archive/spr10/cos423/handouts/NearOpt.pdf</t>
  </si>
  <si>
    <t>V: 5.02,
E: 3</t>
  </si>
  <si>
    <t>$O(E \log V (\log \log V)^3)$</t>
  </si>
  <si>
    <t>O(kn loglogn+n*3^k)</t>
  </si>
  <si>
    <t>Fortune and Hopcroft</t>
  </si>
  <si>
    <t>https://www.sciencedirect.com/science/article/pii/0020019079900851</t>
  </si>
  <si>
    <t>n: 4,
k: 8</t>
  </si>
  <si>
    <t>$O(kn \log\log n+n*3^k)$</t>
  </si>
  <si>
    <t>can be easily derived? (can re-use space from recursive calls)</t>
  </si>
  <si>
    <t>https://ecommons.cornell.edu/bitstream/handle/1813/7460/78-340.pdf</t>
  </si>
  <si>
    <t>O(kn logn)</t>
  </si>
  <si>
    <t>F. Preparata and M. Shamos</t>
  </si>
  <si>
    <t>https://www.springer.com/gp/book/9780387961316</t>
  </si>
  <si>
    <t>k: 3,
n: 4</t>
  </si>
  <si>
    <t>$O(kn \log n)$</t>
  </si>
  <si>
    <t>O(kn)?</t>
  </si>
  <si>
    <t>keep track of all sorted lists in each dimension; re-use space from recursive calls</t>
  </si>
  <si>
    <t>O(3^k*n)</t>
  </si>
  <si>
    <t>Rabin' Algorithm</t>
  </si>
  <si>
    <t>k: 8,
n: 5</t>
  </si>
  <si>
    <t>$O(3^k*n^2)$</t>
  </si>
  <si>
    <t>Bentley</t>
  </si>
  <si>
    <t>https://dl.acm.org/citation.cfm?id=358850</t>
  </si>
  <si>
    <t>Bentley; Shamos</t>
  </si>
  <si>
    <t>https://dl.acm.org/citation.cfm?id=803652</t>
  </si>
  <si>
    <t>2-dimensional space, l_m (or l_infty) norm</t>
  </si>
  <si>
    <t>Hinrichs; Nievergelt; Schorn</t>
  </si>
  <si>
    <t>n: number of points</t>
  </si>
  <si>
    <t>Shamos; Hoey</t>
  </si>
  <si>
    <t>http://geomalgorithms.com/a09-_intersect-3.html</t>
  </si>
  <si>
    <t>Voronoi diagrams require O(n) space</t>
  </si>
  <si>
    <t>O(n) using O(n^2) processors</t>
  </si>
  <si>
    <t>Dyer</t>
  </si>
  <si>
    <t>$O(n)$ using $O(n^2)$ processors</t>
  </si>
  <si>
    <t>log-space pyramid cellular automaton</t>
  </si>
  <si>
    <t>Bellman–Ford algorithm (Ford 1956)</t>
  </si>
  <si>
    <t>https://www.rand.org/pubs/papers/P923.html</t>
  </si>
  <si>
    <t>V: 7,
E: 3,
L: 3</t>
  </si>
  <si>
    <t>$O(V^2 EL)$</t>
  </si>
  <si>
    <t>V: number of vertices
E: number of edges
L: maximum absolute value of edge cost</t>
  </si>
  <si>
    <t>number of equations in LP; each equation has a constant number of variables</t>
  </si>
  <si>
    <t>the shortest path problem is the problem of finding a path between two vertices
 (or nodes) in a graph such that the sum of the weights of its constituent edges is minimized.</t>
  </si>
  <si>
    <t>V:E
0.5:1
L = 100</t>
  </si>
  <si>
    <t>Bellman–Ford algorithm (Shimbel 1955; Bellman 1958; Moore 1959)</t>
  </si>
  <si>
    <t>https://www.ams.org/journals/qam/1958-16-01/S0033-569X-1958-0102435-2/S0033-569X-1958-0102435-2.pdf</t>
  </si>
  <si>
    <t>2-&gt;4</t>
  </si>
  <si>
    <t>keeping track of distances</t>
  </si>
  <si>
    <t>Bellman–Ford algorithm (Dantzig 1960)</t>
  </si>
  <si>
    <t>https://www.jstor.org/stable/pdf/2627005.pdf</t>
  </si>
  <si>
    <t>V: 5.01</t>
  </si>
  <si>
    <t>$O(V^2 \log V)$</t>
  </si>
  <si>
    <t>O(E) (total)</t>
  </si>
  <si>
    <t>Dijkstra's algorithm with list (Whiting &amp; Hillier 1960)</t>
  </si>
  <si>
    <t>keeping track of distances/previous node in path, along with list</t>
  </si>
  <si>
    <t>O((E + V) log V)</t>
  </si>
  <si>
    <t>Dijkstra's algorithm with binary heap (Johnson 1977)</t>
  </si>
  <si>
    <t>https://dl.acm.org/citation.cfm?id=321993</t>
  </si>
  <si>
    <t>$O((E + V) \log V)$</t>
  </si>
  <si>
    <t>keeping track of distances/previous node in path, along with heap</t>
  </si>
  <si>
    <t>Dijkstra's algorithm with Fibonacci heap (Fredman &amp; Tarjan 1984; Fredman &amp; Tarjan 1987)</t>
  </si>
  <si>
    <t>O(E log log L)</t>
  </si>
  <si>
    <t>Dijkstra's algorithm with Fibonacci heap (Johnson 1981; Karlsson &amp; Poblete 1983)</t>
  </si>
  <si>
    <t>https://www.sciencedirect.com/science/article/pii/0166218X8390104X?via%3Dihub</t>
  </si>
  <si>
    <t>https://link.springer.com/article/10.1007/BF01786986</t>
  </si>
  <si>
    <t>E: 3,
V: 5,
L: 1.99</t>
  </si>
  <si>
    <t>$O(E \log \log L)$</t>
  </si>
  <si>
    <t>V: 3,
L: 3</t>
  </si>
  <si>
    <t>O(V+L)</t>
  </si>
  <si>
    <t>O(E logL/log(2+(E/V)))</t>
  </si>
  <si>
    <t>Gabow's algorithm</t>
  </si>
  <si>
    <t>https://ieeexplore.ieee.org/document/4568085</t>
  </si>
  <si>
    <t>E: 3,
V: 5,
L: 2</t>
  </si>
  <si>
    <t>$O(E \log L/\log(2+(E/V)))$</t>
  </si>
  <si>
    <t>(keeping track of new graphs?)</t>
  </si>
  <si>
    <t>O(E + V*((log(L))^0.5) )</t>
  </si>
  <si>
    <t>Gabow Ahuja Algorithm</t>
  </si>
  <si>
    <t>https://dl.acm.org/doi/10.1145/77600.77615</t>
  </si>
  <si>
    <t>E: 3,
V: 5,
L: 1.5</t>
  </si>
  <si>
    <t>$O(E + V*((\log(L))^{0.5}) )$</t>
  </si>
  <si>
    <t>V: 5,
E: 3
C: 2</t>
  </si>
  <si>
    <t>O(E + \log C)</t>
  </si>
  <si>
    <t>Thorup's algorithm</t>
  </si>
  <si>
    <t>$O(E + V min(log log V, log log L))$</t>
  </si>
  <si>
    <t>O(V)? ("linear-space queue")</t>
  </si>
  <si>
    <t>O(n^4)</t>
  </si>
  <si>
    <t>Shimbel Algorithm</t>
  </si>
  <si>
    <t>https://link.springer.com/article/10.1007/BF02476438</t>
  </si>
  <si>
    <t>https://link.springer.com/content/pdf/10.1007/BF02476438.pdf</t>
  </si>
  <si>
    <t>$O(n^4)$</t>
  </si>
  <si>
    <t>Derived: Uses a $V \times V$ matrix to store and calculate distances</t>
  </si>
  <si>
    <t>the shortest path problem is the problem of finding a path between two vertices 
(or nodes) in a graph such that the sum of the weights of
 its constituent edges is minimized.</t>
  </si>
  <si>
    <t>V:E
0.5:1</t>
  </si>
  <si>
    <t>Floyd–Warshall algorithm</t>
  </si>
  <si>
    <t>https://dl.acm.org/citation.cfm?id=368168</t>
  </si>
  <si>
    <t>APSP on Dense Undirected Unweighted Graphs; APSP on Sparse Undirected Unweighted Graphs</t>
  </si>
  <si>
    <t>O (n^{2.373} \log n)</t>
  </si>
  <si>
    <t>Seidel's algorithm</t>
  </si>
  <si>
    <t>https://www.sciencedirect.com/science/article/pii/S0022000085710781</t>
  </si>
  <si>
    <t>n: 5.373</t>
  </si>
  <si>
    <t>$O (n^{2.373} \log n)$</t>
  </si>
  <si>
    <t>Derived: Uses four auxiliary $V \times V$ matrices</t>
  </si>
  <si>
    <t>O(n^3 /2^{(\log n)^{0.5}})</t>
  </si>
  <si>
    <t>Williams</t>
  </si>
  <si>
    <t>https://dl.acm.org/citation.cfm?id=2591811</t>
  </si>
  <si>
    <t>$O(n^3 /2^{(\log n)^{0.5}})$</t>
  </si>
  <si>
    <t>Derived: discussed with Ryan, uses an auxiliary $V \times V$ matrix, and the space required for the matrix multiplication of $V \times d$ and $d \times V$ matrices is also $O(V^2)$</t>
  </si>
  <si>
    <t>APSP on Dense Undirected Graphs with Arbitrary Weights; APSP on Sparse Undirected Graphs with Arbitrary Weights</t>
  </si>
  <si>
    <t>O(mn \log \alpha(m,n))</t>
  </si>
  <si>
    <t>Pettie &amp; Ramachandran</t>
  </si>
  <si>
    <t>https://dl.acm.org/citation.cfm?id=545417</t>
  </si>
  <si>
    <t>$O(mn \log \alpha(m,n))$</t>
  </si>
  <si>
    <t>$n$: number of vertices
$m$: number of edges
$\alpha$:</t>
  </si>
  <si>
    <t>Pointer Machine</t>
  </si>
  <si>
    <t>APSP on Dense Undirected Graphs with Positive Integer Weights; APSP on Sparse Undirected Graphs with Positive Integer Weights</t>
  </si>
  <si>
    <t>Thorup</t>
  </si>
  <si>
    <t>https://dl.acm.org/doi/pdf/10.1145/316542.316548</t>
  </si>
  <si>
    <t>https://citeseerx.ist.psu.edu/viewdoc/download?doi=10.1.1.22.7128&amp;rep=rep1&amp;type=pdf</t>
  </si>
  <si>
    <t>O(n^{2.844})</t>
  </si>
  <si>
    <t>Chan (Geometrically Weighted)</t>
  </si>
  <si>
    <t>http://tmc.web.engr.illinois.edu/moreapsp.pdf</t>
  </si>
  <si>
    <t>n: 5.844</t>
  </si>
  <si>
    <t>$O(n^{2.844})$</t>
  </si>
  <si>
    <t>n: 5,
m: 1</t>
  </si>
  <si>
    <t>$O(l n^2)$</t>
  </si>
  <si>
    <t>Derived: Compute and store $2l$ $V \times V$ matrices</t>
  </si>
  <si>
    <t>APSP on Dense Directed Graphs with Arbitrary Weights; APSP on Dense Undirected Graphs with Arbitrary Weights</t>
  </si>
  <si>
    <t>O(n^3 \log^3 \log n / \log^2 n)</t>
  </si>
  <si>
    <t>Chan</t>
  </si>
  <si>
    <t>$O(n^3 \log^3 \log n / \log^2 n)$</t>
  </si>
  <si>
    <t xml:space="preserve">Derived: Dividing $A$ and $B$ into $V \times q$ and $q \times V$ matrices, in total using $O(V^2)$ space </t>
  </si>
  <si>
    <t>Trial division</t>
  </si>
  <si>
    <t>https://en.wikipedia.org/wiki/Trial_division</t>
  </si>
  <si>
    <t>$O(2^{n/2})$</t>
  </si>
  <si>
    <t>n: number of bits in the integer</t>
  </si>
  <si>
    <t>need to keep track of what number you're currently checking</t>
  </si>
  <si>
    <t>whose running time depends on the size of smallest prime factor.</t>
  </si>
  <si>
    <t>O( 2^{(n/2)})</t>
  </si>
  <si>
    <t>Wheel factorization</t>
  </si>
  <si>
    <t>need to keep track of what number you're currently checking, along with o(n) bits for the wheel (assuming it's small)</t>
  </si>
  <si>
    <t>Pollard's rho algorithm</t>
  </si>
  <si>
    <t>https://link.springer.com/article/10.1007%2FBF01933667</t>
  </si>
  <si>
    <t>keep track of g (the polynomial; O(1) space), x, y, and d (all O(n) space)</t>
  </si>
  <si>
    <t>O(B*log B*log^2(n))?</t>
  </si>
  <si>
    <t>Pollard's p − 1 algorithm</t>
  </si>
  <si>
    <t>https://www.cambridge.org/core/journals/mathematical-proceedings-of-the-cambridge-philosophical-society/article/theorems-on-factorization-and-primality-testing/6762E84DBD34AEF13E6B1D1A8334A989</t>
  </si>
  <si>
    <t>n: number of bits in the integer
B: smoothness bound (can be exponential)</t>
  </si>
  <si>
    <t>n: 8,
B: 3</t>
  </si>
  <si>
    <t>O(n+B)</t>
  </si>
  <si>
    <t>the number M requires O((log B)*pi(B)) = O(B) bits, and the other numbers require O(n) bits</t>
  </si>
  <si>
    <t>O(2^{(n)})</t>
  </si>
  <si>
    <t>Williams' p + 1 algorithm</t>
  </si>
  <si>
    <t>https://www.jstor.org/stable/2007633?origin=crossref</t>
  </si>
  <si>
    <t>$O(2^n)$</t>
  </si>
  <si>
    <t>constant number of values which are expressed in mod N</t>
  </si>
  <si>
    <t>O(e^{(sqrt((1+o(1))n*log n))})</t>
  </si>
  <si>
    <t>Lenstra elliptic curve factorization</t>
  </si>
  <si>
    <t>https://www.jstor.org/stable/1971363?origin=crossref&amp;seq=1</t>
  </si>
  <si>
    <t>$O(e^{(\sqrt((1+o(1))n*log n))})$</t>
  </si>
  <si>
    <t>O(2^n)?</t>
  </si>
  <si>
    <t>Fermat's factorization method</t>
  </si>
  <si>
    <t>https://archive.org/details/oeuvresdefermat02ferm</t>
  </si>
  <si>
    <t>https://www.geeksforgeeks.org/fermats-factorization-method/</t>
  </si>
  <si>
    <t>constant number of values which require at most O(n) bits</t>
  </si>
  <si>
    <t>O(2^{(n/2)})?</t>
  </si>
  <si>
    <t>Euler's factorization method</t>
  </si>
  <si>
    <t>https://archive.org/details/numbertheoryitsh0000orey/page/59</t>
  </si>
  <si>
    <t>O(e^{(2 sqrt(2) sqrt(n*logn))})</t>
  </si>
  <si>
    <t>Dixon's algorithm</t>
  </si>
  <si>
    <t>$O(e^{(2 \sqrt(2) \sqrt(n*logn))})4</t>
  </si>
  <si>
    <t>n: number of bits in the integer
B: bound parameter</t>
  </si>
  <si>
    <t>n: 3,
B: 5</t>
  </si>
  <si>
    <t>O(n+(B/logB)^2)?</t>
  </si>
  <si>
    <t>There are pi(B) = O(B/log B) primes in the factor base; need pi(B)+1=O(B/log B) relations involving an integer (which doesn't need to be kept track of) and a pi(B)-bit string of exponents. Also need O(n) bits to perform other computations. Rest is irrelevant asymptotically</t>
  </si>
  <si>
    <t>has a running time which depends solely on the size of the integer to be factored.</t>
  </si>
  <si>
    <t>O(e^{sqrt(2n*logn)})</t>
  </si>
  <si>
    <t>Continued fraction factorization (CFRAC)</t>
  </si>
  <si>
    <t>https://www.ams.org/journals/bull/1931-37-10/S0002-9904-1931-05271-X/home.html</t>
  </si>
  <si>
    <t>$O(e^{\sqrt(2n*logn)})$</t>
  </si>
  <si>
    <t>Same as above? assuming there is a bound parameter implemented</t>
  </si>
  <si>
    <t>Quadratic sieve</t>
  </si>
  <si>
    <t>https://www.semanticscholar.org/paper/Analysis-and-comparison-of-some-integer-factoring-Pomerance/134b7b065a73d4ca00bb16c7b8bebbde951b0ba0</t>
  </si>
  <si>
    <t>Same general approach as Dixon's algorithm</t>
  </si>
  <si>
    <t>O(e^{sqrt((2+o(1))n*logn)})</t>
  </si>
  <si>
    <t>Rational sieve</t>
  </si>
  <si>
    <t>https://www.ams.org/journals/mcom/1993-61-203/S0025-5718-1993-1182953-4/S0025-5718-1993-1182953-4.pdf</t>
  </si>
  <si>
    <t>O(2^{(n/4)})</t>
  </si>
  <si>
    <t>Shanks's square forms factorization (SQUFOF)</t>
  </si>
  <si>
    <t>https://www.ams.org/journals/mcom/2008-77-261/S0025-5718-07-02010-8/S0025-5718-07-02010-8.pdf</t>
  </si>
  <si>
    <t>$O(2^{n/4})$</t>
  </si>
  <si>
    <t>Constant number of O(n)-bit integers</t>
  </si>
  <si>
    <t>Closed formula</t>
  </si>
  <si>
    <t>n: 4,
n^2: 2.51</t>
  </si>
  <si>
    <t>Randomized LU Decomposition</t>
  </si>
  <si>
    <t>https://www.sciencedirect.com/science/article/pii/S1063520316300069</t>
  </si>
  <si>
    <t>n: 6,
mn: 4.5</t>
  </si>
  <si>
    <t>n: 3,
m: 3,
l: 3,
mn: 3</t>
  </si>
  <si>
    <t>$\tilde{O}(nl + ml)$</t>
  </si>
  <si>
    <t>Derived: Two intermediate auxiliary matrices of sizes $n \times l$ and $m \times l$ for the input matrix of size $m \times n$</t>
  </si>
  <si>
    <t>See Theorem 4.3 in original paper for error bound</t>
  </si>
  <si>
    <t>There are 4 different algorithms in this paper</t>
  </si>
  <si>
    <t>David</t>
  </si>
  <si>
    <t>Press, Teukolsky, Flannery</t>
  </si>
  <si>
    <t>https://books.google.com/books?hl=en&amp;lr=&amp;id=1aAOdzK3FegC&amp;oi=fnd&amp;pg=PA1&amp;dq=Teukolsky#v=onepage&amp;q=Teukolsky&amp;f=false</t>
  </si>
  <si>
    <t>$\tilde{O}(n)$</t>
  </si>
  <si>
    <t>Derived: The only auxiliary structure used is a list called "vv" that has one entry per row of the input matrix to store some sort of scaling metric</t>
  </si>
  <si>
    <t>Greedy Best-First Search</t>
  </si>
  <si>
    <t>https://www.cs.cmu.edu/afs/cs/project/jair/pub/volume28/coles07a-html/node11.html</t>
  </si>
  <si>
    <r>
      <rPr>
        <color rgb="FF1155CC"/>
        <sz val="10.0"/>
        <u/>
      </rPr>
      <t>https://en.wikipedia.org/wiki/Breadth-first_search:</t>
    </r>
    <r>
      <rPr>
        <sz val="10.0"/>
      </rPr>
      <t xml:space="preserve"> Stores all generated nodes in memory</t>
    </r>
  </si>
  <si>
    <t>https://en.wikipedia.org/wiki/Breadth-first_search</t>
  </si>
  <si>
    <t>Incremental Heuristic Search</t>
  </si>
  <si>
    <t>https://en.wikipedia.org/wiki/Incremental_heuristic_search</t>
  </si>
  <si>
    <r>
      <rPr>
        <rFont val="Arial"/>
        <color rgb="FF1155CC"/>
        <sz val="10.0"/>
        <u/>
      </rPr>
      <t>https://webdocs.cs.ualberta.ca/~holte/Publications/aaai11PeterYapFinal.pdf</t>
    </r>
    <r>
      <rPr>
        <rFont val="Arial"/>
        <color rgb="FF000000"/>
        <sz val="10.0"/>
      </rPr>
      <t xml:space="preserve"> for experimental results</t>
    </r>
  </si>
  <si>
    <t>Block A*</t>
  </si>
  <si>
    <t>https://webdocs.cs.ualberta.ca/~holte/Publications/aaai11PeterYapFinal.pdf</t>
  </si>
  <si>
    <t>D*</t>
  </si>
  <si>
    <t>https://citeseerx.ist.psu.edu/viewdoc/summary?doi=10.1.1.15.3683</t>
  </si>
  <si>
    <t>Field D*</t>
  </si>
  <si>
    <t>https://www.ri.cmu.edu/pub_files/pub4/ferguson_david_2006_3/ferguson_david_2006_3.pdf</t>
  </si>
  <si>
    <t>Fringe</t>
  </si>
  <si>
    <t>O(n/m)</t>
  </si>
  <si>
    <t>https://citeseerx.ist.psu.edu/viewdoc/download?doi=10.1.1.13.9460&amp;rep=rep1&amp;type=pdf</t>
  </si>
  <si>
    <t>Tuned Boyer-Moore algorithm</t>
  </si>
  <si>
    <t>http://citeseerx.ist.psu.edu/viewdoc/download?doi=10.1.1.13.9460&amp;rep=rep1&amp;type=pdf</t>
  </si>
  <si>
    <t>m: 3,
s: 3,
m+n: 3</t>
  </si>
  <si>
    <t>O(m + s)</t>
  </si>
  <si>
    <t>FOGSAA</t>
  </si>
  <si>
    <t>https://www.nature.com/articles/srep01746</t>
  </si>
  <si>
    <t>O(mn)?</t>
  </si>
  <si>
    <t>Upper bounded by runtime, though likely there's a better bound?</t>
  </si>
  <si>
    <t>convex polygonal window</t>
  </si>
  <si>
    <t>O(n*logp)</t>
  </si>
  <si>
    <t>O(lg N) algorithm</t>
  </si>
  <si>
    <t>https://www.sciencedirect.com/science/article/pii/0097849394900647</t>
  </si>
  <si>
    <t>n: 3,
p: 2</t>
  </si>
  <si>
    <t>$O(n*\log p)$</t>
  </si>
  <si>
    <t>n: number of lines
p: number of edges on polygon</t>
  </si>
  <si>
    <t>O(1) auxiliary??</t>
  </si>
  <si>
    <t>convex and non-convex polyhedral window</t>
  </si>
  <si>
    <t>O(np)?</t>
  </si>
  <si>
    <t>Skala</t>
  </si>
  <si>
    <t>n: number of lines
p: number of faces on polyhedron</t>
  </si>
  <si>
    <t>O(1) auxiliary?</t>
  </si>
  <si>
    <t>O(n logn loglogn)</t>
  </si>
  <si>
    <t>Schönhage–Strassen algorithm</t>
  </si>
  <si>
    <t>https://link.springer.com/article/10.1007/BF02242355</t>
  </si>
  <si>
    <t>n: 4.001</t>
  </si>
  <si>
    <t>$O(n \log n \log\log n)$</t>
  </si>
  <si>
    <t>O(n) auxiliary?</t>
  </si>
  <si>
    <t>Depends on DFT/FFT algorithm? but all vectors/numbers are of size O(n) and there are a constant number of such objects</t>
  </si>
  <si>
    <t>O(nlogn 2^{O(log*n)})</t>
  </si>
  <si>
    <t>Furer's algorithm</t>
  </si>
  <si>
    <t>https://web.archive.org/web/20130425232048/http://www.cse.psu.edu/~furer/Papers/mult.pdf</t>
  </si>
  <si>
    <t>$O(n \log n 2^{O(\log*n)})$</t>
  </si>
  <si>
    <t>Depends on DFT/FFT algorithm (though original source describes its own algorithm)? but all vectors/numbers are of size O(n) and there are a constant number of such objects</t>
  </si>
  <si>
    <t>De</t>
  </si>
  <si>
    <t>https://arxiv.org/abs/0801.1416</t>
  </si>
  <si>
    <t>^ same as above</t>
  </si>
  <si>
    <t>Harvey; Hoeven</t>
  </si>
  <si>
    <t>O(n) auxiliary??</t>
  </si>
  <si>
    <t>[this one is kind of a mess to read but it seems generally the same as above - objects like polynomials/vectors and other numbers are of size O(n) and there are constantly many?]</t>
  </si>
  <si>
    <t>O(nlogn 2^{(3log*n)})</t>
  </si>
  <si>
    <t>Harvey; Hoeven; Lecerf</t>
  </si>
  <si>
    <t>https://arxiv.org/abs/1407.3360</t>
  </si>
  <si>
    <t>$O(n \log n 2^{(3 \log*n)})$</t>
  </si>
  <si>
    <t>Covanov and Thomé</t>
  </si>
  <si>
    <t>https://hal.inria.fr/hal-01108166v1/document</t>
  </si>
  <si>
    <t>https://arxiv.org/abs/1502.02800</t>
  </si>
  <si>
    <t>O(nlogn 2^{(2log*n)})</t>
  </si>
  <si>
    <t>https://arxiv.org/abs/1802.07932</t>
  </si>
  <si>
    <t>$O(n \log n 2^{(2 \log*n)})$</t>
  </si>
  <si>
    <t>Lamport's bakery algorithm</t>
  </si>
  <si>
    <t>http://lamport.azurewebsites.net/pubs/bakery.pdf</t>
  </si>
  <si>
    <t>n: number of processes</t>
  </si>
  <si>
    <t>communication variables?</t>
  </si>
  <si>
    <t>O(1) per process, O(n) total?</t>
  </si>
  <si>
    <t>https://citeseerx.ist.psu.edu/viewdoc/download?doi=10.1.1.135.825&amp;rep=rep1&amp;type=pdf</t>
  </si>
  <si>
    <t xml:space="preserve">mutual exclusion is a property of concurrency control; which is instituted
 for the purpose of preventing race conditions. </t>
  </si>
  <si>
    <t>Szymanski's algorithm</t>
  </si>
  <si>
    <t>https://www.researchgate.net/publication/221235887_A_simple_solution_to_Lamport's_concurrent_programming_problem_with_linear_wait</t>
  </si>
  <si>
    <t>http://cs.rpi.edu/~szymansk/papers/jerus.93.pdf (kinda)</t>
  </si>
  <si>
    <t>Taubenfeld's black-white bakery algorithm</t>
  </si>
  <si>
    <t>https://link.springer.com/chapter/10.1007/978-3-540-30186-8_5</t>
  </si>
  <si>
    <t>https://link.springer.com/content/pdf/10.1007/b101206.pdf</t>
  </si>
  <si>
    <t>O(n^{0.5})</t>
  </si>
  <si>
    <t>Maekawa's algorithm</t>
  </si>
  <si>
    <t>https://cseweb.ucsd.edu/classes/wi09/cse223a/p145-maekawa.pdf</t>
  </si>
  <si>
    <t>n: 2.5</t>
  </si>
  <si>
    <t>$O(n^{0.5})$</t>
  </si>
  <si>
    <t>O(logn)? (originally this had O(n))</t>
  </si>
  <si>
    <t>Raymond's algorithm</t>
  </si>
  <si>
    <t>https://dl.acm.org/doi/abs/10.1145/58564.59295</t>
  </si>
  <si>
    <t>O(\log n)? (originally this had O(n))</t>
  </si>
  <si>
    <t>O(n)? (originally this had O(logn))</t>
  </si>
  <si>
    <t>Suzuki-Kasami's algorithm</t>
  </si>
  <si>
    <t>https://cse.iitkgp.ac.in/~agupta/distsys/Mutex-SuzukiKasami.pdf</t>
  </si>
  <si>
    <t>6-&gt;7</t>
  </si>
  <si>
    <t>O(n*log(n)+np)</t>
  </si>
  <si>
    <t>??? I think there is not really a "good sense" of average case distribution here since real-world images should make sense</t>
  </si>
  <si>
    <t>(none, though http://medialab.di.unipi.it/web/IUM/Waterloo/node64.html is a good one for runtimes)</t>
  </si>
  <si>
    <t>Painter's algorithm/Newell's algorithm</t>
  </si>
  <si>
    <t>n: 4,
p: 3</t>
  </si>
  <si>
    <t>n: number of polygons
p: number of pixels in viewport</t>
  </si>
  <si>
    <t>O(p+n)</t>
  </si>
  <si>
    <t>Warnock's algorithm</t>
  </si>
  <si>
    <t>https://dl.acm.org/doi/book/10.5555/905316?dl=ACM</t>
  </si>
  <si>
    <t>O(p+n)?</t>
  </si>
  <si>
    <t>Ray tracing</t>
  </si>
  <si>
    <t>O(n^2+p)? (previously said O(n^2logn)</t>
  </si>
  <si>
    <t>Binary space partitioning (BSP)</t>
  </si>
  <si>
    <t>https://apps.dtic.mil/dtic/tr/fulltext/u2/700375.pdf</t>
  </si>
  <si>
    <t>n: 5,
p: 3</t>
  </si>
  <si>
    <t>O(n^2+p)?</t>
  </si>
  <si>
    <r>
      <rPr>
        <sz val="10.0"/>
      </rPr>
      <t xml:space="preserve">https://en.wikipedia.org/wiki/Binary_space_partitioning
</t>
    </r>
    <r>
      <rPr>
        <color rgb="FF1155CC"/>
        <sz val="10.0"/>
        <u/>
      </rPr>
      <t>http://library.msri.org/books/Book52/files/29toth.pdf</t>
    </r>
    <r>
      <rPr>
        <sz val="10.0"/>
      </rPr>
      <t xml:space="preserve">
(6.856 Spring 2020 Lecture 1)</t>
    </r>
  </si>
  <si>
    <t>Z-buffering</t>
  </si>
  <si>
    <t>http://isgwww.cs.uni-magdeburg.de/graphics/misc/Wolfgang_Stra%C3%9Fer_Schnelle_Kurven-_und_Flaechendarstellung_auf_grafischen_Sichtgeraeten.pdf</t>
  </si>
  <si>
    <t>https://www.geeksforgeeks.org/z-buffer-depth-buffer-method/#:~:text=Z%2Dbuffer%2C%20which%20is%20also,pixels%20times%20number%20of%20objects.</t>
  </si>
  <si>
    <t>O(E+p)?</t>
  </si>
  <si>
    <t>S-buffer/Scanline Rendering</t>
  </si>
  <si>
    <t>n: 3,
p: 3,
E: 3</t>
  </si>
  <si>
    <t>n: number of polygons
p: number of pixels in viewport
E: total number of edges across all polygons</t>
  </si>
  <si>
    <t>https://en.wikipedia.org/wiki/Scanline_rendering</t>
  </si>
  <si>
    <t>Power Iteration</t>
  </si>
  <si>
    <t>https://onlinelibrary.wiley.com/doi/pdf/10.1002/zamm.19290090105?casa_token=xSwK6PkV010AAAAA:j_1-JKs0GG-KuwUUyM_dIt8kmOa5z6lvp_GABgDryAYxKdYvChyNGA9VA5CZLyAurWOVYPRn45geRTFk</t>
  </si>
  <si>
    <t>https://en.wikipedia.org/wiki/Power_iteration</t>
  </si>
  <si>
    <t>n: dimension of matrix</t>
  </si>
  <si>
    <t>Derived: Stores an auxiliary vector</t>
  </si>
  <si>
    <t>Fortune</t>
  </si>
  <si>
    <t>http://www.wias-berlin.de/people/si/course/files/Fortune87-SweepLine-Voronoi.pdf</t>
  </si>
  <si>
    <t>n: number of vertices</t>
  </si>
  <si>
    <t>See Fortune's Algorithm (Voronoi diagrams); Voronoi diagram gives us O(n) circumcenters which can be used to find the O(n) triangles</t>
  </si>
  <si>
    <t>Gries</t>
  </si>
  <si>
    <t>https://www.sciencedirect.com/science/article/pii/0167642383900151?via%3Dihub</t>
  </si>
  <si>
    <t>Bird</t>
  </si>
  <si>
    <t>https://dl.acm.org/doi/10.1093/comjnl/32.2.122</t>
  </si>
  <si>
    <t>???</t>
  </si>
  <si>
    <t>Ferreira, Camargo, Song</t>
  </si>
  <si>
    <t>https://ieeexplore.ieee.org/document/6972008</t>
  </si>
  <si>
    <t>EREW PRAM?</t>
  </si>
  <si>
    <t>O(n^3(n+k))</t>
  </si>
  <si>
    <t>HJLS algorithm</t>
  </si>
  <si>
    <t>n: 7,
k: 3</t>
  </si>
  <si>
    <t>$O(n^3(n+k))$</t>
  </si>
  <si>
    <t>n: dimensionality of vector
k: relation size parameter</t>
  </si>
  <si>
    <t>bit complexity</t>
  </si>
  <si>
    <t>O(n^2) -- but requires infinite precision with large n or else it becomes unstable</t>
  </si>
  <si>
    <t>Derived: Store Gram-Schmidt basis vectors b_i (n n-dimensional vectors) and Gram-Schmidt numbers \mu_{i,j} (i and j both from 1 to n), not sure how to take into account the "bit complexity" part</t>
  </si>
  <si>
    <t>Given a vector in n-space, is there a non-zero integral vector that is orthogonal to that vector?</t>
  </si>
  <si>
    <t>Resource hierarchy solution</t>
  </si>
  <si>
    <t>https://en.wikipedia.org/wiki/Dining_philosophers_problem#Resource_hierarchy_solution</t>
  </si>
  <si>
    <t>n: number of philosophers</t>
  </si>
  <si>
    <t>each fork has a mutex and there are O(n) forks</t>
  </si>
  <si>
    <t>Arbitrator solution</t>
  </si>
  <si>
    <t>https://en.wikipedia.org/wiki/Dining_philosophers_problem#Arbitrator_solution</t>
  </si>
  <si>
    <t>adding 1 arbitrator, which is of constant size</t>
  </si>
  <si>
    <t>O(V^2 E)</t>
  </si>
  <si>
    <t>Applegate et al.</t>
  </si>
  <si>
    <t>https://www.jstor.org/stable/j.ctt7s8xg</t>
  </si>
  <si>
    <t>Johnson; D. S.; McGeoch; L. A.</t>
  </si>
  <si>
    <t>http://citeseerx.ist.psu.edu/viewdoc/download?doi=10.1.1.92.1635&amp;rep=rep1&amp;type=pdf</t>
  </si>
  <si>
    <t>O(2^{(p(n)})</t>
  </si>
  <si>
    <t>n: number of cities</t>
  </si>
  <si>
    <t xml:space="preserve"> Gutina; Gregory; Yeob; Anders; Zverovich; Alexey</t>
  </si>
  <si>
    <t>https://www.researchgate.net/publication/222408030_Traveling_Salesman_Should_not_be_Greedy_Domination_Analysis_of_Greedy-Type_Heuristics_for_the_TSP</t>
  </si>
  <si>
    <t>Nearest neighbor search</t>
  </si>
  <si>
    <t>Rosenkrantz; D. J.; Stearns; R. E.; Lewis; P. M.</t>
  </si>
  <si>
    <t>V: 1</t>
  </si>
  <si>
    <t>Derived: Nearest neighbor search can be done with constant auxiliary space</t>
  </si>
  <si>
    <t>1/2\log n + 1/2</t>
  </si>
  <si>
    <t>Heuristic</t>
  </si>
  <si>
    <t>Lin–Kernighan</t>
  </si>
  <si>
    <t>https://www.cs.princeton.edu/~bwk/btl.mirror/tsp.pdf</t>
  </si>
  <si>
    <t>https://doi.org/10.1016/S0377-2217(99)00284-2</t>
  </si>
  <si>
    <t>Overlap Layout Consensus</t>
  </si>
  <si>
    <t>n: sum of lengths of reads
f: number of input sequences?</t>
  </si>
  <si>
    <t>Computes and stores all acceptable overlaps among all fragment pairs, along with detailed information regarding alignment, during one of the steps. Overlap graph has size at most O(n^2), layout and consensus should not take up more than O(n^2) space</t>
  </si>
  <si>
    <t>https://www.cs.jhu.edu/~langmea/resources/lecture_notes/assembly_olc.pdf</t>
  </si>
  <si>
    <t>Greedy SEQAID</t>
  </si>
  <si>
    <t>https://www.ncbi.nlm.nih.gov/pmc/articles/PMC321006/</t>
  </si>
  <si>
    <t>Computes and stores all acceptable overlaps among all fragment pairs, along with detailed information regarding alignment, during one of the steps</t>
  </si>
  <si>
    <t>Dürer rendering algorithm</t>
  </si>
  <si>
    <t>Appel's algorithm 1968</t>
  </si>
  <si>
    <t>https://dl.acm.org/doi/10.1145/1468075.1468082</t>
  </si>
  <si>
    <t>Whitted's algorithm 1979</t>
  </si>
  <si>
    <t>https://dl.acm.org/doi/10.1145/358876.358882</t>
  </si>
  <si>
    <t>J.-C. Nebel 1998</t>
  </si>
  <si>
    <t>https://www.academia.edu/814419/A_New_Parallel_Algorithm_Provided_by_a_Computation_Time_Model</t>
  </si>
  <si>
    <t>A. Chalmers; T. Davis; and E. Reinhard 2002</t>
  </si>
  <si>
    <t>Moravec's algorithm 1980</t>
  </si>
  <si>
    <t>https://www.ri.cmu.edu/pub_files/pub4/moravec_hans_1980_1/moravec_hans_1980_1.pdf</t>
  </si>
  <si>
    <t>https://www.ijedr.org/papers/IJEDR1404047.pdf</t>
  </si>
  <si>
    <t>O(n^2 log^2 n)</t>
  </si>
  <si>
    <t>Förstner algorithm 1987</t>
  </si>
  <si>
    <t>n: 5.02</t>
  </si>
  <si>
    <t>O(n^2 \log^2 n)</t>
  </si>
  <si>
    <t>J. J. Koenderink and W. Richards 1988</t>
  </si>
  <si>
    <t>https://www.osapublishing.org/josaa/abstract.cfm?uri=josaa-5-7-1136</t>
  </si>
  <si>
    <t>Lindeberg (1994)</t>
  </si>
  <si>
    <t>Lindeberg (1998)</t>
  </si>
  <si>
    <t>https://link.springer.com/article/10.1023/A:1008045108935</t>
  </si>
  <si>
    <t>K. Mikolajczyk; K. and C. Schmid LoG 2004</t>
  </si>
  <si>
    <t>https://www.robots.ox.ac.uk/~vgg/research/affine/det_eval_files/mikolajczyk_pami2004.pdf</t>
  </si>
  <si>
    <t>Lowe (2004)</t>
  </si>
  <si>
    <t>https://www.cs.ubc.ca/~lowe/papers/ijcv04.pdf</t>
  </si>
  <si>
    <t>T. Lindeberg and J. Garding (1997)</t>
  </si>
  <si>
    <t>Lindeberg 2005</t>
  </si>
  <si>
    <t>The Wang and Brady corner detection algorithm 1995</t>
  </si>
  <si>
    <t>The Trajkovic and Hedley corner detector 1998</t>
  </si>
  <si>
    <t>FAST E. Rosten and T. Drummond 2006</t>
  </si>
  <si>
    <t>https://www.edwardrosten.com/work/rosten_2006_machine.pdf</t>
  </si>
  <si>
    <t>Trujillo and Olague 2008</t>
  </si>
  <si>
    <t>https://www.mitpressjournals.org/doi/abs/10.1162/evco.2008.16.4.483?journalCode=evco&amp;mobileUi=0&amp;</t>
  </si>
  <si>
    <t>Geert Willems; Tinne Tuytelaars and Luc van Gool (2008)</t>
  </si>
  <si>
    <t>http://citeseerx.ist.psu.edu/viewdoc/summary?doi=10.1.1.471.6845</t>
  </si>
  <si>
    <t>Tao Luo, Zaifeng Shi and Pumeng Wang</t>
  </si>
  <si>
    <t>T. Lindeberg DoG 2012</t>
  </si>
  <si>
    <t>T. Lindeberg DoG 2015</t>
  </si>
  <si>
    <t>SIFT Algorithm Lowe 2004</t>
  </si>
  <si>
    <t>Hessain Determinant Lindeberg 1994</t>
  </si>
  <si>
    <t>Hessain Determinant Lindeberg 1998</t>
  </si>
  <si>
    <t>SURF Descriptor 2006</t>
  </si>
  <si>
    <t>Hessian-Laplace Mikolajczyk and Schmid 2004</t>
  </si>
  <si>
    <t>Spatio-temporal Geert Willems; Tinne Tuytelaars and Luc van Gool (2008)</t>
  </si>
  <si>
    <t>Lindeberg's watershed-based grey-level blob detection algorithm 1991</t>
  </si>
  <si>
    <t>O(n^2 log^3 n)</t>
  </si>
  <si>
    <t>Maximally stable extremal regions Matas 2002</t>
  </si>
  <si>
    <t>n: 5.03</t>
  </si>
  <si>
    <t>A. Baumberg. 2000</t>
  </si>
  <si>
    <t>O(n^2 loglogn)</t>
  </si>
  <si>
    <t>Y. Dufournaud; C. Schmid; and R. Horaud 2000</t>
  </si>
  <si>
    <t>n: 5.001</t>
  </si>
  <si>
    <t>O(n^2 \log\log n)</t>
  </si>
  <si>
    <t>local scale-invariant Lowe 1999</t>
  </si>
  <si>
    <t>T. Tuytelaars and L. Van Gool 2000</t>
  </si>
  <si>
    <t>view frustum culling</t>
  </si>
  <si>
    <t>Sector-Based Culling</t>
  </si>
  <si>
    <t>Occlusion Culling</t>
  </si>
  <si>
    <t>Contribution Culling</t>
  </si>
  <si>
    <t>Kwatra 2003</t>
  </si>
  <si>
    <t>https://dl.acm.org/doi/abs/10.1145/882262.882264</t>
  </si>
  <si>
    <t>CNN Based Gatys; Leon A 2001</t>
  </si>
  <si>
    <t>O(k n^2)</t>
  </si>
  <si>
    <t>P.Hanrahan and W.Krueger 1993</t>
  </si>
  <si>
    <t>O(k^3 n)</t>
  </si>
  <si>
    <t>H.W.Jensen 2001</t>
  </si>
  <si>
    <t>k: 6,
n: 3</t>
  </si>
  <si>
    <t>He; X. D.; Torrance; K. E.; Sillion; 1991</t>
  </si>
  <si>
    <t>k: 3,
n: 5</t>
  </si>
  <si>
    <t>Kajiya; J. Anisotropic Reflection Models 1985</t>
  </si>
  <si>
    <t>O(k^3 n^2)</t>
  </si>
  <si>
    <t>Nakamae; E.; Kaneda; K.; Okamoto; T.; and
Nishita 1990</t>
  </si>
  <si>
    <t>k: 6,
n: 5</t>
  </si>
  <si>
    <t>Cabral; B.; Max; N.; and Springmeyer; R 1990</t>
  </si>
  <si>
    <t>Westin; S. H.; Arvo; J. R.; and Torrance; K. E 1992</t>
  </si>
  <si>
    <t>Phong</t>
  </si>
  <si>
    <t>Blinn–Phong</t>
  </si>
  <si>
    <t>Cook–Torrance (microfacets)</t>
  </si>
  <si>
    <t>O(n^1.67 log^2 n)</t>
  </si>
  <si>
    <t>Ward anisotropic</t>
  </si>
  <si>
    <t>n: 4.68</t>
  </si>
  <si>
    <t>O(n^{1.67} \log^2 n)</t>
  </si>
  <si>
    <t>O(n^2 logn)</t>
  </si>
  <si>
    <t>Hanrahan–Krueger</t>
  </si>
  <si>
    <t>Linda G. Shapiro and George C. Stockman (2001)</t>
  </si>
  <si>
    <t>Recursive Region Splitting</t>
  </si>
  <si>
    <t>Barghout; Lauren Visual Taxometric approach</t>
  </si>
  <si>
    <t>Dual clustering - Guberman</t>
  </si>
  <si>
    <t>R. Nock and F. Nielsen Statistical Region Merging</t>
  </si>
  <si>
    <t>Kass; Witkin and Terzopoulos</t>
  </si>
  <si>
    <t>Chen's lambda-connected segmentation</t>
  </si>
  <si>
    <t>S.L. Horowitz and T. Pavlidis - directed split and merge</t>
  </si>
  <si>
    <t>David Mumford and Jayant Shah (1989)</t>
  </si>
  <si>
    <t>Geman and Geman Markov random fields</t>
  </si>
  <si>
    <t>Iterated conditional modes algorithm</t>
  </si>
  <si>
    <t>watershed transformation 1979</t>
  </si>
  <si>
    <t>topological watershed</t>
  </si>
  <si>
    <t>Florack and Kuijper</t>
  </si>
  <si>
    <t>Bijaoui and Rué</t>
  </si>
  <si>
    <t>Multi-scale MAP estimation - A. Bouman and M. Shapiro (2002)</t>
  </si>
  <si>
    <t>Multiple Resolution segmentation - J. Liu and Y. H. Yang (1994)</t>
  </si>
  <si>
    <t>Quasi-linear Topological watershed</t>
  </si>
  <si>
    <t>Isometric graph partitioning - Leo Grady and Eric L. Schwartz (2006)</t>
  </si>
  <si>
    <t>Coplanar facets merging - M.J. De Haemer and M.J. Zyda 1991</t>
  </si>
  <si>
    <t>Coplanar facets merging - Hinker; P. and Hansen; C. 1993</t>
  </si>
  <si>
    <t>Coplanar facets merging - Kalvin; A. D.; Cutting; C. B.; Haddad; B. and Noz; M. E. 1991</t>
  </si>
  <si>
    <t>Coplanar facets merging - A.D. Kalvin and R.H. Taylor 1996</t>
  </si>
  <si>
    <t>Controlled vertex/edge/face decimation - M.E. Algorri and F. Schmitt 1996</t>
  </si>
  <si>
    <t>Controlled vertex/edge/face decimation - Guéziec 1996</t>
  </si>
  <si>
    <t>Controlled vertex/edge/face decimation - R. Ronfard and J. Rossignac 1996</t>
  </si>
  <si>
    <t>Controlled vertex/edge/face decimation - Hamann 1994</t>
  </si>
  <si>
    <t>Controlled vertex/edge/face decimation - Cohen; J.; Varshney; A 1996</t>
  </si>
  <si>
    <t>Re-tiling - Turk; G 1992</t>
  </si>
  <si>
    <t>Vertex clustering - Rossignac; J. and Borrel; P. 1993</t>
  </si>
  <si>
    <t>Vertex clustering - Low; K. L. and Tan; T. S 1997</t>
  </si>
  <si>
    <t>Vertex clustering - Reddy 1996</t>
  </si>
  <si>
    <t>Vertex clustering - Hoppe; H.; DeRose; T.;  1993</t>
  </si>
  <si>
    <t>Vertex clustering - Rossignac; J. and Borrel; P. 1997</t>
  </si>
  <si>
    <t>Wavelet-based - M.H. Gross; O.G. Staadt and R. Gatti 1996</t>
  </si>
  <si>
    <t>Wavelet-based - D.J. Hebert and H-J. Kim 1995</t>
  </si>
  <si>
    <t>Wavelet-based - Certain; A.; Popovic; J.; 1996</t>
  </si>
  <si>
    <t>Wavelet-based - Eck; M.; DeRose; T.; 1995</t>
  </si>
  <si>
    <t>Simplification via intermediate hierarchical rep-resentation - Andujar 1996</t>
  </si>
  <si>
    <t>Simplification via intermediate hierarchical rep-resentation - He; T.; Hong; L.; Kaufman 1995</t>
  </si>
  <si>
    <t>Simplification via intermediate hierarchical rep-resentation - He;  T.;  Hong;  1996</t>
  </si>
  <si>
    <t>Hauskrecht; 2000;</t>
  </si>
  <si>
    <t xml:space="preserve"> Pineau; Gordon; &amp; Thrun; 2003; </t>
  </si>
  <si>
    <t xml:space="preserve">Braziunas &amp; Boutilier; 2004; </t>
  </si>
  <si>
    <t xml:space="preserve">Poupart; 2005; </t>
  </si>
  <si>
    <t xml:space="preserve">Smith &amp; Simmons; 2005; </t>
  </si>
  <si>
    <t>Spaan &amp; Vlassis; 2005</t>
  </si>
  <si>
    <t xml:space="preserve">Satia &amp; Lave; 1973; </t>
  </si>
  <si>
    <t xml:space="preserve">Washington; 1997; </t>
  </si>
  <si>
    <t xml:space="preserve">Barto;Bradtke; &amp; Singhe; 1995; </t>
  </si>
  <si>
    <t xml:space="preserve">Paquet; Tobin; &amp; Chaib-draa; 2005; </t>
  </si>
  <si>
    <t>McAllester &amp; Singh; 1999;</t>
  </si>
  <si>
    <t xml:space="preserve">Bertsekas &amp; Castanon; 1999; </t>
  </si>
  <si>
    <t>Shani; Brafman; &amp; Shimony; 2005</t>
  </si>
  <si>
    <t>"Scan-conversion line algorithm"</t>
  </si>
  <si>
    <t>O(n^1.45 logn)</t>
  </si>
  <si>
    <t>Digital Differential Analyzer (DDA)</t>
  </si>
  <si>
    <t>Hearn, Baker (1997) pg. 87</t>
  </si>
  <si>
    <t>n: dimension of image</t>
  </si>
  <si>
    <t>Words</t>
  </si>
  <si>
    <t>Derived: for each iteration (i.e. each step along the line), only need to store a constant number of variables that are then overwritten in the next iteration.</t>
  </si>
  <si>
    <t>Bresenham Algorithm</t>
  </si>
  <si>
    <t>Hearn, Baker (1997) pg. 88</t>
  </si>
  <si>
    <t>Blinn and Newell</t>
  </si>
  <si>
    <t xml:space="preserve"> Nate Green</t>
  </si>
  <si>
    <t>Sphere mapping</t>
  </si>
  <si>
    <t>Heidrich; W.; and H.-P. Seidel</t>
  </si>
  <si>
    <t>Emil Praun</t>
  </si>
  <si>
    <t>Mauro Steigleder</t>
  </si>
  <si>
    <t>HEALPix mapping Wong</t>
  </si>
  <si>
    <t>Maximum a Posteriori Occupancy Mapping</t>
  </si>
  <si>
    <t>O(m*log n) per iteration</t>
  </si>
  <si>
    <t>FastSlam</t>
  </si>
  <si>
    <t>http://robots.stanford.edu/papers/montemerlo.fastslam-tr.pdf</t>
  </si>
  <si>
    <t>m: 3,
n: 2</t>
  </si>
  <si>
    <t>O(m*\log n) per iteration</t>
  </si>
  <si>
    <t>n: number of dimensions in state space
m: number of particles in particle filter</t>
  </si>
  <si>
    <t>m: 3,
n: 3</t>
  </si>
  <si>
    <t>Stores and updates a balanced binary tree of n elements/dimensions per particle</t>
  </si>
  <si>
    <t>srba</t>
  </si>
  <si>
    <t>http://ingmec.ual.es/~jlblanco/papers/blanco2013rba.pdf</t>
  </si>
  <si>
    <t>Seems to store a constant number of O(n)*O(n)-sized matrices and O(n)*O(n)-sized tables (see section II, part C)</t>
  </si>
  <si>
    <t>O(n log n)</t>
  </si>
  <si>
    <t>Probabilistic Convolution Tree</t>
  </si>
  <si>
    <t>https://www.ncbi.nlm.nih.gov/pubmed/24626234</t>
  </si>
  <si>
    <t>n: number of coins</t>
  </si>
  <si>
    <t>https://pubmed.ncbi.nlm.nih.gov/24626234/</t>
  </si>
  <si>
    <t>Any distribution</t>
  </si>
  <si>
    <t>Same general behavior across inputs</t>
  </si>
  <si>
    <r>
      <rPr>
        <rFont val="Arial"/>
        <color theme="1"/>
        <sz val="10.0"/>
      </rPr>
      <t xml:space="preserve">Odd Even Sort </t>
    </r>
    <r>
      <rPr>
        <rFont val="Arial"/>
        <b/>
        <color theme="1"/>
        <sz val="10.0"/>
      </rPr>
      <t>Parallel  Implementation</t>
    </r>
  </si>
  <si>
    <t>https://www.semanticscholar.org/paper/Parallel-Neighbor-Sort-(or-the-Glory-of-the-Habermann/bc7b6efb99aae6225239425747fd0169a51f30ce</t>
  </si>
  <si>
    <t>https://en.wikipedia.org/wiki/Odd%E2%80%93even_sort</t>
  </si>
  <si>
    <t>need to read entire input</t>
  </si>
  <si>
    <r>
      <rPr>
        <rFont val="Arial"/>
        <color theme="1"/>
        <sz val="10.0"/>
      </rPr>
      <t xml:space="preserve">Spaghetti Sort </t>
    </r>
    <r>
      <rPr>
        <rFont val="Arial"/>
        <b/>
        <color theme="1"/>
        <sz val="10.0"/>
      </rPr>
      <t>Parallel Implementation</t>
    </r>
  </si>
  <si>
    <t>https://link.springer.com/chapter/10.1007/978-94-009-2794-0_11</t>
  </si>
  <si>
    <t>O(1) auxiliary? per processor?</t>
  </si>
  <si>
    <t>Assuming getting the spaghetti rods doesn't take up any auxiliary space, the only auxiliary space in this algorithm involves the table and the hands, each using O(1) space</t>
  </si>
  <si>
    <t>https://en.wikipedia.org/wiki/Spaghetti_sort</t>
  </si>
  <si>
    <t>Heejo Lee; Jong Kim; Sungje Hong; and Sunggu Lee</t>
  </si>
  <si>
    <t>$O(n^2)$?</t>
  </si>
  <si>
    <t>Derived: two $n \times n$ size tables ($S$ and $W$)</t>
  </si>
  <si>
    <t>"near optimal"</t>
  </si>
  <si>
    <t>0?</t>
  </si>
  <si>
    <t>O(log^4 n)</t>
  </si>
  <si>
    <t>Prakesh Ramanan</t>
  </si>
  <si>
    <t>https://epubs.siam.org/doi/abs/10.1137/0225039</t>
  </si>
  <si>
    <t>n: 2.03</t>
  </si>
  <si>
    <t>Derived: $n$ subtrees and each one has a $O(1)$ size trunk</t>
  </si>
  <si>
    <t>$n$</t>
  </si>
  <si>
    <t>O (log^3 n)</t>
  </si>
  <si>
    <t>n: 2.02</t>
  </si>
  <si>
    <t>O(log^3 n)</t>
  </si>
  <si>
    <t>Derived: uses two arrays ($D$ and $c$) both of size $O(n^2)$</t>
  </si>
  <si>
    <t>$O(n^2 / \log^3 n)$</t>
  </si>
  <si>
    <t>O(rm \log(n/r) + rm)</t>
  </si>
  <si>
    <t>Hsu and Du (Scheme 2)</t>
  </si>
  <si>
    <t>https://www.sciencedirect.com/science/article/pii/0022000084900254</t>
  </si>
  <si>
    <t>m: 3,
r: 3,
n: 2,
m+n: 5.01</t>
  </si>
  <si>
    <t>$n$: length of the longer input string
$m$: length of the shorter input string
$r$: length of the LCS</t>
  </si>
  <si>
    <t>r: 3,
m: 3,
m+n: 5</t>
  </si>
  <si>
    <t>$O(rm)$</t>
  </si>
  <si>
    <t>O(m \log n +n^2 \log(2m/n))</t>
  </si>
  <si>
    <t>On average, $p = n^2 / s$</t>
  </si>
  <si>
    <t>Apostolico and Guerra (HS1 Algorithm)</t>
  </si>
  <si>
    <t>https://link.springer.com/article/10.1007/BF01840365</t>
  </si>
  <si>
    <t>m: 3,
n: 2,
p: 3,
m+n: 5</t>
  </si>
  <si>
    <t>O(m \log n +p \log(2mn/p))</t>
  </si>
  <si>
    <t>$n$: length of the longer input string
$m$: length of the shorter input string
$p$: the number of dominant matches (AKA number of minimal candidates), i.e. the total number of ordered pairs of positions at which the two sequences match
$s$: size of alphabet</t>
  </si>
  <si>
    <t>p: 3,
n: 3,
m+n: 3</t>
  </si>
  <si>
    <t>O(n^2 + n(r+\log n))</t>
  </si>
  <si>
    <t>Kuo and Cross</t>
  </si>
  <si>
    <t>https://dl.acm.org/citation.cfm?id=74702</t>
  </si>
  <si>
    <t>p: 3,
n: 4,
r: 3,
m+n: 5</t>
  </si>
  <si>
    <t>O(p + n(r+\log n))</t>
  </si>
  <si>
    <t>$n$: length of the longer input string
$m$: length of the shorter input string
$r$: length of the LCS
$p$: the number of dominant matches (AKA number of minimal candidates), i.e. the total number of ordered pairs of positions at which the two sequences match
$s$: size of alphabet</t>
  </si>
  <si>
    <r>
      <rPr>
        <color rgb="FF1155CC"/>
        <sz val="10.0"/>
        <u/>
      </rPr>
      <t>https://dl.acm.org/doi/10.1145/74697.74702</t>
    </r>
    <r>
      <rPr>
        <color rgb="FF000000"/>
        <sz val="10.0"/>
      </rPr>
      <t>, Same space complexity as Hunt and Szymanski.</t>
    </r>
  </si>
  <si>
    <t>O(sn + \min\{r(n - r ), rm\})</t>
  </si>
  <si>
    <t>Rick</t>
  </si>
  <si>
    <t>https://link.springer.com/chapter/10.1007/3-540-60044-2_53</t>
  </si>
  <si>
    <t>s: 3,
n: 3,
r: 3,
m: 3,
m+n: 5</t>
  </si>
  <si>
    <t>p: 3,
n: 3,
s: 3,
m+n: 3</t>
  </si>
  <si>
    <t>$O(sn + p)$</t>
  </si>
  <si>
    <t>O(sn + \min\{rm, sd\})</t>
  </si>
  <si>
    <t>O(rn + n \log n)</t>
  </si>
  <si>
    <t>Hirschberg</t>
  </si>
  <si>
    <t>https://dl.acm.org/citation.cfm?id=322044</t>
  </si>
  <si>
    <t>r: 3,
n: 4,
m+n: 5</t>
  </si>
  <si>
    <t>$n$: length of the longer input string
$m$: length of the shorter input string
$r$: length of the LCS
$p$: the number of dominant matches (AKA number of minimal candidates), i.e. the total number of ordered pairs of positions at which the two sequences match</t>
  </si>
  <si>
    <t>$O(n + p)$</t>
  </si>
  <si>
    <t>https://link.springer.com/content/pdf/10.1007/BF01840365.pdf</t>
  </si>
  <si>
    <t>O(rm \log(n/m) + rm)</t>
  </si>
  <si>
    <t>Hsu and Du (Scheme 1)</t>
  </si>
  <si>
    <t>r: 3,
m: 3,
n: 2,
m+n: 5</t>
  </si>
  <si>
    <t>O(rm + sn + n \log s)</t>
  </si>
  <si>
    <t>Apostolico and Guerra (Algorithm 2)</t>
  </si>
  <si>
    <t>r: 3,
m: 3,
s: 3,
n: 3,
m+n: 5</t>
  </si>
  <si>
    <t>$O(p + sn)$</t>
  </si>
  <si>
    <t>O(sn + \min\{sp, rm\})</t>
  </si>
  <si>
    <t>Chin and Poon</t>
  </si>
  <si>
    <t>https://dl.acm.org/doi/abs/10.5555/105582.105592</t>
  </si>
  <si>
    <t>r: 3,
m: 3,
s: 3,
n: 3,
p: 4,
m+n: 5</t>
  </si>
  <si>
    <r>
      <rPr>
        <color rgb="FF1155CC"/>
        <sz val="10.0"/>
        <u/>
      </rPr>
      <t>https://link.springer.com/content/pdf/10.1007/3-540-58338-6_63.pdf</t>
    </r>
    <r>
      <rPr>
        <color rgb="FF000000"/>
        <sz val="10.0"/>
      </rPr>
      <t>, Fig. 3</t>
    </r>
  </si>
  <si>
    <t>https://link.springer.com/content/pdf/10.1007/3-540-58338-6_63.pdf</t>
  </si>
  <si>
    <t>O(n(m-r))</t>
  </si>
  <si>
    <t>Nakatsu et al.</t>
  </si>
  <si>
    <t>https://link.springer.com/article/10.1007/BF00264437</t>
  </si>
  <si>
    <t>m: 5,
m+n: 5</t>
  </si>
  <si>
    <t>$O(m^2)$</t>
  </si>
  <si>
    <r>
      <rPr>
        <color rgb="FF1155CC"/>
        <sz val="10.0"/>
        <u/>
      </rPr>
      <t>https://link.springer.com/content/pdf/10.1007/3-540-58338-6_63.pdf</t>
    </r>
    <r>
      <rPr>
        <color rgb="FF000000"/>
        <sz val="10.0"/>
      </rPr>
      <t>, Fig. 3</t>
    </r>
  </si>
  <si>
    <t>Miller and Myers</t>
  </si>
  <si>
    <t>https://onlinelibrary.wiley.com/doi/abs/10.1002/spe.4380151102</t>
  </si>
  <si>
    <t>Derived: Uses an upper triangular matrix $M$ that is size $(m + 1) \times (m + 1)$</t>
  </si>
  <si>
    <t>Wu et al.</t>
  </si>
  <si>
    <t>https://publications.mpi-cbg.de/Wu_1990_6334.pdf</t>
  </si>
  <si>
    <t>$O(m^2)$?</t>
  </si>
  <si>
    <t>Derived: Same as the above two</t>
  </si>
  <si>
    <t>O(VELog(V(LogU)^0.5 / E))</t>
  </si>
  <si>
    <t>Ahuja et al.</t>
  </si>
  <si>
    <t>http://citeseerx.ist.psu.edu/viewdoc/download?doi=10.1.1.86.5093&amp;rep=rep1&amp;type=pdf</t>
  </si>
  <si>
    <t>O(1.2108^n)</t>
  </si>
  <si>
    <t>Robson</t>
  </si>
  <si>
    <t>https://www.sciencedirect.com/science/article/pii/0196677486900325</t>
  </si>
  <si>
    <t>https://arxiv.org/pdf/cs/0006046.pdf</t>
  </si>
  <si>
    <t>O(1.333^n)</t>
  </si>
  <si>
    <t>Schöning</t>
  </si>
  <si>
    <t>https://ieeexplore.ieee.org/document/814612</t>
  </si>
  <si>
    <t>O(1.239^n)</t>
  </si>
  <si>
    <t>Hirsch</t>
  </si>
  <si>
    <t>https://dl.acm.org/doi/10.5555/314613.314838</t>
  </si>
  <si>
    <t>O(1.4422^n)</t>
  </si>
  <si>
    <t>Johnson</t>
  </si>
  <si>
    <t>https://www.sciencedirect.com/science/article/abs/pii/0020019088900658</t>
  </si>
  <si>
    <t>O(1.24^n)</t>
  </si>
  <si>
    <t>Alon and Kahale</t>
  </si>
  <si>
    <t>http://www.cs.tau.ac.il/~nogaa/PDFS/spectcolpr1.pdf</t>
  </si>
  <si>
    <t>Incremental convex hull algorithm; Michael Kallay</t>
  </si>
  <si>
    <t>https://www.sciencedirect.com/science/article/pii/002001908490084X</t>
  </si>
  <si>
    <t>Parallel algorithm</t>
  </si>
  <si>
    <t>O(E log(V)/p)</t>
  </si>
  <si>
    <r>
      <rPr>
        <rFont val="Arial"/>
        <color theme="1"/>
        <sz val="10.0"/>
      </rPr>
      <t xml:space="preserve">Bader &amp; Cong </t>
    </r>
    <r>
      <rPr>
        <rFont val="Arial"/>
        <b/>
        <color theme="1"/>
        <sz val="10.0"/>
      </rPr>
      <t>Parallel Implementation</t>
    </r>
    <r>
      <rPr>
        <rFont val="Arial"/>
        <color theme="1"/>
        <sz val="10.0"/>
      </rPr>
      <t xml:space="preserve"> </t>
    </r>
  </si>
  <si>
    <t>https://www.sciencedirect.com/science/article/pii/S0743731506001262</t>
  </si>
  <si>
    <t>O(E \log(V)/p)</t>
  </si>
  <si>
    <t>V: number of vertices
E: number of edges
U: maximum edge weight
p: number of processors</t>
  </si>
  <si>
    <t>PRAM/SMPs?</t>
  </si>
  <si>
    <t>O(V) total</t>
  </si>
  <si>
    <t>Initializes and uses a constant number of arrays of size O(V) (and does work similar to work done in Boruvka/Prim algorithm)</t>
  </si>
  <si>
    <t>p</t>
  </si>
  <si>
    <t>For integers of the form $r^e \pm s$, for r and s relatively small</t>
  </si>
  <si>
    <t>$O(exp((1+o(1))(32n/9)^{(1/3)}(log n)^{(2/3)})$ heuristically?</t>
  </si>
  <si>
    <t>http://www.ams.org/notices/199612/pomerance.pdf</t>
  </si>
  <si>
    <t>Special number field sieve</t>
  </si>
  <si>
    <t>O(exp((1+o(1))(32n/9)^{(1/3)}(log n)^{(2/3)}) heuristically?</t>
  </si>
  <si>
    <t>n: number of bits in number to factor</t>
  </si>
  <si>
    <t>n: 2.66</t>
  </si>
  <si>
    <t>O(n^{2/3})</t>
  </si>
  <si>
    <t>$O(exp((1+o(1))(64n/9)^{(1/3)}(log n)^{(2/3)})$ heuristically?</t>
  </si>
  <si>
    <t>General number field sieve</t>
  </si>
  <si>
    <t>O(exp((1+o(1))(64n/9)^{(1/3)}(log n)^{(2/3)}) heuristically?</t>
  </si>
  <si>
    <r>
      <rPr>
        <rFont val="Arial"/>
        <color theme="1"/>
        <sz val="10.0"/>
      </rPr>
      <t xml:space="preserve">Shor's algorithm </t>
    </r>
    <r>
      <rPr>
        <rFont val="Arial"/>
        <b/>
        <color theme="1"/>
        <sz val="10.0"/>
      </rPr>
      <t>Quantum Implementation</t>
    </r>
  </si>
  <si>
    <t>https://ieeexplore.ieee.org/document/365700/</t>
  </si>
  <si>
    <t>https://quantum-computing.ibm.com/composer/docs/iqx/guide/shors-algorithm</t>
  </si>
  <si>
    <t>O(n^2) gates</t>
  </si>
  <si>
    <t>Two-way String-Matching Algorithm</t>
  </si>
  <si>
    <t>http://monge.univ-mlv.fr/~mac/Articles-PDF/CP-1991-jacm.pdf</t>
  </si>
  <si>
    <t>n: 3,
m: 3,
m+n: 3</t>
  </si>
  <si>
    <t>$m$: pattern length
$n$: length of searchable text</t>
  </si>
  <si>
    <t>n: 1,
m+n: 1</t>
  </si>
  <si>
    <t>String-Matching with Finite Automata</t>
  </si>
  <si>
    <t>m: 3,
m+n: 3</t>
  </si>
  <si>
    <t>Derived: $O(m)$ states in the DFA</t>
  </si>
  <si>
    <t>https://www.geeksforgeeks.org/finite-automata-algorithm-for-pattern-searching/</t>
  </si>
  <si>
    <t>Quick-Skip Searching</t>
  </si>
  <si>
    <t>http://www.ijcte.org/papers/462-G1278.pdf</t>
  </si>
  <si>
    <t>Derived: Uses two tables, both of size $O(m)$</t>
  </si>
  <si>
    <t>O(n+m)+ O(m+s)</t>
  </si>
  <si>
    <t>Fast Hybrid Algorithm</t>
  </si>
  <si>
    <t>https://thesai.org/Downloads/Volume8No6/Paper_15-Fast_Hybrid_String_Matching_Algorithm.pdf</t>
  </si>
  <si>
    <t>n: 3,
m: 3,
m+n: 3,
s: 3</t>
  </si>
  <si>
    <t>Derived: Uses three tables, each of size $O(m)$</t>
  </si>
  <si>
    <t>O(n (\log_s m)/m)</t>
  </si>
  <si>
    <t>Backward Non-Deterministic DAWG Matching (BNDM)</t>
  </si>
  <si>
    <t>https://link.springer.com/chapter/10.1007/BFb0030778</t>
  </si>
  <si>
    <t>$O(sm)$</t>
  </si>
  <si>
    <t>Automaton-based, constructs a converse state machine from the given patterns</t>
  </si>
  <si>
    <t>Commentz-Walter Algorithm</t>
  </si>
  <si>
    <t>https://link.springer.com/chapter/10.1007/3-540-09510-1_10</t>
  </si>
  <si>
    <t>$m$: pattern length
$n$: length of searchable text
$k$: number of keywords</t>
  </si>
  <si>
    <t>m: 3,
k: 3,
m+n: 3</t>
  </si>
  <si>
    <t>$O(km)$</t>
  </si>
  <si>
    <t>Derived: Number of states of the automaton that is created</t>
  </si>
  <si>
    <t>Automaton-based, finite automaton that tracks the partial prefix match</t>
  </si>
  <si>
    <t>O(n + m + z)</t>
  </si>
  <si>
    <t>Aho–Corasick (AC) Algorithm</t>
  </si>
  <si>
    <t>n: 3,
m: 3,
m+n: 3,
z: 3</t>
  </si>
  <si>
    <t>$m$: pattern length
$n$: length of searchable text
$k$: number of keywords
$z$: number of matches</t>
  </si>
  <si>
    <t>Bad-character heuristic</t>
  </si>
  <si>
    <t>Uniform distribution (over the given alphabet) of characters in the text and pattern</t>
  </si>
  <si>
    <t>https://doi.org/10.1016/0304-3975(92)90133-Z</t>
  </si>
  <si>
    <t>Boyer-Moore-Horspool (BMH)</t>
  </si>
  <si>
    <t>https://onlinelibrary.wiley.com/doi/abs/10.1002/spe.4380100608</t>
  </si>
  <si>
    <t>s: 3,
m+n: 1</t>
  </si>
  <si>
    <t>$O(s)$</t>
  </si>
  <si>
    <t>Derived: Uses a bad-character shift table of size $O(s)$</t>
  </si>
  <si>
    <t>Slight variation of BMH</t>
  </si>
  <si>
    <t>Raita Algorithm</t>
  </si>
  <si>
    <t>https://www.cin.ufpe.br/~paguso/courses/if767/bib/Raita_1992.pdf</t>
  </si>
  <si>
    <t>n: 3,
m: 3,
m+n: 5,
s: 3</t>
  </si>
  <si>
    <t>Automaton-based oracle</t>
  </si>
  <si>
    <t>O(m) + O(mn)</t>
  </si>
  <si>
    <t>BOM (Backward Oracle Matching)</t>
  </si>
  <si>
    <t>https://link.springer.com/chapter/10.1007/3-540-47849-3_18</t>
  </si>
  <si>
    <t>https://link.springer.com/content/pdf/10.1007/3-540-47849-3_18.pdf</t>
  </si>
  <si>
    <t>https://www-igm.univ-mlv.fr/~lecroq/string/bom.html</t>
  </si>
  <si>
    <t>Variant of BM</t>
  </si>
  <si>
    <t>O(m + s) + O(n)</t>
  </si>
  <si>
    <t>Apostolico–Giancarlo Algorithm</t>
  </si>
  <si>
    <t>https://docs.lib.purdue.edu/cgi/viewcontent.cgi?article=1456&amp;context=cstech&amp;sei-redir=1</t>
  </si>
  <si>
    <t>http://www.darkridge.com/~jpr5/mirror/string/node16.html</t>
  </si>
  <si>
    <t>Gapped BLAST</t>
  </si>
  <si>
    <t>https://www.ncbi.nlm.nih.gov/pubmed/9254694</t>
  </si>
  <si>
    <t>n: 5,
m: 3,
m+n: 5</t>
  </si>
  <si>
    <t>Uses at most a constant number of O(m)*O(n) arrays, whose contents are of size O(1)</t>
  </si>
  <si>
    <t>Basic Local Alignment Search Tool (BLAST)</t>
  </si>
  <si>
    <t>https://www.ncbi.nlm.nih.gov/pubmed/2231712</t>
  </si>
  <si>
    <t>Nested loop join</t>
  </si>
  <si>
    <t>https://docs.oracle.com/cd/E17952_01/mysql-5.7-en/nested-loop-joins.html</t>
  </si>
  <si>
    <t>n, m: sizes of input tables</t>
  </si>
  <si>
    <t>Just need to keep track of which rows are being checked</t>
  </si>
  <si>
    <t>An SQL join clause - corresponding to a join operation in relational algebra
 - combines columns from one or more tables in a relational database.</t>
  </si>
  <si>
    <t>O(nlogn + mlogm)</t>
  </si>
  <si>
    <t>Sort merge join</t>
  </si>
  <si>
    <t>n: 3,
m: 3,
m+n: 4</t>
  </si>
  <si>
    <t>O(n+m)?</t>
  </si>
  <si>
    <t>Need sorted lists of indices of input tables</t>
  </si>
  <si>
    <t>https://use-the-index-luke.com/sql/join/sort-merge-join</t>
  </si>
  <si>
    <t>Hash join</t>
  </si>
  <si>
    <t>http://neuyilan.github.io/2018/01/04/hash%20join算法总结/Hash%20Join%20Algorithms.pdf</t>
  </si>
  <si>
    <t>Need a hash table of at least that size</t>
  </si>
  <si>
    <t>https://dev.mysql.com/doc/refman/8.0/en/hash-joins.html</t>
  </si>
  <si>
    <t>Ford–Fulkerson algorithm</t>
  </si>
  <si>
    <t>https://www.cambridge.org/core/journals/canadian-journal-of-mathematics/article/maximal-flow-through-a-network/5D6E55D3B06C4F7B1043BC1D82D40764</t>
  </si>
  <si>
    <t>creating new graph and using it as input to the Ford-Fulkerson algorithm</t>
  </si>
  <si>
    <t>V:E
1:1</t>
  </si>
  <si>
    <t>http://www.cs.kent.edu/~dragan/GraphAn/p23-galil.pdf
https://hal.archives-ouvertes.fr/hal-01740403/document</t>
  </si>
  <si>
    <t>$O((V^0.5)E)$</t>
  </si>
  <si>
    <t>Hopcroft–Karp algorithm</t>
  </si>
  <si>
    <t>https://epubs.siam.org/doi/10.1137/0202019</t>
  </si>
  <si>
    <t>O((V^0.5)E)</t>
  </si>
  <si>
    <t>maximal set of vertex-disjoint shortest augmenting paths uses O(V) space to store, taking symmetric difference also uses O(V) space</t>
  </si>
  <si>
    <t>for PDF: https://web.eecs.umich.edu/~pettie/matching/Hopcroft-Karp-bipartite-matching.pdf</t>
  </si>
  <si>
    <t>$O(V^{(omega/2)})$ where omega is the exponent on matrix multiplication</t>
  </si>
  <si>
    <t>Mucha; Sankowski (planar)</t>
  </si>
  <si>
    <t>https://link.springer.com/article/10.1007/s00453-005-1187-5</t>
  </si>
  <si>
    <t>V: 4.1864298</t>
  </si>
  <si>
    <t>O(V^{(\omega/2)}) where omega is the exponent on matrix multiplication</t>
  </si>
  <si>
    <t>V: 4</t>
  </si>
  <si>
    <t>O(V \log V)???</t>
  </si>
  <si>
    <t>Paper mentions matrices with O(VlogV) nonempty entries; unclear if there are any other space-consuming objects (on first passthrough) as planar graphs only require O(V) space</t>
  </si>
  <si>
    <t>Based on electric flows</t>
  </si>
  <si>
    <t>O(E^{(10/7)}*polylog(V))</t>
  </si>
  <si>
    <t>Madry's algorithm</t>
  </si>
  <si>
    <t>https://arxiv.org/abs/1307.2205</t>
  </si>
  <si>
    <t>V: 5.857,
E: 4.42857</t>
  </si>
  <si>
    <t>O(E^{10/7}*polylog(V))</t>
  </si>
  <si>
    <t>O(E + V)</t>
  </si>
  <si>
    <t>Derived: Uses an augmented graph (copy of the original graph plus an additional node with edges between it and all other nodes)</t>
  </si>
  <si>
    <t>$O(min(V*k, E)+sqrt(k)*min(k^2, E))$</t>
  </si>
  <si>
    <t>Chandran and Hochbaum</t>
  </si>
  <si>
    <t>https://arxiv.org/abs/1105.1569</t>
  </si>
  <si>
    <t>V: 3,
E: 3,
k: 5.5</t>
  </si>
  <si>
    <t>O(min(V*k, E)+sqrt(k)*min(k^2, E))</t>
  </si>
  <si>
    <t>V: number of vertices
E: number of edges
(k: size of maximum matching)</t>
  </si>
  <si>
    <t>O(E)??</t>
  </si>
  <si>
    <t>Designs a flow network and runs pseudoflow algorithms on graph; space can be reused if too many residual graphs are created</t>
  </si>
  <si>
    <t>O((V^{0.5})E)</t>
  </si>
  <si>
    <t>Blum</t>
  </si>
  <si>
    <t>Each phase, creates a separate directed graph and solves a reachability problem on it. Can reuse space across phases</t>
  </si>
  <si>
    <t>Gabow; Tarjan</t>
  </si>
  <si>
    <t>https://web.eecs.umich.edu/~pettie/matching/Gabow-Tarjan-scaling-general-graph-matching.pdf</t>
  </si>
  <si>
    <t>O(E)?</t>
  </si>
  <si>
    <t>O(V^{2.376})</t>
  </si>
  <si>
    <t>Mucha, Sankowski (general)</t>
  </si>
  <si>
    <t>https://ieeexplore.ieee.org/document/1366244</t>
  </si>
  <si>
    <t>V: 5.376</t>
  </si>
  <si>
    <t>O(V^2)??</t>
  </si>
  <si>
    <t>Algorithm uses/manipulates constant number of matrices and graphs?</t>
  </si>
  <si>
    <t>O(V^{(4/3)} logV)</t>
  </si>
  <si>
    <t>Klein (section 5)</t>
  </si>
  <si>
    <t>V: 4.33</t>
  </si>
  <si>
    <t>O(V^{(4/3)})?</t>
  </si>
  <si>
    <t>Considers and operates on a graph partition (which still takes up $O(E)=O(V)$ space), and computes shortest-path distances within each graph partition, the total of which requires $O(V^{(4/3)})$ space</t>
  </si>
  <si>
    <t>O(mult(n)*n) where mult(n) is running time on n-bit multiplication</t>
  </si>
  <si>
    <t>Not sure if "average case" distribution makes sense here</t>
  </si>
  <si>
    <t>Diffie–Hellman key exchange</t>
  </si>
  <si>
    <t>https://ieeexplore.ieee.org/document/1055638</t>
  </si>
  <si>
    <t>https://dl.acm.org/doi/10.1145/359460.359473</t>
  </si>
  <si>
    <t>n: maximum size of numbers (prime, base, keys), in bits</t>
  </si>
  <si>
    <t>Each party only keeps track of a constant number of n-bit integers</t>
  </si>
  <si>
    <t>O(mult(n)*n^2)? where mult(n) is running time on n-bit multiplication</t>
  </si>
  <si>
    <t>Elliptic-curve Diffie-Hellman (ECDH)</t>
  </si>
  <si>
    <t>https://csrc.nist.gov/publications/detail/sp/800-56a/revised/archive/2007-03-14</t>
  </si>
  <si>
    <t>n: maximum size of numbers (prime, parameters, keys), in bits</t>
  </si>
  <si>
    <t>2-thread Mutual Exclusion</t>
  </si>
  <si>
    <t>Dekker's algorithm</t>
  </si>
  <si>
    <t xml:space="preserve">https://en.wikipedia.org/wiki/Dekker%27s_algorithm
</t>
  </si>
  <si>
    <t>Peterson's algorithm</t>
  </si>
  <si>
    <t>https://zoo.cs.yale.edu/classes/cs323/doc/Peterson.pdf</t>
  </si>
  <si>
    <t>$O(n)$ total</t>
  </si>
  <si>
    <t>see original paper ("requires $2n-1$ shared variables of size $n$")</t>
  </si>
  <si>
    <t>Naimi-Trehel's algorithm</t>
  </si>
  <si>
    <t>https://www.sciencedirect.com/science/article/abs/pii/S0743731596900416</t>
  </si>
  <si>
    <t>$O(1)$ per process, $O(n)$ total?</t>
  </si>
  <si>
    <t>Each process keeps track of a constant number of variables (see algorithm description)</t>
  </si>
  <si>
    <t>Chan-Singhal-Liu</t>
  </si>
  <si>
    <t>https://ieeexplore.ieee.org/document/113817</t>
  </si>
  <si>
    <t>Each process seems to keep track of a constant number of variables (see algorithm description)</t>
  </si>
  <si>
    <t>Spectral Sparsification</t>
  </si>
  <si>
    <t>O(m log^c n)</t>
  </si>
  <si>
    <t xml:space="preserve">Spielman, Teng </t>
  </si>
  <si>
    <t>https://dl.acm.org/doi/pdf/10.1145/1007352.1007372?casa_token=k60CrC_UJp0AAAAA:yGVve4fRNbftRM0P7aaEbq8OIlxa4nRy8-CjZErlGrBwBfPEt0ECHGYc8Ei48rdA9W9NoY73xC2W</t>
  </si>
  <si>
    <t>m: 3,
n: 5.01,
n^2: 4</t>
  </si>
  <si>
    <t>O(m \log^c n)</t>
  </si>
  <si>
    <t>n: dimension of matrix
m: number of non-zero entries times $\log(1/\epsilon)$</t>
  </si>
  <si>
    <t>Derived: Uses spanning trees and sparse Cholesky factorization which both take $O(n)$ space</t>
  </si>
  <si>
    <t>\epsilon</t>
  </si>
  <si>
    <t>https://pdfs.semanticscholar.org/9038/1cb96bcee79a8bfab06def49b762baee8da3.pdf</t>
  </si>
  <si>
    <t>In mathematics, a square matrix is said to be diagonally dominant if, for every row of the matrix, the magnitude of the diagonal entry in a row is larger than or equal to the sum of the magnitudes of all the other (non-diagonal) entries in that row.</t>
  </si>
  <si>
    <t>Using maximum-weight spanning trees</t>
  </si>
  <si>
    <t>O(mn^{(3/4)})</t>
  </si>
  <si>
    <t>Vaidya</t>
  </si>
  <si>
    <t>n: 5.75,
m: 3,
n^2: 4.375</t>
  </si>
  <si>
    <t>Derived: Uses a spanning tree (size $O(n)$)</t>
  </si>
  <si>
    <t>Support Tree Conjugate Gradients (STCG)</t>
  </si>
  <si>
    <t>Gremban; Miller; Zagha</t>
  </si>
  <si>
    <t>https://www.cs.cmu.edu/~glmiller/Publications/Papers/GrMiZa94-tr.pdf</t>
  </si>
  <si>
    <t>Support Graph Preconditioning</t>
  </si>
  <si>
    <t>Bern; Gilbert;  Hendrickson</t>
  </si>
  <si>
    <t>https://dl.acm.org/citation.cfm?id=1117896</t>
  </si>
  <si>
    <t>n: 4,
n^2: 2.501</t>
  </si>
  <si>
    <t>O(n \log \log n)</t>
  </si>
  <si>
    <t>$\tilde{O}(mn^{(1/2)})$</t>
  </si>
  <si>
    <t>Boman; Hendrickson</t>
  </si>
  <si>
    <t>https://epubs.siam.org/doi/10.1137/S0895479801390637</t>
  </si>
  <si>
    <t>n: 5.5,
m: 3,
n^2: 4.25</t>
  </si>
  <si>
    <t>Maximum-weight-basis (MWB) preconditioners</t>
  </si>
  <si>
    <t>O(n  log(1/ϵ) )</t>
  </si>
  <si>
    <t>Boman; Chen; Hendrickson; Toledo</t>
  </si>
  <si>
    <t>https://onlinelibrary.wiley.com/doi/abs/10.1002/nla.343</t>
  </si>
  <si>
    <t>O(n  \log(1/ϵ) )</t>
  </si>
  <si>
    <t>Derived: The preconditioners used have $O(n)$ non-zero entries</t>
  </si>
  <si>
    <t>Incremental sparsifier</t>
  </si>
  <si>
    <t>$\tilde{O}(m log n)$</t>
  </si>
  <si>
    <t>Koutis; Miller and Peng</t>
  </si>
  <si>
    <t>https://arxiv.org/abs/1102.4842</t>
  </si>
  <si>
    <t>$\tilde{O}(m \log n)$</t>
  </si>
  <si>
    <t>Derived: Uses an auxiliary chain of graphs, which can be kept track of with a single spanning tree</t>
  </si>
  <si>
    <t>https://arxiv.org/abs/1003.2958</t>
  </si>
  <si>
    <t>Combinatorial multigrid</t>
  </si>
  <si>
    <t>Blelloch; Koutis;  Miller; Tangwongsan</t>
  </si>
  <si>
    <t>https://ieeexplore.ieee.org/document/5644892</t>
  </si>
  <si>
    <t>n: dimension of matrix
m: number of non-zero entries</t>
  </si>
  <si>
    <t>n: 3,
n^2: 2.5,
m: 3</t>
  </si>
  <si>
    <t>m + O(n/\log n)</t>
  </si>
  <si>
    <t>https://www.cs.cmu.edu/afs/cs.cmu.edu/Web/People/jkoutis/papers/SC10-paper.pdf</t>
  </si>
  <si>
    <t>Multigrid</t>
  </si>
  <si>
    <t>O(n^{1.25} loglogn)</t>
  </si>
  <si>
    <t>Briggs; Henson; McCormick</t>
  </si>
  <si>
    <t>http://www.math.ust.hk/~mamu/courses/531/tutorial_with_corrections.pdf</t>
  </si>
  <si>
    <t>n: 4.25,
n^2: 2.635</t>
  </si>
  <si>
    <t>O(n^{1.25} \log \log n)</t>
  </si>
  <si>
    <t>Low-stretch spanning tree</t>
  </si>
  <si>
    <t>$O(m log^2 (n) loglogn log(1/ϵ) )$</t>
  </si>
  <si>
    <t>Kelner; Orecchia; Sidford; Zhu</t>
  </si>
  <si>
    <t>https://arxiv.org/pdf/1301.6628.pdf</t>
  </si>
  <si>
    <t>n: 5.021,
m: 3,
n^2: 4.011</t>
  </si>
  <si>
    <t>O(m \log^2 (n) \log \log n)</t>
  </si>
  <si>
    <t>Derived: Uses a spanning tree of the graph that the Laplacian is for</t>
  </si>
  <si>
    <t>Recursive algorithm with sparse Cholesky factorization of Laplacian</t>
  </si>
  <si>
    <t>Lee; Peng; Spielman</t>
  </si>
  <si>
    <t>https://arxiv.org/abs/1506.08204</t>
  </si>
  <si>
    <t>https://arxiv.org/pdf/1506.08204.pdf</t>
  </si>
  <si>
    <t>Derived: Uses an auxiliary sparse Cholesky decomposition which has $O(n)$ non-zero entries</t>
  </si>
  <si>
    <t>The sparse Cholesky decomposition is a 2-approximation</t>
  </si>
  <si>
    <t>Support Theory (Trusses and Stiffness Matrices)</t>
  </si>
  <si>
    <t>$O(n^{5/4} (log^2 (n) loglogn)^{3/4} log(1/ϵ))$</t>
  </si>
  <si>
    <t>Daitch; Spielman</t>
  </si>
  <si>
    <t>https://arxiv.org/abs/cs/0703119</t>
  </si>
  <si>
    <t>O(n^{5/4} (\log^2 (n) \log\log n)^{3/4} \log(1/ϵ))</t>
  </si>
  <si>
    <t>Use Gaussian elimination to compute the inverse of the Laplacian to solve for x</t>
  </si>
  <si>
    <t>n: dimension of the matrix</t>
  </si>
  <si>
    <t>Derived: Storing the inverse of the Laplacian</t>
  </si>
  <si>
    <t>https://pdfs.semanticscholar.org/e31c/0ce119f452e1804461c375f9814a6050519b.pdf</t>
  </si>
  <si>
    <t>Explicitly calculating the inverse of the Laplacian to solve for x</t>
  </si>
  <si>
    <t>O(n!)</t>
  </si>
  <si>
    <t>n: 8,
n^2: 8</t>
  </si>
  <si>
    <t>Derived: The Leibniz formula for the determinant of the Laplacian can be computed with constant space. The adjugate matrix of the Laplacian takes $n^2$ space.</t>
  </si>
  <si>
    <t>O((\lambda + \mu) t_f)</t>
  </si>
  <si>
    <t xml:space="preserve">S = {0, ..., N-1}
F = {f | f: S -&gt; S}
f chosen randomly from the N^N functions in F
</t>
  </si>
  <si>
    <t>Floyd's tortoise and hare algorithm</t>
  </si>
  <si>
    <t>http://pds7.egloos.com/pds/200801/07/29/p636-floyd.pdf</t>
  </si>
  <si>
    <t>\lambda: 3,
\mu: 3,
t_f: 3</t>
  </si>
  <si>
    <t>t_f: time to perform one evaluation of f
\mu: the starting index of the cycle
\lambda: the period of the cycle</t>
  </si>
  <si>
    <t>Pointer algo</t>
  </si>
  <si>
    <t>\mu: 1</t>
  </si>
  <si>
    <t>Algorithmic Cryptanalysis</t>
  </si>
  <si>
    <t>https://en.wikipedia.org/wiki/Cycle_detection</t>
  </si>
  <si>
    <t>Brent's algorithm</t>
  </si>
  <si>
    <t>https://maths-people.anu.edu.au/~brent/pd/rpb005.pdf</t>
  </si>
  <si>
    <t>O((\lambda + \mu) log(\lambda + \mu) t_f)</t>
  </si>
  <si>
    <t>Gosper's algorithm</t>
  </si>
  <si>
    <t>https://www.inwap.com/pdp10/hbaker/hakmem/flows.html#item132</t>
  </si>
  <si>
    <t>\lambda: 4,
\mu: 4,
t_f: 3</t>
  </si>
  <si>
    <t>\mu: 2,
\lambda: 2</t>
  </si>
  <si>
    <t>\Theta(log(\mu + \lambda))</t>
  </si>
  <si>
    <t>https://en.wikipedia.org/wiki/Cycle_detection#Gosper's_algorithm</t>
  </si>
  <si>
    <t>From randomness in the algorithm itself</t>
  </si>
  <si>
    <t>Fisher–Yates/Knuth shuffle</t>
  </si>
  <si>
    <t>https://www.worldcat.org/title/statistical-tables-for-biological-agricultural-and-medical-research/oclc/14222135</t>
  </si>
  <si>
    <t>Need to keep track of which elements have been struck out already</t>
  </si>
  <si>
    <t>??</t>
  </si>
  <si>
    <t>https://digital.library.adelaide.edu.au/dspace/handle/2440/10701</t>
  </si>
  <si>
    <t>Generating random permutation of an input string.</t>
  </si>
  <si>
    <t>Essentially in-situ</t>
  </si>
  <si>
    <t>Radix sorting method</t>
  </si>
  <si>
    <t>https://www.geeksforgeeks.org/radix-sort/</t>
  </si>
  <si>
    <t>Need to keep track of randomly generated numbers, but otherwise see radix sort</t>
  </si>
  <si>
    <t>https://en.wikipedia.org/wiki/Radix_sort</t>
  </si>
  <si>
    <t>https://www.sciencedirect.com/science/article/abs/pii/0020019086900736</t>
  </si>
  <si>
    <t>ILP;MILPs</t>
  </si>
  <si>
    <t>O(2^n*poly(n, m))? (previously O(n^3))</t>
  </si>
  <si>
    <t>Gomory's cutting method</t>
  </si>
  <si>
    <t>https://www.cs.uleth.ca/~benkoczi/OR/read/cutting-stock-LP.pdf</t>
  </si>
  <si>
    <t>http://www.math.wsu.edu/faculty/genz/364/lessons/l603.pdf</t>
  </si>
  <si>
    <t>O(nm+m^2)</t>
  </si>
  <si>
    <t>See simplex algorithm, but also O(m) variables and constraints are introduced</t>
  </si>
  <si>
    <t>https://en.wikipedia.org/wiki/Ralph_E._Gomory</t>
  </si>
  <si>
    <t>General, Constrained optimization</t>
  </si>
  <si>
    <t>Wolfe; Lemaréchal; Kiwiel</t>
  </si>
  <si>
    <t>https://link.springer.com/content/pdf/10.1007/BFb0120703.pdf</t>
  </si>
  <si>
    <t>O(n+L)??</t>
  </si>
  <si>
    <t>keeps track of current guess x^{(k)}, and computes bundle G^{(k)}, direction d^{(k)}, and scalar t^{(k)}?</t>
  </si>
  <si>
    <t>Ellipsoid method</t>
  </si>
  <si>
    <t>https://en.wikipedia.org/wiki/Ellipsoid_method</t>
  </si>
  <si>
    <t>O(n^2 )</t>
  </si>
  <si>
    <t>Subgradient method</t>
  </si>
  <si>
    <t>https://www.springer.com/gp/book/9783642821202</t>
  </si>
  <si>
    <t>https://en.wikipedia.org/wiki/Subgradient_method</t>
  </si>
  <si>
    <t>O(n+L)?</t>
  </si>
  <si>
    <t>keep track of current guess x^{(k)}, and needs to compute subgradient g^{(k)}</t>
  </si>
  <si>
    <t>Stochastic optimization</t>
  </si>
  <si>
    <t>Dual subgradients and the drift-plus-penalty method</t>
  </si>
  <si>
    <t>n: number of variables
m: number of constraints
V: weight parameter (and average queue size)
L: length of input, in bits</t>
  </si>
  <si>
    <t>n: 3,
m: 3,
V: 3</t>
  </si>
  <si>
    <t>O(Vmn)????</t>
  </si>
  <si>
    <t>involves minimizing an expression with up to O(Vmn) terms per iteration?</t>
  </si>
  <si>
    <t>d^{(2^{(n+o(1)))}}</t>
  </si>
  <si>
    <t>Buchberger's algorithm</t>
  </si>
  <si>
    <t>https://dl.acm.org/doi/pdf/10.1145/1088216.1088219</t>
  </si>
  <si>
    <t>d^{(2^{(n+o(1)})})</t>
  </si>
  <si>
    <t>n: number of variables in each polynomial
d: maximal total degree of the polynomials</t>
  </si>
  <si>
    <t>n: 8,
d: 7</t>
  </si>
  <si>
    <t>d^{(2^{(n+o(1))})}??</t>
  </si>
  <si>
    <t>Output may contain that many elements. However, this bound seems very crude/loose</t>
  </si>
  <si>
    <t>EXPSPACE-hard reference: "Complexity of Gröbner basis detection and border basis detection"</t>
  </si>
  <si>
    <t xml:space="preserve">In mathematics, and more specifically in computer algebra, computational algebraic geometry, and computational commutative algebra, a Gröbner basis is a particular kind of generating set of an ideal in a polynomial ring K[x1, ..,xn] over a field K. </t>
  </si>
  <si>
    <r>
      <rPr>
        <sz val="10.0"/>
      </rPr>
      <t xml:space="preserve">turns out this is EXPSPACE hard: </t>
    </r>
    <r>
      <rPr>
        <color rgb="FF1155CC"/>
        <sz val="10.0"/>
        <u/>
      </rPr>
      <t>https://www.sciencedirect.com/science/article/pii/S0304397512007505</t>
    </r>
  </si>
  <si>
    <t>O(C(n+D_{reg}, D_{reg})^{\omega}) where omega is the exponent on matrix multiplication</t>
  </si>
  <si>
    <t>Faugère F4 algorithm</t>
  </si>
  <si>
    <t>https://linkinghub.elsevier.com/retrieve/pii/S0022404999000055</t>
  </si>
  <si>
    <t>https://reader.elsevier.com/reader/sd/pii/S0022404999000055?token=DC73BE34D9F12491D472CE3BBE70B5745448C6F5A27E99595808DA4B6E66531C37C9B7D23A7AFD7419D27DC7F06396F7</t>
  </si>
  <si>
    <t>n: number of variables in each polynomial
D_reg: smallest degree for which a nontrivial relation occurs</t>
  </si>
  <si>
    <t>O(C(n+D_{reg}, D_{reg})^2)?</t>
  </si>
  <si>
    <t>Seems to keep track of a square matrix (for monomials) of size $O(C(n+D_{reg}, D_{reg})^2$)</t>
  </si>
  <si>
    <t>https://eprint.iacr.org/2021/051.pdf</t>
  </si>
  <si>
    <t>d:n
1:400</t>
  </si>
  <si>
    <t>Faugère F5 algorithm</t>
  </si>
  <si>
    <t>https://dl.acm.org/doi/10.1145/780506.780516</t>
  </si>
  <si>
    <t>https://hal.inria.fr/hal-01064519/document</t>
  </si>
  <si>
    <t>n, m: dimensions of matrix; assume m≥n
possibly uses a function f to define entries; assume evaluation of f takes time O(1)</t>
  </si>
  <si>
    <t>n: 1,
mn: 1</t>
  </si>
  <si>
    <t>Only needs to keep track of current minimum in current row - once done with a row, can send stored minimum to output and recycle space</t>
  </si>
  <si>
    <t>https://link.springer.com/content/pdf/10.1007/BF01840359.pdf</t>
  </si>
  <si>
    <t>n: 4,
m: 1.5,
mn: 2.51</t>
  </si>
  <si>
    <t>O(n(1+\log(n/m)))</t>
  </si>
  <si>
    <t>n: 3,
mn: 2.5</t>
  </si>
  <si>
    <t>Need to keep track of which columns aren't pruned. Also uses $O(n)$ auxiliary space during prune-and-search?</t>
  </si>
  <si>
    <t>amortized O(1) per permutation</t>
  </si>
  <si>
    <t>averaged over all permutations</t>
  </si>
  <si>
    <t>Steinhaus–Johnson–Trotter algorithm</t>
  </si>
  <si>
    <t>https://www.ams.org/journals/mcom/1963-17-083/S0025-5718-1963-0159764-2/home.html</t>
  </si>
  <si>
    <t>https://en.wikipedia.org/wiki/Steinhaus–Johnson–Trotter_algorithm</t>
  </si>
  <si>
    <t>O(n) on specific permutations</t>
  </si>
  <si>
    <t>Determining $x_i$ and $y_i$ each iteration can be done in constant space</t>
  </si>
  <si>
    <t>All permutations of an input string.</t>
  </si>
  <si>
    <t>(napkin math - number of iterations is approximately e*n!)</t>
  </si>
  <si>
    <t>Tompkins–Paige algorithm</t>
  </si>
  <si>
    <t>https://mathscinet.ams.org/mathscinet-getitem?mr=0080380</t>
  </si>
  <si>
    <t>https://en.wikipedia.org/wiki/Tompkins–Paige_algorithm</t>
  </si>
  <si>
    <t>Keeps track of auxiliary counting array</t>
  </si>
  <si>
    <t xml:space="preserve">Easily derived (each permutation takes O(1) time) </t>
  </si>
  <si>
    <t>Heap's algorithm</t>
  </si>
  <si>
    <t>https://academic.oup.com/comjnl/article/6/3/293/360213</t>
  </si>
  <si>
    <t>O(n) per permutation</t>
  </si>
  <si>
    <t>$O(n)$-sized stack or array necessary</t>
  </si>
  <si>
    <t>Garsia–Wachs algorithm</t>
  </si>
  <si>
    <t>https://epubs.siam.org/doi/abs/10.1137/0206045</t>
  </si>
  <si>
    <r>
      <rPr>
        <color rgb="FF1155CC"/>
        <sz val="10.0"/>
        <u/>
      </rPr>
      <t>https://epubs.siam.org/doi/epdf/10.1137/0206045</t>
    </r>
    <r>
      <rPr>
        <color rgb="FF000000"/>
        <sz val="10.0"/>
      </rPr>
      <t>, See implementation of MINTREE</t>
    </r>
  </si>
  <si>
    <t>Hu–Tucker algorithm</t>
  </si>
  <si>
    <t>https://epubs.siam.org/doi/10.1137/0121057</t>
  </si>
  <si>
    <t>Modified Knuth's DP algorithm</t>
  </si>
  <si>
    <t>https://www.cs.bgu.ac.il/~michaluz/seminar/Knuth71.pdf</t>
  </si>
  <si>
    <t>https://ieeexplore.ieee.org/stamp/stamp.jsp?arnumber=4492658</t>
  </si>
  <si>
    <t>Knuth's DP algorithm</t>
  </si>
  <si>
    <t>O(4^n /n \sqrt{n})</t>
  </si>
  <si>
    <t>Derived: Constant space to verify optimality. Constant space if you can enumerate the trees in-situ.</t>
  </si>
  <si>
    <t>Yao</t>
  </si>
  <si>
    <t>https://doi.org/10.1137/0603055</t>
  </si>
  <si>
    <t>Levcopoulos; Lingas; Sack</t>
  </si>
  <si>
    <t>https://www.sciencedirect.com/science/article/pii/0304397589901345</t>
  </si>
  <si>
    <t>Derived: Uses an auxiliary list of initial size $4n$</t>
  </si>
  <si>
    <t>$1 + \epsilon$</t>
  </si>
  <si>
    <t>de Prisco</t>
  </si>
  <si>
    <t>https://www.sciencedirect.com/science/article/pii/002001909390212R</t>
  </si>
  <si>
    <t>$n$: number of elements
$H$: entropy of the given distribution
$p_0$: first element
$p_n$: last element
$p_{max}$: largest element</t>
  </si>
  <si>
    <t>Derived: Uses an auxiliary probability distribution, and three phases that alter a single tree that eventually is the result</t>
  </si>
  <si>
    <t>Upper bound: $H + 1 - p_0 - p_n + p_{max}$</t>
  </si>
  <si>
    <t>2-player</t>
  </si>
  <si>
    <t>2^{(O(n+m))} (previously O(n^4)????)</t>
  </si>
  <si>
    <t>Lemke–Howson algorithm</t>
  </si>
  <si>
    <t>https://epubs.siam.org/doi/abs/10.1137/0112033?journalCode=smjmap.1</t>
  </si>
  <si>
    <t>https://web.stanford.edu/~saberi/lecture4.pdf
https://ieeexplore.ieee.org/document/4031395</t>
  </si>
  <si>
    <t>n: 8,
m: 8,
mn: 8</t>
  </si>
  <si>
    <t>n, m: dimensions of payoff matrices</t>
  </si>
  <si>
    <t>In game theory, the Nash equilibrium, named after the mathematician John Forbes Nash Jr., is a proposed solution of a non-cooperative game involving two or more players in which each player is assumed to know the equilibrium strategies of the other players, and no player has anything to gain by changing only his own strategy.</t>
  </si>
  <si>
    <t>O(n^{(O(log n))} (previously O(n^2 logn)????)</t>
  </si>
  <si>
    <t>Lipton; Mehta</t>
  </si>
  <si>
    <t>https://dl.acm.org/doi/10.1145/779928.779933</t>
  </si>
  <si>
    <t>n: dimension of payoff matrices</t>
  </si>
  <si>
    <t>(see sheet 2)</t>
  </si>
  <si>
    <t>1 (i think?)</t>
  </si>
  <si>
    <t>Hungarian algorithm</t>
  </si>
  <si>
    <t>https://web.eecs.umich.edu/~pettie/matching/Kuhn-hungarian-assignment.pdf</t>
  </si>
  <si>
    <t>Either graph interpretation maintains O(n^2) orientations and O(n) potential or matrix interpretation manipulates an O(n)*O(n) auxiliary matrix</t>
  </si>
  <si>
    <t>In computer science, the maximum weight matching problem is the problem of finding, in a weighted graph, a matching in which the sum of weights is maximized.</t>
  </si>
  <si>
    <t>Edmonds</t>
  </si>
  <si>
    <t>https://nvlpubs.nist.gov/nistpubs/jres/69B/jresv69Bn1-2p125_A1b.pdf</t>
  </si>
  <si>
    <t>n: 7,
m: 3</t>
  </si>
  <si>
    <t>O(mn^2)??</t>
  </si>
  <si>
    <t>At worst, keeps track of the entire sequence of graphs created; it's possible this can be improved?</t>
  </si>
  <si>
    <t>O(n^3 logn)</t>
  </si>
  <si>
    <t>Micali; Vazirani</t>
  </si>
  <si>
    <t>n: 6.01</t>
  </si>
  <si>
    <t>O(n^3 \log n)</t>
  </si>
  <si>
    <t>Mucha and Sankowski</t>
  </si>
  <si>
    <t>https://dl.acm.org/doi/10.1109/FOCS.2004.40</t>
  </si>
  <si>
    <t>O(E^2)</t>
  </si>
  <si>
    <t>Fleury's algorithm + Tarjan</t>
  </si>
  <si>
    <t>https://collaborate.princeton.edu/en/publications/a-note-on-finding-the-bridges-of-a-graph</t>
  </si>
  <si>
    <t>V: 7,
E: 5</t>
  </si>
  <si>
    <t>Keep track of current path + remaining edges needed to be traversed</t>
  </si>
  <si>
    <t>Any distribution of values</t>
  </si>
  <si>
    <t>(need to read entire input)</t>
  </si>
  <si>
    <t>Hierholzer's algorithm</t>
  </si>
  <si>
    <t>https://www.geeksforgeeks.org/hierholzers-algorithm-directed-graph/</t>
  </si>
  <si>
    <t>https://en.wikipedia.org/wiki/Eulerian_path#Fleury's_algorithm</t>
  </si>
  <si>
    <t>O(E log^3(E) loglogE)</t>
  </si>
  <si>
    <t>Fleury's algorithm + Thorup</t>
  </si>
  <si>
    <t>V: 5.03,
E: 4.01</t>
  </si>
  <si>
    <t>O(E \log^3(E) \log\log E)</t>
  </si>
  <si>
    <t>(same general behavior for all inputs)</t>
  </si>
  <si>
    <t>https://ccrma.stanford.edu/~jos/mdft/</t>
  </si>
  <si>
    <t>Derived: You only need a constant number of variables that are of $O(1)$ size at any given time</t>
  </si>
  <si>
    <t>Cooley–Tukey algorithm</t>
  </si>
  <si>
    <t>https://www.ams.org/journals/mcom/1965-19-090/S0025-5718-1965-0178586-1/S0025-5718-1965-0178586-1.pdf</t>
  </si>
  <si>
    <t>Computes and keeps track of DFTs for recursive subcases</t>
  </si>
  <si>
    <t>https://ieeexplore.ieee.org/stamp/stamp.jsp?arnumber=1055938</t>
  </si>
  <si>
    <t>Rader–Brenner algorithm</t>
  </si>
  <si>
    <t>https://ieeexplore.ieee.org/document/1162805</t>
  </si>
  <si>
    <t>Bruun's FFT algorithm</t>
  </si>
  <si>
    <t>https://ieeexplore.ieee.org/document/1163036/</t>
  </si>
  <si>
    <t>Computes O(n) remainders per stage; storage space can be reused across stages</t>
  </si>
  <si>
    <t>Yavne Split Radix FFT algorithm</t>
  </si>
  <si>
    <t>https://dl.acm.org/citation.cfm?id=1476610</t>
  </si>
  <si>
    <t>Gentleman; Morven and Gordon Sande radix-4 algorithm</t>
  </si>
  <si>
    <t>http://cis.rit.edu/class/simg716/FFT_Fun_Profit.pdf</t>
  </si>
  <si>
    <t>Bergland; Glenn radix-8 algorithm</t>
  </si>
  <si>
    <t>https://ieeexplore.ieee.org/document/1162043</t>
  </si>
  <si>
    <t>Extended Split Radix FFT algorithm</t>
  </si>
  <si>
    <t>https://ieeexplore.ieee.org/document/917698</t>
  </si>
  <si>
    <t>O(n (logn)^2)</t>
  </si>
  <si>
    <t xml:space="preserve"> Von zur Gathen-Gerhard additive FFT</t>
  </si>
  <si>
    <t>https://dl.acm.org/doi/10.1145/236869.236882</t>
  </si>
  <si>
    <t>O(n (\log n)^2)</t>
  </si>
  <si>
    <t>O(n(logn)^{1.585})</t>
  </si>
  <si>
    <t>Wang-Zhu-Cantor additive FFT</t>
  </si>
  <si>
    <t>https://ieeexplore.ieee.org/document/1926/</t>
  </si>
  <si>
    <t>n: 4.00585</t>
  </si>
  <si>
    <t>O(n(\log n)^{1.585})</t>
  </si>
  <si>
    <t>Gao’s additive FFT</t>
  </si>
  <si>
    <t>https://ieeexplore.ieee.org/stamp/stamp.jsp?arnumber=5625613</t>
  </si>
  <si>
    <t>not well-defined</t>
  </si>
  <si>
    <t>n: number of pixels the line goes through</t>
  </si>
  <si>
    <t>Constant number of O(1)-word-sized variables (for determining which pixels to shade) is sufficient</t>
  </si>
  <si>
    <t>https://en.wikipedia.org/wiki/Line_drawing_algorithm</t>
  </si>
  <si>
    <t>Digital Differential Analyzer</t>
  </si>
  <si>
    <t>https://en.wikipedia.org/wiki/Digital_differential_analyzer_(graphics_algorithm)</t>
  </si>
  <si>
    <t>Bresenham's line algorithm</t>
  </si>
  <si>
    <t>https://web.archive.org/web/20080528040104/http://www.research.ibm.com/journal/sj/041/ibmsjIVRIC.pdf</t>
  </si>
  <si>
    <t>Xiaolin Wu's line algorithm</t>
  </si>
  <si>
    <t>http://www-users.mat.umk.pl/~gruby/teaching/lgim/1_wu.pdf</t>
  </si>
  <si>
    <t>Constant number of O(1)-word-sized variables (for determining which pixels to shade and what shading to use) is sufficient</t>
  </si>
  <si>
    <t>Gupta-Sproull algorithm</t>
  </si>
  <si>
    <t>Greiner–Hormann clipping algorithm</t>
  </si>
  <si>
    <t>http://davis.wpi.edu/~matt/courses/clipping/</t>
  </si>
  <si>
    <t>https://www.inf.usi.ch/hormann/papers/Greiner.1998.ECO.pdf</t>
  </si>
  <si>
    <t>O(n^2) ?</t>
  </si>
  <si>
    <t>n: maximum number of sides of either input polygon or clipping polygon</t>
  </si>
  <si>
    <t>Needs to keep track of (possibly) $O(n^2)$ intersection points</t>
  </si>
  <si>
    <t>Sutherland–Hodgman algorithm</t>
  </si>
  <si>
    <t>https://dl.acm.org/doi/10.1145/360767.360802</t>
  </si>
  <si>
    <t>https://dl.acm.org/doi/pdf/10.1145/360767.360802</t>
  </si>
  <si>
    <t>Each iteration, keeps track of updated polygon after clipping by a side. Note that there can be at most $O(n)$ intersection points due to the clipping polygon being convex</t>
  </si>
  <si>
    <t>Vatti clipping algorithm</t>
  </si>
  <si>
    <t>https://dl.acm.org/doi/10.1145/129902.129906</t>
  </si>
  <si>
    <t>Weiler–Atherton clipping algorithm</t>
  </si>
  <si>
    <t>https://www.cs.drexel.edu/~david/Classes/CS430/HWs/p214-weiler.pdf</t>
  </si>
  <si>
    <t>Eigenpair closest to mu; Any eigenpair; Any eigenvalue</t>
  </si>
  <si>
    <t>Inverse iteration</t>
  </si>
  <si>
    <t>https://onlinelibrary.wiley.com/doi/abs/10.1002/zamm.19210010104</t>
  </si>
  <si>
    <t>Need to compute and store $(A-mu*I)^{(-1)}$</t>
  </si>
  <si>
    <t>Any eigenpair; Any eigenvalue</t>
  </si>
  <si>
    <t>Rayleigh quotient iteration</t>
  </si>
  <si>
    <t>Need to compute and store $(A-mu_i*I)^{(-1)}$</t>
  </si>
  <si>
    <t>https://en.wikipedia.org/wiki/Rayleigh_quotient_iteration#Algorithm</t>
  </si>
  <si>
    <t>LOBPCG algorithm</t>
  </si>
  <si>
    <t>Requires only a constant number of $O(n)$-sized vectors per iteration</t>
  </si>
  <si>
    <t>https://en.wikipedia.org/wiki/LOBPCG</t>
  </si>
  <si>
    <t>Any eigenvalue</t>
  </si>
  <si>
    <t>Bisection method</t>
  </si>
  <si>
    <t>Computing characteristic polynomial takes $O(n^2)$ space (via e.g. Faddeev–LeVerrier algorithm); rest of algo can be done in $O(n)$ space (related to root computation)</t>
  </si>
  <si>
    <t>Laguerre iteration</t>
  </si>
  <si>
    <t>https://archive.org/details/numericalmethods00form</t>
  </si>
  <si>
    <t>All eigenvalues; Any eigenvalue</t>
  </si>
  <si>
    <t>QR algorithm</t>
  </si>
  <si>
    <t>https://academic.oup.com/comjnl/article/4/4/332/432033</t>
  </si>
  <si>
    <t>Computes and stores QR factorization at each iteration</t>
  </si>
  <si>
    <t>Jacobi eigenvalue algorithm</t>
  </si>
  <si>
    <t>https://gdz.sub.uni-goettingen.de/id/PPN243919689_0030</t>
  </si>
  <si>
    <t>Computes and stores results of GSG^T iterations</t>
  </si>
  <si>
    <t>Divide-and-conquer</t>
  </si>
  <si>
    <t>https://link.springer.com/content/pdf/10.1007/BF01389480.pdf</t>
  </si>
  <si>
    <t>Stores reduction to tridiagonal form; recursion (S(n)=2S(n/2)+O(n^2)) should work out to O(n^2)</t>
  </si>
  <si>
    <t>https://en.wikipedia.org/wiki/Divide-and-conquer_algorithm</t>
  </si>
  <si>
    <t>All eigenpairs; Eigenpair closest to mu; Any eigenpair; Any eigenvalue; All eigenvalues</t>
  </si>
  <si>
    <t>Homotopy method</t>
  </si>
  <si>
    <t>https://www.scirp.org/(S(czeh2tfqyw2orz553k1w0r45))/reference/ReferencesPapers.aspx?ReferenceID=530065</t>
  </si>
  <si>
    <t>O(n^2)??</t>
  </si>
  <si>
    <t>Conservative bound on space used per iteration</t>
  </si>
  <si>
    <t>Folded spectrum method</t>
  </si>
  <si>
    <t>https://journals.aps.org/pr/abstract/10.1103/PhysRev.46.828</t>
  </si>
  <si>
    <t>Requires only a constant number of O(n)-sized vectors per iteration; matrix-to-vector multiplication only requires O(n) aux space</t>
  </si>
  <si>
    <t>MRRR algorithm</t>
  </si>
  <si>
    <t>https://www.cs.utexas.edu/users/inderjit/public_papers/DesignMRRR_toms06.pdf</t>
  </si>
  <si>
    <t>http://www.cs.utexas.edu/~inderjit/public_papers/DesignMRRR_toms06.pdf</t>
  </si>
  <si>
    <t>Need to compute and store some matrix of the form $(A-mu*I)^{(-1)}$ (for inverse iteration-like uses)</t>
  </si>
  <si>
    <t>O(log((b-a)/epsilon)</t>
  </si>
  <si>
    <t>n_max: 3</t>
  </si>
  <si>
    <t>O(n_{max})</t>
  </si>
  <si>
    <t>epsilon: (additive) tolerance error
a, b: endpoint values, with b&gt;a
n_max: maximum number of iterations</t>
  </si>
  <si>
    <t>a: 1,
b: 1,
n_max: 1</t>
  </si>
  <si>
    <t>Store current endpoint values; iterations take $O(1)$ time and thus $O(1)$ space, and space can be re-used across iterations</t>
  </si>
  <si>
    <t>epsilon, additive</t>
  </si>
  <si>
    <t>https://en.wikipedia.org/wiki/Bisection_method</t>
  </si>
  <si>
    <t>False position method</t>
  </si>
  <si>
    <t>https://www.geeksforgeeks.org/program-for-method-of-false-position/</t>
  </si>
  <si>
    <t>https://archive.org/details/historyofmathema031897mbp</t>
  </si>
  <si>
    <t>(order of convergence = 2)</t>
  </si>
  <si>
    <t>Newton's method</t>
  </si>
  <si>
    <t>epsilon: (additive) tolerance error
n_max: maximum number of iterations</t>
  </si>
  <si>
    <t>Store current estimate $x_i$ and the derivative $f'$ (assuming this takes $O(1)$ space); iterations take $O(1)$ time and thus $O(1)$ space, and space can be re-used across iterations</t>
  </si>
  <si>
    <t>Root Computation with continuous second derivative</t>
  </si>
  <si>
    <t>(order of convergence = 3)</t>
  </si>
  <si>
    <t>Halley's method</t>
  </si>
  <si>
    <t>Store current estimate x_i and the derivatives f' and f'' (assuming this takes O(1) space); iterations take O(1) time and thus O(1) space, and space can be re-used across iterations</t>
  </si>
  <si>
    <t>https://en.wikipedia.org/wiki/Halley%27s_method</t>
  </si>
  <si>
    <t>(order of convergence = phi~1.618)</t>
  </si>
  <si>
    <t>Secant method</t>
  </si>
  <si>
    <t>Store previous 2 estimates x_i and x_{i-1}; iterations take O(1) time and thus O(1) space, and space can be re-used across iterations</t>
  </si>
  <si>
    <t>https://en.wikipedia.org/wiki/Secant_method</t>
  </si>
  <si>
    <t>(order of convergence = sqrt(2))</t>
  </si>
  <si>
    <t>Ridder's method</t>
  </si>
  <si>
    <t>https://ieeexplore.ieee.org/document/1084580/</t>
  </si>
  <si>
    <t>(order of convergence ~ 1.84)</t>
  </si>
  <si>
    <t>Muller's method</t>
  </si>
  <si>
    <t>https://www.jstor.org/stable/2001916</t>
  </si>
  <si>
    <t>Store previous 3 estimates x_i, x_{i-1}, and x_{i-2}; iterations take O(1) time and thus O(1) space, and space can be re-used across iterations</t>
  </si>
  <si>
    <t>Todd–Coxeter algorithm</t>
  </si>
  <si>
    <t>https://www.cambridge.org/core/journals/proceedings-of-the-edinburgh-mathematical-society/article/practical-method-for-enumerating-cosets-of-a-finite-abstract-group/0306574AD958F694A0A8339338348AA1</t>
  </si>
  <si>
    <t>https://www.cambridge.org/core/services/aop-cambridge-core/content/view/0306574AD958F694A0A8339338348AA1/S0013091500008221a.pdf/practical_method_for_enumerating_cosets_of_a_finite_abstract_group.pdf</t>
  </si>
  <si>
    <t>n: number of generators
g: order of group (possibly exponential in n)
k: number of relations
c: maximum number of generators multiplied together in a relation</t>
  </si>
  <si>
    <t>g: 3,
k: 3,
c: 3,
n: 8</t>
  </si>
  <si>
    <t>O(gkc)</t>
  </si>
  <si>
    <t>Defines O(k) tables, each with O(g) columns and O(c) rows</t>
  </si>
  <si>
    <t>Haselgrove-Leech-Trotter (HLT) algorithm</t>
  </si>
  <si>
    <t>n: 8,
g: 3</t>
  </si>
  <si>
    <t>O(ng)?</t>
  </si>
  <si>
    <t>Implementation stores a table whose number of required registers is the product of the number of generators (n) and the number of cosets (O(g))</t>
  </si>
  <si>
    <t>https://www.cambridge.org/core/journals/mathematical-proceedings-of-the-cambridge-philosophical-society/article/coset-enumeration-on-digital-computers/047323FB9415ACF3466E627590ABB790</t>
  </si>
  <si>
    <t>O(1.5^n n^2 logn)</t>
  </si>
  <si>
    <t>Knuth–Bendix algorithm</t>
  </si>
  <si>
    <t>https://www.cs.tufts.edu/~nr/cs257/archive/don-knuth/knuth-bendix.pdf</t>
  </si>
  <si>
    <t>O(ng)???</t>
  </si>
  <si>
    <t>Can store a table whose number of required registers is the product of the number of generators (n) and the number of cosets (O(g))</t>
  </si>
  <si>
    <t>https://www.win.tue.nl/~mvdbrand/courses/seminar/0809/papers/ag-genesis.pdf</t>
  </si>
  <si>
    <t>Expectation–maximization (EM) algorithm</t>
  </si>
  <si>
    <t>n: number of observations in sample
r: number of parameters + latent variables</t>
  </si>
  <si>
    <t>n: 3,
r: 3</t>
  </si>
  <si>
    <t>O(n+r)?</t>
  </si>
  <si>
    <t>Stores current theta and Z guesses, which is updated each iteration. Also assumes description of log-likelihood takes O(n+r) auxiliary space.</t>
  </si>
  <si>
    <t>Newton–Raphson algorithm</t>
  </si>
  <si>
    <t>n: 3,
r: 5</t>
  </si>
  <si>
    <t>O(n+r^2)?</t>
  </si>
  <si>
    <t>Stores current theta guess, which is updated each iteration, and requires computation of the (inverse of the) Hessian matrix. Also assumes description of log-likelihood takes O(n+r) auxiliary space.</t>
  </si>
  <si>
    <t>https://en.wikipedia.org/wiki/Newton%27s_method
https://web.mit.edu/10.001/Web/Course_Notes/NLAE/node6.html</t>
  </si>
  <si>
    <t>Parameter-expanded expectation maximization (PX-EM) algorithm</t>
  </si>
  <si>
    <t>https://www.jstor.org/stable/2337481</t>
  </si>
  <si>
    <t>Stores current theta (+ alpha) and Z guesses, which is updated each iteration. Also assumes description of log-likelihood takes O(n+r) auxiliary space.</t>
  </si>
  <si>
    <t>Expectation conditional maximization (ECM)</t>
  </si>
  <si>
    <t>https://arxiv.org/abs/1709.06970</t>
  </si>
  <si>
    <t>O(n^4 log^0.1.5n)</t>
  </si>
  <si>
    <t>Generalized expectation maximization (GEM) algorithm</t>
  </si>
  <si>
    <t>https://web.eecs.umich.edu/~fessler/papers/files/jour/94/web/fessler-94-sag.pdf</t>
  </si>
  <si>
    <t>O(n^4 \log^{0.1}(.5n))</t>
  </si>
  <si>
    <t>α-EM algorithm</t>
  </si>
  <si>
    <t>https://dl.acm.org/doi/10.1109/TIT.2002.808105</t>
  </si>
  <si>
    <t>Stores current theta and Z guesses, which is updated each iteration. Also assumes description of alpha-log-likelihood takes O(n+r) auxiliary space.</t>
  </si>
  <si>
    <t>Naive solution</t>
  </si>
  <si>
    <t>N: number of values in multiset
n: cardinality of multiset (not known)</t>
  </si>
  <si>
    <t>keep track of exact histogram, may require storing all values</t>
  </si>
  <si>
    <t>Any distribution of values?</t>
  </si>
  <si>
    <t xml:space="preserve"> Flajolet–Martin algorithm</t>
  </si>
  <si>
    <t>http://algo.inria.fr/flajolet/Publications/src/FlMa85.pdf</t>
  </si>
  <si>
    <t>N: 2</t>
  </si>
  <si>
    <t>https://www.sciencedirect.com/science/article/pii/S0022000097915452</t>
  </si>
  <si>
    <t>LogLog algorithm</t>
  </si>
  <si>
    <t>http://algo.inria.fr/flajolet/Publications/DuFl03-LNCS.pdf</t>
  </si>
  <si>
    <t>N: 1.99</t>
  </si>
  <si>
    <t>O(log(log(n)))</t>
  </si>
  <si>
    <t>HyperLogLog algorithm</t>
  </si>
  <si>
    <t>N: number of values in multiset
n: cardinality of multiset (not known)
eps: approximation parameter</t>
  </si>
  <si>
    <t>O(eps^{-2}*log(log(n)))+log(n))</t>
  </si>
  <si>
    <t>HyperLogLog++</t>
  </si>
  <si>
    <t>https://static.googleusercontent.com/media/research.google.com/en//pubs/archive/40671.pdf</t>
  </si>
  <si>
    <t>(see hyperloglog?)</t>
  </si>
  <si>
    <t>streaming</t>
  </si>
  <si>
    <t>Min/max sketches streaming algorithm</t>
  </si>
  <si>
    <t>N: 1</t>
  </si>
  <si>
    <t>only keep track of minimum value. also assuming hash function requires O(1) space</t>
  </si>
  <si>
    <t>Bottom-m sketches streaming algorithm</t>
  </si>
  <si>
    <t>N: number of values in multiset
n: cardinality of multiset (not known)
m: size of sketch</t>
  </si>
  <si>
    <t>m: 3,
N: 3</t>
  </si>
  <si>
    <t>only keep track of m minimum values. also assuming hash function requires O(1) space</t>
  </si>
  <si>
    <t>RIG coloring</t>
  </si>
  <si>
    <t>Chaitin's Algorithm</t>
  </si>
  <si>
    <t>https://dl.acm.org/doi/10.1145/872726.806984</t>
  </si>
  <si>
    <t>Derived: this algorithm uses both an adjacency matrix (called the bit matrix) and adjacency lists (called the adjacency vectors)</t>
  </si>
  <si>
    <t>Assumes all variables allocated in main memory (i.e. assumes no spill handling required).
Priority-based RIG coloring</t>
  </si>
  <si>
    <t>Chow's Algorithm</t>
  </si>
  <si>
    <t>https://dl.acm.org/doi/10.1145/502874.502896</t>
  </si>
  <si>
    <t>Derived: this algorithm also uses a register interference graph (RIG)</t>
  </si>
  <si>
    <t>Greedy assignment</t>
  </si>
  <si>
    <t>Linear Scan, Poletto &amp; Sarkar</t>
  </si>
  <si>
    <t>$n$: number of live ranges (the number of candidates to reside in registers)
$r$: number of registers available</t>
  </si>
  <si>
    <t>r: 3,
n: 1</t>
  </si>
  <si>
    <t>$O(r)$</t>
  </si>
  <si>
    <t>Derived: given the live ranges, the only auxiliary data structure is an "active" list that contains the active live ranges and this has length at most $r$</t>
  </si>
  <si>
    <t>Cooper and Dasgupta algorithm</t>
  </si>
  <si>
    <t>0-1 integer linear programming problem</t>
  </si>
  <si>
    <t>Optimal Register Allocation (ORA), Goodwin &amp; Wilken Algorithm</t>
  </si>
  <si>
    <t>https://onlinelibrary.wiley.com/doi/10.1002/(SICI)1097-024X(199608)26:8%3C929::AID-SPE40%3E3.0.CO;2-T</t>
  </si>
  <si>
    <t>Depends on the choice of 0-1 ILP solver</t>
  </si>
  <si>
    <t>"Memory usage is dominated by the usage of the integer program solver."</t>
  </si>
  <si>
    <t>Integer programming for irregular register architectures</t>
  </si>
  <si>
    <t>O(n^2.5)</t>
  </si>
  <si>
    <t>Experimental results</t>
  </si>
  <si>
    <t>https://dl.acm.org/doi/10.5555/290940.291002</t>
  </si>
  <si>
    <t>Kong and Wilken Algorithm</t>
  </si>
  <si>
    <t>? Probably also dependent on the ILP solver</t>
  </si>
  <si>
    <t>Linde–Buzo–Gray algorithm</t>
  </si>
  <si>
    <t>https://ieeexplore.ieee.org/document/1094577/</t>
  </si>
  <si>
    <t>Bowyer–Watson algorithm</t>
  </si>
  <si>
    <t>https://academic.oup.com/comjnl/article/24/2/167/338200</t>
  </si>
  <si>
    <t>Computes the Delaunay triangulation first (O(n) space), then uses that to generate the Voronoi diagram</t>
  </si>
  <si>
    <t>https://academic.oup.com/comjnl/article/24/2/162/338193</t>
  </si>
  <si>
    <t>Naïve algorithm</t>
  </si>
  <si>
    <t>n: number of values</t>
  </si>
  <si>
    <t>Maintain number of values, sum of values, and sum of squares of values</t>
  </si>
  <si>
    <t>Two-pass algorithm</t>
  </si>
  <si>
    <t>Maintain number of values, sum of values, and sum of squares of (value minus mean) terms</t>
  </si>
  <si>
    <t>Welford's Online algorithm</t>
  </si>
  <si>
    <t>Maintains O(1) information (count, mean, M2) that is constantly updated as values are read</t>
  </si>
  <si>
    <t>Weighted incremental algorithm</t>
  </si>
  <si>
    <t>https://dl.acm.org/doi/10.1145/359146.359153</t>
  </si>
  <si>
    <t>Maintains O(1) information (sum of weights, sum of squared weights, weighted sum of values, weighted sum of values squared) that is constantly updated as values are read</t>
  </si>
  <si>
    <r>
      <rPr>
        <rFont val="Arial"/>
        <color theme="1"/>
        <sz val="10.0"/>
      </rPr>
      <t xml:space="preserve">Chan's algorithm </t>
    </r>
    <r>
      <rPr>
        <rFont val="Arial"/>
        <b/>
        <color theme="1"/>
        <sz val="10.0"/>
      </rPr>
      <t>Parallel Implementation</t>
    </r>
  </si>
  <si>
    <t>http://i.stanford.edu/pub/cstr/reports/cs/tr/79/773/CS-TR-79-773.pdf</t>
  </si>
  <si>
    <t>EREW(??) PRAM</t>
  </si>
  <si>
    <t>O(1) per processor</t>
  </si>
  <si>
    <t>Each processor maintains O(1) information related to count, mean, M2</t>
  </si>
  <si>
    <t>https://dbs.ifi.uni-heidelberg.de/files/Team/eschubert/publications/SSDBM18-covariance-authorcopy.pdf</t>
  </si>
  <si>
    <t>Kahn's algorithm</t>
  </si>
  <si>
    <t>maintain stack of nodes with no incoming edges</t>
  </si>
  <si>
    <t>Tarjan's DFS based algorithm</t>
  </si>
  <si>
    <t>https://link.springer.com/article/10.1007/BF00268499</t>
  </si>
  <si>
    <t>maintain O(V)-sized recursion stack, along with O(V) marks</t>
  </si>
  <si>
    <r>
      <rPr>
        <rFont val="Arial"/>
        <color theme="1"/>
        <sz val="10.0"/>
      </rPr>
      <t xml:space="preserve">Dekel; Nassimi &amp; Sahni </t>
    </r>
    <r>
      <rPr>
        <rFont val="Arial"/>
        <b/>
        <color theme="1"/>
        <sz val="10.0"/>
      </rPr>
      <t xml:space="preserve">Parallel Implementation </t>
    </r>
  </si>
  <si>
    <t>https://www.proquest.com/docview/920003939?pq-origsite=gscholar&amp;fromopenview=true</t>
  </si>
  <si>
    <t>V: 2</t>
  </si>
  <si>
    <t>O(\log^2 V)</t>
  </si>
  <si>
    <t>PRAM (not sure what type), SIMD computers?</t>
  </si>
  <si>
    <t>Their n*n*n cube setup seems to only require each processor to keep track of one entry A[i, j], B[i, j] and propagates the results across the structure, only requiring O(1) auxiliary space per processor. Comparison sorting can be done easily with O(1) auxiliary space per processor.</t>
  </si>
  <si>
    <t>O(V^3)?</t>
  </si>
  <si>
    <t>Uniform distribution over all complete automota with $n$ states, using a specific strategy for Hopcroft's algorithm</t>
  </si>
  <si>
    <t>https://arxiv.org/pdf/1010.5318.pdf</t>
  </si>
  <si>
    <t>Hopcroft's algorithm</t>
  </si>
  <si>
    <t>https://www.cs.cmu.edu/~./sutner/CDM/papers/Hopcroft71.pdf</t>
  </si>
  <si>
    <t>O(kn \log n)</t>
  </si>
  <si>
    <t>$n$: number of states
$k$: size of alphabet</t>
  </si>
  <si>
    <t>k: 3,
n: 3</t>
  </si>
  <si>
    <t>$O(kn)$</t>
  </si>
  <si>
    <t>https://link.springer.com/content/pdf/10.1007/3-540-54430-5_107.pdf</t>
  </si>
  <si>
    <t>Uniform distribution over all complete automota with $n$ states</t>
  </si>
  <si>
    <t>https://doi.org/10.1007/978-3-642-15155-2_29</t>
  </si>
  <si>
    <t>Moore's algorithm</t>
  </si>
  <si>
    <t>https://doi.org/10.2307/2964500</t>
  </si>
  <si>
    <t>O(n^2 k)</t>
  </si>
  <si>
    <t>Derived: Auxiliary data structure that keeps track of a 'block' binary variable for each state</t>
  </si>
  <si>
    <t>k=100</t>
  </si>
  <si>
    <t>Brzozowski's algorithm</t>
  </si>
  <si>
    <t>https://www.semanticscholar.org/paper/Canonical-regular-expressions-and-minimal-state-for-Brzozowski/94def4233e1e8f15bab72e82708a03fd37233b14</t>
  </si>
  <si>
    <t>http://www.cs.ru.nl/bachelors-theses/2017/Erin_van_der_Veen___4431200___The_Practical_Performance_of_Automata_Minimization_Algorithms.pdf</t>
  </si>
  <si>
    <t>Revuz's algorithm</t>
  </si>
  <si>
    <t>https://www.sciencedirect.com/science/article/pii/0304397592901423</t>
  </si>
  <si>
    <t>3-&gt;6</t>
  </si>
  <si>
    <t>Almeida &amp; Zeitoun</t>
  </si>
  <si>
    <t>(need to read entire input + all queries)</t>
  </si>
  <si>
    <t>Tarjan's off-line lowest common ancestors algorithm</t>
  </si>
  <si>
    <t>n: number of vertices
m: number of total number of operations (queries, links, and cuts)</t>
  </si>
  <si>
    <t>Schieber; Vishkin</t>
  </si>
  <si>
    <t>https://epubs.siam.org/doi/abs/10.1137/0217079?journalCode=smjcat</t>
  </si>
  <si>
    <t>O(n+m) ?</t>
  </si>
  <si>
    <t>Berkman; Vishkin</t>
  </si>
  <si>
    <t>https://apps.dtic.mil/dtic/tr/fulltext/u2/a227803.pdf</t>
  </si>
  <si>
    <t>space bounded by pre-processing time</t>
  </si>
  <si>
    <t>Bender; Colton [LCA &lt;=&gt; RMQ]</t>
  </si>
  <si>
    <t>https://www.ics.uci.edu/~eppstein/261/BenFar-LCA-00.pdf</t>
  </si>
  <si>
    <t xml:space="preserve">Stephen Alstrup, Cyril Gavoille, Haim Kaplan &amp; Theis Rauhe </t>
  </si>
  <si>
    <t>https://link.springer.com/article/10.1007/s00224-004-1155-5</t>
  </si>
  <si>
    <t>(see original reference, noting that a word is O(log n) bits)</t>
  </si>
  <si>
    <t>Beam Stack Search</t>
  </si>
  <si>
    <t>O(VS)</t>
  </si>
  <si>
    <t xml:space="preserve"> X Chen</t>
  </si>
  <si>
    <t>https://doi.org/10.1016/j.knosys.2018.10.002</t>
  </si>
  <si>
    <t>V: 8,
S: 3</t>
  </si>
  <si>
    <t>V: number of vertices in the larger of the two graphs
S: size of the search tree (exp(V))
w: the beam width; parameter for how many of the best nodes are kept at each layer of the beam search (O(V))</t>
  </si>
  <si>
    <t>V: 6,
w: 3</t>
  </si>
  <si>
    <t>O(wV^2)</t>
  </si>
  <si>
    <r>
      <rPr>
        <color rgb="FF000000"/>
        <sz val="10.0"/>
      </rPr>
      <t xml:space="preserve">Theorem 5, </t>
    </r>
    <r>
      <rPr>
        <color rgb="FF1155CC"/>
        <sz val="10.0"/>
        <u/>
      </rPr>
      <t>https://doi.org/10.1016/j.knosys.2018.10.002</t>
    </r>
  </si>
  <si>
    <t>SimGNN</t>
  </si>
  <si>
    <t>Y Bai</t>
  </si>
  <si>
    <t>https://asset-pdf.scinapse.io/prod/2886034153/2886034153.pdf</t>
  </si>
  <si>
    <t>V: number of vertices in the larger of the two graphs</t>
  </si>
  <si>
    <t>Derived: Auxiliary matrices for the neural network of size VxV</t>
  </si>
  <si>
    <t>none stated</t>
  </si>
  <si>
    <t>AStar+</t>
  </si>
  <si>
    <t>O(V E^2 logV)</t>
  </si>
  <si>
    <t>L Chang</t>
  </si>
  <si>
    <t>https://doi.org/10.48550/arXiv.1709.06810</t>
  </si>
  <si>
    <t>V: number of vertices in the larger of the two graphs
E: number of edges in the larger of the two graphs</t>
  </si>
  <si>
    <r>
      <rPr>
        <sz val="10.0"/>
      </rPr>
      <t xml:space="preserve">Theorem 5.1, and the bound on T_{\leq \delta ...} is V\log V
</t>
    </r>
    <r>
      <rPr>
        <color rgb="FF1155CC"/>
        <sz val="10.0"/>
        <u/>
      </rPr>
      <t>https://doi.org/10.48550/arXiv.1709.06810</t>
    </r>
  </si>
  <si>
    <t>A* with bipartite heuristic</t>
  </si>
  <si>
    <t>K Riesen</t>
  </si>
  <si>
    <t>https://doi.org/10.1007/978-3-642-38221-5_15</t>
  </si>
  <si>
    <t>Space complexity of A*</t>
  </si>
  <si>
    <t>O(V^3 E^2)</t>
  </si>
  <si>
    <t>Alberto Sanfeliu and King-Sun Fu</t>
  </si>
  <si>
    <t>https://doi.org/10.1109/TSMC.1983.6313167</t>
  </si>
  <si>
    <t>A*-Beamsearch</t>
  </si>
  <si>
    <t>Neuhaus, Riesen, Bunke</t>
  </si>
  <si>
    <t>https://link.springer.com/chapter/10.1007/11815921_17</t>
  </si>
  <si>
    <t>V: number of vertices in the larger of the two graphs
w: the beam width; parameter for how many of the best nodes are kept at each layer of the beam search (O(V))</t>
  </si>
  <si>
    <t>O(wV)</t>
  </si>
  <si>
    <t>Derived: number of nodes under consideration at once</t>
  </si>
  <si>
    <t>Genetics-based</t>
  </si>
  <si>
    <t>O(V E^2 loglogE)</t>
  </si>
  <si>
    <t>Wang Y-K; Fan K-C; Horng J-T</t>
  </si>
  <si>
    <t>https://doi.org/10.1109/3477.604100</t>
  </si>
  <si>
    <t>V: 7,
E: 5.001</t>
  </si>
  <si>
    <t>O(V E^2 \log \log E)</t>
  </si>
  <si>
    <t>EDH</t>
  </si>
  <si>
    <t>Tao D; Tang X; Li X et al</t>
  </si>
  <si>
    <t>https://eprints.bbk.ac.uk/id/eprint/443/1/Binder1.pdf</t>
  </si>
  <si>
    <t>energy-based</t>
  </si>
  <si>
    <t>Finch</t>
  </si>
  <si>
    <t>https://direct.mit.edu/neco/article-pdf/10/7/1873/813998/089976698300017188.pdf?casa_token=nCYv9xO_Cc4AAAAA:EHiG4v8QmQju6u9RE6w4X6EGRtk5O5W6hIGy-_0A3HSit43f__4oSd4wjAtFIGJuopGMZzU</t>
  </si>
  <si>
    <t>O(V^2)?</t>
  </si>
  <si>
    <t>Seems to store/update a constant number of values per pair of nodes (one from each graph)</t>
  </si>
  <si>
    <r>
      <rPr>
        <rFont val="Arial"/>
        <color rgb="FF000000"/>
        <sz val="10.0"/>
      </rPr>
      <t xml:space="preserve">click pdf at: </t>
    </r>
    <r>
      <rPr>
        <rFont val="Arial"/>
        <color rgb="FF1155CC"/>
        <sz val="10.0"/>
        <u/>
      </rPr>
      <t>https://scholar.google.com/scholar?hl=en&amp;as_sdt=0%2C22&amp;q=An+Energy+Function+and+Continuous+Edit+Process+for+Graph+Matching&amp;btnG=</t>
    </r>
  </si>
  <si>
    <t>O(3^{(n/3)})</t>
  </si>
  <si>
    <t>Bron–Kerbosch algorithm</t>
  </si>
  <si>
    <t>$O(3^{(n/3)})$</t>
  </si>
  <si>
    <t>Keep track of an O(n)-sized recursive stack with O(n)-sized lists as elements?</t>
  </si>
  <si>
    <t xml:space="preserve">Akkoyunlu; E. A. </t>
  </si>
  <si>
    <t>http://www.dcs.gla.ac.uk/~pat/jchoco/clique/enumeration/papers/SMJ000001%5B1%5D.pdf</t>
  </si>
  <si>
    <t>See Bron-Kerbosch (seems like a similar approach?)</t>
  </si>
  <si>
    <t>Tomita; Tanaka &amp; Takahashi</t>
  </si>
  <si>
    <t>https://snap.stanford.edu/class/cs224w-readings/tomita06cliques.pdf</t>
  </si>
  <si>
    <t>O(3^{(n/3)}) total work? (previously this cell said O(n^4))</t>
  </si>
  <si>
    <t>Segundo; Artieda;  Strash Parallel</t>
  </si>
  <si>
    <t>https://arxiv.org/pdf/1801.00202.pdf</t>
  </si>
  <si>
    <t>$O(3^{(n/3)})$ total work? (previously this cell said $O(n^4)$)</t>
  </si>
  <si>
    <t>O(n^2) auxiliary??</t>
  </si>
  <si>
    <t>Keep track of an O(n)-sized recursive stack with O(n)-sized lists as elements? (this algo builds off of Bron-Kerbosch)</t>
  </si>
  <si>
    <t>O(dn 3^{(d/3)})</t>
  </si>
  <si>
    <t>David Eppstein, Maarten Löffler, Darren Strash</t>
  </si>
  <si>
    <t>https://arxiv.org/pdf/1006.5440.pdf</t>
  </si>
  <si>
    <t>n: 8,
d: 8</t>
  </si>
  <si>
    <t>$O(dn 3^{(d/3)})$</t>
  </si>
  <si>
    <t>n: number of vertices
m: number of edges
d: degeneracy of graph (worst case, d=O(n))</t>
  </si>
  <si>
    <t>See Bron-Kerbosch, but also keeps track of O(n)-sized degeneracy ordering</t>
  </si>
  <si>
    <t>$O(a(G)*m)$ per clique</t>
  </si>
  <si>
    <t xml:space="preserve">Chiba and Nishizeki </t>
  </si>
  <si>
    <t>https://pdfs.semanticscholar.org/0d19/245a27bc65a87a8014d5b8a66fb514c8ff0b.pdf</t>
  </si>
  <si>
    <t>n: 6,
m: 3,
a(G): 3</t>
  </si>
  <si>
    <t>n: number of vertices
m: number of edges
a(G): arboricity of graph (O(n) worst case)</t>
  </si>
  <si>
    <t>m: 3,
n: 5</t>
  </si>
  <si>
    <t>O(n d^2 2^d)</t>
  </si>
  <si>
    <t>M. Chrobak and D. Eppstein</t>
  </si>
  <si>
    <t>https://www.ics.uci.edu/~eppstein/pubs/ChrEpp-TCS-91.pdf</t>
  </si>
  <si>
    <t>$O(n d^2 2^d)$</t>
  </si>
  <si>
    <t>n: number of vertices
m: number of edges
d: degeneracy of graph (O(n) worst case)</t>
  </si>
  <si>
    <t>Keeps track of degeneracy ordering along with vertex and subset being tested (here the subset size is bounded by O(d)=O(n))</t>
  </si>
  <si>
    <t>$O(nm)$ per clique</t>
  </si>
  <si>
    <t>Shuji Tsukiyama, Mikio Ide, Hiromu Ariyoshi, and Isao Shirakawa</t>
  </si>
  <si>
    <t>https://www.proquest.com/docview/918487776?pq-origsite=gscholar&amp;fromopenview=true</t>
  </si>
  <si>
    <t>n: number of vertices
m: number of edges
d: degeneracy of graph</t>
  </si>
  <si>
    <t>See original reference, but also note that we'd have to construct and store the complementary graph (as this is originally an algo for MISs)</t>
  </si>
  <si>
    <t>$O(n^\omega)$ per clique where omega is the exponent on matrix multiplication</t>
  </si>
  <si>
    <t>Kazuhisa Makino, Takeaki Uno; Section 5</t>
  </si>
  <si>
    <t>https://link.springer.com/chapter/10.1007/978-3-540-27810-8_23</t>
  </si>
  <si>
    <t>n: 5.3728596</t>
  </si>
  <si>
    <t>$O(n^{\omega})$ per clique where omega is the exponent on matrix multiplication</t>
  </si>
  <si>
    <t>$O(V^2 2^V)$</t>
  </si>
  <si>
    <t>Held–Karp algorithm</t>
  </si>
  <si>
    <t>https://www.jstor.org/stable/2098806</t>
  </si>
  <si>
    <t>O(V*2^V)</t>
  </si>
  <si>
    <t>Need to store all C(S, l) for all subsets $S \subseteq V$ and all vertices l</t>
  </si>
  <si>
    <t>$O(V^3)$</t>
  </si>
  <si>
    <t>Christofides algorithm</t>
  </si>
  <si>
    <t>https://apps.dtic.mil/dtic/tr/fulltext/u2/a025602.pdf</t>
  </si>
  <si>
    <t>O(V^2)???</t>
  </si>
  <si>
    <t>Depends on best space complexity for O(V^3) min-weight matching (the rest of the algorithm requires O(V) auxiliary space)</t>
  </si>
  <si>
    <t>Lawler; E. L.</t>
  </si>
  <si>
    <t>https://onlinelibrary.wiley.com/doi/10.1002/net.3230180309</t>
  </si>
  <si>
    <t>$O(2^V logE)$</t>
  </si>
  <si>
    <t>TSPLIB</t>
  </si>
  <si>
    <t>https://pubsonline.informs.org/doi/abs/10.1287/ijoc.3.4.376</t>
  </si>
  <si>
    <t>$O(2^V \log E)$</t>
  </si>
  <si>
    <t>$O(4^{(n^2)})$</t>
  </si>
  <si>
    <t>5-point star Cramer's rule</t>
  </si>
  <si>
    <t>n: dimension of grid (where grid is discretized)</t>
  </si>
  <si>
    <t>$O(4^{(n^2)})$ for sure, $O(n^2)$ possibly??? (if super conservative)</t>
  </si>
  <si>
    <t>For expansion by minors, each "level" of expansion requires computing and storing O(1) smaller determinants, and there are O(n^2) levels overall</t>
  </si>
  <si>
    <t>5-point Gauss elimination</t>
  </si>
  <si>
    <t>See Gauss-Jordan elimination, but matrix is of size n^2*n^2</t>
  </si>
  <si>
    <t>O(n^4 logn)</t>
  </si>
  <si>
    <t>5-point Gauss Seidel iteration</t>
  </si>
  <si>
    <t>n: 7.01</t>
  </si>
  <si>
    <t>O(n^4 \log n)</t>
  </si>
  <si>
    <t>Generally uses a constant number of n^2*n^2 matrices where O(n^2) entries are nonempty</t>
  </si>
  <si>
    <t>5-point SOR iteration</t>
  </si>
  <si>
    <t>Need one auxiliary O(n^2)-sized vector to store guess, and the scalar sigma</t>
  </si>
  <si>
    <t>https://en.wikipedia.org/wiki/Successive_over-relaxation</t>
  </si>
  <si>
    <t>O(n^2 log^2n)</t>
  </si>
  <si>
    <t>5-point ADI iteration</t>
  </si>
  <si>
    <t>https://en.wikipedia.org/wiki/Alternating-direction_implicit_method</t>
  </si>
  <si>
    <t>9-point SOR iteration</t>
  </si>
  <si>
    <t>9-point Tensor product</t>
  </si>
  <si>
    <t>https://epubs.siam.org/doi/pdf/10.1137/0113067</t>
  </si>
  <si>
    <t>9-point ADI iteration</t>
  </si>
  <si>
    <t>5-point FFT</t>
  </si>
  <si>
    <t>FFT generally requires aux. space equal to dimension of vector?</t>
  </si>
  <si>
    <t>9-point ADI iteration + smooth guess</t>
  </si>
  <si>
    <t>5-point cyclic reduction</t>
  </si>
  <si>
    <t>9-point FFT</t>
  </si>
  <si>
    <t>$O(5^{(n^3)})$</t>
  </si>
  <si>
    <t>O(5^{(n^3)})</t>
  </si>
  <si>
    <t>$O(5^{(n^3)})$ for sure, $O(n^3)$ possibly??? (if super conservative)</t>
  </si>
  <si>
    <t>For expansion by minors, each "level" of expansion requires computing and storing O(1) smaller determinants, and there are O(n^3) levels overall</t>
  </si>
  <si>
    <t>O(n^7)</t>
  </si>
  <si>
    <t>O(n^6)</t>
  </si>
  <si>
    <t>See Gauss-Jordan elimination, but matrix is of size n^3*n^3</t>
  </si>
  <si>
    <t>O(n^5 logn)</t>
  </si>
  <si>
    <t>O(n^5 \log n)</t>
  </si>
  <si>
    <t>O(n^3)?</t>
  </si>
  <si>
    <t>Generally uses a constant number of n^3*n^3 matrices where O(n^3) entries are nonempty</t>
  </si>
  <si>
    <t>Need one auxiliary O(n^3)-sized vector to store guess, and the scalar sigma</t>
  </si>
  <si>
    <t>O(n^3 log^2n)</t>
  </si>
  <si>
    <t>n: 6.02</t>
  </si>
  <si>
    <t>O(n^3 \log^2 n)</t>
  </si>
  <si>
    <t>2-Dimensional Delaunay Triangulation</t>
  </si>
  <si>
    <t>O(n^4)? (previously O(n^2))</t>
  </si>
  <si>
    <t>$O(n^4)$? (previously $O(n^2)$)</t>
  </si>
  <si>
    <t>Keep track of triangles in triangulation, and current triangle being tested</t>
  </si>
  <si>
    <t>Flipping algorithm</t>
  </si>
  <si>
    <t>https://link.springer.com/article/10.1007/PL00009464</t>
  </si>
  <si>
    <t>Keep track of edges in current triangulation</t>
  </si>
  <si>
    <t>de Berg; Cheong</t>
  </si>
  <si>
    <t>https://web.archive.org/web/20091028054315/http://www.cs.uu.nl/geobook/interpolation.pdf</t>
  </si>
  <si>
    <t>Keep track of triangles in current triangulation, based on which points have been added so far</t>
  </si>
  <si>
    <t>Keep track of triangles in current triangulation, based on which points have been added so far and which triangles to remove</t>
  </si>
  <si>
    <t>Belloch</t>
  </si>
  <si>
    <t>https://web.archive.org/web/20180425231851/https://www.cs.cmu.edu/~ygu1/paper/SPAA16/Incremental.pdf</t>
  </si>
  <si>
    <t>Keep track of triangles in current triangulation, based on which points have been added so far and which triangles to remove (see other incremental algos)</t>
  </si>
  <si>
    <t>Guibas; Stofli</t>
  </si>
  <si>
    <t>Space recursion is S(n)=max(2S(n/2), O(n)) as triangulations from recursive calls are modified in the merge step</t>
  </si>
  <si>
    <t>https://dl.acm.org/doi/10.1145/142675.142695</t>
  </si>
  <si>
    <t>See incremental/flipping algorithm space complexities</t>
  </si>
  <si>
    <t>O(1/n\epsilon)</t>
  </si>
  <si>
    <t>Given a set of points on a surface, find a triangulation such that for every triangule there is a circumscribing pseudocircle that is \alpha-empty. A circumscribing  \alpha-pseudocircle are circular arcs with endpoints at the vertices of the polygon which all lie inside the circumscribing circle of the polygon and make an angle at most \alpha with the circumscribing polygon at the verticies. A pseudocircle is \alpha-empty if it is an \alpha-pseudocircle and it contains no verticies in its interior.</t>
  </si>
  <si>
    <t>S-hull (Sinclair)</t>
  </si>
  <si>
    <t>http://www.s-hull.org/paper/s_hull.pdf</t>
  </si>
  <si>
    <t>O(n log log n)</t>
  </si>
  <si>
    <t>uniform distribution in the unit square</t>
  </si>
  <si>
    <t>https://link.springer.com/article/10.1007/BF01840356</t>
  </si>
  <si>
    <t>Dwyer</t>
  </si>
  <si>
    <t>Cell technique and divide-and-conquer</t>
  </si>
  <si>
    <t>https://ieeexplore.ieee.org/stamp/stamp.jsp?tp=&amp;arnumber=6313167</t>
  </si>
  <si>
    <t xml:space="preserve"> Katajainen and M. Koppinen</t>
  </si>
  <si>
    <t>https://web.archive.org/web/20120308043808/http://www.cs.berkeley.edu/~jrs/meshpapers/SuDrysdale.pdf</t>
  </si>
  <si>
    <t>Drysdale; Su</t>
  </si>
  <si>
    <t>See other incremental algorithms</t>
  </si>
  <si>
    <t>General Delaunay Triangulation (d-dimensions)</t>
  </si>
  <si>
    <t>random points from a d-ball</t>
  </si>
  <si>
    <t>https://link.springer.com/article/10.1007/BF02574694</t>
  </si>
  <si>
    <t>Dwyer (higher dimensions)</t>
  </si>
  <si>
    <t>n: 3.99</t>
  </si>
  <si>
    <t>Keep track of O(1) information per triangle related to triangulation??</t>
  </si>
  <si>
    <t>de Bruijn Graph (Idury, Waterman)</t>
  </si>
  <si>
    <t>https://www.ncbi.nlm.nih.gov/pubmed/7497130</t>
  </si>
  <si>
    <t>Requires computing O(n) overlaps for graph; data structures are otherwise linear in space usage</t>
  </si>
  <si>
    <r>
      <rPr>
        <rFont val="Arial"/>
        <color rgb="FF1155CC"/>
        <sz val="10.0"/>
        <u/>
      </rPr>
      <t>https://academic.oup.com/bioinformatics/article/32/9/1301/1744507</t>
    </r>
    <r>
      <rPr>
        <rFont val="Arial"/>
        <sz val="10.0"/>
      </rPr>
      <t xml:space="preserve">
</t>
    </r>
    <r>
      <rPr>
        <rFont val="Arial"/>
        <color rgb="FF1155CC"/>
        <sz val="10.0"/>
        <u/>
      </rPr>
      <t>https://ieeexplore.ieee.org/document/9684373</t>
    </r>
  </si>
  <si>
    <t>String Graph (Myers)</t>
  </si>
  <si>
    <t>https://www.ncbi.nlm.nih.gov/pubmed/7497129</t>
  </si>
  <si>
    <t>String Graph with Ferragina–Manzini Index (Simpson, Durbin)</t>
  </si>
  <si>
    <t>https://www.ncbi.nlm.nih.gov/pmc/articles/PMC2881401/pdf/btq217.pdf</t>
  </si>
  <si>
    <t>Hybrid Algorithm</t>
  </si>
  <si>
    <t>O(2^n * n)</t>
  </si>
  <si>
    <t>O(2^{(n/2)} * n)</t>
  </si>
  <si>
    <t>Random Split Exponential algorithm</t>
  </si>
  <si>
    <t>$O(2^{(n/2)} * n)$</t>
  </si>
  <si>
    <t>O(n^2 2^n p log p)</t>
  </si>
  <si>
    <t>Brute force algorithm</t>
  </si>
  <si>
    <t>n: 8,
p: 4</t>
  </si>
  <si>
    <t>$O(n^2 2^n p \log p)$</t>
  </si>
  <si>
    <t>n: number of attributes
p: number of tuples/rows/data points</t>
  </si>
  <si>
    <t>n: 8,
p: 1</t>
  </si>
  <si>
    <t>O(n2^n)?</t>
  </si>
  <si>
    <t>bound on size of output (2^n domains, O(n) possible attributes per domain); can probably be improved</t>
  </si>
  <si>
    <t>O(n 2^n p)</t>
  </si>
  <si>
    <t>Schlimmer</t>
  </si>
  <si>
    <t>https://www.aaai.org/Papers/Workshops/1993/WS-93-02/WS93-02-017.pdf</t>
  </si>
  <si>
    <t>n: 8,
p: 3</t>
  </si>
  <si>
    <t>$O(n 2^n p)$</t>
  </si>
  <si>
    <t>(original source, but without user-supplied bound</t>
  </si>
  <si>
    <t>Liu</t>
  </si>
  <si>
    <t>n: 6,
k: 3</t>
  </si>
  <si>
    <t>$O(kn^2)$</t>
  </si>
  <si>
    <t>n: size of database?
k: number of functional dependencies (assume O(n))</t>
  </si>
  <si>
    <t>Derived: Creates an auxiliary database</t>
  </si>
  <si>
    <t>k:n
1:1</t>
  </si>
  <si>
    <t>Tradu; Mirc</t>
  </si>
  <si>
    <t>Xu; Renio</t>
  </si>
  <si>
    <t>Derek's Algorithm</t>
  </si>
  <si>
    <t>Russell et. al.</t>
  </si>
  <si>
    <t>Maxwell</t>
  </si>
  <si>
    <t>Derek's + Maxwell</t>
  </si>
  <si>
    <t>Trino</t>
  </si>
  <si>
    <t>Räihä; Manilla</t>
  </si>
  <si>
    <t>L=100</t>
  </si>
  <si>
    <t>O(4^n)</t>
  </si>
  <si>
    <t>Catriel Beeri Ronald Fagin John H. Howard</t>
  </si>
  <si>
    <t>https://dl.acm.org/doi/10.1145/509404.509414</t>
  </si>
  <si>
    <t>Any distribution of inputs</t>
  </si>
  <si>
    <t>Same behavior regardless of input</t>
  </si>
  <si>
    <t>FCFS</t>
  </si>
  <si>
    <t>n: number of requests</t>
  </si>
  <si>
    <t>Needs to keep track of seek distance but FCFS is fairly straightforward/no extra info needed</t>
  </si>
  <si>
    <t>https://en.wikipedia.org/wiki/FIFO_(computing_and_electronics)</t>
  </si>
  <si>
    <t>O(n*log n) with binary tree</t>
  </si>
  <si>
    <t>SSTF</t>
  </si>
  <si>
    <t>O(n \log n) with binary tree</t>
  </si>
  <si>
    <t>https://www.geeksforgeeks.org/program-for-sstf-disk-scheduling-algorithm/?ref=lbp</t>
  </si>
  <si>
    <t>https://en.wikipedia.org/wiki/Shortest_seek_first</t>
  </si>
  <si>
    <t>SCAN</t>
  </si>
  <si>
    <t>https://www.geeksforgeeks.org/scan-elevator-disk-scheduling-algorithms/?ref=lbp</t>
  </si>
  <si>
    <t>https://en.wikipedia.org/wiki/Elevator_algorithm</t>
  </si>
  <si>
    <t>LOOK</t>
  </si>
  <si>
    <t>Needs sorted array of requests and seek distance but not much else</t>
  </si>
  <si>
    <t>http://courses.teresco.org/cs432_f02/lectures/17-files/17-files.html</t>
  </si>
  <si>
    <t>C-SCAN</t>
  </si>
  <si>
    <t>See SCAN</t>
  </si>
  <si>
    <t>C-LOOK</t>
  </si>
  <si>
    <t>See LOOK</t>
  </si>
  <si>
    <t>http://www.cs.nuim.ie/~dkelly/CS240-05/Disk%20Scheduling.htm</t>
  </si>
  <si>
    <t>O(2^k n^{O(1)})</t>
  </si>
  <si>
    <t>Brute force (backtracking search)</t>
  </si>
  <si>
    <t>n: 8,
k: 8</t>
  </si>
  <si>
    <t>O(2^k n^O(1))</t>
  </si>
  <si>
    <t>n: number of vertices
m: number of edges
k: size of vertex cover (worst case O(n))</t>
  </si>
  <si>
    <t>$O(k)$</t>
  </si>
  <si>
    <t>Just need to keep track of current subset being checked</t>
  </si>
  <si>
    <t>O(kn + 2^k k^{(2k + 2)})</t>
  </si>
  <si>
    <t xml:space="preserve">Sam Buss </t>
  </si>
  <si>
    <t>http://bud.cs.uky.edu/~goldsmit/papers/NondetWithinP.pdf</t>
  </si>
  <si>
    <t>$O(kn + 2^k k^{(2k + 2)})$</t>
  </si>
  <si>
    <t>k: 5,
n: 5</t>
  </si>
  <si>
    <t>$O(k^2)$?</t>
  </si>
  <si>
    <t>Auxiliary graph contains O(k^2) edges unless the instance is rejected; rest of steps take O(k^2) auxiliary space at most</t>
  </si>
  <si>
    <t>O(kn + 1.2852^k)</t>
  </si>
  <si>
    <t>Chen; I. Kanj; and W. Jia.</t>
  </si>
  <si>
    <t>https://citeseerx.ist.psu.edu/viewdoc/download?doi=10.1.1.7.4800&amp;rep=rep1&amp;type=pdf</t>
  </si>
  <si>
    <t>$O(kn + 1.2852^k)$</t>
  </si>
  <si>
    <t>k: 6,
n: 6</t>
  </si>
  <si>
    <t>$O(k^3)$ auxiliary? (potentially $O(k^2)$??)</t>
  </si>
  <si>
    <t>First auxiliary graph contains O(k^2) edges; algorithm subsequently branches to a depth of O(k) (each fork being degree O(1)), with a new O(k^2)-sized graph at each depth. Interleaving shouldn't increase space usage asymptotically. (Could possibly be reduced to O(k) by just keeping track of graph deltas?) (but also a different source claims exponential?)</t>
  </si>
  <si>
    <t>O(min(1.2759^k k^{1.5}, 1.2745^k k^4) + kn)</t>
  </si>
  <si>
    <t>Chandran and F. Grandoni</t>
  </si>
  <si>
    <t>https://citeseerx.ist.psu.edu/viewdoc/download?doi=10.1.1.136.4409&amp;rep=rep1&amp;type=pdf</t>
  </si>
  <si>
    <t>$O(min(1.2759^k k^1.5, 1.2745^k k^4) + kn)$</t>
  </si>
  <si>
    <t>k: 8,
n: 8</t>
  </si>
  <si>
    <t>$O(min(1.2759^k k^{1.5}, 1.2745^k k^4) + kn)$ but exponential</t>
  </si>
  <si>
    <t>O(1.2738^k+ kn)</t>
  </si>
  <si>
    <t>https://www.cs.lafayette.edu/~gexia/research/mfcs06.pdf</t>
  </si>
  <si>
    <t>O(k*1.2192^k)</t>
  </si>
  <si>
    <t>J. Chen; L. Liu; and W. Jia.</t>
  </si>
  <si>
    <t>https://onlinelibrary.wiley.com/doi/abs/10.1002/1097-0037(200007)35:4%3C253::AID-NET3%3E3.0.CO;2-K</t>
  </si>
  <si>
    <t>(see remark in algo id #576)</t>
  </si>
  <si>
    <t>O(kn + (1.324718)^k * k^2)</t>
  </si>
  <si>
    <t>Balasubramanian; Fellows</t>
  </si>
  <si>
    <t>https://citeseerx.ist.psu.edu/viewdoc/summary?doi=10.1.1.711.8844</t>
  </si>
  <si>
    <t>O(3^k n)</t>
  </si>
  <si>
    <t>Papadimitriou and M Yannakakis</t>
  </si>
  <si>
    <t>https://www.sciencedirect.com/science/article/pii/S0022000096900586</t>
  </si>
  <si>
    <t>$O(k)$ auxiliary?</t>
  </si>
  <si>
    <t>keep track of maximal matching, and subsequent vertices in cover; note that max size is O(k) else we can reject immediately</t>
  </si>
  <si>
    <t>O(kn + 1.29175^k k^2).</t>
  </si>
  <si>
    <t>Niedermeier, Rossmanith</t>
  </si>
  <si>
    <t>https://citeseerx.ist.psu.edu/viewdoc/download?doi=10.1.1.69.1933&amp;rep=rep1&amp;type=pdf</t>
  </si>
  <si>
    <t>O(kn + 1.31951^k k^2)</t>
  </si>
  <si>
    <t>Downey</t>
  </si>
  <si>
    <t>https://citeseerx.ist.psu.edu/viewdoc/download?doi=10.1.1.12.4079&amp;rep=rep1&amp;type=pdf</t>
  </si>
  <si>
    <t>O(n^3 * |G|)</t>
  </si>
  <si>
    <t>Cocke–Younger–Kasami algorithm</t>
  </si>
  <si>
    <t>https://core.ac.uk/download/pdf/158319955.pdf</t>
  </si>
  <si>
    <t>n: 6,
|G|: 3</t>
  </si>
  <si>
    <t>n: input string length
|G|: size of grammar</t>
  </si>
  <si>
    <t>Double-tape TM</t>
  </si>
  <si>
    <t>cells</t>
  </si>
  <si>
    <t>G=100</t>
  </si>
  <si>
    <t>$O(n^\omega * |G|)$ where omega is the exponent for matrix multiplication</t>
  </si>
  <si>
    <t>Valiant</t>
  </si>
  <si>
    <t>n: 5.3728596,
|G|: 3</t>
  </si>
  <si>
    <t>O(n^omega * |G|) where omega is the exponent for matrix multiplication</t>
  </si>
  <si>
    <t>Word RAM and multitape TM</t>
  </si>
  <si>
    <t>words/cells</t>
  </si>
  <si>
    <t>See matrix multiplication space complexity</t>
  </si>
  <si>
    <t>Earley parser</t>
  </si>
  <si>
    <t>https://web.archive.org/web/20040708052627/http://www-2.cs.cmu.edu/afs/cs.cmu.edu/project/cmt-55/lti/Courses/711/Class-notes/p94-earley.pdf</t>
  </si>
  <si>
    <t>n: input string length</t>
  </si>
  <si>
    <t>GLR parser</t>
  </si>
  <si>
    <t>Word RAM? (implemented on ALGOL)</t>
  </si>
  <si>
    <t>A-Priori algorithm</t>
  </si>
  <si>
    <t>http://www.vldb.org/conf/1994/P487.PDF</t>
  </si>
  <si>
    <t>n: total number of transactions (size of database)</t>
  </si>
  <si>
    <t>https://dl.acm.org/doi/pdf/10.1145/1014052.1014091</t>
  </si>
  <si>
    <t>https://www-users.cse.umn.edu/~kumar001/dmbook/ch6.pdf</t>
  </si>
  <si>
    <t>The Algorithm of Park; Chen; and Yu (PCY)</t>
  </si>
  <si>
    <t>https://dl.acm.org/doi/abs/10.1145/568271.223813</t>
  </si>
  <si>
    <t>Derived: modification of the Apriori algorithm, with same asymptotic complexities.</t>
  </si>
  <si>
    <t>https://link.springer.com/content/pdf/10.1007/3-540-44418-1_1.pdf</t>
  </si>
  <si>
    <t>The Multistage Algorithm</t>
  </si>
  <si>
    <t>http://ilpubs.stanford.edu:8090/423/</t>
  </si>
  <si>
    <t>The Multihash Algorithm</t>
  </si>
  <si>
    <t>Gupta; Verdu</t>
  </si>
  <si>
    <t>https://doi.org/10.1109/TIT.2009.2016040</t>
  </si>
  <si>
    <t>n: input string length (bits)</t>
  </si>
  <si>
    <t>Derived: Considering the codebook to be part of the input, this only requires storing a single codeword in memory, of size $O(n)$, along with some constants</t>
  </si>
  <si>
    <t>Discrete Cosine Transform</t>
  </si>
  <si>
    <t>https://doi.org/10.1109%2FT-C.1974.223784</t>
  </si>
  <si>
    <t>n: number of items in input series of data</t>
  </si>
  <si>
    <t>Derived: each of the n terms of the DCT has a sum of n terms</t>
  </si>
  <si>
    <t>Derived: store the DCT coefficient for each input term</t>
  </si>
  <si>
    <t>Low Density Generator Matrix (LDGM) codes; for a Bernouli(1/2) source</t>
  </si>
  <si>
    <t>Maneva and M. J. Wainwright</t>
  </si>
  <si>
    <t>https://ieeexplore.ieee.org/document/1523592</t>
  </si>
  <si>
    <t>n: length of input vector
m: length of compressed output vector</t>
  </si>
  <si>
    <t>Derived: size of the factor graph representation of the generator matrix, or size of the generator matrix itself</t>
  </si>
  <si>
    <t>Constraint Satisfaction Problem with Random Gates</t>
  </si>
  <si>
    <t xml:space="preserve"> Ciliberti; Mézard</t>
  </si>
  <si>
    <t>https://arxiv.org/abs/cond-mat/0504509</t>
  </si>
  <si>
    <t>n: length of input data</t>
  </si>
  <si>
    <t>O(n*2^n)?</t>
  </si>
  <si>
    <t>Keep track of big codebook?</t>
  </si>
  <si>
    <t>Low Density Parity Check (LDPC)</t>
  </si>
  <si>
    <t>Matsunaga; Yamamoto</t>
  </si>
  <si>
    <t>https://doi.org/10.1109/TIT.2003.815805</t>
  </si>
  <si>
    <t>exp(n)</t>
  </si>
  <si>
    <t>LDGM codes + multilevel quantization</t>
  </si>
  <si>
    <t>O(kmn)?</t>
  </si>
  <si>
    <t>Sun; M. Shao; J. Chen; K. Wong; and X. Wu</t>
  </si>
  <si>
    <t>https://ieeexplore.ieee.org/document/5474629/</t>
  </si>
  <si>
    <t>n: length of input data
m: level parameter
k: rate parameter</t>
  </si>
  <si>
    <t>n: 3,
m: 3,
k: 3</t>
  </si>
  <si>
    <t>Encoding scheme can be thought of as a factor graph with O(k+mn) nodes and O(kmn) edges</t>
  </si>
  <si>
    <t>Miyake 2006</t>
  </si>
  <si>
    <t>https://www.semanticscholar.org/paper/Lossy-Data-Compression-over-Zq-by-LDPC-Code-Miyake/652f0438118898b63126f7261ec4cd2002ff0e0b</t>
  </si>
  <si>
    <t>Parity check matrix is size poly(n), distortion dictionary is size O(2^n)</t>
  </si>
  <si>
    <t>LDGM + LDPC</t>
  </si>
  <si>
    <t>Martinian and M. J. Wainwright</t>
  </si>
  <si>
    <t>https://arxiv.org/abs/cs/0602046</t>
  </si>
  <si>
    <t>n: length of input data
m: number of information bits
k: rate parameter (in LDPC)</t>
  </si>
  <si>
    <t>O(mn+mk)?</t>
  </si>
  <si>
    <t>Consists of an LDGM portion (O(n+m) nodes, O(mn) edges) and an LDPC portion (O(m+k) nodes, O(mk) edges)</t>
  </si>
  <si>
    <t>Gibbs sampler</t>
  </si>
  <si>
    <t>Jalali and T. Weissman</t>
  </si>
  <si>
    <t>https://web.stanford.edu/~tsachy/pdf_files/Lossy%20Source%20Coding%20via%20Markov%20Chain%20Monte%20Carlo.pdf</t>
  </si>
  <si>
    <t>Derived: Auxiliary data structures are H_k and m_k. H_k is just a singular value and is constant space, but m_k is a O(n)-size vector.</t>
  </si>
  <si>
    <t>Wyner-Ziv DUDE</t>
  </si>
  <si>
    <t>Jalali; A. Montanari; and T. Weissman</t>
  </si>
  <si>
    <t>https://authors.library.caltech.edu/17983/1/Jalali2010p7459Ieee_T_Inform_Theory.pdf</t>
  </si>
  <si>
    <t>Derived: Auxiliary data structures consist of a constant number of O(n)-sized vectors and function definitions</t>
  </si>
  <si>
    <t>Polar codes</t>
  </si>
  <si>
    <t>O(N log N)</t>
  </si>
  <si>
    <t>Korada and R. Urbanke;</t>
  </si>
  <si>
    <t>https://arxiv.org/pdf/0903.0307.pdf</t>
  </si>
  <si>
    <t>n: length of input data
N: code length/block length, typically N=2^n</t>
  </si>
  <si>
    <t>Derived: size of the polar codes that need to be stored</t>
  </si>
  <si>
    <t>O(N log N) time w.r.t. codelength</t>
  </si>
  <si>
    <t>Distinct-degree; Equal-degree</t>
  </si>
  <si>
    <t>Berlekamp's algorithm</t>
  </si>
  <si>
    <t>https://ieeexplore.ieee.org/document/6768643/</t>
  </si>
  <si>
    <t>n: degree of polynomial
p: characteristic of finite field</t>
  </si>
  <si>
    <t>n: 3,
p: 1</t>
  </si>
  <si>
    <t>Computes the remainder of $g^{((p-1)/2)}-1 mod f$ (in order to find gcd of $g^{((p-1)/2)}-1$ and f)</t>
  </si>
  <si>
    <t>Schubert's algorithm</t>
  </si>
  <si>
    <t>https://en.wikipedia.org/wiki/Factorization_of_polynomials_over_finite_fields#Distinct-degree_factorization</t>
  </si>
  <si>
    <t>Square-free</t>
  </si>
  <si>
    <t>Square-free factorization</t>
  </si>
  <si>
    <t>Computes and stores a constant number of polynomials of degree $O(n)$ per iteration</t>
  </si>
  <si>
    <t>Distinct-degree</t>
  </si>
  <si>
    <t>O(n^3 + nlogn)</t>
  </si>
  <si>
    <t>Distinct-degree factorization</t>
  </si>
  <si>
    <t>O(n^3 + n \log n)</t>
  </si>
  <si>
    <t>Computes and stores a constant number of polynomials of degree $O(n)$ per iteration. Note that computing $gcd(f, x^{(q^i)}-x)$ can be cleverly done in $O(n)$ space.</t>
  </si>
  <si>
    <t>Equal-degree</t>
  </si>
  <si>
    <t>Cantor–Zassenhaus algorithm</t>
  </si>
  <si>
    <t>https://www.ams.org/journals/mcom/1981-36-154/S0025-5718-1981-0606517-5/home.html</t>
  </si>
  <si>
    <t>Keeps track of a set of factors, where sum of degrees of factors is O(n) so the total number of terms to keep track of is O(n). Also, computing h^{((q^d-1)/2)}-1 mod f only requires O(n) space</t>
  </si>
  <si>
    <t>Victor Shoup's algorithm</t>
  </si>
  <si>
    <t>Keeps track of a set of factors, where sum of degrees of factors is $O(n)$ so the total number of terms to keep track of is $O(n)$. Also, polynomials in the separating set can be computed in $O(n)$ space</t>
  </si>
  <si>
    <t>Berlekamp–Massey algorithm</t>
  </si>
  <si>
    <t>https://ieeexplore.ieee.org/document/1054260</t>
  </si>
  <si>
    <t>https://www.semanticscholar.org/paper/Shift-register-synthesis-and-BCH-decoding-Massey/a0870e57fb5e59aae83f2a2a09b8df78257ef556</t>
  </si>
  <si>
    <t>n: size of input stream</t>
  </si>
  <si>
    <t>Computes and stores constant number of polynomials of degree $O(n)$</t>
  </si>
  <si>
    <t>Gale–Shapley algorithm</t>
  </si>
  <si>
    <t>https://en.wikipedia.org/wiki/Gale–Shapley_algorithm</t>
  </si>
  <si>
    <t>n: number of men and number of women</t>
  </si>
  <si>
    <t>Only need to keep track of current (provisional) matchings</t>
  </si>
  <si>
    <t>Irving's Algorithm</t>
  </si>
  <si>
    <t>http://www.dcs.gla.ac.uk/~pat/jchoco/roommates/papers/Comp_sdarticle.pdf</t>
  </si>
  <si>
    <t>n: number of pairs of roommates</t>
  </si>
  <si>
    <t>Manipulates the $O(n)$-many $O(n)$-size preference lists</t>
  </si>
  <si>
    <t>Manlove; Malley</t>
  </si>
  <si>
    <t>Constructs, preprocesses, and solves an $O(n^2)$-size CSP instance?</t>
  </si>
  <si>
    <t>Unsworth; C.; Prosser; P</t>
  </si>
  <si>
    <t>http://www.dcs.gla.ac.uk/~pat/roommates/distribution/papers/SM2N.pdf</t>
  </si>
  <si>
    <t>Constructs, preprocesses, and solves an $O(n^2)$-size CSP instance? (see original reference)</t>
  </si>
  <si>
    <t>Arc Consistency?</t>
  </si>
  <si>
    <t>Hentenryck et. al.</t>
  </si>
  <si>
    <t>https://www.sciencedirect.com/science/article/abs/pii/000437029290020X</t>
  </si>
  <si>
    <t>Gent; I.P.; Irving; R.W.; Manlove; D.F.; Prosser; P.; Smith; B.M.</t>
  </si>
  <si>
    <t>https://link.springer.com/chapter/10.1007/3-540-45578-7_16</t>
  </si>
  <si>
    <t>Constructs, preprocesses, and solves an O(n^2)-size CSP instance?</t>
  </si>
  <si>
    <t>Patrick Posser</t>
  </si>
  <si>
    <t>https://link.springer.com/chapter/10.1007%2F978-3-319-07046-9_2</t>
  </si>
  <si>
    <t>S. S. TSENG and R. C. T. LEE</t>
  </si>
  <si>
    <t>https://link.springer.com/content/pdf/10.1007/BF02136029.pdf</t>
  </si>
  <si>
    <t>$O(n)$ per processor?</t>
  </si>
  <si>
    <t>Tomas Feder, Nimrod Megiddoy, Serge A_x0001_ Plotki</t>
  </si>
  <si>
    <t>http://theory.stanford.edu/~megiddo/pdf/soda94.pdf</t>
  </si>
  <si>
    <t>O(n^0.5)</t>
  </si>
  <si>
    <t>$O(n^{0.5})$ auxiliary per processor?</t>
  </si>
  <si>
    <t>bounded by runtime</t>
  </si>
  <si>
    <t>Polynomial</t>
  </si>
  <si>
    <t>Ioannidou; Kyriaki; Mertzios; George B.; Nikolopoulos; Stavros D.</t>
  </si>
  <si>
    <t>Any distribution (runtime same regardless of input)</t>
  </si>
  <si>
    <t>Same general behavior regardless of input</t>
  </si>
  <si>
    <t>n: length of string</t>
  </si>
  <si>
    <t>Needs to store the intermediate steps of constructing a suffix tree, which can reach size O(n)</t>
  </si>
  <si>
    <t>Weiner's algorithm</t>
  </si>
  <si>
    <t>https://dl.acm.org/citation.cfm?id=1441766</t>
  </si>
  <si>
    <t>Pratt</t>
  </si>
  <si>
    <t>Ukkonen</t>
  </si>
  <si>
    <t>https://www.cs.helsinki.fi/u/ukkonen/SuffixT1withFigs.pdf</t>
  </si>
  <si>
    <t>Ukkonen and D. Wood</t>
  </si>
  <si>
    <t>https://link.springer.com/article/10.1007/BF01769703</t>
  </si>
  <si>
    <t>O(log^4(n))</t>
  </si>
  <si>
    <t>Hariharan</t>
  </si>
  <si>
    <t>https://www.sciencedirect.com/science/article/pii/S0022000097914963</t>
  </si>
  <si>
    <t>Süleyman Cenk Sahinalp ; Uzi Vishkin</t>
  </si>
  <si>
    <t>https://link.springer.com/content/pdf/10.1007/3-540-57811-0_3.pdf</t>
  </si>
  <si>
    <t>n: 2.01</t>
  </si>
  <si>
    <t>CRCW PRAM</t>
  </si>
  <si>
    <t>$O(n^{(1+\eps)})$ for any fixed eps&gt;0</t>
  </si>
  <si>
    <t>Farach</t>
  </si>
  <si>
    <t>https://www.cs.rutgers.edu/~farach/pubs/PRAMSuffixICALP.pdf</t>
  </si>
  <si>
    <t>Rytter</t>
  </si>
  <si>
    <t>https://www.researchgate.net/publication/228945502_On_parallel_transformations_of_suffix_arrays_into_suffix_trees</t>
  </si>
  <si>
    <t>McCreight</t>
  </si>
  <si>
    <t>http://libeccio.di.unisa.it/TdP/suffix.pdf</t>
  </si>
  <si>
    <t>O(n^3k)</t>
  </si>
  <si>
    <t>Fellegi &amp; Sunter Model</t>
  </si>
  <si>
    <t>https://courses.cs.washington.edu/courses/cse590q/04au/papers/Felligi69.pdf</t>
  </si>
  <si>
    <t>n: 6.5,
k: 3</t>
  </si>
  <si>
    <t>n: number of records
k: number of features (can be up to $O(\sqrt{n})$)</t>
  </si>
  <si>
    <t>n: 2.5,
k: 3</t>
  </si>
  <si>
    <t>Derived: A constant number of values per feature; Sums range over n elements, but can be computed in the same memory; see Method 1</t>
  </si>
  <si>
    <t>r:c
1:1</t>
  </si>
  <si>
    <t>Bipartite method
to compute pairwise ER</t>
  </si>
  <si>
    <t>Gupta &amp; Sarawagi CRF</t>
  </si>
  <si>
    <t>https://doi.org/10.14778/1687627.1687661</t>
  </si>
  <si>
    <t>n: 4.5,
k: 3</t>
  </si>
  <si>
    <t>$O(nk)$?</t>
  </si>
  <si>
    <t>Derived: Creates an intermediate "consolidated" table that it manipulates/reorders to get final output</t>
  </si>
  <si>
    <t>Chen Ensembles of classifiers</t>
  </si>
  <si>
    <t>EM Based Winkler</t>
  </si>
  <si>
    <t>https://courses.cs.washington.edu/courses/cse590q/04au/papers/WinklerEM.pdf</t>
  </si>
  <si>
    <t>Derived: One value per feature in the discretized vector</t>
  </si>
  <si>
    <t>Ravikumar &amp; Cohen Generative Models</t>
  </si>
  <si>
    <t>https://arxiv.org/abs/1207.4180</t>
  </si>
  <si>
    <t>n: 5.5,
k: 3</t>
  </si>
  <si>
    <t>Pairwise ER Active Learning</t>
  </si>
  <si>
    <t>O(n^2 \log n c \log c)</t>
  </si>
  <si>
    <t>Bellare Active Learning</t>
  </si>
  <si>
    <t>https://dl.acm.org/doi/10.1145/2339530.2339707</t>
  </si>
  <si>
    <t>Delphi algorithm</t>
  </si>
  <si>
    <t>Ananthakrishna</t>
  </si>
  <si>
    <t>https://doi.org/10.1016/B978-155860869-6/50058-5</t>
  </si>
  <si>
    <t>Derived: the token table, the children table, and the tuples in G are stored in main memory, each are of size $O(n)$</t>
  </si>
  <si>
    <t>BOYS algorithm</t>
  </si>
  <si>
    <t>https://www.sciencedirect.com/science/article/abs/pii/016794739390116B</t>
  </si>
  <si>
    <t>Derived: As written stores counts/probabailities for all pairs of entries.</t>
  </si>
  <si>
    <t>(behavior same across all inputs)</t>
  </si>
  <si>
    <t>n: length of given string</t>
  </si>
  <si>
    <t>https://www.geeksforgeeks.org/longest-palindrome-substring-set-1/</t>
  </si>
  <si>
    <t>Manacher</t>
  </si>
  <si>
    <t>https://doi.org/10.1145%2F321892.321896</t>
  </si>
  <si>
    <t>https://dl.acm.org/doi/10.1145/321892.321896</t>
  </si>
  <si>
    <t>At the very least it stores the radii for each center, requiring O(n) space. Space usage is bounded from above by runtime, so at most O(n) space is used.</t>
  </si>
  <si>
    <t>Jeuring</t>
  </si>
  <si>
    <t>https://doi.org/10.1007%2FBF01182773</t>
  </si>
  <si>
    <t>Stores (and uses) previously computed palindrome information; unclear if O(n) is best bound possible</t>
  </si>
  <si>
    <t xml:space="preserve">Gusfield </t>
  </si>
  <si>
    <t>https://www.cambridge.org/core/books/algorithms-on-strings-trees-and-sequences/F0B095049C7E6EF5356F0A26686C20D3</t>
  </si>
  <si>
    <t>At the very least it pre-processes and stores the string and the reverse of the string, requiring O(n) space. Space usage is bounded from above by runtime, so at most O(n) space is used.</t>
  </si>
  <si>
    <t>https://d1wqtxts1xzle7.cloudfront.net/31053376/Algorithms_on_String_Trees_and_Sequences-with-cover-page-v2.pdf?Expires=1661234618&amp;Signature=F2kwJp-yun59cg~XkWJkmRPpTYA~w8ZV8-T7prnT1vRBskR9HP5--HSAW3yRCkMvsogo8r6dTuq94Um2iFLJueNP-wf-EwQwsnTfaNWN8~IPjQAStkg0o3~9dr~gbsRzgddypdVJFp2qnFOzCaL3RgLw1mVEt~z6l9NwCSAK~mKZn6gZm3pP2-oCtuvQeUkRQKEWMrjbmZJvnXGoTSeKl4wMvvO5VOB17WLvU2A~G3XuiV05wJJwK8cQ9wqGZdorSYXieKLElOTfoYCDEjugeJuQXa2R-VhZtk8WpBPLmIv-PKUqQpxNG2usEwy0f4rcZnpsIBfEAJV9UBv1QwxlPQ__&amp;Key-Pair-Id=APKAJLOHF5GGSLRBV4ZA</t>
  </si>
  <si>
    <t>Demand-Driven Register Allocation</t>
  </si>
  <si>
    <t>$n$: number of instructions in procedure</t>
  </si>
  <si>
    <t>Derived: Requires storing a so-called $\Delta$-table of size $n \times n$ to keep track of $\Delta$-estimates</t>
  </si>
  <si>
    <t>Sethi–Ullman Algorithm</t>
  </si>
  <si>
    <t>https://dl.acm.org/doi/10.1145/321607.321620</t>
  </si>
  <si>
    <t>Derived: Only uses in-situ updates to the input tree, no auxiliary data structures</t>
  </si>
  <si>
    <t>Construct canonical forms of graphs and compare</t>
  </si>
  <si>
    <t>\exp(n^{\frac{1}{2} + o(1)})</t>
  </si>
  <si>
    <t>Babai and Luks</t>
  </si>
  <si>
    <t>https://dl.acm.org/doi/10.1145/800061.808746</t>
  </si>
  <si>
    <t>o(\exp(2n^{1/2}\log^2n))</t>
  </si>
  <si>
    <t>Babai</t>
  </si>
  <si>
    <t>https://epubs.siam.org/doi/10.1137/0209018</t>
  </si>
  <si>
    <r>
      <rPr>
        <rFont val="Arial"/>
        <color rgb="FF1155CC"/>
        <sz val="10.0"/>
        <u/>
      </rPr>
      <t>https://epubs.siam.org/doi/10.1137/0209018</t>
    </r>
    <r>
      <rPr>
        <rFont val="Arial"/>
        <color rgb="FF000000"/>
        <sz val="10.0"/>
      </rPr>
      <t xml:space="preserve"> (section 2.5)</t>
    </r>
  </si>
  <si>
    <t>Isomorphism of strongly regular graphs</t>
  </si>
  <si>
    <t>n^O(n^{(1/3)}  log n)</t>
  </si>
  <si>
    <t>Spielman</t>
  </si>
  <si>
    <t>https://www.cs.yale.edu/homes/spielman/PAPERS/srg.pdf</t>
  </si>
  <si>
    <t>$n^{O(n^{(1/3)}  log n)}$</t>
  </si>
  <si>
    <t>check</t>
  </si>
  <si>
    <t>McKay</t>
  </si>
  <si>
    <t>http://users.cecs.anu.edu.au/~bdm/papers/pgi.pdf</t>
  </si>
  <si>
    <t>$O((m1 + m2)n^3 + m2 n^2 L)$</t>
  </si>
  <si>
    <t>$2mn+10n+m+(m+4)K+2mL$</t>
  </si>
  <si>
    <t>Schmidt &amp; Druffel</t>
  </si>
  <si>
    <t>https://dl.acm.org/doi/10.1145/321958.321963</t>
  </si>
  <si>
    <t>$O(n*n!)$</t>
  </si>
  <si>
    <t>Subgraph Isomorphism</t>
  </si>
  <si>
    <t>Asymptotics not given, actual times. Check</t>
  </si>
  <si>
    <t>Ullman</t>
  </si>
  <si>
    <t>https://dl.acm.org/doi/10.1145/321921.321925</t>
  </si>
  <si>
    <t>n: max number of vertices between the two graphs
m: min number of vertices between the two graphs</t>
  </si>
  <si>
    <t>n: 3
m: 3</t>
  </si>
  <si>
    <t>Stores a constant number of n*m matrices, along with a constant number of vectors of length O(m+n)</t>
  </si>
  <si>
    <t>2^{O(\log n)^3}</t>
  </si>
  <si>
    <t>http://people.cs.uchicago.edu/~laci/update.html, http://people.cs.uchicago.edu/~laci/17groups/version2.1.pdf</t>
  </si>
  <si>
    <t>n: 7.5</t>
  </si>
  <si>
    <t>Circulant graphs</t>
  </si>
  <si>
    <t>Muzychuk</t>
  </si>
  <si>
    <t>https://londmathsoc.onlinelibrary.wiley.com/doi/abs/10.1112/S0024611503014412</t>
  </si>
  <si>
    <t>derived in notes</t>
  </si>
  <si>
    <t>Partial k-trees</t>
  </si>
  <si>
    <t>O(n^{(k+4.5)})</t>
  </si>
  <si>
    <t>Bodlaender</t>
  </si>
  <si>
    <t>https://www.sciencedirect.com/science/article/pii/0196677490900135</t>
  </si>
  <si>
    <t>$O(n^{(k+4.5)})$</t>
  </si>
  <si>
    <t>n: number of vertices, k: graphs which are partial k-trees</t>
  </si>
  <si>
    <t>Hypergraphs isomorphism</t>
  </si>
  <si>
    <t>exp(O(k^2 \sqrt{n})</t>
  </si>
  <si>
    <t>Babai &amp; Codenotti</t>
  </si>
  <si>
    <t>https://oa.mg/work/10.1109/focs.2008.80</t>
  </si>
  <si>
    <t>$exp(O(k^2 \sqrt{n})$</t>
  </si>
  <si>
    <t>n: number of vertices, k: rank of hypergraph</t>
  </si>
  <si>
    <t>Constructs graph</t>
  </si>
  <si>
    <t>Kleitman–Wang Algorithm</t>
  </si>
  <si>
    <t>http://compalg.inf.elte.hu/~tony/Oktatas/TDK/FINAL/Chap%202.PDF</t>
  </si>
  <si>
    <t>Derived: Space complexity bounded by time complexity; keep track of a constant number of sets of size $O(n)$</t>
  </si>
  <si>
    <t>Makes use of (0,1) matrix properties, checks a property of the input values through the lens of an adjacency matrix</t>
  </si>
  <si>
    <t>Fulkerson–Chen–Anstee</t>
  </si>
  <si>
    <t>https://www.cambridge.org/core/journals/canadian-journal-of-mathematics/article/properties-of-a-class-of-01matrices-covering-a-given-matrix/9A3857D219511017536142BD7F132C91</t>
  </si>
  <si>
    <t>Derived: Checking an inequality that involves 3 summations, of max value $O(n^2)$ each (assuming max degree $\leq n$) which is $O(1)$ words in our Word RAM. We check this inequality for each $k = 1, \ldots, n$, but you can store the summations dynamically, so you only need to run $O(1)$ operations per iteration</t>
  </si>
  <si>
    <t>https://dl.acm.org/doi/pdf/10.1145/2783258.2783410?casa_token=u46OpjQb5b4AAAAA:7jdo-IEc4gQRd648rIJNa5WhQno8vQGGaHkDzTcu6FJ8K_BIraVU3kQ8qqqjUkO6zVLW71I7iI_VlA</t>
  </si>
  <si>
    <t>O(\exp(n))</t>
  </si>
  <si>
    <t>Berger &amp; Müller-Hannemann</t>
  </si>
  <si>
    <t>https://arxiv.org/abs/1203.3636</t>
  </si>
  <si>
    <t>Sorting based [Merge Sort]</t>
  </si>
  <si>
    <t>Derived: linear space for mergesort</t>
  </si>
  <si>
    <t>Sorting based [Merge Sort] + real-time elimination</t>
  </si>
  <si>
    <t>BST Algorithm</t>
  </si>
  <si>
    <t>Derived: Space required for the recursion stack space</t>
  </si>
  <si>
    <t>Selection sort using priority queue?</t>
  </si>
  <si>
    <t>Priority Queue Algorithm</t>
  </si>
  <si>
    <t>Derived: Auxiliary space needed for the priority queue</t>
  </si>
  <si>
    <t>Sorted Neighborhood Algorithm (SNA)</t>
  </si>
  <si>
    <t>https://link.springer.com/article/10.1023/A:1009761603038</t>
  </si>
  <si>
    <t>https://doi.org/10.1145/1255175.1255213</t>
  </si>
  <si>
    <t>Derived: store a key for each entry in the "Create Key" phase</t>
  </si>
  <si>
    <t>https://ieeexplore.ieee.org/document/5381140</t>
  </si>
  <si>
    <t>Duplicate Elimination Sorted Neighborhood Algorithm (DE-SNA)</t>
  </si>
  <si>
    <t>SVM string similarity</t>
  </si>
  <si>
    <t>Adaptive Duplicate Detection Algorithm (ADD)</t>
  </si>
  <si>
    <t>https://dl.acm.org/doi/10.1145/956750.956759</t>
  </si>
  <si>
    <t>Derived: For SVM, only need to store a constant number of support vectors</t>
  </si>
  <si>
    <t>Tridiagonal linear system</t>
  </si>
  <si>
    <t>O(n^3 log^2K)</t>
  </si>
  <si>
    <t>B.I. Kvasov</t>
  </si>
  <si>
    <t>https://link.springer.com/article/10.1134/S0965542508040039</t>
  </si>
  <si>
    <t>n: 6,
K: 2</t>
  </si>
  <si>
    <t>O(n^3 \log^2K)</t>
  </si>
  <si>
    <t>Derived: Tridiagonal matrices in the linear system only require O(n) space</t>
  </si>
  <si>
    <t>K=500</t>
  </si>
  <si>
    <t>O(n^5)</t>
  </si>
  <si>
    <t>V. A. Lyul’ka and A. V. Romanenko</t>
  </si>
  <si>
    <t>https://www.mathnet.ru/eng/zvmmf2544</t>
  </si>
  <si>
    <t>V. A. Lyul’ka and I. E. Mikhailov</t>
  </si>
  <si>
    <t>http://www.mathnet.ru/php/archive.phtml?wshow=paper&amp;jrnid=zvmmf&amp;paperid=943&amp;option_lang=eng</t>
  </si>
  <si>
    <t>O(n^5 logK)</t>
  </si>
  <si>
    <t>V. I. Paasonen</t>
  </si>
  <si>
    <t>n: 7,
K: 2</t>
  </si>
  <si>
    <t>O(n^5 \log K)</t>
  </si>
  <si>
    <t>Pentadiagonal linear system</t>
  </si>
  <si>
    <t>P. Costantini, B. I. Kvasov, and C. Manni</t>
  </si>
  <si>
    <t>https://link.springer.com/article/10.1023/A:1018988312596</t>
  </si>
  <si>
    <t>Derived: Pentadiagonal matrix in the linear system only requires O(n) space</t>
  </si>
  <si>
    <t>Discrete Generalized Splines</t>
  </si>
  <si>
    <t>B. I. Kvasov</t>
  </si>
  <si>
    <t>http://sutir.sut.ac.th:8080/sutir/bitstream/123456789/431/1/bib115.pdf</t>
  </si>
  <si>
    <t>O(n)??</t>
  </si>
  <si>
    <t>Requires computing the coefficients b_i and functions Phi(x) and Psi(x) as in equations 17 and 18</t>
  </si>
  <si>
    <t>ECK M.; DEROSE T.; DUCHAMP T.; 1995</t>
  </si>
  <si>
    <t>https://dl.acm.org/doi/10.1145/218380.218440</t>
  </si>
  <si>
    <t>FLOATER 1997</t>
  </si>
  <si>
    <t>http://www.cs.jhu.edu/~misha/Fall09/Floater97.pdf</t>
  </si>
  <si>
    <t>PINKALL U.; POLTHIER K 1993</t>
  </si>
  <si>
    <t>http://www.cs.jhu.edu/~misha/Fall09/Pinkall93.pdf</t>
  </si>
  <si>
    <t>FLOATER 2003</t>
  </si>
  <si>
    <t>https://www.ams.org/journals/mcom/2003-72-242/S0025-5718-02-01466-7/S0025-5718-02-01466-7.pdf</t>
  </si>
  <si>
    <t>O(n log^3n)</t>
  </si>
  <si>
    <t>LEE Y.; KIM H. S.; LEE S 2002</t>
  </si>
  <si>
    <t>https://www.sciencedirect.com/science/article/abs/pii/S0097849302001231</t>
  </si>
  <si>
    <t>n: 4.02</t>
  </si>
  <si>
    <t>O(n \log^3n)</t>
  </si>
  <si>
    <t>DESBRUN M.; MEYER M.; ALLIEZ P. 2002</t>
  </si>
  <si>
    <t>https://dl.acm.org/doi/10.1145/566654.566588</t>
  </si>
  <si>
    <t>O(n log^{2.5} n)</t>
  </si>
  <si>
    <t>LÉVY B.; PETITJEAN S.; RAY N.; MAILLOT J 2002</t>
  </si>
  <si>
    <t>https://members.loria.fr/Bruno.Levy/papers/LSCM_SIGGRAPH_2002.pdf</t>
  </si>
  <si>
    <t>n: 4.015</t>
  </si>
  <si>
    <t>O(n \log^{2.5} n)</t>
  </si>
  <si>
    <t>KARNI Z.; GOTSMAN C.; GORTLER S. J. 2005</t>
  </si>
  <si>
    <t>https://dash.harvard.edu/bitstream/handle/1/2634388/Gortler_FreeBoundary.pdf?sequence=2&amp;isAllowed=y</t>
  </si>
  <si>
    <t>HORMANN K.; GREINER G 1999</t>
  </si>
  <si>
    <t>https://www.semanticscholar.org/paper/MIPS%3A-An-Efficient-Global-Parametrization-Method-Hormann-Greiner/a2f7f69b37565eb2729b45a7d72c6aae2e4908b8</t>
  </si>
  <si>
    <t>SHEFFER A.; DE STURLER E. 2000</t>
  </si>
  <si>
    <t>https://link.springer.com/article/10.1007/PL00013391</t>
  </si>
  <si>
    <t>SHEFFER A.; LÉVY B.; MOGILNITSKY M.; BOGOMYAKOV A. 2005</t>
  </si>
  <si>
    <t>https://hal.inria.fr/inria-00105689/document</t>
  </si>
  <si>
    <t>ZAYER R.; LÉVY B.; SEIDEL H.-P. 2007</t>
  </si>
  <si>
    <t>https://dl.acm.org/doi/10.5555/1281991.1282010</t>
  </si>
  <si>
    <t>SANDER P. V.; SNYDER J.; GORTER S. J.; HOPPE 2001</t>
  </si>
  <si>
    <t>https://dl.acm.org/doi/pdf/10.1145/383259.383307</t>
  </si>
  <si>
    <t>YAN J. Q.; YANG X.; SHI P. F 2006</t>
  </si>
  <si>
    <t>ZAYER R.; ROESSL C.; SEIDEL H.-P 2005</t>
  </si>
  <si>
    <t>http://citeseerx.ist.psu.edu/viewdoc/download?doi=10.1.1.226.1150&amp;rep=rep1&amp;type=pdf</t>
  </si>
  <si>
    <t>YOSHIZAWA S.; BELYAEV A. G.; SEIDEL H.-P 2004</t>
  </si>
  <si>
    <t>https://www.researchgate.net/profile/Alexander_Belyaev5/publication/47861414_A_fast_and_simple_stretch-minimizing_mesh_parameterization/links/5b962a6292851c78c40c0c3f/A-fast-and-simple-stretch-minimizing-mesh-parameterization.pdf</t>
  </si>
  <si>
    <t>CHEN Z. G.; LIU L. G.; ZHANG Z. Y.; WANG G. J. 2007</t>
  </si>
  <si>
    <t>O(nloglogn)</t>
  </si>
  <si>
    <t>YANG Y.; KIM J.; LUO F.; HU S.; GU X. 2008</t>
  </si>
  <si>
    <t>O(n \log\log n)</t>
  </si>
  <si>
    <t>O(n log^2n)</t>
  </si>
  <si>
    <t>BEN-CHEN M.; GOTSMAN C.; BUNIN G. 2008</t>
  </si>
  <si>
    <t>http://www.cs.technion.ac.il/~gotsman/AmendedPubl/Miri/EG08_Conf.pdf</t>
  </si>
  <si>
    <t>O(n \log^2n)</t>
  </si>
  <si>
    <t>SPRINGBORN B.; SCHROEDER P.; PINKALL U. 2008</t>
  </si>
  <si>
    <t>https://dl.acm.org/doi/10.1145/1399504.1360676</t>
  </si>
  <si>
    <t>Expectation-Maximization (EM) algorithm</t>
  </si>
  <si>
    <t>EM with Quasi-Newton Methods (Jamshidian; Mortaza; Jennrich; Robert I.)</t>
  </si>
  <si>
    <t>https://rss.onlinelibrary.wiley.com/doi/abs/10.1111/1467-9868.00083</t>
  </si>
  <si>
    <t>O(n^2 \log^3 n)</t>
  </si>
  <si>
    <t>Stores current theta and Hessian matrix guess, which is updated each iteration. Also assumes description of log-likelihood takes O(n+r) auxiliary space.</t>
  </si>
  <si>
    <t>Parameter-expanded expectation maximization (PX-EM)</t>
  </si>
  <si>
    <t>http://www.stat.ucla.edu/~ywu/research/papers/PXEM.pdf</t>
  </si>
  <si>
    <t>https://academic.oup.com/biomet/article-abstract/80/2/267/251605?redirectedFrom=fulltext</t>
  </si>
  <si>
    <t>Expectation conditional maximization either (ECME) (Liu; Chuanhai; Rubin; Donald B)</t>
  </si>
  <si>
    <t>https://www.jstor.org/stable/2337067</t>
  </si>
  <si>
    <t>α-EM Algorithm</t>
  </si>
  <si>
    <t>https://waseda.pure.elsevier.com/en/publications/the-%CE%B1-em-algorithm-surrogate-likelihood-maximization-using-%CE%B1-loga</t>
  </si>
  <si>
    <t>Maximum Likelihood Methods in Unknown Latent Variables; multi-view model, discrete observations</t>
  </si>
  <si>
    <t>Shaban; Amirreza; Mehrdad; Farajtabar</t>
  </si>
  <si>
    <t>https://faculty.cc.gatech.edu/~bboots3/files/SpectralExteriorPoint-NIPSWorkshop.pdf</t>
  </si>
  <si>
    <t>n: number of observations in sample
k: number of distributions in "mixture" (n_s)
d: dimensions of parameter for each discrete distribution (n_o)</t>
  </si>
  <si>
    <t>k: 3,
d: 6,
n: 1</t>
  </si>
  <si>
    <t>O(kd+d^3)??</t>
  </si>
  <si>
    <t>vector of parameters has size at least Theta(kd), and tensor M has size at least Theta(d^3) in paper</t>
  </si>
  <si>
    <t>Maximum Likelihood Methods in Unknown Latent Variables, Hidden Markov Models</t>
  </si>
  <si>
    <t>alpha-HMM (Matsuyama, Yasuo)</t>
  </si>
  <si>
    <t>https://ieeexplore.ieee.org/abstract/document/7895145</t>
  </si>
  <si>
    <t>Steps are the same regardless of input</t>
  </si>
  <si>
    <t>LU Matrix Decomposition</t>
  </si>
  <si>
    <t>Computes and stores (intermediate steps of) factorization</t>
  </si>
  <si>
    <t>QR Matrix Decomposition</t>
  </si>
  <si>
    <t>Cholesky Decomposition</t>
  </si>
  <si>
    <t>Kalman Filter</t>
  </si>
  <si>
    <t>Generally works with a constant number of O(n)*O(n)-sized matrices per iteration</t>
  </si>
  <si>
    <t>Particle filter Del Moral</t>
  </si>
  <si>
    <t>n: number of dimensions in state space
N: number of particles used</t>
  </si>
  <si>
    <t>O(nN)?</t>
  </si>
  <si>
    <t>Works with O(N) number of O(n)-sized vectors (containing information about particles) each iteration</t>
  </si>
  <si>
    <t>Stratonovich</t>
  </si>
  <si>
    <t>Kushner non-linear filter</t>
  </si>
  <si>
    <t>https://ieeexplore.ieee.org/document/1098671</t>
  </si>
  <si>
    <t>Generally works with a constant number of non-linear transformations; assumes that the description of the non-linear transformations is O(n^2)</t>
  </si>
  <si>
    <t>Zakai</t>
  </si>
  <si>
    <t>https://link.springer.com/article/10.1007/BF00536382</t>
  </si>
  <si>
    <t>Maybeck; Peter S Extended Kalman Filter</t>
  </si>
  <si>
    <t>O(n^{2.45} logn)</t>
  </si>
  <si>
    <t>Damiano Brigo; Bernard Hanzon and François LeGland</t>
  </si>
  <si>
    <t>https://ieeexplore.ieee.org/abstract/document/661075</t>
  </si>
  <si>
    <t>n: 5.46</t>
  </si>
  <si>
    <t>O(n^{2.45} \log n)</t>
  </si>
  <si>
    <t>Del Moral; Pierre</t>
  </si>
  <si>
    <t>https://projecteuclid.org/journals/annals-of-applied-probability/volume-8/issue-2/Measure-valued-processes-and-interacting-particle-systems-Application-to-nonlinear/10.1214/aoap/1028903535.full</t>
  </si>
  <si>
    <t>Ocone</t>
  </si>
  <si>
    <t>https://link.springer.com/chapter/10.1007/978-1-4612-1784-8_28</t>
  </si>
  <si>
    <t>Bellman Value Iteration (VI)</t>
  </si>
  <si>
    <t>https://www.jstor.org/stable/24900506</t>
  </si>
  <si>
    <t>Only needs to store values (V) and policy (pi), both size O(n)</t>
  </si>
  <si>
    <t>Howard Policy Iteration (PI)</t>
  </si>
  <si>
    <t>http://web.mit.edu/dimitrib/www/dpchapter.pdf</t>
  </si>
  <si>
    <t>Puterman Modified Policy Iteration (MPI)</t>
  </si>
  <si>
    <t>Unweighted Set-Covering; Weighted Set-Covering</t>
  </si>
  <si>
    <t>Integer linear program Vazirani</t>
  </si>
  <si>
    <t>https://link.springer.com/chapter/10.1007/978-3-662-04565-7_13</t>
  </si>
  <si>
    <t>n: number of sets, U: size of universe</t>
  </si>
  <si>
    <t>U: 3,
n: 1</t>
  </si>
  <si>
    <t>O(U)</t>
  </si>
  <si>
    <t>\log n</t>
  </si>
  <si>
    <t>Greedy Algorithm</t>
  </si>
  <si>
    <t>https://dl.acm.org/doi/10.1145/237814.237991</t>
  </si>
  <si>
    <t>\ln(n) - \ln(\ln(n)) + \Theta(1)</t>
  </si>
  <si>
    <t>Lund &amp; Yannakakis</t>
  </si>
  <si>
    <t>https://doi.org/10.1145%2F185675.306789</t>
  </si>
  <si>
    <t>Feige</t>
  </si>
  <si>
    <t>https://courses.cs.duke.edu/spring07/cps296.2/papers/p634-feige.pdf</t>
  </si>
  <si>
    <t>O(n^3 log^3 n)</t>
  </si>
  <si>
    <t>Raz &amp; Safra</t>
  </si>
  <si>
    <t>https://dl.acm.org/doi/10.1145/258533.258641</t>
  </si>
  <si>
    <t>n: 6.03</t>
  </si>
  <si>
    <t>O(n^3 \log^3 n)</t>
  </si>
  <si>
    <t>O(n^2logn)</t>
  </si>
  <si>
    <t>Dinur &amp; Steurer</t>
  </si>
  <si>
    <t>https://www.dsteurer.org/paper/productgames.pdf</t>
  </si>
  <si>
    <t>Cardoso; Nuno; Abreu; Rui</t>
  </si>
  <si>
    <t>https://www.semanticscholar.org/paper/An-efficient-distributed-algorithm-for-computing-Cardoso-Abreu/ce32696c1176800c5b90fab026bf93f282e2b161</t>
  </si>
  <si>
    <t>O(U 2^n)</t>
  </si>
  <si>
    <t>n: 8,
U: 3</t>
  </si>
  <si>
    <t>n: number of sets
U: size of universe</t>
  </si>
  <si>
    <t>Uses oligonucleotides? Also only detects "short" motifs, and used for yeast</t>
  </si>
  <si>
    <t>Helden Oligo-Analysis</t>
  </si>
  <si>
    <t>https://www.ncbi.nlm.nih.gov/pubmed/9719638</t>
  </si>
  <si>
    <t>m: 3,
mn: 2.5</t>
  </si>
  <si>
    <t>Derived: store number of occurances for each motif of a specified length</t>
  </si>
  <si>
    <t>https://bmcbioinformatics.biomedcentral.com/articles/10.1186/1471-2105-8-S7-S21#MOESM1
https://www.ncbi.nlm.nih.gov/pmc/articles/PMC6490410/table/T1/?report=objectonly</t>
  </si>
  <si>
    <t>Dyad analysis</t>
  </si>
  <si>
    <t>van Helden J; Rios AF; Collado-Vides J</t>
  </si>
  <si>
    <t>https://www.ncbi.nlm.nih.gov/pmc/articles/PMC102821/</t>
  </si>
  <si>
    <t>https://bmcbioinformatics.biomedcentral.com/articles/10.1186/1471-2105-8-S7-S21#MOESM2</t>
  </si>
  <si>
    <t>Tompa M</t>
  </si>
  <si>
    <t>https://www.aaai.org/Papers/ISMB/1999/ISMB99-030.pdf</t>
  </si>
  <si>
    <t>m: 5,
mn: 3</t>
  </si>
  <si>
    <t>O(m^2)</t>
  </si>
  <si>
    <t>Requires considering an $O(m^2)*O(m^2)$ matrix with $O(m^2)$ nonzero entries, based on a DFA with $O(m^2)$ states</t>
  </si>
  <si>
    <t>https://bmcbioinformatics.biomedcentral.com/articles/10.1186/1471-2105-8-S7-S21#MOESM3</t>
  </si>
  <si>
    <t>O(n^{0.66} m)</t>
  </si>
  <si>
    <t>Sinha S; Tompa M YMF (Yeast Motif Finder)</t>
  </si>
  <si>
    <t>https://www.ncbi.nlm.nih.gov/pubmed/10977095</t>
  </si>
  <si>
    <t>n: 2.66,
m: 3,
mn: 2.83</t>
  </si>
  <si>
    <t>https://bmcbioinformatics.biomedcentral.com/articles/10.1186/1471-2105-8-S7-S21#MOESM4</t>
  </si>
  <si>
    <t>O(n^2m^2)</t>
  </si>
  <si>
    <t>Bailey TL; Elkan C MEME</t>
  </si>
  <si>
    <t>https://link.springer.com/article/10.1007/BF00993379</t>
  </si>
  <si>
    <t>m: 5,
n: 5,
mn: 5</t>
  </si>
  <si>
    <t>Uses iterations of the EM algorithm as in (Lawrence, Reilly 1990), and thus uses similar amounts of space</t>
  </si>
  <si>
    <t>O(n logn m^{1.45})</t>
  </si>
  <si>
    <t>Sagot M</t>
  </si>
  <si>
    <t>n: 4,
m: 4.45,
mn: 4.225</t>
  </si>
  <si>
    <t>O(n \log(n) m^{1.45})</t>
  </si>
  <si>
    <t>n: number of sequences
m: length of sequences
w: size of word machine</t>
  </si>
  <si>
    <t>n: 5,
m: 3,
mn: 4.5</t>
  </si>
  <si>
    <t>https://bmcbioinformatics.biomedcentral.com/articles/10.1186/1471-2105-8-S7-S21#MOESM7</t>
  </si>
  <si>
    <t>O(nm^{0.5})</t>
  </si>
  <si>
    <t>Liang Cwinnower</t>
  </si>
  <si>
    <t>https://www.worldscientific.com/doi/10.1142/S0219720004000466</t>
  </si>
  <si>
    <t>n: 3,
m: 2.5,
mn: 2.75</t>
  </si>
  <si>
    <t>Considers a graph on $O(m)$ nodes and $O(m^2)$ edges</t>
  </si>
  <si>
    <t>https://bmcbioinformatics.biomedcentral.com/articles/10.1186/1471-2105-8-S7-S21#MOESM9</t>
  </si>
  <si>
    <t>Kingsford</t>
  </si>
  <si>
    <t>https://link.springer.com/chapter/10.1007/11780441_22</t>
  </si>
  <si>
    <t>m: 3,
n: 3,
mn: 3</t>
  </si>
  <si>
    <t>n: 5,
m: 5,
mn: 5</t>
  </si>
  <si>
    <t>O(m^2n^2)</t>
  </si>
  <si>
    <t>Creates an ILP with $O(m^2n^2)$ variables and $O(n^2m)$ constraints, each involving $O(m)$ variables</t>
  </si>
  <si>
    <t>http://rosalind.info/problems/ba3m/</t>
  </si>
  <si>
    <t>For each vertex, store whether that vertex is a 1-in-1-out vertex (all of these can be pre-computed at the same time in $O(m)$ time). Unclear if there's a better bound</t>
  </si>
  <si>
    <t>O(m^2 n )</t>
  </si>
  <si>
    <t>The INDEGREE Algorithm</t>
  </si>
  <si>
    <t>https://www.w3.org/People/Massimo/papers/quest_hypersearch.pdf</t>
  </si>
  <si>
    <t>m: 3,
n: 6</t>
  </si>
  <si>
    <t>n: number of pages
m: number of hyperlinks?</t>
  </si>
  <si>
    <t>Must maintain a list of visited nodes to eliminate duplication.</t>
  </si>
  <si>
    <t>O(m n )</t>
  </si>
  <si>
    <t>The PAGERANK Algorithm</t>
  </si>
  <si>
    <t>Stores and updates an O(n)-sized vector designed to converge to some sort of stationary distribution</t>
  </si>
  <si>
    <t>The (Hyperlink-Induced Topic Search) HITS Algorithm</t>
  </si>
  <si>
    <t>https://dl.acm.org/doi/pdf/10.1145/324133.324140</t>
  </si>
  <si>
    <t>n: number of pages
m: number of hyperlinks?
k: number of iterations</t>
  </si>
  <si>
    <t>Stores and updates hub and authority values per node</t>
  </si>
  <si>
    <t>https://en.wikipedia.org/wiki/HITS_algorithm#Algorithm</t>
  </si>
  <si>
    <t>Kleinberg</t>
  </si>
  <si>
    <t>https://citeseerx.ist.psu.edu/viewdoc/download?doi=10.1.1.585.7341&amp;rep=rep1&amp;type=pdf</t>
  </si>
  <si>
    <t>m: 5,
n: 7</t>
  </si>
  <si>
    <t>The (Stochastic Approach for Link Structure Analysis) SALSA Algorithm</t>
  </si>
  <si>
    <t>https://dl.acm.org/doi/abs/10.1145/382979.383041</t>
  </si>
  <si>
    <t>Stores and updates two O(n)-sized vectors (corresponding to 2 random walks) designed to converge to some sort of stationary distribution</t>
  </si>
  <si>
    <t>O(m nlogn )</t>
  </si>
  <si>
    <t>Randomized HITS</t>
  </si>
  <si>
    <t>https://dl.acm.org/doi/pdf/10.1145/383952.384003</t>
  </si>
  <si>
    <t>m: 3,
n: 6.01</t>
  </si>
  <si>
    <t>O(m n\log n )</t>
  </si>
  <si>
    <t>PHITS Coheng Chan</t>
  </si>
  <si>
    <t>http://web.cse.msu.edu/~cse960/Papers/LinkAnalysis/phits.pdf</t>
  </si>
  <si>
    <t>n: number of pages
m: number of hyperlinks?
z: # of topics/categories</t>
  </si>
  <si>
    <t>n: 3,
z: 3</t>
  </si>
  <si>
    <t>O(nz)?</t>
  </si>
  <si>
    <t>Needs to store P(z), P(d|z), and P(c|z) after each EM iteration (algorithm can be smart about intermediate calculations as to not use more than O(nz) space)</t>
  </si>
  <si>
    <t>PageRank with categories/topics</t>
  </si>
  <si>
    <t>Haveliwala</t>
  </si>
  <si>
    <t>http://www-cs-students.stanford.edu/~taherh/papers/topic-sensitive-pagerank.pdf</t>
  </si>
  <si>
    <t>Stores and updates z O(n)-sized vectors designed to converge to some stationary distributions</t>
  </si>
  <si>
    <t>Personalized PageRank with hubs</t>
  </si>
  <si>
    <t>Jeh and Widom</t>
  </si>
  <si>
    <t>http://infolab.stanford.edu/~glenj/spws.pdf</t>
  </si>
  <si>
    <t>n: number of pages
m: number of hyperlinks?
h: number of "hub" pages</t>
  </si>
  <si>
    <t>Stores and updates z O(n)-sized vectors designed to converge to some basis vectors</t>
  </si>
  <si>
    <t>Query-dependent PageRank</t>
  </si>
  <si>
    <t xml:space="preserve"> Richardson and Domingos</t>
  </si>
  <si>
    <t>https://homes.cs.washington.edu/~pedrod/papers/nips01b.pdf</t>
  </si>
  <si>
    <t>n: number of pages
m: number of hyperlinks?
l: number of words in lexicon</t>
  </si>
  <si>
    <t>n: 3,
l: 3</t>
  </si>
  <si>
    <t>O(nl)</t>
  </si>
  <si>
    <t>See paper (noting that sum d_q can be as high as O(nl))</t>
  </si>
  <si>
    <t>Tomlin</t>
  </si>
  <si>
    <t>https://dl.acm.org/doi/10.1145/775152.775202</t>
  </si>
  <si>
    <t>n: number of pages
m: number of operations per page?</t>
  </si>
  <si>
    <t>Generally computes O(n) values per iteration (row + column sums and their ratios); algorithm can be smart about intermediate calculations as to not use more space asymptotically</t>
  </si>
  <si>
    <t>O(mn )</t>
  </si>
  <si>
    <t>Achlioptas</t>
  </si>
  <si>
    <t>https://homes.cs.washington.edu/~karlin/papers/web-search.pdf</t>
  </si>
  <si>
    <t>n: number of pages
m: number of operations per page?
l: number of words in lexicon</t>
  </si>
  <si>
    <t>n: 5,
l: 5</t>
  </si>
  <si>
    <t>O((n+l)^2)?</t>
  </si>
  <si>
    <t>Computes a constant number of SVDs of O((n+l)^2)-sized matrices</t>
  </si>
  <si>
    <t>Leases (Cary G Gray and David R Cheriton)</t>
  </si>
  <si>
    <t>https://web.stanford.edu/class/cs240/readings/89-leases.pdf</t>
  </si>
  <si>
    <t>n: number of clients?
f: number of files?</t>
  </si>
  <si>
    <t>n: 1,
f: 3</t>
  </si>
  <si>
    <t>O(f)?</t>
  </si>
  <si>
    <t>Generally need to keep track of one lease/lock per file (exclusivity)</t>
  </si>
  <si>
    <t>(see below)</t>
  </si>
  <si>
    <t>Chubby (Mike Burrows)</t>
  </si>
  <si>
    <t>https://dl.acm.org/doi/10.5555/1298455.1298487</t>
  </si>
  <si>
    <t>Generally need to keep track of one lock per file (exclusivity)</t>
  </si>
  <si>
    <r>
      <rPr>
        <rFont val="Arial"/>
        <color rgb="FF1155CC"/>
        <u/>
      </rPr>
      <t>https://martin.kleppmann.com/2016/02/08/how-to-do-distributed-locking.html</t>
    </r>
    <r>
      <rPr>
        <rFont val="Arial"/>
      </rPr>
      <t xml:space="preserve">
</t>
    </r>
    <r>
      <rPr>
        <rFont val="Arial"/>
        <color rgb="FF1155CC"/>
        <u/>
      </rPr>
      <t>https://redis.io/topics/distlock
https://medium.com/coinmonks/chubby-a-centralized-lock-service-for-distributed-applications-390571273052</t>
    </r>
  </si>
  <si>
    <t>Tushar Deepak Chandra and Sam Toueg</t>
  </si>
  <si>
    <t>https://www.cs.utexas.edu/~lorenzo/corsi/cs380d/papers/p225-chandra.pdf</t>
  </si>
  <si>
    <t>2^{(O(n))}</t>
  </si>
  <si>
    <t>$2^{O(n)}$</t>
  </si>
  <si>
    <t>n: size of peptide, in daltons
m: number of elements in experimental spectrum</t>
  </si>
  <si>
    <t>Keeps track of current amino acid sequence being checked</t>
  </si>
  <si>
    <t>https://averyparkinson23.medium.com/sequencing-antibiotics-using-bioinformatics-2af1373ee009</t>
  </si>
  <si>
    <t>Improvement on brute force (despite not doing better asymptotically)</t>
  </si>
  <si>
    <t>Branch and bound</t>
  </si>
  <si>
    <t>$O(2^{O(n)})$</t>
  </si>
  <si>
    <t>Keeps track of all possible not fully expanded amino acid sequences so far</t>
  </si>
  <si>
    <t>https://github.com/xuwd11/Coursera-Bioinformatics/blob/master/23_04_CyclopeptideSequencing.py</t>
  </si>
  <si>
    <t>Ray casting algorithm Shimrat; M</t>
  </si>
  <si>
    <t>https://dl.acm.org/doi/pdf/10.1145/368637.368653</t>
  </si>
  <si>
    <t>n: number of edges of polygon</t>
  </si>
  <si>
    <t>Only need to keep track of ray direction and how many polygon sides intersect with the ray</t>
  </si>
  <si>
    <t>O(a)</t>
  </si>
  <si>
    <t>Nordbeck and Rystedt (Grid Method)</t>
  </si>
  <si>
    <t>https://doi.org/10.1007/BF01934125</t>
  </si>
  <si>
    <t>Salomon (Swath Method)</t>
  </si>
  <si>
    <t>https://doi.org/10.1016/0098-3004(78)90085-7</t>
  </si>
  <si>
    <t>O(n\log n)</t>
  </si>
  <si>
    <t>Nordbeck and Rystedt (Sum of area)</t>
  </si>
  <si>
    <t>Only need to keep track of current triangle and total area sum</t>
  </si>
  <si>
    <t>Preparata and Shamos (Wedge)</t>
  </si>
  <si>
    <t>http://www.cs.kent.edu/~dragan/CG/CG-Book.pdf</t>
  </si>
  <si>
    <t>Saalfeld (Sign of offset)</t>
  </si>
  <si>
    <t>https://doi.org/10.1080/02693798708927823</t>
  </si>
  <si>
    <t>Only need to keep track of current sides (2) being looked at</t>
  </si>
  <si>
    <t>Preparata and Shamos (Intersection sum of angle)</t>
  </si>
  <si>
    <t>Only need to keep track of current angle and cumulative angle sum</t>
  </si>
  <si>
    <t>Nordbeck and Rystedt (Orientation)</t>
  </si>
  <si>
    <t>Only need to keep track of current side being looked at</t>
  </si>
  <si>
    <t>ASP</t>
  </si>
  <si>
    <t>https://ieeexplore.ieee.org/document/1281624</t>
  </si>
  <si>
    <t>n: number of nodes in network</t>
  </si>
  <si>
    <t>Word/Real RAM (per node)</t>
  </si>
  <si>
    <t>O(n) (per node)</t>
  </si>
  <si>
    <t>Each node needs to keep track of O(1) information about itself, and O(1) information per neighbor for synchronization purposes</t>
  </si>
  <si>
    <t>Clock-sampling mutual network synchronization</t>
  </si>
  <si>
    <t>https://www.researchgate.net/publication/224306349_Clock-Sampling_Mutual_Network_Synchronization_for_Mobile_Multi-hop_Wireless_Ad_Hoc_Networks</t>
  </si>
  <si>
    <t>O(1)? (per node)</t>
  </si>
  <si>
    <t>Only needs to keep track of multiplicative correction $s$, its own clocks, and possibly O(1) other info</t>
  </si>
  <si>
    <t>MATSF</t>
  </si>
  <si>
    <t>https://ieeexplore.ieee.org/document/4359404</t>
  </si>
  <si>
    <t>O(n)? (per node)</t>
  </si>
  <si>
    <t>$O(f_{bin}(\sigma-1, n, d))$ where $f_{bin}(x, y, z) = sum_{i=0}^z C(y, i)*x^i$</t>
  </si>
  <si>
    <t>(output is of that size)</t>
  </si>
  <si>
    <t>Iterative naive</t>
  </si>
  <si>
    <t>http://rosalind.info/problems/ba1n/</t>
  </si>
  <si>
    <t>O(f_{bin}(sigma-1, n, d)) where f_{bin}(x, y, z) = sum_{i=0}^z C(y, i)*x^i</t>
  </si>
  <si>
    <t>n: length of string
d: neighborhood distance threshold
sigma: size of alphabet</t>
  </si>
  <si>
    <t>Keep track of which indices the differing letters are on, along with which set of letters are replacing the letters in these indices</t>
  </si>
  <si>
    <t>Hadlock</t>
  </si>
  <si>
    <t>Maximum Cut, Approximate</t>
  </si>
  <si>
    <t>Motwani &amp; Raghavan</t>
  </si>
  <si>
    <t>https://rajsain.files.wordpress.com/2013/11/randomized-algorithms-motwani-and-raghavan.pdf</t>
  </si>
  <si>
    <t>Keeps track of current coloring/random assignment</t>
  </si>
  <si>
    <t>Mitzenmacher &amp; Upfal</t>
  </si>
  <si>
    <t>http://lib.ysu.am/open_books/413311.pdf</t>
  </si>
  <si>
    <t>Keeps track of current coloring/assignment</t>
  </si>
  <si>
    <t>Khuller; Raghavachari &amp; Young, "Greedy Methods"</t>
  </si>
  <si>
    <t>https://doc.lagout.org/science/0_Computer%20Science/2_Algorithms/Handbook%20of%20Approximation%20Algorithms%20and%20Metaheuristics%20%5BGonzalez%202007-01-05%5D.pdf</t>
  </si>
  <si>
    <t>O(V^3 logE)</t>
  </si>
  <si>
    <t>Ausiello et al.</t>
  </si>
  <si>
    <t>https://link.springer.com/content/pdf/10.1007/978-3-642-58412-1.pdf?pdf=button</t>
  </si>
  <si>
    <t>O(n^3 \log m)</t>
  </si>
  <si>
    <t>Each vertex keeps track of O(V)-sized vector. assuming this is the goemans-williamson algorithm</t>
  </si>
  <si>
    <t>~0.878; assuming this is the goemans-williamson algorithm</t>
  </si>
  <si>
    <t>Dunning; Gupta &amp; Silberholz</t>
  </si>
  <si>
    <t>https://pubsonline.informs.org/doi/epdf/10.1287/ijoc.2017.0798</t>
  </si>
  <si>
    <t>https://pubsonline.informs.org/doi/pdf/10.1287/ijoc.2017.0798</t>
  </si>
  <si>
    <t>Minimum Wiener Connector problem</t>
  </si>
  <si>
    <t>O(q(m*log(n)+n*log^2(n)))</t>
  </si>
  <si>
    <t>Ruchansky</t>
  </si>
  <si>
    <t>https://arxiv.org/abs/1504.00513</t>
  </si>
  <si>
    <t>https://arxiv.org/pdf/1504.00513.pdf</t>
  </si>
  <si>
    <t>n: number of vertices
m: number of edges
q: number of query vertices</t>
  </si>
  <si>
    <t>n: 5,
q: 3,
m: 4</t>
  </si>
  <si>
    <t>O(q(m+n*log(n))?</t>
  </si>
  <si>
    <t>Keeps track of $O(qm)$ shortest-path distances and $O(q*log(n))$ approximate Steiner trees, each of size $O(n)$</t>
  </si>
  <si>
    <t>https://en.wikipedia.org/wiki/Wiener_connector</t>
  </si>
  <si>
    <t>O(n^5L^2 (log(n)^2 + L^2))</t>
  </si>
  <si>
    <t>Bareiss algorithm</t>
  </si>
  <si>
    <t>n: 7,
L: 7,
n^2: 5.52</t>
  </si>
  <si>
    <t>O(n^5 L^2 (\log(n)^2 + L^2))</t>
  </si>
  <si>
    <t>n: dimension of matrix
L: maximum length (in bits) of any entry</t>
  </si>
  <si>
    <t>Word RAM? (without O(1) multiplication)</t>
  </si>
  <si>
    <t>n: 6,
L: 3,
n^2: 4.51</t>
  </si>
  <si>
    <t>O(n^2(n*log(n)+nL))</t>
  </si>
  <si>
    <t>Keeps track of $O(n^2)$ entries that have absolute value at most $O(n^{(n/2)}2^{(nL)})$</t>
  </si>
  <si>
    <t>https://en.wikipedia.org/wiki/Bareiss_algorithm</t>
  </si>
  <si>
    <t>O(n^4L(log(n) + L)log(log(n) + L))</t>
  </si>
  <si>
    <t>Bareiss algorithm with fast multiplication</t>
  </si>
  <si>
    <t>n: 7,
L: 5.01,
n^2: 5.011</t>
  </si>
  <si>
    <t>O(n^4 L (\log(n) + L) \log(\log(n) + L))</t>
  </si>
  <si>
    <t>Ferguson–Forcade algorithm</t>
  </si>
  <si>
    <t>https://www.ams.org/journals/bull/1979-01-06/S0273-0979-1979-14691-3/S0273-0979-1979-14691-3.pdf</t>
  </si>
  <si>
    <t>n: number of real numbers to find integer relation for</t>
  </si>
  <si>
    <t>Derived: Uses auxiliary $n\times n$ matrices</t>
  </si>
  <si>
    <t>Lattice-based</t>
  </si>
  <si>
    <t>LLL algorithm</t>
  </si>
  <si>
    <t>https://www.math.leidenuniv.nl/~hwl/PUBLICATIONS/1982f/art.pdf</t>
  </si>
  <si>
    <t>Derived: Uses n auxiliary vectors each of length n, as well as an nxn matrix</t>
  </si>
  <si>
    <t>Partial Sum of Squares</t>
  </si>
  <si>
    <t>PSOS algorithm</t>
  </si>
  <si>
    <t>https://www.ams.org/journals/mcom/1989-53-188/S0025-5718-1989-0979934-9/S0025-5718-1989-0979934-9.pdf</t>
  </si>
  <si>
    <t>Derived: Uses multiple nxn auxiliary matrices</t>
  </si>
  <si>
    <t>Partial Sum of Squares using QR decomposition</t>
  </si>
  <si>
    <t>PSLQ algorithm</t>
  </si>
  <si>
    <t>https://www.ams.org/journals/mcom/1999-68-225/S0025-5718-99-00995-3/S0025-5718-99-00995-3.pdf</t>
  </si>
  <si>
    <t>O(m(|V | log |V | + |E|))</t>
  </si>
  <si>
    <t>Amir et al.</t>
  </si>
  <si>
    <t>https://link.springer.com/chapter/10.1007/3-540-63307-3_56</t>
  </si>
  <si>
    <t>https://reader.elsevier.com/reader/sd/pii/S0196677499910635?token=B149D19F22DC42C8DCC1DFAA76A22B88E61FC2018BF3ED1937F7C5951F9BD810C4726C3153D36F697AE499721F3422A1</t>
  </si>
  <si>
    <t>V: 6,
E: 3,
m: 3,
N: 6</t>
  </si>
  <si>
    <t>O(m(n \log m + E))</t>
  </si>
  <si>
    <t>V: number of vertices in original hypertext graph
E: number of edges in original hypertext graph
m: length of pattern
n: number of vertices in converted graph (total text size)
e: number of edges in converted graph</t>
  </si>
  <si>
    <t>m: 3,
n: 6,
N: 6</t>
  </si>
  <si>
    <t>https://www.sciencedirect.com/science/article/pii/S0304397599003333</t>
  </si>
  <si>
    <t>https://www.biorxiv.org/content/10.1101/522912v1.full.pdf</t>
  </si>
  <si>
    <t>V:E
2:3
m = 300</t>
  </si>
  <si>
    <t xml:space="preserve">O(m(|V | + |E|)) </t>
  </si>
  <si>
    <t>Navarro</t>
  </si>
  <si>
    <t>https://reader.elsevier.com/reader/sd/pii/S0304397599003333?token=C0E6BDF7BA98CD5C338EDB86675CB3A29AF44F5B046E169EE0F115788255757C815F0F0307EAF080CDF9A9DE7AA37764</t>
  </si>
  <si>
    <t>V: 5,
E: 3,
m: 3,
N: 5</t>
  </si>
  <si>
    <t xml:space="preserve">O(n(V + E)) </t>
  </si>
  <si>
    <t>total text size $n$, vertices $V$, edges $E$</t>
  </si>
  <si>
    <t>V: 3,
N: 3</t>
  </si>
  <si>
    <t>O(m(|V | log(m|V |) + |E|))</t>
  </si>
  <si>
    <t>HybridSpades</t>
  </si>
  <si>
    <t>https://www.ncbi.nlm.nih.gov/pubmed/26589280</t>
  </si>
  <si>
    <t>V: 7,
E: 3,
m: 4,
N: 7</t>
  </si>
  <si>
    <t>O(m(V \log(mV) + E))</t>
  </si>
  <si>
    <t>string length $m$, vertices V, edges E</t>
  </si>
  <si>
    <t>m: 3,
V: 7,
E: 3,
N: 7</t>
  </si>
  <si>
    <t>O(m*(V+E))</t>
  </si>
  <si>
    <t xml:space="preserve">O(mVE) </t>
  </si>
  <si>
    <t>V-ALIGN</t>
  </si>
  <si>
    <t>https://www.biorxiv.org/content/10.1101/124941v1.full</t>
  </si>
  <si>
    <t>m: length of input sequence
V: number of vertices
E: number of edges</t>
  </si>
  <si>
    <t>V: 3,
m: 3,
N: 3</t>
  </si>
  <si>
    <t>O(mV)</t>
  </si>
  <si>
    <t>O(V+ mE)</t>
  </si>
  <si>
    <t>Rautiainen and Marschall</t>
  </si>
  <si>
    <t>https://www.biorxiv.org/content/10.1101/216127v1</t>
  </si>
  <si>
    <t>V: 3,
m: 2.5,
N: 3</t>
  </si>
  <si>
    <t>$O(\sqrt(m)V)$</t>
  </si>
  <si>
    <t>Jain, Chang</t>
  </si>
  <si>
    <t>O(V + mE)</t>
  </si>
  <si>
    <t>Rautiainen, Marschall</t>
  </si>
  <si>
    <t>https://www.ncbi.nlm.nih.gov/pubmed/30851095</t>
  </si>
  <si>
    <t>Derived: algorithm uses a V-sized array of bitvectors each of which is of length m, and also uses a priority queue which has at most V elements. The precomputed pattern bitvectors also takes up O(V * m) space.</t>
  </si>
  <si>
    <t>Trial Multiplication</t>
  </si>
  <si>
    <t>n: number of digits/bits in the order of the finite group</t>
  </si>
  <si>
    <t>Derived: Each power $k$ that you try in the brute force search is size $O(\log n)$, which is $O(1)$ when considering $O(\log n)$ size words. Only need to keep track of one at a time.</t>
  </si>
  <si>
    <t>https://en.wikipedia.org/wiki/Discrete_logarithm#Algorithms</t>
  </si>
  <si>
    <t>O(2^{\sqrt{n}})</t>
  </si>
  <si>
    <t>Baby-step Giant-step</t>
  </si>
  <si>
    <t>https://doi.org/10.1090/pspum/020</t>
  </si>
  <si>
    <t>$O(2^{\sqrt{n}})$</t>
  </si>
  <si>
    <t>Derived: Uses a hash table of this size</t>
  </si>
  <si>
    <t>https://en.wikipedia.org/wiki/Baby-step_giant-step</t>
  </si>
  <si>
    <t>Function Field Sieve (FFS)</t>
  </si>
  <si>
    <t>https://www.sciencedirect.com/science/article/pii/S0890540198927614</t>
  </si>
  <si>
    <t>O(n^{2/3})?</t>
  </si>
  <si>
    <t>same space as Number Field Sieve?</t>
  </si>
  <si>
    <t>Discrete Logarithm Over Finite Fields, F_q</t>
  </si>
  <si>
    <t>$O(e^{(sqrt(2) sqrt(n*logn))})$</t>
  </si>
  <si>
    <t>Index calculus algorithm</t>
  </si>
  <si>
    <t>$O(e^{(\sqrt(2) \sqrt(n*logn))})$</t>
  </si>
  <si>
    <t>n: number of digits/bits in the order of the finite group
r: size of factor base</t>
  </si>
  <si>
    <t>RAM?</t>
  </si>
  <si>
    <t>See Dixon's algorithm for factoring integers; also works with an O(r)-by-O(r) sized matrix (to obtain discrete logs of primes in factor base)</t>
  </si>
  <si>
    <t>https://en.wikipedia.org/wiki/Index_calculus_algorithm</t>
  </si>
  <si>
    <t>Number Field Sieve (NFS)</t>
  </si>
  <si>
    <t>https://core.ac.uk/download/pdf/15590206.pdf</t>
  </si>
  <si>
    <t>O(2^{\sqrt{n}}), only for primes; does much better for composites</t>
  </si>
  <si>
    <t>Pohlig-Hellman</t>
  </si>
  <si>
    <t>https://dl.acm.org/citation.cfm?id=2269283</t>
  </si>
  <si>
    <t>$O(2^{\sqrt{n}})$ (though only for primes)</t>
  </si>
  <si>
    <t>A step in the algorithm involves using baby-steps giant-steps to compute discrete logs; the rest of the algorithm (including CRT and repeated powers) isn't as intensive</t>
  </si>
  <si>
    <t>https://www.ams.org/mcom/1978-32-143/S0025-5718-1978-0491431-9/S0025-5718-1978-0491431-9.pdf</t>
  </si>
  <si>
    <t>Stores a constant number of O(n)-bit values per iteration</t>
  </si>
  <si>
    <t>Pollard's kangaroo algorithm</t>
  </si>
  <si>
    <t>Stores a constant number of O(n)-bit values (a, b, x_i, d, x_N, y_i, d_i) per iteration; assumes that the pseudorandom map is part of the input</t>
  </si>
  <si>
    <t>https://en.wikipedia.org/wiki/Pollard%27s_kangaroo_algorithm</t>
  </si>
  <si>
    <t>AVL Tree</t>
  </si>
  <si>
    <t>n: number of nodes</t>
  </si>
  <si>
    <t>Need to keep track of intermediary stages of tree before outputting</t>
  </si>
  <si>
    <t>Guibas, Sedgewick Red-Black Tree</t>
  </si>
  <si>
    <t>https://ieeexplore.ieee.org/document/4567957</t>
  </si>
  <si>
    <t>Hopcroft 2-3 Tree</t>
  </si>
  <si>
    <t>https://www.cs.drexel.edu/~amd435/courses/cs260/lectures/L-6_2-3_Trees.pdf</t>
  </si>
  <si>
    <t>Tarjan Splay Tree</t>
  </si>
  <si>
    <t>O(n*b*log(n)/log(b))?</t>
  </si>
  <si>
    <t>Bayer, McCreight B-Tree</t>
  </si>
  <si>
    <t>O(n*b*\log(n)/\log(b))?</t>
  </si>
  <si>
    <t>n: number of nodes
b: branching factor</t>
  </si>
  <si>
    <t>Each node being changed requires constant auxiliary space to make changes; can reuse space across nodes being changed</t>
  </si>
  <si>
    <t>$O(1)$ amortized</t>
  </si>
  <si>
    <t>Need to keep track of constant amount of info during search (i.e. which node we're on and what direction to go)</t>
  </si>
  <si>
    <t>$O(n^\omega)$ where omega is the exponent on boolean matrix multiplication</t>
  </si>
  <si>
    <t>Aho, Garey &amp; Ullman</t>
  </si>
  <si>
    <t>see (boolean) matrix multiplication</t>
  </si>
  <si>
    <t>O(n^{2.807})</t>
  </si>
  <si>
    <t>n: 5.807</t>
  </si>
  <si>
    <t>O(n^2.807)</t>
  </si>
  <si>
    <t>O(n^{2.8})</t>
  </si>
  <si>
    <t>n: 5.8</t>
  </si>
  <si>
    <t>O(n^2.8)</t>
  </si>
  <si>
    <t>O(n^{2.78})</t>
  </si>
  <si>
    <t>n: 5.78</t>
  </si>
  <si>
    <t>O(n^2.78)</t>
  </si>
  <si>
    <t>O(n^{2.52})</t>
  </si>
  <si>
    <t>n: 5.52</t>
  </si>
  <si>
    <t>O(n^2.52)</t>
  </si>
  <si>
    <t>O(n^{2.518})</t>
  </si>
  <si>
    <t>n: 5.518</t>
  </si>
  <si>
    <t>O(n^2.518)</t>
  </si>
  <si>
    <t>O(n^{2.495})</t>
  </si>
  <si>
    <t>n: 5.495</t>
  </si>
  <si>
    <t>O(n^2.495)</t>
  </si>
  <si>
    <t>O(n^{2.48})</t>
  </si>
  <si>
    <t>n: 5.48</t>
  </si>
  <si>
    <t>O(n^2.48)</t>
  </si>
  <si>
    <t>O(n^{2.372})</t>
  </si>
  <si>
    <t>n: 5.372</t>
  </si>
  <si>
    <t>O(n^2.372)</t>
  </si>
  <si>
    <t>O(n^{2.373})</t>
  </si>
  <si>
    <t>O(n^2.373)</t>
  </si>
  <si>
    <t>O(n^{2.371})</t>
  </si>
  <si>
    <t>n: 5.371</t>
  </si>
  <si>
    <t>O(n^2.371)</t>
  </si>
  <si>
    <t>Any distribution/runtime same regardless of input</t>
  </si>
  <si>
    <t>Gries, Martin</t>
  </si>
  <si>
    <t>https://www.sciencedirect.com/science/article/pii/0167642389900397</t>
  </si>
  <si>
    <t>Generally keeps track of O(1) information for every pair (u, v) of vertices? and not much additional information needed</t>
  </si>
  <si>
    <t>O(2^n nlogn)</t>
  </si>
  <si>
    <t>Outside-In algorithm</t>
  </si>
  <si>
    <t>Seems like this just needs to keep track of current configuration being tested</t>
  </si>
  <si>
    <t>Counting Solutions; Constructing solutions</t>
  </si>
  <si>
    <t>O(n^n)</t>
  </si>
  <si>
    <t>(no distribution to talk about here)</t>
  </si>
  <si>
    <t>Naive Algorithm</t>
  </si>
  <si>
    <t>n: size of chessboard</t>
  </si>
  <si>
    <t>Keep track of current configuration being tested, along with current count</t>
  </si>
  <si>
    <t>https://web.northeastern.edu/seigen/11Magic/Books/Rouse%20Ball.pdf</t>
  </si>
  <si>
    <t>Naive + 1 queen per row restriction</t>
  </si>
  <si>
    <t>Dijkstra</t>
  </si>
  <si>
    <t>https://www.geeksforgeeks.org/n-queen-problem-backtracking-3/</t>
  </si>
  <si>
    <t>Keep track of current configuration being tested and restrictions on where next queen can be placed, along with current count</t>
  </si>
  <si>
    <t>Nauck</t>
  </si>
  <si>
    <t>Gunther Determinants solution</t>
  </si>
  <si>
    <t>O(n!) ?</t>
  </si>
  <si>
    <t>Seems like this one lists out all of the terms in the discriminant; presumably there is a better way but that amounts to the naive algorithm</t>
  </si>
  <si>
    <t>O(8^n*poly(n))</t>
  </si>
  <si>
    <t>Rivin, Zabih</t>
  </si>
  <si>
    <t>http://www.cs.cornell.edu/~rdz/Papers/RZ-IPL92.pdf</t>
  </si>
  <si>
    <t>O(8^n*n^2)</t>
  </si>
  <si>
    <t>Naive Solution</t>
  </si>
  <si>
    <t>https://link.springer.com/chapter/10.1007/3-540-44888-8_23</t>
  </si>
  <si>
    <t>n: maximum of (number of strings, max length of one of the strings)</t>
  </si>
  <si>
    <t>n:3</t>
  </si>
  <si>
    <t>Keep track of current string being checked, current best string, and Levenshtein distances (which can be computed recursively using O(n) space)</t>
  </si>
  <si>
    <t>$O(n*f_{bin}(sigma-1, k, d))$ where $f_{bin}(x, y, z) = sum_{i=0}^z C(y, i)*x^i$</t>
  </si>
  <si>
    <t>O(n*f_{bin}(sigma-1, k, d)) where f_{bin}(x, y, z) = sum_{i=0}^z C(y, i)*x^i</t>
  </si>
  <si>
    <t>n: length of string
k: length of words
d: number of allowed mismatches
sigma: size of alphabet</t>
  </si>
  <si>
    <t>O(max(n*f_{bin}(sigma-1, k, d), sigma^k)) auxiliary where f_{bin}(x, y, z) = sum_{i=0}^z C(y, i)*x^i</t>
  </si>
  <si>
    <t>Keep track of counts on at most that many words</t>
  </si>
  <si>
    <t>Iteration based</t>
  </si>
  <si>
    <t>https://marcin-chwedczuk.github.io/iterative-solution-to-towers-of-hanoi-problem</t>
  </si>
  <si>
    <t>n: number of disks</t>
  </si>
  <si>
    <t>Only need to keep track of current configuration</t>
  </si>
  <si>
    <t>https://en.wikipedia.org/wiki/Tower_of_Hanoi</t>
  </si>
  <si>
    <t>Recursion based</t>
  </si>
  <si>
    <t>Need to keep track of an O(n)-sized recursive stack, each entry requiring O(log n) space (i.e. which tower size to manipulate)</t>
  </si>
  <si>
    <t>Non-recursion based</t>
  </si>
  <si>
    <t>Gray-code based</t>
  </si>
  <si>
    <t>Need to keep track of an n-bit counter for Gray codes</t>
  </si>
  <si>
    <t>Hanoi graph</t>
  </si>
  <si>
    <t>https://books.google.com/books/about/Topics_in_Graph_Theory.html?id=pSv3XotPCQgC</t>
  </si>
  <si>
    <t>any distribution?</t>
  </si>
  <si>
    <t>needs to read entire string</t>
  </si>
  <si>
    <t>n: length of string
k: length of words
sigma: size of alphabet</t>
  </si>
  <si>
    <t>O(max(n, \sigma^k))</t>
  </si>
  <si>
    <t>Keep track of counts on at most $n-k+1$ or $\sigma^k$ words</t>
  </si>
  <si>
    <t>Rabin Karp</t>
  </si>
  <si>
    <t>O(max(n, \sigma^k))?</t>
  </si>
  <si>
    <t>https://www.sciencedirect.com/science/article/pii/S0016003209000428</t>
  </si>
  <si>
    <t>MD5</t>
  </si>
  <si>
    <t>only need constant padding, 128-bit state being manipulated, and constant-sized non-linear functions (i.e. operating on O(1) bits). Also based off of Merkle-Damgard construction</t>
  </si>
  <si>
    <t>SHA-1</t>
  </si>
  <si>
    <t>Based off of Merkel-Damgard construction (see MD5)</t>
  </si>
  <si>
    <t>RIPEMD-160</t>
  </si>
  <si>
    <t>Likely based off of Merkel-Damgard construction (see MD5)</t>
  </si>
  <si>
    <t>bcrypt</t>
  </si>
  <si>
    <t>generally operates in the O(1) scheme</t>
  </si>
  <si>
    <t>Whirlpool</t>
  </si>
  <si>
    <t>SHA-2</t>
  </si>
  <si>
    <t>SHA-3</t>
  </si>
  <si>
    <t>n: length of string
b: width of bit blocks
r: rate parameter
d: output length</t>
  </si>
  <si>
    <t>b: 3,
d: 3,
n: 1</t>
  </si>
  <si>
    <t>O(b+d) auxiliary?</t>
  </si>
  <si>
    <t>only need constant padding, O(b)-bit "absorb" state being manipulated, constant-sized non-linear functions (i.e. operating on O(1) bits), and O(d)-sized "squeezed" state being manipulated. In practice b, d are O(1)</t>
  </si>
  <si>
    <t>Optional Key?</t>
  </si>
  <si>
    <t>BLAKE2</t>
  </si>
  <si>
    <t>Generally processes the message in O(1)-sized chunks; parameters into the "compress" function are also technically O(1)-sized</t>
  </si>
  <si>
    <t>$O(t^2)$ for secret computation? (requires polynomial interpolation)</t>
  </si>
  <si>
    <t>Shamir's scheme</t>
  </si>
  <si>
    <t>n: 5,
t: 5</t>
  </si>
  <si>
    <t>O(t^2) for secret computation? (requires polynomial interpolation)</t>
  </si>
  <si>
    <t>n: size of the group the secret is being shared with
t: threshold number of players</t>
  </si>
  <si>
    <t>O(1) per person, O(t^2) to figure out secret?</t>
  </si>
  <si>
    <t>Each person only needs to keep track of a single point (O(1) info); figuring out secret depends on polynomial interpolation algorithm</t>
  </si>
  <si>
    <t>$O(t^3)$ for secret computation? (requires linear solver)</t>
  </si>
  <si>
    <t>Blakley's scheme</t>
  </si>
  <si>
    <t>n: 6,
5: 6</t>
  </si>
  <si>
    <t>O(t^3) for secret computation? (requires linear solver)</t>
  </si>
  <si>
    <t>O(t) per person, O(t^2) to figure out secret</t>
  </si>
  <si>
    <t>Each person needs to keep track of coefficients of hyperplane; figuring out secret requires O(t) hyperplanes, with O(t) coefficients</t>
  </si>
  <si>
    <t>$O(log((b-a)/\epsilon)$</t>
  </si>
  <si>
    <t>epsilon: (additive) tolerance error
a, b: endpoint values, with b&gt;a
n_{max}: maximum number of iterations</t>
  </si>
  <si>
    <t>n_max: 1</t>
  </si>
  <si>
    <t>Store current endpoint values; iterations take O(1) time and thus O(1) space, and space can be re-used across iterations</t>
  </si>
  <si>
    <t>Regula Falsi method</t>
  </si>
  <si>
    <t>Store current estimate x_i and the derivative f' (assuming this takes O(1) space); iterations take O(1) time and thus O(1) space, and space can be re-used across iterations</t>
  </si>
  <si>
    <t>Lucifer / DES</t>
  </si>
  <si>
    <t>n: text length (block size)
k: key length</t>
  </si>
  <si>
    <t>Network has a constant number of rounds and operates on O(n) bits, thus structure should require O(n) bits to describe</t>
  </si>
  <si>
    <t>https://en.wikipedia.org/wiki/Data_Encryption_Standard</t>
  </si>
  <si>
    <t>IDEA</t>
  </si>
  <si>
    <t>(^see above)</t>
  </si>
  <si>
    <t>https://en.wikipedia.org/wiki/International_Data_Encryption_Algorithm</t>
  </si>
  <si>
    <t>RC5</t>
  </si>
  <si>
    <t>https://link.springer.com/chapter/10.1007/3-540-60590-8_7</t>
  </si>
  <si>
    <t>n: text length (block size)
k: key length
r: number of rounds
w: length of word</t>
  </si>
  <si>
    <t>k: 3,
r: 3,
w: 3,
n: 1</t>
  </si>
  <si>
    <t>O(k+rw)?</t>
  </si>
  <si>
    <t>Requires additional O(k/w)-length array of O(w)-size words (temporary working array) and O(r)-length array of O(w)-size words, as key-independent pseudorandom array.</t>
  </si>
  <si>
    <t>https://en.wikipedia.org/wiki/RC5</t>
  </si>
  <si>
    <t>Rijndael / AES</t>
  </si>
  <si>
    <t>https://csrc.nist.gov/csrc/media/projects/cryptographic-standards-and-guidelines/documents/aes-development/rijndael-ammended.pdf</t>
  </si>
  <si>
    <t>Network generally operates on the O(n) bits over O(k) rounds, each round having roughly the same structure (so structure of rounds require O(1) bits to describe)</t>
  </si>
  <si>
    <t>Blowfish</t>
  </si>
  <si>
    <t>https://link.springer.com/chapter/10.1007/3-540-58108-1_24</t>
  </si>
  <si>
    <t>2-D Polynomial Interpolation</t>
  </si>
  <si>
    <t>Gaussian elimination</t>
  </si>
  <si>
    <t>n: text length (block size)</t>
  </si>
  <si>
    <t>Requires computation of inverse of O(n^2)-sized Vandermonde matrix</t>
  </si>
  <si>
    <t>Bjorck</t>
  </si>
  <si>
    <t>https://www.jstor.org/stable/2004623?origin=crossref&amp;seq=5#metadata_info_tab_contents</t>
  </si>
  <si>
    <t>https://www.ams.org/journals/mcom/1970-24-112/S0025-5718-1970-0290541-1/S0025-5718-1970-0290541-1.pdf</t>
  </si>
  <si>
    <t>https://academic.oup.com/imajna/article/8/4/473/758789?login=true</t>
  </si>
  <si>
    <t>Higham</t>
  </si>
  <si>
    <t>Calvetti, Reichel</t>
  </si>
  <si>
    <t>https://link.springer.com/article/10.1007/BF01990529</t>
  </si>
  <si>
    <t>(maybe similar to the other O(n^2) algorithms?)</t>
  </si>
  <si>
    <t>Euclid's algorithm</t>
  </si>
  <si>
    <t>n: sum of number of bits among the two integers</t>
  </si>
  <si>
    <t>Word RAM? words size O(1)</t>
  </si>
  <si>
    <t>Store only the current values being iterated on</t>
  </si>
  <si>
    <t>Lehmer's GCD algorithm</t>
  </si>
  <si>
    <t>Store only the current values being iterated on, and an O(1)-sized matrix with O(n)-bit numbers</t>
  </si>
  <si>
    <t>Binary GCD algorithm</t>
  </si>
  <si>
    <t>https://arxiv.org/abs/0910.0095</t>
  </si>
  <si>
    <t>O(n log^2 n log log n)</t>
  </si>
  <si>
    <t>Sthele, Zimmermann</t>
  </si>
  <si>
    <t>https://hal.inria.fr/file/index/docid/71533/filename/RR-5050.pdf</t>
  </si>
  <si>
    <t>n: 4.011</t>
  </si>
  <si>
    <t>O(n \log^2 n \log \log n)</t>
  </si>
  <si>
    <t>Depends on Schonhage-Strassen multiplication</t>
  </si>
  <si>
    <t>(behavior same regardless of input)</t>
  </si>
  <si>
    <t>n: number of tasks (intervals)</t>
  </si>
  <si>
    <t>Need to keep track of which subset is being checked</t>
  </si>
  <si>
    <t>$O(n^3)$ Dynamic Programming</t>
  </si>
  <si>
    <t>Keep track of answers to O(n^2) subproblems [i, j]</t>
  </si>
  <si>
    <t>https://www.cs.ubc.ca/~liorma/cpsc320/files/weighted-activity-selection.pdf</t>
  </si>
  <si>
    <t>$O(n^2)$ Dynamic Programming</t>
  </si>
  <si>
    <t>Keep track of answers to O(n) subproblems (cache), and sorted list of intervals</t>
  </si>
  <si>
    <t>$O(n\log n)$ Dynamic Programming</t>
  </si>
  <si>
    <t>Fixed priority shortest job first</t>
  </si>
  <si>
    <t>n: number of tasks (intervals)
k: number of machines (resources)</t>
  </si>
  <si>
    <t>O(n+k)?</t>
  </si>
  <si>
    <t>Keep track of (sorted, based on criteria) list of (unscheduled, running, etc.; just un-done) tasks, along with machine statuses and task priorities</t>
  </si>
  <si>
    <t>Priority scheduling</t>
  </si>
  <si>
    <t>Keep track of (sorted, based on criteria) list of (unscheduled, running, etc.; just un-done) tasks, along with machine statuses</t>
  </si>
  <si>
    <t>Shortest remaining time first</t>
  </si>
  <si>
    <t>First come, first served</t>
  </si>
  <si>
    <t>Round-robin scheduling</t>
  </si>
  <si>
    <t>Multilevel queue scheduling</t>
  </si>
  <si>
    <t>^see above; also level information for each task</t>
  </si>
  <si>
    <t>Work-conserving schedulers</t>
  </si>
  <si>
    <t>Deadlock avoidance</t>
  </si>
  <si>
    <t>Banker's Algorithm</t>
  </si>
  <si>
    <t>https://www.cs.utexas.edu/users/EWD/ewd01xx/EWD108.PDF</t>
  </si>
  <si>
    <t>n: number of processes
m: number of resource types</t>
  </si>
  <si>
    <t>Main space-consuming arrays needed include "Max," "Allocation," and "Need," which are all n*m arrays. Other arrays are either O(n) or O(m)-sized</t>
  </si>
  <si>
    <t>https://www.cs.colorado.edu/~rhan/CSCI_3753_Spring_2005/CSCI_3753_Spring_2005/Lectures/03_01_05_deadlock.pdf</t>
  </si>
  <si>
    <t>The theoretically optimal page replacement algorithm</t>
  </si>
  <si>
    <t>n: number of page requests
k: number of pages able to fit in cache</t>
  </si>
  <si>
    <t>k: 3,
n: 1</t>
  </si>
  <si>
    <t>Need to keep track of cache; linear scan for searching for page not being used for the longest only requires O(1) auxiliary space</t>
  </si>
  <si>
    <t>O(nk)?</t>
  </si>
  <si>
    <t>Not recently used</t>
  </si>
  <si>
    <t>Need to keep track of cache + reference bits only</t>
  </si>
  <si>
    <t>First-in, first-out</t>
  </si>
  <si>
    <t>Second-chance</t>
  </si>
  <si>
    <t>Clock</t>
  </si>
  <si>
    <t>Need to keep track of cache + reference bits only (plus iterator)</t>
  </si>
  <si>
    <t>Least recently used</t>
  </si>
  <si>
    <t>Need to keep track of cache + info related to time last referenced for each of k pages</t>
  </si>
  <si>
    <t>Random</t>
  </si>
  <si>
    <t>O(k)?</t>
  </si>
  <si>
    <t>Need to keep track of cache?</t>
  </si>
  <si>
    <t>Not frequently used (NFU)</t>
  </si>
  <si>
    <t>Need to keep track of cache + reference counters only</t>
  </si>
  <si>
    <t>Aging</t>
  </si>
  <si>
    <t>Longest distance first (LDF) page replacement algorithm</t>
  </si>
  <si>
    <t>Need to keep track of cache + information related to position of pages</t>
  </si>
  <si>
    <t>Any distribution/doesn't make too much sense to talk about distribution here</t>
  </si>
  <si>
    <t>ARIES</t>
  </si>
  <si>
    <t>https://dl.acm.org/doi/10.1145/128765.128770</t>
  </si>
  <si>
    <t>n: number of transactions before crash</t>
  </si>
  <si>
    <t>Uses write-ahead logging, so keeps track of transaction log, whose entries may be augmented with O(1) more information each. During recovery, needs to keep track of variable/page states</t>
  </si>
  <si>
    <t xml:space="preserve"> </t>
  </si>
  <si>
    <t>Exact?</t>
  </si>
  <si>
    <t>Parallel Algorithm Span</t>
  </si>
  <si>
    <t>Parallel Algorithm Span References</t>
  </si>
  <si>
    <t>Parallel Algorithm Work</t>
  </si>
  <si>
    <t>Parallel Algorithm Work References</t>
  </si>
  <si>
    <t>Reference mentions work efficiency?</t>
  </si>
  <si>
    <t>odd-even sort - Batcher</t>
  </si>
  <si>
    <t>https://dl.acm.org/doi/abs/10.1145/1468075.1468121</t>
  </si>
  <si>
    <t>https://ieeexplore.ieee.org/stamp/stamp.jsp?tp=&amp;arnumber=1675167</t>
  </si>
  <si>
    <t>O(n log^2(n))</t>
  </si>
  <si>
    <r>
      <rPr>
        <rFont val="Arial"/>
      </rPr>
      <t xml:space="preserve">first found in https://ieeexplore.ieee.org/stamp/stamp.jsp?tp=&amp;arnumber=1675167 
mentioned in https://dl.acm.org/doi/abs/10.1145/2514.2516#sec-ref; </t>
    </r>
    <r>
      <rPr>
        <rFont val="Arial"/>
        <color rgb="FF1155CC"/>
        <u/>
      </rPr>
      <t>https://link.springer.com/chapter/10.1007/978-94-009-5315-4_5</t>
    </r>
    <r>
      <rPr>
        <rFont val="Arial"/>
      </rPr>
      <t xml:space="preserve"> (paper starts p184 in pdf)</t>
    </r>
  </si>
  <si>
    <t>bitonic sort - Batcher</t>
  </si>
  <si>
    <r>
      <rPr>
        <rFont val="Arial"/>
      </rPr>
      <t xml:space="preserve">mentioned in </t>
    </r>
    <r>
      <rPr>
        <rFont val="Arial"/>
        <color rgb="FF1155CC"/>
        <u/>
      </rPr>
      <t>https://dl.acm.org/doi/abs/10.1145/2514.2516#sec-ref</t>
    </r>
  </si>
  <si>
    <t>Bitonic merge-exchange</t>
  </si>
  <si>
    <t>Alekseyev</t>
  </si>
  <si>
    <t>https://link.springer.com/article/10.1007/BF01267888</t>
  </si>
  <si>
    <r>
      <rPr>
        <rFont val="Arial"/>
      </rPr>
      <t xml:space="preserve">mentioned in </t>
    </r>
    <r>
      <rPr>
        <rFont val="Arial"/>
        <color rgb="FF1155CC"/>
        <u/>
      </rPr>
      <t>https://dl.acm.org/doi/abs/10.1145/2514.2516#sec-ref</t>
    </r>
  </si>
  <si>
    <t>network sorting algo, perfect shuffle</t>
  </si>
  <si>
    <t>Stone</t>
  </si>
  <si>
    <t>https://ieeexplore.ieee.org/abstract/document/1671798</t>
  </si>
  <si>
    <t>n/2</t>
  </si>
  <si>
    <r>
      <rPr>
        <rFont val="Arial"/>
      </rPr>
      <t xml:space="preserve">mentioned in https://dl.acm.org/doi/abs/10.1145/2514.2516#sec-ref; </t>
    </r>
    <r>
      <rPr>
        <rFont val="Arial"/>
        <color rgb="FF1155CC"/>
        <u/>
      </rPr>
      <t>https://link.springer.com/chapter/10.1007/978-94-009-5315-4_5</t>
    </r>
    <r>
      <rPr>
        <rFont val="Arial"/>
      </rPr>
      <t xml:space="preserve"> (paper starts p184 in pdf)</t>
    </r>
  </si>
  <si>
    <t>n-sorter network, generalization of divide-sort-merge strategy</t>
  </si>
  <si>
    <t>Van Voorhis</t>
  </si>
  <si>
    <t>https://apps.dtic.mil/sti/citations/AD0737270</t>
  </si>
  <si>
    <t>O(nlog^4(n)) ??</t>
  </si>
  <si>
    <t>https://dl.acm.org/doi/abs/10.1145/2514.2516#sec-ref</t>
  </si>
  <si>
    <t>0.25nlog^2(n)-0.372nlog(n)+O(n)</t>
  </si>
  <si>
    <r>
      <rPr>
        <rFont val="Arial"/>
      </rPr>
      <t xml:space="preserve">mentioned in https://dl.acm.org/doi/abs/10.1145/2514.2516#sec-ref; </t>
    </r>
    <r>
      <rPr>
        <rFont val="Arial"/>
        <color rgb="FF1155CC"/>
        <u/>
      </rPr>
      <t>https://link.springer.com/chapter/10.1007/978-94-009-5315-4_5</t>
    </r>
    <r>
      <rPr>
        <rFont val="Arial"/>
      </rPr>
      <t xml:space="preserve"> (paper starts p184 in pdf)</t>
    </r>
  </si>
  <si>
    <t>O(n²)</t>
  </si>
  <si>
    <r>
      <rPr>
        <rFont val="Arial"/>
        <color theme="1"/>
      </rPr>
      <t xml:space="preserve">Odd Even Sort </t>
    </r>
    <r>
      <rPr>
        <rFont val="Arial"/>
        <b/>
        <color theme="1"/>
      </rPr>
      <t xml:space="preserve">Parallel  Implementation </t>
    </r>
    <r>
      <rPr>
        <rFont val="Arial"/>
        <color theme="1"/>
      </rPr>
      <t>// parallel neighborhood sort - Habermann</t>
    </r>
  </si>
  <si>
    <t>O(n^2/p)</t>
  </si>
  <si>
    <t>yes (compares to quicksort)</t>
  </si>
  <si>
    <t>p, at most O(n)</t>
  </si>
  <si>
    <t>Shellsort - Pratt</t>
  </si>
  <si>
    <t>https://apps.dtic.mil/sti/citations/AD0740110</t>
  </si>
  <si>
    <t>Knuth</t>
  </si>
  <si>
    <t>The art of computer programming, volume 3: Sorting and searching</t>
  </si>
  <si>
    <r>
      <rPr>
        <rFont val="Arial"/>
      </rPr>
      <t xml:space="preserve">mentioned in </t>
    </r>
    <r>
      <rPr>
        <rFont val="Arial"/>
        <color rgb="FF1155CC"/>
        <u/>
      </rPr>
      <t>https://dl.acm.org/doi/abs/10.1145/2514.2516#sec-ref</t>
    </r>
  </si>
  <si>
    <t>external parallel sorting</t>
  </si>
  <si>
    <t>parallel tape sort - Even (1)</t>
  </si>
  <si>
    <t>https://dl.acm.org/doi/abs/10.1145/360924.360941</t>
  </si>
  <si>
    <t>O(n/p log n + n)</t>
  </si>
  <si>
    <t>O(n log n + np)</t>
  </si>
  <si>
    <t>yes</t>
  </si>
  <si>
    <t>n: size of list
p: number of processors</t>
  </si>
  <si>
    <r>
      <rPr>
        <rFont val="Arial"/>
      </rPr>
      <t xml:space="preserve">mentioned in https://dl.acm.org/doi/abs/10.1145/2514.2516#sec-ref; </t>
    </r>
    <r>
      <rPr>
        <rFont val="Arial"/>
        <color rgb="FF1155CC"/>
        <u/>
      </rPr>
      <t>https://link.springer.com/chapter/10.1007/978-94-009-5315-4_5</t>
    </r>
    <r>
      <rPr>
        <rFont val="Arial"/>
      </rPr>
      <t xml:space="preserve"> (paper starts p184 in pdf)</t>
    </r>
  </si>
  <si>
    <t>parallel tape sort - Even (2)</t>
  </si>
  <si>
    <t>O(nlog(n))</t>
  </si>
  <si>
    <t>O(log(n))</t>
  </si>
  <si>
    <r>
      <rPr>
        <rFont val="Arial"/>
      </rPr>
      <t xml:space="preserve">mentioned in https://dl.acm.org/doi/abs/10.1145/2514.2516#sec-ref; </t>
    </r>
    <r>
      <rPr>
        <rFont val="Arial"/>
        <color rgb="FF1155CC"/>
        <u/>
      </rPr>
      <t>https://link.springer.com/chapter/10.1007/978-94-009-5315-4_5</t>
    </r>
    <r>
      <rPr>
        <rFont val="Arial"/>
      </rPr>
      <t xml:space="preserve"> (paper starts p184 in pdf)</t>
    </r>
  </si>
  <si>
    <t>Parallel Neighborhood sort - Baudet, Stevenson</t>
  </si>
  <si>
    <t>https://kilthub.cmu.edu/articles/Optimal_sorting_algorithms_for_parallel_computers/6608162/files/12099023.pdf</t>
  </si>
  <si>
    <t>O(n log(n)/k +n)
or O(n) if k=log n</t>
  </si>
  <si>
    <t>if k=log n
"optimal" - 
speedup=k
efficiency=1</t>
  </si>
  <si>
    <t>n: size of list
k: number of processors</t>
  </si>
  <si>
    <t>SIMD</t>
  </si>
  <si>
    <t>k=log n</t>
  </si>
  <si>
    <t>shared memory parallel sorting, enumeration</t>
  </si>
  <si>
    <t>Muller and Preperata</t>
  </si>
  <si>
    <t>https://dl.acm.org/doi/pdf/10.1145/321879.321882</t>
  </si>
  <si>
    <t>first found in https://ieeexplore.ieee.org/stamp/stamp.jsp?tp=&amp;arnumber=1675167, mentioned in https://dl.acm.org/doi/abs/10.1145/2514.2516#sec-ref</t>
  </si>
  <si>
    <t>Parallel Merge Sort - Valiant</t>
  </si>
  <si>
    <t>https://epubs.siam.org/doi/abs/10.1137/0204030</t>
  </si>
  <si>
    <t>2logn*loglogn + 0(logn)</t>
  </si>
  <si>
    <r>
      <rPr>
        <rFont val="Arial"/>
      </rPr>
      <t xml:space="preserve">first found in </t>
    </r>
    <r>
      <rPr>
        <rFont val="Arial"/>
        <color rgb="FF1155CC"/>
        <u/>
      </rPr>
      <t>https://ieeexplore.ieee.org/stamp/stamp.jsp?tp=&amp;arnumber=1675167</t>
    </r>
  </si>
  <si>
    <t>Gavril</t>
  </si>
  <si>
    <t>https://dl.acm.org/doi/abs/10.1145/361020.361216</t>
  </si>
  <si>
    <t>Parallel bucket-sort - Hirschberg (1)</t>
  </si>
  <si>
    <t>https://dl.acm.org/doi/abs/10.1145/359576.359582</t>
  </si>
  <si>
    <t>n: size of list
m-1: largest number in list</t>
  </si>
  <si>
    <t>SIMD-SM-R</t>
  </si>
  <si>
    <t>space complexity: O(nm)</t>
  </si>
  <si>
    <t>"enumeration sorting"</t>
  </si>
  <si>
    <t>Parallel bucket-sort - Hirschberg (2)</t>
  </si>
  <si>
    <t>O(klog(n))</t>
  </si>
  <si>
    <t>O(klog(n)n^(1+1/k)) ?</t>
  </si>
  <si>
    <t>n: size of list
m-1: largest number in list
k: arbitrary int &gt;=2</t>
  </si>
  <si>
    <t>n^(1+1/k)</t>
  </si>
  <si>
    <t>space complexity: O(nm)
first found in https://ieeexplore.ieee.org/stamp/stamp.jsp?tp=&amp;arnumber=1675167</t>
  </si>
  <si>
    <t>Uses Valiant's [1975] merge technique; "enumeration sorting", allows fetch conflicts</t>
  </si>
  <si>
    <t>Preperata</t>
  </si>
  <si>
    <t>https://ieeexplore.ieee.org/stamp/stamp.jsp?tp=&amp;arnumber=1675167&amp;tag=1</t>
  </si>
  <si>
    <t>SIMD-SM-R ? (memory fetch conflicts)</t>
  </si>
  <si>
    <t>n log(n)</t>
  </si>
  <si>
    <t>Uses Valiant's [1975] merge technique; "enumeration sorting", doesn't allow fetch conflicts</t>
  </si>
  <si>
    <t>n: size of list
0&gt;alpha&lt;=1</t>
  </si>
  <si>
    <t>SIMD-SM ? (no memory fetch conflicts)</t>
  </si>
  <si>
    <t>n^(1+alpha)</t>
  </si>
  <si>
    <t>s^2-way merge sort - Thompson and Kung (1)</t>
  </si>
  <si>
    <t>https://dl.acm.org/doi/abs/10.1145/359461.359481</t>
  </si>
  <si>
    <t>O(sqrt(n))</t>
  </si>
  <si>
    <t>O(n sqrt(n))</t>
  </si>
  <si>
    <t>optimal within a factor of 2 for large n</t>
  </si>
  <si>
    <t>n: size of list (n=mxm, m assumed to be power of 2)</t>
  </si>
  <si>
    <t>similar to ILLIAC IV machine, SIMD</t>
  </si>
  <si>
    <t>mentions lower bound</t>
  </si>
  <si>
    <t>adaptation of Batcher's bitonic merge sort - Thompson and Kung (2)</t>
  </si>
  <si>
    <t>optimal within a factor of 4.5</t>
  </si>
  <si>
    <t>Siegel</t>
  </si>
  <si>
    <t>https://dl.acm.org/doi/abs/10.1145/800255.810655</t>
  </si>
  <si>
    <t>Hardware sorter</t>
  </si>
  <si>
    <t>Rebound sort - Chen et al.</t>
  </si>
  <si>
    <t>https://dl.acm.org/doi/abs/10.5555/1286643.1286685</t>
  </si>
  <si>
    <t>parallel tree sort</t>
  </si>
  <si>
    <t>Bentley and Kung</t>
  </si>
  <si>
    <t>https://www.eecs.harvard.edu/htk/static/files/bg891xp4727.pdf</t>
  </si>
  <si>
    <t>mentions speedup</t>
  </si>
  <si>
    <t>n: size of list
p: number of square nodes in tree
log p&lt;=n&lt;=p</t>
  </si>
  <si>
    <t>p?</t>
  </si>
  <si>
    <t>adaptation of Batcher's bitonic sort on a mesh-connected processor array</t>
  </si>
  <si>
    <t>Nassimi and Sahni</t>
  </si>
  <si>
    <t>https://ieeexplore.ieee.org/abstract/document/1675216</t>
  </si>
  <si>
    <t>network sorter</t>
  </si>
  <si>
    <t>Preperata and Vuillemin</t>
  </si>
  <si>
    <t>https://dl.acm.org/doi/abs/10.1145/358645.358660; https://ieeexplore.ieee.org/abstract/document/4568010</t>
  </si>
  <si>
    <r>
      <rPr>
        <rFont val="Arial"/>
      </rPr>
      <t xml:space="preserve">mentioned in </t>
    </r>
    <r>
      <rPr>
        <rFont val="Arial"/>
        <color rgb="FF1155CC"/>
        <u/>
      </rPr>
      <t>https://link.springer.com/chapter/10.1007/978-94-009-5315-4_5</t>
    </r>
    <r>
      <rPr>
        <rFont val="Arial"/>
      </rPr>
      <t xml:space="preserve"> (paper starts p184 in pdf)</t>
    </r>
  </si>
  <si>
    <t>Hardware sorter; block access memory, has two processor-to-processor interconnections</t>
  </si>
  <si>
    <t>odd-even sort - Hsiao and Menon (1)</t>
  </si>
  <si>
    <t>https://apps.dtic.mil/sti/citations/ADA090192</t>
  </si>
  <si>
    <t>O(n/p log(n/p) + n)</t>
  </si>
  <si>
    <t>O(n log(n/p) + np)</t>
  </si>
  <si>
    <t>YES</t>
  </si>
  <si>
    <t>n: size of list
p: number of processors
n restricted (only) to memeory size of each processor = n/p</t>
  </si>
  <si>
    <t>modified Stone sort - Hsiao and Menon (2)</t>
  </si>
  <si>
    <t>O(n/p log(n/p) + n/p log^2(p))</t>
  </si>
  <si>
    <t>O(n log(n/p) + n log^2(p))</t>
  </si>
  <si>
    <t>n: size of list
p: number of processors
p - has to be a power of 2
n restricted (only) to memeory size of each processor = n/p</t>
  </si>
  <si>
    <t>hardware sorter; only works for specific number of processors - once built works only for the given value of p</t>
  </si>
  <si>
    <t>specialized minimum time sort - Hsiao and Menon (3)</t>
  </si>
  <si>
    <t>O(n/p log(n/p))</t>
  </si>
  <si>
    <t>O(n log(n/p))</t>
  </si>
  <si>
    <t>Chung et al.</t>
  </si>
  <si>
    <t>https://ieeexplore.ieee.org/abstract/document/5390784</t>
  </si>
  <si>
    <t>Schwartz</t>
  </si>
  <si>
    <t>https://dl.acm.org/doi/abs/10.1145/357114.357116</t>
  </si>
  <si>
    <r>
      <rPr>
        <rFont val="Arial"/>
      </rPr>
      <t xml:space="preserve">mentioned in </t>
    </r>
    <r>
      <rPr>
        <rFont val="Arial"/>
        <color rgb="FF1155CC"/>
        <u/>
      </rPr>
      <t>https://link.springer.com/chapter/10.1007/978-94-009-5315-4_5</t>
    </r>
    <r>
      <rPr>
        <rFont val="Arial"/>
      </rPr>
      <t xml:space="preserve"> (paper starts p184 in pdf)</t>
    </r>
  </si>
  <si>
    <t>two round sorting</t>
  </si>
  <si>
    <t>Haggkvist and Hell</t>
  </si>
  <si>
    <t>https://epubs.siam.org/doi/abs/10.1137/0210034</t>
  </si>
  <si>
    <t>2 // O(1)</t>
  </si>
  <si>
    <t>O(n^(3/2)log(n))</t>
  </si>
  <si>
    <t>https://link.springer.com/chapter/10.1007/978-94-009-5315-4_5</t>
  </si>
  <si>
    <r>
      <rPr>
        <rFont val="Arial"/>
      </rPr>
      <t xml:space="preserve">mentioned in </t>
    </r>
    <r>
      <rPr>
        <rFont val="Arial"/>
        <color rgb="FF1155CC"/>
        <u/>
      </rPr>
      <t>https://link.springer.com/chapter/10.1007/978-94-009-5315-4_5</t>
    </r>
    <r>
      <rPr>
        <rFont val="Arial"/>
      </rPr>
      <t xml:space="preserve"> (paper starts p184 in pdf)
mentions lower bounds</t>
    </r>
  </si>
  <si>
    <t>Lee et al.</t>
  </si>
  <si>
    <t>https://ieeexplore.ieee.org/abstract/document/1675805</t>
  </si>
  <si>
    <t>Leiserson</t>
  </si>
  <si>
    <t>https://www.proquest.com/docview/303100225?pq-origsite=gscholar&amp;fromopenview=true</t>
  </si>
  <si>
    <t>Shiloach and Vishkin</t>
  </si>
  <si>
    <t>https://link.springer.com/chapter/10.1007/BFb0105127</t>
  </si>
  <si>
    <t>O(n/p log n + log n log p) for p&lt;=n
O(log^2(n)/log(p/n) + log n) for p&gt;=n</t>
  </si>
  <si>
    <t>O(n log n) if p&lt;n or O(p log n) if p&gt;=n</t>
  </si>
  <si>
    <t>optimal for p&lt;=n/log n,
same result for p=ceiling(n^(1+1/k)) as Hirschberg '78 and Preperata '78</t>
  </si>
  <si>
    <t>SIMD-R ??</t>
  </si>
  <si>
    <t>randomized</t>
  </si>
  <si>
    <t>https://ieeexplore.ieee.org/abstract/document/4568337</t>
  </si>
  <si>
    <t>Reischuk</t>
  </si>
  <si>
    <t>PRAM</t>
  </si>
  <si>
    <r>
      <rPr>
        <rFont val="Arial"/>
      </rPr>
      <t xml:space="preserve">mentioned in </t>
    </r>
    <r>
      <rPr>
        <rFont val="Arial"/>
        <color rgb="FF1155CC"/>
        <u/>
      </rPr>
      <t>https://link.springer.com/chapter/10.1007/978-94-009-5315-4_5</t>
    </r>
    <r>
      <rPr>
        <rFont val="Arial"/>
      </rPr>
      <t xml:space="preserve"> (paper starts p184 in pdf)</t>
    </r>
  </si>
  <si>
    <t>basic parallel comparison-tree - Borodin and Hopcroft</t>
  </si>
  <si>
    <t>https://dl.acm.org/doi/abs/10.1145/800070.802209</t>
  </si>
  <si>
    <r>
      <rPr>
        <rFont val="Arial"/>
      </rPr>
      <t xml:space="preserve">mentioned in </t>
    </r>
    <r>
      <rPr>
        <rFont val="Arial"/>
        <color rgb="FF1155CC"/>
        <u/>
      </rPr>
      <t>https://link.springer.com/chapter/10.1007/978-94-009-5315-4_5</t>
    </r>
    <r>
      <rPr>
        <rFont val="Arial"/>
      </rPr>
      <t xml:space="preserve"> (paper starts p184 in pdf)</t>
    </r>
  </si>
  <si>
    <t>Fishburn and Finkel</t>
  </si>
  <si>
    <t>https://ieeexplore.ieee.org/abstract/document/1675994</t>
  </si>
  <si>
    <t>hardware sorter</t>
  </si>
  <si>
    <t>Dohi et al.</t>
  </si>
  <si>
    <t>https://dl.acm.org/doi/abs/10.1145/1067649.801730</t>
  </si>
  <si>
    <t>Yasuura et al.</t>
  </si>
  <si>
    <t>https://ieeexplore.ieee.org/abstract/document/1675943</t>
  </si>
  <si>
    <t>Nassimi, Sahni</t>
  </si>
  <si>
    <t>https://dl.acm.org/doi/pdf/10.1145/322326.322329</t>
  </si>
  <si>
    <t>"sorting network"; expander graphs, epsilon-halving, epsilon-nearsort</t>
  </si>
  <si>
    <t>Aijtai, Komlos, Szemeredi</t>
  </si>
  <si>
    <t>https://dl.acm.org/doi/pdf/10.1145/800061.808726</t>
  </si>
  <si>
    <t>"very large"; "unsuitable for actual implementation"</t>
  </si>
  <si>
    <t>O(log(n)) ?</t>
  </si>
  <si>
    <t>O(n log^2(n)) ?</t>
  </si>
  <si>
    <t>"comparator network - deterministic sequence of switches" ??</t>
  </si>
  <si>
    <t>Kumar and Hirschberg</t>
  </si>
  <si>
    <t>https://ieeexplore.ieee.org/abstract/document/1676217; https://scholarship.rice.edu/handle/1911/104542 ?</t>
  </si>
  <si>
    <t>Ajtai et al.</t>
  </si>
  <si>
    <t>Thompson</t>
  </si>
  <si>
    <t>https://link.springer.com/chapter/10.1007/978-3-642-68402-9_13</t>
  </si>
  <si>
    <t>Kruskal</t>
  </si>
  <si>
    <t>https://ieeexplore.ieee.org/abstract/document/1676138/authors#authors</t>
  </si>
  <si>
    <t>1.893 log n loglog n / logloglog n</t>
  </si>
  <si>
    <t>ceiling(log n/log G)((G-1)/floor(p/n)+log((G-1)/floor(p/n))+3/log3 loglog(p^2/n) +6) +O(Gn/p) = ??</t>
  </si>
  <si>
    <t>O(n log n loglog n / logloglog n)</t>
  </si>
  <si>
    <t>n: size of list
p: number of processors
G: number of processor groups</t>
  </si>
  <si>
    <t>Bilardi and Preperata</t>
  </si>
  <si>
    <t>https://dl.acm.org/doi/abs/10.1145/800057.808666</t>
  </si>
  <si>
    <t>Akl</t>
  </si>
  <si>
    <t>https://link.springer.com/article/10.1007/BF02243071; https://www.sciencedirect.com/science/article/abs/pii/B9780444878069500062</t>
  </si>
  <si>
    <t>Reif and Valiant</t>
  </si>
  <si>
    <t>https://dl.acm.org/doi/abs/10.1145/800061.808727</t>
  </si>
  <si>
    <r>
      <rPr>
        <rFont val="Arial"/>
      </rPr>
      <t xml:space="preserve">mentioned in </t>
    </r>
    <r>
      <rPr>
        <rFont val="Arial"/>
        <color rgb="FF1155CC"/>
        <u/>
      </rPr>
      <t>https://link.springer.com/chapter/10.1007/978-94-009-5315-4_5</t>
    </r>
    <r>
      <rPr>
        <rFont val="Arial"/>
      </rPr>
      <t xml:space="preserve"> (paper starts p184 in pdf)</t>
    </r>
  </si>
  <si>
    <t>Bollobas and Thomason</t>
  </si>
  <si>
    <t>https://www.sciencedirect.com/science/article/pii/0166218X83900951</t>
  </si>
  <si>
    <r>
      <rPr>
        <rFont val="Arial"/>
      </rPr>
      <t xml:space="preserve">mentioned in </t>
    </r>
    <r>
      <rPr>
        <rFont val="Arial"/>
        <color rgb="FF1155CC"/>
        <u/>
      </rPr>
      <t>https://link.springer.com/chapter/10.1007/978-94-009-5315-4_5</t>
    </r>
    <r>
      <rPr>
        <rFont val="Arial"/>
      </rPr>
      <t xml:space="preserve"> (paper starts p184 in pdf)</t>
    </r>
  </si>
  <si>
    <r>
      <rPr>
        <rFont val="Arial"/>
        <color theme="1"/>
      </rPr>
      <t xml:space="preserve">Spaghetti Sort </t>
    </r>
    <r>
      <rPr>
        <rFont val="Arial"/>
        <b/>
        <color theme="1"/>
      </rPr>
      <t xml:space="preserve">Parallel Implementation </t>
    </r>
    <r>
      <rPr>
        <rFont val="Arial"/>
        <color theme="1"/>
      </rPr>
      <t>- Steiglitz</t>
    </r>
  </si>
  <si>
    <t>Kirkpatrick, Reisch</t>
  </si>
  <si>
    <t>https://www.sciencedirect.com/science/article/pii/0304397583900233</t>
  </si>
  <si>
    <t>integer sort</t>
  </si>
  <si>
    <t>Reif</t>
  </si>
  <si>
    <t>https://ieeexplore.ieee.org/abstract/document/4568176</t>
  </si>
  <si>
    <t>O(n) ?</t>
  </si>
  <si>
    <t>"optimal" - efficiency=1</t>
  </si>
  <si>
    <t>https://epubs.siam.org/doi/abs/10.1137/0214030</t>
  </si>
  <si>
    <t>Tseng and Lee</t>
  </si>
  <si>
    <t>https://link.springer.com/article/10.1007/BF00991185</t>
  </si>
  <si>
    <t>modified block bitonic sort - Menon</t>
  </si>
  <si>
    <t>https://www.vldb.org/conf/1986/P197.PDF</t>
  </si>
  <si>
    <t>Wagner, Han</t>
  </si>
  <si>
    <t>http://h.web.umkc.edu/hanyij/html/research/icpp86.pdf</t>
  </si>
  <si>
    <t>Schnorr, Shamir</t>
  </si>
  <si>
    <t>https://dl.acm.org/doi/pdf/10.1145/12130.12156</t>
  </si>
  <si>
    <t>Hagerup</t>
  </si>
  <si>
    <t>https://www.sciencedirect.com/science/article/pii/0890540187900629</t>
  </si>
  <si>
    <t>Akl, Santoro</t>
  </si>
  <si>
    <t>https://ieeexplore.ieee.org/abstract/document/5009478</t>
  </si>
  <si>
    <t>Kunde</t>
  </si>
  <si>
    <t>https://link.springer.com/chapter/10.1007/BFb0040409</t>
  </si>
  <si>
    <t>Parallel Merge Sort - Cole (1)</t>
  </si>
  <si>
    <t>https://epubs.siam.org/doi/abs/10.1137/0217049</t>
  </si>
  <si>
    <t>$O(log n)$</t>
  </si>
  <si>
    <t>$O(n log n)$</t>
  </si>
  <si>
    <t>yes?</t>
  </si>
  <si>
    <t xml:space="preserve">Sorting </t>
  </si>
  <si>
    <t>Parallel Merge Sort - Cole (2)</t>
  </si>
  <si>
    <t>Francis and Mathieson</t>
  </si>
  <si>
    <t>https://ieeexplore.ieee.org/abstract/document/9738</t>
  </si>
  <si>
    <t>Rajesekaran, Reif</t>
  </si>
  <si>
    <t>https://epubs.siam.org/doi/abs/10.1137/0218041</t>
  </si>
  <si>
    <t>Scherson, Sen</t>
  </si>
  <si>
    <t>https://ieeexplore.ieee.org/abstract/document/16500</t>
  </si>
  <si>
    <t>Hagerub, Rub</t>
  </si>
  <si>
    <t>https://www.sciencedirect.com/science/article/pii/0020019089901385</t>
  </si>
  <si>
    <t>O(log²n)</t>
  </si>
  <si>
    <r>
      <rPr>
        <rFont val="Arial"/>
        <color theme="1"/>
      </rPr>
      <t xml:space="preserve">Bitonic Merge Sort </t>
    </r>
    <r>
      <rPr>
        <rFont val="Arial"/>
        <b/>
        <color theme="1"/>
      </rPr>
      <t xml:space="preserve">Parallel Implementation </t>
    </r>
    <r>
      <rPr>
        <rFont val="Arial"/>
        <color theme="1"/>
      </rPr>
      <t>- Bilardi, Nicolau</t>
    </r>
  </si>
  <si>
    <t>$O((n log n)/p)$</t>
  </si>
  <si>
    <t>$O(log^2 n)$</t>
  </si>
  <si>
    <t>no</t>
  </si>
  <si>
    <t>p, at most O(n/log n)</t>
  </si>
  <si>
    <t>Takefuji, Lee</t>
  </si>
  <si>
    <t>https://ieeexplore.ieee.org/abstract/document/62417</t>
  </si>
  <si>
    <t>Hagerup, Shen</t>
  </si>
  <si>
    <t>https://www.sciencedirect.com/science/article/pii/002001909090097H</t>
  </si>
  <si>
    <t>Raman</t>
  </si>
  <si>
    <t>https://link.springer.com/chapter/10.1007/3-540-53487-3_42</t>
  </si>
  <si>
    <t>Cypher, Plaxton</t>
  </si>
  <si>
    <t>https://dl.acm.org/doi/pdf/10.1145/100216.100240</t>
  </si>
  <si>
    <t>Leighton, Plaxton</t>
  </si>
  <si>
    <t>https://ieeexplore.ieee.org/abstract/document/89545</t>
  </si>
  <si>
    <t>Anderson, Miller</t>
  </si>
  <si>
    <t>https://link.springer.com/article/10.1007/BF01759076</t>
  </si>
  <si>
    <t>Bhatt, Diks, Hagerup, Prasad, Radzik, Saxena</t>
  </si>
  <si>
    <t>https://www.sciencedirect.com/science/article/pii/089054019190031V</t>
  </si>
  <si>
    <t>https://pure.mpg.de/pubman/faces/ViewItemOverviewPage.jsp?itemId=item_1834995</t>
  </si>
  <si>
    <t>https://dl.acm.org/doi/pdf/10.1145/103418.103452</t>
  </si>
  <si>
    <t>Matias, Vishkin</t>
  </si>
  <si>
    <t>https://www.sciencedirect.com/science/article/pii/019667749190034V</t>
  </si>
  <si>
    <r>
      <rPr>
        <rFont val="Arial"/>
        <color theme="1"/>
      </rPr>
      <t xml:space="preserve">Cube Sort </t>
    </r>
    <r>
      <rPr>
        <rFont val="Arial"/>
        <b/>
        <color theme="1"/>
      </rPr>
      <t xml:space="preserve">Parallel Implementation </t>
    </r>
    <r>
      <rPr>
        <rFont val="Arial"/>
        <color theme="1"/>
      </rPr>
      <t>- Cypher, Sanz</t>
    </r>
  </si>
  <si>
    <t>$O(n log^2 n / (p log (n/p))$</t>
  </si>
  <si>
    <t>Varman, Doshi</t>
  </si>
  <si>
    <t>https://www.computer.org/csdl/journal/tc/1992/01/t0097/13rRUILLkD1</t>
  </si>
  <si>
    <t>O((n log n/p)+log/sup 2/ p)</t>
  </si>
  <si>
    <t>Shi, Schaeffer</t>
  </si>
  <si>
    <t>https://www.sciencedirect.com/science/article/pii/074373159290075X</t>
  </si>
  <si>
    <t>assymptotically optimal when n&gt;=p^3</t>
  </si>
  <si>
    <t>MIMD</t>
  </si>
  <si>
    <t>Corbett, Scherson</t>
  </si>
  <si>
    <t>https://www.computer.org/csdl/journal/td/1992/05/l0626/13rRUxly9dj</t>
  </si>
  <si>
    <t>Rajesekaran, Sen</t>
  </si>
  <si>
    <t>https://www.cse.iitd.ac.in/~sSen/journals/acta.pdf</t>
  </si>
  <si>
    <t>Hagerup, Raman</t>
  </si>
  <si>
    <t>https://pure.mpg.de/pubman/faces/ViewItemOverviewPage.jsp?itemId=item_1834884</t>
  </si>
  <si>
    <t>https://dl.acm.org/doi/pdf/10.1145/165231.157380</t>
  </si>
  <si>
    <t>Kale, Krishnan</t>
  </si>
  <si>
    <t>https://ieeexplore.ieee.org/abstract/document/4134268</t>
  </si>
  <si>
    <t>Vaidyanathan, Hartmann, Varshney</t>
  </si>
  <si>
    <t>https://ieeexplore.ieee.org/abstract/document/262880</t>
  </si>
  <si>
    <t>Leighton, Maggs, Ranade, Rao</t>
  </si>
  <si>
    <t>https://www.sciencedirect.com/science/article/pii/S0196677484710303</t>
  </si>
  <si>
    <t>Goodrich, Matias, Vishkin</t>
  </si>
  <si>
    <t>https://dl.acm.org/doi/pdf/10.5555/314464.314499</t>
  </si>
  <si>
    <t>Non-comparison (? integer) sorting</t>
  </si>
  <si>
    <t>Han and Shen</t>
  </si>
  <si>
    <t>https://link.springer.com/chapter/10.1007/BFb0030847</t>
  </si>
  <si>
    <t>O(n log log min(m,n)/p + log n)</t>
  </si>
  <si>
    <t>O(n min(log log n, log log m/log n))</t>
  </si>
  <si>
    <t>n: size of list
p: number of processors
0&lt;=ints&lt;=m-1</t>
  </si>
  <si>
    <t>CRCW PRAM; arbitrary CRCW PRAM</t>
  </si>
  <si>
    <t>Bast, Hagerup</t>
  </si>
  <si>
    <t>https://www.infona.pl/resource/bwmeta1.element.elsevier-27dbeebf-1d67-3c08-a222-c630ae81af5c</t>
  </si>
  <si>
    <t>Andersson</t>
  </si>
  <si>
    <t>https://ieeexplore.ieee.org/abstract/document/548472</t>
  </si>
  <si>
    <t>O(n sqrt(log n))</t>
  </si>
  <si>
    <t>https://dl.acm.org/doi/pdf/10.1145/237814.237870</t>
  </si>
  <si>
    <t>Shear-sort - De et al.</t>
  </si>
  <si>
    <t>https://ieeexplore.ieee.org/abstract/document/628397</t>
  </si>
  <si>
    <t>O(n^(1/4))</t>
  </si>
  <si>
    <t>sqrt(n) ??</t>
  </si>
  <si>
    <t>Albers, Hagerup (1)</t>
  </si>
  <si>
    <t>https://www.sciencedirect.com/science/article/pii/S0890540197926328</t>
  </si>
  <si>
    <t>O(t)
t&gt;=log n loglog n</t>
  </si>
  <si>
    <t>O(log n loglog n)</t>
  </si>
  <si>
    <t>O(n sqrt(log n loglog n) + n log^2(n)/t)</t>
  </si>
  <si>
    <t>n: size of list
t&gt;=log n loglog n
0&lt;=ints&lt;=n</t>
  </si>
  <si>
    <t>Albers, Hagerup (2)</t>
  </si>
  <si>
    <t>O(t)
t&gt;=log n</t>
  </si>
  <si>
    <t>O(n sqrt(log n) + n log n/2^(t/log n))</t>
  </si>
  <si>
    <t>n: size of list
0&lt;=ints&lt;=n
t&gt;=log n</t>
  </si>
  <si>
    <t>Albers, Hagerup (3)</t>
  </si>
  <si>
    <t>n: size of list
0&lt;=ints&lt;=m</t>
  </si>
  <si>
    <t>EREW PRAM
(nonstandard  word length of O(log n loglog n log m) bits</t>
  </si>
  <si>
    <t>Helman, Bader, JaJa</t>
  </si>
  <si>
    <t>https://www.sciencedirect.com/science/article/abs/pii/S0743731598914629</t>
  </si>
  <si>
    <t>Dessmark, Lingas</t>
  </si>
  <si>
    <t>https://www.sciencedirect.com/science/article/abs/pii/S0743731597914015</t>
  </si>
  <si>
    <t>Suehiro, Murai, Seo</t>
  </si>
  <si>
    <t>https://dl.acm.org/doi/pdf/10.1145/277830.277904</t>
  </si>
  <si>
    <t>Cheng, Shah, Gilbert, Edelman</t>
  </si>
  <si>
    <t>https://sites.cs.ucsb.edu/~gilbert/cs140resources/old/cs140Win2011/slides/ViralParallelSort.pdf</t>
  </si>
  <si>
    <t>O(n log n /p + gn/p +log n max(L,gp^2 log(n))</t>
  </si>
  <si>
    <t>O(log n max(L,gp^2 log(n)) ?</t>
  </si>
  <si>
    <t>O(n log n + gn +log n max(Lp,gp^3 log(n))</t>
  </si>
  <si>
    <t>n: size of list
p: number of processors
L: minimum amount of time between subsequent rounds of communication
g: measure of bandwidth in time per message size</t>
  </si>
  <si>
    <t>Space complexity: O(p^2 +n/p)</t>
  </si>
  <si>
    <t>partition and concurrent merging (PCM) - Herruzo, Ruiz, Benavides, Plata</t>
  </si>
  <si>
    <t>https://ieeexplore.ieee.org/abstract/document/4135254</t>
  </si>
  <si>
    <t>O(n/p log (n/p)) + O(n)</t>
  </si>
  <si>
    <t>O(n log (n/p) +np)</t>
  </si>
  <si>
    <t>Multi-sort - Rakesh</t>
  </si>
  <si>
    <t>https://link.springer.com/article/10.1007/s11227-010-0404-4</t>
  </si>
  <si>
    <t>O(n^(5/4))</t>
  </si>
  <si>
    <t>SIMD, multi-mesh of trees (MMT) architecture</t>
  </si>
  <si>
    <t>n ?</t>
  </si>
  <si>
    <t>Alquaied, Almudaifer and AlShaya</t>
  </si>
  <si>
    <t>https://ieeexplore.ieee.org/abstract/document/5877001</t>
  </si>
  <si>
    <t>yes (page 2)</t>
  </si>
  <si>
    <t>O(\log \log n)</t>
  </si>
  <si>
    <t>$O(log log n)$</t>
  </si>
  <si>
    <t>$O(n^2+nP)$</t>
  </si>
  <si>
    <t>"parallel system"</t>
  </si>
  <si>
    <t>$P$</t>
  </si>
  <si>
    <t>$O(\log^4 n)$</t>
  </si>
  <si>
    <t>$O(n\log^4 n)$?</t>
  </si>
  <si>
    <t>$O(log^3 n)$</t>
  </si>
  <si>
    <t>no?</t>
  </si>
  <si>
    <t>Least Common Subsequence</t>
  </si>
  <si>
    <t>Lu &amp; Lin</t>
  </si>
  <si>
    <t>https://ieeexplore.ieee.org/document/298210</t>
  </si>
  <si>
    <t>O(log^2 m + log n)</t>
  </si>
  <si>
    <t>O(mn (log m + log n/log m))</t>
  </si>
  <si>
    <t>m: length of shorter string
n: length of longer string</t>
  </si>
  <si>
    <t>O(mn/log m)</t>
  </si>
  <si>
    <t>O(log^2 m log log m) if 
log^2 m log log m &gt; log n else
O(log n)</t>
  </si>
  <si>
    <t>O(log^2 m log log m) 
if log^2 m log log m 
&gt; log n else O(log n)</t>
  </si>
  <si>
    <t>O(mn/(log^2 m 
log log m)) if
log^2 m log log m
&lt; log n else
O(mn/log n)</t>
  </si>
  <si>
    <t>Aggarwal &amp; Park</t>
  </si>
  <si>
    <t>https://ieeexplore.ieee.org/document/21966</t>
  </si>
  <si>
    <t>O(log m log n)</t>
  </si>
  <si>
    <t>O(mn log n)</t>
  </si>
  <si>
    <t>Apostolico</t>
  </si>
  <si>
    <t>https://www.proquest.com/openview/efa7264fa824ce7768c53ccdcc6d1458/1?pq-origsite=gscholar&amp;cbl=666313</t>
  </si>
  <si>
    <t>Mathies</t>
  </si>
  <si>
    <t>https://kilthub.cmu.edu/articles/journal_contribution/A_fast_parallel_algorithm_to_determine_edit_distance/6587387/1</t>
  </si>
  <si>
    <t>O(mn log m log n)</t>
  </si>
  <si>
    <t>O(V^3*log(V)/p)</t>
  </si>
  <si>
    <t>(see max flow in sheet1)</t>
  </si>
  <si>
    <t>Shiloach</t>
  </si>
  <si>
    <t>http://users.umiacs.umd.edu/~vishkin/TEACHING/4CLASS/SV82-maxflow.pdf</t>
  </si>
  <si>
    <t>$O(V^3*log(V)/p)$</t>
  </si>
  <si>
    <t>$O(V^3*log(V))$</t>
  </si>
  <si>
    <t>yes relative to sequential algorithm described in paper</t>
  </si>
  <si>
    <t>V: number of vertices
E: number of edges
U: maximum edge capacity
p: number of processors</t>
  </si>
  <si>
    <t>Parallel RAM (unclear what type; seems like any could work?)</t>
  </si>
  <si>
    <t>O(V^1.66 log(V) log(U))</t>
  </si>
  <si>
    <t>Goldberg &amp; Rao (Parallel)</t>
  </si>
  <si>
    <t>$O(V^1.66 log(V) log(U))$</t>
  </si>
  <si>
    <t>$O(V^2.66 log(V) log(U))$?</t>
  </si>
  <si>
    <t>Derived</t>
  </si>
  <si>
    <t>O(E^0.5 V log(V) log(U))</t>
  </si>
  <si>
    <t>$O(E^0.5 V log(V) log(U))$</t>
  </si>
  <si>
    <t>$O(E^0.5 V^2 log(V) log(U))$?</t>
  </si>
  <si>
    <t>Dekel; Nassimi &amp; Sahni</t>
  </si>
  <si>
    <t>https://epubs.siam.org/doi/abs/10.1137/0210049</t>
  </si>
  <si>
    <t>SIMD-PS, SIMD-CC</t>
  </si>
  <si>
    <r>
      <rPr>
        <rFont val="Arial"/>
      </rPr>
      <t xml:space="preserve">originally found in  </t>
    </r>
    <r>
      <rPr>
        <rFont val="Arial"/>
        <color rgb="FF1155CC"/>
        <u/>
      </rPr>
      <t>https://dl.acm.org/doi/pdf/10.1145/2514.2515</t>
    </r>
  </si>
  <si>
    <t>Strassen</t>
  </si>
  <si>
    <t>A. CHANDRA, Maximal parallelism in matrix multiplication, IBM Tech. Rept. R C 6193, Sept. 1976</t>
  </si>
  <si>
    <t>O(n^{log 7}/p)</t>
  </si>
  <si>
    <t>Frieze &amp; Rudolph</t>
  </si>
  <si>
    <t>http://math.cmu.edu/~af1p/Texfiles/PARALLELALG.pdf</t>
  </si>
  <si>
    <t xml:space="preserve"> Zhang, Wu, Wei &amp; Wang</t>
  </si>
  <si>
    <t>https://www.sciencedirect.com/science/article/pii/S1051200411000650</t>
  </si>
  <si>
    <t>Ajtai &amp; Megiddo</t>
  </si>
  <si>
    <t>https://epubs.siam.org/doi/pdf/10.1137/S0097539792234858</t>
  </si>
  <si>
    <t>O((log log n)^d)</t>
  </si>
  <si>
    <t>O(n(log log n)^d)</t>
  </si>
  <si>
    <t>n: number of constraints
d: number of dimensions</t>
  </si>
  <si>
    <t>https://dl.acm.org/doi/pdf/10.1145/167088.167211</t>
  </si>
  <si>
    <t>O(log n(log log n)^(d-1))</t>
  </si>
  <si>
    <t>O(nlog n(log log n)^(d-1))</t>
  </si>
  <si>
    <t xml:space="preserve">General Linear Programming 
</t>
  </si>
  <si>
    <t>Alon &amp; Megiddo</t>
  </si>
  <si>
    <t>https://ieeexplore.ieee.org/document/89578</t>
  </si>
  <si>
    <t>O(d^2 log^2 d) with probability approaching 1</t>
  </si>
  <si>
    <t>O(d^3 n)</t>
  </si>
  <si>
    <t>O(nd/log^2 d)</t>
  </si>
  <si>
    <t>General Linear Programming 
(only 2 -dimensional)</t>
  </si>
  <si>
    <t>Deng</t>
  </si>
  <si>
    <t>https://www.sciencedirect.com/science/article/pii/002001909090026T?ref=pdf_download&amp;fr=RR-2&amp;rr=7d29f5c94c8e2249</t>
  </si>
  <si>
    <t>n: number of constraints</t>
  </si>
  <si>
    <t>$O(n\log^2(n) + k\log(n))$</t>
  </si>
  <si>
    <t>yes (but algo is not optimal)</t>
  </si>
  <si>
    <t>yes, implicitly (can't do better than sorting)</t>
  </si>
  <si>
    <t>$O(E\log V+V)$?</t>
  </si>
  <si>
    <t>$O(E\log V+V)$? (sequentially)</t>
  </si>
  <si>
    <t>$O(V^2)$? ("cost of transferring from one search to another")</t>
  </si>
  <si>
    <t>$O((V+E)*\alpha(V, E))$</t>
  </si>
  <si>
    <t>$p$</t>
  </si>
  <si>
    <t>$O(E\log V+V)$? (see FB algorithm)</t>
  </si>
  <si>
    <t>$O(E)$??</t>
  </si>
  <si>
    <r>
      <rPr>
        <rFont val="Arial"/>
        <color rgb="FF1155CC"/>
        <u/>
      </rPr>
      <t>http://essay.utwente.nl/67128/1/Bloemen_MA_EEMCS.pdf</t>
    </r>
    <r>
      <rPr>
        <rFont val="Arial"/>
      </rPr>
      <t xml:space="preserve"> (for work)</t>
    </r>
  </si>
  <si>
    <r>
      <rPr>
        <rFont val="Arial"/>
        <color rgb="FF1155CC"/>
        <u/>
      </rPr>
      <t>http://essay.utwente.nl/67128/1/Bloemen_MA_EEMCS.pdf</t>
    </r>
    <r>
      <rPr>
        <rFont val="Arial"/>
      </rPr>
      <t xml:space="preserve"> (for work)</t>
    </r>
  </si>
  <si>
    <t>Geldenhuys-Valmari</t>
  </si>
  <si>
    <t>(follow-up from Tarjan's algorithm)</t>
  </si>
  <si>
    <t>BFS method</t>
  </si>
  <si>
    <t>Reghbati (Arjomandi) and Corneil</t>
  </si>
  <si>
    <t>https://epubs.siam.org/doi/abs/10.1137/0207020</t>
  </si>
  <si>
    <t>T/p+L log(p)+2n</t>
  </si>
  <si>
    <t>yes - compares to sequential BFS search algorithm; "superior to sequential algorithm for h-dense graphs where h&gt;=ceiling(log k)+7 (h-dense: #edges&gt;=h*n/2)"</t>
  </si>
  <si>
    <t>n: number of vertices
m: number of edges
p: number of processors
d: diameter of graph
L: distance of node farhest from start node
T: complexity of optimal sequantial BFS algo</t>
  </si>
  <si>
    <t>SIMD-SM-R (CREW PRAM?)</t>
  </si>
  <si>
    <r>
      <rPr>
        <rFont val="Arial"/>
      </rPr>
      <t xml:space="preserve">originally found in  </t>
    </r>
    <r>
      <rPr>
        <rFont val="Arial"/>
        <color rgb="FF1155CC"/>
        <u/>
      </rPr>
      <t>https://dl.acm.org/doi/pdf/10.1145/2514.2515</t>
    </r>
  </si>
  <si>
    <t>SCCs; Transitive Closure</t>
  </si>
  <si>
    <t>Transitive closure method</t>
  </si>
  <si>
    <t>n^3</t>
  </si>
  <si>
    <t>promised to have "proof of correctness and details of timing": https://dl.acm.org/doi/book/10.5555/908319; originally found in  https://dl.acm.org/doi/pdf/10.1145/2514.2515</t>
  </si>
  <si>
    <t>https://cir.nii.ac.jp/crid/1573105974323147776</t>
  </si>
  <si>
    <t>n^(log7)/log(n)</t>
  </si>
  <si>
    <r>
      <rPr>
        <rFont val="Arial"/>
      </rPr>
      <t xml:space="preserve">originally found in  </t>
    </r>
    <r>
      <rPr>
        <rFont val="Arial"/>
        <color rgb="FF1155CC"/>
        <u/>
      </rPr>
      <t>https://dl.acm.org/doi/pdf/10.1145/2514.2515</t>
    </r>
  </si>
  <si>
    <t>Vertex collapse method</t>
  </si>
  <si>
    <t>https://dl.acm.org/doi/abs/10.1145/800113.803631</t>
  </si>
  <si>
    <t>O(log^2(n)) ?</t>
  </si>
  <si>
    <t>O(n^3 log^2(n)) ?</t>
  </si>
  <si>
    <r>
      <rPr>
        <rFont val="Arial"/>
      </rPr>
      <t xml:space="preserve">originally found in  </t>
    </r>
    <r>
      <rPr>
        <rFont val="Arial"/>
        <color rgb="FF1155CC"/>
        <u/>
      </rPr>
      <t>https://dl.acm.org/doi/pdf/10.1145/2514.2515</t>
    </r>
  </si>
  <si>
    <t>O(n^2 log^2(n)) ?</t>
  </si>
  <si>
    <r>
      <rPr>
        <rFont val="Arial"/>
      </rPr>
      <t xml:space="preserve">originally found in  </t>
    </r>
    <r>
      <rPr>
        <rFont val="Arial"/>
        <color rgb="FF1155CC"/>
        <u/>
      </rPr>
      <t>https://dl.acm.org/doi/pdf/10.1145/2514.2515</t>
    </r>
  </si>
  <si>
    <t>Hirschberg et al.</t>
  </si>
  <si>
    <t>https://dl.acm.org/doi/abs/10.1145/359138.359141</t>
  </si>
  <si>
    <t xml:space="preserve">O(n^2 log^2(n)) </t>
  </si>
  <si>
    <t>n ceilling(n/log(n))</t>
  </si>
  <si>
    <r>
      <rPr>
        <rFont val="Arial"/>
      </rPr>
      <t xml:space="preserve">originally found in  </t>
    </r>
    <r>
      <rPr>
        <rFont val="Arial"/>
        <color rgb="FF1155CC"/>
        <u/>
      </rPr>
      <t>https://dl.acm.org/doi/pdf/10.1145/2514.2515</t>
    </r>
  </si>
  <si>
    <t>Wyllie</t>
  </si>
  <si>
    <t>https://hdl.handle.net/1813/7502</t>
  </si>
  <si>
    <t>MIMD-TC-R</t>
  </si>
  <si>
    <t>n+2m</t>
  </si>
  <si>
    <r>
      <rPr>
        <rFont val="Arial"/>
      </rPr>
      <t xml:space="preserve">originally found in  </t>
    </r>
    <r>
      <rPr>
        <rFont val="Arial"/>
        <color rgb="FF1155CC"/>
        <u/>
      </rPr>
      <t>https://dl.acm.org/doi/pdf/10.1145/2514.2515</t>
    </r>
  </si>
  <si>
    <t>https://epubs.siam.org/doi/abs/10.1137/0209058</t>
  </si>
  <si>
    <t>O(n^0.5 log(n))</t>
  </si>
  <si>
    <r>
      <rPr>
        <rFont val="Arial"/>
      </rPr>
      <t xml:space="preserve">originally found in  </t>
    </r>
    <r>
      <rPr>
        <rFont val="Arial"/>
        <color rgb="FF1155CC"/>
        <u/>
      </rPr>
      <t>https://dl.acm.org/doi/pdf/10.1145/2514.2515</t>
    </r>
  </si>
  <si>
    <t>Chin et al.</t>
  </si>
  <si>
    <t>https://dl.acm.org/doi/pdf/10.1145/358628.358650</t>
  </si>
  <si>
    <t>n ceilling(n/log^2(n))</t>
  </si>
  <si>
    <t>originally found in  https://dl.acm.org/doi/pdf/10.1145/2514.2515
refrenced this https://hub.hku.hk/handle/10722/151778 ? don't have access to it but same authors, maybe same content?</t>
  </si>
  <si>
    <t>Savage and Ja'Ja'</t>
  </si>
  <si>
    <t>https://epubs.siam.org/doi/abs/10.1137/0210051</t>
  </si>
  <si>
    <t>O(log(n)log(d))</t>
  </si>
  <si>
    <t>n^3/log(n)</t>
  </si>
  <si>
    <r>
      <rPr>
        <rFont val="Arial"/>
      </rPr>
      <t xml:space="preserve">originally found in  </t>
    </r>
    <r>
      <rPr>
        <rFont val="Arial"/>
        <color rgb="FF1155CC"/>
        <u/>
      </rPr>
      <t>https://dl.acm.org/doi/pdf/10.1145/2514.2515</t>
    </r>
  </si>
  <si>
    <t>m+n log(n)</t>
  </si>
  <si>
    <r>
      <rPr>
        <rFont val="Arial"/>
      </rPr>
      <t xml:space="preserve">originally found in  </t>
    </r>
    <r>
      <rPr>
        <rFont val="Arial"/>
        <color rgb="FF1155CC"/>
        <u/>
      </rPr>
      <t>https://dl.acm.org/doi/pdf/10.1145/2514.2515</t>
    </r>
  </si>
  <si>
    <t>Savage</t>
  </si>
  <si>
    <t>https://link.springer.com/chapter/10.1007/978-3-642-68402-9_32</t>
  </si>
  <si>
    <t>Systolic array</t>
  </si>
  <si>
    <t>n+1</t>
  </si>
  <si>
    <r>
      <rPr>
        <rFont val="Arial"/>
      </rPr>
      <t xml:space="preserve">originally found in  </t>
    </r>
    <r>
      <rPr>
        <rFont val="Arial"/>
        <color rgb="FF1155CC"/>
        <u/>
      </rPr>
      <t>https://dl.acm.org/doi/pdf/10.1145/2514.2515</t>
    </r>
  </si>
  <si>
    <t>Nath and Maheshwari</t>
  </si>
  <si>
    <t>https://www.sciencedirect.com/science/article/pii/0020019082901314</t>
  </si>
  <si>
    <t>SIMD-SM (EREW PRAM?)</t>
  </si>
  <si>
    <r>
      <rPr>
        <rFont val="Arial"/>
      </rPr>
      <t xml:space="preserve">originally found in  </t>
    </r>
    <r>
      <rPr>
        <rFont val="Arial"/>
        <color rgb="FF1155CC"/>
        <u/>
      </rPr>
      <t>https://dl.acm.org/doi/pdf/10.1145/2514.2515</t>
    </r>
  </si>
  <si>
    <t>SHILOACH, Y., AND VISHKIN, U. 1982a. An O(log n) parallel connectivity algorithm. J Algorithms 3, 1 (Mar.), 57-67.</t>
  </si>
  <si>
    <t>SIMD-SM-RW (probabalistic) (CRCW PRAM?)</t>
  </si>
  <si>
    <r>
      <rPr>
        <rFont val="Arial"/>
      </rPr>
      <t xml:space="preserve">originally found in  </t>
    </r>
    <r>
      <rPr>
        <rFont val="Arial"/>
        <color rgb="FF1155CC"/>
        <u/>
      </rPr>
      <t>https://dl.acm.org/doi/pdf/10.1145/2514.2515</t>
    </r>
  </si>
  <si>
    <t>Kucera</t>
  </si>
  <si>
    <t>https://www.sciencedirect.com/science/article/pii/002001908290093X</t>
  </si>
  <si>
    <t>SIMD-SM-RW (CRCW PRAM?)</t>
  </si>
  <si>
    <t>n^4</t>
  </si>
  <si>
    <r>
      <rPr>
        <rFont val="Arial"/>
      </rPr>
      <t xml:space="preserve">originally found in  </t>
    </r>
    <r>
      <rPr>
        <rFont val="Arial"/>
        <color rgb="FF1155CC"/>
        <u/>
      </rPr>
      <t>https://dl.acm.org/doi/pdf/10.1145/2514.2515</t>
    </r>
  </si>
  <si>
    <t>Reif and Spirakis</t>
  </si>
  <si>
    <t>https://apps.dtic.mil/sti/citations/ADA114875</t>
  </si>
  <si>
    <t>O(log log(n)) (expected)</t>
  </si>
  <si>
    <t>O(n^2) (expected)</t>
  </si>
  <si>
    <r>
      <rPr>
        <rFont val="Arial"/>
      </rPr>
      <t xml:space="preserve">originally found in  </t>
    </r>
    <r>
      <rPr>
        <rFont val="Arial"/>
        <color rgb="FF1155CC"/>
        <u/>
      </rPr>
      <t>https://dl.acm.org/doi/pdf/10.1145/2514.2515</t>
    </r>
  </si>
  <si>
    <t>Hambrusch</t>
  </si>
  <si>
    <t>https://www.proquest.com/docview/303249065?pq-origsite=gscholar&amp;fromopenview=true</t>
  </si>
  <si>
    <t>O(n^(3/2))</t>
  </si>
  <si>
    <r>
      <rPr>
        <rFont val="Arial"/>
      </rPr>
      <t xml:space="preserve">originally found in  </t>
    </r>
    <r>
      <rPr>
        <rFont val="Arial"/>
        <color rgb="FF1155CC"/>
        <u/>
      </rPr>
      <t>https://dl.acm.org/doi/pdf/10.1145/2514.2515</t>
    </r>
  </si>
  <si>
    <r>
      <rPr>
        <rFont val="Arial"/>
        <color theme="1"/>
      </rPr>
      <t xml:space="preserve">Bader &amp; Cong </t>
    </r>
    <r>
      <rPr>
        <rFont val="Arial"/>
        <b/>
        <color theme="1"/>
      </rPr>
      <t>Parallel Implementation</t>
    </r>
    <r>
      <rPr>
        <rFont val="Arial"/>
        <color theme="1"/>
      </rPr>
      <t xml:space="preserve"> </t>
    </r>
  </si>
  <si>
    <t>$O(E\log(V)/p)$</t>
  </si>
  <si>
    <t>$O(E\log(V)$</t>
  </si>
  <si>
    <t>only experimentally?</t>
  </si>
  <si>
    <t>Nobari, Cao, Karras, Bressan</t>
  </si>
  <si>
    <t>https://dl.acm.org/doi/pdf/10.1145/2145816.2145842</t>
  </si>
  <si>
    <t>O(E\log(V))</t>
  </si>
  <si>
    <t>Kruskal method</t>
  </si>
  <si>
    <t xml:space="preserve">Levitt and Kautz </t>
  </si>
  <si>
    <t>https://dl.acm.org/doi/abs/10.1145/361573.361576</t>
  </si>
  <si>
    <t>"Systolic array"</t>
  </si>
  <si>
    <r>
      <rPr>
        <rFont val="Arial"/>
      </rPr>
      <t xml:space="preserve">originally found in  </t>
    </r>
    <r>
      <rPr>
        <rFont val="Arial"/>
        <color rgb="FF1155CC"/>
        <u/>
      </rPr>
      <t>https://dl.acm.org/doi/pdf/10.1145/2514.2515</t>
    </r>
  </si>
  <si>
    <t>O(N-n+1)</t>
  </si>
  <si>
    <t>O(N*n^2)</t>
  </si>
  <si>
    <t>n: number of vertices
N: number of edges</t>
  </si>
  <si>
    <r>
      <rPr>
        <rFont val="Arial"/>
      </rPr>
      <t xml:space="preserve">originally found in  </t>
    </r>
    <r>
      <rPr>
        <rFont val="Arial"/>
        <color rgb="FF1155CC"/>
        <u/>
      </rPr>
      <t>https://dl.acm.org/doi/pdf/10.1145/2514.2515</t>
    </r>
  </si>
  <si>
    <t>Sollin method</t>
  </si>
  <si>
    <t>O(n^2*log n)</t>
  </si>
  <si>
    <r>
      <rPr>
        <rFont val="Arial"/>
      </rPr>
      <t xml:space="preserve">originally found in  </t>
    </r>
    <r>
      <rPr>
        <rFont val="Arial"/>
        <color rgb="FF1155CC"/>
        <u/>
      </rPr>
      <t>https://dl.acm.org/doi/pdf/10.1145/2514.2515</t>
    </r>
  </si>
  <si>
    <t>connected, undirected, weighted</t>
  </si>
  <si>
    <t>https://www.proquest.com/docview/302856503?pq-origsite=gscholar&amp;fromopenview=true</t>
  </si>
  <si>
    <t>O(n^2) ??</t>
  </si>
  <si>
    <t>yes? speedup=O(n^2/log^2(n))
efficiency=O(1/log(n))</t>
  </si>
  <si>
    <t>n^2/log(n)</t>
  </si>
  <si>
    <r>
      <rPr>
        <rFont val="Arial"/>
      </rPr>
      <t xml:space="preserve">originally found in  </t>
    </r>
    <r>
      <rPr>
        <rFont val="Arial"/>
        <color rgb="FF1155CC"/>
        <u/>
      </rPr>
      <t>https://dl.acm.org/doi/pdf/10.1145/2514.2516</t>
    </r>
  </si>
  <si>
    <t>Prim-Dijkstra method</t>
  </si>
  <si>
    <t>https://www.sciencedirect.com/science/article/pii/0196677480900048</t>
  </si>
  <si>
    <t>O(n log(n))</t>
  </si>
  <si>
    <t>"tree"</t>
  </si>
  <si>
    <r>
      <rPr>
        <rFont val="Arial"/>
      </rPr>
      <t xml:space="preserve">originally found in  </t>
    </r>
    <r>
      <rPr>
        <rFont val="Arial"/>
        <color rgb="FF1155CC"/>
        <u/>
      </rPr>
      <t>https://dl.acm.org/doi/pdf/10.1145/2514.2517</t>
    </r>
  </si>
  <si>
    <t>Prim-Dijkstra method or Solin ??</t>
  </si>
  <si>
    <t>Deo and Yoo</t>
  </si>
  <si>
    <t>DEO, N., AND YOO, Y. B. 1981. Parallel algorithms for the minimum spanning tree problem.</t>
  </si>
  <si>
    <t>MIMD-TC</t>
  </si>
  <si>
    <r>
      <rPr>
        <rFont val="Arial"/>
      </rPr>
      <t xml:space="preserve">originally found in  </t>
    </r>
    <r>
      <rPr>
        <rFont val="Arial"/>
        <color rgb="FF1155CC"/>
        <u/>
      </rPr>
      <t>https://dl.acm.org/doi/pdf/10.1145/2514.2518</t>
    </r>
  </si>
  <si>
    <t>SIMD-SM-SR</t>
  </si>
  <si>
    <r>
      <rPr>
        <rFont val="Arial"/>
      </rPr>
      <t xml:space="preserve">originally found in  </t>
    </r>
    <r>
      <rPr>
        <rFont val="Arial"/>
        <color rgb="FF1155CC"/>
        <u/>
      </rPr>
      <t>https://dl.acm.org/doi/pdf/10.1145/2514.2519</t>
    </r>
  </si>
  <si>
    <r>
      <rPr>
        <rFont val="Arial"/>
      </rPr>
      <t xml:space="preserve">originally found in  </t>
    </r>
    <r>
      <rPr>
        <rFont val="Arial"/>
        <color rgb="FF1155CC"/>
        <u/>
      </rPr>
      <t>https://dl.acm.org/doi/pdf/10.1145/2514.2520</t>
    </r>
  </si>
  <si>
    <t>O(log(m))</t>
  </si>
  <si>
    <t>n: number of edges
m: number of edges</t>
  </si>
  <si>
    <t>mn^4</t>
  </si>
  <si>
    <r>
      <rPr>
        <rFont val="Arial"/>
      </rPr>
      <t xml:space="preserve">originally found in  </t>
    </r>
    <r>
      <rPr>
        <rFont val="Arial"/>
        <color rgb="FF1155CC"/>
        <u/>
      </rPr>
      <t>https://dl.acm.org/doi/pdf/10.1145/2514.2521</t>
    </r>
  </si>
  <si>
    <t>https://dl.acm.org/doi/abs/10.1145/358628.358650</t>
  </si>
  <si>
    <t>n ceiling(n/log^2(n))</t>
  </si>
  <si>
    <r>
      <rPr>
        <rFont val="Arial"/>
      </rPr>
      <t xml:space="preserve">originally found in  </t>
    </r>
    <r>
      <rPr>
        <rFont val="Arial"/>
        <color rgb="FF1155CC"/>
        <u/>
      </rPr>
      <t>https://dl.acm.org/doi/pdf/10.1145/2514.2522</t>
    </r>
  </si>
  <si>
    <r>
      <rPr>
        <rFont val="Arial"/>
      </rPr>
      <t xml:space="preserve">originally found in  </t>
    </r>
    <r>
      <rPr>
        <rFont val="Arial"/>
        <color rgb="FF1155CC"/>
        <u/>
      </rPr>
      <t>https://dl.acm.org/doi/pdf/10.1145/2514.2523</t>
    </r>
  </si>
  <si>
    <t>HIRSCHBERG, D. S. 1982. Parallel graph algorithms without memory conflicts.</t>
  </si>
  <si>
    <r>
      <rPr>
        <rFont val="Arial"/>
      </rPr>
      <t xml:space="preserve">originally found in  </t>
    </r>
    <r>
      <rPr>
        <rFont val="Arial"/>
        <color rgb="FF1155CC"/>
        <u/>
      </rPr>
      <t>https://dl.acm.org/doi/pdf/10.1145/2514.2524</t>
    </r>
  </si>
  <si>
    <t>Yoo</t>
  </si>
  <si>
    <t>https://www.osti.gov/biblio/5689584</t>
  </si>
  <si>
    <t>m: number of edges</t>
  </si>
  <si>
    <r>
      <rPr>
        <rFont val="Arial"/>
      </rPr>
      <t xml:space="preserve">originally found in  </t>
    </r>
    <r>
      <rPr>
        <rFont val="Arial"/>
        <color rgb="FF1155CC"/>
        <u/>
      </rPr>
      <t>https://dl.acm.org/doi/pdf/10.1145/2514.2525</t>
    </r>
  </si>
  <si>
    <t>Cole &amp; Gooddrich</t>
  </si>
  <si>
    <t>https://link.springer.com/article/10.1007/BF01758749</t>
  </si>
  <si>
    <t>Lenhof &amp; Smid</t>
  </si>
  <si>
    <t>https://pure.mpg.de/pubman/faces/ViewItemOverviewPage.jsp?itemId=item_1834886</t>
  </si>
  <si>
    <t>O((log n)^2 log log n)</t>
  </si>
  <si>
    <t>O(nlog n log log n + k)</t>
  </si>
  <si>
    <t>n: number of points
k: kth closest pair</t>
  </si>
  <si>
    <t>O(n/log n + k/((log n)^2 log log n))</t>
  </si>
  <si>
    <t>Word RAM with bit parallelism</t>
  </si>
  <si>
    <t>$O(n^{0.6})$</t>
  </si>
  <si>
    <t>$O(n^{1.6})$?</t>
  </si>
  <si>
    <r>
      <rPr>
        <rFont val="Arial"/>
        <color theme="1"/>
      </rPr>
      <t xml:space="preserve">Chan's algorithm </t>
    </r>
    <r>
      <rPr>
        <rFont val="Arial"/>
        <b/>
        <color theme="1"/>
      </rPr>
      <t>Parallel Implementation</t>
    </r>
  </si>
  <si>
    <t>$O(n\log n)$</t>
  </si>
  <si>
    <r>
      <rPr>
        <rFont val="Arial"/>
        <color theme="1"/>
      </rPr>
      <t xml:space="preserve">Dekel; Nassimi &amp; Sahni </t>
    </r>
    <r>
      <rPr>
        <rFont val="Arial"/>
        <b/>
        <color theme="1"/>
      </rPr>
      <t xml:space="preserve">Parallel Implementation </t>
    </r>
  </si>
  <si>
    <t>$O(\log^2 V)$</t>
  </si>
  <si>
    <t>https://www.proquest.com/docview/920003939?fromopenview=true&amp;pq-origsite=gscholar&amp;parentSessionId=sFqBaY3zmnfUFqEv4cfbNEqD%2FS7jMtMwgheB67Bgqws%3D</t>
  </si>
  <si>
    <t>$O(V^3\log^2 V)$?</t>
  </si>
  <si>
    <t>O(m+log(n))</t>
  </si>
  <si>
    <t>Schieber; Vishkin [Parallel]</t>
  </si>
  <si>
    <t>$O(m+\log(n))$</t>
  </si>
  <si>
    <t>https://epubs.siam.org/doi/epdf/10.1137/0217079</t>
  </si>
  <si>
    <t>O(n) total (auxiliary?)</t>
  </si>
  <si>
    <t>https://www.proquest.com/docview/919780720?pq-origsite=gscholar&amp;fromopenview=true</t>
  </si>
  <si>
    <t>Fischer, Heun</t>
  </si>
  <si>
    <t>https://citeseerx.ist.psu.edu/viewdoc/summary?doi=10.1.1.64.5439</t>
  </si>
  <si>
    <t>O(m*log(h))</t>
  </si>
  <si>
    <t>Kmett</t>
  </si>
  <si>
    <t>https://www.schoolofhaskell.com/user/edwardk/online-lca</t>
  </si>
  <si>
    <t>n: number of vertices
m: number of total number of operations (queries, links, and cuts)
h: height of tree</t>
  </si>
  <si>
    <t>Las Vegas?</t>
  </si>
  <si>
    <t>$O(n/\log n)$</t>
  </si>
  <si>
    <t>$O(1+\Delta/\epsilon)$</t>
  </si>
  <si>
    <t>n: number of people in set
Delta: maximum number of acceptable partners for one participant (usually O(1))
eps: error term</t>
  </si>
  <si>
    <t>https://di.ku.dk/forskning/Publikationer/tekniske_rapporter/tekniske-rapporter-1997/97-05.pdf</t>
  </si>
  <si>
    <t>Tomas Feder, Nimrod Megiddo, Serge A. Plotkin</t>
  </si>
  <si>
    <t>$O(\Delta^{0.5} \log^3(\Delta)$</t>
  </si>
  <si>
    <t>$O(\Delta^{4.5} \log^3(\Delta)$?</t>
  </si>
  <si>
    <t>n: number of men and number of women
Delta: maximum number of acceptable partners for one participant</t>
  </si>
  <si>
    <t>$\Delta^4$</t>
  </si>
  <si>
    <t>Maximum subarray problem</t>
  </si>
  <si>
    <t>1-dimensional</t>
  </si>
  <si>
    <t>Wen</t>
  </si>
  <si>
    <t>https://www.sciencedirect.com/science/article/abs/pii/016781919400063G</t>
  </si>
  <si>
    <t>O(log^2 n)</t>
  </si>
  <si>
    <t>Smith</t>
  </si>
  <si>
    <t>https://www.sciencedirect.com/science/article/pii/0167642387900347</t>
  </si>
  <si>
    <t>n: dimension of array</t>
  </si>
  <si>
    <t>PRAM (not sure which type)</t>
  </si>
  <si>
    <t>KALYAN PERUMALLA and NARSINGH DEO</t>
  </si>
  <si>
    <t>O(n^3 / log n)</t>
  </si>
  <si>
    <t>$O(\log^4(n))$</t>
  </si>
  <si>
    <t>$O(n/\log^4(n))$?</t>
  </si>
  <si>
    <t>$O(n^\epsilon)$</t>
  </si>
  <si>
    <t>$O(n \log^* n)$</t>
  </si>
  <si>
    <t>n: length of string
epsilon: time/space parameter</t>
  </si>
  <si>
    <t>https://people.cs.rutgers.edu/~farach/pubs/PRAMSuffixICALP.pdf</t>
  </si>
  <si>
    <t>$O(V + mE\log w)$</t>
  </si>
  <si>
    <t>m: length of input sequence
V: number of vertices
E: number of edges
w: size of word</t>
  </si>
  <si>
    <t>Warshall-Floyd method</t>
  </si>
  <si>
    <t>Levitt and Kautz</t>
  </si>
  <si>
    <r>
      <rPr>
        <rFont val="Arial"/>
      </rPr>
      <t xml:space="preserve">originally found in  </t>
    </r>
    <r>
      <rPr>
        <rFont val="Arial"/>
        <color rgb="FF1155CC"/>
        <u/>
      </rPr>
      <t>https://dl.acm.org/doi/pdf/10.1145/2514.2515</t>
    </r>
  </si>
  <si>
    <t>Arjomandi</t>
  </si>
  <si>
    <t>https://dl.acm.org/doi/abs/10.5555/908319</t>
  </si>
  <si>
    <r>
      <rPr>
        <rFont val="Arial"/>
      </rPr>
      <t xml:space="preserve">originally found in  </t>
    </r>
    <r>
      <rPr>
        <rFont val="Arial"/>
        <color rgb="FF1155CC"/>
        <u/>
      </rPr>
      <t>https://dl.acm.org/doi/pdf/10.1145/2514.2515</t>
    </r>
  </si>
  <si>
    <t>Repeated plus-min method</t>
  </si>
  <si>
    <t>https://apps.dtic.mil/sti/citations/ADA056888</t>
  </si>
  <si>
    <t>section 7.2, page 104</t>
  </si>
  <si>
    <t>O(n^3*log(n))</t>
  </si>
  <si>
    <r>
      <rPr>
        <rFont val="Arial"/>
      </rPr>
      <t xml:space="preserve">originally found in  </t>
    </r>
    <r>
      <rPr>
        <rFont val="Arial"/>
        <color rgb="FF1155CC"/>
        <u/>
      </rPr>
      <t>https://dl.acm.org/doi/pdf/10.1145/2514.2515</t>
    </r>
  </si>
  <si>
    <t>Deo et al.</t>
  </si>
  <si>
    <t>https://cir.nii.ac.jp/crid/1571698600670249216</t>
  </si>
  <si>
    <t>O(n^3/p+pn)</t>
  </si>
  <si>
    <t>p&lt;&lt;n</t>
  </si>
  <si>
    <r>
      <rPr>
        <rFont val="Arial"/>
      </rPr>
      <t xml:space="preserve">originally found in  </t>
    </r>
    <r>
      <rPr>
        <rFont val="Arial"/>
        <color rgb="FF1155CC"/>
        <u/>
      </rPr>
      <t>https://dl.acm.org/doi/pdf/10.1145/2514.2515</t>
    </r>
  </si>
  <si>
    <t>O(n^3*log^2(n))</t>
  </si>
  <si>
    <r>
      <rPr>
        <rFont val="Arial"/>
      </rPr>
      <t xml:space="preserve">originally found in  </t>
    </r>
    <r>
      <rPr>
        <rFont val="Arial"/>
        <color rgb="FF1155CC"/>
        <u/>
      </rPr>
      <t>https://dl.acm.org/doi/pdf/10.1145/2514.2515</t>
    </r>
  </si>
  <si>
    <t>O(n^4*log(n))</t>
  </si>
  <si>
    <r>
      <rPr>
        <rFont val="Arial"/>
      </rPr>
      <t xml:space="preserve">originally found in  </t>
    </r>
    <r>
      <rPr>
        <rFont val="Arial"/>
        <color rgb="FF1155CC"/>
        <u/>
      </rPr>
      <t>https://dl.acm.org/doi/pdf/10.1145/2514.2515</t>
    </r>
  </si>
  <si>
    <t>O(log log n)
Work: O(n^3 log log n)</t>
  </si>
  <si>
    <t>"Edge lengths are independent identically distributed nonnegative random variables. Each edge length has a distribution function F with F(0)=0 and that F is differentiable at zero."</t>
  </si>
  <si>
    <t>CRCW</t>
  </si>
  <si>
    <t>Jenq &amp; Sahni</t>
  </si>
  <si>
    <t>https://digitalcommons.montclair.edu/compusci-facpubs/96/</t>
  </si>
  <si>
    <t>O(log log n)</t>
  </si>
  <si>
    <t>"elements of the input distance matrix are independent random variables drawn from an identical distribution. "</t>
  </si>
  <si>
    <t>Takaoka</t>
  </si>
  <si>
    <t>https://link.springer.com/content/pdf/10.1007/3-540-50728-0_51.pdf</t>
  </si>
  <si>
    <t xml:space="preserve">SIMD-SM-RW </t>
  </si>
  <si>
    <t>n^{2.5+1/\alpha)</t>
  </si>
  <si>
    <t>https://www.sciencedirect.com/science/article/pii/002001909290200F</t>
  </si>
  <si>
    <t>O(n^3*(log n)^{1/2}*(log log n)^{1/2})</t>
  </si>
  <si>
    <t>PRAM-EREW</t>
  </si>
  <si>
    <t>O(n^3*(log log n)^{1/2}/(log n)^{3/2})</t>
  </si>
  <si>
    <t>Han, Pan &amp; Reif</t>
  </si>
  <si>
    <t>https://dl.acm.org/doi/pdf/10.1145/140901.141913</t>
  </si>
  <si>
    <t>o(n^3)</t>
  </si>
  <si>
    <t>n: number of vertices
p: number of processors</t>
  </si>
  <si>
    <t>O(log(n)*log(log n))</t>
  </si>
  <si>
    <t>PRAM-CRCW</t>
  </si>
  <si>
    <t>Pal &amp; Bhattacharjee</t>
  </si>
  <si>
    <t>https://dl.acm.org/doi/abs/10.5555/640121.640124</t>
  </si>
  <si>
    <t>https://link.springer.com/article/10.1007/PL00009198</t>
  </si>
  <si>
    <t>O(n^3(log log n)^{3/2}/(log n)^{1/2}) = o(n^3)</t>
  </si>
  <si>
    <t>O(n^3(log log n)^{3/2}/(log n)^{5/2})</t>
  </si>
  <si>
    <t>https://link.springer.com/chapter/10.1007/978-3-540-27798-9_31</t>
  </si>
  <si>
    <t>O(n^3*log^2(log n)/log n)</t>
  </si>
  <si>
    <t>O(n^3*log(log n)/log n)</t>
  </si>
  <si>
    <t>circular-arc graphs</t>
  </si>
  <si>
    <t>Saha, Pal &amp; Pal</t>
  </si>
  <si>
    <t>https://link.springer.com/article/10.1007/BF02936037</t>
  </si>
  <si>
    <t>O(n^2/p+ log n)</t>
  </si>
  <si>
    <t>O(n^2+p*log n)</t>
  </si>
  <si>
    <t>Katz &amp; Kider</t>
  </si>
  <si>
    <t>https://repository.upenn.edu/hms/180/</t>
  </si>
  <si>
    <t>Tran</t>
  </si>
  <si>
    <t>https://ieeexplore.ieee.org/abstract/document/5501465/</t>
  </si>
  <si>
    <t>O(n^2*log^2(n))</t>
  </si>
  <si>
    <t>PCNN</t>
  </si>
  <si>
    <t>Okuyama, Ino, Hagihara</t>
  </si>
  <si>
    <t>https://www.researchgate.net/profile/Fumihiko-Ino/publication/262236119_A_task_parallel_algorithm_for_finding_all-pairs_shortest_paths_using_the_GPU/links/00b49536c9c521a413000000/A-task-parallel-algorithm-for-finding-all-pairs-shortest-paths-using-the-GPU.pdf</t>
  </si>
  <si>
    <t>Solomonik, Buluç, Demmel</t>
  </si>
  <si>
    <t>https://ieeexplore.ieee.org/abstract/document/6569841</t>
  </si>
  <si>
    <t>Pradhan, Mahinthakumar</t>
  </si>
  <si>
    <t>https://ascelibrary.org/doi/abs/10.1061/(ASCE)CP.1943-5487.0000220</t>
  </si>
  <si>
    <t xml:space="preserve">Djidjev, Thulasidasan, Chapuis, Andonov, Lavenier
</t>
  </si>
  <si>
    <t>https://ieeexplore.ieee.org/abstract/document/6877270/</t>
  </si>
  <si>
    <t>sparse graphs</t>
  </si>
  <si>
    <t>Sao, Kannan, Gera, Vuduc</t>
  </si>
  <si>
    <t>https://dl.acm.org/doi/abs/10.1145/3332466.3374533</t>
  </si>
  <si>
    <t>https://www.computer.org/csdl/journal/tc/1983/03/01676223/13rRUy0HYQg</t>
  </si>
  <si>
    <t>Graph strong connectivity</t>
  </si>
  <si>
    <t>Determine wheather a graph is strongly connected</t>
  </si>
  <si>
    <t>Determination of fundamental cycles</t>
  </si>
  <si>
    <t>Matrix inversion</t>
  </si>
  <si>
    <t>Pease</t>
  </si>
  <si>
    <t>https://dl.acm.org/doi/abs/10.1145/321420.321434</t>
  </si>
  <si>
    <t>SSSP</t>
  </si>
  <si>
    <t>Crane</t>
  </si>
  <si>
    <t>https://ieeexplore.ieee.org/abstract/document/1687426/</t>
  </si>
  <si>
    <t>Minimum of n values</t>
  </si>
  <si>
    <t>Network decomposition</t>
  </si>
  <si>
    <t>Habbal, Koutsopoulos &amp; Lerman</t>
  </si>
  <si>
    <t>https://www.jstor.org/stable/pdf/25768652.pdf</t>
  </si>
  <si>
    <t>Total Communication</t>
  </si>
  <si>
    <t>Units of Communication (eg messages vs bits)</t>
  </si>
  <si>
    <t>Total Comm Refrence</t>
  </si>
  <si>
    <t>Communication Rounds</t>
  </si>
  <si>
    <t>Rounds Refrence</t>
  </si>
  <si>
    <t>Computation Time Complexity</t>
  </si>
  <si>
    <t>Time Refrence</t>
  </si>
  <si>
    <t>Asynchronous or Scyncronous?</t>
  </si>
  <si>
    <t>Lower Bound Runtime</t>
  </si>
  <si>
    <t>Upper Bound Runtime</t>
  </si>
  <si>
    <t>Lamport’s Distributed Mutual Exclusion Algorithm</t>
  </si>
  <si>
    <t>critical section requests are executed in the increasing order of timestamps</t>
  </si>
  <si>
    <t>http://lamport.azurewebsites.net/pubs/bakery.pdf?from=https://research.microsoft.com/users/lamport/pubs/bakery.pdf&amp;type=path</t>
  </si>
  <si>
    <t>3(N-1)</t>
  </si>
  <si>
    <t xml:space="preserve">N: number of processes in the system. These messages involve (N-1) request messages, (N-1) reply messages, and (N-1) release messages. E: Edges
</t>
  </si>
  <si>
    <t>3-Coloring Rooted Trees</t>
  </si>
  <si>
    <t>Coloring a rooted tree with 3 colors with no node getting the same color as its parent</t>
  </si>
  <si>
    <t>Proceedings of the twenty-fifth annual ACM symposium on Theory of computing, pages 201–207. ACM, 1993</t>
  </si>
  <si>
    <t>3-Coloring rooted trees</t>
  </si>
  <si>
    <t>Proceedings of the twenty-fifth annual ACM symposium on Theory of computing, pages 201–207. ACM, 1993.</t>
  </si>
  <si>
    <t>k &gt; C0 where k
0 = log k +
log log k/2 + 1.</t>
  </si>
  <si>
    <t>1 /2 log∗ n − O(1)</t>
  </si>
  <si>
    <t>Proc. of the Symp. on Found. of Comp. Sci. (FOCS), pages 331–335. IEEE, 1987</t>
  </si>
  <si>
    <t>N: number of graph nodes
E: number of edges k = coloring k' = new coloring</t>
  </si>
  <si>
    <t>Local</t>
  </si>
  <si>
    <t>Can be</t>
  </si>
  <si>
    <t>Ramsey Theory</t>
  </si>
  <si>
    <t>Yes</t>
  </si>
  <si>
    <t xml:space="preserve">Deterministic Coloring of General Graphs
</t>
  </si>
  <si>
    <t xml:space="preserve">Linial's coloring algorithm
</t>
  </si>
  <si>
    <t>obtain (∆^2)-coloring of the graphs where ∆ denotes the maximum degree. Greedy algorithm</t>
  </si>
  <si>
    <t xml:space="preserve">Nathan Linial. Locality in distributed graph algorithms. SIAM Journal on Computing, 21(1):193–201, 1992. and Nathan Linial. Locality in distributed graph algorithms. SIAM Journal on Computing, 21(1):193–201, 1992. </t>
  </si>
  <si>
    <t xml:space="preserve">Nathan Linial. Distributive graph algorithms global solutions
from local data. In Proc. of the Symp. on Found. of Comp. Sci.
(FOCS), pages 331–335. IEEE, 1987.
</t>
  </si>
  <si>
    <t>maximum degree ∆,</t>
  </si>
  <si>
    <t xml:space="preserve">O(log∗ n) </t>
  </si>
  <si>
    <t>O(∆^2 log k) Furthermore, if k' &lt;&lt; ∆ 3 , then the bound can be improved to O(∆ 2 ).</t>
  </si>
  <si>
    <t>N: number of graph nodes
E: number of edges k = coloring k' = new coloring ∆= maximum degree φ: k-coloring graph</t>
  </si>
  <si>
    <t>Ω(log∆ n)</t>
  </si>
  <si>
    <t xml:space="preserve">
O(log n)</t>
  </si>
  <si>
    <t>Delta+1 Vertex Coloring</t>
  </si>
  <si>
    <t>Kuhn-Wattenhofer Coloring Algorithm</t>
  </si>
  <si>
    <t xml:space="preserve">obtain  O(∆ log ∆ + log∗ n ) for a  O(∆ log ∆) -coloring of the graphs where ∆ denotes the maximum degree. </t>
  </si>
  <si>
    <t>Fabian Kuhn and Rogert Wattenhofer. On the complexity of distributed graph coloring. In Proceedings of the twenty-fifth annual ACM symposium on Principles of distributed computing, pages 7–15. ACM, 2006.</t>
  </si>
  <si>
    <t>O(∆ log ∆)</t>
  </si>
  <si>
    <t>O(∆ log( k ∆+1 ))</t>
  </si>
  <si>
    <t>N: number of graph nodes E: number of edges k = coloring k' = new coloring ∆= maximum degree φ: k-coloring graph</t>
  </si>
  <si>
    <t>Kuhn’s Algorithm via Defective Coloring</t>
  </si>
  <si>
    <t>obtain O(∆ + log∗ n ) for a O(∆ log ∆) -coloring of the graphs where ∆ denotes the maximum degree.</t>
  </si>
  <si>
    <t>Fabian Kuhn. Weak graph colorings: distributed algorithms and applications. In Proceedings of the twenty-first annual symposium on Parallelism in algorithms and architectures, pages 138–144. ACM, 2009.</t>
  </si>
  <si>
    <t>C - sufficiently large</t>
  </si>
  <si>
    <t xml:space="preserve">O(∆ + log∗ n) </t>
  </si>
  <si>
    <t>O((∆−d/ d'−d+1)^2 log k)</t>
  </si>
  <si>
    <t>N: number of graph nodes E: number of edges k = coloring k' = new coloring ∆= maximum degree φ: d-defective k-coloring graph</t>
  </si>
  <si>
    <t xml:space="preserve">Recursive function call using Master's Theorem: T(∆) = O(log∗ ∆) + T(∆/2) + O(∆).
</t>
  </si>
  <si>
    <t>Barenboim</t>
  </si>
  <si>
    <t>Coloring the vertices of a graph with Delta+1 colors (where Delta is the max degree) such that no adjacent vertices get the same color</t>
  </si>
  <si>
    <t>] Leonid Barenboim. Deterministic (δ+ 1)-coloring in sublinear (in δ) time in static, dynamic and faulty networks. In Proceedings of the 2015 ACM Symposium on Principles of Distributed Computing, pages 345–354. ACM, 2015.</t>
  </si>
  <si>
    <t>O(∆ 3/4 log ∆ + log∗ n)</t>
  </si>
  <si>
    <t>2Delta-1 Edge Coloring</t>
  </si>
  <si>
    <t>Coloring the edges of a graph with 2Delta-1 colors (where Delta is the max degree) such that no adjacent edges get the same color</t>
  </si>
  <si>
    <t>Maximal Independent Set</t>
  </si>
  <si>
    <t>Generic</t>
  </si>
  <si>
    <t>Given a LOCAL algorithm A that computes an MIS on any N-node graph in T(N) rounds, there is a LOCAL algorithm B that computes a ∆ + 1 coloring of any n-node graph with maximum degree ∆ in T(n(∆ + 1)) rounds.</t>
  </si>
  <si>
    <t xml:space="preserve">A: local algorithm that computes MIS B: local algorithm that computes ∆ + 1 coloring of any n=node graph N: nodes </t>
  </si>
  <si>
    <t>Sublogarithmic-Time Randomized Coloring</t>
  </si>
  <si>
    <t>There is a randomized LOCAL algorithm that computes a ∆(1 + ε)- coloring in O( p log n) rounds11, for any constant ε &gt; 0, with high probability.</t>
  </si>
  <si>
    <t>O(sqrt(log n))</t>
  </si>
  <si>
    <t xml:space="preserve">node killing  </t>
  </si>
  <si>
    <t>Θ(sqrt(log n)/ε) for ε&gt;0</t>
  </si>
  <si>
    <t>Luby's MIS Algorithm</t>
  </si>
  <si>
    <t>computes an MIS in merely O(log n) rounds, with high probability</t>
  </si>
  <si>
    <t>Michael Luby. A simple parallel algorithm for the maximal independent set problem. In Proc. of the Symp. on Theory of Comp. (STOC), pages 1–10, 1985.</t>
  </si>
  <si>
    <t>(sigma_P w∈N(e) Xw→e)/2</t>
  </si>
  <si>
    <t>Network Decomposition</t>
  </si>
  <si>
    <t>Randomized Construction</t>
  </si>
  <si>
    <t>randomized LOCAL algorithm that computes a (C, D) weak-diameter network decomposition of any n-node graph G, for C = O(log n) and D = O(log n), in O(log2 n) rounds, with high probability.</t>
  </si>
  <si>
    <t xml:space="preserve"> NEEDED: https://people.csail.mit.edu/ghaffari/DA22/Notes/DGA.pdf#page=16&amp;zoom=100,134,470 - section 1.5.2\</t>
  </si>
  <si>
    <t xml:space="preserve">O(log n/ε) with high probability  1 −(1/n^c) , for a desirably large but fixed constant c &gt; 2 </t>
  </si>
  <si>
    <t>V: number of graph nodes
E: number of edges C: number of vertex-disjoint graphs D: diameter</t>
  </si>
  <si>
    <t>C and D are nearly optimal</t>
  </si>
  <si>
    <t>Deterministic Construction 1 - Subpolynomial Time</t>
  </si>
  <si>
    <t>There is a deterministic LOCAL algorithm that computes a (C, D)
strong-diameter network decomposition of any n-node graph G, for C = 2
O(√log n) and D = 2^O(√log n), in 2^O(√log n)rounds.</t>
  </si>
  <si>
    <t>Alessandro Panconesi and Aravind Srinivasan. Improved distributed algorithms for coloring and network decomposition problems. In Proc. of the Symp. on Theory of Comp. (STOC), pages 581–592. ACM, 1992.</t>
  </si>
  <si>
    <t>Deterministic Construction 1</t>
  </si>
  <si>
    <t>D = O(log n) logd n = 2 O( √ log n log log n)</t>
  </si>
  <si>
    <t>2^O(√log n)</t>
  </si>
  <si>
    <t>local</t>
  </si>
  <si>
    <t>No</t>
  </si>
  <si>
    <t xml:space="preserve">Deterministic Construction 2 - Polylogarithmic Time
</t>
  </si>
  <si>
    <t>. There is a deterministic LOCAL algorithm that computes a (C, D) strong-diameter network decomposition of any n-node graph G, for C = O(log n) and D = O(log n), in O(log8 n) rounds</t>
  </si>
  <si>
    <t>Vaclav Rozhon and Mohsen Ghaffari. Polylogarithmic-time deterministic network decomposition and distributed derandomization. In STOC, page to appear, 2020.</t>
  </si>
  <si>
    <t>Deterministic Construction 2</t>
  </si>
  <si>
    <t>O(log8 n)</t>
  </si>
  <si>
    <t>Clustering Algorithm</t>
  </si>
  <si>
    <t>There is a deterministic distributed algorithm that, in O(log6 n) rounds in the LOCAL model, finds a subset S 0 ⊆ S of living vertices, where |S 0 | &gt; |S|/2, such that the subgraph G[S 0 ] induced by set S 0 is partitioned into non-adjacent disjoint clusters, each of weak-diameter O(log3 n) in graph G.</t>
  </si>
  <si>
    <t>O(log6 n)</t>
  </si>
  <si>
    <t>O(log3 n)</t>
  </si>
  <si>
    <t>Minimum Spanning Tree</t>
  </si>
  <si>
    <t>Finding a spanning tree with minimum total weight</t>
  </si>
  <si>
    <t>https://dl.acm.org/doi/pdf/10.1145/357195.357200</t>
  </si>
  <si>
    <t>O(E + NlogN)</t>
  </si>
  <si>
    <t>messages</t>
  </si>
  <si>
    <t>O(NlogN)</t>
  </si>
  <si>
    <t>N: number of graph nodes
E: number of edges</t>
  </si>
  <si>
    <t>Congest</t>
  </si>
  <si>
    <t>https://ieeexplore.ieee.org/stamp/stamp.jsp?tp=&amp;arnumber=4568149</t>
  </si>
  <si>
    <t>https://dl.acm.org/doi/pdf/10.1145/28395.28421</t>
  </si>
  <si>
    <t>https://www.researchgate.net/publication/220616582_A_SubLinear_Time_Distributed_Algorithm_for_Minimum-Weight_Spanning_Trees</t>
  </si>
  <si>
    <t>O(D + n^epsilon log*n)</t>
  </si>
  <si>
    <t>n: number of graph nodes
D: graph diameter
epsilon = ln3 / ln6</t>
  </si>
  <si>
    <t>Application of a fast k-Dominating Set algorithm</t>
  </si>
  <si>
    <t>https://dl.acm.org/doi/pdf/10.1145/224964.224990</t>
  </si>
  <si>
    <t>O(n^(1/2)log*n + D)</t>
  </si>
  <si>
    <t xml:space="preserve">n: number of graph nodes
D: graph diameter
</t>
  </si>
  <si>
    <t>https://arxiv.org/pdf/1703.02411.pdf</t>
  </si>
  <si>
    <t>O(mlogn + (nlogn) log*n)</t>
  </si>
  <si>
    <t>O((D + n^(1/2)) log n)</t>
  </si>
  <si>
    <t>n: number of graph nodes
m: number of edges
D: graph diameter</t>
  </si>
  <si>
    <t>https://dl.acm.org/doi/pdf/10.1145/3087801.3087827?casa_token=N_pwQthOKmUAAAAA:NU5tllIrcUFzqU3aPBKqHVpyQM_Cp7hiYmNifPB_qyEgEylCHAuzsCSoR28INVytyRNnJGBpDhaNKw</t>
  </si>
  <si>
    <t>https://arxiv.org/pdf/1607.06883.pdf</t>
  </si>
  <si>
    <t>Õ(m)</t>
  </si>
  <si>
    <t>Õ(D + n^(1/2))</t>
  </si>
  <si>
    <t>https://www.research-collection.ethz.ch/handle/20.500.11850/315337</t>
  </si>
  <si>
    <t>Õ(min(n^(3/2), m))</t>
  </si>
  <si>
    <t>https://dl.acm.org/doi/pdf/10.1145/3380546?casa_token=ehRtETWEBjkAAAAA:9-yaE0ChoFo92WwZtGsWKa2kf6kfx6hd51ex0_zIb5i_N7o7YBx0c4LLt0mwuIknNMMVYmCQrJWMoQ</t>
  </si>
  <si>
    <t>https://dl.acm.org/doi/pdf/10.1145/3380546?casa_token=81ou0VdGAEoAAAAA:Gh1BfyeI0zFbhdoZxXsl-Yub8w8xXYpevbC0vYUaZYLGlP_5XvAW_quQlS5u7lJfQti20oba2JsKpA</t>
  </si>
  <si>
    <t>O((D + n^(1/2)) logn)</t>
  </si>
  <si>
    <t>MinCut</t>
  </si>
  <si>
    <t>Finding a cut with minimum total weight .. there are better algorithms for (1+epsilon) approximation, so look into those first</t>
  </si>
  <si>
    <t>from same paper as the one in the row below</t>
  </si>
  <si>
    <t>https://arxiv.org/pdf/1305.5520.pdf</t>
  </si>
  <si>
    <t>O(D) + O(n^((1/2) + ε) log^3(n) log(logn)log*n)</t>
  </si>
  <si>
    <t>n: number of graph nodes
D: graph diameter</t>
  </si>
  <si>
    <t>O(1/ε), ε in range (0, 1)</t>
  </si>
  <si>
    <t>from same paper as the one in the row above</t>
  </si>
  <si>
    <t>O((D + n^(1/2) log*n) log^2(n) log(logn) 1/ε^5)</t>
  </si>
  <si>
    <t>2 + ε, ε &gt; 0</t>
  </si>
  <si>
    <t>https://dl.acm.org/doi/pdf/10.1145/2612669.2612706?casa_token=txOlIa5V41sAAAAA:tMIAwQ4-R-ablfyw7oeE6OVlD1V76jMwgj39HCcUkRsvxQ6j0hWHccZQNTKhSuUCwMzjS1woXVcKuw</t>
  </si>
  <si>
    <t>https://dl.acm.org/doi/abs/10.1145/3212734.3212750</t>
  </si>
  <si>
    <t>Congested Clique</t>
  </si>
  <si>
    <t>https://dl.acm.org/doi/10.1145/3313276.3316346</t>
  </si>
  <si>
    <t>https://dl.acm.org/doi/pdf/10.1145/3406325.3451020?casa_token=Np84jW6NR8QAAAAA:7hKDr2WMCm4Osl_Jq-nuADiX5u4Xf4t8GOtH3qvMN6eK22VeOyvo_hU26Na6R-RKa7j7WMl-tMMx</t>
  </si>
  <si>
    <t>https://dl.acm.org/doi/pdf/10.1145/3519270.3538429?casa_token=BNR0TcvdUaMAAAAA:X4HuiIi_4Ubtumbx2vhncXBiiARejlV17sIrzRWseqVEmcv-UHhjeA9d1BHJZtKHd4HZru4YwTDw</t>
  </si>
  <si>
    <t>Minimum Dominating Set</t>
  </si>
  <si>
    <t>k-dominating set of size at most n/(k+1)</t>
  </si>
  <si>
    <t>Find a set S such that every node is either in S or adjacent to a node in S</t>
  </si>
  <si>
    <t>O(klog*(n))</t>
  </si>
  <si>
    <t>LOCAL</t>
  </si>
  <si>
    <t>1+epsilon approximation</t>
  </si>
  <si>
    <t>https://dl.acm.org/doi/pdf/10.1145/3357713.3384298</t>
  </si>
  <si>
    <t>poly(log(n)/epsilon)</t>
  </si>
  <si>
    <t>exponential .. problem is NP-complete</t>
  </si>
  <si>
    <t>1+epsilon</t>
  </si>
  <si>
    <t>Spanner</t>
  </si>
  <si>
    <t>(2k-1,0,O(n^(1+1/k)+kn))</t>
  </si>
  <si>
    <t>Finding a subgraph such that shortest paths are stretched</t>
  </si>
  <si>
    <t>https://onlinelibrary.wiley.com/doi/abs/10.1002/rsa.20130</t>
  </si>
  <si>
    <t>CONGEST</t>
  </si>
  <si>
    <t>LV</t>
  </si>
  <si>
    <t>(3,0,O(n^(3/2)))</t>
  </si>
  <si>
    <t>https://link.springer.com/chapter/10.1007/978-3-540-75142-7_16</t>
  </si>
  <si>
    <t>(O(k),0,O(kn^(1+1/k)))</t>
  </si>
  <si>
    <t>2^O(k)log^(k-1)(n)</t>
  </si>
  <si>
    <t>(1+epsilon,8log(n),O(n^3/2))</t>
  </si>
  <si>
    <t>O(log(n)/epsilon)</t>
  </si>
  <si>
    <t>(1+epsilon,4,O(n^3/2))</t>
  </si>
  <si>
    <t>2^O(sqrt(log(n)))+O(1/epsilon)</t>
  </si>
  <si>
    <t>O(1/epsilon+log(n))</t>
  </si>
  <si>
    <t>(2k-1,0,O(kn^(1+1/k)))</t>
  </si>
  <si>
    <t>https://dl.acm.org/doi/abs/10.1145/1400751.1400788</t>
  </si>
  <si>
    <t>k</t>
  </si>
  <si>
    <t>(1+epsilon,2,O(n^(3/2)/epsilon))</t>
  </si>
  <si>
    <t>O(1/epsilon)</t>
  </si>
  <si>
    <t>(3,2,O(n^(3/2)))</t>
  </si>
  <si>
    <t>https://www.sciencedirect.com/science/article/pii/S0304397508001138</t>
  </si>
  <si>
    <t>2^O(sqrt(log(n)))</t>
  </si>
  <si>
    <t>(2k-1,0,kn^(1+1/k))</t>
  </si>
  <si>
    <t>https://link.springer.com/chapter/10.1007/978-3-642-04355-0_20</t>
  </si>
  <si>
    <t>(1+epsilon,2-epsilon,O(n^3/2))</t>
  </si>
  <si>
    <t>(1+epsilon,O(1/epsilon)^(k-2),O(epsilon^(1-k)n^(1+1/k)))</t>
  </si>
  <si>
    <t>(1+epsilon,6-epsilon,O(n^(4/3)/epsilon))</t>
  </si>
  <si>
    <t>O tilde(1)</t>
  </si>
  <si>
    <t>O tilde(1) because the complexity of MIS was improved to that after the paper was published .. at the time the paper was published, MIS was only known to be subpolynomial</t>
  </si>
  <si>
    <t>(k,k-1,O(kn^(1+1/k)))</t>
  </si>
  <si>
    <t>https://dl.acm.org/doi/abs/10.1145/1868237.1868242</t>
  </si>
  <si>
    <t>(0,2,O(n^(3/2)log(n)))</t>
  </si>
  <si>
    <t>https://dl.acm.org/doi/abs/10.1145/2484239.2484262</t>
  </si>
  <si>
    <t>O(sqrt(n)log(n)+D)</t>
  </si>
  <si>
    <t>(2k-1,0,O tilde(kn^(1+1/k)))</t>
  </si>
  <si>
    <t>https://arxiv.org/pdf/1805.05404.pdf</t>
  </si>
  <si>
    <t>O(log(k))</t>
  </si>
  <si>
    <t>CONGESTED CLIQUE</t>
  </si>
  <si>
    <t>(2k-1,0,O tilde(kn^(1+1/k))))</t>
  </si>
  <si>
    <t>O(log(k)+loglogn^3)</t>
  </si>
  <si>
    <t>(0,6,O((nlog(n))^(4/3)))</t>
  </si>
  <si>
    <t>https://www.sciencedirect.com/science/article/abs/pii/S0304397520303194</t>
  </si>
  <si>
    <t>O(n^2/3/log(n)^1/3+D)</t>
  </si>
  <si>
    <t>(O(k),0,O(n^(1+1/k)))</t>
  </si>
  <si>
    <t>https://dl.acm.org/doi/abs/10.1145/3465084.3467928</t>
  </si>
  <si>
    <t>(2k-1,0,O(n^(1+1/k)))</t>
  </si>
  <si>
    <t>https://dl.acm.org/doi/pdf/10.1145/3519270.3538439</t>
  </si>
  <si>
    <t>Shortest Path</t>
  </si>
  <si>
    <t>Assumes polynomially bounded integer edge weights</t>
  </si>
  <si>
    <t>Find the shortest path from node A to node B .. better approximation algorithms than exact ones, so look into those first</t>
  </si>
  <si>
    <t>n: number of graph nodes</t>
  </si>
  <si>
    <t>https://dl.acm.org/doi/pdf/10.1145/3055399.3055452</t>
  </si>
  <si>
    <t xml:space="preserve">O((n logn)^5/6 ) for D = O(sqrt(n logn)), O(D^1/3 (n logn)^2/3) for larger D
</t>
  </si>
  <si>
    <t xml:space="preserve">S. Forster and D. Nanongkai, "A Faster Distributed Single-Source Shortest Paths Algorithm," 2018 IEEE 59th Annual Symposium on Foundations of Computer Science (FOCS), Paris, France, 2018, pp. 686-697, doi: 10.1109/FOCS.2018.00071.
</t>
  </si>
  <si>
    <t>O tilda (sqrt(nD))</t>
  </si>
  <si>
    <t>O tilda (sqrt(n) D^1/4 + n^3/5 + D)</t>
  </si>
  <si>
    <t>Expander Decomposition</t>
  </si>
  <si>
    <t>phi=1/n^o(1)</t>
  </si>
  <si>
    <t>Find a decomposition of the graph into clusters with good mixing time and a constant fraction of inter-cluster edges</t>
  </si>
  <si>
    <t>https://ieeexplore.ieee.org/abstract/document/9317987</t>
  </si>
  <si>
    <t>n^o(1)</t>
  </si>
  <si>
    <t>phi=1/polylog(n)</t>
  </si>
  <si>
    <t>Find a decomposition of the graph into clusters with mixing time O(polylog(n)) and a constant fraction of inter-cluster edges</t>
  </si>
  <si>
    <t>O(polylog(n))</t>
  </si>
  <si>
    <t>Routing</t>
  </si>
  <si>
    <t>Nodes want to send messages to eachother such that node v sends and receives O(deg(v)) messages .. route them quickly through the network</t>
  </si>
  <si>
    <t>https://dl.acm.org/doi/pdf/10.1145/1993636.1993639</t>
  </si>
  <si>
    <t>https://dl.acm.org/doi/abs/10.1145/2484239.2501983</t>
  </si>
  <si>
    <t>https://dl.acm.org/doi/abs/10.1145/3087801.3087827</t>
  </si>
  <si>
    <t>2^O(sqrt(log(n)loglog(n)))*Tmix(G)</t>
  </si>
  <si>
    <t>Tmix(G): the mixing time of the communication graph</t>
  </si>
  <si>
    <t>https://arxiv.org/abs/1805.04764</t>
  </si>
  <si>
    <t>2^O(sqrt(log(n)))*Tmix(G)</t>
  </si>
  <si>
    <t>Multiply 2 matrices where the ith node has the ith row of each matrix and wants to get the ith node of the product</t>
  </si>
  <si>
    <t>https://people.csail.mit.edu/andyd/cong_clique_podc14.pdf</t>
  </si>
  <si>
    <t>O(n^(w-2))</t>
  </si>
  <si>
    <t>w - exponent of matrix multiplication</t>
  </si>
  <si>
    <t>https://arxiv.org/abs/1503.04963</t>
  </si>
  <si>
    <t>O(n^(1-2/w))</t>
  </si>
  <si>
    <t>Triangle Listing/Enumeration</t>
  </si>
  <si>
    <t>List all the triangles in the graph such that any triangle can be listed by any node</t>
  </si>
  <si>
    <t>https://arxiv.org/pdf/1201.6652.pdf</t>
  </si>
  <si>
    <t>O(n^(1/3)/log(n))</t>
  </si>
  <si>
    <t>omega(n^(1/3)/log(n))</t>
  </si>
  <si>
    <t>https://arxiv.org/abs/1705.09061</t>
  </si>
  <si>
    <t>O(n^(3/4)log(n))</t>
  </si>
  <si>
    <t>https://arxiv.org/abs/1807.06624</t>
  </si>
  <si>
    <t>O tilde(n^1/2)</t>
  </si>
  <si>
    <t>n^(2/3+o(1))</t>
  </si>
  <si>
    <t>https://dl.acm.org/doi/abs/10.1145/3446330</t>
  </si>
  <si>
    <t>O tilde(n^(1/3))</t>
  </si>
  <si>
    <t>https://arxiv.org/abs/2205.09245</t>
  </si>
  <si>
    <t>n^(1/3+o(1))</t>
  </si>
  <si>
    <t>Sparse graph</t>
  </si>
  <si>
    <t>https://arxiv.org/abs/1201.6652</t>
  </si>
  <si>
    <t>O(m^2/n^3)</t>
  </si>
  <si>
    <t>https://arxiv.org/abs/1602.08481</t>
  </si>
  <si>
    <t>O tilde(m/n^(5/3)+1)</t>
  </si>
  <si>
    <t>https://arxiv.org/abs/1802.04789</t>
  </si>
  <si>
    <t>O(m/n^(5/3)+1)</t>
  </si>
  <si>
    <t>omega tilde(m/n^(5/3)+1)</t>
  </si>
  <si>
    <t>https://arxiv.org/pdf/1602.08481.pdf</t>
  </si>
  <si>
    <t>Graph with small max degree</t>
  </si>
  <si>
    <t>https://arxiv.org/abs/1908.11825</t>
  </si>
  <si>
    <t>O(Delta/log(n)+loglog(Delta))</t>
  </si>
  <si>
    <t>Detect if the graph has a triangle</t>
  </si>
  <si>
    <t>O((nlog(n))^(2/3))</t>
  </si>
  <si>
    <t>n^(1-1/w+o(1))</t>
  </si>
  <si>
    <t>O(n^(1/3))</t>
  </si>
  <si>
    <t>Local Triangle Listing</t>
  </si>
  <si>
    <t>Every node lists the triangles it's in</t>
  </si>
  <si>
    <t>O(n^1/3 (log n)^2/3)</t>
  </si>
  <si>
    <t>n - number of nodes</t>
  </si>
  <si>
    <t>CONGEST clique</t>
  </si>
  <si>
    <t>https://arxiv.org/pdf/1705.09061.pdf</t>
  </si>
  <si>
    <t>O(n^3/4 log n)</t>
  </si>
  <si>
    <t>omega(n/log(n))</t>
  </si>
  <si>
    <t>Unweighted edges</t>
  </si>
  <si>
    <t>Find all-pair-shortest-paths in the network</t>
  </si>
  <si>
    <t>https://dl.acm.org/doi/abs/10.1145/2332432.2332504</t>
  </si>
  <si>
    <t>https://arxiv.org/abs/1403.5171</t>
  </si>
  <si>
    <t>https://dl.acm.org/doi/abs/10.1145/2935764.2935812</t>
  </si>
  <si>
    <t>O(n/log(n)+D)</t>
  </si>
  <si>
    <t>Weighted edges, O(1) approximation</t>
  </si>
  <si>
    <t>https://arxiv.org/abs/1210.5774</t>
  </si>
  <si>
    <t>O(n^(1/2+epsilon)+D)</t>
  </si>
  <si>
    <t>O(1/epsilon*log(1/epsilon))</t>
  </si>
  <si>
    <t>Weighted edges, O(k) approximation</t>
  </si>
  <si>
    <t>O(n^(1/2+1/k)+D)</t>
  </si>
  <si>
    <t>2+o(1) approximation</t>
  </si>
  <si>
    <t>https://dl.acm.org/doi/abs/10.1145/2591796.2591850</t>
  </si>
  <si>
    <t>2+o(1)</t>
  </si>
  <si>
    <t>Weighted edges, 1+o(1) approximation</t>
  </si>
  <si>
    <t>O tilde(n^(1/2)D^(1/4)+D)</t>
  </si>
  <si>
    <t>1+o(1)</t>
  </si>
  <si>
    <t>omega(n/log(n)) for any poly(n) approximation</t>
  </si>
  <si>
    <t>Weighted edges</t>
  </si>
  <si>
    <t>O(n^(5/3) log^(2/3) n)</t>
  </si>
  <si>
    <t>x</t>
  </si>
  <si>
    <t>omega(n)</t>
  </si>
  <si>
    <t>https://arxiv.org/abs/1705.05646</t>
  </si>
  <si>
    <t>https://arxiv.org/pdf/1811.03337.pdf#:~:text=In%20the%20distributed%20all%2Dpairs,(typically%20called%20time%20complexity).</t>
  </si>
  <si>
    <t>O tilda (n)</t>
  </si>
  <si>
    <t>https://ieeexplore.ieee.org/abstract/document/8104056</t>
  </si>
  <si>
    <t>O tilde(n^5/4)</t>
  </si>
  <si>
    <t>https://dl.acm.org/doi/abs/10.1145/3212734.3212773</t>
  </si>
  <si>
    <t>O tilde(n^3/2)</t>
  </si>
  <si>
    <t>https://dl.acm.org/doi/abs/10.1145/3350755.3400256</t>
  </si>
  <si>
    <t>O tilde(n^4/3)</t>
  </si>
  <si>
    <t>https://dl.acm.org/doi/abs/10.1145/3293883.3295729</t>
  </si>
  <si>
    <t>2+epsilon approximation + small additive error</t>
  </si>
  <si>
    <t>https://dl.acm.org/doi/pdf/10.1145/3293611.3331633</t>
  </si>
  <si>
    <t>O(log^2(n)/epsilon)</t>
  </si>
  <si>
    <t>2+epsilon and a small additive error for the weighted case</t>
  </si>
  <si>
    <t>2+epsilon approximation</t>
  </si>
  <si>
    <t>https://arxiv.org/abs/2003.03058</t>
  </si>
  <si>
    <t>O tilde(loglogn^4)</t>
  </si>
  <si>
    <t>2+epsilon</t>
  </si>
  <si>
    <t>O tilde(loglogn^2)</t>
  </si>
  <si>
    <t>Unweighted O(log(n)) approximation</t>
  </si>
  <si>
    <t>https://dl.acm.org/doi/pdf/10.1145/3465084.3467928</t>
  </si>
  <si>
    <t>Weighted O(log^2(n)) approximation</t>
  </si>
  <si>
    <t>MSSP</t>
  </si>
  <si>
    <t>1+epsilon approximation from O(sqrt(n)) sources</t>
  </si>
  <si>
    <t>Find the shortest paths from multiple sources</t>
  </si>
  <si>
    <t>Girth</t>
  </si>
  <si>
    <t>2-1/g approximation</t>
  </si>
  <si>
    <t>Find the shortest cycle in the graph</t>
  </si>
  <si>
    <t>https://dl.acm.org/doi/pdf/10.1145/2332432.2332504</t>
  </si>
  <si>
    <t>O(n^2/3+D*log(D/g))</t>
  </si>
  <si>
    <t>g - girth</t>
  </si>
  <si>
    <t>2-1/g</t>
  </si>
  <si>
    <t>omega tilde(sqrt(n)+D) for 2-epsilon approximation</t>
  </si>
  <si>
    <t>https://dl.acm.org/doi/pdf/10.5555/2095116.2095207</t>
  </si>
  <si>
    <t>https://link.springer.com/chapter/10.1007/978-3-642-31585-5_58</t>
  </si>
  <si>
    <t>O(D+sqrt(gn)log(n))</t>
  </si>
  <si>
    <t>https://arxiv.org/pdf/2101.07590.pdf</t>
  </si>
  <si>
    <t>O(min(n,g*n^(1-1/theta(g))))</t>
  </si>
  <si>
    <t>https://arxiv.org/pdf/1503.04963.pdf</t>
  </si>
  <si>
    <t>additive +1 approximation</t>
  </si>
  <si>
    <t>+1</t>
  </si>
  <si>
    <t>Weighted</t>
  </si>
  <si>
    <t>Find the cycle with minimum weight</t>
  </si>
  <si>
    <t>https://link.springer.com/article/10.1007/s11432-020-2931-x</t>
  </si>
  <si>
    <t>O(D+nlog^2(n))</t>
  </si>
  <si>
    <t>omega(D+n/log(n))</t>
  </si>
  <si>
    <t>https://arxiv.org/pdf/2205.14797.pdf</t>
  </si>
  <si>
    <t>O tilde(n)</t>
  </si>
  <si>
    <t>omega(n/log(n)) for weighted but only omega(sqrt(n)/log(n)) for unweighted</t>
  </si>
  <si>
    <t>Find the diameter of the graph</t>
  </si>
  <si>
    <t>omega tilde(n)</t>
  </si>
  <si>
    <t>https://dl.acm.org/doi/10.5555/2095116.2095207</t>
  </si>
  <si>
    <t>n+O(D)</t>
  </si>
  <si>
    <t>3/2 approximation</t>
  </si>
  <si>
    <t>O(n^3/4+D)</t>
  </si>
  <si>
    <t>omega tilde(sqrt(n)+D) for 3/2-epsilon approximation</t>
  </si>
  <si>
    <t>3/2 approximation, unweighted</t>
  </si>
  <si>
    <t>2+1/polylog(n) approximation, weighted</t>
  </si>
  <si>
    <t>https://arxiv.org/pdf/2011.05066.pdf</t>
  </si>
  <si>
    <t>O tilde(sqrt(n)+D)</t>
  </si>
  <si>
    <t>2+1/polylog(n)</t>
  </si>
  <si>
    <t>omega tilde(sqrt(n)+D) for any super-constant approximation</t>
  </si>
  <si>
    <t>https://link.springer.com/article/10.1007/s00446-018-0326-6</t>
  </si>
  <si>
    <t>2 approximation, weighted</t>
  </si>
  <si>
    <t>O(n^(1/2)D^(1/4)+D)</t>
  </si>
  <si>
    <t>Replacement Paths</t>
  </si>
  <si>
    <t>Directed weighted</t>
  </si>
  <si>
    <t>For each edge, find a shortest path that avoids this edge</t>
  </si>
  <si>
    <t>O(APSP)</t>
  </si>
  <si>
    <t>APSP: complexity of all-pairs-shortest-paths</t>
  </si>
  <si>
    <t>omega(APSP)</t>
  </si>
  <si>
    <t>Directed unweighted</t>
  </si>
  <si>
    <t>O tilde(min(n^2/3+sqrt(n*hst)+D,SSSP*hst)</t>
  </si>
  <si>
    <t>hst: number of edges in the shortest path from s to t</t>
  </si>
  <si>
    <t>Undirected weighted</t>
  </si>
  <si>
    <t>O(SSSP+hst)</t>
  </si>
  <si>
    <t>omega(SSSP)</t>
  </si>
  <si>
    <t>Undirected unweighted</t>
  </si>
  <si>
    <t>O(D)</t>
  </si>
  <si>
    <t>omega(D)</t>
  </si>
  <si>
    <t>Maximum Weight Matching</t>
  </si>
  <si>
    <t>2+epsilon approximation in BIPARTITE graphs</t>
  </si>
  <si>
    <t>Find a matching with maximum possible weight</t>
  </si>
  <si>
    <t>O(delta/epsilon)</t>
  </si>
  <si>
    <t>Every vertex computes its betweenness centrality</t>
  </si>
  <si>
    <t>https://ieeexplore.ieee.org/document/7536526</t>
  </si>
  <si>
    <t>omega(n/log(n)+D)</t>
  </si>
  <si>
    <t>https://arxiv.org/abs/1805.08124</t>
  </si>
  <si>
    <t>2mn+2m</t>
  </si>
  <si>
    <t>2n+O(D)</t>
  </si>
  <si>
    <t>Leader Election</t>
  </si>
  <si>
    <t>LCR (basic)</t>
  </si>
  <si>
    <t>Multiple processes passing identifiers around a ring. If identifier equal to its own identifier, keep identifier and become leader</t>
  </si>
  <si>
    <t>E. Chang, R. Roberts, An improved algorithm for decentralized extrema-finding in circular configurations of processes, Comm. ACM 22 (5) (1979) 281–283.</t>
  </si>
  <si>
    <t xml:space="preserve">M: message alphabet </t>
  </si>
  <si>
    <t>Sync</t>
  </si>
  <si>
    <t>LCR (halting)</t>
  </si>
  <si>
    <t>O(2n)</t>
  </si>
  <si>
    <t xml:space="preserve">M: message alphabet n: ring size </t>
  </si>
  <si>
    <t>HS Algorithm</t>
  </si>
  <si>
    <t>' ''</t>
  </si>
  <si>
    <t>Hirschberg, D. S.; Sinclair, J. B. (November 1980), "Decentralized extrema-finding in circular configurations of processors", Communications of the ACM, 23 (11): 627–628,</t>
  </si>
  <si>
    <t>2 * 2^(logn)</t>
  </si>
  <si>
    <t>TimeSlice Algorithm</t>
  </si>
  <si>
    <t>O (n)</t>
  </si>
  <si>
    <t>VariableSpeeds Algorithm</t>
  </si>
  <si>
    <t>FREDERICKSON, G. N., AND LYNCH, N. The impact of synchronous communication on the problem of electing a leader in a ring. In Proceedings of the 16th Annual ACM Symposium on Theory c$Computing (Washington, D.C., Apr. 30-May 2). ACM, New York, 1984, pp. 493-503.</t>
  </si>
  <si>
    <t>&lt;2n</t>
  </si>
  <si>
    <t>O(n*2 ^u~min)</t>
  </si>
  <si>
    <t>VariableSpeeds Algorithm (modified)</t>
  </si>
  <si>
    <t>messgaes</t>
  </si>
  <si>
    <t>O(n + n*2 ^u~min)</t>
  </si>
  <si>
    <t>Comparison Based</t>
  </si>
  <si>
    <t>" "</t>
  </si>
  <si>
    <t>(n log n)</t>
  </si>
  <si>
    <t>algorithm is comparison based if the only ways that the processes manipulate the UIDs are by copying them, by sending and receiving them in messages, and by comparing them for {&lt;, &gt;, =}.</t>
  </si>
  <si>
    <t>Non-comparison based</t>
  </si>
  <si>
    <t>OptFloodmax</t>
  </si>
  <si>
    <t>BFS</t>
  </si>
  <si>
    <t>SynchBFS</t>
  </si>
  <si>
    <t>|E|</t>
  </si>
  <si>
    <t>O(diameter)</t>
  </si>
  <si>
    <t>can easily be augmented to implement message broadcast. If a process has a message m that it wants to communicate to all of the processes in the network, it can simply initiate an execution of SynchBFS with itself as the root, piggybacking message m on the search message it sends in round 1</t>
  </si>
  <si>
    <t>basic coordinated multiple-source algorilhl'n</t>
  </si>
  <si>
    <t>solves kIl 0 W n -c 0 nnecti vity BFS, is to constructaBFS
forest on a strip with starting knowledge of a spanning forest of the strip, each tree spanning another
connected component of the strip.</t>
  </si>
  <si>
    <t>http://groups.csail.mit.edu/tds/papers/Awerbuch/FOCS85.pdf</t>
  </si>
  <si>
    <t>O(E+V1.S)·logV)</t>
  </si>
  <si>
    <t>O(V1.5·logV)</t>
  </si>
  <si>
    <t>Async</t>
  </si>
  <si>
    <t>bootstrap algorithm</t>
  </si>
  <si>
    <t>solves unknown -connectivity BFS, is
to construc t a BFS forest on a strip withou t such
knowledge.</t>
  </si>
  <si>
    <t>O(E·2^(sqrt(logVloglogV)))</t>
  </si>
  <si>
    <t>O(V*2^(sqrt(logVloglogV)))</t>
  </si>
  <si>
    <t>old method</t>
  </si>
  <si>
    <t>O(V*log_k(V))</t>
  </si>
  <si>
    <t>O(kV^2)</t>
  </si>
  <si>
    <t>Total = 129</t>
  </si>
  <si>
    <t>Year of creation</t>
  </si>
  <si>
    <t>Type of Bound 
(trivial - obvious, full - has been proved and published, 
none - no bound, -- is an extra resource and not a bound )</t>
  </si>
  <si>
    <t>Restricted Version?</t>
  </si>
  <si>
    <t>Notation</t>
  </si>
  <si>
    <t>Lower Bound</t>
  </si>
  <si>
    <t>Lower Bound (input-based)</t>
  </si>
  <si>
    <t>Model of Computation</t>
  </si>
  <si>
    <t>Link</t>
  </si>
  <si>
    <t>Key</t>
  </si>
  <si>
    <t>Paper</t>
  </si>
  <si>
    <t>Conditional?</t>
  </si>
  <si>
    <t>Conditional conjecture</t>
  </si>
  <si>
    <t>Caveats/Notes</t>
  </si>
  <si>
    <t>1. Sorting</t>
  </si>
  <si>
    <t>--</t>
  </si>
  <si>
    <t>https://link.springer.com/article/10.1007%2FBF00389433</t>
  </si>
  <si>
    <t>The early history of the factorial function</t>
  </si>
  <si>
    <t>full</t>
  </si>
  <si>
    <t>Omega</t>
  </si>
  <si>
    <t>n log n</t>
  </si>
  <si>
    <t>Stirling's approximation</t>
  </si>
  <si>
    <t>1. Integer Sorting</t>
  </si>
  <si>
    <t>trivial</t>
  </si>
  <si>
    <t>2</t>
  </si>
  <si>
    <t>2. kth order statistic</t>
  </si>
  <si>
    <t>3. Matrix Chain Multiplication</t>
  </si>
  <si>
    <t>n lg n</t>
  </si>
  <si>
    <t>https://epubs.siam.org/doi/abs/10.1137/S0097539790190077</t>
  </si>
  <si>
    <t>Ramanan</t>
  </si>
  <si>
    <t>A New Lower Bound Technique and Its Application: Tight Lower Bound for a Polygon Triangulation Problem</t>
  </si>
  <si>
    <t>Implicit bound for comparison-based model</t>
  </si>
  <si>
    <t>https://link.springer.com/chapter/10.1007/3-540-59175-3_85</t>
  </si>
  <si>
    <t>Bradford</t>
  </si>
  <si>
    <t>Lower bounds for the matrix chain ordering problem</t>
  </si>
  <si>
    <t>Comparison-based model</t>
  </si>
  <si>
    <t>4. Longest common subsequence</t>
  </si>
  <si>
    <t>5. Maximum Flow</t>
  </si>
  <si>
    <t>Y</t>
  </si>
  <si>
    <t>Truly polynomial</t>
  </si>
  <si>
    <t>https://dl.acm.org/doi/10.1145/2746539.2746594</t>
  </si>
  <si>
    <t>Abboud</t>
  </si>
  <si>
    <t>Matching Triangles and Basing Hardness on an Extremely Popular Conjecture</t>
  </si>
  <si>
    <t>SETH (Strong Exponential Time Hypothesis)</t>
  </si>
  <si>
    <t>Single-source max flow for directed graphs</t>
  </si>
  <si>
    <t>n^2 m</t>
  </si>
  <si>
    <t>Krauthgamer</t>
  </si>
  <si>
    <t>Conditional Lower Bounds for All-Pairs Max-Flow</t>
  </si>
  <si>
    <t>All-pairs max flow for directed graphs</t>
  </si>
  <si>
    <t>6. Matrix Multiplication</t>
  </si>
  <si>
    <t>https://ieeexplore.ieee.org/abstract/document/8555139</t>
  </si>
  <si>
    <t>Alman</t>
  </si>
  <si>
    <t>Limits on All Known (and Some Unknown) Approaches to Matrix Multiplication</t>
  </si>
  <si>
    <t>Trivial bound</t>
  </si>
  <si>
    <t>7. 3 - Graph Coloring</t>
  </si>
  <si>
    <t>2-&gt;7</t>
  </si>
  <si>
    <t>exponential</t>
  </si>
  <si>
    <t>https://web.cs.elte.hu/~lovasz/scans/covercolor.pdf</t>
  </si>
  <si>
    <t>Lovasz</t>
  </si>
  <si>
    <t>Coverings and colorings of hypergraphs</t>
  </si>
  <si>
    <t>NP not P</t>
  </si>
  <si>
    <t>8. 4 - Graph Coloring</t>
  </si>
  <si>
    <t>9. Linear system of equations</t>
  </si>
  <si>
    <t>10. Linear Programming</t>
  </si>
  <si>
    <t>none</t>
  </si>
  <si>
    <t>https://link.springer.com/chapter/10.1007/978-1-4684-2001-2_9</t>
  </si>
  <si>
    <t>Karp</t>
  </si>
  <si>
    <t>Reducibility among Combinatorial Problems</t>
  </si>
  <si>
    <t>https://dl.acm.org/doi/10.1109/SFCS.1976.16</t>
  </si>
  <si>
    <t>Geometric intersection problems</t>
  </si>
  <si>
    <t>https://link.springer.com/article/10.1007%2FBF01917108</t>
  </si>
  <si>
    <t>Borgwardt</t>
  </si>
  <si>
    <t>The Average number of pivot steps required by the Simplex-Method is polynomial</t>
  </si>
  <si>
    <t>11. Line segment intersection</t>
  </si>
  <si>
    <t>https://dl.acm.org/doi/pdf/10.1145/262839.263089</t>
  </si>
  <si>
    <t>Basch</t>
  </si>
  <si>
    <t>Sweeping lines and line segments with a heap</t>
  </si>
  <si>
    <t>12. Convex Hull</t>
  </si>
  <si>
    <t>https://dl.acm.org/doi/10.1145/322276.322289</t>
  </si>
  <si>
    <t>A Lower Bound to Finding Complex Hulls</t>
  </si>
  <si>
    <t>Quadratic decision-tree model (?)</t>
  </si>
  <si>
    <t>n log H</t>
  </si>
  <si>
    <t>Kirkpatrick</t>
  </si>
  <si>
    <t>The Ultimate Planar Convex Hull Algorithm?</t>
  </si>
  <si>
    <t>http://www.bioinfo.org.cn/~dbu/AlgorithmCourses/Lectures/Shamos1975.pdf</t>
  </si>
  <si>
    <t>Closest-point problems</t>
  </si>
  <si>
    <t>13. Strongly Connected Components</t>
  </si>
  <si>
    <t>V + E</t>
  </si>
  <si>
    <t>Tarjan</t>
  </si>
  <si>
    <t>Depth-First Search and Linear Graph Algorithms</t>
  </si>
  <si>
    <t>14. Minimum Spanning Tree</t>
  </si>
  <si>
    <t>E</t>
  </si>
  <si>
    <t>https://ieeexplore.ieee.org/abstract/document/4392963</t>
  </si>
  <si>
    <t>On the History of the Minimum Spanning Tree Problem</t>
  </si>
  <si>
    <t>https://www.sciencedirect.com/science/article/abs/pii/S0377221704006538</t>
  </si>
  <si>
    <t>Haouari</t>
  </si>
  <si>
    <t>Upper and lower bounding strategies for the generalized minimum spanning tree problem</t>
  </si>
  <si>
    <t>Generalized geometric MST</t>
  </si>
  <si>
    <t>15. Closest Pair Problem</t>
  </si>
  <si>
    <t>16. Shortest Path</t>
  </si>
  <si>
    <t>Efficient Algorithms for Shortest Paths in Sparse Networks</t>
  </si>
  <si>
    <t>https://dl.acm.org/doi/10.1145/28869.28874</t>
  </si>
  <si>
    <t>Fredman</t>
  </si>
  <si>
    <t>Fibonacci heaps and their uses in improved network optimization algorithms</t>
  </si>
  <si>
    <t>https://dl.acm.org/doi/abs/10.1145/1186810.1186815</t>
  </si>
  <si>
    <t>Hershberger</t>
  </si>
  <si>
    <t>On the difficulty of some shortest path problems</t>
  </si>
  <si>
    <t>17. All-pairs shortest paths</t>
  </si>
  <si>
    <t>n^2 log n</t>
  </si>
  <si>
    <t>https://people.csail.mit.edu/rivest/pubs/YAR77.pdf</t>
  </si>
  <si>
    <t>An Omega(n^2 log n) Lower Bound to the Shortest Paths Problem</t>
  </si>
  <si>
    <t>https://dl.acm.org/doi/abs/10.1145/2344422.2344424</t>
  </si>
  <si>
    <t>All-pairs shortest paths for unweighted undirected graphs in o(mn) time</t>
  </si>
  <si>
    <t>Upper bounds rely on fast matrix multiplication</t>
  </si>
  <si>
    <t>Truly polynomial - no truly sub-cubic algorithm?</t>
  </si>
  <si>
    <t>https://doi.org/10.1109/FOCS.2014.53</t>
  </si>
  <si>
    <t>Popular Conjectures Imply Strong Lower Bounds for Dynamic Problems</t>
  </si>
  <si>
    <t>(Actually, APSP is the conjecture!)</t>
  </si>
  <si>
    <t>18. First category integer factoring</t>
  </si>
  <si>
    <t>Note that n should be number of digits</t>
  </si>
  <si>
    <t>19. Second category integer factoring</t>
  </si>
  <si>
    <t>http://citeseerx.ist.psu.edu/viewdoc/download?doi=10.1.1.117.1230&amp;rep=rep1&amp;type=pdf</t>
  </si>
  <si>
    <t>Barnes</t>
  </si>
  <si>
    <t>Integer Factorization Algorithms</t>
  </si>
  <si>
    <t>20. LU decomposition</t>
  </si>
  <si>
    <t>https://www.sciencedirect.com/science/article/pii/S0898122116305260</t>
  </si>
  <si>
    <t>Randomized LU decomposition using sparse projections</t>
  </si>
  <si>
    <t>Randomized LU decomposition</t>
  </si>
  <si>
    <t>https://www.ams.org/journals/mcom/1974-28-125/S0025-5718-1974-0331751-8/home.html</t>
  </si>
  <si>
    <t>Triangular factorization and inversion by fast matrix multiplication</t>
  </si>
  <si>
    <t>21. Informed Search</t>
  </si>
  <si>
    <t>7</t>
  </si>
  <si>
    <t>b^(d/2)</t>
  </si>
  <si>
    <t>optimal</t>
  </si>
  <si>
    <t>22. String Search</t>
  </si>
  <si>
    <t>3n(1 - o(1))</t>
  </si>
  <si>
    <t>https://doi.org/10.1137/S0097539791195543</t>
  </si>
  <si>
    <t>Cole</t>
  </si>
  <si>
    <t>Tight Bounds on the Complexity of the Boyer–Moore String Matching Algorithm</t>
  </si>
  <si>
    <t>Boyer-Moore algorithm</t>
  </si>
  <si>
    <t>extra</t>
  </si>
  <si>
    <t>(1 + 2/(m+3))n</t>
  </si>
  <si>
    <t>https://doi.org/10.1137/S0097539793245829</t>
  </si>
  <si>
    <t>Tighter Lower Bounds on the Exact Complexity of String Matching</t>
  </si>
  <si>
    <t>m = length of pattern, n = length of string</t>
  </si>
  <si>
    <t>n^2 / log n</t>
  </si>
  <si>
    <t>https://doi.org/10.1137/0216067</t>
  </si>
  <si>
    <t>Abrahamson</t>
  </si>
  <si>
    <t>Generalized String Matching</t>
  </si>
  <si>
    <t>Time-space product on the generalized problem</t>
  </si>
  <si>
    <t>m log log m</t>
  </si>
  <si>
    <t>https://doi.org/10.1145/103418.103465</t>
  </si>
  <si>
    <t>Breslauer</t>
  </si>
  <si>
    <t>A lower bound for parallel string matching</t>
  </si>
  <si>
    <t>m = length of pattern, 2m = length of string, CRCW-PRAM model</t>
  </si>
  <si>
    <t>23. Sequence Alignment</t>
  </si>
  <si>
    <t>ns</t>
  </si>
  <si>
    <t>https://doi.org/10.1145/321921.321922</t>
  </si>
  <si>
    <t>Bounds on the Complexity of the Longest Common Subsequence Problem</t>
  </si>
  <si>
    <t>s = size of alphabet - also not sure if this is proved at all? but cited as such, in the paper below
Uses decision tree model of computation</t>
  </si>
  <si>
    <t>https://doi.org/10.1016/0020-0190(78)90037-6</t>
  </si>
  <si>
    <t>An information-theoretic lower bound for the longest common subsequence problem</t>
  </si>
  <si>
    <t>Comparison-based model - minimum comparisons for longest common subsequence with an infinite alphabet</t>
  </si>
  <si>
    <t>https://doi.org/10.1016/0020-0190(88)90220-7</t>
  </si>
  <si>
    <t>Huang</t>
  </si>
  <si>
    <t>A lower bound for the edit-distance problem under an arbitrary cost function</t>
  </si>
  <si>
    <t>This is for generalized edit distance with an *arbitrary cost function* - not typical
Uses RAM model of computation (typical)</t>
  </si>
  <si>
    <t>https://dl.acm.org/doi/pdf/10.1145/321724.321730</t>
  </si>
  <si>
    <t>Reingold</t>
  </si>
  <si>
    <t>On the Optimality of Some Set Algorithms</t>
  </si>
  <si>
    <t>Bound (on comparisons) for whether LCS is empty</t>
  </si>
  <si>
    <t>https://doi.org/10.1109/FOCS.2015.15</t>
  </si>
  <si>
    <t>Bringmann</t>
  </si>
  <si>
    <t>Quadratic Conditional Lower Bounds for String Problems and Dynamic Time Warping</t>
  </si>
  <si>
    <t>https://doi.org/10.1145/2746539.2746612</t>
  </si>
  <si>
    <t>Backurs</t>
  </si>
  <si>
    <t>Edit Distance Cannot Be Computed in Strongly Subquadratic Time (unless SETH is false)</t>
  </si>
  <si>
    <t>24. Joins</t>
  </si>
  <si>
    <t>n + m</t>
  </si>
  <si>
    <t>Size of two sides of the join</t>
  </si>
  <si>
    <t>25. Line Clipping</t>
  </si>
  <si>
    <t>0</t>
  </si>
  <si>
    <t>Bound is in terms of number of sides to clip to</t>
  </si>
  <si>
    <t>not sure</t>
  </si>
  <si>
    <t>https://doi.org/10.1137/0221041</t>
  </si>
  <si>
    <t>An Optimal Algorithm for Intersecting Three-Dimensional Convex Polyhedra</t>
  </si>
  <si>
    <t>Linear algorithm for intersecting polyhedra
Upper bound paper - could be generalized to better (optimal) upper bound</t>
  </si>
  <si>
    <t>26. NFA to DFA conversion</t>
  </si>
  <si>
    <t>Omega (number of states)</t>
  </si>
  <si>
    <t>2^(n/2)</t>
  </si>
  <si>
    <t>https://link.springer.com/chapter/10.1007/3-540-63174-7_12</t>
  </si>
  <si>
    <t>Salomaa</t>
  </si>
  <si>
    <t>NFA to DFA transformation for finite languages</t>
  </si>
  <si>
    <t>n = number of states in the NFA</t>
  </si>
  <si>
    <t>27. Multiplication</t>
  </si>
  <si>
    <t>n = number of bits or digits</t>
  </si>
  <si>
    <t>Cook</t>
  </si>
  <si>
    <t>On the minimum computation time of functions</t>
  </si>
  <si>
    <t>Online version, where kth bit not known until time k</t>
  </si>
  <si>
    <t>28. Maximum cardinality matching</t>
  </si>
  <si>
    <t>https://doi.org/10.1109/SFCS.1980.12</t>
  </si>
  <si>
    <t>An O(\sqrt(|V|) |E|) algorithm for finding maximum matching in general graphs</t>
  </si>
  <si>
    <t>amortized O(1)</t>
  </si>
  <si>
    <t>https://doi.org/10.1109/FOCS.2016.43</t>
  </si>
  <si>
    <t>Fully Dynamic Maximal Matching in Constant Update Time</t>
  </si>
  <si>
    <t>Approximate, randomized, dynamic, fractional</t>
  </si>
  <si>
    <t>https://link.springer.com/chapter/10.1007/978-3-319-59250-3_8</t>
  </si>
  <si>
    <t>Deterministic Fully Dynamic Approximate Vertex Cover and Fractional Matching in O(1) Amortized Update Time</t>
  </si>
  <si>
    <t>Approximate algorithm for dynamic fractional matching</t>
  </si>
  <si>
    <t>29. Key exchange</t>
  </si>
  <si>
    <t>key size bound</t>
  </si>
  <si>
    <t>https://link.springer.com/chapter/10.1007/3-540-48071-4_33</t>
  </si>
  <si>
    <t>Blundo</t>
  </si>
  <si>
    <t>Perfectly-Secure Key Distribution for Dynamic Conferences</t>
  </si>
  <si>
    <t>quadratic security</t>
  </si>
  <si>
    <t>https://link.springer.com/chapter/10.1007/978-3-642-03356-8_22</t>
  </si>
  <si>
    <t>Barak</t>
  </si>
  <si>
    <t>Merkle Puzzles Are Optimal — An O(n2)-Query Attack on Any Key Exchange from a Random Oracle</t>
  </si>
  <si>
    <t>Random oracle model - this might be a special model?
Tight n^2 bound on number of accesses needed to break the key-exchange</t>
  </si>
  <si>
    <t>unclear</t>
  </si>
  <si>
    <t>https://link.springer.com/chapter/10.1007/11533733_13</t>
  </si>
  <si>
    <t>Shin</t>
  </si>
  <si>
    <t>A Lower-Bound of Complexity for RSA-Based Password-Authenticated Key Exchange</t>
  </si>
  <si>
    <t>30. Mutual Exclusion</t>
  </si>
  <si>
    <t>constant</t>
  </si>
  <si>
    <t>n^(1/2)</t>
  </si>
  <si>
    <t>Maekawa</t>
  </si>
  <si>
    <t>A sqrt(N) Algorithm for Mutual Exclusion in Decentralized Systems</t>
  </si>
  <si>
    <t>number of messages, optimal for fully distributed systems</t>
  </si>
  <si>
    <t>average O</t>
  </si>
  <si>
    <t>log n</t>
  </si>
  <si>
    <t>Raymond</t>
  </si>
  <si>
    <t>A Tree-based Algorithm for Distributed Mutual Exclusion</t>
  </si>
  <si>
    <t>n?</t>
  </si>
  <si>
    <t>31. SDD Systems Solvers</t>
  </si>
  <si>
    <t>32. Cycle Detection</t>
  </si>
  <si>
    <t>Theta</t>
  </si>
  <si>
    <t>https://doi.org/10.1137/0211030</t>
  </si>
  <si>
    <t>Sedgewick</t>
  </si>
  <si>
    <t>The Complexity of Finding Cycles in Periodic Functions</t>
  </si>
  <si>
    <t>actual bound = n(1+Theta(1/sqrt(M)), where M = amount of memory available</t>
  </si>
  <si>
    <t>log s + log r / log log r</t>
  </si>
  <si>
    <t>http://citeseerx.ist.psu.edu/viewdoc/download?doi=10.1.1.402.5478&amp;rep=rep1&amp;type=pdf</t>
  </si>
  <si>
    <t>Chakraborty</t>
  </si>
  <si>
    <t>Cycle Detection, Order Finding and Discrete Log with Jumps</t>
  </si>
  <si>
    <t>s and r are the smallest integers such that f^s(a) = f^{s+r}(a)</t>
  </si>
  <si>
    <t>33. Generating random permutations</t>
  </si>
  <si>
    <t>34. Convex Optimization (Non-linear)</t>
  </si>
  <si>
    <t>This seems difficult to lower bound since we mostly have approximation algorithms?</t>
  </si>
  <si>
    <t>35. Gröbner bases</t>
  </si>
  <si>
    <t>36. Minimum value in each row of an implicitly-defined totally monotone matrix</t>
  </si>
  <si>
    <t>max(m, m(1+log(n/m)))</t>
  </si>
  <si>
    <t>Aggarwal</t>
  </si>
  <si>
    <t>Geometric applications of a matrix-searching algorithm</t>
  </si>
  <si>
    <t>37. All permutations</t>
  </si>
  <si>
    <t>O</t>
  </si>
  <si>
    <t>Generation of permutations by adjacent transposition</t>
  </si>
  <si>
    <t>Noted in upper-bounds spreadsheet</t>
  </si>
  <si>
    <t>38. Huffman Encoding/Optimal Binary Search Trees</t>
  </si>
  <si>
    <t>39. Nash Equilibria</t>
  </si>
  <si>
    <t>unknown</t>
  </si>
  <si>
    <t>40. Maximum-weight matching</t>
  </si>
  <si>
    <t>41. Constructing Eulerian trails in a Graph</t>
  </si>
  <si>
    <t>trivial (optimal)</t>
  </si>
  <si>
    <t>https://archive.org/details/euleriangraphsre0001flei/page/</t>
  </si>
  <si>
    <t>42. Discrete Fourier Transform</t>
  </si>
  <si>
    <t>https://arxiv.org/pdf/1201.2501.pdf</t>
  </si>
  <si>
    <t>43. Line drawing</t>
  </si>
  <si>
    <t>There are several antialiasing algorithms which are more interesting but apparently not specifically part of this problem. Also, as with many graphic algorithms, the actual constant involved in the running time is important.</t>
  </si>
  <si>
    <t>44. Polygon clipping</t>
  </si>
  <si>
    <t>See line clipping</t>
  </si>
  <si>
    <t>47. Eigenvalues</t>
  </si>
  <si>
    <t>trivial?</t>
  </si>
  <si>
    <t>n = dimension of matrix</t>
  </si>
  <si>
    <t>https://dl.acm.org/doi/10.1145/1186785.1186788</t>
  </si>
  <si>
    <t>48. Root computation</t>
  </si>
  <si>
    <t>n = input size
Algorithm in upper bounds sheet seems to be an iterative alg?</t>
  </si>
  <si>
    <t>49. Nearest Neighbor Search</t>
  </si>
  <si>
    <t>50. Coset Enumeration</t>
  </si>
  <si>
    <t>may take arbitrarily long</t>
  </si>
  <si>
    <t>https://zbmath.org/?format=complete&amp;q=an:0068.01301</t>
  </si>
  <si>
    <t>Novikov</t>
  </si>
  <si>
    <t>On the algorithmic unsolvability of the word problem in group theory</t>
  </si>
  <si>
    <r>
      <rPr>
        <rFont val="Arial"/>
      </rPr>
      <t xml:space="preserve">See also: </t>
    </r>
    <r>
      <rPr>
        <rFont val="Arial"/>
        <color rgb="FF1155CC"/>
        <u/>
      </rPr>
      <t>https://en.wikipedia.org/wiki/Coset_enumeration</t>
    </r>
    <r>
      <rPr>
        <rFont val="Arial"/>
      </rPr>
      <t xml:space="preserve"> and https://en.wikipedia.org/wiki/Word_problem_for_groups</t>
    </r>
  </si>
  <si>
    <t>51. Maximum likelihood</t>
  </si>
  <si>
    <t>Iterative algs?</t>
  </si>
  <si>
    <t>n or n^2</t>
  </si>
  <si>
    <t>52. Cardinality estimation</t>
  </si>
  <si>
    <t>Approximation problem?</t>
  </si>
  <si>
    <t>53. Register Allocation</t>
  </si>
  <si>
    <t>54. Voronoi Diagrams</t>
  </si>
  <si>
    <t>But all known algorithms are n log n</t>
  </si>
  <si>
    <t>https://www.sciencedirect.com/science/article/abs/pii/0031320384900645</t>
  </si>
  <si>
    <t>An optimal algorithm for constructing the weighted voronoi diagram in the plane</t>
  </si>
  <si>
    <t>Weighted voronoi diagrams</t>
  </si>
  <si>
    <t>https://link.springer.com/chapter/10.1007/978-3-319-15612-5_12</t>
  </si>
  <si>
    <t>Bae</t>
  </si>
  <si>
    <t>An Almost Optimal Algorithm for Voronoi Diagrams of Non-disjoint Line Segments</t>
  </si>
  <si>
    <t>55. Variance calculations</t>
  </si>
  <si>
    <t>56. Topological Sorting</t>
  </si>
  <si>
    <t>Upper bound is V + E</t>
  </si>
  <si>
    <t>57. DFA Minimization</t>
  </si>
  <si>
    <t>n = number of states</t>
  </si>
  <si>
    <t>58. Lowest common ancestor</t>
  </si>
  <si>
    <t>log log n</t>
  </si>
  <si>
    <t>https://doi.org/10.1137/0213024</t>
  </si>
  <si>
    <t>Harel</t>
  </si>
  <si>
    <t>Fast Algorithms for Finding Nearest Common Ancestors</t>
  </si>
  <si>
    <t>time per query, on a pointer machine</t>
  </si>
  <si>
    <t>59. Graph edit distance computation</t>
  </si>
  <si>
    <t>https://link.springer.com/chapter/10.1007%2F3-540-58325-4_168</t>
  </si>
  <si>
    <t>Lin</t>
  </si>
  <si>
    <t>Hardness of approximating graph transformation problem</t>
  </si>
  <si>
    <t>https://dl.acm.org/doi/abs/10.14778/1687627.1687631</t>
  </si>
  <si>
    <t>Zeng</t>
  </si>
  <si>
    <t>Comparing stars: on approximating graph edit distance</t>
  </si>
  <si>
    <t>Proof that graph edit distance computation is NP-hard</t>
  </si>
  <si>
    <t>https://link.springer.com/chapter/10.1007/978-3-540-73420-8_15</t>
  </si>
  <si>
    <t>Demaine</t>
  </si>
  <si>
    <t>An Optimal Decomposition Algorithm for Tree Edit Distance</t>
  </si>
  <si>
    <t>Tree edit distance, Theta(nm^2(1 + log(n/m))) if n and m size of trees, m &lt; n
Only applies to a restricted set of algorithms</t>
  </si>
  <si>
    <t>60. Enumerating Maximal Cliques</t>
  </si>
  <si>
    <t>https://epubs.siam.org/doi/abs/10.1137/0209042</t>
  </si>
  <si>
    <t>Generating All Maximal Independent Sets: NP-Hardness and Polynomial-Time Algorithms</t>
  </si>
  <si>
    <t>Proof that MIS problem is NP-hard
However, special cases have feasible solutions</t>
  </si>
  <si>
    <t>61. The traveling-salesman problem</t>
  </si>
  <si>
    <t>62. Two-dimensional elliptic partial</t>
  </si>
  <si>
    <t>https://link.springer.com/chapter/10.1007/978-1-4684-2001-2_8</t>
  </si>
  <si>
    <t>Schultz</t>
  </si>
  <si>
    <t>The Computational Complexity of Elliptic Partial Differential Equations</t>
  </si>
  <si>
    <t>Bound is in terms of arithmetic operations per iteration</t>
  </si>
  <si>
    <t>63. Three-dimensional elliptic partial</t>
  </si>
  <si>
    <t>https://math.berkeley.edu/~wilken/228A.F07/chr_lecture.pdf</t>
  </si>
  <si>
    <t>Greenbaum</t>
  </si>
  <si>
    <t>Iterative methods for linear systems</t>
  </si>
  <si>
    <t>64. Delaunay triangulation</t>
  </si>
  <si>
    <t>65. DE NOVO GENOME ASSEMBLY</t>
  </si>
  <si>
    <t>66. The subset-sum problem</t>
  </si>
  <si>
    <t>NP-complete</t>
  </si>
  <si>
    <t>67. dependency inference problem</t>
  </si>
  <si>
    <t>https://doi.org/10.1016/0166-218X(92)90031-5</t>
  </si>
  <si>
    <t>Mannila</t>
  </si>
  <si>
    <t>On the complexity of inferring functional dependencies</t>
  </si>
  <si>
    <t>Exponential in n, Omega(p log p) for fixed n</t>
  </si>
  <si>
    <t>68. BCNF Decomposition</t>
  </si>
  <si>
    <t>https://dl.acm.org/doi/pdf/10.1145/320064.320066</t>
  </si>
  <si>
    <t>Beeri</t>
  </si>
  <si>
    <t xml:space="preserve">Computational Problems Related to the Design of Normal Form Relational Schernas </t>
  </si>
  <si>
    <t>https://dl.acm.org/doi/abs/10.1145/990511.990513</t>
  </si>
  <si>
    <t>Tsou</t>
  </si>
  <si>
    <t>Decomposition of a relation scheme into Boyce-Codd Normal Form</t>
  </si>
  <si>
    <t>69. 4NF decomposition</t>
  </si>
  <si>
    <t>70. Discovering multivalued dependencies</t>
  </si>
  <si>
    <t>upper bounds paper</t>
  </si>
  <si>
    <t>https://dl.acm.org/doi/10.1145/502585.502688</t>
  </si>
  <si>
    <t>Yan</t>
  </si>
  <si>
    <t>Algorithm for discovering multivalued dependencies</t>
  </si>
  <si>
    <t>71. Disk Scheduling</t>
  </si>
  <si>
    <t>72. The vertex-cover problem</t>
  </si>
  <si>
    <t>73. Parsing</t>
  </si>
  <si>
    <t>http://reports-archive.adm.cs.cmu.edu/anon/anon/usr/ftp/scan/CMU-CS-68-earley.pdf</t>
  </si>
  <si>
    <t>Earley</t>
  </si>
  <si>
    <t>https://link.springer.com/chapter/10.1007/3-540-09510-1_39</t>
  </si>
  <si>
    <t>https://drops.dagstuhl.de/opus/volltexte/2017/7454/</t>
  </si>
  <si>
    <t>74. Finding Frequent Item sets</t>
  </si>
  <si>
    <t>https://www.sciencedirect.com/science/article/abs/pii/0196677492900122?via%3Dihub</t>
  </si>
  <si>
    <t>Kashiwabara</t>
  </si>
  <si>
    <t>Generation of maximum independent sets of a bipartite graph and maximum cliques of a circular-arc graph</t>
  </si>
  <si>
    <t>P#-complete</t>
  </si>
  <si>
    <t>cited by</t>
  </si>
  <si>
    <t>https://www.researchgate.net/profile/Mohammed_Zaki4/publication/2921443_Theoretical_Foundations_of_Association_Rules/links/55a69e5b08aeb4e8e646a292/Theoretical-Foundations-of-Association-Rules.pdf</t>
  </si>
  <si>
    <t>Zaki</t>
  </si>
  <si>
    <t>Theoretical Foundations of Association Rules</t>
  </si>
  <si>
    <t>75. Lossy compression</t>
  </si>
  <si>
    <t>76. Factorization of polynomials over finite fields</t>
  </si>
  <si>
    <t>77. Cryptanalysis of Linear Feedback Shift Registers</t>
  </si>
  <si>
    <t>https://link.springer.com/chapter/10.1007/978-1-4615-2694-0_21</t>
  </si>
  <si>
    <t>https://ieeexplore.ieee.org/abstract/document/1057299?casa_token=WGak__tiCqkAAAAA:r2cOFTLdVr2aPO31i436BQ2wEfVbrlWM9PsUE0DZF8euXa2B_RQ5-klmiDU7W7V1PgJkdNU</t>
  </si>
  <si>
    <t>78. Stable Marriage Problem/Stable Roommates Problem</t>
  </si>
  <si>
    <t>O(n) preferences from each of n participants</t>
  </si>
  <si>
    <t>79. longest path on interval graphs</t>
  </si>
  <si>
    <t>80. Maximum subarray problem</t>
  </si>
  <si>
    <t>81. Constructing suffix trees</t>
  </si>
  <si>
    <t>Omega (work)</t>
  </si>
  <si>
    <t>https://ieeexplore.ieee.org/document/646102</t>
  </si>
  <si>
    <t>83. Entity resolution</t>
  </si>
  <si>
    <t>linear</t>
  </si>
  <si>
    <t>84. Longest palindromic substring</t>
  </si>
  <si>
    <t>https://link.springer.com/article/10.1007/BF01294132</t>
  </si>
  <si>
    <t>85. Translating abstract syntax trees into machine code that uses as few registers as possible</t>
  </si>
  <si>
    <t>86. Graph isomorphism problem</t>
  </si>
  <si>
    <t>clearly in NP but not known to be in P and not known to be NP-complete</t>
  </si>
  <si>
    <t>https://arxiv.org/abs/1512.03547</t>
  </si>
  <si>
    <t>87. Digraph realization problem</t>
  </si>
  <si>
    <t>88. Duplicate Elimination</t>
  </si>
  <si>
    <t>89. Hyperbolic spline interpolation</t>
  </si>
  <si>
    <t>91. Maximum Likelihood Methods in unknown latent variables</t>
  </si>
  <si>
    <t>92. Matrix Factorization for Collaborative Filtering</t>
  </si>
  <si>
    <t>optimal?</t>
  </si>
  <si>
    <t>96. Filtering problem (stochastic processes)</t>
  </si>
  <si>
    <t>97. MDPs for optimal policies</t>
  </si>
  <si>
    <t>98. The set-covering problem</t>
  </si>
  <si>
    <t>99. Motif Search</t>
  </si>
  <si>
    <t>https://dl.acm.org/doi/10.1145/332306.332311</t>
  </si>
  <si>
    <t>Akutsu</t>
  </si>
  <si>
    <t>On approximation algorithms for local multiple alignment</t>
  </si>
  <si>
    <t xml:space="preserve">Y </t>
  </si>
  <si>
    <t>100. All Maximal Non-Branching Paths in a Graph</t>
  </si>
  <si>
    <t>2^n?</t>
  </si>
  <si>
    <t>101. Link analysis - indegree</t>
  </si>
  <si>
    <t>101. Link analysis - pagerank</t>
  </si>
  <si>
    <t>103. Distributed Locking Algorithms</t>
  </si>
  <si>
    <t>constant?</t>
  </si>
  <si>
    <t>104. Cyclopeptide sequencing</t>
  </si>
  <si>
    <t>reduces to the beltway problem, which is neither known to be NP-complete nor known to be in P</t>
  </si>
  <si>
    <t>107. Point in polygon</t>
  </si>
  <si>
    <t>110. Clock synchronization in distributed systems</t>
  </si>
  <si>
    <t>115. SLAM Algorithms</t>
  </si>
  <si>
    <t>not a well-defined problem</t>
  </si>
  <si>
    <t>116. d-neighborhood of a string</t>
  </si>
  <si>
    <t>n choose d</t>
  </si>
  <si>
    <t>117. Maximum cut</t>
  </si>
  <si>
    <t>118. minimum Wiener connector problem</t>
  </si>
  <si>
    <t>The Minimum Wiener Connector</t>
  </si>
  <si>
    <t>119. calculate the determinant using integer arithmetic</t>
  </si>
  <si>
    <t>120. Integer relation</t>
  </si>
  <si>
    <t>https://ieeexplore.ieee.org/stamp/stamp.jsp?tp=&amp;arnumber=814653</t>
  </si>
  <si>
    <t>122. Sequence to Graph Alignment (changes are allowed in the query sequence alone) Linear gap penalty</t>
  </si>
  <si>
    <t>m + V + E</t>
  </si>
  <si>
    <t>123. Logarithm calculations</t>
  </si>
  <si>
    <t>upper bound should probably be subpolynomial</t>
  </si>
  <si>
    <t>124. Rod-cutting problem</t>
  </si>
  <si>
    <t>might be good to think about</t>
  </si>
  <si>
    <t>129. Transitive Reduction problem</t>
  </si>
  <si>
    <t>https://epubs.siam.org/doi/10.1137/0201008</t>
  </si>
  <si>
    <t>Aho</t>
  </si>
  <si>
    <t>The Transitive Reduction of a Directed Graph</t>
  </si>
  <si>
    <t>same as matrix multiplication</t>
  </si>
  <si>
    <t>130. Change-making problem</t>
  </si>
  <si>
    <t>"weakly NP-hard" but has pseudopolynomial solution</t>
  </si>
  <si>
    <t>2^n</t>
  </si>
  <si>
    <t>https://www.worldcat.org/title/two-np-complete-problems-in-nonnegative-integer-programming/oclc/897664052</t>
  </si>
  <si>
    <t>Lueker</t>
  </si>
  <si>
    <t>Two NP-complete problems in nonnegative integer programming</t>
  </si>
  <si>
    <t>131. Turnpike problem</t>
  </si>
  <si>
    <t>https://www.nlc-bnc.ca/obj/s4/f2/dsk1/tape3/PQDD_0014/NQ61635.pdf</t>
  </si>
  <si>
    <t>in NP, not known if in P</t>
  </si>
  <si>
    <t>132. n-Queens problem</t>
  </si>
  <si>
    <t>https://www.jair.org/index.php/jair/article/view/11079</t>
  </si>
  <si>
    <t>Gent</t>
  </si>
  <si>
    <t>Complexity of n-Queens Completion</t>
  </si>
  <si>
    <t>133. Median string problem in unbounded/bounded/binary alphabets</t>
  </si>
  <si>
    <t>https://www.sciencedirect.com/science/article/pii/S1570866704000620</t>
  </si>
  <si>
    <t>Nicolas</t>
  </si>
  <si>
    <t>Hardness results for the center and median string problems under the weighted and unweighted edit distances</t>
  </si>
  <si>
    <t>134. Frequent Words with Mismatches Problem</t>
  </si>
  <si>
    <t>could be fun to think about / or could have work that is missed</t>
  </si>
  <si>
    <t>135. Tower of Hanoi</t>
  </si>
  <si>
    <t>2^n - 1 moves</t>
  </si>
  <si>
    <t>136. The frequent words problem</t>
  </si>
  <si>
    <t>"optimal"</t>
  </si>
  <si>
    <t>137. Integral equations</t>
  </si>
  <si>
    <t>139. Secret-sharing algorithms</t>
  </si>
  <si>
    <t>"trivial"</t>
  </si>
  <si>
    <t>tn</t>
  </si>
  <si>
    <t>information-theoretic lower bound: each of t secrets requires n bits</t>
  </si>
  <si>
    <t>140. Solutions to nonlinear equations</t>
  </si>
  <si>
    <t>142. Polynomial interpolation</t>
  </si>
  <si>
    <t>4</t>
  </si>
  <si>
    <t>143. Greatest Common Divisor</t>
  </si>
  <si>
    <t>might be n log n lower bound?</t>
  </si>
  <si>
    <t>https://dl.acm.org/doi/10.1145/103516.103522</t>
  </si>
  <si>
    <t>Mansour</t>
  </si>
  <si>
    <t>A lower bound for integer greatest common divisor computations</t>
  </si>
  <si>
    <t>144. Weighted Activity selection problem</t>
  </si>
  <si>
    <t>look for n log n?</t>
  </si>
  <si>
    <t>sorting lower bound?</t>
  </si>
  <si>
    <t>https://dl.acm.org/doi/10.1145/359545.359553</t>
  </si>
  <si>
    <t>On the complexity of computing the measure of ∪[ai,bi]</t>
  </si>
  <si>
    <t>145. Single-interval scheduling maximization (unweighted)</t>
  </si>
  <si>
    <t>146. Dining philosophers problem</t>
  </si>
  <si>
    <t>125. Self-balancing trees creation</t>
  </si>
  <si>
    <t>3</t>
  </si>
  <si>
    <t>https://zhjwpku.com/assets/pdf/AED2-10-avl-paper.pdf</t>
  </si>
  <si>
    <t>Adel</t>
  </si>
  <si>
    <t>An algorithm for the organization of information</t>
  </si>
  <si>
    <t>tight b/c sorting but look for paper</t>
  </si>
  <si>
    <t>https://dl.acm.org/doi/abs/10.1145/3828.3835</t>
  </si>
  <si>
    <t>126. Self-balancing trees insertion</t>
  </si>
  <si>
    <t>1</t>
  </si>
  <si>
    <t>127. Self-balancing trees deletion</t>
  </si>
  <si>
    <t>128. Self-balancing trees search</t>
  </si>
  <si>
    <t>147. Deadlock avoidance</t>
  </si>
  <si>
    <t>148. Page replacements</t>
  </si>
  <si>
    <t>149. Recovery</t>
  </si>
  <si>
    <t>Abstract Data Type</t>
  </si>
  <si>
    <t>Datastructure</t>
  </si>
  <si>
    <t>Comments/Distinguishing Features</t>
  </si>
  <si>
    <t>Constants Reference</t>
  </si>
  <si>
    <t>Space</t>
  </si>
  <si>
    <t>Space Reference</t>
  </si>
  <si>
    <t>Space Units</t>
  </si>
  <si>
    <t>Prefered Parameter</t>
  </si>
  <si>
    <t>Build (Time)</t>
  </si>
  <si>
    <t>Build Notes (constants, amortized?, randomized?, etc.)</t>
  </si>
  <si>
    <t>Build Time Reference</t>
  </si>
  <si>
    <t>Insert (Time)</t>
  </si>
  <si>
    <t>Insert Notes (constants, amortized?, randomized?, etc.)</t>
  </si>
  <si>
    <t>Insert Time Reference</t>
  </si>
  <si>
    <t>Delete (Time)</t>
  </si>
  <si>
    <t>Delete Notes (constants, amortized?, randomized?, etc.)</t>
  </si>
  <si>
    <t>Delete Time Reference</t>
  </si>
  <si>
    <t>Find (Time)</t>
  </si>
  <si>
    <t>Find Notes (constants, amortized?, randomized?, etc.)</t>
  </si>
  <si>
    <t>Find Reference</t>
  </si>
  <si>
    <t>Successor/Predecessor (Time)</t>
  </si>
  <si>
    <t>Successor/Predecessor Notes (constants, amortized?, randomized?, etc.)</t>
  </si>
  <si>
    <t>Successor/Predecessor Time Reference</t>
  </si>
  <si>
    <t>Union (Time)</t>
  </si>
  <si>
    <t>Union Notes (constants, amortized?, randomized?, etc.)</t>
  </si>
  <si>
    <t>Union Reference</t>
  </si>
  <si>
    <t>Min/Max (Time)</t>
  </si>
  <si>
    <t>Min/Max Notes (constants, amortized?, randomized?, etc.)</t>
  </si>
  <si>
    <t>Max Reference</t>
  </si>
  <si>
    <t>Decrease-Key (Time)</t>
  </si>
  <si>
    <t>Decrease-Key Notes (constants, amortized?, randomized?, etc.)</t>
  </si>
  <si>
    <t>Decrease-Key Reference</t>
  </si>
  <si>
    <t>Ordered Associative Array (Comparison)</t>
  </si>
  <si>
    <t>Self-balancing BST</t>
  </si>
  <si>
    <t>among the first to be discovered</t>
  </si>
  <si>
    <t>O(n lg n)</t>
  </si>
  <si>
    <t>O(lg n)</t>
  </si>
  <si>
    <t>O(m*lg((n/m)+1))</t>
  </si>
  <si>
    <t>tree sizes are m ≤ n. also parallelizable?</t>
  </si>
  <si>
    <t>https://dl.acm.org/doi/pdf/10.1145/322123.322127</t>
  </si>
  <si>
    <t>Red-Black Tree</t>
  </si>
  <si>
    <t>https://dl.acm.org/doi/10.1145/2935764.2935768</t>
  </si>
  <si>
    <t>Left-Leaning Red-Black Tree</t>
  </si>
  <si>
    <t>https://citeseerx.ist.psu.edu/viewdoc/summary?doi=10.1.1.139.282</t>
  </si>
  <si>
    <t>AA tree</t>
  </si>
  <si>
    <t>https://cs.gmu.edu/~rcarver/cs310/aa-tree.pdf</t>
  </si>
  <si>
    <t>2-3 tree</t>
  </si>
  <si>
    <t>[Hopcroft]</t>
  </si>
  <si>
    <t>tree sizes are m ≤ n</t>
  </si>
  <si>
    <t>2-3-4 tree</t>
  </si>
  <si>
    <t>(a,b)-tree</t>
  </si>
  <si>
    <t>generalization of 2-3 trees</t>
  </si>
  <si>
    <t xml:space="preserve">n: number of elements
a, b: bounds (lower, upper) on # of children for internal nodes </t>
  </si>
  <si>
    <t>O(n lg n/lg a)?</t>
  </si>
  <si>
    <t>O(lg n/lg a)?</t>
  </si>
  <si>
    <t>(derived)</t>
  </si>
  <si>
    <t>B-tree</t>
  </si>
  <si>
    <t>https://infolab.usc.edu/csci585/Spring2010/den_ar/indexing.pdf</t>
  </si>
  <si>
    <t>suitable for databases and file systems</t>
  </si>
  <si>
    <t xml:space="preserve">n: number of elements
b: bound variable on # of children for internal nodes </t>
  </si>
  <si>
    <t>O(n lg n/lg b)?</t>
  </si>
  <si>
    <t>O(lg n/lg b)</t>
  </si>
  <si>
    <t>B+ tree</t>
  </si>
  <si>
    <t>1973?</t>
  </si>
  <si>
    <t>https://dl.acm.org/doi/pdf/10.1145/356770.356776</t>
  </si>
  <si>
    <t>stores keys and records in leaves, along with pred/succ pointers (compared to a B-tree)</t>
  </si>
  <si>
    <t>O(1)?</t>
  </si>
  <si>
    <t>B* tree</t>
  </si>
  <si>
    <t>uses 2/3 instead of 1/2 (compared to a B-tree)</t>
  </si>
  <si>
    <t>B+* tree</t>
  </si>
  <si>
    <t>https://ispranproceedings.elpub.ru/jour/article/view/1188</t>
  </si>
  <si>
    <t>combination of B+ and B*</t>
  </si>
  <si>
    <t>Scapegoat Tree</t>
  </si>
  <si>
    <t>https://user.it.uu.se/~arnea/abs/partb.html</t>
  </si>
  <si>
    <t>worst-case + amortized</t>
  </si>
  <si>
    <t>http://people.csail.mit.edu/rivest/pubs/GR93.pdf</t>
  </si>
  <si>
    <t>Splay Tree</t>
  </si>
  <si>
    <t>https://www.cs.cmu.edu/~sleator/papers/self-adjusting.pdf</t>
  </si>
  <si>
    <t>conjectured to be optimal up to constant factor (see dynamic optimality conjecture)</t>
  </si>
  <si>
    <t>amortized</t>
  </si>
  <si>
    <t>O(lg n)?</t>
  </si>
  <si>
    <t>Treap</t>
  </si>
  <si>
    <t>Self-balancing BST, supports split and intersection</t>
  </si>
  <si>
    <t>http://faculty.washington.edu/aragon/pubs/rst89.pdf</t>
  </si>
  <si>
    <t>with high probability</t>
  </si>
  <si>
    <t>expected running time; tree sizes are m ≤ n. also parallelizable</t>
  </si>
  <si>
    <t>https://dl.acm.org/doi/10.1145/277651.277660</t>
  </si>
  <si>
    <t>Dynamic BST</t>
  </si>
  <si>
    <t>Self-balancing Dynamic BST, seems to work better on random input sequence</t>
  </si>
  <si>
    <t>Vinod et al</t>
  </si>
  <si>
    <t>https://ieeexplore.ieee.org/abstract/document/1648303</t>
  </si>
  <si>
    <t>worst-case; presumably does better with random sequence of inputs?</t>
  </si>
  <si>
    <t>WAVL Tree</t>
  </si>
  <si>
    <t>https://dl.acm.org/doi/abs/10.1145/2689412</t>
  </si>
  <si>
    <t>(implicit in paper)</t>
  </si>
  <si>
    <t>(due to height bounds)</t>
  </si>
  <si>
    <t>Zip Tree</t>
  </si>
  <si>
    <t>https://arxiv.org/abs/1806.06726</t>
  </si>
  <si>
    <t>O(n lg n)?</t>
  </si>
  <si>
    <t>with high probability, based on height bounds</t>
  </si>
  <si>
    <t>Partitioned Binary Search Tree</t>
  </si>
  <si>
    <t>https://www.cys.cic.ipn.mx/ojs/index.php/CyS/article/view/3108/2727</t>
  </si>
  <si>
    <t>n: number of elements
k: "tolerated length of red nodes succession plus 1"</t>
  </si>
  <si>
    <t>O(nk lg (1+n/k))</t>
  </si>
  <si>
    <t>O(k*lg (1+n/k))</t>
  </si>
  <si>
    <t>based on height bounds + maintenance operations</t>
  </si>
  <si>
    <t>based on height bounds</t>
  </si>
  <si>
    <t>BB[alpha] Tree</t>
  </si>
  <si>
    <t>https://dl.acm.org/doi/pdf/10.1145/800152.804906</t>
  </si>
  <si>
    <t>n: number of elements
alpha: weight balancing factor</t>
  </si>
  <si>
    <t>https://publikationen.sulb.uni-saarland.de/handle/20.500.11880/26129</t>
  </si>
  <si>
    <t>amortized (based on height bounds + maintenance operations)</t>
  </si>
  <si>
    <t>O(m lg(n/m)+1)</t>
  </si>
  <si>
    <t>https://dl.acm.org/doi/pdf/10.1145/2935764.2935768</t>
  </si>
  <si>
    <t>Unordered Associative Array</t>
  </si>
  <si>
    <t>Hash Table with Linked-List Separate Chaining</t>
  </si>
  <si>
    <t>[Dumey]</t>
  </si>
  <si>
    <t>n: number of elements
m: table size</t>
  </si>
  <si>
    <t>expected</t>
  </si>
  <si>
    <t>Hash Table with Self-Organized Separate Chaining</t>
  </si>
  <si>
    <t>O(lg (n/m))</t>
  </si>
  <si>
    <t>Hash Table, Dynamic Perfect</t>
  </si>
  <si>
    <t>https://web.archive.org/web/20160304094014/http://www.arl.wustl.edu/~sailesh/download_files/Limited_Edition/hash/Dynamic%20Perfect%20Hashing-%20Upper%20and%20Lower%20Bounds.pdf</t>
  </si>
  <si>
    <t>expected + amortized (if resizing is needed)</t>
  </si>
  <si>
    <t>worst-case</t>
  </si>
  <si>
    <t>Hash Table with Linear Probing</t>
  </si>
  <si>
    <t>https://web.archive.org/web/20160303225949/http://algo.inria.fr/AofA/Research/11-97.html</t>
  </si>
  <si>
    <t>"simple + commonly used"</t>
  </si>
  <si>
    <t>n: number of elements
m: table size
alpha: load factor bound (usually 1-Omega(1))</t>
  </si>
  <si>
    <t>Hash Table with Quadratic Probing</t>
  </si>
  <si>
    <t>Hash Table with Double Hashing</t>
  </si>
  <si>
    <t>https://web.archive.org/web/20160125172602/http://phillipbradford.com/papers/AProbStudyExpandersAndHashing.pdf</t>
  </si>
  <si>
    <t>Hash Table with Coalesced Hashing</t>
  </si>
  <si>
    <t>https://archive.org/details/designanalysisof0000vitt</t>
  </si>
  <si>
    <t>hybrid of open addressing + separate chaining</t>
  </si>
  <si>
    <t>expected, based on average chain length (worst case is O(n^2))</t>
  </si>
  <si>
    <t>[Art of Computer Programming Volume 3]</t>
  </si>
  <si>
    <t>expected, based on average chain length (worst case is O(n))</t>
  </si>
  <si>
    <t>Hash Table with 2-Choice Hashing</t>
  </si>
  <si>
    <t>expected bucket size is theta(lg lg n) by "power of 2 choices"</t>
  </si>
  <si>
    <t>Hash Table with Cuckoo Hashing</t>
  </si>
  <si>
    <t>https://link.springer.com/content/pdf/10.1007/3-540-44676-1.pdf#page=133</t>
  </si>
  <si>
    <t>expected (+ amortized if resizing is needed)</t>
  </si>
  <si>
    <t>https://citeseerx.ist.psu.edu/doc/10.1.1.25.4189</t>
  </si>
  <si>
    <t>amortized (if resizing is needed)</t>
  </si>
  <si>
    <t>Hash Table with Hopscotch Hashing</t>
  </si>
  <si>
    <t>http://people.csail.mit.edu/shanir/publications/disc2008_submission_98.pdf</t>
  </si>
  <si>
    <t>Strongly History-Independent Hash Table</t>
  </si>
  <si>
    <t>https://www.cs.cmu.edu/~dgolovin/papers/focs07.pdf</t>
  </si>
  <si>
    <t>Iceberg Hashing</t>
  </si>
  <si>
    <t>https://arxiv.org/abs/2109.04548</t>
  </si>
  <si>
    <t>cache efficient and stable</t>
  </si>
  <si>
    <t>(1+o(1))n</t>
  </si>
  <si>
    <t>with high probability; derived from insert time</t>
  </si>
  <si>
    <t>https://arxiv.org/pdf/2109.04548.pdf</t>
  </si>
  <si>
    <t>Associative Array</t>
  </si>
  <si>
    <t>Radix Tree</t>
  </si>
  <si>
    <t>Compressed Trie (for strings)</t>
  </si>
  <si>
    <t>n: max number of characters in string
m: number of strings
d: alphabet size</t>
  </si>
  <si>
    <t>worst-case; usually does better than uncompressed version</t>
  </si>
  <si>
    <t>Trie (Uncompressed)</t>
  </si>
  <si>
    <t>Uncompressed Trie (for strings)</t>
  </si>
  <si>
    <t>https://web.archive.org/web/20200211163605/https://pdfs.semanticscholar.org/3ce3/f4cc1c91d03850ed84ef96a08498e018d18f.pdf</t>
  </si>
  <si>
    <t>Ternary Search Tree/Trie</t>
  </si>
  <si>
    <t>Trie (for strings)</t>
  </si>
  <si>
    <t>https://dl.acm.org/doi/pdf/10.1145/1008620.1008624</t>
  </si>
  <si>
    <t>O(m(n+lg m))</t>
  </si>
  <si>
    <t>O(n+lg m)</t>
  </si>
  <si>
    <t>(follows from "find")</t>
  </si>
  <si>
    <t>Judy Array</t>
  </si>
  <si>
    <t>"Highly Optimized 256-ary Radix Tree"</t>
  </si>
  <si>
    <t>https://judy.sourceforge.net/application/shop_interm.pdf</t>
  </si>
  <si>
    <t>n: number of strings</t>
  </si>
  <si>
    <t>(follows from "insert")</t>
  </si>
  <si>
    <t>https://packages.debian.org/buster/libjudy-dev</t>
  </si>
  <si>
    <t>Ordered Associative Array (Non-Comparison)</t>
  </si>
  <si>
    <t>van Emde Boas Tree</t>
  </si>
  <si>
    <t>Finite-Universe Tree Data Structure</t>
  </si>
  <si>
    <t>https://www.sciencedirect.com/science/article/pii/002001907790031X</t>
  </si>
  <si>
    <t>U: number of elements in universe
n: number of elements stored</t>
  </si>
  <si>
    <t>U?</t>
  </si>
  <si>
    <t>O(U lg lg U)</t>
  </si>
  <si>
    <t>O(lg lg U)</t>
  </si>
  <si>
    <t>O(n lg lg U)?</t>
  </si>
  <si>
    <t>(stored as attributes)</t>
  </si>
  <si>
    <t>x-fast Trie</t>
  </si>
  <si>
    <t>https://www.sciencedirect.com/science/article/pii/0020019083900753?via%3Dihub</t>
  </si>
  <si>
    <t>simpler version of y-fast trie</t>
  </si>
  <si>
    <t>O(n lg U)</t>
  </si>
  <si>
    <t>O(lg U)</t>
  </si>
  <si>
    <t>http://courses.csail.mit.edu/6.851/spring10/scribe/lec09.pdf</t>
  </si>
  <si>
    <t>O(n lg U)?</t>
  </si>
  <si>
    <t>O(lg lg U)?</t>
  </si>
  <si>
    <t>y-fast Trie</t>
  </si>
  <si>
    <t>O(n lg lg U)</t>
  </si>
  <si>
    <t>expected amortized</t>
  </si>
  <si>
    <t>p-fast Trie</t>
  </si>
  <si>
    <t>https://www.sciencedirect.com/science/article/pii/0022000084900205</t>
  </si>
  <si>
    <t>simpler fersion of q-fast trie</t>
  </si>
  <si>
    <t>O(n*sqrt(lg U)*2^(sqrt(lg U)))</t>
  </si>
  <si>
    <t>O(n*sqrt(lg U)*2^(sqrt(lg U)))?</t>
  </si>
  <si>
    <t>O(sqrt(lg U))</t>
  </si>
  <si>
    <t>O(sqrt(lg U))?</t>
  </si>
  <si>
    <t>q-fast Trie</t>
  </si>
  <si>
    <t>Fusion Tree</t>
  </si>
  <si>
    <t>https://dl.acm.org/doi/10.1145/100216.100217</t>
  </si>
  <si>
    <t>O((n lg n)/(lg lg n))</t>
  </si>
  <si>
    <t>O((lg n)/(lg lg n))</t>
  </si>
  <si>
    <t>O((n lg n)/(lg lg n))?</t>
  </si>
  <si>
    <t>O((lg n)/(lg lg n))?</t>
  </si>
  <si>
    <t>Exponential Tree</t>
  </si>
  <si>
    <t>https://ieeexplore.ieee.org/document/548472</t>
  </si>
  <si>
    <t>O(n*sqrt(lg n))</t>
  </si>
  <si>
    <t>O(min{sqrt(lg n), lg lg n + (lg n)/(lg w), (lg w) * (lg lg n)})</t>
  </si>
  <si>
    <t>Fusion Tree (dynamic, using Exponential Trees)</t>
  </si>
  <si>
    <t>https://arxiv.org/abs/cs/0210006</t>
  </si>
  <si>
    <t>O(n((lg n)/(lg U) + lg lg n))?</t>
  </si>
  <si>
    <t>O((lg n)/(lg U) + lg lg n)</t>
  </si>
  <si>
    <r>
      <rPr>
        <color rgb="FF1155CC"/>
        <u/>
      </rPr>
      <t>https://arxiv.org/abs/cs/0210006</t>
    </r>
    <r>
      <rPr/>
      <t xml:space="preserve"> (Corollary 19)</t>
    </r>
  </si>
  <si>
    <r>
      <rPr>
        <color rgb="FF1155CC"/>
        <u/>
      </rPr>
      <t>https://arxiv.org/abs/cs/0210006</t>
    </r>
    <r>
      <rPr/>
      <t xml:space="preserve"> (Corollary 19)</t>
    </r>
  </si>
  <si>
    <r>
      <rPr>
        <color rgb="FF1155CC"/>
        <u/>
      </rPr>
      <t>https://arxiv.org/abs/cs/0210006</t>
    </r>
    <r>
      <rPr/>
      <t xml:space="preserve"> (Corollary 19)</t>
    </r>
  </si>
  <si>
    <r>
      <rPr>
        <color rgb="FF1155CC"/>
        <u/>
      </rPr>
      <t>https://arxiv.org/abs/cs/0210006</t>
    </r>
    <r>
      <rPr/>
      <t xml:space="preserve"> (Corollary 19)</t>
    </r>
  </si>
  <si>
    <r>
      <rPr>
        <color rgb="FF1155CC"/>
        <u/>
      </rPr>
      <t>https://arxiv.org/abs/cs/0210006</t>
    </r>
    <r>
      <rPr/>
      <t xml:space="preserve"> (Corollary 19)</t>
    </r>
  </si>
  <si>
    <t>Fusion Tree (dynamic)</t>
  </si>
  <si>
    <t>https://ieeexplore.ieee.org/document/6979001</t>
  </si>
  <si>
    <t>O((n lg n)/(lg lg U))</t>
  </si>
  <si>
    <t>O((lg n)/(lg lg U))</t>
  </si>
  <si>
    <t>O((n lg n)/(lg lg U))?</t>
  </si>
  <si>
    <t>Priority Queue</t>
  </si>
  <si>
    <t>Priority Unsorted List</t>
  </si>
  <si>
    <t>List of elements, unsorted</t>
  </si>
  <si>
    <t>https://en.wikipedia.org/wiki/Priority_queue#Naive_implementations</t>
  </si>
  <si>
    <t>Priority Sorted List</t>
  </si>
  <si>
    <t>List of elements, sorted</t>
  </si>
  <si>
    <t>(mergesort-like merge step)</t>
  </si>
  <si>
    <t>Binary Heap</t>
  </si>
  <si>
    <t>Heap (assume this is a max heap)</t>
  </si>
  <si>
    <t>https://dl.acm.org/doi/10.1145/512274.512284</t>
  </si>
  <si>
    <t>[CLRS]</t>
  </si>
  <si>
    <t>https://www.deepdyve.com/lp/ios-press/elementary-yet-precise-worst-case-analysis-of-floyd-s-heap-50NW30HMxU</t>
  </si>
  <si>
    <t>https://lusy.fri.uni-lj.si/sites/lusy.fri.uni-lj.si/files/publications/jekovec2012-tr01.pdf</t>
  </si>
  <si>
    <t>https://www.sciencedirect.com/science/article/pii/0020019075900010?via%3Dihub</t>
  </si>
  <si>
    <t>https://xlinux.nist.gov/dads/HTML/binaryheap.html</t>
  </si>
  <si>
    <t>only max; also kept track of in the root</t>
  </si>
  <si>
    <t>d-ary Heap</t>
  </si>
  <si>
    <t>n: number of elements
d: max number of children per node</t>
  </si>
  <si>
    <t>O((n lg n)/(lg d))?</t>
  </si>
  <si>
    <t>O((lg n)/(lg d))</t>
  </si>
  <si>
    <t>O((d lg n)/(lg d))</t>
  </si>
  <si>
    <t>only max</t>
  </si>
  <si>
    <t>Height-biased Leftist Heap</t>
  </si>
  <si>
    <t>https://www.proquest.com/docview/288011272</t>
  </si>
  <si>
    <t>Derivable from "union" runtime (as recursion is T(n)=2T(n/2)+O(lg n))</t>
  </si>
  <si>
    <t>(delete followed by insert?)</t>
  </si>
  <si>
    <t>Weight-biased Leftist Heap</t>
  </si>
  <si>
    <t>https://dl.acm.org/doi/10.1145/297096.297111</t>
  </si>
  <si>
    <t>delete runtime only for max</t>
  </si>
  <si>
    <t>Binomial Heap</t>
  </si>
  <si>
    <t>https://dl.acm.org/doi/10.1145/359460.359478</t>
  </si>
  <si>
    <t>https://dl.acm.org/doi/pdf/10.1145/359460.359478</t>
  </si>
  <si>
    <t>https://epubs.siam.org/doi/epdf/10.1137/0207026</t>
  </si>
  <si>
    <t>Fibonacci Heap</t>
  </si>
  <si>
    <t>Derivable from "insert" runtime</t>
  </si>
  <si>
    <t>amortized; for non-max, assumes position is known</t>
  </si>
  <si>
    <t>Rank-Relaxed Heap</t>
  </si>
  <si>
    <t>https://dl.acm.org/doi/pdf/10.1145/50087.50096</t>
  </si>
  <si>
    <t>parallelizable</t>
  </si>
  <si>
    <t>amortized (based on "decrease key" runtime)</t>
  </si>
  <si>
    <t>Run-Relaxed Heap</t>
  </si>
  <si>
    <t>parallelizable, non-amortized (besides possibly union)</t>
  </si>
  <si>
    <t>based on "decrease key" runtime</t>
  </si>
  <si>
    <t>Pairing Heap</t>
  </si>
  <si>
    <t>https://www.cs.cmu.edu/~sleator/papers/pairing-heaps.pdf</t>
  </si>
  <si>
    <t>multiway; exact analysis still unknown</t>
  </si>
  <si>
    <t>O(2^(2*sqrt(lg lg n)))</t>
  </si>
  <si>
    <t>http://web.eecs.umich.edu/~pettie/papers/focs05.pdf</t>
  </si>
  <si>
    <t>Pairing Heap (lazy)</t>
  </si>
  <si>
    <t>https://www.researchgate.net/publication/321068476_Toward_Optimal_Self-Adjusting_Heaps</t>
  </si>
  <si>
    <t>variant of original pairing heap</t>
  </si>
  <si>
    <t>O(lg lg n)</t>
  </si>
  <si>
    <t>Brodal Heap</t>
  </si>
  <si>
    <t>https://dl.acm.org/doi/pdf/10.5555/313852.313883</t>
  </si>
  <si>
    <t>first heap to achieve certain runtime bounds without amortization</t>
  </si>
  <si>
    <t>One-Pass Binomial Heap</t>
  </si>
  <si>
    <t>https://link.springer.com/chapter/10.1007/978-3-642-04128-0_59</t>
  </si>
  <si>
    <t>Rank-Pairing Heap</t>
  </si>
  <si>
    <t>Strict Fibonacci Heap</t>
  </si>
  <si>
    <t>https://www.cs.au.dk/~gerth/papers/stoc12.pdf</t>
  </si>
  <si>
    <t>pointer-based version of Fibonacci heap</t>
  </si>
  <si>
    <t>Quake Heap</t>
  </si>
  <si>
    <t>https://tmc.web.engr.illinois.edu/heap_ianfest.pdf</t>
  </si>
  <si>
    <t>author notes its simplicity</t>
  </si>
  <si>
    <t>amortized and for max only</t>
  </si>
  <si>
    <t>Violation Heap</t>
  </si>
  <si>
    <t>https://link.springer.com/chapter/10.1007/978-3-642-14031-0_51</t>
  </si>
  <si>
    <t>author notes its practicality</t>
  </si>
  <si>
    <t>Thin Heap</t>
  </si>
  <si>
    <t>https://www.cs.princeton.edu/research/techreps/TR-597-99</t>
  </si>
  <si>
    <t>more structure and less fields per node than Fibonacci heaps</t>
  </si>
  <si>
    <t>non-amortized (see section 4)</t>
  </si>
  <si>
    <t>https://dl.acm.org/doi/pdf/10.1145/1328911.1328914</t>
  </si>
  <si>
    <t>Fat Heap</t>
  </si>
  <si>
    <t>author notes its simplicity with respect to run-relaxed heaps</t>
  </si>
  <si>
    <t>Thick Heap</t>
  </si>
  <si>
    <t>similar to a thin heap</t>
  </si>
  <si>
    <t>Trinomial Heap</t>
  </si>
  <si>
    <t>https://dl.acm.org/doi/abs/10.5555/646718.702069</t>
  </si>
  <si>
    <t>author claims simpler than relaxed heaps</t>
  </si>
  <si>
    <t>O(lg n)??</t>
  </si>
  <si>
    <t>Top-Down Skew Heap</t>
  </si>
  <si>
    <t>https://www.cs.cmu.edu/~sleator/papers/Adjusting-Heaps.htm</t>
  </si>
  <si>
    <t>amortized; can be achieved via delete followed by insert</t>
  </si>
  <si>
    <t>Bottom-Up Skew Heap</t>
  </si>
  <si>
    <t>Weak Heap</t>
  </si>
  <si>
    <t>https://link.springer.com/article/10.1007/BF01990520</t>
  </si>
  <si>
    <t>(essentially n-1 "Union"s)</t>
  </si>
  <si>
    <t>https://web.archive.org/web/20170811001458/http://www.cphstl.dk/Paper/Policy-based-benchmarking/policy.pdf</t>
  </si>
  <si>
    <t>Weak Heap with Bulk Insertions</t>
  </si>
  <si>
    <t>https://www.sciencedirect.com/science/article/pii/S1570866712000792</t>
  </si>
  <si>
    <t>amortized; constant of 5</t>
  </si>
  <si>
    <t>Run-Relaxed Weak Heap</t>
  </si>
  <si>
    <t>derivable from "insert" runtime</t>
  </si>
  <si>
    <t>constant of 2 (on # comparisons)</t>
  </si>
  <si>
    <t>for min, constant of 2 (on # comparisons)</t>
  </si>
  <si>
    <t>constant of 1? (on # comparisons)</t>
  </si>
  <si>
    <t>Rank-Relaxed Weak Heap</t>
  </si>
  <si>
    <t>4n + O(lg n)</t>
  </si>
  <si>
    <t>for min, constant of 1.5 (on # comparisons)</t>
  </si>
  <si>
    <t>Hash Heap</t>
  </si>
  <si>
    <t>Beap</t>
  </si>
  <si>
    <t>B-heap</t>
  </si>
  <si>
    <t>K-D heap</t>
  </si>
  <si>
    <t>Randomized Meldable Heap</t>
  </si>
  <si>
    <t>Soft Heap</t>
  </si>
  <si>
    <t>Shadow Heap</t>
  </si>
  <si>
    <t>Red-Black Priority Queue</t>
  </si>
  <si>
    <t>https://ieeexplore.ieee.org/document/377045</t>
  </si>
  <si>
    <t>One-Step Priority Queue</t>
  </si>
  <si>
    <t>AVL Priority Queue</t>
  </si>
  <si>
    <t>(a,b) Priority Queue</t>
  </si>
  <si>
    <t>2-3 Heap</t>
  </si>
  <si>
    <t>Bucket Queue (Bounded-height Priority Queue)</t>
  </si>
  <si>
    <t>Priority Queue (Monotone)</t>
  </si>
  <si>
    <t>Radix Heap</t>
  </si>
  <si>
    <t>Monotone Min-PQ</t>
  </si>
  <si>
    <t>https://link.springer.com/chapter/10.1007/3-540-61680-2_51</t>
  </si>
  <si>
    <t>Double-ended Priority Queue</t>
  </si>
  <si>
    <t>Symmetric Min-Max Heap</t>
  </si>
  <si>
    <t>Interval Heap</t>
  </si>
  <si>
    <t>Deap</t>
  </si>
  <si>
    <t>Tree</t>
  </si>
  <si>
    <t>Finger Search Tree</t>
  </si>
  <si>
    <t>Skip List</t>
  </si>
  <si>
    <t>Deterministic Skip List</t>
  </si>
  <si>
    <t>https://www.ic.unicamp.br/~celio/peer2peer/skip-net-graph/deterministic-skip-lists-munro.pdf</t>
  </si>
  <si>
    <t>Conc-Tree</t>
  </si>
  <si>
    <t>Tree DS for data parallelism</t>
  </si>
  <si>
    <t>https://www.researchgate.net/publication/281740929</t>
  </si>
  <si>
    <t>Fenwick Tree</t>
  </si>
  <si>
    <t>Tree DS for arithmetic coding/data compression</t>
  </si>
  <si>
    <t>https://onlinelibrary.wiley.com/doi/10.1002/spe.4380240306</t>
  </si>
  <si>
    <t>Ordered Associative Array</t>
  </si>
  <si>
    <t>Jump List</t>
  </si>
  <si>
    <t>https://epubs.siam.org/doi/pdf/10.1137/S0097539792241102?casa_token=RoY3RrpUuFMAAAAA:Sc89TVYIb4xGcTVVpBeM-WoC7JonLRX7Jq8jOaEsyJydwqW-cEsdJEJEGGXOcvFZuUrr7c3qSA</t>
  </si>
  <si>
    <t>Search Tree</t>
  </si>
  <si>
    <t>Tango Tree</t>
  </si>
  <si>
    <t>Self-balancing Dynamic BST</t>
  </si>
  <si>
    <t>http://erikdemaine.org/papers/Tango_SICOMP/paper.pdf</t>
  </si>
  <si>
    <t>O(lg lg n) competitive in dynamic setting</t>
  </si>
  <si>
    <t>Methods</t>
  </si>
  <si>
    <t>General:</t>
  </si>
  <si>
    <t>Stack [linked-list, array]</t>
  </si>
  <si>
    <t>push, pop, peek, find?</t>
  </si>
  <si>
    <t>Queue [linked-list, array]</t>
  </si>
  <si>
    <t>(priority queue)</t>
  </si>
  <si>
    <t>insert, delete, find, decrease-key, min, etc. (see other sheets)</t>
  </si>
  <si>
    <t>Graphs</t>
  </si>
  <si>
    <t>insert, delete [vertices or edges], neighbors, other specific queries</t>
  </si>
  <si>
    <t>Trees</t>
  </si>
  <si>
    <t>insert, delete, find, other specific queries (see other sheets)</t>
  </si>
  <si>
    <t>Heaps (more specific priority queue)</t>
  </si>
  <si>
    <t>Sets?</t>
  </si>
  <si>
    <t>insert, delete, find, union</t>
  </si>
  <si>
    <t>Set</t>
  </si>
  <si>
    <t>Bit vector</t>
  </si>
  <si>
    <t>Multisets?</t>
  </si>
  <si>
    <t>insert, delete, find, is_subset, count, scaled_by, union</t>
  </si>
  <si>
    <t>Maps? (apparently another name for associative array)</t>
  </si>
  <si>
    <t>insert, delete, find</t>
  </si>
  <si>
    <t>Multimaps?</t>
  </si>
  <si>
    <t>Hash maps (if they differ from hash tables?)</t>
  </si>
  <si>
    <t>From sheet 1:</t>
  </si>
  <si>
    <t>Self-balancing trees (e.g. AVL)</t>
  </si>
  <si>
    <t>insert, delete, find, succ/pred, min/max, union</t>
  </si>
  <si>
    <t>(dynamic versions of graph problems?)</t>
  </si>
  <si>
    <t>insert, delete, specific query</t>
  </si>
  <si>
    <t>Database?</t>
  </si>
  <si>
    <t>insert, update, delete, find, join, etc.</t>
  </si>
  <si>
    <t>Optimal BST?</t>
  </si>
  <si>
    <t>find</t>
  </si>
  <si>
    <t>Nearest Neighbor?</t>
  </si>
  <si>
    <t>insert, delete, query</t>
  </si>
  <si>
    <t>(sketches, dynamic)</t>
  </si>
  <si>
    <t>insert, delete(?), query</t>
  </si>
  <si>
    <t>(dynamic versions of geometric problems?)</t>
  </si>
  <si>
    <t>(schedules [disk/interval], online/dynamic?)</t>
  </si>
  <si>
    <t>enqueue, dequeue</t>
  </si>
  <si>
    <t>(deadlock avoidance??)</t>
  </si>
  <si>
    <t>allocate, deallocate?</t>
  </si>
  <si>
    <t>(online matrix-vector mult?)</t>
  </si>
  <si>
    <t>set matrix, query</t>
  </si>
  <si>
    <t>From textbooks (so far):</t>
  </si>
  <si>
    <t>Computer Networks</t>
  </si>
  <si>
    <t>Routing Table? (distributed)</t>
  </si>
  <si>
    <t>https://en.wikipedia.org/wiki/Routing_table</t>
  </si>
  <si>
    <t>insert, delete, update, query</t>
  </si>
  <si>
    <t>Combinatorics/Bioinformatics</t>
  </si>
  <si>
    <t>Suffix Tree</t>
  </si>
  <si>
    <t>build, find</t>
  </si>
  <si>
    <t>Suffix Array</t>
  </si>
  <si>
    <t>Robotics?/Databases?</t>
  </si>
  <si>
    <t>pattern database???</t>
  </si>
  <si>
    <r>
      <rPr>
        <color rgb="FF1155CC"/>
        <u/>
      </rPr>
      <t>https://people.engr.tamu.edu/guni/csce421/files/AI_Russell_Norvig.pdf</t>
    </r>
    <r>
      <rPr/>
      <t xml:space="preserve"> (page 125)</t>
    </r>
  </si>
  <si>
    <t>insert, delete, update, find</t>
  </si>
  <si>
    <t>Robotics?/Combinatorics</t>
  </si>
  <si>
    <t>Quadtree</t>
  </si>
  <si>
    <t>https://ieeexplore.ieee.org/document/513</t>
  </si>
  <si>
    <t>insert, delete, subdivide, query (range), update(?), renderimage?</t>
  </si>
  <si>
    <t>Octree</t>
  </si>
  <si>
    <t>[electrical structures? e.g. filters. but doesn't seem right]</t>
  </si>
  <si>
    <t>query/process</t>
  </si>
  <si>
    <t>FIR/IIR filters?</t>
  </si>
  <si>
    <t>http://ultra.sdk.free.fr/docs/DxO/Digital%20Signal%20Processing%20-%20Principles,%20Algorithms%20&amp;%20Applications%20Proakis%20&amp;%20Dimitris%20G.%20Manolakis.pdf</t>
  </si>
  <si>
    <t>Computer Graphics/Vision</t>
  </si>
  <si>
    <t>M-pyramid (matrix pyramid)?</t>
  </si>
  <si>
    <t>http://user.engineering.uiowa.edu/~dip/lecture/DataStructures.html</t>
  </si>
  <si>
    <t>Scene graph</t>
  </si>
  <si>
    <t>https://en.wikipedia.org/wiki/Scene_graph</t>
  </si>
  <si>
    <t>Meshes?</t>
  </si>
  <si>
    <r>
      <rPr>
        <color rgb="FF1155CC"/>
        <u/>
      </rPr>
      <t>http://students.aiu.edu/submissions/profiles/resources/onlineBook/a6A8H5_computer%20graphics.pdf</t>
    </r>
    <r>
      <rPr/>
      <t xml:space="preserve"> (page 242)</t>
    </r>
  </si>
  <si>
    <t>Computer Graphics/Vision?/Combinatorics?</t>
  </si>
  <si>
    <t>NNS</t>
  </si>
  <si>
    <t>k-d tree, k-d-b tree, min/max k-d tree</t>
  </si>
  <si>
    <t>https://en.wikipedia.org/wiki/K-d_tree</t>
  </si>
  <si>
    <t>insert, delete, find/NNS, range query</t>
  </si>
  <si>
    <t>insert, delete, find/NNS</t>
  </si>
  <si>
    <t>hash grid</t>
  </si>
  <si>
    <t>BSP tree</t>
  </si>
  <si>
    <t>https://en.wikipedia.org/wiki/Binary_space_partitioning</t>
  </si>
  <si>
    <t>insert, delete, subdivide, update(?), renderimage?</t>
  </si>
  <si>
    <t>Z-buffer/hierarchical depth buffer</t>
  </si>
  <si>
    <t>insert, delete, update(?), renderimage?</t>
  </si>
  <si>
    <t>BVH tree</t>
  </si>
  <si>
    <r>
      <rPr>
        <color rgb="FF1155CC"/>
        <u/>
      </rPr>
      <t>http://students.aiu.edu/submissions/profiles/resources/onlineBook/a6A8H5_computer%20graphics.pdf</t>
    </r>
    <r>
      <rPr/>
      <t xml:space="preserve"> (Chapter 37)</t>
    </r>
  </si>
  <si>
    <t>"pictorial structures"?</t>
  </si>
  <si>
    <r>
      <rPr>
        <color rgb="FF1155CC"/>
        <u/>
      </rPr>
      <t>https://ia902203.us.archive.org/22/items/DonaldHearnM.PaulineBakerComputerGraphicsBookFi.org/[Donald_Hearn,_M._Pauline_Baker]_Computer_Graphics(BookFi.org).pdf</t>
    </r>
    <r>
      <rPr/>
      <t xml:space="preserve"> (Chapter 7)</t>
    </r>
  </si>
  <si>
    <t>I no longer know what I meant by this but might be worth looking through the reference?</t>
  </si>
  <si>
    <t>Computer Graphics/Vision?/Databases?</t>
  </si>
  <si>
    <t>Index Structure/Database Index?</t>
  </si>
  <si>
    <t>https://en.wikipedia.org/wiki/Database_index</t>
  </si>
  <si>
    <t>insert, delete, find?, range query?</t>
  </si>
  <si>
    <t>^</t>
  </si>
  <si>
    <t>Bitmap index</t>
  </si>
  <si>
    <r>
      <rPr>
        <color rgb="FF1155CC"/>
        <u/>
      </rPr>
      <t>https://en.wikipedia.org/wiki/Bitmap_index</t>
    </r>
    <r>
      <rPr/>
      <t xml:space="preserve">, </t>
    </r>
    <r>
      <rPr>
        <color rgb="FF1155CC"/>
        <u/>
      </rPr>
      <t>https://people.inf.elte.hu/miiqaai/elektroModulatorDva.pdf</t>
    </r>
  </si>
  <si>
    <t>Layered depth image (LDI)?</t>
  </si>
  <si>
    <t>https://grail.cs.washington.edu/projects/ldi/ldi.pdf</t>
  </si>
  <si>
    <t>insert, delete, move/update (position or object), renderimage?</t>
  </si>
  <si>
    <t>ML</t>
  </si>
  <si>
    <t>neural nets?</t>
  </si>
  <si>
    <t>train/update, query</t>
  </si>
  <si>
    <t>Statistics/ML</t>
  </si>
  <si>
    <t>clustering?</t>
  </si>
  <si>
    <t>query, update</t>
  </si>
  <si>
    <t>decision trees?</t>
  </si>
  <si>
    <t>(machine learning models? potentially?)</t>
  </si>
  <si>
    <t>not 100% sure what I was referring to here</t>
  </si>
  <si>
    <t>Cryptosystems? (distributed)</t>
  </si>
  <si>
    <t>encode, decode</t>
  </si>
  <si>
    <t>(key management systems?)</t>
  </si>
  <si>
    <t>generateKey, storeKey?</t>
  </si>
  <si>
    <t>Codes? (encode/decode)</t>
  </si>
  <si>
    <t>Ciphers?</t>
  </si>
  <si>
    <t>https://mrajacse.files.wordpress.com/2012/01/applied-cryptography-2nd-ed-b-schneier.pdf</t>
  </si>
  <si>
    <t>One-way hashes?</t>
  </si>
  <si>
    <t>[is an algorithm]</t>
  </si>
  <si>
    <t>Oblivious DS?</t>
  </si>
  <si>
    <t>https://dl.acm.org/doi/pdf/10.1145/258533.258638</t>
  </si>
  <si>
    <t>[general type of data structure]</t>
  </si>
  <si>
    <t>Numerical Analysis/Combinatorics</t>
  </si>
  <si>
    <t>Sparse Array/Matrix?</t>
  </si>
  <si>
    <r>
      <rPr>
        <color rgb="FF1155CC"/>
        <u/>
      </rPr>
      <t>https://wp.kntu.ac.ir/peyghami/pdf/Book3912.pdf</t>
    </r>
    <r>
      <rPr/>
      <t xml:space="preserve"> (e.g. page 272-273)</t>
    </r>
  </si>
  <si>
    <t>update</t>
  </si>
  <si>
    <t>Combinatorics/Databases</t>
  </si>
  <si>
    <t>(see "Data-structures" sheet)</t>
  </si>
  <si>
    <t>Priority Search Tree</t>
  </si>
  <si>
    <t>https://en.wikipedia.org/wiki/Priority_search_tree</t>
  </si>
  <si>
    <t>insert, find, range search, delete(?)</t>
  </si>
  <si>
    <t>Buffer Pools?</t>
  </si>
  <si>
    <t>cache/storeData, retrieveData</t>
  </si>
  <si>
    <t>Flat files</t>
  </si>
  <si>
    <t>https://en.wikipedia.org/wiki/Database_storage_structures</t>
  </si>
  <si>
    <t>create, read, write, update</t>
  </si>
  <si>
    <t>ISAM</t>
  </si>
  <si>
    <t>Heap files</t>
  </si>
  <si>
    <t>Relational Database?</t>
  </si>
  <si>
    <t>read, write (insert/delete), update, other specific database queries?</t>
  </si>
  <si>
    <t>Parallel Database?</t>
  </si>
  <si>
    <r>
      <rPr>
        <color rgb="FF1155CC"/>
        <u/>
      </rPr>
      <t>https://www.octawian.ro/fisiere/situri/asor/build/html/_downloads/1fcab53a6d916e39c715fc20a9a9c2a8/Silberschatz_A_databases_6th_ed.pdf</t>
    </r>
    <r>
      <rPr/>
      <t xml:space="preserve"> (Chapter 18)</t>
    </r>
  </si>
  <si>
    <t>Distributed Database?</t>
  </si>
  <si>
    <r>
      <rPr>
        <color rgb="FF1155CC"/>
        <u/>
      </rPr>
      <t>https://www.octawian.ro/fisiere/situri/asor/build/html/_downloads/1fcab53a6d916e39c715fc20a9a9c2a8/Silberschatz_A_databases_6th_ed.pdf</t>
    </r>
    <r>
      <rPr/>
      <t xml:space="preserve"> (Chapter 19)</t>
    </r>
  </si>
  <si>
    <t>Object-based Database?</t>
  </si>
  <si>
    <r>
      <rPr>
        <color rgb="FF1155CC"/>
        <u/>
      </rPr>
      <t>https://www.octawian.ro/fisiere/situri/asor/build/html/_downloads/1fcab53a6d916e39c715fc20a9a9c2a8/Silberschatz_A_databases_6th_ed.pdf</t>
    </r>
    <r>
      <rPr/>
      <t xml:space="preserve"> (Chapter 22)</t>
    </r>
  </si>
  <si>
    <t>(...other types of databases)</t>
  </si>
  <si>
    <r>
      <rPr/>
      <t xml:space="preserve">see bottom of page of </t>
    </r>
    <r>
      <rPr>
        <color rgb="FF1155CC"/>
        <u/>
      </rPr>
      <t>https://en.wikipedia.org/wiki/Database_storage_structures</t>
    </r>
  </si>
  <si>
    <t>(memory hierarchy related things?)</t>
  </si>
  <si>
    <r>
      <rPr/>
      <t xml:space="preserve">^ (maybe worth looking into </t>
    </r>
    <r>
      <rPr>
        <color rgb="FF1155CC"/>
        <u/>
      </rPr>
      <t>https://link.springer.com/book/10.1007/978-1-4842-5540-7)</t>
    </r>
  </si>
  <si>
    <t>read, write</t>
  </si>
  <si>
    <t>Transaction log? (steal/no-steal, force/no-force)</t>
  </si>
  <si>
    <t>(locking systems?)</t>
  </si>
  <si>
    <t>giveLock, takeLock</t>
  </si>
  <si>
    <t>Databases/Combinatorics?</t>
  </si>
  <si>
    <t>(types related to range searching?)</t>
  </si>
  <si>
    <t>https://dl.acm.org/doi/pdf/10.1145/356789.356797</t>
  </si>
  <si>
    <t>(might be a bit too general?)</t>
  </si>
  <si>
    <t>Files/Filesystems</t>
  </si>
  <si>
    <t>https://en.wikipedia.org/wiki/File_system</t>
  </si>
  <si>
    <t>create, read, write, update, append, truncate</t>
  </si>
  <si>
    <t>(hierarchical key/value stores)</t>
  </si>
  <si>
    <t>Semaphores?</t>
  </si>
  <si>
    <t>https://en.wikipedia.org/wiki/Semaphore_(programming)</t>
  </si>
  <si>
    <t>wait, signal</t>
  </si>
  <si>
    <t>(processes, threads?)</t>
  </si>
  <si>
    <t>https://en.wikipedia.org/wiki/Process_(computing)</t>
  </si>
  <si>
    <t>schedule, start(execute)/stop, kill</t>
  </si>
  <si>
    <t>page/segment tables/free block lists</t>
  </si>
  <si>
    <t>https://en.wikipedia.org/wiki/Page_table</t>
  </si>
  <si>
    <t>read, write/update, jumpTo(?)</t>
  </si>
  <si>
    <t>(descriptor tree? overlaps with decision tree)</t>
  </si>
  <si>
    <t>https://docs.oracle.com/cd/E19120-01/open.solaris/819-3196/usb-10/index.html</t>
  </si>
  <si>
    <t>&lt;= minimal documentation?</t>
  </si>
  <si>
    <t>Monitors?</t>
  </si>
  <si>
    <t>https://cis.temple.edu/~giorgio/old/cis307f96/readings/monitor.html</t>
  </si>
  <si>
    <t>enqueue, wait(?), signal</t>
  </si>
  <si>
    <t>(buffers???/schedulers???/user interfaces???/caches???)</t>
  </si>
  <si>
    <t>Kernels? (e.g. Terminal)</t>
  </si>
  <si>
    <t>https://en.wikipedia.org/wiki/Kernel_(operating_system)</t>
  </si>
  <si>
    <t>call/execute, interrupt</t>
  </si>
  <si>
    <t>inode?</t>
  </si>
  <si>
    <t>https://en.wikipedia.org/wiki/Inode</t>
  </si>
  <si>
    <t>cloud storage?</t>
  </si>
  <si>
    <t>https://en.wikipedia.org/wiki/Cloud_storage</t>
  </si>
  <si>
    <t>"lock-based concurrent data structures"? (counters, linked lists, queues, hash tables)</t>
  </si>
  <si>
    <r>
      <rPr>
        <color rgb="FF1155CC"/>
        <u/>
      </rPr>
      <t>https://drdineshsharma.com/Operating%20Systems.pdf</t>
    </r>
    <r>
      <rPr/>
      <t xml:space="preserve"> (chapter 29)</t>
    </r>
  </si>
  <si>
    <t>Deque</t>
  </si>
  <si>
    <t>Circular list?</t>
  </si>
  <si>
    <t>(source)</t>
  </si>
  <si>
    <t>https://www.sciencedirect.com/science/article/pii/0066413869900366</t>
  </si>
  <si>
    <t>&lt;= probably see source</t>
  </si>
  <si>
    <t>Linked List (singly,doubly,multi-)</t>
  </si>
  <si>
    <t>https://www.cs.cmu.edu/~clo/www/CMU/DataStructures/Lessons/lesson1_1.htm</t>
  </si>
  <si>
    <t>BDDs?</t>
  </si>
  <si>
    <t>https://en.wikipedia.org/wiki/Binary_decision_diagram</t>
  </si>
  <si>
    <t>conjunction, disjunction, negation</t>
  </si>
  <si>
    <t>red-black tree</t>
  </si>
  <si>
    <t>dynamic tables? (relevant in amortized analysis)</t>
  </si>
  <si>
    <t>Fusion tree</t>
  </si>
  <si>
    <t>^ (also 6.851 iirc?) (also look at sources in page 271 of CLRS)</t>
  </si>
  <si>
    <t>Dynamic tree</t>
  </si>
  <si>
    <t>Splay tree</t>
  </si>
  <si>
    <t>van Emde Boas tree</t>
  </si>
  <si>
    <t>exponential search tree</t>
  </si>
  <si>
    <t>(Persistent data structures)</t>
  </si>
  <si>
    <t>update, delete, find (previous version)</t>
  </si>
  <si>
    <t>Interval tree</t>
  </si>
  <si>
    <t>Disjoint-set/Union-find</t>
  </si>
  <si>
    <t>(see "Data-structures Problems" sheet)</t>
  </si>
  <si>
    <t>Trie (uncompressed and compressed)</t>
  </si>
  <si>
    <t>2-3 Tree</t>
  </si>
  <si>
    <t>Skip list</t>
  </si>
  <si>
    <t>https://en.wikipedia.org/wiki/Skip_list</t>
  </si>
  <si>
    <t>Heap</t>
  </si>
  <si>
    <t>Sorted list/array</t>
  </si>
  <si>
    <t>bounded-height priority queue</t>
  </si>
  <si>
    <t>https://en.wikipedia.org/wiki/Bucket_queue</t>
  </si>
  <si>
    <t>Bloom Filter</t>
  </si>
  <si>
    <t>Range Tree?</t>
  </si>
  <si>
    <t>https://en.wikipedia.org/wiki/Range_tree</t>
  </si>
  <si>
    <t>Link-Cut Tree</t>
  </si>
  <si>
    <t>https://en.wikipedia.org/wiki/Link/cut_tree</t>
  </si>
  <si>
    <t>Ball Tree</t>
  </si>
  <si>
    <t>BK tree</t>
  </si>
  <si>
    <t>M-tree</t>
  </si>
  <si>
    <t>Crypto</t>
  </si>
  <si>
    <t>Merkle Tree</t>
  </si>
  <si>
    <t>palindrome tree</t>
  </si>
  <si>
    <t>PH tree</t>
  </si>
  <si>
    <t>range query tree</t>
  </si>
  <si>
    <t>segment tree?</t>
  </si>
  <si>
    <t>ternary search tree?</t>
  </si>
  <si>
    <t>wavelet tree</t>
  </si>
  <si>
    <t>x-fast trie</t>
  </si>
  <si>
    <t>y-fast trie</t>
  </si>
  <si>
    <t>Hash-array mapped trie</t>
  </si>
  <si>
    <t>Prefix hash tree</t>
  </si>
  <si>
    <t>log-structured merge tree</t>
  </si>
  <si>
    <t>Example</t>
  </si>
  <si>
    <t>Description</t>
  </si>
  <si>
    <t>Reference</t>
  </si>
  <si>
    <t>Build</t>
  </si>
  <si>
    <t>Insert</t>
  </si>
  <si>
    <t>Delete</t>
  </si>
  <si>
    <t>Find</t>
  </si>
  <si>
    <t>Successor/Predecessor</t>
  </si>
  <si>
    <t>Union</t>
  </si>
  <si>
    <t>Max</t>
  </si>
  <si>
    <t>Decrease-Key</t>
  </si>
  <si>
    <t>Push</t>
  </si>
  <si>
    <t>Pop Most Recent</t>
  </si>
  <si>
    <t>Pop Oldest</t>
  </si>
  <si>
    <t>Nearest Neighbor</t>
  </si>
  <si>
    <t>Range Search</t>
  </si>
  <si>
    <t>Ordered Associative Array, Comparison</t>
  </si>
  <si>
    <t>Binary Search Tree</t>
  </si>
  <si>
    <t>Ordered Associative Array, Non-comparison</t>
  </si>
  <si>
    <t>Hash Table</t>
  </si>
  <si>
    <t>Priority Queue [Max]</t>
  </si>
  <si>
    <t>Union-Find</t>
  </si>
  <si>
    <t>Approximate Membership Query Filter</t>
  </si>
  <si>
    <t xml:space="preserve"> Quotient Filter</t>
  </si>
  <si>
    <t>Approximate Membership Query Filter (without delete)</t>
  </si>
  <si>
    <t>Bloom Filters</t>
  </si>
  <si>
    <t>Stack</t>
  </si>
  <si>
    <t>Queue</t>
  </si>
  <si>
    <t>Dequeue</t>
  </si>
  <si>
    <t>Interval Tree, k-d Tree</t>
  </si>
  <si>
    <t>hierarchical key-value stores</t>
  </si>
  <si>
    <t>Looked at? (0 - no, 0.001 - briefly but seems to have issues, 1 - partially, 2 - [mostly] yes)</t>
  </si>
  <si>
    <t>Citation</t>
  </si>
  <si>
    <t>Graph Diameter</t>
  </si>
  <si>
    <t>Arbitrary edge weights, Dense graph</t>
  </si>
  <si>
    <t>O(V^3 / 2^(logV)^0.5)</t>
  </si>
  <si>
    <t>Dense APSP algorithm</t>
  </si>
  <si>
    <t>Arbitrary edge weights, Sparse graph</t>
  </si>
  <si>
    <t>O(V^2logV+VE)</t>
  </si>
  <si>
    <t>Sparse APSP algorithm</t>
  </si>
  <si>
    <t>Unweighted</t>
  </si>
  <si>
    <t>O(V^omega log(V)) where omega is the exponent on matrix multiplication</t>
  </si>
  <si>
    <t>Binary representation search with matrix multiplication</t>
  </si>
  <si>
    <t>O(V^2 logV)</t>
  </si>
  <si>
    <t>storing all the matrices</t>
  </si>
  <si>
    <t>Bounded integer weights</t>
  </si>
  <si>
    <t>O(M*V^omega*polylog(M, V))</t>
  </si>
  <si>
    <t>Cygan, Gabow, Sankowski</t>
  </si>
  <si>
    <t>https://dl.acm.org/doi/abs/10.1145/2736283</t>
  </si>
  <si>
    <t>V: number of vertices
E: number of edges
M: maximum absolute value of edge weight</t>
  </si>
  <si>
    <t>Output-Sensitive Quantum BMM</t>
  </si>
  <si>
    <r>
      <rPr>
        <rFont val="Arial"/>
        <color rgb="FF1155CC"/>
        <sz val="10.0"/>
        <u/>
      </rPr>
      <t>https://dl.acm.org/doi/pdf/10.1145/3186893</t>
    </r>
    <r>
      <rPr>
        <rFont val="Arial"/>
        <sz val="10.0"/>
      </rPr>
      <t>, Theorem 1.6</t>
    </r>
  </si>
  <si>
    <t>O*( \min \{n^{1/3} L^{17/30}, n^{1.5} L^{1/4}\})</t>
  </si>
  <si>
    <t>$n$: dimension of the two square matrices
$L$: the number of 1's in the output matrix</t>
  </si>
  <si>
    <t>Query Complexity</t>
  </si>
  <si>
    <t>boolean matrix multiplication is the multiplication of two boolean matrices, i.e. matrices with entries over the two-element boolean algebra, such that $A\times B = C$ where $C_{i,j} = \bigvee\limits_{k = 1}^{n} (A_{i,k} \wedge B_{k,j})$</t>
  </si>
  <si>
    <r>
      <rPr>
        <color rgb="FF1155CC"/>
        <sz val="10.0"/>
        <u/>
      </rPr>
      <t>https://dl.acm.org/doi/pdf/10.1145/3186893</t>
    </r>
    <r>
      <rPr>
        <sz val="10.0"/>
      </rPr>
      <t>, Theorem 1.4</t>
    </r>
  </si>
  <si>
    <t>O(n^3 / log^2.25 n)</t>
  </si>
  <si>
    <t>$n$: dimension of the two square matrices</t>
  </si>
  <si>
    <t>uniform (p=0.5)</t>
  </si>
  <si>
    <r>
      <rPr>
        <rFont val="Arial"/>
        <color rgb="FF1155CC"/>
        <sz val="10.0"/>
        <u/>
      </rPr>
      <t>https://core.ac.uk/download/pdf/82467126.pdf</t>
    </r>
    <r>
      <rPr>
        <rFont val="Arial"/>
        <color rgb="FF000000"/>
        <sz val="10.0"/>
      </rPr>
      <t>, Theorem 3.1</t>
    </r>
  </si>
  <si>
    <t>O'Neil 1973</t>
  </si>
  <si>
    <t>https://core.ac.uk/download/pdf/82467126.pdf</t>
  </si>
  <si>
    <t>Method of Four Russians</t>
  </si>
  <si>
    <t>https://scholar.google.com/scholar?hl=en&amp;as_sdt=0%2C22&amp;q=On+economical+construction+of+the+transitive+closure+of+an+oriented+graph.&amp;btnG=</t>
  </si>
  <si>
    <t>O(n^3/(log n)^2)</t>
  </si>
  <si>
    <t>Bansal, Williams</t>
  </si>
  <si>
    <t>https://ieeexplore.ieee.org/abstract/document/5438580</t>
  </si>
  <si>
    <t>O(n^3 * (log log n)^2 / log^2.25 n)</t>
  </si>
  <si>
    <t>Word RAM with word size w = log n</t>
  </si>
  <si>
    <t>O(n^3 * (log log n)^2 / (w * (log n)^7/6))</t>
  </si>
  <si>
    <t>$n$: dimension of the two square matrices
$w$: size of word</t>
  </si>
  <si>
    <t>Word RAM with word size w &gt; log n</t>
  </si>
  <si>
    <t>https://epubs.siam.org/doi/abs/10.1137/1.9781611973730.16</t>
  </si>
  <si>
    <t>O(n^3 * (log log n)^3 / log^3 n)</t>
  </si>
  <si>
    <t>O(n^3 * (log w)^3 / (w * log^2 n))</t>
  </si>
  <si>
    <t>Yu</t>
  </si>
  <si>
    <t>Word RAM with word size w = Omega(log n)</t>
  </si>
  <si>
    <t>Online Matrix Vector Multiplication (OMV)</t>
  </si>
  <si>
    <t>O(n^3 / (log n)^2)</t>
  </si>
  <si>
    <t>http://www.cs.cmu.edu/~./theorylunch/pastSemesterIndices/slides/20070117.pdf</t>
  </si>
  <si>
    <t>n: dimension of matrix and vector</t>
  </si>
  <si>
    <t>O(n^3 / 2^(Omega(sqrt(log n))))</t>
  </si>
  <si>
    <t>Larsen, Williams (Theorem 1.1)</t>
  </si>
  <si>
    <t>O(n^(11/4) / sqrt(log n))</t>
  </si>
  <si>
    <t>Larsen, Williams (follows from Theorem 2.1)</t>
  </si>
  <si>
    <t>Cell Probe</t>
  </si>
  <si>
    <t>Negative Triangle</t>
  </si>
  <si>
    <r>
      <rPr>
        <color rgb="FF1155CC"/>
        <sz val="10.0"/>
        <u/>
      </rPr>
      <t>https://dl.acm.org/doi/pdf/10.1145/3186893</t>
    </r>
    <r>
      <rPr>
        <sz val="10.0"/>
      </rPr>
      <t>, Theorem 1.5</t>
    </r>
  </si>
  <si>
    <t>Sorting - Comparison</t>
  </si>
  <si>
    <t>MKM Algorithm</t>
  </si>
  <si>
    <t>https://eprints.utas.edu.au/160/1/iplFlow.pdf</t>
  </si>
  <si>
    <t>O(V^(5/3)E^(2/3))</t>
  </si>
  <si>
    <t>Galil</t>
  </si>
  <si>
    <t>https://link.springer.com/article/10.1007/BF00264254</t>
  </si>
  <si>
    <t>V: number of vertices
E: number of edges
U: maximum edge capacity
P: number of processors</t>
  </si>
  <si>
    <t>O(VE*logU)</t>
  </si>
  <si>
    <t>Gabow</t>
  </si>
  <si>
    <t>https://www.sciencedirect.com/science/article/pii/002200008590039X</t>
  </si>
  <si>
    <t>O(E*sqrt(V)*log^2(U)*polylog(E, V, log(U))</t>
  </si>
  <si>
    <t>Lee, Sidford</t>
  </si>
  <si>
    <t>https://ieeexplore.ieee.org/stamp/stamp.jsp?tp=&amp;arnumber=6979027</t>
  </si>
  <si>
    <t>(derived in notes)</t>
  </si>
  <si>
    <t>O(E^(10/7)U^(1/7)polylog(V, E, log U))</t>
  </si>
  <si>
    <t>Madry</t>
  </si>
  <si>
    <t>https://ieeexplore.ieee.org/stamp/stamp.jsp?tp=&amp;arnumber=7782974</t>
  </si>
  <si>
    <t>O(E^(1+o(1))/sqrt(eps))</t>
  </si>
  <si>
    <t>Kathuria, Liu, Sidford</t>
  </si>
  <si>
    <t>https://epubs.siam.org/doi/abs/10.1137/20M1383525</t>
  </si>
  <si>
    <t>V: number of vertices
E: number of edges
U: maximum edge capacity
eps: approximation parameter</t>
  </si>
  <si>
    <t>O(E) or O(V^2) ?</t>
  </si>
  <si>
    <t>unsure, please look</t>
  </si>
  <si>
    <t>1+eps</t>
  </si>
  <si>
    <t>O(E^(4/3+o(1))U^(1/3))</t>
  </si>
  <si>
    <t>O((E+V^1.5)log(U)polylog(V, E, log U))</t>
  </si>
  <si>
    <t>Brand et al</t>
  </si>
  <si>
    <t>https://arxiv.org/abs/2101.05719</t>
  </si>
  <si>
    <t>O(E^(3/2-1/328)*log(U)*polylog(E))</t>
  </si>
  <si>
    <t>Gao, Liu, Peng</t>
  </si>
  <si>
    <t>https://arxiv.org/abs/2101.07233</t>
  </si>
  <si>
    <t>Chen et al</t>
  </si>
  <si>
    <t>O(n^3/log n)</t>
  </si>
  <si>
    <t>Alman, Vassilevska Williams</t>
  </si>
  <si>
    <t>through re-use of space in recursive branches (response from Virginia)</t>
  </si>
  <si>
    <t>5 - Graph Coloring</t>
  </si>
  <si>
    <t>O(2.1592^n)</t>
  </si>
  <si>
    <t>Bjorklund, Husfeldt, Theorem 1</t>
  </si>
  <si>
    <t>O(2.2461^n)</t>
  </si>
  <si>
    <t>Bjorklund, Husfeldt, Proposition 2</t>
  </si>
  <si>
    <t>O(poly(n))</t>
  </si>
  <si>
    <t>Zamir</t>
  </si>
  <si>
    <t>6 - Graph Coloring</t>
  </si>
  <si>
    <t>O(2.3289^n)</t>
  </si>
  <si>
    <t>Byskov, Theorem 14</t>
  </si>
  <si>
    <t>In this case, we wish to determine whether or not a graph is 6-colorable.</t>
  </si>
  <si>
    <t>O(2.2680^n)</t>
  </si>
  <si>
    <t>Byskov, Theorem 20</t>
  </si>
  <si>
    <t>https://www.sciencedirect.com/science/article/pii/S0167637704000409</t>
  </si>
  <si>
    <t>O(n!*poly(n))</t>
  </si>
  <si>
    <t>Christofides</t>
  </si>
  <si>
    <t>https://academic.oup.com/comjnl/article/14/1/38/356253?login=true</t>
  </si>
  <si>
    <t>https://link.springer.com/article/10.1007/s00453-007-9149-8</t>
  </si>
  <si>
    <t>In this problem, we wish to compute the chromatic number of a graph; that is, the smallest number of colors needed to color the graph.</t>
  </si>
  <si>
    <t>O(mn(1+3^(1/3))^n)</t>
  </si>
  <si>
    <t>O(2^n*log(n))</t>
  </si>
  <si>
    <t>O((4/3+3^(4/3)/4)^n) ~ O(2.4151^n)</t>
  </si>
  <si>
    <t>https://arxiv.org/pdf/cs/0011009.pdf</t>
  </si>
  <si>
    <t>O(80^(n/5)) ~ O(2.4023^n)</t>
  </si>
  <si>
    <t>Koivisto</t>
  </si>
  <si>
    <t>https://ieeexplore.ieee.org/stamp/stamp.jsp?arnumber=4031393</t>
  </si>
  <si>
    <t>#2 - Graph Coloring</t>
  </si>
  <si>
    <t>BFS/DFS for connected components</t>
  </si>
  <si>
    <t>#3 - Graph Coloring</t>
  </si>
  <si>
    <t>O(1.7879^n)</t>
  </si>
  <si>
    <t>Angelsmark, Jonsson</t>
  </si>
  <si>
    <t>https://link.springer.com/chapter/10.1007/978-3-540-45193-8_6</t>
  </si>
  <si>
    <t>O(1.7702^n*poly(n))</t>
  </si>
  <si>
    <t>Fürer, Kasiviswanathan</t>
  </si>
  <si>
    <t>https://citeseerx.ist.psu.edu/viewdoc/download?doi=10.1.1.634.4498&amp;rep=rep1&amp;type=pdf</t>
  </si>
  <si>
    <t>#4 - Graph Coloring</t>
  </si>
  <si>
    <t>O(((1+sqrt5)/2)^(n+m))</t>
  </si>
  <si>
    <t>Zykov (deletion-contraction)</t>
  </si>
  <si>
    <t>In this case, we wish to determine the chromatic polynomial of a graph.</t>
  </si>
  <si>
    <t>Bjorklund, Husfeldt, Proposition 3</t>
  </si>
  <si>
    <t>O(2^n*poly(n)) =&gt; O(1.292^n)</t>
  </si>
  <si>
    <t>https://www.cambridge.org/core/books/topics-in-chromatic-graph-theory/graph-colouring-algorithms/0057166BDF05B304D0D81D6C1EB911B6</t>
  </si>
  <si>
    <t>Linear system of equations</t>
  </si>
  <si>
    <t>General</t>
  </si>
  <si>
    <t>O (n^3)</t>
  </si>
  <si>
    <t>LU decomposition</t>
  </si>
  <si>
    <t>O(n^omega) where omega is the exponent on the complexity of matrix multiplication;
currently O(n^2.37285956)</t>
  </si>
  <si>
    <t>(see matrix multiplication)</t>
  </si>
  <si>
    <t>Matrix inverse</t>
  </si>
  <si>
    <t>equivalent to matrix multiplication</t>
  </si>
  <si>
    <t>Toeplitz</t>
  </si>
  <si>
    <t>O(n*log^2(n))</t>
  </si>
  <si>
    <t>Asymptotically fast Toeplitz algorithms</t>
  </si>
  <si>
    <t>2008?</t>
  </si>
  <si>
    <t>https://epubs.siam.org/doi/10.1137/040617200</t>
  </si>
  <si>
    <t>O(n*log^2(n))?</t>
  </si>
  <si>
    <t>upper bound</t>
  </si>
  <si>
    <t>Sparse</t>
  </si>
  <si>
    <t>O(max(m^{(omega-2)/(omega-1)}*n^2, n^{(5*omega-4)/(omega+1)})*log^2(k/epsilon)) where omega is the exponent on the complexity of matrix multiplication;
currently O(n^2.331642)</t>
  </si>
  <si>
    <t>Peng, Vempala</t>
  </si>
  <si>
    <t>$O(max(m^{(omega-2)/(omega-1)}*n^2, n^{(5*omega-4)/(omega+1)})*log^2(k/epsilon))$ where omega is the exponent on the complexity of matrix multiplication;
currently $O(n^2.331642)$</t>
  </si>
  <si>
    <t>n: number of variables and number of equations
m: number of nonzero entries in matrix
k: ratio between largest and smallest eigenvalues
epsilon: error requirement</t>
  </si>
  <si>
    <t>O(((m+n)n^2+(m+n)^1.5*n)L^2 logL loglogL)</t>
  </si>
  <si>
    <t>https://link.springer.com/article/10.1007/BF01580859</t>
  </si>
  <si>
    <t>O((nm+n^2)L)?</t>
  </si>
  <si>
    <t>O((m+n)^1.5*n*L^2 logL loglogL)</t>
  </si>
  <si>
    <t>https://ieeexplore.ieee.org/document/63499</t>
  </si>
  <si>
    <t>O(n^(max(omega, 2.5-alpha/2, 37/18))*polylog(n, m, L)), where omega is the exponent on matrix multiplication, alpha is the dual exponent of matrix multiplication;
currently O(n^2.37285956)</t>
  </si>
  <si>
    <t>Jiang, Song, Weinstein and Zhang</t>
  </si>
  <si>
    <t>$O(n^(max(omega, 2.5-alpha/2, 37/18))*polylog(n, m, L))$, where omega is the exponent on matrix multiplication, alpha is the dual exponent of matrix multiplication;
currently $O(n^2.37285956)$</t>
  </si>
  <si>
    <t>Counting number of intersection points / line segments</t>
  </si>
  <si>
    <t>O(n^1.695)</t>
  </si>
  <si>
    <t>CHAZELLE 1986</t>
  </si>
  <si>
    <t>Reporting all intersection points / general polygons</t>
  </si>
  <si>
    <t>"122.5"</t>
  </si>
  <si>
    <t>O((n+k)log n)</t>
  </si>
  <si>
    <t>NIEVERGELT. J.. AND PREPARATA (Section 2)</t>
  </si>
  <si>
    <t>O(n^2+f_1*log(n))</t>
  </si>
  <si>
    <t>Seidel's Shelling Algorithm</t>
  </si>
  <si>
    <t>n: number of line segments
h: number of points on the convex hull
f_1: number of facets on the convex hull
f_2: number of subfacets on the convex hull</t>
  </si>
  <si>
    <t>O(n*f_1)</t>
  </si>
  <si>
    <t>Chand-Kapur, Gift Wrapping</t>
  </si>
  <si>
    <t>https://dl.acm.org/doi/pdf/10.1145/321556.321564</t>
  </si>
  <si>
    <t>O(n*f(h)/h) where f(h) denotes the maximum number of facets with h vertices</t>
  </si>
  <si>
    <t>N-dimensional Quickhull</t>
  </si>
  <si>
    <t>https://dl.acm.org/doi/pdf/10.1145/235815.235821</t>
  </si>
  <si>
    <t>O(logn) per operation, O(n*log(n)) total</t>
  </si>
  <si>
    <t>Online 2-d Convex Hull, Preparata</t>
  </si>
  <si>
    <t>O(log^2(n)) per operation, O(n*log^2(n)) total</t>
  </si>
  <si>
    <t>Dynamic 2-d Convex Hull, Overmars and van Leeuwen</t>
  </si>
  <si>
    <t>(many more...)</t>
  </si>
  <si>
    <t>O(V^2+E)</t>
  </si>
  <si>
    <t>Multistep</t>
  </si>
  <si>
    <t>https://ieeexplore.ieee.org/abstract/document/6877288</t>
  </si>
  <si>
    <t>O(V+E) total?</t>
  </si>
  <si>
    <t>Prim's algorithm + binary heap</t>
  </si>
  <si>
    <t>O(E*beta(E, V)) where beta(m, n) = min(i such that log^(i)(n)≤m/n); this is also O(E (log-star)V)</t>
  </si>
  <si>
    <t>Fredman &amp; Tarjan</t>
  </si>
  <si>
    <t>Cheriton-Tarjan (dense)</t>
  </si>
  <si>
    <t>Cheriton-Tarjan (planar)</t>
  </si>
  <si>
    <t>O(E*log(beta(E, V)))</t>
  </si>
  <si>
    <t>Gabow et al, Section 2</t>
  </si>
  <si>
    <t>O(E+V)</t>
  </si>
  <si>
    <t>need that much time to read all parts of input</t>
  </si>
  <si>
    <t>Fredman &amp; Willard</t>
  </si>
  <si>
    <t>Trans-dichotomous</t>
  </si>
  <si>
    <t>Randomly chosen from G_(n, m) or G_(n, p), and regardless of edge weights</t>
  </si>
  <si>
    <t>Pettie, Ramachandran</t>
  </si>
  <si>
    <t>unknown but optimal</t>
  </si>
  <si>
    <t>O(EV)</t>
  </si>
  <si>
    <t>Chu-Liu-Edmonds Algorithm</t>
  </si>
  <si>
    <t>(derived in sheet)</t>
  </si>
  <si>
    <t>https://nvlpubs.nist.gov/nistpubs/jres/71B/jresv71Bn4p233_A1b.pdf</t>
  </si>
  <si>
    <t>O(E+V(logV)^2)</t>
  </si>
  <si>
    <t>"uniform probability measure"</t>
  </si>
  <si>
    <t>Tarjan (directed, general)</t>
  </si>
  <si>
    <t>Tarjan (directed, dense)</t>
  </si>
  <si>
    <t>O(VlogV+Eloglog(logV/log(E/V + 2)))</t>
  </si>
  <si>
    <t>Gabow, Galil, Spencer</t>
  </si>
  <si>
    <t>https://ieeexplore.ieee.org/abstract/document/715935</t>
  </si>
  <si>
    <t>Gabow et al, Section 3</t>
  </si>
  <si>
    <t>k-dimensional space, Euclidean metric</t>
  </si>
  <si>
    <t>Khuller, Matias</t>
  </si>
  <si>
    <t>https://www.sciencedirect.com/science/article/pii/S0890540185710498?via%3Dihub</t>
  </si>
  <si>
    <t>infinite (can be upper bounded by O(n^2))</t>
  </si>
  <si>
    <t>Shortest Path (Directed graphs)</t>
  </si>
  <si>
    <t>nonnegative integer weights</t>
  </si>
  <si>
    <t>O(E+LV)</t>
  </si>
  <si>
    <t>Dial's Algorithm</t>
  </si>
  <si>
    <t>https://dl.acm.org/doi/10.1145/363269.363610</t>
  </si>
  <si>
    <t>keep track of vertices and L most recent buckets</t>
  </si>
  <si>
    <t>Shortest Path (Undirected graphs)</t>
  </si>
  <si>
    <t>positive integer weights; assumes constant-time multiplication</t>
  </si>
  <si>
    <t>https://dl.acm.org/doi/10.1145/316542.316548</t>
  </si>
  <si>
    <t>Betweenness Centrality (BC)</t>
  </si>
  <si>
    <t>Brandes</t>
  </si>
  <si>
    <t>https://www.tandfonline.com/doi/abs/10.1080/0022250x.2001.9990249</t>
  </si>
  <si>
    <t>compute the betweenness centrality of a vertex, i.e. the proportion of shortest paths in the graph that go through a specific vertex</t>
  </si>
  <si>
    <t>O(nm + n^2 \log n)</t>
  </si>
  <si>
    <t>Directed, Weighted (Arbitrary weights)</t>
  </si>
  <si>
    <t>O(V^2 logV +VE)</t>
  </si>
  <si>
    <t>Johnson's algorithm</t>
  </si>
  <si>
    <t>O(V^2 log V + VE)</t>
  </si>
  <si>
    <t>Directed, Unweighted</t>
  </si>
  <si>
    <t>O(V^2.575)</t>
  </si>
  <si>
    <t>Zwick 2002</t>
  </si>
  <si>
    <t>V: number of vertices</t>
  </si>
  <si>
    <t>2^{nw + o(n)}</t>
  </si>
  <si>
    <t>Random 3-SAT distribution</t>
  </si>
  <si>
    <t>https://arxiv.org/abs/cs/0506069</t>
  </si>
  <si>
    <t>Davis-Putnam-Logemann-Loveland Algorithm (DPLL)</t>
  </si>
  <si>
    <t>https://dl.acm.org/doi/10.1145/368273.368557</t>
  </si>
  <si>
    <t>n: number of variables
w: ratio of clauses per variable</t>
  </si>
  <si>
    <t>https://en.wikipedia.org/wiki/DPLL_algorithm</t>
  </si>
  <si>
    <t>Conflict-Driven Clause Learning (CDCL)</t>
  </si>
  <si>
    <t>https://ieeexplore.ieee.org/document/769433</t>
  </si>
  <si>
    <t>n: number of variables</t>
  </si>
  <si>
    <t>O(n*mt*mf)</t>
  </si>
  <si>
    <t>GSAT</t>
  </si>
  <si>
    <t>http://www.cs.cornell.edu/selman/papers/pdf/92.aaai.gsat.pdf</t>
  </si>
  <si>
    <t>n: number of variables, mt: maximum assignments tested, mf: maximum flips per assignment</t>
  </si>
  <si>
    <t>Incomplete algorithm, can give wrong answers in yes instances. If run exponentially long time, it gives right answers with high probability.</t>
  </si>
  <si>
    <t>WalkSAT</t>
  </si>
  <si>
    <t>https://www.aaai.org/Papers/AAAI/1994/AAAI94-051.pdf</t>
  </si>
  <si>
    <t>same as above</t>
  </si>
  <si>
    <t>Quantum Adiabatic Algorithm (QAA)</t>
  </si>
  <si>
    <t>https://arxiv.org/pdf/quant-ph/0001106.pdf</t>
  </si>
  <si>
    <t>n: number of variables (number of qubits)</t>
  </si>
  <si>
    <t>Quantum Adiabatic Computing</t>
  </si>
  <si>
    <t>https://dl.acm.org/doi/10.1145/322047.322059</t>
  </si>
  <si>
    <t>n: number of variables
m: number of clauses</t>
  </si>
  <si>
    <t>https://en.wikipedia.org/wiki/Horn-satisfiability</t>
  </si>
  <si>
    <t>O^*(2^{n-cn/k})</t>
  </si>
  <si>
    <t>Paturi, Pudlák, Saks, Zane (PPSZ) 2005</t>
  </si>
  <si>
    <t>https://dl.acm.org/doi/abs/10.1145/1066100.1066101</t>
  </si>
  <si>
    <t xml:space="preserve">n: number of clauses
k: number of variables per clause </t>
  </si>
  <si>
    <t>O(kn)</t>
  </si>
  <si>
    <t>Derived in notes</t>
  </si>
  <si>
    <t>Hertli (Modified PPSZ)</t>
  </si>
  <si>
    <t>https://epubs.siam.org/doi/abs/10.1137/120868177</t>
  </si>
  <si>
    <t>O(1.30704^n)</t>
  </si>
  <si>
    <t>Not sure, please look</t>
  </si>
  <si>
    <r>
      <rPr>
        <sz val="10.0"/>
      </rPr>
      <t xml:space="preserve">Original PPSZ: </t>
    </r>
    <r>
      <rPr>
        <color rgb="FF1155CC"/>
        <sz val="10.0"/>
        <u/>
      </rPr>
      <t>https://dl.acm.org/doi/abs/10.1145/1066100.1066101</t>
    </r>
  </si>
  <si>
    <t>O(1.46899^n)</t>
  </si>
  <si>
    <r>
      <rPr>
        <sz val="10.0"/>
      </rPr>
      <t xml:space="preserve">Original PPSZ: </t>
    </r>
    <r>
      <rPr>
        <color rgb="FF1155CC"/>
        <sz val="10.0"/>
        <u/>
      </rPr>
      <t>https://dl.acm.org/doi/abs/10.1145/1066100.1066101</t>
    </r>
  </si>
  <si>
    <t>NAE 3SAT</t>
  </si>
  <si>
    <t>Shi 2009</t>
  </si>
  <si>
    <t>https://ieeexplore.ieee.org/abstract/document/5211463</t>
  </si>
  <si>
    <t>O(12m*t_extract + 2m*t_discard + 2n*t_append + (n+2m)*t_merge + (n-1)*t_amplify)</t>
  </si>
  <si>
    <t>Adelman-Lipton</t>
  </si>
  <si>
    <t>O(n) tubes or O(2^n) library strands</t>
  </si>
  <si>
    <t>https://ieeexplore.ieee.org/stamp/stamp.jsp?tp=&amp;arnumber=5211463</t>
  </si>
  <si>
    <t>DNA-Based</t>
  </si>
  <si>
    <t>Anytime Dynamic A* (ADA*)</t>
  </si>
  <si>
    <t>https://www.ri.cmu.edu/publications/anytime-dynamic-a-an-anytime-replanning-algorithm/</t>
  </si>
  <si>
    <t>https://doi.org/10.1109%2Ftro.2004.838026</t>
  </si>
  <si>
    <t>Focused D*</t>
  </si>
  <si>
    <t>https://citeseerx.ist.psu.edu/viewdoc/summary?doi=10.1.1.41.8257</t>
  </si>
  <si>
    <t>O(nk \lceil m/w \rceil)</t>
  </si>
  <si>
    <t>Wu and Manber, Fuzzy String Matching</t>
  </si>
  <si>
    <t>https://dl.acm.org/doi/pdf/10.1145/135239.135244</t>
  </si>
  <si>
    <t>m: pattern length
n: text length
k: allowable errors
w: word size
s: alphabet size</t>
  </si>
  <si>
    <t>O(ms +  k \lceil m/w \rceil)</t>
  </si>
  <si>
    <t>m: 3,
s: 3,
k: 3,
n: 3</t>
  </si>
  <si>
    <t>Levensthein Distance = k</t>
  </si>
  <si>
    <t>Wagner-Fischer algorithm</t>
  </si>
  <si>
    <t>https://dl.acm.org/doi/abs/10.1145/321796.321811</t>
  </si>
  <si>
    <t>O(mn/log(n))</t>
  </si>
  <si>
    <t>Masek, Paterson</t>
  </si>
  <si>
    <t>Maximum cardinality matching</t>
  </si>
  <si>
    <t>bipartite graph</t>
  </si>
  <si>
    <t>O(V^1.5*(E/logV)^0.5)</t>
  </si>
  <si>
    <t>Alt, Blum, Mehlhorn, Paul</t>
  </si>
  <si>
    <t>https://www.sciencedirect.com/science/article/pii/002001909190195N</t>
  </si>
  <si>
    <t>Uses constant number of O(E)-sized data structures in pseudocode of algorithm</t>
  </si>
  <si>
    <t>general graph</t>
  </si>
  <si>
    <t>Blossom Algorithm</t>
  </si>
  <si>
    <t>https://www.cambridge.org/core/journals/canadian-journal-of-mathematics/article/paths-trees-and-flowers/08B492B72322C4130AE800C0610E0E21</t>
  </si>
  <si>
    <t>Manipulates a constant number of graphs? Contractions can be kept track of in O(E) space</t>
  </si>
  <si>
    <t>Micali, Vazirani</t>
  </si>
  <si>
    <t>O(m*log(n))</t>
  </si>
  <si>
    <t>Divide and Conquer</t>
  </si>
  <si>
    <t>O(log(n)) auxiliary?</t>
  </si>
  <si>
    <t>Need to keep track of the specific indices where the minimums occur, up to depth log(n)</t>
  </si>
  <si>
    <t>All permutations</t>
  </si>
  <si>
    <t>Wells</t>
  </si>
  <si>
    <t>https://www.jstor.org/stable/2004229#metadata_info_tab_contents</t>
  </si>
  <si>
    <t>O(n)-sized array for t_k's necessary</t>
  </si>
  <si>
    <t>O(n) per permutation?</t>
  </si>
  <si>
    <t>Easily derived (most iterations are full rotations)</t>
  </si>
  <si>
    <t>Langdon</t>
  </si>
  <si>
    <t>https://dl.acm.org/doi/pdf/10.1145/363282.363315</t>
  </si>
  <si>
    <t>Only need the auxiliary variable N, according to the flowchart in the paper</t>
  </si>
  <si>
    <t>Ord-Smith</t>
  </si>
  <si>
    <t>https://dl.acm.org/doi/pdf/10.1145/362896.362913</t>
  </si>
  <si>
    <t>O(n)-sized array q (as in paper) necessary</t>
  </si>
  <si>
    <t>Ives' algorithm c</t>
  </si>
  <si>
    <t>https://dl.acm.org/doi/abs/10.1145/359997.360002</t>
  </si>
  <si>
    <t>O(n) words needed to keep track of which elements have cycled how many times</t>
  </si>
  <si>
    <t>https://link.springer.com/article/10.1007/BF01937486</t>
  </si>
  <si>
    <t>Zaks' prefix reversal algorithm</t>
  </si>
  <si>
    <t>O(n) auxiliary (see NEXT algorithm in same paper)</t>
  </si>
  <si>
    <t>https://link.springer.com/content/pdf/10.1007/BF01937486.pdf</t>
  </si>
  <si>
    <t>Maximum-weight matching</t>
  </si>
  <si>
    <t>bipartite (i.e. assignment), general</t>
  </si>
  <si>
    <t>O(n*(SP+)) where (SP+) denotes the time for one SSSP computation on a nonnegatively weighted graph. Initially O(n^3)</t>
  </si>
  <si>
    <t>Edmonds-Karp</t>
  </si>
  <si>
    <t>https://dl.acm.org/doi/10.1145/321694.321699</t>
  </si>
  <si>
    <t>$O(n*(SP+))$ where $(SP+)$ denotes the time for one SSSP computation on a nonnegatively weighted graph. Initially $O(n^3)$</t>
  </si>
  <si>
    <t>Keeps track of current flow, which is of size O(n^2), and an O(n)-sized labeling function. SSSP computation has time bounded by O(n^2) and thus should use O(n^2) space at most</t>
  </si>
  <si>
    <t>O(mn*log(n)/log(2+m/n))</t>
  </si>
  <si>
    <t>Johnson (Edmonds-Karp-based)</t>
  </si>
  <si>
    <t>https://www.sciencedirect.com/science/article/pii/0020019075900010</t>
  </si>
  <si>
    <t>O(mn+n^2log(n))</t>
  </si>
  <si>
    <t>Fredman-Tarjan (Edmonds-Karp-based)</t>
  </si>
  <si>
    <t>general</t>
  </si>
  <si>
    <t>https://www.proquest.com/docview/287948024?pq-origsite=gscholar&amp;fromopenview=true</t>
  </si>
  <si>
    <t>O(mn*log(n))</t>
  </si>
  <si>
    <t>Galil, Micali, Gabow</t>
  </si>
  <si>
    <t>https://www.proquest.com/docview/919855909?pq-origsite=gscholar&amp;fromopenview=true</t>
  </si>
  <si>
    <t>O(mn*log(log(log(n)/log(2+m/n))) + n^2*log(n))</t>
  </si>
  <si>
    <t>https://dl.acm.org/doi/10.5555/320176.320229</t>
  </si>
  <si>
    <t>(order of convergence ~ 1.442)</t>
  </si>
  <si>
    <t>Illinois Algorithm</t>
  </si>
  <si>
    <t>https://link.springer.com/article/10.1007/BF01934364</t>
  </si>
  <si>
    <t>O(n_max)</t>
  </si>
  <si>
    <t>https://en.wikipedia.org/wiki/Regula_falsi</t>
  </si>
  <si>
    <t>Anderson–Björck algorithm</t>
  </si>
  <si>
    <t>https://link.springer.com/article/10.1007/BF01951936</t>
  </si>
  <si>
    <t>(order of convergence = sqrt(k_2) under certain conditions)</t>
  </si>
  <si>
    <t>ITP Method</t>
  </si>
  <si>
    <t>1940?</t>
  </si>
  <si>
    <t>O(n_0+log((b-a)/epsilon))</t>
  </si>
  <si>
    <t>epsilon: (additive) tolerance error
a, b: endpoint values, with b&gt;a
k_1, k_2: truncation parameters; requires k_1&gt;0 and k_2 in [1, 1+phi)
n_0: projection parameter; requires n_0 &gt;= 0</t>
  </si>
  <si>
    <t>https://en.wikipedia.org/wiki/ITP_method</t>
  </si>
  <si>
    <t>Root Computation with continuous derivatives (up to d)</t>
  </si>
  <si>
    <t>(order of convergence = d+1)</t>
  </si>
  <si>
    <t>Householder's Method</t>
  </si>
  <si>
    <t>1940(?)</t>
  </si>
  <si>
    <t>O(d*n_max)?</t>
  </si>
  <si>
    <t>epsilon: (additive) tolerance error
d: number of derivatives being used
n_max: maximum number of iterations</t>
  </si>
  <si>
    <t>Store current estimate x_i and the derivatives f' through f^{(d)} (assuming these take O(1) space each); iterations take O(1) time and thus O(1) space, and space can be re-used across iterations</t>
  </si>
  <si>
    <t>(order of convergence = 2, but under very specific conditions)</t>
  </si>
  <si>
    <t>Steffensen's method</t>
  </si>
  <si>
    <t>Store previous estimate x_i; iterations take O(1) time and thus O(1) space, and space can be re-used across iterations</t>
  </si>
  <si>
    <t>https://en.wikipedia.org/wiki/Steffensen%27s_method</t>
  </si>
  <si>
    <t>Inverse quadratic interpolation</t>
  </si>
  <si>
    <t>Store previous 3 estimates x_i, x_{i-1}, and x_{i-2} along with function values f_i, f_{i-1}, f_{i-2}; iterations take O(1) time and thus O(1) space, and space can be re-used across iterations</t>
  </si>
  <si>
    <t>https://en.wikipedia.org/wiki/Inverse_quadratic_interpolation</t>
  </si>
  <si>
    <t>Brent-Dekker Method</t>
  </si>
  <si>
    <t>https://books.google.com/books?vid=ISBN0130223352</t>
  </si>
  <si>
    <t>https://en.wikipedia.org/wiki/Brent%27s_method</t>
  </si>
  <si>
    <t>O(n+ m*alpha(m + n, n)) where alpha is the inverse Ackermann function</t>
  </si>
  <si>
    <t>Aho, Hopcroft, and Ullman [Offline]</t>
  </si>
  <si>
    <t>https://dl.acm.org/doi/pdf/10.1145/800125.804056</t>
  </si>
  <si>
    <t>https://www.cs.bgu.ac.il/~segal/PAPERS2/tarj.pdf</t>
  </si>
  <si>
    <t>O((m+n)*log(log(n)))</t>
  </si>
  <si>
    <t>Aho, Hopcroft, and Ullman [Static Trees]</t>
  </si>
  <si>
    <t>O(n*log(log(n)))</t>
  </si>
  <si>
    <t>O((m+n)*log(n))</t>
  </si>
  <si>
    <t>Aho, Hopcroft, and Ullman [Linking]</t>
  </si>
  <si>
    <t>O(n+m*log(log(n)))</t>
  </si>
  <si>
    <t>Modified van Leeuwen [Static Trees]</t>
  </si>
  <si>
    <t>[Unpublished report]</t>
  </si>
  <si>
    <t>Modified van Leeuwen [Linking Roots]</t>
  </si>
  <si>
    <t>O(n+m*log(n))</t>
  </si>
  <si>
    <t>Sleator and Tarjan [Linking]</t>
  </si>
  <si>
    <t>Lowest Common Ancestor with Linking and Cutting</t>
  </si>
  <si>
    <t>Sleator and Tarjan [Linking and Cutting]</t>
  </si>
  <si>
    <t>Harel, Tarjan [Static Trees]</t>
  </si>
  <si>
    <t>Harel, Tarjan [Linking Roots]</t>
  </si>
  <si>
    <t>O(delta^4)</t>
  </si>
  <si>
    <t>Kazuhisa Makino, Takeaki Uno; Section 6</t>
  </si>
  <si>
    <t>n: number of vertices
m: number of edges
delta: maximum degree of any vertex</t>
  </si>
  <si>
    <t>O(n+m) auxiliary(?)</t>
  </si>
  <si>
    <t>Integer 3SUM</t>
  </si>
  <si>
    <t>Textbook Sort-and-Binary-Search</t>
  </si>
  <si>
    <t>n: size of set</t>
  </si>
  <si>
    <t>Storing sorted list</t>
  </si>
  <si>
    <t>Textbook Sort-and-Two-Sided-Traversal</t>
  </si>
  <si>
    <t>Baran, Demaine, Patrascu</t>
  </si>
  <si>
    <t>n: size of set
w: size of word</t>
  </si>
  <si>
    <t>O(n^2/(w^2/(log w)^2))</t>
  </si>
  <si>
    <t>Circuit RAM with one nonstandard AC^0 operation</t>
  </si>
  <si>
    <t>O(n^2/MB)</t>
  </si>
  <si>
    <t>n: size of set
w: size of word
B: size of block
M: size of memory</t>
  </si>
  <si>
    <t>External memory</t>
  </si>
  <si>
    <t>O(n^2*(log M)^2/MB)</t>
  </si>
  <si>
    <t>Cache oblivious</t>
  </si>
  <si>
    <t>O(n^2/((log n)/(log log n))^2/3)</t>
  </si>
  <si>
    <t>Gronlund, Pettie</t>
  </si>
  <si>
    <t>https://ieeexplore.ieee.org/abstract/document/6979047</t>
  </si>
  <si>
    <t>O(n^2*(log log n)^2/(log n))</t>
  </si>
  <si>
    <t>O(n^2*(log log n)/(log n))</t>
  </si>
  <si>
    <t>Freund</t>
  </si>
  <si>
    <t>https://link.springer.com/article/10.1007/s00453-015-0079-6</t>
  </si>
  <si>
    <t>O(C(n, k)) (i.e. (n, k) binomial coefficient)</t>
  </si>
  <si>
    <t>Exhaustive search</t>
  </si>
  <si>
    <t>n: number of vertices
m: number of edges
k: size of vertex cover</t>
  </si>
  <si>
    <t>O(k) auxiliary</t>
  </si>
  <si>
    <t>O(kn+2^k k^2)</t>
  </si>
  <si>
    <t>Downey, Fellows</t>
  </si>
  <si>
    <t>https://citeseerx.ist.psu.edu/viewdoc/download?doi=10.1.1.2.7270&amp;rep=rep1&amp;type=pdf</t>
  </si>
  <si>
    <t>O(k^2) auxiliary</t>
  </si>
  <si>
    <t>k: 5</t>
  </si>
  <si>
    <t>Auxiliary graph contains O(k^2) edges unless the instance is rejected; rest of steps take O(k) auxiliary space at most</t>
  </si>
  <si>
    <t>O(3^k k^2+kn)</t>
  </si>
  <si>
    <t>Papadimitriou and M Yannakakis 1996 + Buss</t>
  </si>
  <si>
    <t>O(k^2) auxiliary?</t>
  </si>
  <si>
    <t>O(kn+max((1.25542)^k k^2, (1.2906)^k k)</t>
  </si>
  <si>
    <t>Stege, Fellows</t>
  </si>
  <si>
    <t>https://www.research-collection.ethz.ch/bitstream/handle/20.500.11850/69332/eth-4359-01.pdf</t>
  </si>
  <si>
    <t>O(k^3) auxiliary? (potentially O(k^2)??)</t>
  </si>
  <si>
    <t>k: 6</t>
  </si>
  <si>
    <t>O(kn+(1.2906)^k)</t>
  </si>
  <si>
    <t>Stege, Fellows + Interleaving method (Niedermeier, Rossmanith)</t>
  </si>
  <si>
    <t>https://mediatum.ub.tum.de/doc/1094228/file.pdf</t>
  </si>
  <si>
    <t>brute force</t>
  </si>
  <si>
    <t>https://dl.acm.org/doi/pdf/10.1145/1968.381154</t>
  </si>
  <si>
    <t>O(n^2) auxiliary?</t>
  </si>
  <si>
    <t>(i think you need to pre-process to get cumulative sums in each row?)</t>
  </si>
  <si>
    <t>O(log n) auxiliary?</t>
  </si>
  <si>
    <t>divide-and-conquer</t>
  </si>
  <si>
    <t>Tamaki, Tokuyama (exact)</t>
  </si>
  <si>
    <t>https://dl.acm.org/doi/pdf/10.5555/314613.314823</t>
  </si>
  <si>
    <t>O(n^(omega) * (-log(epsilon))/epsilon)</t>
  </si>
  <si>
    <t>Tamaki, Tokuyama (approximate)</t>
  </si>
  <si>
    <t>n: dimension of array
epsilon: approximation parameter</t>
  </si>
  <si>
    <t>(1-epsilon)</t>
  </si>
  <si>
    <t>2^(O(n))</t>
  </si>
  <si>
    <t>Keeps track of current subset being checked, minimum subset, and O(1) Wiener indices</t>
  </si>
  <si>
    <t>O(d*n^k)</t>
  </si>
  <si>
    <t>$O(d*n^k)$</t>
  </si>
  <si>
    <t>n: number of vectors per set
k: number of sets
d: dimension of each vector; d = omega(log(n))</t>
  </si>
  <si>
    <t>keeping track of which vectors we're looking at</t>
  </si>
  <si>
    <t>$O(n^{(2-1/O(d/log(n)))})$</t>
  </si>
  <si>
    <t>Abboud, Williams, Yu</t>
  </si>
  <si>
    <t>https://epubs.siam.org/doi/abs/10.1137/1.9781611973730.17</t>
  </si>
  <si>
    <t>n: number of vectors per set
d: dimension of each vector; d = omega(log(n))</t>
  </si>
  <si>
    <t>$O(n^{(k-1/O(d/log(n)))})$</t>
  </si>
  <si>
    <t>Reduction to Abboud, Williams, Yu</t>
  </si>
  <si>
    <t>Chan, Williams</t>
  </si>
  <si>
    <t>Reduction to Chan, Williams</t>
  </si>
  <si>
    <t>k-Clique Problem</t>
  </si>
  <si>
    <t>O(n^k)</t>
  </si>
  <si>
    <t>Brute force enumeration</t>
  </si>
  <si>
    <t>n: total number of vertices
k: desired clique size</t>
  </si>
  <si>
    <t>keeping track of which vertices we're looking at</t>
  </si>
  <si>
    <t>$O(n^{(k-(3-\omega)*floor(k/3)})$ where omega is the exponent on matrix multiplication</t>
  </si>
  <si>
    <t>this relies on matrix multiplication</t>
  </si>
  <si>
    <t>Nesetril, Poljak</t>
  </si>
  <si>
    <t>$O(n^(k-(3-\omega)*floor(k/3))$ where omega is the exponent on matrix multiplication</t>
  </si>
  <si>
    <t>O(n^(2k/3)) ish</t>
  </si>
  <si>
    <t>n: 7,
k: 8</t>
  </si>
  <si>
    <t>matrix sizes</t>
  </si>
  <si>
    <t>Min-Weight k-Clique Problem</t>
  </si>
  <si>
    <t>3-Clique</t>
  </si>
  <si>
    <t>$O(n^3 / 2^{(log n)^{0.5}})$</t>
  </si>
  <si>
    <t>APSP algorithm</t>
  </si>
  <si>
    <t>O(n^3 / 2^(log n)^0.5)</t>
  </si>
  <si>
    <t>n: total number of vertices</t>
  </si>
  <si>
    <t>Exact-Weight k-Clique Problem</t>
  </si>
  <si>
    <t>O(n^3*(log log n)^2/(log n))</t>
  </si>
  <si>
    <t>Graph Isomporhism, Trivalent Graphs</t>
  </si>
  <si>
    <t>\exp(cn^{\frac{1}{2}} \log n)</t>
  </si>
  <si>
    <t>Babai 1980</t>
  </si>
  <si>
    <t>https://epubs.siam.org/doi/epdf/10.1137/0209018</t>
  </si>
  <si>
    <t>\exp(n^{\frac{1}{2} + O(1)})</t>
  </si>
  <si>
    <t>https://citeseerx.ist.psu.edu/viewdoc/summary?doi=10.1.1.138.4859</t>
  </si>
  <si>
    <t>"1"</t>
  </si>
  <si>
    <t>O(logn) amortized</t>
  </si>
  <si>
    <t>O(b*log(n)/log(b))?</t>
  </si>
  <si>
    <t>O(b)?</t>
  </si>
  <si>
    <t>n: 1,
b: 3</t>
  </si>
  <si>
    <t>^see above, but with branching factor involved</t>
  </si>
  <si>
    <t>O((k+1)log(log(n)))</t>
  </si>
  <si>
    <t>n: number of nodes
k: number of interleaves</t>
  </si>
  <si>
    <t>2 player games</t>
  </si>
  <si>
    <t>O(n^7)*</t>
  </si>
  <si>
    <t>https://www.academia.edu/1791725/An_experimental_analysis_of_Lemke_Howson_algorithm</t>
  </si>
  <si>
    <r>
      <rPr>
        <rFont val="Arial"/>
        <sz val="10.0"/>
      </rPr>
      <t>[</t>
    </r>
    <r>
      <rPr>
        <rFont val="Arial"/>
        <color rgb="FF1155CC"/>
        <sz val="10.0"/>
        <u/>
      </rPr>
      <t>https://doi.org/10.1137/0112033</t>
    </r>
    <r>
      <rPr>
        <rFont val="Arial"/>
        <sz val="10.0"/>
      </rPr>
      <t xml:space="preserve"> Lemke-Howson (1964)]</t>
    </r>
  </si>
  <si>
    <t>Lemke-Howson Algorithm</t>
  </si>
  <si>
    <t>https://doi.org/10.1137/0112033</t>
  </si>
  <si>
    <t>Exponential</t>
  </si>
  <si>
    <t>n: player 1 pure strategies
m: player 2 pure strategies</t>
  </si>
  <si>
    <t>I am not sure if this can be optimized?</t>
  </si>
  <si>
    <t>Graphical games, Multi-agent influence diagrams</t>
  </si>
  <si>
    <r>
      <rPr>
        <rFont val="Arial"/>
        <sz val="10.0"/>
      </rPr>
      <t>[</t>
    </r>
    <r>
      <rPr>
        <rFont val="Arial"/>
        <color rgb="FF1155CC"/>
        <sz val="10.0"/>
        <u/>
      </rPr>
      <t>https://www.semanticscholar.org/paper/A-Continuation-Method-for-Nash-Equilibria-in-Games-Blum-Shelton/4a3b80041922298db147debc2a2307bc4a5a42e9</t>
    </r>
    <r>
      <rPr>
        <rFont val="Arial"/>
        <sz val="10.0"/>
      </rPr>
      <t xml:space="preserve"> Blum, Shelton, Koller]</t>
    </r>
  </si>
  <si>
    <t>Blum, Shelton, Koller</t>
  </si>
  <si>
    <t>https://www.semanticscholar.org/paper/A-Continuation-Method-for-Nash-Equilibria-in-Games-Blum-Shelton/4a3b80041922298db147debc2a2307bc4a5a42e9</t>
  </si>
  <si>
    <t>Unknown?</t>
  </si>
  <si>
    <r>
      <rPr>
        <rFont val="Arial"/>
        <sz val="10.0"/>
      </rPr>
      <t>[</t>
    </r>
    <r>
      <rPr>
        <rFont val="Arial"/>
        <color rgb="FF1155CC"/>
        <sz val="10.0"/>
        <u/>
      </rPr>
      <t>https://dl.acm.org/doi/10.1145/779928.779933</t>
    </r>
    <r>
      <rPr>
        <rFont val="Arial"/>
        <sz val="10.0"/>
      </rPr>
      <t xml:space="preserve"> Lipton, Markakis, Mehta]</t>
    </r>
  </si>
  <si>
    <t>Lipton, Markakis and Mehta method</t>
  </si>
  <si>
    <t>n: 7.5, eps: 8</t>
  </si>
  <si>
    <t>O(n^{c log n/eps^2})</t>
  </si>
  <si>
    <t>n: max of either player's pure strategies
eps: margin of improvement in Nash equilibrium</t>
  </si>
  <si>
    <t>Word RAM words</t>
  </si>
  <si>
    <t>O(log^2 n/eps^2)</t>
  </si>
  <si>
    <t>n player games</t>
  </si>
  <si>
    <t>[https://dl.acm.org/doi/10.1145/779928.779933 Lipton, Markakis, Mehta]</t>
  </si>
  <si>
    <t>Lipton, Markakis and Mehta method 2</t>
  </si>
  <si>
    <t>n: 7.5, k: 8, eps: 8</t>
  </si>
  <si>
    <t>O(n^{ck^2 log (k^2n)/eps^2})</t>
  </si>
  <si>
    <t>n: max of all players' pure strategies
k: number of players
eps: margin of improvement in Nash equilibrium</t>
  </si>
  <si>
    <t>O(k^2log^2 n/eps^2)</t>
  </si>
  <si>
    <r>
      <rPr>
        <rFont val="Arial"/>
        <sz val="10.0"/>
      </rPr>
      <t>[</t>
    </r>
    <r>
      <rPr>
        <rFont val="Arial"/>
        <color rgb="FF1155CC"/>
        <sz val="10.0"/>
        <u/>
      </rPr>
      <t>https://www.aaai.org/Library/AAAI/2004/aaai04-105.php</t>
    </r>
    <r>
      <rPr>
        <rFont val="Arial"/>
        <sz val="10.0"/>
      </rPr>
      <t xml:space="preserve"> Porter, Nudleman, Shoham (2004)]</t>
    </r>
  </si>
  <si>
    <t>Support enumeration and search</t>
  </si>
  <si>
    <t>https://www.aaai.org/Library/AAAI/2004/aaai04-105.php</t>
  </si>
  <si>
    <t>Unknown</t>
  </si>
  <si>
    <r>
      <rPr>
        <rFont val="Arial"/>
        <sz val="10.0"/>
      </rPr>
      <t>[</t>
    </r>
    <r>
      <rPr>
        <rFont val="Arial"/>
        <color rgb="FF1155CC"/>
        <sz val="10.0"/>
        <u/>
      </rPr>
      <t>https://www.aaai.org/Library/AAAI/2005/aaai05-078.php</t>
    </r>
    <r>
      <rPr>
        <rFont val="Arial"/>
        <sz val="10.0"/>
      </rPr>
      <t xml:space="preserve"> Sandholm, Gilpin, Conitzer]</t>
    </r>
  </si>
  <si>
    <t>Mixed Integer Programming</t>
  </si>
  <si>
    <t>https://www.aaai.org/Papers/AAAI/2005/AAAI05-078.pdf</t>
  </si>
  <si>
    <r>
      <rPr>
        <rFont val="Arial"/>
        <sz val="10.0"/>
      </rPr>
      <t>[</t>
    </r>
    <r>
      <rPr>
        <rFont val="Arial"/>
        <color rgb="FF1155CC"/>
        <sz val="10.0"/>
        <u/>
      </rPr>
      <t>https://doi.org/10.1016/j.jet.2008.06.002</t>
    </r>
    <r>
      <rPr>
        <rFont val="Arial"/>
        <sz val="10.0"/>
      </rPr>
      <t xml:space="preserve"> Govindan and Wilson]</t>
    </r>
  </si>
  <si>
    <t>Global Newton Method</t>
  </si>
  <si>
    <t>https://www.sciencedirect.com/science/article/pii/S0022053108000811</t>
  </si>
  <si>
    <t>Synthesis Algorithm</t>
  </si>
  <si>
    <t>Grahne and Räihä</t>
  </si>
  <si>
    <t>k: number of multivalued dependencies
n: number of attributes? (|U|)</t>
  </si>
  <si>
    <t>k: 8</t>
  </si>
  <si>
    <t>https://link.springer.com/article/10.1007/BF01934180</t>
  </si>
  <si>
    <t>Multiway Decomposition Algorithm</t>
  </si>
  <si>
    <t>O(k^2 n^2)</t>
  </si>
  <si>
    <t>Lien</t>
  </si>
  <si>
    <t>https://dl.acm.org/doi/abs/10.1145/319540.319546</t>
  </si>
  <si>
    <t>O(k^2)</t>
  </si>
  <si>
    <t>Derived: Uses an auxiliary array of size $k \times k$</t>
  </si>
  <si>
    <t>poly-time</t>
  </si>
  <si>
    <t>Sciore</t>
  </si>
  <si>
    <t>https://dl.acm.org/doi/abs/10.1145/582318.582337</t>
  </si>
  <si>
    <t>Fagin</t>
  </si>
  <si>
    <t>Time n = 1000 rate</t>
  </si>
  <si>
    <t>Time n = 10^6 rate</t>
  </si>
  <si>
    <t>Time n = 10^9 rate</t>
  </si>
  <si>
    <t>Time &gt; Space n = 1000</t>
  </si>
  <si>
    <t>Time &gt; Space n = 10^6</t>
  </si>
  <si>
    <t>Time &gt; Space n = 10^9</t>
  </si>
  <si>
    <t>Space &gt; Time n = 1000</t>
  </si>
  <si>
    <t>Space &gt; Time n = 10^6</t>
  </si>
  <si>
    <t>Space &gt; Time n = 10^9</t>
  </si>
  <si>
    <t>Time / Space n=1000</t>
  </si>
  <si>
    <t>Time / Space n=10^6</t>
  </si>
  <si>
    <t>Time / Space n=10^9</t>
  </si>
  <si>
    <t>n = 10^3</t>
  </si>
  <si>
    <t>n = 10^6</t>
  </si>
  <si>
    <t>n = 10^9</t>
  </si>
  <si>
    <t>(SPACE) Average Percentage Improvement Per Year</t>
  </si>
  <si>
    <t>Number of Problem Families</t>
  </si>
  <si>
    <t>Percentage of Problem Families</t>
  </si>
  <si>
    <t>0-10%</t>
  </si>
  <si>
    <t>10-20%</t>
  </si>
  <si>
    <t>20-30%</t>
  </si>
  <si>
    <t>30-40%</t>
  </si>
  <si>
    <t>40-50%</t>
  </si>
  <si>
    <t>50-60%</t>
  </si>
  <si>
    <t>60-70%</t>
  </si>
  <si>
    <t>70-80%</t>
  </si>
  <si>
    <t>80-90%</t>
  </si>
  <si>
    <t>90-100%</t>
  </si>
  <si>
    <t>100-1000%</t>
  </si>
  <si>
    <t>&gt;1000%</t>
  </si>
  <si>
    <t>DRAM Speed Rate</t>
  </si>
  <si>
    <t>DRAM Capacity Rate</t>
  </si>
  <si>
    <t>SPACE</t>
  </si>
  <si>
    <t>check, algos in same year</t>
  </si>
  <si>
    <t>TIME</t>
  </si>
  <si>
    <t>% Faster Time n=1000</t>
  </si>
  <si>
    <t>% Faster Time n=10^6</t>
  </si>
  <si>
    <t>% Faster Time n=10^9</t>
  </si>
  <si>
    <t>% Faster Space n=1000</t>
  </si>
  <si>
    <t>% Faster Space n=10^6</t>
  </si>
  <si>
    <t>% Faster Space n=10^9</t>
  </si>
  <si>
    <t>% Equal Rates n=1000</t>
  </si>
  <si>
    <t>% Equal Rates n=10^6</t>
  </si>
  <si>
    <t>% Equal Rates n=10^9</t>
  </si>
  <si>
    <t>Time</t>
  </si>
  <si>
    <t>Average Annualized Improvement Rate</t>
  </si>
  <si>
    <t>0-1%</t>
  </si>
  <si>
    <t>1-3%</t>
  </si>
  <si>
    <t>3-10%</t>
  </si>
  <si>
    <t>10-31%</t>
  </si>
  <si>
    <t>31-100%</t>
  </si>
  <si>
    <t>100-316%</t>
  </si>
  <si>
    <t>316-1000%</t>
  </si>
  <si>
    <t>1000-3162%</t>
  </si>
  <si>
    <t>3162-10000%</t>
  </si>
  <si>
    <t>&gt;10000%</t>
  </si>
  <si>
    <t>Reasoning for 0.001</t>
  </si>
  <si>
    <t>Algorithm for different problem</t>
  </si>
  <si>
    <t>Algorithm not in paper</t>
  </si>
  <si>
    <t>Multiple algos in paper, in "new entries to sheet1"</t>
  </si>
  <si>
    <t>Unweighted Interval Scheduling, Online??</t>
  </si>
  <si>
    <t>type of algorithm, not a specific algo</t>
  </si>
  <si>
    <t>Concurrent programming</t>
  </si>
  <si>
    <t>Duplicate</t>
  </si>
  <si>
    <t>https://link.springer.com/chapter/10.1007%2F3-540-60044-2_53</t>
  </si>
  <si>
    <t>Might be same paper, two algos</t>
  </si>
  <si>
    <t>Double check for a new paper</t>
  </si>
  <si>
    <t>Expert needed?</t>
  </si>
  <si>
    <t>Missing reference</t>
  </si>
  <si>
    <t>Maybe this? Wikipedia: Poole, David (2006), Linear Algebra: A Modern Introduction (2nd ed.), Canada: Thomson Brooks/Cole, ISBN 978-0-534-99845-5.</t>
  </si>
  <si>
    <t>This is cited for 4NF elsewhere C Beeri, PA Bernstein, Computational problems related to the design of normal form relational 987
schemas.</t>
  </si>
  <si>
    <t>Model of computation</t>
  </si>
  <si>
    <t>Pointer machine</t>
  </si>
  <si>
    <t>Should be reasonable to convert?</t>
  </si>
  <si>
    <t>DNA-based</t>
  </si>
  <si>
    <t>We shoudl exclude</t>
  </si>
  <si>
    <t>Multiple algorithms</t>
  </si>
  <si>
    <t>Split into the algorithms</t>
  </si>
  <si>
    <t>double check if this was done already</t>
  </si>
  <si>
    <t>Reference access</t>
  </si>
  <si>
    <t>Russian</t>
  </si>
  <si>
    <t>Reference language</t>
  </si>
  <si>
    <t>V. A. Lyul’ka and A. V. Romanenko 1994</t>
  </si>
  <si>
    <t>check citation for the result?</t>
  </si>
  <si>
    <t>V. A. Lyul’ka and I. E. Mikhailov 2003</t>
  </si>
  <si>
    <t>V. I. Paasonen 1968</t>
  </si>
  <si>
    <t>TODO: Approximation for NP-hard</t>
  </si>
  <si>
    <t>Can probably do this one</t>
  </si>
  <si>
    <t>TODO: Missing reference</t>
  </si>
  <si>
    <t>https://www.semanticscholar.org/paper/Constructing-Delaunay-triangulations-by-merging-in-Katajainen-Koppinen/b13059c096f37407ea680fec0e61e000f6407292</t>
  </si>
  <si>
    <t>TODO: Reference access</t>
  </si>
  <si>
    <t>couldn't access reference before from home</t>
  </si>
  <si>
    <t>Weird variation</t>
  </si>
  <si>
    <t>feel free to exclude for now</t>
  </si>
  <si>
    <t>Name</t>
  </si>
  <si>
    <t>Hypothesis ID</t>
  </si>
  <si>
    <t>Target</t>
  </si>
  <si>
    <t>Computation Model</t>
  </si>
  <si>
    <t>Implies</t>
  </si>
  <si>
    <t>Implied By</t>
  </si>
  <si>
    <t>Proven?</t>
  </si>
  <si>
    <t>Implies References</t>
  </si>
  <si>
    <t>Implied By References</t>
  </si>
  <si>
    <t>Notes</t>
  </si>
  <si>
    <t>Exponential Time Hypothesis</t>
  </si>
  <si>
    <t>ETH</t>
  </si>
  <si>
    <t>There is some constant $\delta &gt; 0$ such that CNF-SAT requires $\Omega(2^{\delta n})$.</t>
  </si>
  <si>
    <t>$\Omega(2^{\delta n})$ for some $\delta &gt; 0$</t>
  </si>
  <si>
    <t>Word-RAM on $\log(n)$ bit words</t>
  </si>
  <si>
    <t>MBETH</t>
  </si>
  <si>
    <t>SETH, MBETH</t>
  </si>
  <si>
    <t>http://people.csail.mit.edu/virgi/eccentri.pdf Page 5</t>
  </si>
  <si>
    <t>Strong Exponential Time Hypothesis</t>
  </si>
  <si>
    <t>For every $\epsilon &gt; 0$, there exists an integer $k \geq 3$ such that $k$-SAT cannot be solved in $O(2^{(1-\epsilon) n})$ time.</t>
  </si>
  <si>
    <t>$\Omega(2^{(1-\epsilon) n})$ for any $\epsilon &gt; 0$</t>
  </si>
  <si>
    <t>MBETH, ETH</t>
  </si>
  <si>
    <t>OVH, UOVH</t>
  </si>
  <si>
    <t>Impagliazzo, Paturi, and Zane</t>
  </si>
  <si>
    <t>Orthogonal Vectors Hypothesis</t>
  </si>
  <si>
    <t>OVH</t>
  </si>
  <si>
    <t>For no $\epsilon &gt; 0$ there is an algorithm for OV, restricted to $n = m$, that runs in time $O(n^{(2−\epsilon)}poly(d))$.</t>
  </si>
  <si>
    <t>$\Omega(n^{(2−\epsilon)}\poly(d))$ for any $\epsilon &gt; 0$</t>
  </si>
  <si>
    <t>SETH, UOVH</t>
  </si>
  <si>
    <t>k-OV Hypothesis, UOVH</t>
  </si>
  <si>
    <t>Unbalanced Orthogonal Vectors Hypothesis</t>
  </si>
  <si>
    <t>Let $0 &lt; \alpha \leq 1$. For no $\epsilon &gt; 0$ there is an algorithm for OV, restricted to $m = \Theta(n^\alpha)$ and $d \leq n^{o(1)}$, that runs in time $O((nm)^{(1−\epsilon)})$.</t>
  </si>
  <si>
    <t>$\Omega((nm)^{(1-\epsilon)})$ for any $\epsilon &gt; 0$</t>
  </si>
  <si>
    <t>SETH, OVH</t>
  </si>
  <si>
    <t>No randomized algorithm can solve k-OV on instances of size $n$ in $n^{k-\epsilon}\poly(d)$ time for constant $\epsilon &gt; 0$.</t>
  </si>
  <si>
    <t>$\Omega(n^{k-\epsilon}\poly(d))$ for constant $\epsilon &gt; 0$.</t>
  </si>
  <si>
    <t>http://people.csail.mit.edu/virgi/eccentri.pdf Hypothesis 4</t>
  </si>
  <si>
    <t>No randomized algorithm can detect a $k$-Clique in an $n$-node graph in $O(n^{\omega k / 3 - \epsilon})$ time for any $\epsilon &gt; 0$.</t>
  </si>
  <si>
    <t>$k$-Clique for all $k &gt; 0$</t>
  </si>
  <si>
    <t>$\omega$: Matrix Multiplication Constant</t>
  </si>
  <si>
    <t>http://people.csail.mit.edu/virgi/eccentri.pdf Hypothesis 6</t>
  </si>
  <si>
    <t>3-SUM Hypothesis</t>
  </si>
  <si>
    <t>3-SUM on $n$ integers in $\{-n^4,\ldots,n^4\}$ cannot be solved in $O(n^{2-\epsilon})$ time for any $\epsilon &gt; 0$ by a randomized algorithm.</t>
  </si>
  <si>
    <t>3-SUM</t>
  </si>
  <si>
    <t>$\Omega(n^{2-\epsilon})$ for any $\epsilon &gt; 0$</t>
  </si>
  <si>
    <t>http://people.csail.mit.edu/virgi/eccentri.pdf Hypothesis 2</t>
  </si>
  <si>
    <t>All Pairs Shortest Paths Hypothesis</t>
  </si>
  <si>
    <t>APSP Hypothesis</t>
  </si>
  <si>
    <t>No randomized algorithm can solve APSP in $O(n^{3-\epsilon})$ time for $\epsilon &gt; 0$ on $n$ node graphs with edge weights in $\{-n^c,\ldots,n^c\}$ and no negative cycles for large enough $c$.</t>
  </si>
  <si>
    <t>$\Omega(n^{3-\epsilon})$ for $\epsilon &gt; 0$</t>
  </si>
  <si>
    <t>http://people.csail.mit.edu/virgi/eccentri.pdf Hypothesis 3</t>
  </si>
  <si>
    <t>Hitting Set Hypothesis</t>
  </si>
  <si>
    <t>HS Hypothesis</t>
  </si>
  <si>
    <t>No randomized algorithm can solve HS on $n$ vectors in $\{0,1\}^d$ in $n^{2-\epsilon}\poly(d)$ time for $\epsilon &gt; 0$.</t>
  </si>
  <si>
    <t>HS</t>
  </si>
  <si>
    <t>http://people.csail.mit.edu/virgi/eccentri.pdf Hypothesis 5</t>
  </si>
  <si>
    <t>The Min-Weight $k$-Clique problem on $n$ node graphs with edge weights in $\{-n^{100k},\ldots, n^{100k}}$ requires (randomized) $n^{k-o(1)}$ time.</t>
  </si>
  <si>
    <t>Min-Weight $k$-Clique</t>
  </si>
  <si>
    <t>Word-Ram on $\log(n)$ bit words</t>
  </si>
  <si>
    <t>Exact k-Clique Hypothesis, OVH</t>
  </si>
  <si>
    <t>http://people.csail.mit.edu/virgi/eccentri.pdf Hypothesis 7</t>
  </si>
  <si>
    <t>The Exact $k$-Clique problem on $n$ node graphs with edge weights in $\{-n^{100k},\ldots,n^{100k}\}$ requires (randomized) $n^{k-o(1)}$ time.</t>
  </si>
  <si>
    <t>Exact $k$-Clique</t>
  </si>
  <si>
    <t>http://people.csail.mit.edu/virgi/eccentri.pdf Hypothesis 8</t>
  </si>
  <si>
    <t>Boolean Matrix Multiplication Hypothesis</t>
  </si>
  <si>
    <t>Any combinatorial BMM algorithm requires $n^{3-o(1)}$ time.</t>
  </si>
  <si>
    <t>BMM</t>
  </si>
  <si>
    <t>http://people.csail.mit.edu/virgi/eccentri.pdf Page 17</t>
  </si>
  <si>
    <t>Not well-defined</t>
  </si>
  <si>
    <t>Online Matrix Vector Multiplication Hypothesis</t>
  </si>
  <si>
    <t>Every (randomized) algorithm that can process a given $n \times n$ Boolean matrix $A$, and then in an online way can compute the products $Av_i$ for any $n$ vectors $v_1,\ldots,v_n$, must take total time $n^{3-o(1)}$.</t>
  </si>
  <si>
    <t>OMV</t>
  </si>
  <si>
    <t>$\Omega(n^{3-o(1)})$</t>
  </si>
  <si>
    <t>http://people.csail.mit.edu/virgi/eccentri.pdf Hypothesis 9</t>
  </si>
  <si>
    <t>Nondeterministic Strong Exponential Time Hypothesis</t>
  </si>
  <si>
    <t>NSETH</t>
  </si>
  <si>
    <t>Refuting unsatisfiable $k$-CNF formulas on $n$ variables requires nondeterministic $2^{n-o(n)}$ time for unbounded $k$.</t>
  </si>
  <si>
    <t>No (Variants have been disproved)</t>
  </si>
  <si>
    <t>http://people.csail.mit.edu/virgi/eccentri.pdf Hypothesis 10</t>
  </si>
  <si>
    <t>More Believable Exponential Time Hypothesis</t>
  </si>
  <si>
    <t>There exists a $k \geq 3$ and a $\delta &gt; 0$ so that $k$-SAT on $n$ variables cannot be solved in $O(2^{\delta n})$</t>
  </si>
  <si>
    <t>$O(2^{\delta n})$</t>
  </si>
  <si>
    <t>ETH, SETH</t>
  </si>
  <si>
    <t>https://people.csail.mit.edu/virgi/6.s078/lect2.pdf</t>
  </si>
  <si>
    <t>Strong Triangle Conjecture</t>
  </si>
  <si>
    <t>Any Algorithm requires $\min(n^{w-o(1)}, m^{2w/(w+1)-o(1)})$ time in expectation to detect whether an $n$ node $m$ edge graph contains a triangle. Moreover, any combinatorial algorithm requires $m^{3/2-o(1)}$</t>
  </si>
  <si>
    <t>$O(\min(n^{w-o(1)},m^{2w/(w+1)-o(1)}))$, $m^{3/2-o(1)}$</t>
  </si>
  <si>
    <t>A. Abboud and V. V. Williams, "Popular Conjectures Imply Strong Lower Bounds for Dynamic Problems," 2014 IEEE 55th Annual Symposium on Foundations of Computer Science, 2014, pp. 434-443, doi: 10.1109/FOCS.2014.53.</t>
  </si>
  <si>
    <t>$\delta$-Triangle Conjecture</t>
  </si>
  <si>
    <t>Any Algorithm requires $m^{1+\delta-o(1)}$ time in expectation to detect whether an $m$ edge graph contains a triangle</t>
  </si>
  <si>
    <t>$O(m^{1+\delta-o(1)})$</t>
  </si>
  <si>
    <t>Parametrized Inapproximability Hypothesis</t>
  </si>
  <si>
    <t>PIH</t>
  </si>
  <si>
    <t>There is some constant $\delta &gt; 0$ such that 2-CSP on $k$ vertices and alphabet size $n$ is W[1]-hard to approximate to a $(1-\delta)$ factor</t>
  </si>
  <si>
    <t>Approximate 2-CSP</t>
  </si>
  <si>
    <t>W[1]-hard</t>
  </si>
  <si>
    <t>https://epubs.siam.org/doi/abs/10.1137/1.9781611975994.134</t>
  </si>
  <si>
    <t>Weak Parametrized Inapproximability Hypothesis</t>
  </si>
  <si>
    <t>WPIH</t>
  </si>
  <si>
    <t>There is some constant $\delta &gt; 0$ such that given an instance $\varphi$ of 2-CSP on the Boolean hypercube graph $Q$ over alphabet of size $n$, it is W[1]-hard to distinguish</t>
  </si>
  <si>
    <t>? CCC '22</t>
  </si>
  <si>
    <t>Constraints</t>
  </si>
  <si>
    <t>Implications</t>
  </si>
  <si>
    <t>Notation for Reduction from A to B</t>
  </si>
  <si>
    <t>NP-Hardness</t>
  </si>
  <si>
    <t xml:space="preserve">  - reduction: single-call
  - reduction: deterministic
  - running time: polynomial  # implicitly running time is function from size to integers?</t>
  </si>
  <si>
    <t>if: to time: polynomial # $size^{O(1)}$
then: from time: polynomial # $size^{O(1)}$</t>
  </si>
  <si>
    <t>L-Reduction</t>
  </si>
  <si>
    <t xml:space="preserve">  - reduction: single-call
  - reduction: deterministic
  - running time: polynomial
  - reduction: $(1+\epsilon)$-approximation-preserving</t>
  </si>
  <si>
    <t>Sub-q Reduction</t>
  </si>
  <si>
    <t xml:space="preserve">  - common size measure $m$ on inputs for both $A$ and $B$
  - for every $\epsilon &gt; 0$, there are constants $\delta &gt; 0$ and $d$ and an algorithm $\mathpzc{A}$ with orcale access to $B$, satisfying three properties:
      - For every instance $x$ of $A$, $\mathpzc{A}(x)$ solves the problem $A$ on $x$
      - $\mathpzc{A}$ runs in $O(m^{q-\delta})$ time on instances of size $m$
      - For every instance $x$ of $A$ of size $m$, let $m_i$ be the size of the $i$th oracle call to $B$ in $\mathpzc{A}(x)$. Then, $\sum_i m_i^{q-\epsilon} \leq d \cdot m^{q-\delta}$</t>
  </si>
  <si>
    <t xml:space="preserve">  - if: to-time: truly sub-q
    then: from-time: truly sub-q</t>
  </si>
  <si>
    <t>$A \leq_q B$</t>
  </si>
  <si>
    <r>
      <rPr>
        <color rgb="FF1155CC"/>
        <u/>
      </rPr>
      <t>https://dl.acm.org/doi/pdf/10.1145/3186893</t>
    </r>
    <r>
      <rPr/>
      <t>, Definition 3.1</t>
    </r>
  </si>
  <si>
    <t>Subquadratic, subcubic, subquartic, etc.</t>
  </si>
  <si>
    <t>Strongly Sub-q</t>
  </si>
  <si>
    <t xml:space="preserve">  - common size measure $m$ on inputs for both $A$ and $B$
  - there exists a constant $d$ and an algorithm $\mathpzc{A}$ with orcale access to $B$, satisfying three properties:
      - For every instance $x$ of $A$, $\mathpzc{A}(x)$ solves the problem $A$ on $x$
      - $\mathpzc{A}$ runs in $O(m^{q-\gamma)$ time on instances of size $m$ for some $\gamma &gt; 0$ independent of $m$
      - For every instance $x$ of $A$ of size $m$, let $m_i$ be the size of the $i$th oracle call to $B$ in $\mathpzc{A}(x)$. Then, for every $\epsilon &gt; 0$, there exists a $\delta &gt; 0$ such that $\sum_i m_i^{q-\epsilon} \leq d \cdot m^{q-\delta}$</t>
  </si>
  <si>
    <t xml:space="preserve">  - if the size measure is $m = n(\log M)^{r/3}$
    then: for all $c &gt; 0$,
       - if: to-time: $O(n^3 (\log M)^r / (\log n + \log \log M)^c)$
         then: from-time: $O(n^3 (\log M)^{3r} / (\log n + \log \log M)^c)$
  - if the size measure is $n$
    then: for all $c &gt; 0$
       - if: to-time: $O(n^3 / \log^c n)$
         then: from-time: $O(n^3 / \log^c n)$
  - if the size measure is $n$
    then: for all $\alpha &gt; 0$
       - if: to-time: $n^3 / 2^{\Omega(\log^\alpha n)}$
         then: from-time: $n^3 / 2^{\Omega(\log^\alpha n)}$</t>
  </si>
  <si>
    <r>
      <rPr>
        <color rgb="FF1155CC"/>
        <u/>
      </rPr>
      <t>https://dl.acm.org/doi/pdf/10.1145/3186893</t>
    </r>
    <r>
      <rPr/>
      <t>, Definition 3.2</t>
    </r>
  </si>
  <si>
    <t>Sub-q Equivalence</t>
  </si>
  <si>
    <t xml:space="preserve">  - $A \leq_q B$ and $B \leq_q A$</t>
  </si>
  <si>
    <t>Truly sub-q algorithm for one iff truly sub-q for both</t>
  </si>
  <si>
    <t>$A \equiv_q B$</t>
  </si>
  <si>
    <r>
      <rPr>
        <color rgb="FF1155CC"/>
        <u/>
      </rPr>
      <t>https://dl.acm.org/doi/pdf/10.1145/3186893</t>
    </r>
    <r>
      <rPr/>
      <t>, Definition 3.1</t>
    </r>
  </si>
  <si>
    <t>From (Problem)</t>
  </si>
  <si>
    <t>From (Variation)</t>
  </si>
  <si>
    <t>To (Problem)</t>
  </si>
  <si>
    <t>To (Variation)</t>
  </si>
  <si>
    <t>Reduction ID</t>
  </si>
  <si>
    <t>Type</t>
  </si>
  <si>
    <t>Calls</t>
  </si>
  <si>
    <t>Time Complexity</t>
  </si>
  <si>
    <t>Space Complexity</t>
  </si>
  <si>
    <t>Model</t>
  </si>
  <si>
    <t>Assumption/Hypothesis</t>
  </si>
  <si>
    <t>Implied lower bound power</t>
  </si>
  <si>
    <t>References</t>
  </si>
  <si>
    <t>Preserves</t>
  </si>
  <si>
    <t>If: to-time: $N^{(k-\epsilon)} poly(m)$ where $m$-dimensional vectors, $k$-OV, $N$ vectors per set
Then: from-time: $2^{(n-\epsilon')} \poly(m)$ where $\epsilon' = \epsilon/k &gt; 0$, $n$ variables, $m$ clauses</t>
  </si>
  <si>
    <r>
      <rPr>
        <rFont val="Arial"/>
        <color theme="1"/>
        <sz val="10.0"/>
      </rPr>
      <t xml:space="preserve">Ryan Williams. A new algorithm for optimal 2-constraint satisfaction and its implications. </t>
    </r>
    <r>
      <rPr>
        <rFont val="Arial"/>
        <i/>
        <color theme="1"/>
        <sz val="10.0"/>
      </rPr>
      <t>Theor. Comput. Sci.</t>
    </r>
    <r>
      <rPr>
        <rFont val="Arial"/>
        <color theme="1"/>
        <sz val="10.0"/>
      </rPr>
      <t>, 348(2-3):357–365, 2005.</t>
    </r>
  </si>
  <si>
    <t>If: to-time: $O(N^{(2-\epsilon)})$ where $N = nd$ and $V,E = O(n)$
Then: from-time: $O((nd)^{(2-\epsilon)}) \leq n^{(2-\epsilon)} poly(d)$ where 2 sets of $n$ $d$-dimensional vectors</t>
  </si>
  <si>
    <r>
      <rPr>
        <rFont val="Arial"/>
        <color theme="1"/>
        <sz val="10.0"/>
      </rPr>
      <t xml:space="preserve">L. Roditty and V. Vassilevska Williams. Fast approximation algorithms for the diameter and radius of sparse graphs. In </t>
    </r>
    <r>
      <rPr>
        <rFont val="Arial"/>
        <i/>
        <color theme="1"/>
        <sz val="10.0"/>
      </rPr>
      <t>STOC</t>
    </r>
    <r>
      <rPr>
        <rFont val="Arial"/>
        <color theme="1"/>
        <sz val="10.0"/>
      </rPr>
      <t>, pages 515–524, 2013.</t>
    </r>
  </si>
  <si>
    <t>I think this is the same as the generalization</t>
  </si>
  <si>
    <t>If: to-time: $O(N^{(3/2-\epsilon)}$ where $N=n^2 d^2$ and $\epsilon &gt; 0$
Then: from-time: $n^{3-2\epsilon} poly(d)$</t>
  </si>
  <si>
    <r>
      <rPr>
        <rFont val="Arial"/>
        <color theme="1"/>
        <sz val="10.0"/>
      </rPr>
      <t xml:space="preserve">Arturs Backurs, Liam Roditty, Gilad Segal, Virginia Vassilevska Williams, and Nicole Wein. </t>
    </r>
    <r>
      <rPr>
        <rFont val="Arial"/>
        <i/>
        <color theme="1"/>
        <sz val="10.0"/>
      </rPr>
      <t>Towards tight approximation bounds for graph diameter and eccentricities.</t>
    </r>
  </si>
  <si>
    <t>https://dl.acm.org/doi/pdf/10.1145/3188745.3188950</t>
  </si>
  <si>
    <t>Theorem 3.3</t>
  </si>
  <si>
    <t>String Similarity</t>
  </si>
  <si>
    <t>Edit Distance</t>
  </si>
  <si>
    <t>If: to-time: $O(n^{(2-\epsilon)})$ where $n$ is length of sequence
Then: from-time: $O(d^{O(1)}*(N)^{(2-\epsilon)})$ where $2$ sets of $n$ $d$-dimensional vectors</t>
  </si>
  <si>
    <t xml:space="preserve">Backurs, Arturs, and Piotr Indyk. "Edit distance cannot be computed in strongly subquadratic time (unless SETH is false)." Proceedings of the forty-seventh annual ACM symposium on Theory of computing. 2015.
</t>
  </si>
  <si>
    <t>https://arxiv.org/pdf/1412.0348.pdf</t>
  </si>
  <si>
    <t>These 4 are from 6.S078 Lec 5</t>
  </si>
  <si>
    <t>If: to-time: $O(2^{(2-\epsilon)}$ for any $\epsilon &gt; 0$
Then: from-time: $O(2^{(1-\delta/2)N}$ where $N$ is s.t there are $n=\tilde{O}(2^{N/2})$ vertices on each curve</t>
  </si>
  <si>
    <r>
      <rPr>
        <rFont val="Arial"/>
        <color theme="1"/>
        <sz val="10.0"/>
      </rPr>
      <t xml:space="preserve">Karl Bringmann, </t>
    </r>
    <r>
      <rPr>
        <rFont val="Arial"/>
        <i/>
        <color theme="1"/>
        <sz val="10.0"/>
      </rPr>
      <t>Why walking the dog takes time: Fréchet distance has no strongly subquadratic algorithms unless SETH fails</t>
    </r>
  </si>
  <si>
    <t>If: to-time: $O((nm)^{(1-\epsilon)})$, where $|x| = O(nd)$ and $|y| = O(md)$
Then: from-time: $O((nm)^{(1-\epsilon/2)})$</t>
  </si>
  <si>
    <t>If: to-time: $n^{2-\epsilon}*poly(d)$ for some $\epsilon &gt; 0$
Then: from-time: $n^{2-\epsilon'}*poly(d)$ for some $\epsilon' &gt; 0$</t>
  </si>
  <si>
    <t>6.S078 Lecture 6</t>
  </si>
  <si>
    <t>real RAM</t>
  </si>
  <si>
    <t>if: to-time $N^{2-\epsilon}$ for some $\epsilon &gt; 0$
then: from-time: $N^{2-\epsilon'}$ for some $\epsilon' &gt; 0$</t>
  </si>
  <si>
    <t>Anka Gajentaan, Mark H Overmars,
On a class of O(n2) problems in computational geometry,
Computational Geometry,
Volume 5, Issue 3,
1995,
Pages 165-185</t>
  </si>
  <si>
    <t>Michael Soss, Jeff Erickson, Mark Overmars, Preprocessing chains for fast dihedral rotations is hard or even impossible, Computational Geometry, Volume 26, Issue 3, 2003, Pages 235-246</t>
  </si>
  <si>
    <t>word RAM</t>
  </si>
  <si>
    <t>if: to-time $N^{2-\delta-\epsilon} for two strings of size $n$ and alphabet of size $n^{1-\delta}$ for some $\espilon &gt; 0$,$\delta \in (0,1)$
then: from-time: $n^{2-\epsilon'}$ for some $\epsilon' &gt; 0$</t>
  </si>
  <si>
    <t>Abboud, Amir, Virginia Vassilevska Williams, and Oren Weimann. "Consequences of faster alignment of sequences." In International Colloquium on Automata, Languages, and Programming, pp. 39-51. Springer, Berlin, Heidelberg, 2014.</t>
  </si>
  <si>
    <t>if: to-time: $N^{2-\epsilon}$ for some $\epsilon &gt; 0$ on two binary strings of length $N$
then: from-time: $2^{(n-\epsilon')}$ for some $\epsilon' &gt; 0$</t>
  </si>
  <si>
    <t>if: to-time: $N^{2-\epsilon}$ for some $\epsilon &gt; 0$
then: from-time: $2^{(n-\epsilon')}$ for some $\epsilon' &gt; 0$</t>
  </si>
  <si>
    <t>if: to-time: $N^{k-\epsilon}$ for some $\epsilon &gt; 0$ on $k$ binary strings of length $n$ with $k$-wise scoring
then: from-time: $2^{(n-\epsilon')}$ for some $\epsilon' &gt; 0$</t>
  </si>
  <si>
    <t>Directed, Weighted APSP</t>
  </si>
  <si>
    <t>Subcubic equivalence</t>
  </si>
  <si>
    <t>$O(n^2)$ calls to instances of size $O(n^{1/3})$</t>
  </si>
  <si>
    <t>if: to-time: $n^{3-\epsilon}$ for some $\epsilon &gt;0$
then: from-time: $n^{3-\epsilon'}$ for some $\epsilon' &gt; 0$</t>
  </si>
  <si>
    <r>
      <rPr>
        <rFont val="Arial"/>
        <color theme="1"/>
      </rPr>
      <t xml:space="preserve">V. V. Williams, R. R. Williams, </t>
    </r>
    <r>
      <rPr>
        <rFont val="Arial"/>
        <i/>
        <color theme="1"/>
      </rPr>
      <t>Subcubic Equivalences Between Path, Matrix, and Triangle Problems</t>
    </r>
    <r>
      <rPr>
        <rFont val="Arial"/>
        <color theme="1"/>
      </rPr>
      <t>. 2018.</t>
    </r>
  </si>
  <si>
    <t>Combinatorial</t>
  </si>
  <si>
    <t>if: to-time: $O(n^{3-\epsilon})$ for some $\epsilon &gt; 0$ where $n \times n$ matrix
then: from-time: $O(gn^{3-\epsilon})$ where $g$ is the size of the CFG</t>
  </si>
  <si>
    <r>
      <rPr>
        <rFont val="Arial"/>
        <color theme="1"/>
      </rPr>
      <t xml:space="preserve">L. G. Valiant. 1975. General context-free recognition in less than cubic time. </t>
    </r>
    <r>
      <rPr>
        <rFont val="Arial"/>
        <i/>
        <color theme="1"/>
      </rPr>
      <t>J. Comput. Syst. Sci.</t>
    </r>
    <r>
      <rPr>
        <rFont val="Arial"/>
        <color theme="1"/>
      </rPr>
      <t xml:space="preserve"> 10 (1975), 308–315.</t>
    </r>
  </si>
  <si>
    <t>https://www.sciencedirect.com/science/article/pii/S0022000075800468</t>
  </si>
  <si>
    <t>if: to-time: $O(gn^{3-\epsilon})$ for some $\epsilon &gt; 0$ where $g$ is the size of the CFG and $n$ is the size of the string
then: from-time: $O(n^{3-\epsilon/3})$ where $n \times n$ matrix</t>
  </si>
  <si>
    <r>
      <rPr>
        <rFont val="Arial"/>
        <color theme="1"/>
      </rPr>
      <t xml:space="preserve">L. Lee. 2002. Fast context-free grammar parsing requires fast boolean matrix multiplication. </t>
    </r>
    <r>
      <rPr>
        <rFont val="Arial"/>
        <i/>
        <color theme="1"/>
      </rPr>
      <t>J. ACM</t>
    </r>
    <r>
      <rPr>
        <rFont val="Arial"/>
        <color theme="1"/>
      </rPr>
      <t xml:space="preserve"> 49, 1 (2002), 1–15.</t>
    </r>
  </si>
  <si>
    <t>https://arxiv.org/abs/cs/0112018</t>
  </si>
  <si>
    <t>Strongly subcubic</t>
  </si>
  <si>
    <t>if: to-time: $T(n)$
then: from-time: $O(T(2n))$</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</si>
  <si>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</si>
  <si>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Theorem 4.1</t>
    </r>
  </si>
  <si>
    <t>Generic runtimes for two $n \times n$ matrices</t>
  </si>
  <si>
    <t>if: to-time: $T(n)$ where $T(n)/n$ is decreasing
then: from-time: $O(n^2 \cdot T(n^{1/3})\log W)$ for two $n\times n$ matrices where $W$ is the maxint of $R$</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</si>
  <si>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</si>
  <si>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color rgb="FF1155CC"/>
        <u/>
      </rPr>
      <t>, Theorem 4.2</t>
    </r>
  </si>
  <si>
    <t>if: to-time: $T(n)$ where $T(n)/n$ is decreasing
then: from-time: $O(T(n))$</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</si>
  <si>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</si>
  <si>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Lemma 4.1</t>
    </r>
  </si>
  <si>
    <t>if: to-time: $O(n^{3-\epsilon}\log^c M)$ for some $\epsilon &gt; 0$ and where $M$ is the maxint of $R$
then: from-time: $O(n^{3-\epsilon'}\log^c M)$ for some $\epsilon' &gt; 0$ for listing $\Delta = O(n^{3-\delta})$ negative triangles with fixed $\delta &gt; 0$</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</si>
  <si>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</si>
  <si>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Theorem 4.3</t>
    </r>
  </si>
  <si>
    <t>$n \times n$ matrices and triangle problem over $R$
Corollary to generic runtimes</t>
  </si>
  <si>
    <t>if: to-time: $O(n^3/\log^c n)$ for some constant $c$
then: from-time: $O((\log W) n^3 / \log^c n)$ where $W$ is maxint of $R$</t>
  </si>
  <si>
    <r>
      <rPr>
        <rFont val="Arial"/>
        <color theme="1"/>
      </rPr>
      <t xml:space="preserve">V. V. Williams, R. R. Williams, </t>
    </r>
    <r>
      <rPr>
        <rFont val="Arial"/>
        <i/>
        <color theme="1"/>
      </rPr>
      <t>Subcubic Equivalences Between Path, Matrix, and Triangle Problems</t>
    </r>
    <r>
      <rPr>
        <rFont val="Arial"/>
        <color theme="1"/>
      </rPr>
      <t>. 2018.</t>
    </r>
  </si>
  <si>
    <r>
      <rPr>
        <rFont val="Roboto, RobotoDraft, Helvetica, Arial, sans-serif"/>
        <color rgb="FF1155CC"/>
        <u/>
      </rPr>
      <t>https://dl.acm.org/doi/pdf/10.1145/3186893</t>
    </r>
    <r>
      <rPr>
        <rFont val="Roboto, RobotoDraft, Helvetica, Arial, sans-serif"/>
        <color rgb="FF000000"/>
      </rPr>
      <t>, Corollary 4.1</t>
    </r>
  </si>
  <si>
    <t>Multiplying rectangular matrices</t>
  </si>
  <si>
    <t>if: to-time: $T(n)$
then: from-time: $O(mp\cdot T(n^{1/3}) \log W)$ s.t. $mp \leq n^3$ and $\sqrt{p} \leq m \leq p^2$ and multiplying two matrices of dimensions $m \times n$ and $n \times p$ over $R$ and $W$ is the maxint of $R$</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</si>
  <si>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</si>
  <si>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Theorem 4.4</t>
    </r>
  </si>
  <si>
    <t>if: to-time: $O(n^{3-\epsilon})$ for some $\epsilon &gt; 0$
then: from-time: $O(n^{3-\epsilon})$</t>
  </si>
  <si>
    <r>
      <rPr>
        <rFont val="Arial"/>
        <color theme="1"/>
      </rPr>
      <t xml:space="preserve">Hisao Tamaki and Takeshi Tokuyama. 1998. Algorithms for the maximum subarray problem based on matrix multiplication. In </t>
    </r>
    <r>
      <rPr>
        <rFont val="Arial"/>
        <i/>
        <color theme="1"/>
      </rPr>
      <t>Proceedings of the 9th Annual ACM-SIAM Symposium on Discrete Algorithms (SODA’98).</t>
    </r>
    <r>
      <rPr>
        <rFont val="Arial"/>
        <color theme="1"/>
      </rPr>
      <t xml:space="preserve"> 446–452.</t>
    </r>
  </si>
  <si>
    <t>https://dl.acm.org/doi/abs/10.5555/314613.314823</t>
  </si>
  <si>
    <t>Generic runtime but with $T(n)$ s.t. $T(n)/n^2$ is decreasing</t>
  </si>
  <si>
    <t>Strongly polynomial, probabilistic</t>
  </si>
  <si>
    <t>if: to-time: $T(n)$ where $T(n)/n^2$ is decreasing
then: from-time: $O(n^2 \cdot T(n^{1/3})\log n)$ for two $n\times n$ matrices with high probability</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</si>
  <si>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</si>
  <si>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Theorem 4.5</t>
    </r>
  </si>
  <si>
    <t>if: to-time: $T(n)$ where $n$ is the number of nodes in the graph
then: from-time: $O(T(n))$</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</si>
  <si>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</si>
  <si>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Lemma 4.4</t>
    </r>
  </si>
  <si>
    <t>All Pairs Minimum Witness (APMW)</t>
  </si>
  <si>
    <t>if: to-time: $T(n)$
then: from-time: $O(T(n^{1/3})n^2)$</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</si>
  <si>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</si>
  <si>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Lemma 4.5</t>
    </r>
  </si>
  <si>
    <t>Undirected, Weighted APSP</t>
  </si>
  <si>
    <t>if: to-time: $T(n, M)$ where graph has weights in $[0, M]$
then: from-time: $T(n, \Theta(M))$ where digraph has weights in $[-M, M]$</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</si>
  <si>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</si>
  <si>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Theorem 5.1</t>
    </r>
  </si>
  <si>
    <t>if: to-time: $T(n, \Theta(M))$ where digraph has weights in $[-M, M]$
then: from-time: $T(n, M)$ where graph has weights in $[0, M]$</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</si>
  <si>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</si>
  <si>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Theorem 5.1</t>
    </r>
  </si>
  <si>
    <t>if: to-time: $O(n^2) + T(O(n), O(M))$ where $T(n,M)$ is nondecreasing
then: from-time: $O(n^2) + T(O(n), O(M))$ where the metricity problem is on $[n]$ s.t. all distances are in $[-M, M]$</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</si>
  <si>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</si>
  <si>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Theorem 5.2</t>
    </r>
  </si>
  <si>
    <t>if: to-time: $O(n^2) + T(O(n), O(M))$ where the metricity problem is on $[n]$ s.t. all distances are in $[-M, M]$, and $T(n,M)$ is nondecreasing
then: from-time: $O(n^2) + T(O(n), O(M))$</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</si>
  <si>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</si>
  <si>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Theorem 5.2</t>
    </r>
  </si>
  <si>
    <t>if: to-time: $T(n,M)$ where there are $n$ nodes and weights in $[1, M]$
then: from-time: $T(n, O(M))$ where there are $n$ nodes and weights in $[-M, M]$</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</si>
  <si>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</si>
  <si>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Theorem 5.3</t>
    </r>
  </si>
  <si>
    <t>The Theorem states this as a subcubic equivalence, but only proves one direction, stating the other direction "is already known"</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</si>
  <si>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</si>
  <si>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Theorem 5.4</t>
    </r>
  </si>
  <si>
    <r>
      <rPr>
        <rFont val="Arial"/>
        <color theme="1"/>
      </rPr>
      <t xml:space="preserve">Hisao Tamaki and Takeshi Tokuyama. 1998. Algorithms for the maximum subarray problem based on matrix multiplication. </t>
    </r>
    <r>
      <rPr>
        <rFont val="Arial"/>
        <i/>
        <color theme="1"/>
      </rPr>
      <t>In Proceedings of the 9th Annual ACM-SIAM Symposium on Discrete Algorithms (SODA’98).</t>
    </r>
    <r>
      <rPr>
        <rFont val="Arial"/>
        <color theme="1"/>
      </rPr>
      <t xml:space="preserve"> 446–452.</t>
    </r>
  </si>
  <si>
    <t xml:space="preserve">Not really sure where in Tamaki's paper this is mentioned </t>
  </si>
  <si>
    <t>Minimum Weight Triangle</t>
  </si>
  <si>
    <t>Shortest Path
(Directed graphs)</t>
  </si>
  <si>
    <t>if: to-time: $T(n,W)$ where there are $n$ nodes and integer weights in $[0, W]$
then: from-time: $T(O(n), O(nW))$ for $n$ node graph with integer weights in $[-W, W]$</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</si>
  <si>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</si>
  <si>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Theorem 5.5</t>
    </r>
  </si>
  <si>
    <t>if: to-time: $T(n,W)$ where there are $n$ nodes and integer weights in $[0, W]$
then: from-time: $O(n^2 T(O(n^{1/3}), O(nW)) \log W)$ for two $n\times n$ matrices with weights in $[-W, W]$</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</si>
  <si>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</si>
  <si>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Theorem 5.5</t>
    </r>
  </si>
  <si>
    <t>if: to-time: $T(n,W)$ where there are $n$ nodes and integer weights in $[0, W]$
then: from-time: $O(n^2 T(O(n^{1/3}), O(n^2W)) \log Wn)$ for graphs with weights in $[-W, W]$</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</si>
  <si>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</si>
  <si>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Theorem 5.5</t>
    </r>
  </si>
  <si>
    <t>Replacement Paths Problem (RPP)</t>
  </si>
  <si>
    <t>if: to-time: $T(n) polylog M$ in graphs with integer weights in $[0, M]$
then: from-time: $O(n^2 T(O(n^{1/3})) polylog M)$ in graphs with integer weights in $[-M, M]$</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</si>
  <si>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</si>
  <si>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Corollary 5.1</t>
    </r>
  </si>
  <si>
    <t>if: to-time: $O(n^2 / \log^c n)$ to answer all subsequent batches of $\log n$ independent set queries from a graph that takes $O(n^k)$ time to preprocess for some $c,k &gt; 0$
then: from-time: $O(n^3 / \log^{c+1} n)$</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</si>
  <si>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</si>
  <si>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Theorem 6.5</t>
    </r>
  </si>
  <si>
    <t>This paper's Theorem 1.5 needs to be in this sheet somewhere</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</si>
  <si>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</si>
  <si>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Theorem 6.5</t>
    </r>
  </si>
  <si>
    <t>if: to-time: $O(n^2 / f(n))$ to answer any subsequent price query after $n$-node edge-weighted graph is preprocessed in $O(^k)$ time for some constant $k &gt; 0$
then: from-time: $O(n^3 / f(n^{1/(2k)})$</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</si>
  <si>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</si>
  <si>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Theorem 1.5</t>
    </r>
  </si>
  <si>
    <t>if: to-time: $T(n)$ for unweighted graph
then: from-time: $O(n^{3/2} \sqrt{T(O(n))})$</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</si>
  <si>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</si>
  <si>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Theorem 7.1</t>
    </r>
  </si>
  <si>
    <t>if: to-time: $T(n)$ for unweighted graph
then: from-time: $O(n^{3/2} \sqrt{T(O(n))} \log n)$</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</si>
  <si>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</si>
  <si>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t>, Theorem 7.1</t>
    </r>
  </si>
  <si>
    <t>Subquadratic equivalence</t>
  </si>
  <si>
    <t>if: to-time: $O(n^{2-\epsilon})$ for some $\epsilon &gt; 0$
then: from-time: $O(n^{1.5} + n^{2-\epsilon / 2})$</t>
  </si>
  <si>
    <r>
      <rPr>
        <rFont val="Arial"/>
        <color theme="1"/>
      </rPr>
      <t xml:space="preserve">V. V. Williams, R. R. Williams, </t>
    </r>
    <r>
      <rPr>
        <rFont val="Arial"/>
        <i/>
        <color theme="1"/>
      </rPr>
      <t>Subcubic Equivalences Between Path, Matrix, and Triangle Problems</t>
    </r>
    <r>
      <rPr>
        <rFont val="Arial"/>
        <color theme="1"/>
      </rPr>
      <t>. 2018.</t>
    </r>
  </si>
  <si>
    <r>
      <rPr>
        <color rgb="FF1155CC"/>
        <u/>
      </rPr>
      <t>https://dl.acm.org/doi/pdf/10.1145/3186893</t>
    </r>
    <r>
      <rPr>
        <color rgb="FF000000"/>
      </rPr>
      <t>, Theorem 8.1</t>
    </r>
  </si>
  <si>
    <t>if: to-time: $T(n)$
then: from-time: $O(T(n))$</t>
  </si>
  <si>
    <t>Directed Radius</t>
  </si>
  <si>
    <t>Amir Abboud, Fabrizio Grandoni, and Virginia Vassilevska Williams. Subcubic equivalences between graph centrality problems, APSP and diameter. In Proceedings of the Twenty-Sixth Annual ACM-SIAM Symposium on Discrete Algorithms, SODA 2015, San Diego, CA, USA, January 4-6, 2015, pages 1681–1697, 2015.</t>
  </si>
  <si>
    <r>
      <rPr>
        <color rgb="FF1155CC"/>
        <u/>
      </rPr>
      <t>https://epubs.siam.org/doi/10.1137/1.9781611973730.112</t>
    </r>
    <r>
      <rPr/>
      <t xml:space="preserve">, </t>
    </r>
  </si>
  <si>
    <t>Undirected Radius</t>
  </si>
  <si>
    <r>
      <rPr>
        <color rgb="FF1155CC"/>
        <u/>
      </rPr>
      <t>https://epubs.siam.org/doi/10.1137/1.9781611973730.112</t>
    </r>
    <r>
      <rPr/>
      <t xml:space="preserve">, </t>
    </r>
  </si>
  <si>
    <t>Directed Median</t>
  </si>
  <si>
    <r>
      <rPr>
        <color rgb="FF1155CC"/>
        <u/>
      </rPr>
      <t>https://epubs.siam.org/doi/10.1137/1.9781611973730.112</t>
    </r>
    <r>
      <rPr/>
      <t xml:space="preserve">, </t>
    </r>
  </si>
  <si>
    <t>Undirected Median</t>
  </si>
  <si>
    <r>
      <rPr>
        <color rgb="FF1155CC"/>
        <u/>
      </rPr>
      <t>https://epubs.siam.org/doi/10.1137/1.9781611973730.112</t>
    </r>
    <r>
      <rPr/>
      <t xml:space="preserve">, </t>
    </r>
  </si>
  <si>
    <r>
      <rPr>
        <color rgb="FF1155CC"/>
        <u/>
      </rPr>
      <t>https://epubs.siam.org/doi/10.1137/1.9781611973730.112</t>
    </r>
    <r>
      <rPr/>
      <t xml:space="preserve">, </t>
    </r>
  </si>
  <si>
    <r>
      <rPr>
        <color rgb="FF1155CC"/>
        <u/>
      </rPr>
      <t>https://epubs.siam.org/doi/10.1137/1.9781611973730.112</t>
    </r>
    <r>
      <rPr/>
      <t xml:space="preserve">, </t>
    </r>
  </si>
  <si>
    <r>
      <rPr>
        <color rgb="FF1155CC"/>
        <u/>
      </rPr>
      <t>https://epubs.siam.org/doi/10.1137/1.9781611973730.112</t>
    </r>
    <r>
      <rPr/>
      <t xml:space="preserve">, </t>
    </r>
  </si>
  <si>
    <t>if: to-time: $O(m^{2-\epsilon})$ for some $\epsilon &gt; 0$ for a $(3/2 - \epsilon)$-approximation
then: from-time: $O*((2-\delta)^n)$ for constant $\delta &gt; 0$</t>
  </si>
  <si>
    <r>
      <rPr>
        <rFont val="Arial"/>
        <color theme="1"/>
        <sz val="10.0"/>
      </rPr>
      <t xml:space="preserve">L. Roditty and V. Vassilevska Williams. Fast approximation algorithms for the diameter and radius of sparse graphs. In </t>
    </r>
    <r>
      <rPr>
        <rFont val="Arial"/>
        <i/>
        <color theme="1"/>
        <sz val="10.0"/>
      </rPr>
      <t>STOC</t>
    </r>
    <r>
      <rPr>
        <rFont val="Arial"/>
        <color theme="1"/>
        <sz val="10.0"/>
      </rPr>
      <t>, pages 515–524, 2013.</t>
    </r>
  </si>
  <si>
    <t>if: to-time: $\tilde{O}(T(n,m))$ for $n$-node $m$-edge graph
then: from-time: $\tilde{O}T(n,m))$</t>
  </si>
  <si>
    <r>
      <rPr>
        <color rgb="FF1155CC"/>
        <u/>
      </rPr>
      <t>https://epubs.siam.org/doi/10.1137/1.9781611973730.112</t>
    </r>
    <r>
      <rPr/>
      <t>, Lemma 2.2</t>
    </r>
  </si>
  <si>
    <t>if: to-time: $\tilde{O}(T(n,m,M))$ for $n$-node $m$-edge graph with integer weights in $[-M,M]$
then: from-time: $\tilde{O}(T(n,m,M))$</t>
  </si>
  <si>
    <r>
      <rPr>
        <color rgb="FF1155CC"/>
        <u/>
      </rPr>
      <t>https://epubs.siam.org/doi/10.1137/1.9781611973730.112</t>
    </r>
    <r>
      <rPr/>
      <t>, Lemma 2.3</t>
    </r>
  </si>
  <si>
    <t>if: to-time: $\tilde{O}(T(n,M))$ for $n$-node $m$-edge graph with integer weights in $[-M, M]$
then: from-time: $\tilde{O}T(n,M))$</t>
  </si>
  <si>
    <r>
      <rPr>
        <color rgb="FF1155CC"/>
        <u/>
      </rPr>
      <t>https://epubs.siam.org/doi/10.1137/1.9781611973730.112</t>
    </r>
    <r>
      <rPr/>
      <t>, Lemma 2.4</t>
    </r>
  </si>
  <si>
    <r>
      <rPr>
        <color rgb="FF1155CC"/>
        <u/>
      </rPr>
      <t>https://epubs.siam.org/doi/10.1137/1.9781611973730.112</t>
    </r>
    <r>
      <rPr/>
      <t>, Lemma 2.5</t>
    </r>
  </si>
  <si>
    <t>if: to-time: Truly subcubic
then: from-time: Truly subcubic</t>
  </si>
  <si>
    <r>
      <rPr>
        <color rgb="FF1155CC"/>
        <u/>
      </rPr>
      <t>https://epubs.siam.org/doi/10.1137/1.9781611973730.112</t>
    </r>
    <r>
      <rPr/>
      <t>, Corollary 2.1</t>
    </r>
  </si>
  <si>
    <r>
      <rPr>
        <color rgb="FF1155CC"/>
        <u/>
      </rPr>
      <t>https://epubs.siam.org/doi/10.1137/1.9781611973730.112</t>
    </r>
    <r>
      <rPr/>
      <t>, Corollary 2.1</t>
    </r>
  </si>
  <si>
    <t>if: to-time: $\tilde{O}(T(n,m))$ for $n$-node $m$-edge directed (resp. undirected) graph
then: from-time: $\tilde{O}(T(n,m))$ for $n$-node $m$-edge directed (resp. undirected) graph</t>
  </si>
  <si>
    <r>
      <rPr>
        <color rgb="FF1155CC"/>
        <u/>
      </rPr>
      <t>https://epubs.siam.org/doi/10.1137/1.9781611973730.112</t>
    </r>
    <r>
      <rPr/>
      <t>, Lemma 3.1</t>
    </r>
  </si>
  <si>
    <t>For directed graphs only</t>
  </si>
  <si>
    <t>if: to-time: $\tilde{O}(T(n,m,M))$ for $n$-node $m$-edge directed graph with integer weights in $[-M,M]$
then: from-time: $\tilde{O}(T(n,m,M))$ for $n$-node $m$-edge directed graph with integer weights in $[-M,M]$</t>
  </si>
  <si>
    <r>
      <rPr>
        <color rgb="FF1155CC"/>
        <u/>
      </rPr>
      <t>https://epubs.siam.org/doi/10.1137/1.9781611973730.112</t>
    </r>
    <r>
      <rPr/>
      <t>, Lemma 3.2</t>
    </r>
  </si>
  <si>
    <r>
      <rPr>
        <color rgb="FF1155CC"/>
        <u/>
      </rPr>
      <t>https://epubs.siam.org/doi/10.1137/1.9781611973730.112</t>
    </r>
    <r>
      <rPr/>
      <t>, Lemma 4.1</t>
    </r>
  </si>
  <si>
    <t>if: to-time: $\tilde{O}(T(n,m,M))$ for $n$-node $m$-edge directed (resp. undirected) graph with integer weights in $[-M,M]$
then: from-time: $\tilde{O}(T(n,m,M))$ for $n$-node $m$-edge directed (resp. undirected) graph with integer weights in $[-M,M]$</t>
  </si>
  <si>
    <r>
      <rPr>
        <color rgb="FF1155CC"/>
        <u/>
      </rPr>
      <t>https://epubs.siam.org/doi/10.1137/1.9781611973730.112</t>
    </r>
    <r>
      <rPr/>
      <t>, Lemma 4.2</t>
    </r>
  </si>
  <si>
    <r>
      <rPr>
        <color rgb="FF1155CC"/>
        <u/>
      </rPr>
      <t>https://epubs.siam.org/doi/10.1137/1.9781611973730.112</t>
    </r>
    <r>
      <rPr/>
      <t>, Lemma 4.3</t>
    </r>
  </si>
  <si>
    <t>All-Nodes Positive Betweenness Centrality</t>
  </si>
  <si>
    <t>if: to-time: $\tilde{O}(T(n,m,M))$ for $n$-node $m$-edge graph with integer weights in $[-M,M]$
then: from-time: $\tilde{O}(T(n,m,M))$ for $n$-node $m$-edge graph with integer weights in $[-M,M]$</t>
  </si>
  <si>
    <r>
      <rPr>
        <color rgb="FF1155CC"/>
        <u/>
      </rPr>
      <t>https://epubs.siam.org/doi/10.1137/1.9781611973730.112</t>
    </r>
    <r>
      <rPr/>
      <t>, Lemma 4.4</t>
    </r>
  </si>
  <si>
    <r>
      <rPr>
        <color rgb="FF1155CC"/>
        <u/>
      </rPr>
      <t>https://epubs.siam.org/doi/10.1137/1.9781611973730.112</t>
    </r>
    <r>
      <rPr/>
      <t>, Corollary 4.1</t>
    </r>
  </si>
  <si>
    <r>
      <rPr>
        <color rgb="FF1155CC"/>
        <u/>
      </rPr>
      <t>https://epubs.siam.org/doi/10.1137/1.9781611973730.112</t>
    </r>
    <r>
      <rPr/>
      <t>, Corollary 4.1</t>
    </r>
  </si>
  <si>
    <r>
      <rPr>
        <color rgb="FF1155CC"/>
        <u/>
      </rPr>
      <t>https://epubs.siam.org/doi/10.1137/1.9781611973730.112</t>
    </r>
    <r>
      <rPr/>
      <t>, Corollary 4.1</t>
    </r>
  </si>
  <si>
    <r>
      <rPr>
        <color rgb="FF1155CC"/>
        <u/>
      </rPr>
      <t>https://epubs.siam.org/doi/10.1137/1.9781611973730.112</t>
    </r>
    <r>
      <rPr/>
      <t>, Corollary 4.1</t>
    </r>
  </si>
  <si>
    <t>$\alpha$-approximation with $\alpha &gt; 1$</t>
  </si>
  <si>
    <t>Subcubic Monte-Carlo equivalence</t>
  </si>
  <si>
    <r>
      <rPr>
        <color rgb="FF1155CC"/>
        <u/>
      </rPr>
      <t>https://epubs.siam.org/doi/10.1137/1.9781611973730.112</t>
    </r>
    <r>
      <rPr/>
      <t>, Theorem 4.2</t>
    </r>
  </si>
  <si>
    <r>
      <rPr>
        <color rgb="FF1155CC"/>
        <u/>
      </rPr>
      <t>https://epubs.siam.org/doi/10.1137/1.9781611973730.112</t>
    </r>
    <r>
      <rPr/>
      <t>, Theorem 4.2</t>
    </r>
  </si>
  <si>
    <t>if: to-time: Truly subcubic
then: from-time: Truly subcubic Monte-Carlo PTAS</t>
  </si>
  <si>
    <r>
      <rPr>
        <color rgb="FF1155CC"/>
        <u/>
      </rPr>
      <t>https://epubs.siam.org/doi/10.1137/1.9781611973730.112</t>
    </r>
    <r>
      <rPr/>
      <t>, Lemma 4.10</t>
    </r>
  </si>
  <si>
    <t>Positive Betweenness Centrality in directed or undirected graphs with weights in $\{1, 2\}$</t>
  </si>
  <si>
    <t>if: to-time: $O(m^{2-\epsilon})$ for some $\epsilon &gt; 0$
then: from-time: $O*(2^{(1-\delta)n})$ for some $\delta &gt; 0$</t>
  </si>
  <si>
    <r>
      <rPr>
        <color rgb="FF1155CC"/>
        <u/>
      </rPr>
      <t>https://epubs.siam.org/doi/10.1137/1.9781611973730.112</t>
    </r>
    <r>
      <rPr/>
      <t>, Theorem 4.3</t>
    </r>
  </si>
  <si>
    <t>$\alpha$-approximation for any finite $\alpha$ (possibly depending on $m$)</t>
  </si>
  <si>
    <r>
      <rPr>
        <color rgb="FF1155CC"/>
        <u/>
      </rPr>
      <t>https://epubs.siam.org/doi/10.1137/1.9781611973730.112</t>
    </r>
    <r>
      <rPr/>
      <t>, Corollary 4.2</t>
    </r>
  </si>
  <si>
    <r>
      <rPr>
        <color rgb="FF1155CC"/>
        <u/>
      </rPr>
      <t>https://epubs.siam.org/doi/10.1137/1.9781611973730.112</t>
    </r>
    <r>
      <rPr/>
      <t>, Corollary 4.2</t>
    </r>
  </si>
  <si>
    <t>$(2-\epsilon)$-approximation in undirected, unweighted graphs for some constant $\epsilon &gt; 0$</t>
  </si>
  <si>
    <t>if: to-time: $O(m^{2-\epsilon})$
then: from-time: $O*(2^{(1-\epsilon/2)n})$</t>
  </si>
  <si>
    <r>
      <rPr>
        <color rgb="FF1155CC"/>
        <u/>
      </rPr>
      <t>https://epubs.siam.org/doi/10.1137/1.9781611973730.112</t>
    </r>
    <r>
      <rPr/>
      <t>, Theorem 4.4</t>
    </r>
  </si>
  <si>
    <t>Clique</t>
  </si>
  <si>
    <t>Min-Weight k-Cycle</t>
  </si>
  <si>
    <t>if: to-time: $O(nm^{\lceil k/2 \rceil / \lambda - \epsilon})$ for any $\epsilon &gt; 0$ for $m = \Theta(n^{1+1/(\lambda - 1)}) edges and $n$ nodes where $\lambda = k - \lceil k/2 \rceil + 1$
then: from-time: $O(n^{k - \epsilon})$ for some $\epsilon &gt; 0$</t>
  </si>
  <si>
    <r>
      <rPr>
        <rFont val="Arial"/>
        <color theme="1"/>
      </rPr>
      <t xml:space="preserve">Andrea Lincoln, Virginia Vassilevska Williams, and R. Ryan Williams. Tight hardness for shortest cycles and paths in sparse graphs. In </t>
    </r>
    <r>
      <rPr>
        <rFont val="Arial"/>
        <i/>
        <color theme="1"/>
      </rPr>
      <t>Proc. SODA</t>
    </r>
    <r>
      <rPr>
        <rFont val="Arial"/>
        <color theme="1"/>
      </rPr>
      <t>, page to appear, 2018.</t>
    </r>
  </si>
  <si>
    <r>
      <rPr>
        <color rgb="FF1155CC"/>
        <u/>
      </rPr>
      <t>https://arxiv.org/pdf/1712.08147v2.pdf</t>
    </r>
    <r>
      <rPr>
        <color rgb="FF000000"/>
      </rPr>
      <t>, Corollary 4.2</t>
    </r>
  </si>
  <si>
    <t>Not sure this from-time is correct</t>
  </si>
  <si>
    <t>if: to-time: $f(N,M)$ for N nodes, M edges
then: from-time: $\tilde{O}(f(N,M)+M)$</t>
  </si>
  <si>
    <r>
      <rPr>
        <rFont val="Arial"/>
        <color theme="1"/>
      </rPr>
      <t xml:space="preserve">Andrea Lincoln, Virginia Vassilevska Williams, and R. Ryan Williams. Tight hardness for shortest cycles and paths in sparse graphs. In </t>
    </r>
    <r>
      <rPr>
        <rFont val="Arial"/>
        <i/>
        <color theme="1"/>
      </rPr>
      <t>Proc. SODA</t>
    </r>
    <r>
      <rPr>
        <rFont val="Arial"/>
        <color theme="1"/>
      </rPr>
      <t>, page to appear, 2018.</t>
    </r>
  </si>
  <si>
    <r>
      <rPr>
        <color rgb="FF1155CC"/>
        <u/>
      </rPr>
      <t>https://arxiv.org/pdf/1712.08147v2.pdf</t>
    </r>
    <r>
      <rPr>
        <color rgb="FF000000"/>
      </rPr>
      <t>, Theorem B.2</t>
    </r>
  </si>
  <si>
    <t>if: to-time: $O(m^{1-\epsilon})$ amrotized update and query times on sparse graphs, for any $\epsilon &gt; 0$, even after arbitrarily long polynomial time preprocessing
then: SETH is false</t>
  </si>
  <si>
    <t>Abboud, Amir, and Virginia Vassilevska Williams. "Popular conjectures imply strong lower bounds for dynamic problems." In 2014 IEEE 55th Annual Symposium on Foundations of Computer Science, pp. 434-443. IEEE, 2014.</t>
  </si>
  <si>
    <t>#SSR: Single Source Reachability Count (#SSR), maintain: a directed graph with a fixed source $s$, under: edge insertions/delitions, answer: given $l$ is the number of nodes reachable from $s&lt;l$</t>
  </si>
  <si>
    <t>SC2: 2 Strong Components, maintain: a directed graph, under: edge insertion/deletions, answer: are there more than 2 strongly connected components?</t>
  </si>
  <si>
    <t>Dynamic MaxSCC</t>
  </si>
  <si>
    <t>MaxSCC: Maximum Strongly Connected Component, maintain: a directed graph, under: edge insertions/deletions, answer: what is the size of the largest SCC?</t>
  </si>
  <si>
    <t>Dynamic Connected Subgraph</t>
  </si>
  <si>
    <t>ConnSub: Connected Subgraph, maintain: a fixed undirected graph and a vertex subset $S$, under: insert/remove a node into/from $S$, answer: is the subgraph induced by $S$ connected?</t>
  </si>
  <si>
    <t>Dynamic 4/3-Diameter</t>
  </si>
  <si>
    <t>if: to-time: $O(m^{2-\epsilon})$ amrotized update and query times, for any $\epsilon &gt; 0$, even after arbitrarily long polynomial time preprocessing
then: SETH is false</t>
  </si>
  <si>
    <t>4/3-Diameter: $(4/3-\epsilon)$-Approximate Diameter, maintain: an undeirected graph, under: edge insertions/deletions, answer: is the diameter 3 or 4?</t>
  </si>
  <si>
    <t>Dynamic ST-Reach</t>
  </si>
  <si>
    <t>ST-Reach: $(S,T)$-Reacability, maintain: a directed graph and fixed node subsets $S$ and $T$, under: edge insertions/deletions, answer is the diameter 3 or 4?</t>
  </si>
  <si>
    <t>Dynamic st-Reach</t>
  </si>
  <si>
    <t>Strong Triangle</t>
  </si>
  <si>
    <t>assume: SETH
then: for any fixed constants $\epsilon &gt; 0$, $c_1,c_2 \in [0,1]$, on graphs with $n$ nodes $|S|=\tilde{\Theta}(n^{c_1})$, $|T|=\tilde{\Theta(n^{c_2})}$, $m=O(n)$ edges, and capacaties in $\{1,\cdots,n\}$, target cannot be solved in $O((|S||T|m)^{1-\epsilon})$</t>
  </si>
  <si>
    <t xml:space="preserve">$s,t$-Reach: $(s,t)$-Reachability, maintain: a directed graph and fixed vertices $s,t$, under: edge insertions/deletions, answer: is $t$ reachable from $s$? </t>
  </si>
  <si>
    <t>Dynamic Strong Connectivity</t>
  </si>
  <si>
    <t>let $\gamma = (w-1)/(w+1) \in [1/3,0.408]$
if: to-time: $O(m^{2\gamma-\epsilon})$ update and query times even after O(m^{1+\gamma-\epsilon}) preprocessing time for any $\epsilon &gt; 0$
then: Strong Triangle is false</t>
  </si>
  <si>
    <t>strong connectivity, maintain: a directed graph, under edge insertions/deletions, answer: is the graph strongly connected?</t>
  </si>
  <si>
    <t>Dynamic Bipartite Maximum-Weight Matching</t>
  </si>
  <si>
    <t>bipartite matching: Bipartite Perfect Matching, maintain: an undirected bipartite graph, under: edge insertions/deletions, answer: does the graph have a perfect matching</t>
  </si>
  <si>
    <t>Dynamic $st$-Shortest Path</t>
  </si>
  <si>
    <t>if: to-time: amortized $O(n^{2-\epsilon})$ update and query times in decremental or incremental graphs
then: APSP Hypothesis is false</t>
  </si>
  <si>
    <t>$st$-SP: $(s,t)$-shortest path: maintain an undirected weighted graph and fixed vertices $s,t$, under: edge insertions/deletions, answer: what is the distance between $s$ and $t$</t>
  </si>
  <si>
    <t>BWMatch: Bipartite Maximum Weight Matching, maintain: an undirected bipartite graph with integer edge weights, under: edge insertions/deletions, answer: what is the weight of the maximum weight matching</t>
  </si>
  <si>
    <t>Krauthgamer, R., &amp; Trabelsi, O. (2018). Conditional lower bounds for all-pairs max-flow. ACM Transactions on Algorithms (TALG), 14(4), 1-15.</t>
  </si>
  <si>
    <t>assume: SETH
then: for any fixed $\epsilon &gt; 0$, in graphs with $n$ nodes, $m=O(n)$ edges, and capacities in $\{1,\cdots,n\}$ target cannot be solved in time $O((n^{2}m)^{1-\epsilon})$</t>
  </si>
  <si>
    <t>assume: SETH
then: for any $\epsilon &gt; 0$, in graphs with $n$ nodes and $\tilde{O}(n)$ edges, target cannot be solved in time $O(n^{2-\epsilon})$</t>
  </si>
  <si>
    <t>Dynamic Maximum Cardinality Matching</t>
  </si>
  <si>
    <t>OMv Conjecture</t>
  </si>
  <si>
    <t>assume: OMv
then: there is no algorithm for solving incremental (or decremental) maximum cardinality bipartite matching with amortized time $O(n^{1-\epsilon})$ per insertion (or deletion) and $O(n^{2-\epsilon})$ time per query for any $\epsilon &gt; 0$</t>
  </si>
  <si>
    <t>Dahlgaard, S. (2016). On the hardness of partially dynamic graph problems and connections to diameter. arXiv preprint arXiv:1602.06705.</t>
  </si>
  <si>
    <t>dynamic st-Maximum Flow</t>
  </si>
  <si>
    <t>assume: SETH
then: there is no algorithm for solving incremental (or decremental) st-max-flow on a weighted and directed graph with $n$ nodes and $\tilde{O}(n)$ edges with amortized time $O(m^{1-\epsilon})$ per operation for any $\epsilon &gt; 0$</t>
  </si>
  <si>
    <t>assume: OMv
then: there is no algorithm for solving incremental (or decremental) st-max-flow on unweifghted directed graphs or weighted undirected graphs on $n$ nodes with amortized time $O(n^{1-\epsilon})$ per operation for any $\epsilon &gt; 0$</t>
  </si>
  <si>
    <t>dynamic 4/3-Diameter</t>
  </si>
  <si>
    <t>SETH or 3SUM Hypothesis or APSP Hypothesis</t>
  </si>
  <si>
    <t>assume: SETH or 3SUM Hypothesis or APSP Hypothesis
then: there exists no incremental (or decremental) algorithm that approximates the diameter of unweighted graph within a factor of $4/3-\epsilon$ running in amortized time $O(n^{1/2-\epsilon'})$ for any $\epsilon,\epsilon' &gt; 0$. Furthermore, if we allow node insertions in the incremental case the bound is $O(n^{0.618-\epsilon'})$</t>
  </si>
  <si>
    <t>assume: SETH or 3SUM Hypothesis or APSP Hypothesis
then: there exists no static $4/3-\epsilon$ approximation to the diameter on unweighted graphs running in $O((n\sqrt{m})^{1-\epsilon'})$ time for any $\epsilon,\epsilon' &gt; 0$ and an number of edges $m$</t>
  </si>
  <si>
    <t>assume: SETH or 3SUM Hypothesis or APSP Hypothesis
then: there exists no static $4/3-\epsilon$ approximation with additive error $O(m^\delta)$ with running time $O(m^{\frac{3}{2}(1-\delta)-\epsilon'})$ or incremental/decremental algorithm with amortized time $O(m^{\frac{1}{2}-\frac{3\delta}{2}-\epsilon'})$ for any $\epsilon,\epsilon' &gt; 0$</t>
  </si>
  <si>
    <t>assume: BMM
then: combinatorial algorithms cannot solve target with preprocessing time $O(n^{3-\epsilon})$, and update and query times $O(n^{2-\epsilon})$ for any $\epsilon &gt; 0$</t>
  </si>
  <si>
    <t>Henzinger, M., Lincoln, A., Neumann, S., &amp; Williams, V. V. (2017). Conditional hardness for sensitivity problems. arXiv preprint arXiv:1703.01638.</t>
  </si>
  <si>
    <t>assume: BMM
then: combinatorial algorithms cannot solve target with preprocessing time $O(n^{3-\epsilon})$, and update and query times $O(n^{2-\epsilon})$ for any $\epsilon &gt; 0$ in undirected unweighted graphs</t>
  </si>
  <si>
    <t>assume: BMM
then: for directed unweighted graphs with $n$ vertices and $m \geq n$ edges require either $m^{1-o(1)}\sqrt{n}$ preprocessing time or $m^{1-o(1)}/\sqrt{n}$ query time for every function $m$ of $n$</t>
  </si>
  <si>
    <t>assume: APSP Hypothesis
then: target cannot be solved with preprocessing time $O(n^{3-\epsilon})$ and update and query times $O(n^{2-\epsilon})$ for any $\epsilon &gt; 0$ in directed weighted graphs</t>
  </si>
  <si>
    <t>assume: APSP Hypothesis
then: target cannot be solved with preprocessing time $O(n^{3-\epsilon})$ and update and query times $O(n^{2-\epsilon})$ for any $\epsilon &gt; 0$ in undirected weighted graphs</t>
  </si>
  <si>
    <t>Boolean Satisfiabiltiy</t>
  </si>
  <si>
    <t>assume: SETH
then: let $\epsilon &gt; 0$, $t \in \mathbb{N}$, there exists no algorithm for target with preprocessing time $O(n^t)$, update time $u(n)$ and query time $q(n)$, such that $max\{u(n),q(n)\}=O(n^{1-\epsilon})$ with constant sensitivity $K(\epsilon,t)$</t>
  </si>
  <si>
    <t>sensitive incremental ST-Reach</t>
  </si>
  <si>
    <t>assume: OVH
then: there is no algorithm to solve target in time $O(2^{o(d)}n^{2-\epsilon})$ on a set of $n$ points in $\{0,1\}^{c\log n}$</t>
  </si>
  <si>
    <t>Alman, J., &amp; Williams, R. (2015, October). Probabilistic polynomials and hamming nearest neighbors. In 2015 IEEE 56th Annual Symposium on Foundations of Computer Science (pp. 136-150). IEEE.</t>
  </si>
  <si>
    <t>https://ieeexplore.ieee.org/abstract/document/7354392</t>
  </si>
  <si>
    <t>assume: k-Clique Hypothesis
then: there is no $O(N^{\omega-\epsilon}) time algorithm for target for any $\epsilon &gt; 0$</t>
  </si>
  <si>
    <t>\Omega</t>
  </si>
  <si>
    <t>Abboud, A., Backurs, A., Bringmann, K., &amp; Künnemann, M. (2017, October). Fine-grained complexity of analyzing compressed data: Quantifying improvements over decompress-and-solve. In 2017 IEEE 58th Annual Symposium on Foundations of Computer Science (FOCS) (pp. 192-203). IEEE.</t>
  </si>
  <si>
    <t>https://ieeexplore.ieee.org/abstract/document/8104058</t>
  </si>
  <si>
    <t>combinatorial</t>
  </si>
  <si>
    <t>assume: k-Clique Hypothesis
then: there is no $O(N^{\3-\epsilon}) time combinatorial algorithm for target for any $\epsilon &gt; 0$</t>
  </si>
  <si>
    <t>assume: SETH
then: for any $\epsilon &gt; 0$ there exists a $\delta &gt; 0$ such that Subset Sum is not in time $O(T^{1-\epsilon}2^{\delta n})$, and $k$-Sum is not in time $O(T^{1-\epsilon}n^{\delta k})$</t>
  </si>
  <si>
    <t>Abboud, A., Bringmann, K., Hermelin, D., &amp; Shabtay, D. (2022). SETH-based lower bounds for subset sum and bicriteria path. ACM Transactions on Algorithms (TALG), 18(1), 1-22.</t>
  </si>
  <si>
    <t>https://dl.acm.org/doi/full/10.1145/3450524</t>
  </si>
  <si>
    <t>assume: OVH
then: for all $d \geq 2$, target on two rooted unordered trees of size $O(n)$, degree $d$, and height $h \leq 2\log_d n + O(\log \log n)$ cannot be solved in truly subquadratic $O(n^{2-\epsilon})$ time</t>
  </si>
  <si>
    <t>Abboud, A., Backurs, A., Hansen, T. D., Vassilevska Williams, V., &amp; Zamir, O. (2018). Subtree isomorphism revisited. ACM Transactions on Algorithms (TALG), 14(3), 1-23.</t>
  </si>
  <si>
    <t>assume: OVH
then: for all constants $d \geq 2$, target on two rooted trees of size at most $n$, degree $d$, and height $h \leq \log_d n + O(\log \log n)$ cannot be solved in truly subquadtratic $O(n^{2-\epsilon})$ time</t>
  </si>
  <si>
    <t>assume: Strong Triangle
then: there is no combinatorial $O(n^{3-\epsilon})$ or $O((k\cdot n^2)^{1-\epsilon})$-time algorithm for any $epsilon &gt; 0$ for generalized Büchi games. In particular, there is no such algorithm deciding whether the winning set is non-empty or deciding whether a specific vertex is in the winning set.</t>
  </si>
  <si>
    <t>Chatterjee, K., Dvořák, W., Henzinger, M., &amp; Loitzenbauer, V. (2016). Conditionally Optimal Algorithms for Generalized B\" uchi Games. arXiv preprint arXiv:1607.05850.</t>
  </si>
  <si>
    <t>https://arxiv.org/pdf/1607.05850.pdf</t>
  </si>
  <si>
    <t>assume: OVH
then: there is no $O(m^{2-\epsilon})$ or $O(\min_{1 \leq i \leq k} b_i \cdot (k \cdot m)^{1-\epsilon})$-time algorithm (for any $\epsilon &gt; 0$ for generalized Büchi games. In particular there is no such algorithm for deciding whether the winning set is non-empty  or deciding whether a specifc vertex is in the winning set.</t>
  </si>
  <si>
    <t>assume: Strong Triangle
then: there is no combinatorial $O(n^{3-\epsilon})$ or $O((k \cdot n^2)^{1-\epsilon})$ algorithm for any $\epsilon &gt; 0$ for target. The bounds holf for dense MDPs with $m=\Theta(n^2)$</t>
  </si>
  <si>
    <t>Chatterjee, Krishnendu, et al. "Model and objective separation with conditional lower bounds: Disjunction is harder than conjunction." Proceedings of the 31st Annual ACM/IEEE Symposium on Logic in Computer Science. 2016.</t>
  </si>
  <si>
    <t>assume: Strong Triangle
then: there is no $O(m^{2-\epsilon})$ or $O((k \cdot m)^{1-\epsilon})$ algorithm, for any $\epsilon &gt; 0$ for target.</t>
  </si>
  <si>
    <t>assume: Strong Triangle
then: there is no combinatorial $O(n^{3-\epsilon})$ or $O((k \cdot n^2)^{1-\epsilon})$ algorithm, for any $\epsilon &gt; 0$ for disjunctive safety (objectives or queries) in graphs.</t>
  </si>
  <si>
    <t>assume: OVH
then: there is no $O(m^{2-\epsilon})$ or $O((k \cdot m)^{1 - \epsilon})$ algorithm for any $\epsilon &gt; 0$ for disjunctive safety ovjectives/queries in MDPs.</t>
  </si>
  <si>
    <t>Stable Matching Problems</t>
  </si>
  <si>
    <t>assume: OVH
then: for an $\epsilon &gt; 0$ there is a $c$ such that finding a stable matching in the boolean $d$-attribute model with $d = c\log n$ dimensions requires time $\Omega(n^{2-\epsilon})$.</t>
  </si>
  <si>
    <t>Moeller, Daniel, Ramamohan Paturi, and Stefan Schneider. "Subquadratic algorithms for succinct stable matching." International Computer Science Symposium in Russia. Springer, Cham, 2016.</t>
  </si>
  <si>
    <t>assume: OVH
then: for an $\epsilon &gt; 0$ there is a $c$ such that verifying a stable matching in the boolean $d$-attribute model with $d = c\log n$ dimensions requires time $\Omega(n^{2-\epsilon}).</t>
  </si>
  <si>
    <t>assume: OVH
then: for any $\epsilon &gt; 0$, there is a $c$ such that determining whether a given pair is part of any or all stable matchings in the boolean $d$-attribute model with $d = c\log n$ dimensions requires time $\Omega(n^{2-\epsilon})$</t>
  </si>
  <si>
    <t>co-nondeterministic Turing Machine</t>
  </si>
  <si>
    <t>assume: NSETH
then: for any $\epsilon &gt; 0$ there is a $c$ such that determining whether a gaiven pair is part of any or all stable matching in the boolean $d$-attribute model with $d = c\log n$ dimensions requires co-nondeterministic time $\Omega(n^{2-\epsilon})$</t>
  </si>
  <si>
    <t>nondeterministic Turing Machine</t>
  </si>
  <si>
    <t>assume: NSETH
then: for any $\epsilon &gt; 0$ there is a $c$ such that determining whether a gaiven pair is part of any or all stable matching in the boolean $d$-attribute model with $d = c\log n$ dimensions requires nondeterministic time $\Omega(n^{2-\epsilon})$</t>
  </si>
  <si>
    <t>assume: SETH
then: let $k(a,a')$ be the Gaussian kernel with $C=100\log n$ and let $\epsilon = \exp(-\omega(\log^2 n))$, then approximating the optimal value of target within multiplicative factor $1+\epsilon$ requires almost quadratic time.</t>
  </si>
  <si>
    <t>Backurs, A., Indyk, P., &amp; Schmidt, L. (2017). On the fine-grained complexity of empirical risk minimization: Kernel methods and neural networks. Advances in Neural Information Processing Systems, 30.</t>
  </si>
  <si>
    <t>if: to-time: $O(N^{d-\epsilon})$ on $N$ weighted points in $d$ dimensions
then: from-time: $O(n^{k-\epsilon})$ on $n$ vertices, where $k=\lceil d^2\epsilon^{-1}\rceil$</t>
  </si>
  <si>
    <t>Backurs, Arturs, Nishanth Dikkala, and Christos Tzamos. "Tight Hardness Results for Maximum Weight Rectangles}}." 43rd International Colloquium on Automata, Languages, and Programming (ICALP 2016). Vol. 55. Schloss Dagstuhl--Leibniz-Zentrum fuer Informatik, 2016.</t>
  </si>
  <si>
    <t xml:space="preserve">if: to-time: $O(n^{3-\epsilon})$ on $n\times n$ matrices
then: from-time: $O(n^{3-\epsilon})$ on $n$ vertex graphs </t>
  </si>
  <si>
    <t xml:space="preserve">if: to-time: $O(n^{3-\epsilon})$ on $n\times n$ matrices
then: from-time: $O(n^{3-\epsilon/10})$ on $n$ vertex graphs </t>
  </si>
  <si>
    <t xml:space="preserve">if: to-time: $O(n^{d+\lfloor d/2\rfloor-\epsilon})$ for $d$-dimensional hypercube arrays
then: from-time: $O(n^{k-\epsilon})$ on $n$ vertex graphs for $k=d+\lfloor d/2\rfloor$ </t>
  </si>
  <si>
    <t>$d+\lfloor d/2\rfloor$</t>
  </si>
  <si>
    <t xml:space="preserve">if: to-time: $O(n^{d+1-\epsilon})$ for $d$-dimensional hypercube arrays
then: from-time: $O(n^{k-\epsilon})$ on $n$ vertex graphs for $k=d+1$ </t>
  </si>
  <si>
    <t>d+1</t>
  </si>
  <si>
    <t xml:space="preserve">if: to-time: $O(n^{\lfloor d/2\rfloor-\epsilon})$ for $N$ weighted axis-parallel boxes in $\mathbb{R}^d$
then: from-time: $O(n^{k-2\epsilon})$ on $n$ vertex graphs for $k=d$ </t>
  </si>
  <si>
    <t>Trivial - subproblem</t>
  </si>
  <si>
    <t>OV is a strict subproblem of k-OV</t>
  </si>
  <si>
    <t>3-OV is a strict subproblem of k-OV</t>
  </si>
  <si>
    <t>Diameter k vs 2k-1</t>
  </si>
  <si>
    <t>Max-CNF-SAT</t>
  </si>
  <si>
    <t>General Version?</t>
  </si>
  <si>
    <t>Directed?</t>
  </si>
  <si>
    <t>Weighted?</t>
  </si>
  <si>
    <t>Weights</t>
  </si>
  <si>
    <t>Dense or Sparse?</t>
  </si>
  <si>
    <t>Strongest Upper Bound?</t>
  </si>
  <si>
    <t>UB Reference</t>
  </si>
  <si>
    <t>Strongest Lower Bound?</t>
  </si>
  <si>
    <t>LB Reference</t>
  </si>
  <si>
    <t>Algorithms that Solve</t>
  </si>
  <si>
    <t>Arbitrary</t>
  </si>
  <si>
    <t>Dense</t>
  </si>
  <si>
    <t>$O(V^3 /2^{\Omega(\log V)^{0.5}})$</t>
  </si>
  <si>
    <t>Algorithm #187</t>
  </si>
  <si>
    <t>$\Omega(V^{3-\epsilon})$ for $\epsilon &gt; 0$</t>
  </si>
  <si>
    <t>Hypothesis #8</t>
  </si>
  <si>
    <t>Reduction #50</t>
  </si>
  <si>
    <t>$\Omega(V)$</t>
  </si>
  <si>
    <t>Trivial, might be a stronger one</t>
  </si>
  <si>
    <t>Positive Integers</t>
  </si>
  <si>
    <t>Algorithm #189</t>
  </si>
  <si>
    <t>$\tilde{O}(V^{2.575})$</t>
  </si>
  <si>
    <t>$O(V^{2.373} \log V)$</t>
  </si>
  <si>
    <t>Algorithm #186</t>
  </si>
  <si>
    <t>Algorithm ID</t>
  </si>
  <si>
    <t>Shimbel algorithm</t>
  </si>
  <si>
    <t>Either</t>
  </si>
  <si>
    <t>O (V^2.373 logV)</t>
  </si>
  <si>
    <t>RAM</t>
  </si>
  <si>
    <t>Williams 2014</t>
  </si>
  <si>
    <t>O(V^3 /2^(logV)^0.5)</t>
  </si>
  <si>
    <t>O(EV log alpha(E;V))</t>
  </si>
  <si>
    <t>Pettie &amp; Ramachandran 2002</t>
  </si>
  <si>
    <t>Positive integers</t>
  </si>
  <si>
    <t>Thorup 1999</t>
  </si>
  <si>
    <t>Real numbers from any fixed set of $c$ values</t>
  </si>
  <si>
    <t>O(V^2.844)</t>
  </si>
  <si>
    <t>Chan (Geometrically Weighted) 2009</t>
  </si>
  <si>
    <t>log n size words</t>
  </si>
  <si>
    <t>O(V^3 log^3 logV / log^2 V)</t>
  </si>
  <si>
    <t>Chan 2009</t>
  </si>
  <si>
    <t>O(V^2 logV + VE)</t>
  </si>
  <si>
    <t>\tilde{O}(V^2.575)</t>
  </si>
  <si>
    <t>MIT Not Subscribed</t>
  </si>
  <si>
    <t>&lt;= I think MIT is subscribed to these? You might have to use MIT's VPN though</t>
  </si>
  <si>
    <t>APS</t>
  </si>
  <si>
    <t>IEEE Xplore</t>
  </si>
  <si>
    <t>SIAM</t>
  </si>
  <si>
    <t>Science Direct</t>
  </si>
  <si>
    <t>&lt;= very specific articles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</si>
</sst>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
    <numFmt numFmtId="165" formatCode="0.0"/>
  </numFmts>
  <fonts count="145">
    <font>
      <sz val="10.0"/>
      <color rgb="FF000000"/>
      <name val="Arial"/>
      <scheme val="minor"/>
    </font>
    <font>
      <b/>
      <color theme="1"/>
      <name val="Arial"/>
      <scheme val="minor"/>
    </font>
    <font>
      <color theme="1"/>
      <name val="Arial"/>
      <scheme val="minor"/>
    </font>
    <font>
      <sz val="10.0"/>
      <color theme="1"/>
      <name val="Arial"/>
      <scheme val="minor"/>
    </font>
    <font>
      <u/>
      <sz val="10.0"/>
      <color rgb="FF0000FF"/>
    </font>
    <font>
      <u/>
      <sz val="10.0"/>
      <color rgb="FF0000FF"/>
    </font>
    <font>
      <u/>
      <color rgb="FF0000FF"/>
    </font>
    <font>
      <color theme="1"/>
      <name val="Arial"/>
    </font>
    <font>
      <u/>
      <color rgb="FF0000FF"/>
    </font>
    <font>
      <sz val="10.0"/>
      <color theme="1"/>
      <name val="Arial"/>
    </font>
    <font>
      <u/>
      <sz val="10.0"/>
      <color rgb="FF1155CC"/>
      <name val="Arial"/>
    </font>
    <font>
      <u/>
      <color rgb="FF0000FF"/>
    </font>
    <font>
      <u/>
      <color rgb="FF0000FF"/>
    </font>
    <font>
      <u/>
      <color rgb="FF0000FF"/>
    </font>
    <font>
      <u/>
      <sz val="10.0"/>
      <color rgb="FF0000FF"/>
    </font>
    <font>
      <u/>
      <sz val="10.0"/>
      <color rgb="FF0000FF"/>
      <name val="Arial"/>
    </font>
    <font>
      <u/>
      <color rgb="FF1155CC"/>
      <name val="Arial"/>
    </font>
    <font>
      <color rgb="FF000000"/>
      <name val="Roboto"/>
    </font>
    <font>
      <u/>
      <sz val="10.0"/>
      <color rgb="FF0000FF"/>
      <name val="Arial"/>
    </font>
    <font>
      <u/>
      <sz val="10.0"/>
      <color theme="1"/>
      <name val="Arial"/>
    </font>
    <font>
      <u/>
      <color rgb="FF1155CC"/>
      <name val="Arial"/>
    </font>
    <font>
      <u/>
      <sz val="10.0"/>
      <color theme="1"/>
      <name val="Arial"/>
    </font>
    <font>
      <u/>
      <color rgb="FF0000FF"/>
    </font>
    <font>
      <u/>
      <color rgb="FF0000FF"/>
    </font>
    <font>
      <u/>
      <sz val="10.0"/>
      <color rgb="FF0000FF"/>
      <name val="Arial"/>
    </font>
    <font>
      <u/>
      <sz val="10.0"/>
      <color rgb="FF1155CC"/>
      <name val="Arial"/>
    </font>
    <font>
      <u/>
      <color rgb="FF1155CC"/>
      <name val="Arial"/>
    </font>
    <font>
      <u/>
      <color rgb="FF1155CC"/>
    </font>
    <font>
      <u/>
      <color rgb="FF1155CC"/>
      <name val="Arial"/>
      <scheme val="minor"/>
    </font>
    <font>
      <u/>
      <sz val="10.0"/>
      <color rgb="FF0000FF"/>
    </font>
    <font>
      <u/>
      <sz val="10.0"/>
      <color rgb="FF0000FF"/>
      <name val="Arial"/>
    </font>
    <font>
      <color rgb="FF000000"/>
      <name val="Arial"/>
    </font>
    <font>
      <u/>
      <sz val="10.0"/>
      <color rgb="FF0000FF"/>
      <name val="Arial"/>
    </font>
    <font>
      <color rgb="FF000000"/>
      <name val="Arial"/>
      <scheme val="minor"/>
    </font>
    <font>
      <u/>
      <color rgb="FF1155CC"/>
    </font>
    <font>
      <u/>
      <sz val="10.0"/>
      <color rgb="FF0000FF"/>
    </font>
    <font>
      <u/>
      <sz val="10.0"/>
      <color rgb="FF0000FF"/>
    </font>
    <font>
      <u/>
      <sz val="10.0"/>
      <color rgb="FF1155CC"/>
    </font>
    <font>
      <sz val="11.0"/>
      <color rgb="FF3C4043"/>
      <name val="Inconsolata"/>
    </font>
    <font>
      <b/>
      <sz val="10.0"/>
      <color theme="1"/>
      <name val="Arial"/>
    </font>
    <font>
      <u/>
      <sz val="10.0"/>
      <color rgb="FF0000FF"/>
    </font>
    <font>
      <u/>
      <sz val="10.0"/>
      <color rgb="FF0000FF"/>
    </font>
    <font>
      <u/>
      <sz val="10.0"/>
      <color rgb="FF1155CC"/>
    </font>
    <font>
      <u/>
      <sz val="10.0"/>
      <color rgb="FF0000FF"/>
      <name val="Arial"/>
    </font>
    <font>
      <u/>
      <sz val="10.0"/>
      <color rgb="FF0000FF"/>
      <name val="Arial"/>
    </font>
    <font>
      <u/>
      <color rgb="FF0000FF"/>
      <name val="Arial"/>
    </font>
    <font>
      <u/>
      <color rgb="FF0000FF"/>
      <name val="Arial"/>
    </font>
    <font>
      <u/>
      <color rgb="FF0000FF"/>
      <name val="Arial"/>
    </font>
    <font>
      <sz val="11.0"/>
      <color theme="1"/>
      <name val="Arial"/>
    </font>
    <font>
      <u/>
      <color rgb="FF0000FF"/>
    </font>
    <font>
      <u/>
      <color rgb="FF0000FF"/>
      <name val="Arial"/>
    </font>
    <font>
      <u/>
      <sz val="10.0"/>
      <color rgb="FF1155CC"/>
      <name val="Arial"/>
    </font>
    <font>
      <u/>
      <sz val="10.0"/>
      <color rgb="FF1155CC"/>
    </font>
    <font>
      <sz val="10.0"/>
      <color rgb="FF000000"/>
      <name val="Arial"/>
    </font>
    <font>
      <sz val="11.0"/>
      <color theme="1"/>
      <name val="Arial"/>
      <scheme val="minor"/>
    </font>
    <font>
      <u/>
      <sz val="10.0"/>
      <color rgb="FF0000FF"/>
      <name val="Arial"/>
    </font>
    <font>
      <u/>
      <color rgb="FF1155CC"/>
      <name val="Arial"/>
    </font>
    <font>
      <u/>
      <sz val="10.0"/>
      <color rgb="FF0000FF"/>
      <name val="Arial"/>
    </font>
    <font>
      <u/>
      <color theme="1"/>
      <name val="Arial"/>
    </font>
    <font>
      <u/>
      <color theme="1"/>
      <name val="Arial"/>
    </font>
    <font>
      <u/>
      <color rgb="FF0000FF"/>
    </font>
    <font>
      <u/>
      <color rgb="FF1155CC"/>
      <name val="Arial"/>
    </font>
    <font>
      <u/>
      <color rgb="FF1155CC"/>
      <name val="Arial"/>
    </font>
    <font>
      <sz val="10.0"/>
      <color theme="1"/>
      <name val="&quot;Linux Libertine&quot;"/>
    </font>
    <font>
      <u/>
      <sz val="10.0"/>
      <color rgb="FF0000FF"/>
      <name val="Arial"/>
    </font>
    <font>
      <sz val="9.0"/>
      <color theme="1"/>
      <name val="Arial"/>
      <scheme val="minor"/>
    </font>
    <font>
      <sz val="11.0"/>
      <color rgb="FF000000"/>
      <name val="Inconsolata"/>
    </font>
    <font>
      <u/>
      <sz val="10.0"/>
      <color rgb="FF3366BB"/>
    </font>
    <font>
      <u/>
      <sz val="9.0"/>
      <color rgb="FF0000FF"/>
      <name val="&quot;Lucida Grande&quot;"/>
    </font>
    <font>
      <u/>
      <sz val="10.0"/>
      <color rgb="FF1155CC"/>
      <name val="Arial"/>
    </font>
    <font>
      <sz val="10.0"/>
      <color theme="1"/>
      <name val="Verdana"/>
    </font>
    <font>
      <u/>
      <sz val="10.0"/>
      <color rgb="FF0000FF"/>
      <name val="Arial"/>
    </font>
    <font>
      <u/>
      <sz val="10.0"/>
      <color rgb="FF0000FF"/>
      <name val="Arial"/>
    </font>
    <font>
      <u/>
      <color rgb="FF0000FF"/>
      <name val="Arial"/>
    </font>
    <font>
      <u/>
      <color rgb="FF0000FF"/>
      <name val="Arial"/>
    </font>
    <font>
      <u/>
      <color rgb="FF0000FF"/>
      <name val="Arial"/>
    </font>
    <font>
      <u/>
      <color rgb="FF1155CC"/>
      <name val="Arial"/>
    </font>
    <font>
      <u/>
      <color rgb="FF0000FF"/>
      <name val="Arial"/>
    </font>
    <font>
      <sz val="11.0"/>
      <color rgb="FF000000"/>
      <name val="Arial"/>
    </font>
    <font>
      <color theme="1"/>
      <name val="-webkit-standard"/>
    </font>
    <font>
      <u/>
      <color rgb="FF0000FF"/>
      <name val="-webkit-standard"/>
    </font>
    <font>
      <u/>
      <color rgb="FF1155CC"/>
      <name val="Arial"/>
    </font>
    <font>
      <u/>
      <color rgb="FF1155CC"/>
      <name val="Arial"/>
    </font>
    <font>
      <u/>
      <color rgb="FF0000FF"/>
      <name val="Arial"/>
    </font>
    <font>
      <u/>
      <color rgb="FF0000FF"/>
      <name val="Arial"/>
    </font>
    <font>
      <u/>
      <color rgb="FF0000FF"/>
      <name val="Arial"/>
    </font>
    <font>
      <u/>
      <color rgb="FF1155CC"/>
      <name val="Arial"/>
    </font>
    <font>
      <u/>
      <color rgb="FF1155CC"/>
      <name val="Arial"/>
    </font>
    <font>
      <u/>
      <color rgb="FF1155CC"/>
      <name val="Arial"/>
    </font>
    <font>
      <color rgb="FF333333"/>
      <name val="Arial"/>
    </font>
    <font>
      <u/>
      <color rgb="FF1155CC"/>
      <name val="Arial"/>
    </font>
    <font>
      <u/>
      <color rgb="FF0000FF"/>
      <name val="Arial"/>
    </font>
    <font>
      <u/>
      <color rgb="FF0000FF"/>
      <name val="Arial"/>
    </font>
    <font>
      <u/>
      <color theme="1"/>
      <name val="Arial"/>
    </font>
    <font>
      <color theme="1"/>
      <name val="Roboto"/>
    </font>
    <font>
      <sz val="12.0"/>
      <color rgb="FF000000"/>
      <name val="Calibri"/>
    </font>
    <font>
      <sz val="9.0"/>
      <color theme="1"/>
      <name val="Arial"/>
    </font>
    <font>
      <u/>
      <color rgb="FF0000FF"/>
    </font>
    <font>
      <color rgb="FF000000"/>
      <name val="&quot;Arial&quot;"/>
    </font>
    <font>
      <u/>
      <color rgb="FF0000FF"/>
      <name val="&quot;Arial&quot;"/>
    </font>
    <font>
      <u/>
      <color rgb="FF1155CC"/>
      <name val="Arial"/>
    </font>
    <font>
      <u/>
      <color rgb="FF1155CC"/>
      <name val="Arial"/>
    </font>
    <font>
      <u/>
      <color rgb="FF1155CC"/>
      <name val="Arial"/>
    </font>
    <font>
      <strike/>
      <color theme="1"/>
      <name val="Arial"/>
    </font>
    <font>
      <strike/>
      <u/>
      <color rgb="FF1155CC"/>
      <name val="Arial"/>
    </font>
    <font>
      <strike/>
      <u/>
      <color rgb="FF1155CC"/>
      <name val="Arial"/>
    </font>
    <font>
      <u/>
      <color rgb="FF1155CC"/>
      <name val="Arial"/>
    </font>
    <font>
      <u/>
      <color rgb="FF0000FF"/>
      <name val="Arial"/>
    </font>
    <font>
      <u/>
      <color rgb="FF1155CC"/>
      <name val="Arial"/>
    </font>
    <font>
      <u/>
      <color rgb="FF1155CC"/>
      <name val="Arial"/>
    </font>
    <font>
      <u/>
      <color rgb="FF0000FF"/>
    </font>
    <font>
      <u/>
      <color rgb="FF0000FF"/>
    </font>
    <font>
      <u/>
      <color rgb="FF0000FF"/>
    </font>
    <font>
      <u/>
      <color rgb="FF1155CC"/>
      <name val="Arial"/>
    </font>
    <font>
      <b/>
      <color theme="1"/>
      <name val="Arial"/>
    </font>
    <font>
      <u/>
      <color rgb="FF0000FF"/>
    </font>
    <font>
      <color rgb="FF0000FF"/>
    </font>
    <font>
      <u/>
      <color rgb="FF0000FF"/>
    </font>
    <font>
      <u/>
      <sz val="10.0"/>
      <color rgb="FF0000FF"/>
    </font>
    <font>
      <u/>
      <sz val="10.0"/>
      <color rgb="FF1155CC"/>
    </font>
    <font>
      <u/>
      <sz val="10.0"/>
      <color rgb="FF1155CC"/>
      <name val="Arial"/>
    </font>
    <font>
      <u/>
      <color rgb="FF1155CC"/>
      <name val="Arial"/>
    </font>
    <font>
      <u/>
      <sz val="10.0"/>
      <color rgb="FF1155CC"/>
      <name val="Arial"/>
      <scheme val="minor"/>
    </font>
    <font>
      <u/>
      <sz val="10.0"/>
      <color theme="1"/>
      <name val="Arial"/>
    </font>
    <font>
      <u/>
      <sz val="10.0"/>
      <color rgb="FF1155CC"/>
      <name val="Arial"/>
      <scheme val="minor"/>
    </font>
    <font>
      <u/>
      <color rgb="FF0000FF"/>
      <name val="-webkit-standard"/>
    </font>
    <font>
      <sz val="10.0"/>
      <color rgb="FF1155CC"/>
      <name val="Arial"/>
    </font>
    <font>
      <sz val="10.0"/>
      <color theme="1"/>
      <name val="Sans-serif"/>
    </font>
    <font>
      <sz val="10.0"/>
      <color rgb="FF1155CC"/>
      <name val="Arial"/>
      <scheme val="minor"/>
    </font>
    <font>
      <sz val="10.0"/>
      <color theme="1"/>
      <name val="&quot;Times New Roman&quot;"/>
    </font>
    <font>
      <color rgb="FF1155CC"/>
      <name val="Arial"/>
      <scheme val="minor"/>
    </font>
    <font>
      <color rgb="FF1155CC"/>
      <name val="Arial"/>
    </font>
    <font>
      <u/>
      <color theme="1"/>
      <name val="Arial"/>
    </font>
    <font>
      <u/>
      <color rgb="FF1155CC"/>
      <name val="Arial"/>
    </font>
    <font>
      <u/>
      <color rgb="FF1155CC"/>
      <name val="Arial"/>
      <scheme val="minor"/>
    </font>
    <font>
      <color rgb="FF333333"/>
      <name val="Sans-serif"/>
    </font>
    <font>
      <b/>
      <sz val="10.0"/>
      <color theme="1"/>
      <name val="Arial"/>
      <scheme val="minor"/>
    </font>
    <font>
      <u/>
      <sz val="10.0"/>
      <color rgb="FF0000FF"/>
    </font>
    <font>
      <u/>
      <sz val="10.0"/>
      <color rgb="FF0000FF"/>
    </font>
    <font>
      <u/>
      <sz val="10.0"/>
      <color rgb="FF1155CC"/>
    </font>
    <font>
      <color rgb="FF222222"/>
      <name val="Arial"/>
    </font>
    <font>
      <u/>
      <color rgb="FF000000"/>
      <name val="Roboto"/>
    </font>
    <font>
      <u/>
      <color rgb="FF1155CC"/>
      <name val="Arial"/>
    </font>
    <font>
      <u/>
      <sz val="10.0"/>
      <color rgb="FF1155CC"/>
      <name val="Arial"/>
    </font>
    <font>
      <strike/>
      <u/>
      <color rgb="FF1155CC"/>
    </font>
  </fonts>
  <fills count="17">
    <fill>
      <patternFill patternType="none"/>
    </fill>
    <fill>
      <patternFill patternType="lightGray"/>
    </fill>
    <fill>
      <patternFill patternType="solid">
        <fgColor rgb="FFD9D9D9"/>
        <bgColor rgb="FFD9D9D9"/>
      </patternFill>
    </fill>
    <fill>
      <patternFill patternType="solid">
        <fgColor rgb="FFD9EAD3"/>
        <bgColor rgb="FFD9EAD3"/>
      </patternFill>
    </fill>
    <fill>
      <patternFill patternType="solid">
        <fgColor rgb="FFFFFFFF"/>
        <bgColor rgb="FFFFFFFF"/>
      </patternFill>
    </fill>
    <fill>
      <patternFill patternType="solid">
        <fgColor rgb="FFE6B8AF"/>
        <bgColor rgb="FFE6B8AF"/>
      </patternFill>
    </fill>
    <fill>
      <patternFill patternType="solid">
        <fgColor rgb="FFF4CCCC"/>
        <bgColor rgb="FFF4CCCC"/>
      </patternFill>
    </fill>
    <fill>
      <patternFill patternType="solid">
        <fgColor rgb="FFFFF2CC"/>
        <bgColor rgb="FFFFF2CC"/>
      </patternFill>
    </fill>
    <fill>
      <patternFill patternType="solid">
        <fgColor rgb="FFFFFF00"/>
        <bgColor rgb="FFFFFF00"/>
      </patternFill>
    </fill>
    <fill>
      <patternFill patternType="solid">
        <fgColor theme="0"/>
        <bgColor theme="0"/>
      </patternFill>
    </fill>
    <fill>
      <patternFill patternType="solid">
        <fgColor rgb="FFE69138"/>
        <bgColor rgb="FFE69138"/>
      </patternFill>
    </fill>
    <fill>
      <patternFill patternType="solid">
        <fgColor rgb="FFFF0000"/>
        <bgColor rgb="FFFF0000"/>
      </patternFill>
    </fill>
    <fill>
      <patternFill patternType="solid">
        <fgColor rgb="FF9FC5E8"/>
        <bgColor rgb="FF9FC5E8"/>
      </patternFill>
    </fill>
    <fill>
      <patternFill patternType="solid">
        <fgColor rgb="FFFCE5CD"/>
        <bgColor rgb="FFFCE5CD"/>
      </patternFill>
    </fill>
    <fill>
      <patternFill patternType="solid">
        <fgColor rgb="FF990000"/>
        <bgColor rgb="FF990000"/>
      </patternFill>
    </fill>
    <fill>
      <patternFill patternType="solid">
        <fgColor rgb="FFEFEFEF"/>
        <bgColor rgb="FFEFEFEF"/>
      </patternFill>
    </fill>
    <fill>
      <patternFill patternType="solid">
        <fgColor rgb="FFEA9999"/>
        <bgColor rgb="FFEA9999"/>
      </patternFill>
    </fill>
  </fills>
  <borders count="4">
    <border/>
    <border>
      <right/>
    </border>
    <border>
      <left style="thin">
        <color rgb="FF000000"/>
      </left>
    </border>
    <border>
      <right style="thin">
        <color rgb="FF000000"/>
      </right>
    </border>
  </borders>
  <cellStyleXfs count="1">
    <xf borderId="0" fillId="0" fontId="0" numFmtId="0" applyAlignment="1" applyFont="1"/>
  </cellStyleXfs>
  <cellXfs count="43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Font="1"/>
    <xf borderId="0" fillId="2" fontId="1" numFmtId="0" xfId="0" applyAlignment="1" applyFill="1" applyFont="1">
      <alignment readingOrder="0" shrinkToFit="0" wrapText="1"/>
    </xf>
    <xf borderId="0" fillId="2" fontId="1" numFmtId="0" xfId="0" applyAlignment="1" applyFont="1">
      <alignment readingOrder="0"/>
    </xf>
    <xf borderId="0" fillId="2" fontId="2" numFmtId="0" xfId="0" applyFont="1"/>
    <xf borderId="0" fillId="0" fontId="2" numFmtId="0" xfId="0" applyAlignment="1" applyFont="1">
      <alignment readingOrder="0" shrinkToFit="0" wrapText="1"/>
    </xf>
    <xf borderId="0" fillId="0" fontId="3" numFmtId="0" xfId="0" applyAlignment="1" applyFont="1">
      <alignment readingOrder="0" shrinkToFit="0" wrapText="1"/>
    </xf>
    <xf borderId="0" fillId="0" fontId="4" numFmtId="0" xfId="0" applyAlignment="1" applyFont="1">
      <alignment readingOrder="0" shrinkToFit="0" wrapText="0"/>
    </xf>
    <xf borderId="0" fillId="0" fontId="2" numFmtId="0" xfId="0" applyAlignment="1" applyFont="1">
      <alignment readingOrder="0"/>
    </xf>
    <xf borderId="0" fillId="0" fontId="2" numFmtId="0" xfId="0" applyFont="1"/>
    <xf borderId="0" fillId="0" fontId="5" numFmtId="0" xfId="0" applyAlignment="1" applyFont="1">
      <alignment readingOrder="0" shrinkToFit="0" wrapText="0"/>
    </xf>
    <xf borderId="0" fillId="0" fontId="6" numFmtId="0" xfId="0" applyAlignment="1" applyFont="1">
      <alignment readingOrder="0" shrinkToFit="0" wrapText="0"/>
    </xf>
    <xf borderId="0" fillId="0" fontId="2" numFmtId="0" xfId="0" applyAlignment="1" applyFont="1">
      <alignment shrinkToFit="0" wrapText="1"/>
    </xf>
    <xf borderId="0" fillId="0" fontId="7" numFmtId="0" xfId="0" applyAlignment="1" applyFont="1">
      <alignment horizontal="left" readingOrder="0" shrinkToFit="0" wrapText="1"/>
    </xf>
    <xf borderId="0" fillId="0" fontId="8" numFmtId="0" xfId="0" applyAlignment="1" applyFont="1">
      <alignment shrinkToFit="0" wrapText="1"/>
    </xf>
    <xf borderId="0" fillId="0" fontId="9" numFmtId="0" xfId="0" applyAlignment="1" applyFont="1">
      <alignment readingOrder="0" shrinkToFit="0" vertical="bottom" wrapText="1"/>
    </xf>
    <xf borderId="0" fillId="0" fontId="10" numFmtId="0" xfId="0" applyAlignment="1" applyFont="1">
      <alignment readingOrder="0" shrinkToFit="0" vertical="bottom" wrapText="1"/>
    </xf>
    <xf borderId="0" fillId="0" fontId="11" numFmtId="0" xfId="0" applyAlignment="1" applyFont="1">
      <alignment readingOrder="0" shrinkToFit="0" wrapText="1"/>
    </xf>
    <xf borderId="0" fillId="0" fontId="12" numFmtId="0" xfId="0" applyAlignment="1" applyFont="1">
      <alignment readingOrder="0" shrinkToFit="0" wrapText="1"/>
    </xf>
    <xf borderId="0" fillId="0" fontId="13" numFmtId="0" xfId="0" applyAlignment="1" applyFont="1">
      <alignment readingOrder="0"/>
    </xf>
    <xf borderId="0" fillId="3" fontId="9" numFmtId="0" xfId="0" applyAlignment="1" applyFill="1" applyFont="1">
      <alignment readingOrder="0" shrinkToFit="0" vertical="bottom" wrapText="1"/>
    </xf>
    <xf borderId="0" fillId="0" fontId="2" numFmtId="0" xfId="0" applyAlignment="1" applyFont="1">
      <alignment readingOrder="0" shrinkToFit="0" wrapText="1"/>
    </xf>
    <xf borderId="0" fillId="0" fontId="9" numFmtId="0" xfId="0" applyAlignment="1" applyFont="1">
      <alignment readingOrder="0" shrinkToFit="0" vertical="bottom" wrapText="1"/>
    </xf>
    <xf borderId="0" fillId="0" fontId="14" numFmtId="0" xfId="0" applyAlignment="1" applyFont="1">
      <alignment readingOrder="0" shrinkToFit="0" wrapText="1"/>
    </xf>
    <xf borderId="0" fillId="0" fontId="15" numFmtId="0" xfId="0" applyAlignment="1" applyFont="1">
      <alignment readingOrder="0" shrinkToFit="0" vertical="bottom" wrapText="1"/>
    </xf>
    <xf borderId="0" fillId="0" fontId="16" numFmtId="0" xfId="0" applyAlignment="1" applyFont="1">
      <alignment shrinkToFit="0" vertical="bottom" wrapText="1"/>
    </xf>
    <xf borderId="0" fillId="4" fontId="17" numFmtId="0" xfId="0" applyAlignment="1" applyFill="1" applyFont="1">
      <alignment readingOrder="0" shrinkToFit="0" wrapText="1"/>
    </xf>
    <xf borderId="0" fillId="0" fontId="18" numFmtId="0" xfId="0" applyAlignment="1" applyFont="1">
      <alignment shrinkToFit="0" vertical="bottom" wrapText="1"/>
    </xf>
    <xf borderId="0" fillId="0" fontId="19" numFmtId="0" xfId="0" applyAlignment="1" applyFont="1">
      <alignment readingOrder="0" shrinkToFit="0" vertical="bottom" wrapText="1"/>
    </xf>
    <xf borderId="0" fillId="0" fontId="20" numFmtId="0" xfId="0" applyAlignment="1" applyFont="1">
      <alignment readingOrder="0" shrinkToFit="0" vertical="bottom" wrapText="1"/>
    </xf>
    <xf borderId="0" fillId="0" fontId="21" numFmtId="0" xfId="0" applyAlignment="1" applyFont="1">
      <alignment shrinkToFit="0" vertical="bottom" wrapText="1"/>
    </xf>
    <xf borderId="0" fillId="0" fontId="22" numFmtId="0" xfId="0" applyAlignment="1" applyFont="1">
      <alignment readingOrder="0"/>
    </xf>
    <xf borderId="0" fillId="0" fontId="23" numFmtId="0" xfId="0" applyAlignment="1" applyFont="1">
      <alignment readingOrder="0" shrinkToFit="0" wrapText="0"/>
    </xf>
    <xf borderId="0" fillId="0" fontId="7" numFmtId="0" xfId="0" applyAlignment="1" applyFont="1">
      <alignment shrinkToFit="0" vertical="bottom" wrapText="1"/>
    </xf>
    <xf borderId="0" fillId="0" fontId="7" numFmtId="0" xfId="0" applyAlignment="1" applyFont="1">
      <alignment readingOrder="0" shrinkToFit="0" vertical="bottom" wrapText="1"/>
    </xf>
    <xf borderId="0" fillId="0" fontId="2" numFmtId="0" xfId="0" applyAlignment="1" applyFont="1">
      <alignment shrinkToFit="0" wrapText="1"/>
    </xf>
    <xf borderId="0" fillId="0" fontId="24" numFmtId="0" xfId="0" applyAlignment="1" applyFont="1">
      <alignment shrinkToFit="0" vertical="bottom" wrapText="0"/>
    </xf>
    <xf borderId="0" fillId="0" fontId="25" numFmtId="0" xfId="0" applyAlignment="1" applyFont="1">
      <alignment readingOrder="0" shrinkToFit="0" vertical="bottom" wrapText="0"/>
    </xf>
    <xf borderId="0" fillId="0" fontId="9" numFmtId="0" xfId="0" applyAlignment="1" applyFont="1">
      <alignment shrinkToFit="0" vertical="bottom" wrapText="1"/>
    </xf>
    <xf borderId="1" fillId="0" fontId="7" numFmtId="0" xfId="0" applyAlignment="1" applyBorder="1" applyFont="1">
      <alignment readingOrder="0" shrinkToFit="0" vertical="bottom" wrapText="1"/>
    </xf>
    <xf borderId="0" fillId="3" fontId="2" numFmtId="0" xfId="0" applyAlignment="1" applyFont="1">
      <alignment readingOrder="0" shrinkToFit="0" wrapText="1"/>
    </xf>
    <xf borderId="0" fillId="0" fontId="26" numFmtId="0" xfId="0" applyAlignment="1" applyFont="1">
      <alignment vertical="bottom"/>
    </xf>
    <xf borderId="1" fillId="0" fontId="7" numFmtId="0" xfId="0" applyAlignment="1" applyBorder="1" applyFont="1">
      <alignment shrinkToFit="0" vertical="bottom" wrapText="0"/>
    </xf>
    <xf borderId="0" fillId="0" fontId="2" numFmtId="0" xfId="0" applyAlignment="1" applyFont="1">
      <alignment readingOrder="0" shrinkToFit="0" wrapText="1"/>
    </xf>
    <xf borderId="0" fillId="0" fontId="27" numFmtId="0" xfId="0" applyAlignment="1" applyFont="1">
      <alignment readingOrder="0" shrinkToFit="0" wrapText="1"/>
    </xf>
    <xf borderId="0" fillId="0" fontId="28" numFmtId="0" xfId="0" applyAlignment="1" applyFont="1">
      <alignment readingOrder="0" shrinkToFit="0" wrapText="1"/>
    </xf>
    <xf borderId="0" fillId="0" fontId="29" numFmtId="0" xfId="0" applyAlignment="1" applyFont="1">
      <alignment readingOrder="0" shrinkToFit="0" wrapText="1"/>
    </xf>
    <xf borderId="0" fillId="5" fontId="9" numFmtId="0" xfId="0" applyAlignment="1" applyFill="1" applyFont="1">
      <alignment readingOrder="0" shrinkToFit="0" vertical="bottom" wrapText="1"/>
    </xf>
    <xf borderId="0" fillId="0" fontId="30" numFmtId="0" xfId="0" applyAlignment="1" applyFont="1">
      <alignment readingOrder="0" shrinkToFit="0" vertical="bottom" wrapText="1"/>
    </xf>
    <xf borderId="0" fillId="0" fontId="31" numFmtId="0" xfId="0" applyAlignment="1" applyFont="1">
      <alignment horizontal="left" readingOrder="0" shrinkToFit="0" wrapText="1"/>
    </xf>
    <xf borderId="0" fillId="0" fontId="9" numFmtId="0" xfId="0" applyAlignment="1" applyFont="1">
      <alignment readingOrder="0" shrinkToFit="0" vertical="bottom" wrapText="1"/>
    </xf>
    <xf borderId="0" fillId="0" fontId="2" numFmtId="0" xfId="0" applyAlignment="1" applyFont="1">
      <alignment readingOrder="0" shrinkToFit="0" wrapText="0"/>
    </xf>
    <xf borderId="0" fillId="3" fontId="3" numFmtId="0" xfId="0" applyAlignment="1" applyFont="1">
      <alignment readingOrder="0" shrinkToFit="0" wrapText="1"/>
    </xf>
    <xf borderId="0" fillId="0" fontId="2" numFmtId="0" xfId="0" applyAlignment="1" applyFont="1">
      <alignment readingOrder="0" shrinkToFit="0" wrapText="1"/>
    </xf>
    <xf borderId="0" fillId="0" fontId="3" numFmtId="0" xfId="0" applyAlignment="1" applyFont="1">
      <alignment readingOrder="0" shrinkToFit="0" wrapText="1"/>
    </xf>
    <xf borderId="0" fillId="0" fontId="7" numFmtId="0" xfId="0" applyAlignment="1" applyFont="1">
      <alignment vertical="bottom"/>
    </xf>
    <xf borderId="0" fillId="0" fontId="32" numFmtId="0" xfId="0" applyAlignment="1" applyFont="1">
      <alignment readingOrder="0" shrinkToFit="0" vertical="bottom" wrapText="0"/>
    </xf>
    <xf borderId="0" fillId="0" fontId="33" numFmtId="0" xfId="0" applyAlignment="1" applyFont="1">
      <alignment readingOrder="0" shrinkToFit="0" wrapText="1"/>
    </xf>
    <xf borderId="0" fillId="0" fontId="31" numFmtId="0" xfId="0" applyAlignment="1" applyFont="1">
      <alignment readingOrder="0" shrinkToFit="0" vertical="bottom" wrapText="1"/>
    </xf>
    <xf borderId="0" fillId="5" fontId="2" numFmtId="0" xfId="0" applyAlignment="1" applyFont="1">
      <alignment readingOrder="0" shrinkToFit="0" wrapText="1"/>
    </xf>
    <xf borderId="0" fillId="5" fontId="7" numFmtId="0" xfId="0" applyAlignment="1" applyFont="1">
      <alignment readingOrder="0" shrinkToFit="0" vertical="bottom" wrapText="1"/>
    </xf>
    <xf borderId="0" fillId="4" fontId="7" numFmtId="0" xfId="0" applyAlignment="1" applyFont="1">
      <alignment readingOrder="0" shrinkToFit="0" wrapText="1"/>
    </xf>
    <xf borderId="0" fillId="0" fontId="34" numFmtId="0" xfId="0" applyAlignment="1" applyFont="1">
      <alignment readingOrder="0"/>
    </xf>
    <xf borderId="0" fillId="0" fontId="0" numFmtId="0" xfId="0" applyAlignment="1" applyFont="1">
      <alignment readingOrder="0"/>
    </xf>
    <xf borderId="0" fillId="0" fontId="3" numFmtId="0" xfId="0" applyAlignment="1" applyFont="1">
      <alignment readingOrder="0"/>
    </xf>
    <xf borderId="0" fillId="0" fontId="35" numFmtId="0" xfId="0" applyAlignment="1" applyFont="1">
      <alignment horizontal="left" readingOrder="0" shrinkToFit="0" wrapText="0"/>
    </xf>
    <xf borderId="0" fillId="0" fontId="3" numFmtId="0" xfId="0" applyAlignment="1" applyFont="1">
      <alignment horizontal="left" readingOrder="0" shrinkToFit="0" wrapText="1"/>
    </xf>
    <xf borderId="0" fillId="0" fontId="36" numFmtId="0" xfId="0" applyAlignment="1" applyFont="1">
      <alignment horizontal="left" readingOrder="0" shrinkToFit="0" wrapText="0"/>
    </xf>
    <xf borderId="0" fillId="0" fontId="7" numFmtId="0" xfId="0" applyAlignment="1" applyFont="1">
      <alignment shrinkToFit="0" vertical="bottom" wrapText="1"/>
    </xf>
    <xf borderId="0" fillId="0" fontId="37" numFmtId="0" xfId="0" applyAlignment="1" applyFont="1">
      <alignment readingOrder="0" shrinkToFit="0" wrapText="0"/>
    </xf>
    <xf borderId="0" fillId="4" fontId="31" numFmtId="0" xfId="0" applyAlignment="1" applyFont="1">
      <alignment horizontal="left" readingOrder="0"/>
    </xf>
    <xf borderId="0" fillId="0" fontId="2" numFmtId="0" xfId="0" applyAlignment="1" applyFont="1">
      <alignment shrinkToFit="0" wrapText="0"/>
    </xf>
    <xf borderId="0" fillId="4" fontId="38" numFmtId="0" xfId="0" applyFont="1"/>
    <xf borderId="0" fillId="0" fontId="39" numFmtId="0" xfId="0" applyAlignment="1" applyFont="1">
      <alignment readingOrder="0" shrinkToFit="0" vertical="bottom" wrapText="1"/>
    </xf>
    <xf borderId="0" fillId="0" fontId="39" numFmtId="0" xfId="0" applyAlignment="1" applyFont="1">
      <alignment shrinkToFit="0" vertical="bottom" wrapText="1"/>
    </xf>
    <xf borderId="0" fillId="3" fontId="39" numFmtId="0" xfId="0" applyAlignment="1" applyFont="1">
      <alignment readingOrder="0" shrinkToFit="0" vertical="bottom" wrapText="1"/>
    </xf>
    <xf borderId="0" fillId="3" fontId="1" numFmtId="0" xfId="0" applyAlignment="1" applyFont="1">
      <alignment readingOrder="0"/>
    </xf>
    <xf borderId="0" fillId="0" fontId="39" numFmtId="0" xfId="0" applyAlignment="1" applyFont="1">
      <alignment horizontal="left" readingOrder="0" shrinkToFit="0" vertical="bottom" wrapText="1"/>
    </xf>
    <xf borderId="0" fillId="3" fontId="39" numFmtId="0" xfId="0" applyAlignment="1" applyFont="1">
      <alignment horizontal="left" readingOrder="0" shrinkToFit="0" vertical="bottom" wrapText="1"/>
    </xf>
    <xf borderId="0" fillId="3" fontId="1" numFmtId="0" xfId="0" applyAlignment="1" applyFont="1">
      <alignment readingOrder="0" shrinkToFit="0" wrapText="1"/>
    </xf>
    <xf borderId="0" fillId="0" fontId="9" numFmtId="0" xfId="0" applyAlignment="1" applyFont="1">
      <alignment horizontal="right" shrinkToFit="0" vertical="bottom" wrapText="1"/>
    </xf>
    <xf borderId="0" fillId="0" fontId="3" numFmtId="0" xfId="0" applyAlignment="1" applyFont="1">
      <alignment shrinkToFit="0" wrapText="1"/>
    </xf>
    <xf borderId="0" fillId="0" fontId="9" numFmtId="0" xfId="0" applyAlignment="1" applyFont="1">
      <alignment horizontal="right" readingOrder="0" shrinkToFit="0" vertical="bottom" wrapText="1"/>
    </xf>
    <xf borderId="0" fillId="3" fontId="9" numFmtId="0" xfId="0" applyAlignment="1" applyFont="1">
      <alignment horizontal="right" readingOrder="0" shrinkToFit="0" vertical="bottom" wrapText="1"/>
    </xf>
    <xf borderId="0" fillId="3" fontId="9" numFmtId="0" xfId="0" applyAlignment="1" applyFont="1">
      <alignment horizontal="left" readingOrder="0" shrinkToFit="0" vertical="bottom" wrapText="1"/>
    </xf>
    <xf borderId="0" fillId="3" fontId="40" numFmtId="0" xfId="0" applyAlignment="1" applyFont="1">
      <alignment readingOrder="0" shrinkToFit="0" wrapText="1"/>
    </xf>
    <xf borderId="0" fillId="3" fontId="9" numFmtId="0" xfId="0" applyAlignment="1" applyFont="1">
      <alignment horizontal="right" shrinkToFit="0" vertical="bottom" wrapText="1"/>
    </xf>
    <xf borderId="0" fillId="6" fontId="9" numFmtId="0" xfId="0" applyAlignment="1" applyFill="1" applyFont="1">
      <alignment horizontal="right" readingOrder="0" shrinkToFit="0" vertical="bottom" wrapText="1"/>
    </xf>
    <xf borderId="0" fillId="3" fontId="31" numFmtId="0" xfId="0" applyAlignment="1" applyFont="1">
      <alignment horizontal="right" readingOrder="0" shrinkToFit="0" wrapText="1"/>
    </xf>
    <xf borderId="0" fillId="3" fontId="9" numFmtId="0" xfId="0" applyAlignment="1" applyFont="1">
      <alignment shrinkToFit="0" vertical="bottom" wrapText="1"/>
    </xf>
    <xf borderId="0" fillId="3" fontId="41" numFmtId="0" xfId="0" applyAlignment="1" applyFont="1">
      <alignment readingOrder="0" shrinkToFit="0" wrapText="1"/>
    </xf>
    <xf borderId="0" fillId="3" fontId="3" numFmtId="0" xfId="0" applyAlignment="1" applyFont="1">
      <alignment horizontal="right" readingOrder="0" shrinkToFit="0" wrapText="1"/>
    </xf>
    <xf borderId="0" fillId="3" fontId="3" numFmtId="0" xfId="0" applyAlignment="1" applyFont="1">
      <alignment horizontal="left" readingOrder="0" shrinkToFit="0" wrapText="1"/>
    </xf>
    <xf borderId="0" fillId="3" fontId="42" numFmtId="0" xfId="0" applyAlignment="1" applyFont="1">
      <alignment readingOrder="0" shrinkToFit="0" wrapText="1"/>
    </xf>
    <xf borderId="0" fillId="6" fontId="9" numFmtId="0" xfId="0" applyAlignment="1" applyFont="1">
      <alignment readingOrder="0" shrinkToFit="0" vertical="bottom" wrapText="1"/>
    </xf>
    <xf borderId="0" fillId="3" fontId="43" numFmtId="0" xfId="0" applyAlignment="1" applyFont="1">
      <alignment readingOrder="0" shrinkToFit="0" vertical="bottom" wrapText="1"/>
    </xf>
    <xf borderId="0" fillId="3" fontId="44" numFmtId="0" xfId="0" applyAlignment="1" applyFont="1">
      <alignment readingOrder="0" shrinkToFit="0" vertical="bottom" wrapText="1"/>
    </xf>
    <xf borderId="0" fillId="0" fontId="7" numFmtId="0" xfId="0" applyAlignment="1" applyFont="1">
      <alignment horizontal="right" shrinkToFit="0" vertical="bottom" wrapText="1"/>
    </xf>
    <xf borderId="0" fillId="3" fontId="2" numFmtId="0" xfId="0" applyAlignment="1" applyFont="1">
      <alignment shrinkToFit="0" wrapText="1"/>
    </xf>
    <xf borderId="0" fillId="0" fontId="45" numFmtId="0" xfId="0" applyAlignment="1" applyFont="1">
      <alignment shrinkToFit="0" vertical="bottom" wrapText="1"/>
    </xf>
    <xf borderId="0" fillId="3" fontId="31" numFmtId="0" xfId="0" applyAlignment="1" applyFont="1">
      <alignment horizontal="left" readingOrder="0" shrinkToFit="0" wrapText="1"/>
    </xf>
    <xf borderId="0" fillId="3" fontId="7" numFmtId="0" xfId="0" applyAlignment="1" applyFont="1">
      <alignment horizontal="left" readingOrder="0" shrinkToFit="0" vertical="bottom" wrapText="1"/>
    </xf>
    <xf borderId="0" fillId="3" fontId="46" numFmtId="0" xfId="0" applyAlignment="1" applyFont="1">
      <alignment shrinkToFit="0" vertical="bottom" wrapText="1"/>
    </xf>
    <xf borderId="0" fillId="3" fontId="7" numFmtId="0" xfId="0" applyAlignment="1" applyFont="1">
      <alignment readingOrder="0" shrinkToFit="0" vertical="bottom" wrapText="1"/>
    </xf>
    <xf borderId="0" fillId="3" fontId="7" numFmtId="0" xfId="0" applyAlignment="1" applyFont="1">
      <alignment horizontal="right" shrinkToFit="0" vertical="bottom" wrapText="1"/>
    </xf>
    <xf borderId="0" fillId="0" fontId="47" numFmtId="0" xfId="0" applyAlignment="1" applyFont="1">
      <alignment readingOrder="0" shrinkToFit="0" vertical="bottom" wrapText="1"/>
    </xf>
    <xf borderId="0" fillId="0" fontId="48" numFmtId="0" xfId="0" applyAlignment="1" applyFont="1">
      <alignment readingOrder="0" shrinkToFit="0" vertical="bottom" wrapText="1"/>
    </xf>
    <xf borderId="0" fillId="3" fontId="7" numFmtId="0" xfId="0" applyAlignment="1" applyFont="1">
      <alignment horizontal="right" readingOrder="0" shrinkToFit="0" vertical="bottom" wrapText="1"/>
    </xf>
    <xf borderId="0" fillId="3" fontId="49" numFmtId="0" xfId="0" applyAlignment="1" applyFont="1">
      <alignment readingOrder="0" shrinkToFit="0" wrapText="1"/>
    </xf>
    <xf borderId="0" fillId="3" fontId="7" numFmtId="0" xfId="0" applyAlignment="1" applyFont="1">
      <alignment shrinkToFit="0" vertical="bottom" wrapText="1"/>
    </xf>
    <xf borderId="0" fillId="0" fontId="7" numFmtId="0" xfId="0" applyAlignment="1" applyFont="1">
      <alignment horizontal="right" readingOrder="0" shrinkToFit="0" vertical="bottom" wrapText="1"/>
    </xf>
    <xf borderId="0" fillId="3" fontId="50" numFmtId="0" xfId="0" applyAlignment="1" applyFont="1">
      <alignment readingOrder="0" shrinkToFit="0" vertical="bottom" wrapText="1"/>
    </xf>
    <xf borderId="0" fillId="3" fontId="51" numFmtId="0" xfId="0" applyAlignment="1" applyFont="1">
      <alignment readingOrder="0" shrinkToFit="0" vertical="bottom" wrapText="1"/>
    </xf>
    <xf borderId="0" fillId="0" fontId="52" numFmtId="0" xfId="0" applyAlignment="1" applyFont="1">
      <alignment readingOrder="0" shrinkToFit="0" wrapText="1"/>
    </xf>
    <xf borderId="0" fillId="0" fontId="9" numFmtId="0" xfId="0" applyAlignment="1" applyFont="1">
      <alignment shrinkToFit="0" vertical="bottom" wrapText="1"/>
    </xf>
    <xf borderId="0" fillId="3" fontId="9" numFmtId="0" xfId="0" applyAlignment="1" applyFont="1">
      <alignment shrinkToFit="0" vertical="bottom" wrapText="1"/>
    </xf>
    <xf borderId="0" fillId="3" fontId="9" numFmtId="0" xfId="0" applyAlignment="1" applyFont="1">
      <alignment readingOrder="0" shrinkToFit="0" vertical="bottom" wrapText="1"/>
    </xf>
    <xf borderId="0" fillId="3" fontId="53" numFmtId="0" xfId="0" applyAlignment="1" applyFont="1">
      <alignment readingOrder="0" shrinkToFit="0" vertical="bottom" wrapText="1"/>
    </xf>
    <xf borderId="0" fillId="3" fontId="54" numFmtId="0" xfId="0" applyAlignment="1" applyFont="1">
      <alignment readingOrder="0" shrinkToFit="0" wrapText="1"/>
    </xf>
    <xf borderId="0" fillId="3" fontId="7" numFmtId="0" xfId="0" applyAlignment="1" applyFont="1">
      <alignment shrinkToFit="0" vertical="bottom" wrapText="1"/>
    </xf>
    <xf borderId="0" fillId="3" fontId="55" numFmtId="0" xfId="0" applyAlignment="1" applyFont="1">
      <alignment shrinkToFit="0" vertical="bottom" wrapText="1"/>
    </xf>
    <xf borderId="0" fillId="0" fontId="31" numFmtId="0" xfId="0" applyAlignment="1" applyFont="1">
      <alignment horizontal="right" readingOrder="0" shrinkToFit="0" wrapText="1"/>
    </xf>
    <xf borderId="0" fillId="3" fontId="7" numFmtId="0" xfId="0" applyAlignment="1" applyFont="1">
      <alignment readingOrder="0" shrinkToFit="0" vertical="bottom" wrapText="1"/>
    </xf>
    <xf borderId="0" fillId="3" fontId="7" numFmtId="0" xfId="0" applyAlignment="1" applyFont="1">
      <alignment shrinkToFit="0" vertical="bottom" wrapText="1"/>
    </xf>
    <xf borderId="0" fillId="3" fontId="56" numFmtId="0" xfId="0" applyAlignment="1" applyFont="1">
      <alignment readingOrder="0" shrinkToFit="0" vertical="bottom" wrapText="1"/>
    </xf>
    <xf borderId="0" fillId="3" fontId="57" numFmtId="0" xfId="0" applyAlignment="1" applyFont="1">
      <alignment horizontal="left" readingOrder="0" shrinkToFit="0" vertical="bottom" wrapText="1"/>
    </xf>
    <xf borderId="0" fillId="0" fontId="9" numFmtId="0" xfId="0" applyAlignment="1" applyFont="1">
      <alignment readingOrder="0" shrinkToFit="0" vertical="bottom" wrapText="1"/>
    </xf>
    <xf borderId="0" fillId="0" fontId="58" numFmtId="0" xfId="0" applyAlignment="1" applyFont="1">
      <alignment shrinkToFit="0" vertical="bottom" wrapText="1"/>
    </xf>
    <xf borderId="0" fillId="0" fontId="59" numFmtId="0" xfId="0" applyAlignment="1" applyFont="1">
      <alignment readingOrder="0" shrinkToFit="0" vertical="bottom" wrapText="1"/>
    </xf>
    <xf borderId="0" fillId="3" fontId="7" numFmtId="0" xfId="0" applyAlignment="1" applyFont="1">
      <alignment readingOrder="0" vertical="bottom"/>
    </xf>
    <xf borderId="0" fillId="3" fontId="9" numFmtId="0" xfId="0" applyAlignment="1" applyFont="1">
      <alignment horizontal="left" shrinkToFit="0" vertical="bottom" wrapText="1"/>
    </xf>
    <xf borderId="0" fillId="3" fontId="9" numFmtId="0" xfId="0" applyAlignment="1" applyFont="1">
      <alignment horizontal="right" readingOrder="0" shrinkToFit="0" vertical="bottom" wrapText="1"/>
    </xf>
    <xf borderId="0" fillId="3" fontId="60" numFmtId="0" xfId="0" applyAlignment="1" applyFont="1">
      <alignment readingOrder="0" shrinkToFit="0" wrapText="1"/>
    </xf>
    <xf borderId="0" fillId="3" fontId="61" numFmtId="0" xfId="0" applyAlignment="1" applyFont="1">
      <alignment readingOrder="0" shrinkToFit="0" vertical="bottom" wrapText="1"/>
    </xf>
    <xf borderId="0" fillId="0" fontId="62" numFmtId="0" xfId="0" applyAlignment="1" applyFont="1">
      <alignment readingOrder="0" shrinkToFit="0" vertical="bottom" wrapText="1"/>
    </xf>
    <xf borderId="0" fillId="3" fontId="31" numFmtId="1" xfId="0" applyAlignment="1" applyFont="1" applyNumberFormat="1">
      <alignment horizontal="left" readingOrder="0" shrinkToFit="0" wrapText="1"/>
    </xf>
    <xf borderId="0" fillId="7" fontId="7" numFmtId="0" xfId="0" applyAlignment="1" applyFill="1" applyFont="1">
      <alignment shrinkToFit="0" vertical="bottom" wrapText="1"/>
    </xf>
    <xf borderId="0" fillId="7" fontId="7" numFmtId="0" xfId="0" applyAlignment="1" applyFont="1">
      <alignment readingOrder="0" shrinkToFit="0" vertical="bottom" wrapText="1"/>
    </xf>
    <xf borderId="0" fillId="3" fontId="0" numFmtId="0" xfId="0" applyAlignment="1" applyFont="1">
      <alignment readingOrder="0" shrinkToFit="0" wrapText="1"/>
    </xf>
    <xf borderId="0" fillId="0" fontId="63" numFmtId="0" xfId="0" applyAlignment="1" applyFont="1">
      <alignment shrinkToFit="0" vertical="bottom" wrapText="1"/>
    </xf>
    <xf borderId="0" fillId="5" fontId="9" numFmtId="0" xfId="0" applyAlignment="1" applyFont="1">
      <alignment horizontal="right" readingOrder="0" shrinkToFit="0" vertical="bottom" wrapText="1"/>
    </xf>
    <xf borderId="0" fillId="5" fontId="64" numFmtId="0" xfId="0" applyAlignment="1" applyFont="1">
      <alignment readingOrder="0" shrinkToFit="0" vertical="bottom" wrapText="1"/>
    </xf>
    <xf borderId="0" fillId="3" fontId="2" numFmtId="0" xfId="0" applyFont="1"/>
    <xf borderId="0" fillId="3" fontId="17" numFmtId="0" xfId="0" applyAlignment="1" applyFont="1">
      <alignment readingOrder="0"/>
    </xf>
    <xf borderId="0" fillId="5" fontId="9" numFmtId="0" xfId="0" applyAlignment="1" applyFont="1">
      <alignment readingOrder="0" shrinkToFit="0" vertical="bottom" wrapText="1"/>
    </xf>
    <xf borderId="0" fillId="5" fontId="9" numFmtId="0" xfId="0" applyAlignment="1" applyFont="1">
      <alignment shrinkToFit="0" vertical="bottom" wrapText="1"/>
    </xf>
    <xf borderId="0" fillId="7" fontId="9" numFmtId="0" xfId="0" applyAlignment="1" applyFont="1">
      <alignment readingOrder="0" shrinkToFit="0" vertical="bottom" wrapText="1"/>
    </xf>
    <xf borderId="0" fillId="3" fontId="3" numFmtId="0" xfId="0" applyAlignment="1" applyFont="1">
      <alignment shrinkToFit="0" wrapText="1"/>
    </xf>
    <xf borderId="0" fillId="3" fontId="65" numFmtId="0" xfId="0" applyAlignment="1" applyFont="1">
      <alignment readingOrder="0" shrinkToFit="0" wrapText="1"/>
    </xf>
    <xf borderId="0" fillId="3" fontId="7" numFmtId="0" xfId="0" applyAlignment="1" applyFont="1">
      <alignment horizontal="left" shrinkToFit="0" vertical="bottom" wrapText="1"/>
    </xf>
    <xf borderId="0" fillId="3" fontId="9" numFmtId="0" xfId="0" applyAlignment="1" applyFont="1">
      <alignment horizontal="right" readingOrder="0" shrinkToFit="0" vertical="bottom" wrapText="1"/>
    </xf>
    <xf borderId="0" fillId="0" fontId="66" numFmtId="0" xfId="0" applyAlignment="1" applyFont="1">
      <alignment horizontal="left"/>
    </xf>
    <xf borderId="0" fillId="3" fontId="2" numFmtId="0" xfId="0" applyAlignment="1" applyFont="1">
      <alignment readingOrder="0"/>
    </xf>
    <xf borderId="0" fillId="3" fontId="67" numFmtId="0" xfId="0" applyAlignment="1" applyFont="1">
      <alignment horizontal="left" readingOrder="0"/>
    </xf>
    <xf borderId="0" fillId="0" fontId="31" numFmtId="0" xfId="0" applyAlignment="1" applyFont="1">
      <alignment horizontal="left" readingOrder="0"/>
    </xf>
    <xf borderId="0" fillId="3" fontId="9" numFmtId="0" xfId="0" applyAlignment="1" applyFont="1">
      <alignment horizontal="left" readingOrder="0" shrinkToFit="0" vertical="bottom" wrapText="1"/>
    </xf>
    <xf borderId="0" fillId="4" fontId="9" numFmtId="0" xfId="0" applyAlignment="1" applyFont="1">
      <alignment horizontal="right" readingOrder="0" shrinkToFit="0" vertical="bottom" wrapText="1"/>
    </xf>
    <xf borderId="0" fillId="4" fontId="68" numFmtId="0" xfId="0" applyAlignment="1" applyFont="1">
      <alignment readingOrder="0"/>
    </xf>
    <xf borderId="0" fillId="7" fontId="9" numFmtId="0" xfId="0" applyAlignment="1" applyFont="1">
      <alignment shrinkToFit="0" vertical="bottom" wrapText="1"/>
    </xf>
    <xf borderId="0" fillId="0" fontId="53" numFmtId="0" xfId="0" applyAlignment="1" applyFont="1">
      <alignment readingOrder="0" shrinkToFit="0" vertical="bottom" wrapText="1"/>
    </xf>
    <xf borderId="0" fillId="8" fontId="3" numFmtId="0" xfId="0" applyAlignment="1" applyFill="1" applyFont="1">
      <alignment readingOrder="0" shrinkToFit="0" wrapText="1"/>
    </xf>
    <xf borderId="0" fillId="5" fontId="69" numFmtId="0" xfId="0" applyAlignment="1" applyFont="1">
      <alignment readingOrder="0" shrinkToFit="0" vertical="bottom" wrapText="1"/>
    </xf>
    <xf borderId="0" fillId="9" fontId="9" numFmtId="0" xfId="0" applyAlignment="1" applyFill="1" applyFont="1">
      <alignment readingOrder="0" shrinkToFit="0" vertical="bottom" wrapText="1"/>
    </xf>
    <xf borderId="0" fillId="0" fontId="70" numFmtId="0" xfId="0" applyAlignment="1" applyFont="1">
      <alignment shrinkToFit="0" vertical="bottom" wrapText="1"/>
    </xf>
    <xf borderId="0" fillId="3" fontId="31" numFmtId="0" xfId="0" applyAlignment="1" applyFont="1">
      <alignment horizontal="left" readingOrder="0"/>
    </xf>
    <xf borderId="0" fillId="6" fontId="9" numFmtId="0" xfId="0" applyAlignment="1" applyFont="1">
      <alignment shrinkToFit="0" vertical="bottom" wrapText="1"/>
    </xf>
    <xf borderId="0" fillId="3" fontId="71" numFmtId="0" xfId="0" applyAlignment="1" applyFont="1">
      <alignment readingOrder="0" shrinkToFit="0" vertical="bottom" wrapText="0"/>
    </xf>
    <xf borderId="0" fillId="6" fontId="3" numFmtId="0" xfId="0" applyAlignment="1" applyFont="1">
      <alignment readingOrder="0" shrinkToFit="0" wrapText="1"/>
    </xf>
    <xf borderId="0" fillId="10" fontId="9" numFmtId="0" xfId="0" applyAlignment="1" applyFill="1" applyFont="1">
      <alignment readingOrder="0" shrinkToFit="0" vertical="bottom" wrapText="1"/>
    </xf>
    <xf borderId="0" fillId="4" fontId="17" numFmtId="0" xfId="0" applyAlignment="1" applyFont="1">
      <alignment readingOrder="0"/>
    </xf>
    <xf borderId="0" fillId="5" fontId="3" numFmtId="0" xfId="0" applyAlignment="1" applyFont="1">
      <alignment readingOrder="0" shrinkToFit="0" wrapText="1"/>
    </xf>
    <xf borderId="0" fillId="7" fontId="72" numFmtId="0" xfId="0" applyAlignment="1" applyFont="1">
      <alignment readingOrder="0" shrinkToFit="0" vertical="bottom" wrapText="1"/>
    </xf>
    <xf borderId="0" fillId="5" fontId="7" numFmtId="0" xfId="0" applyAlignment="1" applyFont="1">
      <alignment shrinkToFit="0" vertical="bottom" wrapText="1"/>
    </xf>
    <xf borderId="0" fillId="7" fontId="73" numFmtId="0" xfId="0" applyAlignment="1" applyFont="1">
      <alignment readingOrder="0" shrinkToFit="0" vertical="bottom" wrapText="1"/>
    </xf>
    <xf borderId="0" fillId="6" fontId="7" numFmtId="0" xfId="0" applyAlignment="1" applyFont="1">
      <alignment readingOrder="0" shrinkToFit="0" vertical="bottom" wrapText="1"/>
    </xf>
    <xf borderId="0" fillId="5" fontId="7" numFmtId="0" xfId="0" applyAlignment="1" applyFont="1">
      <alignment horizontal="left" readingOrder="0" shrinkToFit="0" vertical="bottom" wrapText="1"/>
    </xf>
    <xf borderId="0" fillId="0" fontId="74" numFmtId="0" xfId="0" applyAlignment="1" applyFont="1">
      <alignment readingOrder="0" shrinkToFit="0" vertical="bottom" wrapText="1"/>
    </xf>
    <xf borderId="0" fillId="11" fontId="7" numFmtId="0" xfId="0" applyAlignment="1" applyFill="1" applyFont="1">
      <alignment shrinkToFit="0" vertical="bottom" wrapText="1"/>
    </xf>
    <xf borderId="0" fillId="3" fontId="7" numFmtId="0" xfId="0" applyAlignment="1" applyFont="1">
      <alignment readingOrder="0" shrinkToFit="0" vertical="bottom" wrapText="1"/>
    </xf>
    <xf borderId="0" fillId="3" fontId="75" numFmtId="0" xfId="0" applyAlignment="1" applyFont="1">
      <alignment readingOrder="0" shrinkToFit="0" vertical="bottom" wrapText="1"/>
    </xf>
    <xf borderId="0" fillId="3" fontId="2" numFmtId="0" xfId="0" applyAlignment="1" applyFont="1">
      <alignment horizontal="left" readingOrder="0" shrinkToFit="0" wrapText="1"/>
    </xf>
    <xf borderId="0" fillId="0" fontId="48" numFmtId="0" xfId="0" applyAlignment="1" applyFont="1">
      <alignment shrinkToFit="0" vertical="bottom" wrapText="1"/>
    </xf>
    <xf borderId="0" fillId="0" fontId="76" numFmtId="0" xfId="0" applyAlignment="1" applyFont="1">
      <alignment shrinkToFit="0" vertical="bottom" wrapText="1"/>
    </xf>
    <xf borderId="0" fillId="0" fontId="31" numFmtId="0" xfId="0" applyAlignment="1" applyFont="1">
      <alignment horizontal="right" shrinkToFit="0" vertical="bottom" wrapText="1"/>
    </xf>
    <xf borderId="0" fillId="0" fontId="31" numFmtId="0" xfId="0" applyAlignment="1" applyFont="1">
      <alignment readingOrder="0"/>
    </xf>
    <xf borderId="0" fillId="3" fontId="77" numFmtId="0" xfId="0" applyAlignment="1" applyFont="1">
      <alignment readingOrder="0" shrinkToFit="0" wrapText="1"/>
    </xf>
    <xf borderId="0" fillId="3" fontId="31" numFmtId="0" xfId="0" applyAlignment="1" applyFont="1">
      <alignment readingOrder="0"/>
    </xf>
    <xf borderId="0" fillId="3" fontId="31" numFmtId="0" xfId="0" applyAlignment="1" applyFont="1">
      <alignment readingOrder="0" shrinkToFit="0" wrapText="1"/>
    </xf>
    <xf borderId="0" fillId="0" fontId="78" numFmtId="0" xfId="0" applyAlignment="1" applyFont="1">
      <alignment horizontal="left" readingOrder="0" shrinkToFit="0" wrapText="1"/>
    </xf>
    <xf borderId="0" fillId="0" fontId="31" numFmtId="0" xfId="0" applyAlignment="1" applyFont="1">
      <alignment horizontal="right" readingOrder="0"/>
    </xf>
    <xf borderId="0" fillId="0" fontId="79" numFmtId="0" xfId="0" applyAlignment="1" applyFont="1">
      <alignment readingOrder="0"/>
    </xf>
    <xf borderId="0" fillId="0" fontId="80" numFmtId="0" xfId="0" applyAlignment="1" applyFont="1">
      <alignment readingOrder="0"/>
    </xf>
    <xf borderId="0" fillId="3" fontId="48" numFmtId="0" xfId="0" applyAlignment="1" applyFont="1">
      <alignment readingOrder="0" shrinkToFit="0" vertical="bottom" wrapText="1"/>
    </xf>
    <xf borderId="0" fillId="5" fontId="7" numFmtId="0" xfId="0" applyAlignment="1" applyFont="1">
      <alignment horizontal="right" shrinkToFit="0" vertical="bottom" wrapText="1"/>
    </xf>
    <xf borderId="0" fillId="5" fontId="7" numFmtId="0" xfId="0" applyAlignment="1" applyFont="1">
      <alignment shrinkToFit="0" vertical="bottom" wrapText="1"/>
    </xf>
    <xf borderId="0" fillId="5" fontId="7" numFmtId="0" xfId="0" applyAlignment="1" applyFont="1">
      <alignment horizontal="right" readingOrder="0" shrinkToFit="0" vertical="bottom" wrapText="1"/>
    </xf>
    <xf borderId="0" fillId="0" fontId="7" numFmtId="0" xfId="0" applyAlignment="1" applyFont="1">
      <alignment horizontal="right" shrinkToFit="0" vertical="bottom" wrapText="1"/>
    </xf>
    <xf borderId="0" fillId="0" fontId="7" numFmtId="0" xfId="0" applyAlignment="1" applyFont="1">
      <alignment vertical="bottom"/>
    </xf>
    <xf borderId="0" fillId="3" fontId="7" numFmtId="0" xfId="0" applyAlignment="1" applyFont="1">
      <alignment horizontal="right" shrinkToFit="0" vertical="bottom" wrapText="1"/>
    </xf>
    <xf borderId="0" fillId="3" fontId="7" numFmtId="0" xfId="0" applyAlignment="1" applyFont="1">
      <alignment vertical="bottom"/>
    </xf>
    <xf borderId="0" fillId="0" fontId="81" numFmtId="0" xfId="0" applyAlignment="1" applyFont="1">
      <alignment horizontal="left" readingOrder="0" shrinkToFit="0" wrapText="1"/>
    </xf>
    <xf borderId="0" fillId="5" fontId="9" numFmtId="0" xfId="0" applyAlignment="1" applyFont="1">
      <alignment shrinkToFit="0" vertical="bottom" wrapText="1"/>
    </xf>
    <xf borderId="0" fillId="0" fontId="31" numFmtId="0" xfId="0" applyAlignment="1" applyFont="1">
      <alignment readingOrder="0" shrinkToFit="0" wrapText="1"/>
    </xf>
    <xf borderId="0" fillId="0" fontId="31" numFmtId="0" xfId="0" applyAlignment="1" applyFont="1">
      <alignment readingOrder="0" shrinkToFit="0" wrapText="1"/>
    </xf>
    <xf borderId="0" fillId="3" fontId="39" numFmtId="0" xfId="0" applyAlignment="1" applyFont="1">
      <alignment shrinkToFit="0" vertical="bottom" wrapText="1"/>
    </xf>
    <xf borderId="0" fillId="7" fontId="7" numFmtId="0" xfId="0" applyAlignment="1" applyFont="1">
      <alignment horizontal="right" readingOrder="0" shrinkToFit="0" vertical="bottom" wrapText="1"/>
    </xf>
    <xf borderId="0" fillId="0" fontId="7" numFmtId="0" xfId="0" applyAlignment="1" applyFont="1">
      <alignment shrinkToFit="0" vertical="bottom" wrapText="1"/>
    </xf>
    <xf borderId="0" fillId="3" fontId="82" numFmtId="0" xfId="0" applyAlignment="1" applyFont="1">
      <alignment shrinkToFit="0" vertical="bottom" wrapText="1"/>
    </xf>
    <xf borderId="0" fillId="0" fontId="7" numFmtId="0" xfId="0" applyAlignment="1" applyFont="1">
      <alignment readingOrder="0" shrinkToFit="0" vertical="bottom" wrapText="1"/>
    </xf>
    <xf borderId="0" fillId="3" fontId="7" numFmtId="0" xfId="0" applyAlignment="1" applyFont="1">
      <alignment vertical="bottom"/>
    </xf>
    <xf borderId="0" fillId="0" fontId="7" numFmtId="0" xfId="0" applyAlignment="1" applyFont="1">
      <alignment readingOrder="0" shrinkToFit="0" vertical="bottom" wrapText="1"/>
    </xf>
    <xf borderId="0" fillId="3" fontId="31" numFmtId="0" xfId="0" applyAlignment="1" applyFont="1">
      <alignment readingOrder="0" shrinkToFit="0" vertical="bottom" wrapText="1"/>
    </xf>
    <xf borderId="0" fillId="3" fontId="83" numFmtId="0" xfId="0" applyAlignment="1" applyFont="1">
      <alignment readingOrder="0" vertical="bottom"/>
    </xf>
    <xf borderId="0" fillId="0" fontId="7" numFmtId="0" xfId="0" applyAlignment="1" applyFont="1">
      <alignment shrinkToFit="0" vertical="bottom" wrapText="1"/>
    </xf>
    <xf borderId="0" fillId="0" fontId="84" numFmtId="0" xfId="0" applyAlignment="1" applyFont="1">
      <alignment readingOrder="0" vertical="bottom"/>
    </xf>
    <xf borderId="0" fillId="3" fontId="85" numFmtId="0" xfId="0" applyAlignment="1" applyFont="1">
      <alignment shrinkToFit="0" vertical="bottom" wrapText="1"/>
    </xf>
    <xf borderId="0" fillId="7" fontId="86" numFmtId="0" xfId="0" applyAlignment="1" applyFont="1">
      <alignment shrinkToFit="0" vertical="bottom" wrapText="1"/>
    </xf>
    <xf borderId="0" fillId="3" fontId="7" numFmtId="164" xfId="0" applyAlignment="1" applyFont="1" applyNumberFormat="1">
      <alignment readingOrder="0" vertical="bottom"/>
    </xf>
    <xf borderId="0" fillId="3" fontId="87" numFmtId="0" xfId="0" applyAlignment="1" applyFont="1">
      <alignment shrinkToFit="0" vertical="bottom" wrapText="1"/>
    </xf>
    <xf borderId="0" fillId="7" fontId="88" numFmtId="0" xfId="0" applyAlignment="1" applyFont="1">
      <alignment shrinkToFit="0" vertical="bottom" wrapText="1"/>
    </xf>
    <xf borderId="0" fillId="4" fontId="89" numFmtId="0" xfId="0" applyAlignment="1" applyFont="1">
      <alignment readingOrder="0"/>
    </xf>
    <xf borderId="0" fillId="0" fontId="7" numFmtId="0" xfId="0" applyAlignment="1" applyFont="1">
      <alignment readingOrder="0" vertical="bottom"/>
    </xf>
    <xf borderId="0" fillId="6" fontId="7" numFmtId="0" xfId="0" applyAlignment="1" applyFont="1">
      <alignment horizontal="right" shrinkToFit="0" vertical="bottom" wrapText="1"/>
    </xf>
    <xf borderId="0" fillId="7" fontId="90" numFmtId="0" xfId="0" applyAlignment="1" applyFont="1">
      <alignment readingOrder="0" shrinkToFit="0" vertical="bottom" wrapText="1"/>
    </xf>
    <xf borderId="0" fillId="4" fontId="7" numFmtId="0" xfId="0" applyAlignment="1" applyFont="1">
      <alignment readingOrder="0" vertical="bottom"/>
    </xf>
    <xf borderId="0" fillId="7" fontId="91" numFmtId="0" xfId="0" applyAlignment="1" applyFont="1">
      <alignment readingOrder="0" shrinkToFit="0" vertical="bottom" wrapText="1"/>
    </xf>
    <xf borderId="0" fillId="4" fontId="7" numFmtId="0" xfId="0" applyAlignment="1" applyFont="1">
      <alignment vertical="bottom"/>
    </xf>
    <xf borderId="0" fillId="3" fontId="92" numFmtId="0" xfId="0" applyAlignment="1" applyFont="1">
      <alignment vertical="bottom"/>
    </xf>
    <xf borderId="0" fillId="0" fontId="93" numFmtId="0" xfId="0" applyAlignment="1" applyFont="1">
      <alignment horizontal="right" shrinkToFit="0" vertical="bottom" wrapText="1"/>
    </xf>
    <xf borderId="0" fillId="3" fontId="94" numFmtId="0" xfId="0" applyAlignment="1" applyFont="1">
      <alignment readingOrder="0" shrinkToFit="0" vertical="bottom" wrapText="1"/>
    </xf>
    <xf borderId="0" fillId="3" fontId="31" numFmtId="0" xfId="0" applyAlignment="1" applyFont="1">
      <alignment readingOrder="0" shrinkToFit="0" vertical="bottom" wrapText="1"/>
    </xf>
    <xf borderId="0" fillId="3" fontId="94" numFmtId="0" xfId="0" applyAlignment="1" applyFont="1">
      <alignment readingOrder="0" vertical="bottom"/>
    </xf>
    <xf borderId="0" fillId="3" fontId="94" numFmtId="0" xfId="0" applyAlignment="1" applyFont="1">
      <alignment vertical="bottom"/>
    </xf>
    <xf borderId="0" fillId="3" fontId="48" numFmtId="0" xfId="0" applyAlignment="1" applyFont="1">
      <alignment shrinkToFit="0" vertical="bottom" wrapText="1"/>
    </xf>
    <xf borderId="0" fillId="0" fontId="95" numFmtId="0" xfId="0" applyAlignment="1" applyFont="1">
      <alignment readingOrder="0" shrinkToFit="0" vertical="bottom" wrapText="0"/>
    </xf>
    <xf borderId="0" fillId="0" fontId="95" numFmtId="0" xfId="0" applyAlignment="1" applyFont="1">
      <alignment horizontal="right" readingOrder="0" shrinkToFit="0" vertical="bottom" wrapText="0"/>
    </xf>
    <xf borderId="0" fillId="0" fontId="2" numFmtId="0" xfId="0" applyAlignment="1" applyFont="1">
      <alignment readingOrder="0"/>
    </xf>
    <xf borderId="0" fillId="3" fontId="96" numFmtId="0" xfId="0" applyAlignment="1" applyFont="1">
      <alignment shrinkToFit="0" vertical="bottom" wrapText="1"/>
    </xf>
    <xf borderId="0" fillId="7" fontId="7" numFmtId="0" xfId="0" applyAlignment="1" applyFont="1">
      <alignment shrinkToFit="0" vertical="bottom" wrapText="1"/>
    </xf>
    <xf borderId="0" fillId="12" fontId="7" numFmtId="0" xfId="0" applyAlignment="1" applyFill="1" applyFont="1">
      <alignment shrinkToFit="0" vertical="bottom" wrapText="1"/>
    </xf>
    <xf borderId="0" fillId="6" fontId="7" numFmtId="0" xfId="0" applyAlignment="1" applyFont="1">
      <alignment shrinkToFit="0" vertical="bottom" wrapText="1"/>
    </xf>
    <xf borderId="0" fillId="5" fontId="7" numFmtId="0" xfId="0" applyAlignment="1" applyFont="1">
      <alignment horizontal="right" shrinkToFit="0" vertical="bottom" wrapText="1"/>
    </xf>
    <xf borderId="0" fillId="3" fontId="7" numFmtId="0" xfId="0" applyAlignment="1" applyFont="1">
      <alignment horizontal="right" vertical="bottom"/>
    </xf>
    <xf borderId="0" fillId="3" fontId="2" numFmtId="0" xfId="0" applyFont="1"/>
    <xf borderId="0" fillId="0" fontId="2" numFmtId="1" xfId="0" applyFont="1" applyNumberFormat="1"/>
    <xf borderId="0" fillId="0" fontId="7" numFmtId="164" xfId="0" applyAlignment="1" applyFont="1" applyNumberFormat="1">
      <alignment readingOrder="0" shrinkToFit="0" vertical="bottom" wrapText="1"/>
    </xf>
    <xf borderId="0" fillId="0" fontId="94" numFmtId="0" xfId="0" applyAlignment="1" applyFont="1">
      <alignment readingOrder="0" shrinkToFit="0" vertical="bottom" wrapText="1"/>
    </xf>
    <xf borderId="0" fillId="0" fontId="31" numFmtId="0" xfId="0" applyAlignment="1" applyFont="1">
      <alignment readingOrder="0" shrinkToFit="0" vertical="bottom" wrapText="1"/>
    </xf>
    <xf borderId="0" fillId="0" fontId="94" numFmtId="0" xfId="0" applyAlignment="1" applyFont="1">
      <alignment shrinkToFit="0" vertical="bottom" wrapText="1"/>
    </xf>
    <xf borderId="0" fillId="0" fontId="48" numFmtId="0" xfId="0" applyAlignment="1" applyFont="1">
      <alignment shrinkToFit="0" vertical="bottom" wrapText="1"/>
    </xf>
    <xf borderId="0" fillId="0" fontId="95" numFmtId="0" xfId="0" applyAlignment="1" applyFont="1">
      <alignment readingOrder="0" shrinkToFit="0" vertical="bottom" wrapText="1"/>
    </xf>
    <xf borderId="0" fillId="0" fontId="95" numFmtId="0" xfId="0" applyAlignment="1" applyFont="1">
      <alignment horizontal="right" readingOrder="0" shrinkToFit="0" vertical="bottom" wrapText="1"/>
    </xf>
    <xf borderId="0" fillId="0" fontId="96" numFmtId="0" xfId="0" applyAlignment="1" applyFont="1">
      <alignment shrinkToFit="0" vertical="bottom" wrapText="1"/>
    </xf>
    <xf borderId="0" fillId="3" fontId="1" numFmtId="0" xfId="0" applyAlignment="1" applyFont="1">
      <alignment readingOrder="0" shrinkToFit="0" vertical="center" wrapText="1"/>
    </xf>
    <xf borderId="0" fillId="0" fontId="2" numFmtId="0" xfId="0" applyAlignment="1" applyFont="1">
      <alignment shrinkToFit="0" vertical="center" wrapText="1"/>
    </xf>
    <xf borderId="0" fillId="0" fontId="2" numFmtId="0" xfId="0" applyAlignment="1" applyFont="1">
      <alignment readingOrder="0" shrinkToFit="0" vertical="center" wrapText="1"/>
    </xf>
    <xf borderId="0" fillId="0" fontId="97" numFmtId="0" xfId="0" applyAlignment="1" applyFont="1">
      <alignment readingOrder="0" shrinkToFit="0" vertical="center" wrapText="1"/>
    </xf>
    <xf borderId="0" fillId="0" fontId="7" numFmtId="0" xfId="0" applyAlignment="1" applyFont="1">
      <alignment readingOrder="0" shrinkToFit="0" vertical="center" wrapText="1"/>
    </xf>
    <xf borderId="0" fillId="4" fontId="31" numFmtId="0" xfId="0" applyAlignment="1" applyFont="1">
      <alignment horizontal="left" readingOrder="0" shrinkToFit="0" wrapText="1"/>
    </xf>
    <xf borderId="0" fillId="0" fontId="98" numFmtId="0" xfId="0" applyAlignment="1" applyFont="1">
      <alignment readingOrder="0" shrinkToFit="0" wrapText="1"/>
    </xf>
    <xf borderId="0" fillId="0" fontId="33" numFmtId="0" xfId="0" applyAlignment="1" applyFont="1">
      <alignment readingOrder="0" shrinkToFit="0" vertical="center" wrapText="1"/>
    </xf>
    <xf borderId="0" fillId="0" fontId="7" numFmtId="0" xfId="0" applyAlignment="1" applyFont="1">
      <alignment shrinkToFit="0" vertical="center" wrapText="1"/>
    </xf>
    <xf borderId="0" fillId="0" fontId="98" numFmtId="0" xfId="0" applyAlignment="1" applyFont="1">
      <alignment readingOrder="0"/>
    </xf>
    <xf quotePrefix="1" borderId="0" fillId="0" fontId="2" numFmtId="0" xfId="0" applyAlignment="1" applyFont="1">
      <alignment readingOrder="0" shrinkToFit="0" wrapText="1"/>
    </xf>
    <xf borderId="0" fillId="0" fontId="99" numFmtId="0" xfId="0" applyAlignment="1" applyFont="1">
      <alignment readingOrder="0" shrinkToFit="0" wrapText="1"/>
    </xf>
    <xf borderId="0" fillId="0" fontId="7" numFmtId="0" xfId="0" applyFont="1"/>
    <xf borderId="0" fillId="0" fontId="2" numFmtId="164" xfId="0" applyAlignment="1" applyFont="1" applyNumberFormat="1">
      <alignment readingOrder="0" shrinkToFit="0" wrapText="1"/>
    </xf>
    <xf borderId="0" fillId="0" fontId="7" numFmtId="0" xfId="0" applyAlignment="1" applyFont="1">
      <alignment horizontal="right" vertical="bottom"/>
    </xf>
    <xf borderId="0" fillId="0" fontId="100" numFmtId="0" xfId="0" applyAlignment="1" applyFont="1">
      <alignment shrinkToFit="0" vertical="bottom" wrapText="0"/>
    </xf>
    <xf quotePrefix="1" borderId="0" fillId="0" fontId="7" numFmtId="0" xfId="0" applyAlignment="1" applyFont="1">
      <alignment vertical="bottom"/>
    </xf>
    <xf borderId="0" fillId="13" fontId="7" numFmtId="0" xfId="0" applyAlignment="1" applyFill="1" applyFont="1">
      <alignment vertical="bottom"/>
    </xf>
    <xf borderId="0" fillId="6" fontId="7" numFmtId="0" xfId="0" applyAlignment="1" applyFont="1">
      <alignment shrinkToFit="0" vertical="bottom" wrapText="1"/>
    </xf>
    <xf borderId="0" fillId="6" fontId="7" numFmtId="0" xfId="0" applyAlignment="1" applyFont="1">
      <alignment horizontal="right" vertical="bottom"/>
    </xf>
    <xf borderId="0" fillId="6" fontId="7" numFmtId="0" xfId="0" applyAlignment="1" applyFont="1">
      <alignment vertical="bottom"/>
    </xf>
    <xf borderId="0" fillId="6" fontId="101" numFmtId="0" xfId="0" applyAlignment="1" applyFont="1">
      <alignment vertical="bottom"/>
    </xf>
    <xf borderId="0" fillId="3" fontId="7" numFmtId="0" xfId="0" applyAlignment="1" applyFont="1">
      <alignment horizontal="right" vertical="bottom"/>
    </xf>
    <xf borderId="0" fillId="3" fontId="102" numFmtId="0" xfId="0" applyAlignment="1" applyFont="1">
      <alignment vertical="bottom"/>
    </xf>
    <xf borderId="0" fillId="0" fontId="103" numFmtId="0" xfId="0" applyAlignment="1" applyFont="1">
      <alignment shrinkToFit="0" vertical="bottom" wrapText="1"/>
    </xf>
    <xf borderId="0" fillId="0" fontId="104" numFmtId="0" xfId="0" applyAlignment="1" applyFont="1">
      <alignment vertical="bottom"/>
    </xf>
    <xf borderId="0" fillId="0" fontId="103" numFmtId="0" xfId="0" applyAlignment="1" applyFont="1">
      <alignment horizontal="right" vertical="bottom"/>
    </xf>
    <xf borderId="0" fillId="0" fontId="103" numFmtId="0" xfId="0" applyAlignment="1" applyFont="1">
      <alignment vertical="bottom"/>
    </xf>
    <xf borderId="0" fillId="0" fontId="103" numFmtId="0" xfId="0" applyAlignment="1" applyFont="1">
      <alignment shrinkToFit="0" vertical="bottom" wrapText="0"/>
    </xf>
    <xf borderId="0" fillId="0" fontId="105" numFmtId="0" xfId="0" applyAlignment="1" applyFont="1">
      <alignment shrinkToFit="0" vertical="bottom" wrapText="0"/>
    </xf>
    <xf borderId="0" fillId="0" fontId="7" numFmtId="0" xfId="0" applyAlignment="1" applyFont="1">
      <alignment shrinkToFit="0" vertical="bottom" wrapText="0"/>
    </xf>
    <xf quotePrefix="1" borderId="0" fillId="3" fontId="7" numFmtId="0" xfId="0" applyAlignment="1" applyFont="1">
      <alignment vertical="bottom"/>
    </xf>
    <xf borderId="0" fillId="14" fontId="7" numFmtId="0" xfId="0" applyAlignment="1" applyFill="1" applyFont="1">
      <alignment shrinkToFit="0" vertical="bottom" wrapText="1"/>
    </xf>
    <xf borderId="0" fillId="14" fontId="7" numFmtId="0" xfId="0" applyAlignment="1" applyFont="1">
      <alignment vertical="bottom"/>
    </xf>
    <xf borderId="0" fillId="14" fontId="7" numFmtId="0" xfId="0" applyAlignment="1" applyFont="1">
      <alignment shrinkToFit="0" vertical="bottom" wrapText="0"/>
    </xf>
    <xf borderId="0" fillId="14" fontId="106" numFmtId="0" xfId="0" applyAlignment="1" applyFont="1">
      <alignment shrinkToFit="0" vertical="bottom" wrapText="0"/>
    </xf>
    <xf borderId="0" fillId="3" fontId="7" numFmtId="0" xfId="0" applyAlignment="1" applyFont="1">
      <alignment shrinkToFit="0" vertical="bottom" wrapText="0"/>
    </xf>
    <xf borderId="0" fillId="3" fontId="107" numFmtId="0" xfId="0" applyAlignment="1" applyFont="1">
      <alignment vertical="bottom"/>
    </xf>
    <xf borderId="0" fillId="3" fontId="108" numFmtId="0" xfId="0" applyAlignment="1" applyFont="1">
      <alignment shrinkToFit="0" vertical="bottom" wrapText="0"/>
    </xf>
    <xf borderId="0" fillId="6" fontId="109" numFmtId="0" xfId="0" applyAlignment="1" applyFont="1">
      <alignment shrinkToFit="0" vertical="bottom" wrapText="0"/>
    </xf>
    <xf borderId="2" fillId="0" fontId="9" numFmtId="0" xfId="0" applyAlignment="1" applyBorder="1" applyFont="1">
      <alignment readingOrder="0" shrinkToFit="0" vertical="bottom" wrapText="1"/>
    </xf>
    <xf borderId="3" fillId="0" fontId="9" numFmtId="0" xfId="0" applyAlignment="1" applyBorder="1" applyFont="1">
      <alignment readingOrder="0" shrinkToFit="0" vertical="bottom" wrapText="1"/>
    </xf>
    <xf borderId="2" fillId="0" fontId="9" numFmtId="0" xfId="0" applyAlignment="1" applyBorder="1" applyFont="1">
      <alignment shrinkToFit="0" vertical="bottom" wrapText="1"/>
    </xf>
    <xf borderId="2" fillId="0" fontId="7" numFmtId="0" xfId="0" applyAlignment="1" applyBorder="1" applyFont="1">
      <alignment readingOrder="0" shrinkToFit="0" vertical="bottom" wrapText="1"/>
    </xf>
    <xf borderId="3" fillId="0" fontId="7" numFmtId="0" xfId="0" applyAlignment="1" applyBorder="1" applyFont="1">
      <alignment shrinkToFit="0" vertical="bottom" wrapText="1"/>
    </xf>
    <xf borderId="2" fillId="0" fontId="7" numFmtId="0" xfId="0" applyAlignment="1" applyBorder="1" applyFont="1">
      <alignment shrinkToFit="0" vertical="bottom" wrapText="1"/>
    </xf>
    <xf borderId="2" fillId="0" fontId="2" numFmtId="0" xfId="0" applyAlignment="1" applyBorder="1" applyFont="1">
      <alignment shrinkToFit="0" wrapText="1"/>
    </xf>
    <xf borderId="3" fillId="0" fontId="2" numFmtId="0" xfId="0" applyAlignment="1" applyBorder="1" applyFont="1">
      <alignment shrinkToFit="0" wrapText="1"/>
    </xf>
    <xf borderId="2" fillId="0" fontId="2" numFmtId="0" xfId="0" applyAlignment="1" applyBorder="1" applyFont="1">
      <alignment readingOrder="0" shrinkToFit="0" wrapText="1"/>
    </xf>
    <xf borderId="3" fillId="0" fontId="2" numFmtId="0" xfId="0" applyAlignment="1" applyBorder="1" applyFont="1">
      <alignment readingOrder="0" shrinkToFit="0" wrapText="1"/>
    </xf>
    <xf borderId="0" fillId="7" fontId="110" numFmtId="0" xfId="0" applyAlignment="1" applyFont="1">
      <alignment readingOrder="0" shrinkToFit="0" wrapText="1"/>
    </xf>
    <xf borderId="3" fillId="0" fontId="2" numFmtId="0" xfId="0" applyAlignment="1" applyBorder="1" applyFont="1">
      <alignment readingOrder="0" shrinkToFit="0" wrapText="1"/>
    </xf>
    <xf borderId="3" fillId="0" fontId="111" numFmtId="0" xfId="0" applyAlignment="1" applyBorder="1" applyFont="1">
      <alignment readingOrder="0" shrinkToFit="0" wrapText="1"/>
    </xf>
    <xf borderId="3" fillId="0" fontId="112" numFmtId="0" xfId="0" applyAlignment="1" applyBorder="1" applyFont="1">
      <alignment readingOrder="0" shrinkToFit="0" wrapText="1"/>
    </xf>
    <xf borderId="0" fillId="0" fontId="33" numFmtId="0" xfId="0" applyAlignment="1" applyFont="1">
      <alignment readingOrder="0" shrinkToFit="0" wrapText="1"/>
    </xf>
    <xf borderId="3" fillId="0" fontId="113" numFmtId="0" xfId="0" applyAlignment="1" applyBorder="1" applyFont="1">
      <alignment shrinkToFit="0" vertical="bottom" wrapText="1"/>
    </xf>
    <xf borderId="0" fillId="0" fontId="114" numFmtId="0" xfId="0" applyAlignment="1" applyFont="1">
      <alignment readingOrder="0" shrinkToFit="0" vertical="bottom" wrapText="0"/>
    </xf>
    <xf borderId="0" fillId="0" fontId="114" numFmtId="0" xfId="0" applyAlignment="1" applyFont="1">
      <alignment readingOrder="0" vertical="bottom"/>
    </xf>
    <xf borderId="0" fillId="0" fontId="114" numFmtId="0" xfId="0" applyAlignment="1" applyFont="1">
      <alignment vertical="bottom"/>
    </xf>
    <xf borderId="0" fillId="0" fontId="39" numFmtId="0" xfId="0" applyAlignment="1" applyFont="1">
      <alignment shrinkToFit="0" vertical="bottom" wrapText="0"/>
    </xf>
    <xf borderId="0" fillId="7" fontId="115" numFmtId="0" xfId="0" applyAlignment="1" applyFont="1">
      <alignment readingOrder="0" shrinkToFit="0" wrapText="0"/>
    </xf>
    <xf borderId="0" fillId="0" fontId="116" numFmtId="0" xfId="0" applyAlignment="1" applyFont="1">
      <alignment readingOrder="0" shrinkToFit="0" wrapText="0"/>
    </xf>
    <xf borderId="0" fillId="7" fontId="117" numFmtId="0" xfId="0" applyAlignment="1" applyFont="1">
      <alignment readingOrder="0" shrinkToFit="0" wrapText="0"/>
    </xf>
    <xf borderId="0" fillId="7" fontId="2" numFmtId="0" xfId="0" applyAlignment="1" applyFont="1">
      <alignment readingOrder="0" shrinkToFit="0" wrapText="0"/>
    </xf>
    <xf borderId="0" fillId="0" fontId="39" numFmtId="0" xfId="0" applyAlignment="1" applyFont="1">
      <alignment horizontal="left" shrinkToFit="0" vertical="bottom" wrapText="1"/>
    </xf>
    <xf borderId="0" fillId="0" fontId="39" numFmtId="0" xfId="0" applyAlignment="1" applyFont="1">
      <alignment shrinkToFit="0" vertical="bottom" wrapText="1"/>
    </xf>
    <xf borderId="0" fillId="3" fontId="39" numFmtId="0" xfId="0" applyAlignment="1" applyFont="1">
      <alignment horizontal="left" readingOrder="0" shrinkToFit="0" vertical="bottom" wrapText="1"/>
    </xf>
    <xf borderId="0" fillId="0" fontId="9" numFmtId="0" xfId="0" applyAlignment="1" applyFont="1">
      <alignment horizontal="left" readingOrder="0" shrinkToFit="0" vertical="bottom" wrapText="1"/>
    </xf>
    <xf borderId="0" fillId="0" fontId="9" numFmtId="0" xfId="0" applyAlignment="1" applyFont="1">
      <alignment readingOrder="0" shrinkToFit="0" vertical="bottom" wrapText="1"/>
    </xf>
    <xf borderId="0" fillId="3" fontId="9" numFmtId="0" xfId="0" applyAlignment="1" applyFont="1">
      <alignment horizontal="left" shrinkToFit="0" vertical="bottom" wrapText="1"/>
    </xf>
    <xf borderId="0" fillId="3" fontId="9" numFmtId="164" xfId="0" applyAlignment="1" applyFont="1" applyNumberFormat="1">
      <alignment readingOrder="0" shrinkToFit="0" vertical="bottom" wrapText="1"/>
    </xf>
    <xf borderId="0" fillId="3" fontId="9" numFmtId="0" xfId="0" applyAlignment="1" applyFont="1">
      <alignment horizontal="left" readingOrder="0" shrinkToFit="0" vertical="bottom" wrapText="1"/>
    </xf>
    <xf borderId="0" fillId="0" fontId="9" numFmtId="0" xfId="0" applyAlignment="1" applyFont="1">
      <alignment horizontal="right" readingOrder="0" shrinkToFit="0" vertical="bottom" wrapText="1"/>
    </xf>
    <xf borderId="0" fillId="0" fontId="9" numFmtId="0" xfId="0" applyAlignment="1" applyFont="1">
      <alignment horizontal="left" shrinkToFit="0" vertical="bottom" wrapText="1"/>
    </xf>
    <xf borderId="0" fillId="3" fontId="9" numFmtId="0" xfId="0" applyAlignment="1" applyFont="1">
      <alignment readingOrder="0" shrinkToFit="0" vertical="bottom" wrapText="1"/>
    </xf>
    <xf borderId="0" fillId="3" fontId="3" numFmtId="0" xfId="0" applyAlignment="1" applyFont="1">
      <alignment horizontal="left" readingOrder="0" shrinkToFit="0" wrapText="1"/>
    </xf>
    <xf borderId="0" fillId="0" fontId="2" numFmtId="0" xfId="0" applyFont="1"/>
    <xf borderId="0" fillId="3" fontId="118" numFmtId="0" xfId="0" applyAlignment="1" applyFont="1">
      <alignment horizontal="left" readingOrder="0" shrinkToFit="0" wrapText="1"/>
    </xf>
    <xf borderId="0" fillId="0" fontId="3" numFmtId="0" xfId="0" applyAlignment="1" applyFont="1">
      <alignment readingOrder="0" shrinkToFit="0" wrapText="1"/>
    </xf>
    <xf borderId="0" fillId="0" fontId="3" numFmtId="0" xfId="0" applyAlignment="1" applyFont="1">
      <alignment shrinkToFit="0" wrapText="1"/>
    </xf>
    <xf borderId="0" fillId="0" fontId="9" numFmtId="0" xfId="0" applyAlignment="1" applyFont="1">
      <alignment horizontal="right" readingOrder="0" shrinkToFit="0" vertical="bottom" wrapText="1"/>
    </xf>
    <xf borderId="0" fillId="3" fontId="9" numFmtId="0" xfId="0" applyAlignment="1" applyFont="1">
      <alignment readingOrder="0" shrinkToFit="0" vertical="bottom" wrapText="1"/>
    </xf>
    <xf borderId="0" fillId="3" fontId="119" numFmtId="0" xfId="0" applyAlignment="1" applyFont="1">
      <alignment horizontal="left" readingOrder="0" shrinkToFit="0" wrapText="1"/>
    </xf>
    <xf borderId="0" fillId="0" fontId="48" numFmtId="0" xfId="0" applyAlignment="1" applyFont="1">
      <alignment horizontal="left" readingOrder="0" shrinkToFit="0" vertical="bottom" wrapText="1"/>
    </xf>
    <xf borderId="0" fillId="3" fontId="9" numFmtId="0" xfId="0" applyAlignment="1" applyFont="1">
      <alignment horizontal="left" readingOrder="0" shrinkToFit="0" vertical="bottom" wrapText="1"/>
    </xf>
    <xf borderId="0" fillId="3" fontId="120" numFmtId="0" xfId="0" applyAlignment="1" applyFont="1">
      <alignment horizontal="left" readingOrder="0" shrinkToFit="0" vertical="bottom" wrapText="1"/>
    </xf>
    <xf borderId="0" fillId="7" fontId="7" numFmtId="0" xfId="0" applyAlignment="1" applyFont="1">
      <alignment horizontal="right" shrinkToFit="0" vertical="bottom" wrapText="1"/>
    </xf>
    <xf borderId="0" fillId="3" fontId="7" numFmtId="0" xfId="0" applyAlignment="1" applyFont="1">
      <alignment horizontal="left" vertical="bottom"/>
    </xf>
    <xf borderId="0" fillId="3" fontId="7" numFmtId="0" xfId="0" applyAlignment="1" applyFont="1">
      <alignment horizontal="left" readingOrder="0" shrinkToFit="0" vertical="bottom" wrapText="1"/>
    </xf>
    <xf borderId="0" fillId="3" fontId="121" numFmtId="0" xfId="0" applyAlignment="1" applyFont="1">
      <alignment horizontal="left" shrinkToFit="0" vertical="bottom" wrapText="1"/>
    </xf>
    <xf borderId="0" fillId="3" fontId="3" numFmtId="0" xfId="0" applyAlignment="1" applyFont="1">
      <alignment horizontal="left" readingOrder="0" shrinkToFit="0" wrapText="1"/>
    </xf>
    <xf borderId="0" fillId="3" fontId="122" numFmtId="0" xfId="0" applyAlignment="1" applyFont="1">
      <alignment horizontal="left" readingOrder="0" shrinkToFit="0" wrapText="1"/>
    </xf>
    <xf borderId="0" fillId="0" fontId="53" numFmtId="0" xfId="0" applyAlignment="1" applyFont="1">
      <alignment readingOrder="0" shrinkToFit="0" vertical="bottom" wrapText="1"/>
    </xf>
    <xf borderId="0" fillId="3" fontId="54" numFmtId="0" xfId="0" applyAlignment="1" applyFont="1">
      <alignment horizontal="left" readingOrder="0" shrinkToFit="0" wrapText="1"/>
    </xf>
    <xf borderId="0" fillId="3" fontId="9" numFmtId="0" xfId="0" applyAlignment="1" applyFont="1">
      <alignment horizontal="left" readingOrder="0" shrinkToFit="0" vertical="bottom" wrapText="1"/>
    </xf>
    <xf borderId="0" fillId="3" fontId="53" numFmtId="0" xfId="0" applyAlignment="1" applyFont="1">
      <alignment horizontal="left" readingOrder="0" shrinkToFit="0" vertical="bottom" wrapText="1"/>
    </xf>
    <xf borderId="0" fillId="3" fontId="7" numFmtId="0" xfId="0" applyAlignment="1" applyFont="1">
      <alignment horizontal="left" shrinkToFit="0" vertical="bottom" wrapText="1"/>
    </xf>
    <xf borderId="0" fillId="3" fontId="123" numFmtId="0" xfId="0" applyAlignment="1" applyFont="1">
      <alignment readingOrder="0" shrinkToFit="0" vertical="bottom" wrapText="1"/>
    </xf>
    <xf borderId="0" fillId="0" fontId="124" numFmtId="0" xfId="0" applyAlignment="1" applyFont="1">
      <alignment readingOrder="0" shrinkToFit="0" wrapText="1"/>
    </xf>
    <xf borderId="0" fillId="3" fontId="0" numFmtId="0" xfId="0" applyAlignment="1" applyFont="1">
      <alignment horizontal="left" readingOrder="0" shrinkToFit="0" wrapText="1"/>
    </xf>
    <xf borderId="0" fillId="0" fontId="2" numFmtId="0" xfId="0" applyAlignment="1" applyFont="1">
      <alignment readingOrder="0"/>
    </xf>
    <xf borderId="0" fillId="3" fontId="2" numFmtId="0" xfId="0" applyAlignment="1" applyFont="1">
      <alignment horizontal="left"/>
    </xf>
    <xf borderId="0" fillId="3" fontId="2" numFmtId="0" xfId="0" applyAlignment="1" applyFont="1">
      <alignment horizontal="left"/>
    </xf>
    <xf borderId="0" fillId="0" fontId="3" numFmtId="0" xfId="0" applyAlignment="1" applyFont="1">
      <alignment readingOrder="0" shrinkToFit="0" wrapText="1"/>
    </xf>
    <xf borderId="0" fillId="3" fontId="53" numFmtId="0" xfId="0" applyAlignment="1" applyFont="1">
      <alignment horizontal="left" readingOrder="0" shrinkToFit="0" vertical="bottom" wrapText="1"/>
    </xf>
    <xf borderId="0" fillId="3" fontId="9" numFmtId="0" xfId="0" applyAlignment="1" applyFont="1">
      <alignment horizontal="left" readingOrder="0" shrinkToFit="0" vertical="bottom" wrapText="1"/>
    </xf>
    <xf borderId="0" fillId="3" fontId="3" numFmtId="0" xfId="0" applyAlignment="1" applyFont="1">
      <alignment readingOrder="0" shrinkToFit="0" wrapText="1"/>
    </xf>
    <xf borderId="0" fillId="3" fontId="3" numFmtId="0" xfId="0" applyAlignment="1" applyFont="1">
      <alignment readingOrder="0" shrinkToFit="0" wrapText="1"/>
    </xf>
    <xf borderId="0" fillId="0" fontId="53" numFmtId="0" xfId="0" applyAlignment="1" applyFont="1">
      <alignment readingOrder="0" shrinkToFit="0" vertical="bottom" wrapText="1"/>
    </xf>
    <xf borderId="0" fillId="4" fontId="9" numFmtId="0" xfId="0" applyAlignment="1" applyFont="1">
      <alignment readingOrder="0" shrinkToFit="0" vertical="bottom" wrapText="1"/>
    </xf>
    <xf borderId="0" fillId="3" fontId="2" numFmtId="0" xfId="0" applyAlignment="1" applyFont="1">
      <alignment readingOrder="0" shrinkToFit="0" wrapText="1"/>
    </xf>
    <xf borderId="0" fillId="0" fontId="125" numFmtId="0" xfId="0" applyAlignment="1" applyFont="1">
      <alignment readingOrder="0" shrinkToFit="0" wrapText="1"/>
    </xf>
    <xf borderId="0" fillId="0" fontId="9" numFmtId="0" xfId="0" applyAlignment="1" applyFont="1">
      <alignment readingOrder="0" shrinkToFit="0" vertical="bottom" wrapText="1"/>
    </xf>
    <xf borderId="0" fillId="0" fontId="9" numFmtId="0" xfId="0" applyAlignment="1" applyFont="1">
      <alignment shrinkToFit="0" vertical="bottom" wrapText="1"/>
    </xf>
    <xf borderId="0" fillId="0" fontId="126" numFmtId="0" xfId="0" applyAlignment="1" applyFont="1">
      <alignment readingOrder="0" shrinkToFit="0" vertical="bottom" wrapText="1"/>
    </xf>
    <xf borderId="0" fillId="0" fontId="53" numFmtId="0" xfId="0" applyAlignment="1" applyFont="1">
      <alignment readingOrder="0" shrinkToFit="0" vertical="bottom" wrapText="1"/>
    </xf>
    <xf borderId="0" fillId="0" fontId="3" numFmtId="0" xfId="0" applyAlignment="1" applyFont="1">
      <alignment readingOrder="0" shrinkToFit="0" wrapText="1"/>
    </xf>
    <xf borderId="0" fillId="0" fontId="127" numFmtId="0" xfId="0" applyAlignment="1" applyFont="1">
      <alignment shrinkToFit="0" vertical="bottom" wrapText="1"/>
    </xf>
    <xf borderId="0" fillId="0" fontId="128" numFmtId="0" xfId="0" applyAlignment="1" applyFont="1">
      <alignment readingOrder="0" shrinkToFit="0" wrapText="1"/>
    </xf>
    <xf borderId="0" fillId="0" fontId="129" numFmtId="0" xfId="0" applyAlignment="1" applyFont="1">
      <alignment shrinkToFit="0" vertical="bottom" wrapText="1"/>
    </xf>
    <xf borderId="0" fillId="0" fontId="130" numFmtId="0" xfId="0" applyAlignment="1" applyFont="1">
      <alignment readingOrder="0" shrinkToFit="0" wrapText="1"/>
    </xf>
    <xf borderId="0" fillId="0" fontId="7" numFmtId="0" xfId="0" applyAlignment="1" applyFont="1">
      <alignment horizontal="left" shrinkToFit="0" vertical="bottom" wrapText="1"/>
    </xf>
    <xf borderId="0" fillId="0" fontId="131" numFmtId="0" xfId="0" applyAlignment="1" applyFont="1">
      <alignment readingOrder="0" shrinkToFit="0" vertical="bottom" wrapText="1"/>
    </xf>
    <xf borderId="0" fillId="0" fontId="7" numFmtId="0" xfId="0" applyAlignment="1" applyFont="1">
      <alignment readingOrder="0" shrinkToFit="0" vertical="bottom" wrapText="1"/>
    </xf>
    <xf borderId="0" fillId="0" fontId="7" numFmtId="0" xfId="0" applyAlignment="1" applyFont="1">
      <alignment shrinkToFit="0" vertical="bottom" wrapText="1"/>
    </xf>
    <xf borderId="0" fillId="3" fontId="2" numFmtId="0" xfId="0" applyAlignment="1" applyFont="1">
      <alignment horizontal="left" shrinkToFit="0" wrapText="1"/>
    </xf>
    <xf borderId="0" fillId="0" fontId="7" numFmtId="0" xfId="0" applyAlignment="1" applyFont="1">
      <alignment horizontal="left" readingOrder="0" shrinkToFit="0" vertical="bottom" wrapText="1"/>
    </xf>
    <xf borderId="0" fillId="3" fontId="7" numFmtId="0" xfId="0" applyAlignment="1" applyFont="1">
      <alignment horizontal="left" shrinkToFit="0" vertical="bottom" wrapText="1"/>
    </xf>
    <xf borderId="0" fillId="0" fontId="31" numFmtId="0" xfId="0" applyAlignment="1" applyFont="1">
      <alignment shrinkToFit="0" vertical="bottom" wrapText="1"/>
    </xf>
    <xf borderId="0" fillId="0" fontId="131" numFmtId="0" xfId="0" applyAlignment="1" applyFont="1">
      <alignment shrinkToFit="0" vertical="bottom" wrapText="1"/>
    </xf>
    <xf borderId="0" fillId="3" fontId="31" numFmtId="0" xfId="0" applyAlignment="1" applyFont="1">
      <alignment horizontal="right" shrinkToFit="0" vertical="bottom" wrapText="1"/>
    </xf>
    <xf borderId="0" fillId="3" fontId="31" numFmtId="0" xfId="0" applyAlignment="1" applyFont="1">
      <alignment horizontal="left" readingOrder="0"/>
    </xf>
    <xf borderId="0" fillId="0" fontId="79" numFmtId="0" xfId="0" applyAlignment="1" applyFont="1">
      <alignment readingOrder="0"/>
    </xf>
    <xf borderId="0" fillId="0" fontId="7" numFmtId="0" xfId="0" applyAlignment="1" applyFont="1">
      <alignment readingOrder="0"/>
    </xf>
    <xf borderId="0" fillId="0" fontId="7" numFmtId="0" xfId="0" applyAlignment="1" applyFont="1">
      <alignment horizontal="left" shrinkToFit="0" vertical="bottom" wrapText="1"/>
    </xf>
    <xf borderId="0" fillId="3" fontId="132" numFmtId="0" xfId="0" applyAlignment="1" applyFont="1">
      <alignment shrinkToFit="0" vertical="bottom" wrapText="1"/>
    </xf>
    <xf borderId="0" fillId="0" fontId="1" numFmtId="0" xfId="0" applyFont="1"/>
    <xf borderId="0" fillId="0" fontId="9" numFmtId="0" xfId="0" applyAlignment="1" applyFont="1">
      <alignment readingOrder="0" shrinkToFit="0" vertical="bottom" wrapText="0"/>
    </xf>
    <xf borderId="0" fillId="0" fontId="2" numFmtId="9" xfId="0" applyFont="1" applyNumberFormat="1"/>
    <xf borderId="0" fillId="0" fontId="7" numFmtId="0" xfId="0" applyAlignment="1" applyFont="1">
      <alignment readingOrder="0" shrinkToFit="0" vertical="bottom" wrapText="0"/>
    </xf>
    <xf borderId="0" fillId="0" fontId="2" numFmtId="9" xfId="0" applyAlignment="1" applyFont="1" applyNumberFormat="1">
      <alignment readingOrder="0"/>
    </xf>
    <xf borderId="0" fillId="0" fontId="2" numFmtId="4" xfId="0" applyFont="1" applyNumberFormat="1"/>
    <xf borderId="0" fillId="0" fontId="7" numFmtId="0" xfId="0" applyAlignment="1" applyFont="1">
      <alignment shrinkToFit="0" vertical="bottom" wrapText="0"/>
    </xf>
    <xf borderId="0" fillId="0" fontId="2" numFmtId="10" xfId="0" applyFont="1" applyNumberFormat="1"/>
    <xf borderId="0" fillId="0" fontId="2" numFmtId="165" xfId="0" applyFont="1" applyNumberFormat="1"/>
    <xf borderId="0" fillId="0" fontId="31" numFmtId="0" xfId="0" applyAlignment="1" applyFont="1">
      <alignment readingOrder="0" shrinkToFit="0" vertical="bottom" wrapText="0"/>
    </xf>
    <xf borderId="0" fillId="0" fontId="114" numFmtId="0" xfId="0" applyAlignment="1" applyFont="1">
      <alignment readingOrder="0" shrinkToFit="0" vertical="bottom" wrapText="1"/>
    </xf>
    <xf borderId="0" fillId="0" fontId="114" numFmtId="0" xfId="0" applyAlignment="1" applyFont="1">
      <alignment shrinkToFit="0" vertical="bottom" wrapText="1"/>
    </xf>
    <xf borderId="0" fillId="3" fontId="114" numFmtId="0" xfId="0" applyAlignment="1" applyFont="1">
      <alignment shrinkToFit="0" vertical="bottom" wrapText="1"/>
    </xf>
    <xf borderId="0" fillId="10" fontId="7" numFmtId="0" xfId="0" applyAlignment="1" applyFont="1">
      <alignment shrinkToFit="0" vertical="bottom" wrapText="1"/>
    </xf>
    <xf borderId="0" fillId="5" fontId="133" numFmtId="0" xfId="0" applyAlignment="1" applyFont="1">
      <alignment shrinkToFit="0" vertical="bottom" wrapText="1"/>
    </xf>
    <xf borderId="0" fillId="0" fontId="1" numFmtId="0" xfId="0" applyAlignment="1" applyFont="1">
      <alignment readingOrder="0" shrinkToFit="0" wrapText="1"/>
    </xf>
    <xf borderId="0" fillId="4" fontId="33" numFmtId="0" xfId="0" applyAlignment="1" applyFont="1">
      <alignment readingOrder="0"/>
    </xf>
    <xf borderId="0" fillId="0" fontId="3" numFmtId="0" xfId="0" applyFont="1"/>
    <xf borderId="0" fillId="0" fontId="134" numFmtId="0" xfId="0" applyAlignment="1" applyFont="1">
      <alignment readingOrder="0"/>
    </xf>
    <xf borderId="0" fillId="4" fontId="135" numFmtId="0" xfId="0" applyAlignment="1" applyFont="1">
      <alignment readingOrder="0"/>
    </xf>
    <xf borderId="0" fillId="4" fontId="135" numFmtId="0" xfId="0" applyFont="1"/>
    <xf borderId="0" fillId="0" fontId="136" numFmtId="0" xfId="0" applyAlignment="1" applyFont="1">
      <alignment readingOrder="0" shrinkToFit="0" wrapText="1"/>
    </xf>
    <xf borderId="0" fillId="0" fontId="136" numFmtId="0" xfId="0" applyAlignment="1" applyFont="1">
      <alignment readingOrder="0"/>
    </xf>
    <xf borderId="0" fillId="0" fontId="136" numFmtId="0" xfId="0" applyAlignment="1" applyFont="1">
      <alignment readingOrder="0" shrinkToFit="0" wrapText="0"/>
    </xf>
    <xf borderId="0" fillId="0" fontId="3" numFmtId="0" xfId="0" applyAlignment="1" applyFont="1">
      <alignment readingOrder="0" shrinkToFit="0" wrapText="0"/>
    </xf>
    <xf borderId="0" fillId="0" fontId="137" numFmtId="0" xfId="0" applyAlignment="1" applyFont="1">
      <alignment readingOrder="0"/>
    </xf>
    <xf borderId="0" fillId="0" fontId="138" numFmtId="0" xfId="0" applyAlignment="1" applyFont="1">
      <alignment readingOrder="0"/>
    </xf>
    <xf borderId="0" fillId="0" fontId="139" numFmtId="0" xfId="0" applyAlignment="1" applyFont="1">
      <alignment readingOrder="0"/>
    </xf>
    <xf borderId="0" fillId="4" fontId="140" numFmtId="0" xfId="0" applyAlignment="1" applyFont="1">
      <alignment horizontal="left" readingOrder="0" vertical="top"/>
    </xf>
    <xf borderId="0" fillId="0" fontId="141" numFmtId="0" xfId="0" applyAlignment="1" applyFont="1">
      <alignment readingOrder="0"/>
    </xf>
    <xf borderId="0" fillId="4" fontId="140" numFmtId="0" xfId="0" applyAlignment="1" applyFont="1">
      <alignment horizontal="left" readingOrder="0"/>
    </xf>
    <xf borderId="0" fillId="4" fontId="142" numFmtId="0" xfId="0" applyAlignment="1" applyFont="1">
      <alignment horizontal="left" readingOrder="0"/>
    </xf>
    <xf borderId="0" fillId="15" fontId="1" numFmtId="0" xfId="0" applyAlignment="1" applyFill="1" applyFont="1">
      <alignment readingOrder="0"/>
    </xf>
    <xf borderId="0" fillId="0" fontId="2" numFmtId="0" xfId="0" applyAlignment="1" applyFont="1">
      <alignment readingOrder="0"/>
    </xf>
    <xf borderId="0" fillId="0" fontId="143" numFmtId="0" xfId="0" applyAlignment="1" applyFont="1">
      <alignment readingOrder="0" shrinkToFit="0" vertical="bottom" wrapText="0"/>
    </xf>
    <xf borderId="0" fillId="15" fontId="39" numFmtId="0" xfId="0" applyAlignment="1" applyFont="1">
      <alignment readingOrder="0" shrinkToFit="0" vertical="bottom" wrapText="1"/>
    </xf>
    <xf borderId="0" fillId="15" fontId="39" numFmtId="0" xfId="0" applyAlignment="1" applyFont="1">
      <alignment shrinkToFit="0" vertical="bottom" wrapText="1"/>
    </xf>
    <xf borderId="0" fillId="15" fontId="1" numFmtId="0" xfId="0" applyAlignment="1" applyFont="1">
      <alignment readingOrder="0" shrinkToFit="0" wrapText="1"/>
    </xf>
    <xf borderId="0" fillId="15" fontId="39" numFmtId="0" xfId="0" applyAlignment="1" applyFont="1">
      <alignment horizontal="left" readingOrder="0" shrinkToFit="0" vertical="bottom" wrapText="1"/>
    </xf>
    <xf borderId="0" fillId="15" fontId="2" numFmtId="0" xfId="0" applyFont="1"/>
    <xf borderId="0" fillId="16" fontId="9" numFmtId="0" xfId="0" applyAlignment="1" applyFill="1" applyFont="1">
      <alignment readingOrder="0" shrinkToFit="0" vertical="bottom" wrapText="1"/>
    </xf>
    <xf borderId="0" fillId="16" fontId="9" numFmtId="0" xfId="0" applyAlignment="1" applyFont="1">
      <alignment horizontal="right" shrinkToFit="0" vertical="bottom" wrapText="1"/>
    </xf>
    <xf borderId="0" fillId="0" fontId="144" numFmtId="0" xfId="0" applyAlignment="1" applyFont="1">
      <alignment readingOrder="0"/>
    </xf>
  </cellXfs>
  <cellStyles count="1">
    <cellStyle xfId="0" name="Normal" builtinId="0"/>
  </cellStyles>
  <dxfs count="4">
    <dxf>
      <font/>
      <fill>
        <patternFill patternType="solid">
          <fgColor rgb="FFFFF2CC"/>
          <bgColor rgb="FFFFF2CC"/>
        </patternFill>
      </fill>
      <border/>
    </dxf>
    <dxf>
      <font/>
      <fill>
        <patternFill patternType="solid">
          <fgColor rgb="FFE6B8AF"/>
          <bgColor rgb="FFE6B8AF"/>
        </patternFill>
      </fill>
      <border/>
    </dxf>
    <dxf>
      <font/>
      <fill>
        <patternFill patternType="solid">
          <fgColor rgb="FFD9EAD3"/>
          <bgColor rgb="FFD9EAD3"/>
        </patternFill>
      </fill>
      <border/>
    </dxf>
    <dxf>
      <font/>
      <fill>
        <patternFill patternType="solid">
          <fgColor rgb="FF9FC5E8"/>
          <bgColor rgb="FF9FC5E8"/>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3" Type="http://schemas.openxmlformats.org/officeDocument/2006/relationships/worksheet" Target="worksheets/sheet20.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 = 10^3</a:t>
            </a:r>
          </a:p>
        </c:rich>
      </c:tx>
      <c:overlay val="0"/>
    </c:title>
    <c:plotArea>
      <c:layout/>
      <c:barChart>
        <c:barDir val="col"/>
        <c:ser>
          <c:idx val="0"/>
          <c:order val="0"/>
          <c:tx>
            <c:strRef>
              <c:f>'Rate of Improvements'!$AE$2</c:f>
            </c:strRef>
          </c:tx>
          <c:spPr>
            <a:solidFill>
              <a:schemeClr val="accent1"/>
            </a:solidFill>
            <a:ln cmpd="sng">
              <a:solidFill>
                <a:srgbClr val="000000"/>
              </a:solidFill>
            </a:ln>
          </c:spPr>
          <c:dPt>
            <c:idx val="0"/>
          </c:dPt>
          <c:dPt>
            <c:idx val="10"/>
          </c:dPt>
          <c:dPt>
            <c:idx val="11"/>
          </c:dPt>
          <c:cat>
            <c:strRef>
              <c:f>'Rate of Improvements'!$AD$3:$AD$14</c:f>
            </c:strRef>
          </c:cat>
          <c:val>
            <c:numRef>
              <c:f>'Rate of Improvements'!$AE$3:$AE$14</c:f>
              <c:numCache/>
            </c:numRef>
          </c:val>
        </c:ser>
        <c:axId val="1553253332"/>
        <c:axId val="1425505904"/>
      </c:barChart>
      <c:catAx>
        <c:axId val="15532533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Average Percentage Improvement Per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425505904"/>
      </c:catAx>
      <c:valAx>
        <c:axId val="14255059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Percentage of Problem Families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53253332"/>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 = 10^6</a:t>
            </a:r>
          </a:p>
        </c:rich>
      </c:tx>
      <c:overlay val="0"/>
    </c:title>
    <c:plotArea>
      <c:layout/>
      <c:barChart>
        <c:barDir val="col"/>
        <c:ser>
          <c:idx val="0"/>
          <c:order val="0"/>
          <c:tx>
            <c:strRef>
              <c:f>'Rate of Improvements'!$AF$2</c:f>
            </c:strRef>
          </c:tx>
          <c:spPr>
            <a:solidFill>
              <a:schemeClr val="accent1"/>
            </a:solidFill>
            <a:ln cmpd="sng">
              <a:solidFill>
                <a:srgbClr val="000000"/>
              </a:solidFill>
            </a:ln>
          </c:spPr>
          <c:dPt>
            <c:idx val="0"/>
          </c:dPt>
          <c:dPt>
            <c:idx val="10"/>
          </c:dPt>
          <c:dPt>
            <c:idx val="11"/>
          </c:dPt>
          <c:cat>
            <c:strRef>
              <c:f>'Rate of Improvements'!$AD$3:$AD$14</c:f>
            </c:strRef>
          </c:cat>
          <c:val>
            <c:numRef>
              <c:f>'Rate of Improvements'!$AF$3:$AF$14</c:f>
              <c:numCache/>
            </c:numRef>
          </c:val>
        </c:ser>
        <c:axId val="1036927682"/>
        <c:axId val="167881574"/>
      </c:barChart>
      <c:catAx>
        <c:axId val="10369276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Average Percentage Improvement Per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67881574"/>
      </c:catAx>
      <c:valAx>
        <c:axId val="1678815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Percentage of Problem Families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36927682"/>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 = 10^9</a:t>
            </a:r>
          </a:p>
        </c:rich>
      </c:tx>
      <c:overlay val="0"/>
    </c:title>
    <c:plotArea>
      <c:layout/>
      <c:barChart>
        <c:barDir val="col"/>
        <c:ser>
          <c:idx val="0"/>
          <c:order val="0"/>
          <c:tx>
            <c:strRef>
              <c:f>'Rate of Improvements'!$AG$2</c:f>
            </c:strRef>
          </c:tx>
          <c:spPr>
            <a:solidFill>
              <a:schemeClr val="accent1"/>
            </a:solidFill>
            <a:ln cmpd="sng">
              <a:solidFill>
                <a:srgbClr val="000000"/>
              </a:solidFill>
            </a:ln>
          </c:spPr>
          <c:dPt>
            <c:idx val="0"/>
          </c:dPt>
          <c:dPt>
            <c:idx val="10"/>
          </c:dPt>
          <c:dPt>
            <c:idx val="11"/>
          </c:dPt>
          <c:cat>
            <c:strRef>
              <c:f>'Rate of Improvements'!$AD$3:$AD$14</c:f>
            </c:strRef>
          </c:cat>
          <c:val>
            <c:numRef>
              <c:f>'Rate of Improvements'!$AG$3:$AG$14</c:f>
              <c:numCache/>
            </c:numRef>
          </c:val>
        </c:ser>
        <c:axId val="1458315530"/>
        <c:axId val="536623669"/>
      </c:barChart>
      <c:catAx>
        <c:axId val="14583155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Average Percentage Improvement Per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536623669"/>
      </c:catAx>
      <c:valAx>
        <c:axId val="5366236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Percentage of Problem Families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58315530"/>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 = 10^3</a:t>
            </a:r>
          </a:p>
        </c:rich>
      </c:tx>
      <c:overlay val="0"/>
    </c:title>
    <c:plotArea>
      <c:layout/>
      <c:barChart>
        <c:barDir val="col"/>
        <c:ser>
          <c:idx val="0"/>
          <c:order val="0"/>
          <c:tx>
            <c:strRef>
              <c:f>'Rate of Improvements'!$AH$2</c:f>
            </c:strRef>
          </c:tx>
          <c:spPr>
            <a:solidFill>
              <a:schemeClr val="accent1"/>
            </a:solidFill>
            <a:ln cmpd="sng">
              <a:solidFill>
                <a:srgbClr val="000000"/>
              </a:solidFill>
            </a:ln>
          </c:spPr>
          <c:dPt>
            <c:idx val="0"/>
          </c:dPt>
          <c:dPt>
            <c:idx val="10"/>
          </c:dPt>
          <c:dPt>
            <c:idx val="11"/>
          </c:dPt>
          <c:cat>
            <c:strRef>
              <c:f>'Rate of Improvements'!$AD$3:$AD$14</c:f>
            </c:strRef>
          </c:cat>
          <c:val>
            <c:numRef>
              <c:f>'Rate of Improvements'!$AH$3:$AH$14</c:f>
              <c:numCache/>
            </c:numRef>
          </c:val>
        </c:ser>
        <c:axId val="2042138845"/>
        <c:axId val="84794104"/>
      </c:barChart>
      <c:catAx>
        <c:axId val="20421388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Average Percentage Improvement Per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84794104"/>
      </c:catAx>
      <c:valAx>
        <c:axId val="847941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Percentage of Problem Families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42138845"/>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 = 10^6</a:t>
            </a:r>
          </a:p>
        </c:rich>
      </c:tx>
      <c:overlay val="0"/>
    </c:title>
    <c:plotArea>
      <c:layout/>
      <c:barChart>
        <c:barDir val="col"/>
        <c:ser>
          <c:idx val="0"/>
          <c:order val="0"/>
          <c:tx>
            <c:strRef>
              <c:f>'Rate of Improvements'!$AI$2</c:f>
            </c:strRef>
          </c:tx>
          <c:spPr>
            <a:solidFill>
              <a:schemeClr val="accent1"/>
            </a:solidFill>
            <a:ln cmpd="sng">
              <a:solidFill>
                <a:srgbClr val="000000"/>
              </a:solidFill>
            </a:ln>
          </c:spPr>
          <c:dPt>
            <c:idx val="0"/>
          </c:dPt>
          <c:dPt>
            <c:idx val="10"/>
          </c:dPt>
          <c:dPt>
            <c:idx val="11"/>
          </c:dPt>
          <c:cat>
            <c:strRef>
              <c:f>'Rate of Improvements'!$AD$3:$AD$14</c:f>
            </c:strRef>
          </c:cat>
          <c:val>
            <c:numRef>
              <c:f>'Rate of Improvements'!$AI$3:$AI$14</c:f>
              <c:numCache/>
            </c:numRef>
          </c:val>
        </c:ser>
        <c:axId val="114897048"/>
        <c:axId val="1490535123"/>
      </c:barChart>
      <c:catAx>
        <c:axId val="1148970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Average Percentage Improvement Per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490535123"/>
      </c:catAx>
      <c:valAx>
        <c:axId val="14905351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Percentage of Problem Families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4897048"/>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 = 10^9</a:t>
            </a:r>
          </a:p>
        </c:rich>
      </c:tx>
      <c:overlay val="0"/>
    </c:title>
    <c:plotArea>
      <c:layout/>
      <c:barChart>
        <c:barDir val="col"/>
        <c:ser>
          <c:idx val="0"/>
          <c:order val="0"/>
          <c:tx>
            <c:strRef>
              <c:f>'Rate of Improvements'!$AJ$2</c:f>
            </c:strRef>
          </c:tx>
          <c:spPr>
            <a:solidFill>
              <a:schemeClr val="accent1"/>
            </a:solidFill>
            <a:ln cmpd="sng">
              <a:solidFill>
                <a:srgbClr val="000000"/>
              </a:solidFill>
            </a:ln>
          </c:spPr>
          <c:dPt>
            <c:idx val="0"/>
          </c:dPt>
          <c:dPt>
            <c:idx val="10"/>
          </c:dPt>
          <c:dPt>
            <c:idx val="11"/>
          </c:dPt>
          <c:cat>
            <c:strRef>
              <c:f>'Rate of Improvements'!$AD$3:$AD$14</c:f>
            </c:strRef>
          </c:cat>
          <c:val>
            <c:numRef>
              <c:f>'Rate of Improvements'!$AJ$3:$AJ$14</c:f>
              <c:numCache/>
            </c:numRef>
          </c:val>
        </c:ser>
        <c:axId val="1322803581"/>
        <c:axId val="476312311"/>
      </c:barChart>
      <c:catAx>
        <c:axId val="13228035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Average Percentage Improvement Per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476312311"/>
      </c:catAx>
      <c:valAx>
        <c:axId val="4763123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Percentage of Problem Families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22803581"/>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'Relative Rate'!$E$1</c:f>
            </c:strRef>
          </c:tx>
          <c:spPr>
            <a:ln>
              <a:noFill/>
            </a:ln>
          </c:spPr>
          <c:marker>
            <c:symbol val="circle"/>
            <c:size val="7"/>
            <c:spPr>
              <a:solidFill>
                <a:schemeClr val="accent1"/>
              </a:solidFill>
              <a:ln cmpd="sng">
                <a:solidFill>
                  <a:schemeClr val="accent1"/>
                </a:solidFill>
              </a:ln>
            </c:spPr>
          </c:marker>
          <c:xVal>
            <c:numRef>
              <c:f>'Relative Rate'!$B$2:$B$119</c:f>
            </c:numRef>
          </c:xVal>
          <c:yVal>
            <c:numRef>
              <c:f>'Relative Rate'!$E$2:$E$119</c:f>
              <c:numCache/>
            </c:numRef>
          </c:yVal>
        </c:ser>
        <c:dLbls>
          <c:showLegendKey val="0"/>
          <c:showVal val="0"/>
          <c:showCatName val="0"/>
          <c:showSerName val="0"/>
          <c:showPercent val="0"/>
          <c:showBubbleSize val="0"/>
        </c:dLbls>
        <c:axId val="853863386"/>
        <c:axId val="231664580"/>
      </c:scatterChart>
      <c:valAx>
        <c:axId val="85386338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31664580"/>
      </c:valAx>
      <c:valAx>
        <c:axId val="2316645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53863386"/>
      </c:valAx>
    </c:plotArea>
    <c:legend>
      <c:legendPos val="r"/>
      <c:overlay val="0"/>
      <c:txPr>
        <a:bodyPr/>
        <a:lstStyle/>
        <a:p>
          <a:pPr lvl="0">
            <a:defRPr b="0">
              <a:solidFill>
                <a:srgbClr val="1A1A1A"/>
              </a:solidFill>
              <a:latin typeface="+mn-lt"/>
            </a:defRPr>
          </a:pPr>
        </a:p>
      </c:txPr>
    </c:legend>
    <c:plotVisOnly val="1"/>
  </c:chart>
</c:chartSpac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142875</xdr:colOff>
      <xdr:row>19</xdr:row>
      <xdr:rowOff>66675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23</xdr:col>
      <xdr:colOff>342900</xdr:colOff>
      <xdr:row>19</xdr:row>
      <xdr:rowOff>66675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29</xdr:col>
      <xdr:colOff>542925</xdr:colOff>
      <xdr:row>19</xdr:row>
      <xdr:rowOff>66675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142875</xdr:colOff>
      <xdr:row>42</xdr:row>
      <xdr:rowOff>66675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23</xdr:col>
      <xdr:colOff>342900</xdr:colOff>
      <xdr:row>42</xdr:row>
      <xdr:rowOff>66675</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29</xdr:col>
      <xdr:colOff>542925</xdr:colOff>
      <xdr:row>42</xdr:row>
      <xdr:rowOff>66675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495300</xdr:colOff>
      <xdr:row>8</xdr:row>
      <xdr:rowOff>190500</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90" Type="http://schemas.openxmlformats.org/officeDocument/2006/relationships/hyperlink" Target="https://mathworld.wolfram.com/Eigenvalue.html" TargetMode="External"/><Relationship Id="rId194" Type="http://schemas.openxmlformats.org/officeDocument/2006/relationships/hyperlink" Target="https://dl.acm.org/doi/pdf/10.1145/355744.355745" TargetMode="External"/><Relationship Id="rId193" Type="http://schemas.openxmlformats.org/officeDocument/2006/relationships/hyperlink" Target="https://ieeexplore.ieee.org/stamp/stamp.jsp?arnumber=1084580" TargetMode="External"/><Relationship Id="rId192" Type="http://schemas.openxmlformats.org/officeDocument/2006/relationships/hyperlink" Target="https://ieeexplore.ieee.org/stamp/stamp.jsp?arnumber=1084580" TargetMode="External"/><Relationship Id="rId191" Type="http://schemas.openxmlformats.org/officeDocument/2006/relationships/hyperlink" Target="https://mathworld.wolfram.com/Eigenvalue.html" TargetMode="External"/><Relationship Id="rId187" Type="http://schemas.openxmlformats.org/officeDocument/2006/relationships/hyperlink" Target="https://mathworld.wolfram.com/Eigenvalue.html" TargetMode="External"/><Relationship Id="rId186" Type="http://schemas.openxmlformats.org/officeDocument/2006/relationships/hyperlink" Target="https://mathworld.wolfram.com/Eigenvalue.html" TargetMode="External"/><Relationship Id="rId185" Type="http://schemas.openxmlformats.org/officeDocument/2006/relationships/hyperlink" Target="https://citeseerx.ist.psu.edu/viewdoc/summary?doi=10.1.1.494.7321" TargetMode="External"/><Relationship Id="rId184" Type="http://schemas.openxmlformats.org/officeDocument/2006/relationships/hyperlink" Target="https://www.cs.drexel.edu/~david/Classes/Papers/p443-newell.pdf" TargetMode="External"/><Relationship Id="rId189" Type="http://schemas.openxmlformats.org/officeDocument/2006/relationships/hyperlink" Target="https://mathworld.wolfram.com/Eigenvalue.html" TargetMode="External"/><Relationship Id="rId188" Type="http://schemas.openxmlformats.org/officeDocument/2006/relationships/hyperlink" Target="https://mathworld.wolfram.com/Eigenvalue.html" TargetMode="External"/><Relationship Id="rId183" Type="http://schemas.openxmlformats.org/officeDocument/2006/relationships/hyperlink" Target="https://davis.wpi.edu/~matt/courses/clipping/" TargetMode="External"/><Relationship Id="rId182" Type="http://schemas.openxmlformats.org/officeDocument/2006/relationships/hyperlink" Target="http://www-users.mat.umk.pl/~gruby/teaching/lgim/1_wu.pdf" TargetMode="External"/><Relationship Id="rId181" Type="http://schemas.openxmlformats.org/officeDocument/2006/relationships/hyperlink" Target="http://www.cs.gettysburg.edu/~ilinkin/courses/Fall-2014/cs373/handouts/papers/gs-fegsd-81.pdf" TargetMode="External"/><Relationship Id="rId180" Type="http://schemas.openxmlformats.org/officeDocument/2006/relationships/hyperlink" Target="https://www.ams.org/journals/mcom/1978-32-141/S0025-5718-1978-0468306-4/S0025-5718-1978-0468306-4.pdf" TargetMode="External"/><Relationship Id="rId176" Type="http://schemas.openxmlformats.org/officeDocument/2006/relationships/hyperlink" Target="https://ieeexplore.ieee.org/stamp/stamp.jsp?arnumber=1366244" TargetMode="External"/><Relationship Id="rId297" Type="http://schemas.openxmlformats.org/officeDocument/2006/relationships/hyperlink" Target="https://www.jstor.org/stable/2984875" TargetMode="External"/><Relationship Id="rId175" Type="http://schemas.openxmlformats.org/officeDocument/2006/relationships/hyperlink" Target="https://dl.acm.org/doi/pdf/10.1145/779928.779933" TargetMode="External"/><Relationship Id="rId296" Type="http://schemas.openxmlformats.org/officeDocument/2006/relationships/hyperlink" Target="https://dl.acm.org/doi/10.1145/1236246.1236287" TargetMode="External"/><Relationship Id="rId174" Type="http://schemas.openxmlformats.org/officeDocument/2006/relationships/hyperlink" Target="https://www.sciencedirect.com/science/article/pii/S0899825606000935?via%3Dihub" TargetMode="External"/><Relationship Id="rId295" Type="http://schemas.openxmlformats.org/officeDocument/2006/relationships/hyperlink" Target="https://link.springer.com/content/pdf/10.1134/S0965542511050095.pdf" TargetMode="External"/><Relationship Id="rId173" Type="http://schemas.openxmlformats.org/officeDocument/2006/relationships/hyperlink" Target="https://dl.acm.org/doi/pdf/10.1145/779928.779933" TargetMode="External"/><Relationship Id="rId294" Type="http://schemas.openxmlformats.org/officeDocument/2006/relationships/hyperlink" Target="https://doi.org/10.1109/ICMV.2009.43" TargetMode="External"/><Relationship Id="rId179" Type="http://schemas.openxmlformats.org/officeDocument/2006/relationships/hyperlink" Target="https://drops.dagstuhl.de/opus/volltexte/2016/6474/pdf/LIPIcs-MFCS-2016-62.pdf" TargetMode="External"/><Relationship Id="rId178" Type="http://schemas.openxmlformats.org/officeDocument/2006/relationships/hyperlink" Target="https://web.eecs.umich.edu/~pettie/papers/ApproxMWM-JACM.pdf" TargetMode="External"/><Relationship Id="rId299" Type="http://schemas.openxmlformats.org/officeDocument/2006/relationships/hyperlink" Target="https://doi.org/10.1016/0031-3203(90)90118-5" TargetMode="External"/><Relationship Id="rId177" Type="http://schemas.openxmlformats.org/officeDocument/2006/relationships/hyperlink" Target="https://ieeexplore.ieee.org/abstract/document/6979028?casa_token=daaoBjrHUa4AAAAA:DCjk_WMWZ5Is6KvGpmS8a2bL9LskvV0P1zEG4U2u-Tm_C8sixu1w65OpTyjml1HEpaikXhtYsg" TargetMode="External"/><Relationship Id="rId298" Type="http://schemas.openxmlformats.org/officeDocument/2006/relationships/hyperlink" Target="https://doi.org/10.1109/MC.2009.263" TargetMode="External"/><Relationship Id="rId198" Type="http://schemas.openxmlformats.org/officeDocument/2006/relationships/hyperlink" Target="https://www.jstor.org/stable/2984875" TargetMode="External"/><Relationship Id="rId197" Type="http://schemas.openxmlformats.org/officeDocument/2006/relationships/hyperlink" Target="https://arxiv.org/pdf/math/9406202.pdf" TargetMode="External"/><Relationship Id="rId196" Type="http://schemas.openxmlformats.org/officeDocument/2006/relationships/hyperlink" Target="https://ieeexplore.ieee.org/document/8594636" TargetMode="External"/><Relationship Id="rId195" Type="http://schemas.openxmlformats.org/officeDocument/2006/relationships/hyperlink" Target="https://ieeexplore.ieee.org/document/8594636" TargetMode="External"/><Relationship Id="rId199" Type="http://schemas.openxmlformats.org/officeDocument/2006/relationships/hyperlink" Target="http://algo.inria.fr/flajolet/Publications/FlFuGaMe07.pdf" TargetMode="External"/><Relationship Id="rId150" Type="http://schemas.openxmlformats.org/officeDocument/2006/relationships/hyperlink" Target="https://caislab.kaist.ac.kr/lecture/2010/spring/cs548/basic/B08.pdf" TargetMode="External"/><Relationship Id="rId271" Type="http://schemas.openxmlformats.org/officeDocument/2006/relationships/hyperlink" Target="https://arxiv.org/pdf/1510.06452.pdf" TargetMode="External"/><Relationship Id="rId392" Type="http://schemas.openxmlformats.org/officeDocument/2006/relationships/hyperlink" Target="https://www.sciencedirect.com/science/article/pii/0166218X96000960/pdf?md5=0a6c305277dd00a5e798cf731f79731e&amp;pid=1-s2.0-0166218X96000960-main.pdf" TargetMode="External"/><Relationship Id="rId270" Type="http://schemas.openxmlformats.org/officeDocument/2006/relationships/hyperlink" Target="https://arxiv.org/pdf/1510.06452.pdf" TargetMode="External"/><Relationship Id="rId391" Type="http://schemas.openxmlformats.org/officeDocument/2006/relationships/hyperlink" Target="https://www.cambridge.org/core/books/topics-in-chromatic-graph-theory/graph-colouring-algorithms/0057166BDF05B304D0D81D6C1EB911B6" TargetMode="External"/><Relationship Id="rId390" Type="http://schemas.openxmlformats.org/officeDocument/2006/relationships/hyperlink" Target="https://ieeexplore.ieee.org/stamp/stamp.jsp?arnumber=4031392" TargetMode="External"/><Relationship Id="rId1" Type="http://schemas.openxmlformats.org/officeDocument/2006/relationships/hyperlink" Target="https://www.researchgate.net/profile/Adolf-Fenyi-2/publication/346468901_Comparative_Analysis_of_Comparison_and_Non_Comparison_based_Sorting_Algorithms/links/62d80a6c492b5a42c7c3715c/Comparative-Analysis-of-Comparison-and-Non-Comparison-based-Sorting-Algorithms.pdf" TargetMode="External"/><Relationship Id="rId2" Type="http://schemas.openxmlformats.org/officeDocument/2006/relationships/hyperlink" Target="https://www.researchgate.net/profile/Adolf-Fenyi-2/publication/346468901_Comparative_Analysis_of_Comparison_and_Non_Comparison_based_Sorting_Algorithms/links/62d80a6c492b5a42c7c3715c/Comparative-Analysis-of-Comparison-and-Non-Comparison-based-Sorting-Algorithms.pdf" TargetMode="External"/><Relationship Id="rId3" Type="http://schemas.openxmlformats.org/officeDocument/2006/relationships/hyperlink" Target="https://www.researchgate.net/profile/Adolf-Fenyi-2/publication/346468901_Comparative_Analysis_of_Comparison_and_Non_Comparison_based_Sorting_Algorithms/links/62d80a6c492b5a42c7c3715c/Comparative-Analysis-of-Comparison-and-Non-Comparison-based-Sorting-Algorithms.pdf" TargetMode="External"/><Relationship Id="rId149" Type="http://schemas.openxmlformats.org/officeDocument/2006/relationships/hyperlink" Target="http://theory.stanford.edu/~virgi/cs267/papers/planar-sssp.pdf" TargetMode="External"/><Relationship Id="rId4" Type="http://schemas.openxmlformats.org/officeDocument/2006/relationships/hyperlink" Target="https://dl.acm.org/citation.cfm?doid=366622.366647" TargetMode="External"/><Relationship Id="rId148" Type="http://schemas.openxmlformats.org/officeDocument/2006/relationships/hyperlink" Target="https://web.eecs.umich.edu/~pettie/matching/Blum-matching-ICALP90.pdf" TargetMode="External"/><Relationship Id="rId269" Type="http://schemas.openxmlformats.org/officeDocument/2006/relationships/hyperlink" Target="https://arxiv.org/pdf/1510.06452.pdf" TargetMode="External"/><Relationship Id="rId9" Type="http://schemas.openxmlformats.org/officeDocument/2006/relationships/hyperlink" Target="https://citeseerx.ist.psu.edu/viewdoc/download?doi=10.1.1.218.8168&amp;rep=rep1&amp;type=pdf" TargetMode="External"/><Relationship Id="rId143" Type="http://schemas.openxmlformats.org/officeDocument/2006/relationships/hyperlink" Target="https://onlinelibrary.wiley.com/doi/abs/10.1111/1467-8659.1510061" TargetMode="External"/><Relationship Id="rId264" Type="http://schemas.openxmlformats.org/officeDocument/2006/relationships/hyperlink" Target="https://ieeexplore.ieee.org/stamp/stamp.jsp?tp=&amp;arnumber=1054260" TargetMode="External"/><Relationship Id="rId385" Type="http://schemas.openxmlformats.org/officeDocument/2006/relationships/hyperlink" Target="http://ilpubs.stanford.edu:8090/422/1/1999-66.pdf" TargetMode="External"/><Relationship Id="rId142" Type="http://schemas.openxmlformats.org/officeDocument/2006/relationships/hyperlink" Target="https://www.sciencedirect.com/science/article/pii/0097849378900213" TargetMode="External"/><Relationship Id="rId263" Type="http://schemas.openxmlformats.org/officeDocument/2006/relationships/hyperlink" Target="https://www.sciencedirect.com/science/article/abs/pii/0020019090901954" TargetMode="External"/><Relationship Id="rId384" Type="http://schemas.openxmlformats.org/officeDocument/2006/relationships/hyperlink" Target="https://dsf.berkeley.edu/jmh/cs186/f02/lecs/lec25_6up.pdf" TargetMode="External"/><Relationship Id="rId141" Type="http://schemas.openxmlformats.org/officeDocument/2006/relationships/hyperlink" Target="https://www.sciencedirect.com/science/article/pii/0097849394900647/pdf?md5=06bd1f11031af17d1fd34626c4e2f49b&amp;pid=1-s2.0-0097849394900647-main.pdf" TargetMode="External"/><Relationship Id="rId262" Type="http://schemas.openxmlformats.org/officeDocument/2006/relationships/hyperlink" Target="https://ieeexplore.ieee.org/stamp/stamp.jsp?tp=&amp;arnumber=6768643" TargetMode="External"/><Relationship Id="rId383" Type="http://schemas.openxmlformats.org/officeDocument/2006/relationships/hyperlink" Target="https://dl.acm.org/doi/pdf/10.1145/128765.128770" TargetMode="External"/><Relationship Id="rId140" Type="http://schemas.openxmlformats.org/officeDocument/2006/relationships/hyperlink" Target="https://www.sciencedirect.com/science/article/pii/0097849378900213" TargetMode="External"/><Relationship Id="rId261" Type="http://schemas.openxmlformats.org/officeDocument/2006/relationships/hyperlink" Target="https://ieeexplore.ieee.org/stamp/stamp.jsp?tp=&amp;arnumber=8708945" TargetMode="External"/><Relationship Id="rId382" Type="http://schemas.openxmlformats.org/officeDocument/2006/relationships/hyperlink" Target="https://dsf.berkeley.edu/jmh/cs186/f02/lecs/lec25_6up.pdf" TargetMode="External"/><Relationship Id="rId5" Type="http://schemas.openxmlformats.org/officeDocument/2006/relationships/hyperlink" Target="https://11011110.github.io/blog/2007/10/09/blum-style-analysis-of.html" TargetMode="External"/><Relationship Id="rId147" Type="http://schemas.openxmlformats.org/officeDocument/2006/relationships/hyperlink" Target="https://epubs.siam.org/doi/epdf/10.1137/0202019" TargetMode="External"/><Relationship Id="rId268" Type="http://schemas.openxmlformats.org/officeDocument/2006/relationships/hyperlink" Target="https://doi.org/10.1016/0196-6774(85)90033-1" TargetMode="External"/><Relationship Id="rId389" Type="http://schemas.openxmlformats.org/officeDocument/2006/relationships/hyperlink" Target="https://www.sciencedirect.com/science/article/pii/0166218X96000960/pdf?md5=0a6c305277dd00a5e798cf731f79731e&amp;pid=1-s2.0-0166218X96000960-main.pdf" TargetMode="External"/><Relationship Id="rId6" Type="http://schemas.openxmlformats.org/officeDocument/2006/relationships/hyperlink" Target="https://dl.acm.org/doi/pdf/10.1145/359545.359556" TargetMode="External"/><Relationship Id="rId146" Type="http://schemas.openxmlformats.org/officeDocument/2006/relationships/hyperlink" Target="https://hal.archives-ouvertes.fr/hal-02070778" TargetMode="External"/><Relationship Id="rId267" Type="http://schemas.openxmlformats.org/officeDocument/2006/relationships/hyperlink" Target="https://arxiv.org/pdf/0812.4893.pdf" TargetMode="External"/><Relationship Id="rId388" Type="http://schemas.openxmlformats.org/officeDocument/2006/relationships/hyperlink" Target="https://ieeexplore.ieee.org/stamp/stamp.jsp?arnumber=4031392" TargetMode="External"/><Relationship Id="rId7" Type="http://schemas.openxmlformats.org/officeDocument/2006/relationships/hyperlink" Target="https://citeseerx.ist.psu.edu/viewdoc/citations?doi=10.1.1.695.2923" TargetMode="External"/><Relationship Id="rId145" Type="http://schemas.openxmlformats.org/officeDocument/2006/relationships/hyperlink" Target="https://mathworld.wolfram.com/Multiplication.html" TargetMode="External"/><Relationship Id="rId266" Type="http://schemas.openxmlformats.org/officeDocument/2006/relationships/hyperlink" Target="http://www.dcs.gla.ac.uk/~davidm/pubs/7981.pdf" TargetMode="External"/><Relationship Id="rId387" Type="http://schemas.openxmlformats.org/officeDocument/2006/relationships/hyperlink" Target="https://www.sciencedirect.com/science/article/pii/0166218X96000960/pdf?md5=0a6c305277dd00a5e798cf731f79731e&amp;pid=1-s2.0-0166218X96000960-main.pdf" TargetMode="External"/><Relationship Id="rId8" Type="http://schemas.openxmlformats.org/officeDocument/2006/relationships/hyperlink" Target="https://dl.acm.org/doi/pdf/10.1145/359545.359556" TargetMode="External"/><Relationship Id="rId144" Type="http://schemas.openxmlformats.org/officeDocument/2006/relationships/hyperlink" Target="https://ieeexplore.ieee.org/document/5392601" TargetMode="External"/><Relationship Id="rId265" Type="http://schemas.openxmlformats.org/officeDocument/2006/relationships/hyperlink" Target="http://www.eecs.harvard.edu/cs286r/courses/fall09/papers/galeshapley.pdf" TargetMode="External"/><Relationship Id="rId386" Type="http://schemas.openxmlformats.org/officeDocument/2006/relationships/hyperlink" Target="http://snap.stanford.edu/class/cs224w-readings/borodin05pagerank.pdf" TargetMode="External"/><Relationship Id="rId260" Type="http://schemas.openxmlformats.org/officeDocument/2006/relationships/hyperlink" Target="https://ieeexplore.ieee.org/stamp/stamp.jsp?tp=&amp;arnumber=8708945" TargetMode="External"/><Relationship Id="rId381" Type="http://schemas.openxmlformats.org/officeDocument/2006/relationships/hyperlink" Target="https://www.researchgate.net/profile/Gyanendra-Kumar-3/publication/319467661_A_Novel_Longest_Distance_First_Page_Replacement_Algorithm/links/59b209f1aca2728472d14684/A-Novel-Longest-Distance-First-Page-Replacement-Algorithm.pdf" TargetMode="External"/><Relationship Id="rId380" Type="http://schemas.openxmlformats.org/officeDocument/2006/relationships/hyperlink" Target="https://www.researchgate.net/profile/Gyanendra-Kumar-3/publication/319467661_A_Novel_Longest_Distance_First_Page_Replacement_Algorithm/links/59b209f1aca2728472d14684/A-Novel-Longest-Distance-First-Page-Replacement-Algorithm.pdf" TargetMode="External"/><Relationship Id="rId139" Type="http://schemas.openxmlformats.org/officeDocument/2006/relationships/hyperlink" Target="https://dl.acm.org/doi/10.1145/357332.357333" TargetMode="External"/><Relationship Id="rId138" Type="http://schemas.openxmlformats.org/officeDocument/2006/relationships/hyperlink" Target="https://dl.acm.org/doi/pdf/10.1145/357332.357333" TargetMode="External"/><Relationship Id="rId259" Type="http://schemas.openxmlformats.org/officeDocument/2006/relationships/hyperlink" Target="http://infolab.stanford.edu/~ullman/mmds/ch6.pdf" TargetMode="External"/><Relationship Id="rId137" Type="http://schemas.openxmlformats.org/officeDocument/2006/relationships/hyperlink" Target="https://www.w3schools.com/sql/sql_join.asp" TargetMode="External"/><Relationship Id="rId258" Type="http://schemas.openxmlformats.org/officeDocument/2006/relationships/hyperlink" Target="https://linkinghub.elsevier.com/retrieve/pii/S0022000075800468" TargetMode="External"/><Relationship Id="rId379" Type="http://schemas.openxmlformats.org/officeDocument/2006/relationships/hyperlink" Target="https://www.cs.utexas.edu/~EWD/ewd03xx/EWD310.PDF" TargetMode="External"/><Relationship Id="rId132" Type="http://schemas.openxmlformats.org/officeDocument/2006/relationships/hyperlink" Target="https://cr.yp.to/bib/1975/aho.pdf" TargetMode="External"/><Relationship Id="rId253" Type="http://schemas.openxmlformats.org/officeDocument/2006/relationships/hyperlink" Target="https://dl.acm.org/doi/pdf/10.1145/1101821.1101823" TargetMode="External"/><Relationship Id="rId374" Type="http://schemas.openxmlformats.org/officeDocument/2006/relationships/hyperlink" Target="https://dl.acm.org/doi/pdf/10.1145/321662.321664" TargetMode="External"/><Relationship Id="rId495" Type="http://schemas.openxmlformats.org/officeDocument/2006/relationships/hyperlink" Target="https://arxiv.org/pdf/1602.05837.pdf" TargetMode="External"/><Relationship Id="rId131" Type="http://schemas.openxmlformats.org/officeDocument/2006/relationships/hyperlink" Target="http://www.cs.jhu.edu/~misha/ReadingSeminar/Papers/Knuth77.pdf" TargetMode="External"/><Relationship Id="rId252" Type="http://schemas.openxmlformats.org/officeDocument/2006/relationships/hyperlink" Target="https://dl.acm.org/doi/10.1145/98949.99156" TargetMode="External"/><Relationship Id="rId373" Type="http://schemas.openxmlformats.org/officeDocument/2006/relationships/hyperlink" Target="https://link.springer.com/content/pdf/10.1023/A:1018981505752.pdf" TargetMode="External"/><Relationship Id="rId494" Type="http://schemas.openxmlformats.org/officeDocument/2006/relationships/hyperlink" Target="https://doi.org/10.1109/FOCS.2013.51" TargetMode="External"/><Relationship Id="rId130" Type="http://schemas.openxmlformats.org/officeDocument/2006/relationships/hyperlink" Target="http://www.cs.jhu.edu/~misha/ReadingSeminar/Papers/Knuth77.pdf" TargetMode="External"/><Relationship Id="rId251" Type="http://schemas.openxmlformats.org/officeDocument/2006/relationships/hyperlink" Target="https://www.vldb.org/conf/1983/P186.PDF" TargetMode="External"/><Relationship Id="rId372" Type="http://schemas.openxmlformats.org/officeDocument/2006/relationships/hyperlink" Target="https://www.cs.ucdavis.edu/~rogaway/classes/227/spring05/book/main.pdf" TargetMode="External"/><Relationship Id="rId493" Type="http://schemas.openxmlformats.org/officeDocument/2006/relationships/hyperlink" Target="https://arxiv.org/pdf/1602.05837.pdf" TargetMode="External"/><Relationship Id="rId250" Type="http://schemas.openxmlformats.org/officeDocument/2006/relationships/hyperlink" Target="https://www.vldb.org/conf/1983/P186.PDF" TargetMode="External"/><Relationship Id="rId371" Type="http://schemas.openxmlformats.org/officeDocument/2006/relationships/hyperlink" Target="https://link.springer.com/content/pdf/10.1007/s11075-006-9015-9.pdf" TargetMode="External"/><Relationship Id="rId492" Type="http://schemas.openxmlformats.org/officeDocument/2006/relationships/hyperlink" Target="https://arxiv.org/pdf/1602.05837.pdf" TargetMode="External"/><Relationship Id="rId136" Type="http://schemas.openxmlformats.org/officeDocument/2006/relationships/hyperlink" Target="https://www.sciencedirect.com/science/article/pii/0022000080900021?via%3Dihub" TargetMode="External"/><Relationship Id="rId257" Type="http://schemas.openxmlformats.org/officeDocument/2006/relationships/hyperlink" Target="https://arxiv.org/pdf/cs/0112018.pdf" TargetMode="External"/><Relationship Id="rId378" Type="http://schemas.openxmlformats.org/officeDocument/2006/relationships/hyperlink" Target="https://doi.org/10.1109/TRA.2002.801048" TargetMode="External"/><Relationship Id="rId499" Type="http://schemas.openxmlformats.org/officeDocument/2006/relationships/hyperlink" Target="https://doi.org/10.1016/0925-7721(95)00022-2" TargetMode="External"/><Relationship Id="rId135" Type="http://schemas.openxmlformats.org/officeDocument/2006/relationships/hyperlink" Target="https://doi.org/10.1016/0022-0000(80)90002-1" TargetMode="External"/><Relationship Id="rId256" Type="http://schemas.openxmlformats.org/officeDocument/2006/relationships/hyperlink" Target="https://link.springer.com/chapter/10.1007%2F978-3-662-21545-6_18" TargetMode="External"/><Relationship Id="rId377" Type="http://schemas.openxmlformats.org/officeDocument/2006/relationships/hyperlink" Target="https://onlinelibrary.wiley.com/doi/pdf/10.1002/nav.20231" TargetMode="External"/><Relationship Id="rId498" Type="http://schemas.openxmlformats.org/officeDocument/2006/relationships/hyperlink" Target="https://doi.org/10.1016/0925-7721(95)00022-2" TargetMode="External"/><Relationship Id="rId134" Type="http://schemas.openxmlformats.org/officeDocument/2006/relationships/hyperlink" Target="https://www.sciencedirect.com/science/article/pii/0022000080900021?via%3Dihub" TargetMode="External"/><Relationship Id="rId255" Type="http://schemas.openxmlformats.org/officeDocument/2006/relationships/hyperlink" Target="https://arxiv.org/pdf/cs/0112018.pdf" TargetMode="External"/><Relationship Id="rId376" Type="http://schemas.openxmlformats.org/officeDocument/2006/relationships/hyperlink" Target="https://onlinelibrary.wiley.com/doi/pdf/10.1002/nav.20231" TargetMode="External"/><Relationship Id="rId497" Type="http://schemas.openxmlformats.org/officeDocument/2006/relationships/hyperlink" Target="https://doi.org/10.1016/0925-7721(95)00022-2" TargetMode="External"/><Relationship Id="rId133" Type="http://schemas.openxmlformats.org/officeDocument/2006/relationships/hyperlink" Target="https://doi.org/10.1016/0022-0000(80)90002-1" TargetMode="External"/><Relationship Id="rId254" Type="http://schemas.openxmlformats.org/officeDocument/2006/relationships/hyperlink" Target="https://doi.org/10.1002/1097-0037(200007)35:4%3C253::AID-NET3%3E3.0.CO;2-K" TargetMode="External"/><Relationship Id="rId375" Type="http://schemas.openxmlformats.org/officeDocument/2006/relationships/hyperlink" Target="https://onlinelibrary.wiley.com/doi/pdf/10.1002/nav.20231" TargetMode="External"/><Relationship Id="rId496" Type="http://schemas.openxmlformats.org/officeDocument/2006/relationships/hyperlink" Target="https://doi.org/10.1016/0925-7721(95)00022-2" TargetMode="External"/><Relationship Id="rId172" Type="http://schemas.openxmlformats.org/officeDocument/2006/relationships/hyperlink" Target="https://doi.org/10.1016/S0304-3975(96)00320-9" TargetMode="External"/><Relationship Id="rId293" Type="http://schemas.openxmlformats.org/officeDocument/2006/relationships/hyperlink" Target="https://link.springer.com/chapter/10.1007/978-3-642-30870-3_29" TargetMode="External"/><Relationship Id="rId171" Type="http://schemas.openxmlformats.org/officeDocument/2006/relationships/hyperlink" Target="https://doi.org/10.1016/S0304-3975(96)00320-9" TargetMode="External"/><Relationship Id="rId292" Type="http://schemas.openxmlformats.org/officeDocument/2006/relationships/hyperlink" Target="https://arxiv.org/pdf/1203.3636.pdf" TargetMode="External"/><Relationship Id="rId170" Type="http://schemas.openxmlformats.org/officeDocument/2006/relationships/hyperlink" Target="https://doi.org/10.1016/S0304-3975(96)00320-9" TargetMode="External"/><Relationship Id="rId291" Type="http://schemas.openxmlformats.org/officeDocument/2006/relationships/hyperlink" Target="https://linkinghub.elsevier.com/retrieve/pii/0012365X7390037X" TargetMode="External"/><Relationship Id="rId290" Type="http://schemas.openxmlformats.org/officeDocument/2006/relationships/hyperlink" Target="https://arxiv.org/pdf/1203.3636.pdf" TargetMode="External"/><Relationship Id="rId165" Type="http://schemas.openxmlformats.org/officeDocument/2006/relationships/hyperlink" Target="https://doi.org/10.1090/S0025-5718-1963-0159764-2" TargetMode="External"/><Relationship Id="rId286" Type="http://schemas.openxmlformats.org/officeDocument/2006/relationships/hyperlink" Target="https://link.springer.com/content/pdf/10.1007/BF02104746.pdf" TargetMode="External"/><Relationship Id="rId164" Type="http://schemas.openxmlformats.org/officeDocument/2006/relationships/hyperlink" Target="https://link.springer.com/article/10.1007/BF01840359" TargetMode="External"/><Relationship Id="rId285" Type="http://schemas.openxmlformats.org/officeDocument/2006/relationships/hyperlink" Target="https://link.springer.com/content/pdf/10.1007/BF02104746.pdf" TargetMode="External"/><Relationship Id="rId163" Type="http://schemas.openxmlformats.org/officeDocument/2006/relationships/hyperlink" Target="https://link.springer.com/article/10.1007/BF01840359" TargetMode="External"/><Relationship Id="rId284" Type="http://schemas.openxmlformats.org/officeDocument/2006/relationships/hyperlink" Target="https://onlinelibrary.wiley.com/doi/pdf/10.1002/jgt.3190010410" TargetMode="External"/><Relationship Id="rId162" Type="http://schemas.openxmlformats.org/officeDocument/2006/relationships/hyperlink" Target="https://dl.acm.org/doi/10.1145/1088216.1088219" TargetMode="External"/><Relationship Id="rId283" Type="http://schemas.openxmlformats.org/officeDocument/2006/relationships/hyperlink" Target="https://dl.acm.org/doi/10.1145/236114.236117" TargetMode="External"/><Relationship Id="rId169" Type="http://schemas.openxmlformats.org/officeDocument/2006/relationships/hyperlink" Target="https://doi.org/10.1016/S0304-3975(96)00320-9" TargetMode="External"/><Relationship Id="rId168" Type="http://schemas.openxmlformats.org/officeDocument/2006/relationships/hyperlink" Target="https://en.wikipedia.org/wiki/Permutation" TargetMode="External"/><Relationship Id="rId289" Type="http://schemas.openxmlformats.org/officeDocument/2006/relationships/hyperlink" Target="https://dl.acm.org/doi/pdf/10.1145/3093239" TargetMode="External"/><Relationship Id="rId167" Type="http://schemas.openxmlformats.org/officeDocument/2006/relationships/hyperlink" Target="https://dl.acm.org/doi/10.1145/356689.356692" TargetMode="External"/><Relationship Id="rId288" Type="http://schemas.openxmlformats.org/officeDocument/2006/relationships/hyperlink" Target="https://citeseerx.ist.psu.edu/viewdoc/download?doi=10.1.1.41.4833&amp;rep=rep1&amp;type=pdf" TargetMode="External"/><Relationship Id="rId166" Type="http://schemas.openxmlformats.org/officeDocument/2006/relationships/hyperlink" Target="https://academic.oup.com/comjnl/article/6/3/293/360213" TargetMode="External"/><Relationship Id="rId287" Type="http://schemas.openxmlformats.org/officeDocument/2006/relationships/hyperlink" Target="https://link.springer.com/content/pdf/10.1007/BF02104746.pdf" TargetMode="External"/><Relationship Id="rId161" Type="http://schemas.openxmlformats.org/officeDocument/2006/relationships/hyperlink" Target="https://web.stanford.edu/~boyd/cvxbook/bv_cvxbook.pdf" TargetMode="External"/><Relationship Id="rId282" Type="http://schemas.openxmlformats.org/officeDocument/2006/relationships/hyperlink" Target="https://hillside.net/plop/plop2003/Papers/Jones-ImplementingASTs.pdf" TargetMode="External"/><Relationship Id="rId160" Type="http://schemas.openxmlformats.org/officeDocument/2006/relationships/hyperlink" Target="https://www.sciencedirect.com/science/article/abs/pii/0020019086900736" TargetMode="External"/><Relationship Id="rId281" Type="http://schemas.openxmlformats.org/officeDocument/2006/relationships/hyperlink" Target="https://link.springer.com/content/pdf/10.1007/BF01182773.pdf" TargetMode="External"/><Relationship Id="rId280" Type="http://schemas.openxmlformats.org/officeDocument/2006/relationships/hyperlink" Target="https://dl.acm.org/doi/pdf/10.1145/1559845.1559870" TargetMode="External"/><Relationship Id="rId159" Type="http://schemas.openxmlformats.org/officeDocument/2006/relationships/hyperlink" Target="https://www.sciencedirect.com/science/article/pii/0020019086900736" TargetMode="External"/><Relationship Id="rId154" Type="http://schemas.openxmlformats.org/officeDocument/2006/relationships/hyperlink" Target="http://bvicam.in/INDIACom/BJIT/downloads/BIJIT%20-%20Complete%20Issue%2012.pdf" TargetMode="External"/><Relationship Id="rId275" Type="http://schemas.openxmlformats.org/officeDocument/2006/relationships/hyperlink" Target="https://arxiv.org/pdf/1602.05837.pdf" TargetMode="External"/><Relationship Id="rId396" Type="http://schemas.openxmlformats.org/officeDocument/2006/relationships/hyperlink" Target="https://link.springer.com/chapter/10.1007/978-3-540-73545-8_9" TargetMode="External"/><Relationship Id="rId153" Type="http://schemas.openxmlformats.org/officeDocument/2006/relationships/hyperlink" Target="https://theory.epfl.ch/vishnoi/Lxb-Web.pdf" TargetMode="External"/><Relationship Id="rId274" Type="http://schemas.openxmlformats.org/officeDocument/2006/relationships/hyperlink" Target="https://arxiv.org/pdf/1602.05837.pdf" TargetMode="External"/><Relationship Id="rId395" Type="http://schemas.openxmlformats.org/officeDocument/2006/relationships/hyperlink" Target="https://www.sciencedirect.com/science/article/pii/0166218X96000960/pdf?md5=0a6c305277dd00a5e798cf731f79731e&amp;pid=1-s2.0-0166218X96000960-main.pdf" TargetMode="External"/><Relationship Id="rId152" Type="http://schemas.openxmlformats.org/officeDocument/2006/relationships/hyperlink" Target="https://theory.epfl.ch/vishnoi/Lxb-Web.pdf" TargetMode="External"/><Relationship Id="rId273" Type="http://schemas.openxmlformats.org/officeDocument/2006/relationships/hyperlink" Target="https://arxiv.org/pdf/1602.05837.pdf" TargetMode="External"/><Relationship Id="rId394" Type="http://schemas.openxmlformats.org/officeDocument/2006/relationships/hyperlink" Target="https://www.sciencedirect.com/science/article/pii/S0196677404001117?via%3Dihub" TargetMode="External"/><Relationship Id="rId151" Type="http://schemas.openxmlformats.org/officeDocument/2006/relationships/hyperlink" Target="https://dl.acm.org/doi/abs/10.5555/6649" TargetMode="External"/><Relationship Id="rId272" Type="http://schemas.openxmlformats.org/officeDocument/2006/relationships/hyperlink" Target="https://link.springer.com/content/pdf/10.1007/s00453-010-9411-3.pdf" TargetMode="External"/><Relationship Id="rId393" Type="http://schemas.openxmlformats.org/officeDocument/2006/relationships/hyperlink" Target="https://www.sciencedirect.com/science/article/pii/0166218X96000960/pdf?md5=0a6c305277dd00a5e798cf731f79731e&amp;pid=1-s2.0-0166218X96000960-main.pdf" TargetMode="External"/><Relationship Id="rId158" Type="http://schemas.openxmlformats.org/officeDocument/2006/relationships/hyperlink" Target="https://dl.acm.org/doi/10.1145/364520.364540" TargetMode="External"/><Relationship Id="rId279" Type="http://schemas.openxmlformats.org/officeDocument/2006/relationships/hyperlink" Target="https://graphics.stanford.edu/courses/Appel.pdf" TargetMode="External"/><Relationship Id="rId157" Type="http://schemas.openxmlformats.org/officeDocument/2006/relationships/hyperlink" Target="https://dl.acm.org/doi/10.1145/364520.364540" TargetMode="External"/><Relationship Id="rId278" Type="http://schemas.openxmlformats.org/officeDocument/2006/relationships/hyperlink" Target="https://link.springer.com/content/pdf/10.1007/BF01206331.pdf" TargetMode="External"/><Relationship Id="rId399" Type="http://schemas.openxmlformats.org/officeDocument/2006/relationships/hyperlink" Target="http://web.cs.elte.hu/blobs/diplomamunkak/mat/2009/hubai_tamas.pdf" TargetMode="External"/><Relationship Id="rId156" Type="http://schemas.openxmlformats.org/officeDocument/2006/relationships/hyperlink" Target="https://www.sciencedirect.com/science/article/pii/0304397585900441?via%3Dihub" TargetMode="External"/><Relationship Id="rId277" Type="http://schemas.openxmlformats.org/officeDocument/2006/relationships/hyperlink" Target="https://arxiv.org/pdf/1602.05837.pdf" TargetMode="External"/><Relationship Id="rId398" Type="http://schemas.openxmlformats.org/officeDocument/2006/relationships/hyperlink" Target="https://drops.dagstuhl.de/opus/volltexte/2021/14182/pdf/LIPIcs-ICALP-2021-113.pdf" TargetMode="External"/><Relationship Id="rId155" Type="http://schemas.openxmlformats.org/officeDocument/2006/relationships/hyperlink" Target="https://epubs.siam.org/doi/abs/10.1137/0211030?journalCode=smjcat" TargetMode="External"/><Relationship Id="rId276" Type="http://schemas.openxmlformats.org/officeDocument/2006/relationships/hyperlink" Target="https://www.sciencedirect.com/science/article/pii/S1571066104003135?via%3Dihub" TargetMode="External"/><Relationship Id="rId397" Type="http://schemas.openxmlformats.org/officeDocument/2006/relationships/hyperlink" Target="https://www.sciencedirect.com/science/article/pii/0166218X96000960/pdf?md5=0a6c305277dd00a5e798cf731f79731e&amp;pid=1-s2.0-0166218X96000960-main.pdf" TargetMode="External"/><Relationship Id="rId40" Type="http://schemas.openxmlformats.org/officeDocument/2006/relationships/hyperlink" Target="https://arxiv.org/abs/2007.10254" TargetMode="External"/><Relationship Id="rId42" Type="http://schemas.openxmlformats.org/officeDocument/2006/relationships/hyperlink" Target="https://link.springer.com/article/10.1007/BF01931804" TargetMode="External"/><Relationship Id="rId41" Type="http://schemas.openxmlformats.org/officeDocument/2006/relationships/hyperlink" Target="https://www.cs.utexas.edu/users/flame/Notes/NotesOnChol.pdf" TargetMode="External"/><Relationship Id="rId44" Type="http://schemas.openxmlformats.org/officeDocument/2006/relationships/hyperlink" Target="https://en.wikipedia.org/wiki/Levinson_recursion" TargetMode="External"/><Relationship Id="rId43" Type="http://schemas.openxmlformats.org/officeDocument/2006/relationships/hyperlink" Target="https://link.springer.com/content/pdf/10.1007/BF02163269.pdf" TargetMode="External"/><Relationship Id="rId46" Type="http://schemas.openxmlformats.org/officeDocument/2006/relationships/hyperlink" Target="https://books.google.com/books?hl=en&amp;lr=&amp;id=DTjPAAAAQBAJ&amp;oi=fnd&amp;pg=PP1&amp;dq=general+linear+programming&amp;ots=vD4ZikjK9Z&amp;sig=hKNx-yjfv4eztlHMjbWBIEWhfGA" TargetMode="External"/><Relationship Id="rId45" Type="http://schemas.openxmlformats.org/officeDocument/2006/relationships/hyperlink" Target="https://www.jstor.org/stable/2004623" TargetMode="External"/><Relationship Id="rId509" Type="http://schemas.openxmlformats.org/officeDocument/2006/relationships/hyperlink" Target="https://dl.acm.org/doi/pdf/10.1145/3186893" TargetMode="External"/><Relationship Id="rId508" Type="http://schemas.openxmlformats.org/officeDocument/2006/relationships/hyperlink" Target="https://dl.acm.org/doi/pdf/10.1145/3186893" TargetMode="External"/><Relationship Id="rId503" Type="http://schemas.openxmlformats.org/officeDocument/2006/relationships/hyperlink" Target="https://link.springer.com/chapter/10.1007/978-3-662-43948-7_4" TargetMode="External"/><Relationship Id="rId502" Type="http://schemas.openxmlformats.org/officeDocument/2006/relationships/hyperlink" Target="https://doi.org/10.1016/0925-7721(95)00022-2" TargetMode="External"/><Relationship Id="rId501" Type="http://schemas.openxmlformats.org/officeDocument/2006/relationships/hyperlink" Target="https://doi.org/10.1016/0925-7721(95)00022-2" TargetMode="External"/><Relationship Id="rId500" Type="http://schemas.openxmlformats.org/officeDocument/2006/relationships/hyperlink" Target="https://link.springer.com/content/pdf/10.1007/3-540-52846-6_81.pdf" TargetMode="External"/><Relationship Id="rId507" Type="http://schemas.openxmlformats.org/officeDocument/2006/relationships/hyperlink" Target="https://dl.acm.org/doi/pdf/10.1145/3186893" TargetMode="External"/><Relationship Id="rId506" Type="http://schemas.openxmlformats.org/officeDocument/2006/relationships/hyperlink" Target="https://dl.acm.org/doi/pdf/10.1145/3186893" TargetMode="External"/><Relationship Id="rId505" Type="http://schemas.openxmlformats.org/officeDocument/2006/relationships/hyperlink" Target="https://dl.acm.org/doi/pdf/10.1145/3186893" TargetMode="External"/><Relationship Id="rId504" Type="http://schemas.openxmlformats.org/officeDocument/2006/relationships/hyperlink" Target="https://link.springer.com/chapter/10.1007/978-3-662-43948-7_4" TargetMode="External"/><Relationship Id="rId48" Type="http://schemas.openxmlformats.org/officeDocument/2006/relationships/hyperlink" Target="https://arxiv.org/abs/1810.07896" TargetMode="External"/><Relationship Id="rId47" Type="http://schemas.openxmlformats.org/officeDocument/2006/relationships/hyperlink" Target="https://link.springer.com/content/pdf/10.1007/BF01580859.pdf" TargetMode="External"/><Relationship Id="rId49" Type="http://schemas.openxmlformats.org/officeDocument/2006/relationships/hyperlink" Target="https://d1wqtxts1xzle7.cloudfront.net/30784929/15023096-libre.pdf?1392035464=&amp;response-content-disposition=inline%3B+filename%3DThree_models_of_fuzzy_integer_linear_pro.pdf&amp;Expires=1661187732&amp;Signature=KJX0f8E8YpE~2X0f4tgDBvqlsPKVldp3BztygETrIDDscwI25~PAsRrtZ8JYXgalpEd1vJEuYuUDCyefMcdsMqq0I-yN0l0DOn6AaZhB-Wr-bjzxuorwUjudediDpIFtzK6t6ue30Gy5smKflevKkLzd~C9gDO9wLM7rXs9Qc3Pt3WRq~eyXrNERyyX8nQCj3-FtOFPVWttivVFqKopzQ7zHUnkMsSQ9~TOyB58tJX5mjZ0qwTnG-E5WdkYIcxSqFFMvQciOztMjOw4ztTOoaR-bK4zm23a~Rhmy9YnvyN6H807Dn4R7Gz2HhIi7fBpZKuN7TRUUDLZoYF3E6AhV1g__&amp;Key-Pair-Id=APKAJLOHF5GGSLRBV4ZA" TargetMode="External"/><Relationship Id="rId31" Type="http://schemas.openxmlformats.org/officeDocument/2006/relationships/hyperlink" Target="https://ieeexplore.ieee.org/stamp/stamp.jsp?arnumber=4569672" TargetMode="External"/><Relationship Id="rId30" Type="http://schemas.openxmlformats.org/officeDocument/2006/relationships/hyperlink" Target="https://arxiv.org/pdf/2010.05846.pdf" TargetMode="External"/><Relationship Id="rId33" Type="http://schemas.openxmlformats.org/officeDocument/2006/relationships/hyperlink" Target="https://dl.acm.org/doi/pdf/10.1145/3186893" TargetMode="External"/><Relationship Id="rId32" Type="http://schemas.openxmlformats.org/officeDocument/2006/relationships/hyperlink" Target="https://arxiv.org/pdf/2010.05846.pdf" TargetMode="External"/><Relationship Id="rId35" Type="http://schemas.openxmlformats.org/officeDocument/2006/relationships/hyperlink" Target="https://dl.acm.org/doi/pdf/10.1145/3186893" TargetMode="External"/><Relationship Id="rId34" Type="http://schemas.openxmlformats.org/officeDocument/2006/relationships/hyperlink" Target="https://www.sciencedirect.com/science/article/pii/S0890540118300099" TargetMode="External"/><Relationship Id="rId37" Type="http://schemas.openxmlformats.org/officeDocument/2006/relationships/hyperlink" Target="https://dl.acm.org/doi/pdf/10.1145/3186893" TargetMode="External"/><Relationship Id="rId36" Type="http://schemas.openxmlformats.org/officeDocument/2006/relationships/hyperlink" Target="https://dl.acm.org/doi/pdf/10.1145/3186893" TargetMode="External"/><Relationship Id="rId39" Type="http://schemas.openxmlformats.org/officeDocument/2006/relationships/hyperlink" Target="https://arxiv.org/pdf/0811.3171.pdf" TargetMode="External"/><Relationship Id="rId38" Type="http://schemas.openxmlformats.org/officeDocument/2006/relationships/hyperlink" Target="https://wires.onlinelibrary.wiley.com/doi/pdfdirect/10.1002/wics.164" TargetMode="External"/><Relationship Id="rId20" Type="http://schemas.openxmlformats.org/officeDocument/2006/relationships/hyperlink" Target="https://dl.acm.org/doi/abs/10.1145/3212510" TargetMode="External"/><Relationship Id="rId22" Type="http://schemas.openxmlformats.org/officeDocument/2006/relationships/hyperlink" Target="https://arxiv.org/abs/2203.00671" TargetMode="External"/><Relationship Id="rId21" Type="http://schemas.openxmlformats.org/officeDocument/2006/relationships/hyperlink" Target="https://dl.acm.org/doi/abs/10.1145/3212510" TargetMode="External"/><Relationship Id="rId24" Type="http://schemas.openxmlformats.org/officeDocument/2006/relationships/hyperlink" Target="https://www.tandfonline.com/doi/pdf/10.1080/10556788.2014.895828" TargetMode="External"/><Relationship Id="rId23" Type="http://schemas.openxmlformats.org/officeDocument/2006/relationships/hyperlink" Target="https://dl.acm.org/doi/abs/10.1145/3212510" TargetMode="External"/><Relationship Id="rId409" Type="http://schemas.openxmlformats.org/officeDocument/2006/relationships/hyperlink" Target="https://dl.acm.org/doi/pdf/10.1145/2925416" TargetMode="External"/><Relationship Id="rId404" Type="http://schemas.openxmlformats.org/officeDocument/2006/relationships/hyperlink" Target="http://web.cs.elte.hu/blobs/diplomamunkak/mat/2009/hubai_tamas.pdf" TargetMode="External"/><Relationship Id="rId525" Type="http://schemas.openxmlformats.org/officeDocument/2006/relationships/hyperlink" Target="https://dl.acm.org/doi/pdf/10.1145/2933575.2935304" TargetMode="External"/><Relationship Id="rId403" Type="http://schemas.openxmlformats.org/officeDocument/2006/relationships/hyperlink" Target="https://link.springer.com/chapter/10.1007/978-3-540-73545-8_9" TargetMode="External"/><Relationship Id="rId524" Type="http://schemas.openxmlformats.org/officeDocument/2006/relationships/hyperlink" Target="https://www.cv-foundation.org/openaccess/content_iccv_2015/papers/Shen_Learning_Binary_Codes_ICCV_2015_paper.pdf" TargetMode="External"/><Relationship Id="rId402" Type="http://schemas.openxmlformats.org/officeDocument/2006/relationships/hyperlink" Target="http://web.cs.elte.hu/blobs/diplomamunkak/mat/2009/hubai_tamas.pdf" TargetMode="External"/><Relationship Id="rId523" Type="http://schemas.openxmlformats.org/officeDocument/2006/relationships/hyperlink" Target="https://ieeexplore.ieee.org/iel7/8100284/8104011/08104058.pdf?casa_token=tuNJo01Tyh0AAAAA:VuzSKuC4fDZ_f7O99-O062M2xCFl8qZqUr1BjNKgzWI6rp9Ij6-NXHZvpi16JN_jEucLmPI" TargetMode="External"/><Relationship Id="rId401" Type="http://schemas.openxmlformats.org/officeDocument/2006/relationships/hyperlink" Target="http://web.cs.elte.hu/blobs/diplomamunkak/mat/2009/hubai_tamas.pdf" TargetMode="External"/><Relationship Id="rId522" Type="http://schemas.openxmlformats.org/officeDocument/2006/relationships/hyperlink" Target="https://arxiv.org/pdf/1703.01638.pdf" TargetMode="External"/><Relationship Id="rId408" Type="http://schemas.openxmlformats.org/officeDocument/2006/relationships/hyperlink" Target="https://eprints.soton.ac.uk/265340/1/jpms-wodes08.pdf" TargetMode="External"/><Relationship Id="rId529" Type="http://schemas.openxmlformats.org/officeDocument/2006/relationships/hyperlink" Target="https://dl.acm.org/doi/pdf/10.1145/2933575.2935304" TargetMode="External"/><Relationship Id="rId407" Type="http://schemas.openxmlformats.org/officeDocument/2006/relationships/hyperlink" Target="https://ieeexplore.ieee.org/stamp/stamp.jsp?arnumber=4031392" TargetMode="External"/><Relationship Id="rId528" Type="http://schemas.openxmlformats.org/officeDocument/2006/relationships/hyperlink" Target="https://dl.acm.org/doi/pdf/10.1145/2933575.2935304" TargetMode="External"/><Relationship Id="rId406" Type="http://schemas.openxmlformats.org/officeDocument/2006/relationships/hyperlink" Target="http://web.cs.elte.hu/blobs/diplomamunkak/mat/2009/hubai_tamas.pdf" TargetMode="External"/><Relationship Id="rId527" Type="http://schemas.openxmlformats.org/officeDocument/2006/relationships/hyperlink" Target="https://dl.acm.org/doi/pdf/10.1145/2933575.2935304" TargetMode="External"/><Relationship Id="rId405" Type="http://schemas.openxmlformats.org/officeDocument/2006/relationships/hyperlink" Target="https://link.springer.com/chapter/10.1007/978-3-540-73545-8_9" TargetMode="External"/><Relationship Id="rId526" Type="http://schemas.openxmlformats.org/officeDocument/2006/relationships/hyperlink" Target="https://dl.acm.org/doi/pdf/10.1145/2933575.2935304" TargetMode="External"/><Relationship Id="rId26" Type="http://schemas.openxmlformats.org/officeDocument/2006/relationships/hyperlink" Target="https://dl.acm.org/doi/abs/10.1145/3212510" TargetMode="External"/><Relationship Id="rId25" Type="http://schemas.openxmlformats.org/officeDocument/2006/relationships/hyperlink" Target="https://arxiv.org/abs/2203.00671" TargetMode="External"/><Relationship Id="rId28" Type="http://schemas.openxmlformats.org/officeDocument/2006/relationships/hyperlink" Target="https://dl.acm.org/doi/abs/10.1145/3212510" TargetMode="External"/><Relationship Id="rId27" Type="http://schemas.openxmlformats.org/officeDocument/2006/relationships/hyperlink" Target="https://dl.acm.org/doi/abs/10.1145/3212510" TargetMode="External"/><Relationship Id="rId400" Type="http://schemas.openxmlformats.org/officeDocument/2006/relationships/hyperlink" Target="https://ieeexplore.ieee.org/stamp/stamp.jsp?arnumber=4031392" TargetMode="External"/><Relationship Id="rId521" Type="http://schemas.openxmlformats.org/officeDocument/2006/relationships/hyperlink" Target="https://arxiv.org/pdf/1703.01638.pdf" TargetMode="External"/><Relationship Id="rId29" Type="http://schemas.openxmlformats.org/officeDocument/2006/relationships/hyperlink" Target="https://era.ed.ac.uk/bitstream/handle/1842/4734/Stothers2010.pdf" TargetMode="External"/><Relationship Id="rId520" Type="http://schemas.openxmlformats.org/officeDocument/2006/relationships/hyperlink" Target="https://arxiv.org/pdf/1703.01638.pdf" TargetMode="External"/><Relationship Id="rId11" Type="http://schemas.openxmlformats.org/officeDocument/2006/relationships/hyperlink" Target="https://citeseerx.ist.psu.edu/viewdoc/download?doi=10.1.1.54.9426&amp;rep=rep1&amp;type=pdf" TargetMode="External"/><Relationship Id="rId10" Type="http://schemas.openxmlformats.org/officeDocument/2006/relationships/hyperlink" Target="https://citeseerx.ist.psu.edu/viewdoc/download?doi=10.1.1.56.222&amp;rep=rep1&amp;type=pdf" TargetMode="External"/><Relationship Id="rId13" Type="http://schemas.openxmlformats.org/officeDocument/2006/relationships/hyperlink" Target="https://citeseerx.ist.psu.edu/viewdoc/download?doi=10.1.1.56.222&amp;rep=rep1&amp;type=pdf" TargetMode="External"/><Relationship Id="rId12" Type="http://schemas.openxmlformats.org/officeDocument/2006/relationships/hyperlink" Target="https://citeseerx.ist.psu.edu/viewdoc/download?doi=10.1.1.56.222&amp;rep=rep1&amp;type=pdf" TargetMode="External"/><Relationship Id="rId519" Type="http://schemas.openxmlformats.org/officeDocument/2006/relationships/hyperlink" Target="https://arxiv.org/pdf/1703.01638.pdf" TargetMode="External"/><Relationship Id="rId514" Type="http://schemas.openxmlformats.org/officeDocument/2006/relationships/hyperlink" Target="https://arxiv.org/pdf/1602.06705.pdf" TargetMode="External"/><Relationship Id="rId513" Type="http://schemas.openxmlformats.org/officeDocument/2006/relationships/hyperlink" Target="https://doi.org/10.1145/2746539.2746609" TargetMode="External"/><Relationship Id="rId512" Type="http://schemas.openxmlformats.org/officeDocument/2006/relationships/hyperlink" Target="https://epubs.siam.org/doi/abs/10.1137/1.9781611974782.142" TargetMode="External"/><Relationship Id="rId511" Type="http://schemas.openxmlformats.org/officeDocument/2006/relationships/hyperlink" Target="https://doi.org/10.1145/2746539.2746609" TargetMode="External"/><Relationship Id="rId518" Type="http://schemas.openxmlformats.org/officeDocument/2006/relationships/hyperlink" Target="https://arxiv.org/pdf/1703.01638.pdf" TargetMode="External"/><Relationship Id="rId517" Type="http://schemas.openxmlformats.org/officeDocument/2006/relationships/hyperlink" Target="https://arxiv.org/pdf/1703.01638.pdf" TargetMode="External"/><Relationship Id="rId516" Type="http://schemas.openxmlformats.org/officeDocument/2006/relationships/hyperlink" Target="https://arxiv.org/pdf/1703.01638.pdf" TargetMode="External"/><Relationship Id="rId515" Type="http://schemas.openxmlformats.org/officeDocument/2006/relationships/hyperlink" Target="https://ieeexplore.ieee.org/abstract/document/6979028?casa_token=daaoBjrHUa4AAAAA:DCjk_WMWZ5Is6KvGpmS8a2bL9LskvV0P1zEG4U2u-Tm_C8sixu1w65OpTyjml1HEpaikXhtYsg" TargetMode="External"/><Relationship Id="rId15" Type="http://schemas.openxmlformats.org/officeDocument/2006/relationships/hyperlink" Target="https://cse.hkust.edu.hk/mjg_lib/bibs/DPSu/DPSu.Files/HuSz77.pdf" TargetMode="External"/><Relationship Id="rId14" Type="http://schemas.openxmlformats.org/officeDocument/2006/relationships/hyperlink" Target="http://citeseerx.ist.psu.edu/viewdoc/download?doi=10.1.1.56.222&amp;rep=rep1&amp;type=pdf" TargetMode="External"/><Relationship Id="rId17" Type="http://schemas.openxmlformats.org/officeDocument/2006/relationships/hyperlink" Target="https://link.springer.com/chapter/10.1007/978-3-662-43948-7_4" TargetMode="External"/><Relationship Id="rId16" Type="http://schemas.openxmlformats.org/officeDocument/2006/relationships/hyperlink" Target="https://link.springer.com/chapter/10.1007/978-3-662-43948-7_4" TargetMode="External"/><Relationship Id="rId19" Type="http://schemas.openxmlformats.org/officeDocument/2006/relationships/hyperlink" Target="https://dl.acm.org/doi/abs/10.1145/3212510" TargetMode="External"/><Relationship Id="rId510" Type="http://schemas.openxmlformats.org/officeDocument/2006/relationships/hyperlink" Target="https://arxiv.org/pdf/1712.08147v2.pdf" TargetMode="External"/><Relationship Id="rId18" Type="http://schemas.openxmlformats.org/officeDocument/2006/relationships/hyperlink" Target="https://link.springer.com/chapter/10.1007/978-3-662-43948-7_4" TargetMode="External"/><Relationship Id="rId84" Type="http://schemas.openxmlformats.org/officeDocument/2006/relationships/hyperlink" Target="https://epubs.siam.org/doi/abs/10.1137/0205051" TargetMode="External"/><Relationship Id="rId83" Type="http://schemas.openxmlformats.org/officeDocument/2006/relationships/hyperlink" Target="https://epubs.siam.org/doi/abs/10.1137/0205051" TargetMode="External"/><Relationship Id="rId86" Type="http://schemas.openxmlformats.org/officeDocument/2006/relationships/hyperlink" Target="https://www.sciencedirect.com/science/article/pii/S0022000005800649?via%3Dihub" TargetMode="External"/><Relationship Id="rId85" Type="http://schemas.openxmlformats.org/officeDocument/2006/relationships/hyperlink" Target="https://epubs.siam.org/doi/abs/10.1137/0205051" TargetMode="External"/><Relationship Id="rId88" Type="http://schemas.openxmlformats.org/officeDocument/2006/relationships/hyperlink" Target="https://nvlpubs.nist.gov/nistpubs/jres/71b/jresv71bn4p233_a1b.pdf" TargetMode="External"/><Relationship Id="rId87" Type="http://schemas.openxmlformats.org/officeDocument/2006/relationships/hyperlink" Target="https://www.sciencedirect.com/science/article/pii/S0022000005800649?via%3Dihub" TargetMode="External"/><Relationship Id="rId89" Type="http://schemas.openxmlformats.org/officeDocument/2006/relationships/hyperlink" Target="https://link.springer.com/article/10.1007/BF02579168" TargetMode="External"/><Relationship Id="rId80" Type="http://schemas.openxmlformats.org/officeDocument/2006/relationships/hyperlink" Target="https://dl.acm.org/doi/10.1145/505241.505243" TargetMode="External"/><Relationship Id="rId82" Type="http://schemas.openxmlformats.org/officeDocument/2006/relationships/hyperlink" Target="https://epubs.siam.org/doi/abs/10.1137/0205051" TargetMode="External"/><Relationship Id="rId81" Type="http://schemas.openxmlformats.org/officeDocument/2006/relationships/hyperlink" Target="https://dl.acm.org/doi/10.1145/505241.505243" TargetMode="External"/><Relationship Id="rId73" Type="http://schemas.openxmlformats.org/officeDocument/2006/relationships/hyperlink" Target="https://ieeexplore.ieee.org/abstract/document/6979028?casa_token=daaoBjrHUa4AAAAA:DCjk_WMWZ5Is6KvGpmS8a2bL9LskvV0P1zEG4U2u-Tm_C8sixu1w65OpTyjml1HEpaikXhtYsg" TargetMode="External"/><Relationship Id="rId72" Type="http://schemas.openxmlformats.org/officeDocument/2006/relationships/hyperlink" Target="https://en.wikipedia.org/wiki/Dynamic_convex_hull" TargetMode="External"/><Relationship Id="rId75" Type="http://schemas.openxmlformats.org/officeDocument/2006/relationships/hyperlink" Target="https://ieeexplore.ieee.org/abstract/document/6979028?casa_token=daaoBjrHUa4AAAAA:DCjk_WMWZ5Is6KvGpmS8a2bL9LskvV0P1zEG4U2u-Tm_C8sixu1w65OpTyjml1HEpaikXhtYsg" TargetMode="External"/><Relationship Id="rId74" Type="http://schemas.openxmlformats.org/officeDocument/2006/relationships/hyperlink" Target="https://link.springer.com/article/10.1007/BF01940892" TargetMode="External"/><Relationship Id="rId77" Type="http://schemas.openxmlformats.org/officeDocument/2006/relationships/hyperlink" Target="https://ieeexplore.ieee.org/abstract/document/6979028?casa_token=daaoBjrHUa4AAAAA:DCjk_WMWZ5Is6KvGpmS8a2bL9LskvV0P1zEG4U2u-Tm_C8sixu1w65OpTyjml1HEpaikXhtYsg" TargetMode="External"/><Relationship Id="rId76" Type="http://schemas.openxmlformats.org/officeDocument/2006/relationships/hyperlink" Target="https://ieeexplore.ieee.org/abstract/document/6979028?casa_token=daaoBjrHUa4AAAAA:DCjk_WMWZ5Is6KvGpmS8a2bL9LskvV0P1zEG4U2u-Tm_C8sixu1w65OpTyjml1HEpaikXhtYsg" TargetMode="External"/><Relationship Id="rId79" Type="http://schemas.openxmlformats.org/officeDocument/2006/relationships/hyperlink" Target="https://dl.acm.org/citation.cfm?id=2791225" TargetMode="External"/><Relationship Id="rId78" Type="http://schemas.openxmlformats.org/officeDocument/2006/relationships/hyperlink" Target="https://ieeexplore.ieee.org/abstract/document/6979028?casa_token=daaoBjrHUa4AAAAA:DCjk_WMWZ5Is6KvGpmS8a2bL9LskvV0P1zEG4U2u-Tm_C8sixu1w65OpTyjml1HEpaikXhtYsg" TargetMode="External"/><Relationship Id="rId71" Type="http://schemas.openxmlformats.org/officeDocument/2006/relationships/hyperlink" Target="https://www.sciencedirect.com/science/article/pii/002200008190012X?via%3Dihub" TargetMode="External"/><Relationship Id="rId70" Type="http://schemas.openxmlformats.org/officeDocument/2006/relationships/hyperlink" Target="https://link.springer.com/content/pdf/10.1007/978-1-4612-1098-6.pdf" TargetMode="External"/><Relationship Id="rId62" Type="http://schemas.openxmlformats.org/officeDocument/2006/relationships/hyperlink" Target="https://ecommons.cornell.edu/handle/1813/6417" TargetMode="External"/><Relationship Id="rId61" Type="http://schemas.openxmlformats.org/officeDocument/2006/relationships/hyperlink" Target="https://dl.acm.org/doi/10.1145/359423.359430" TargetMode="External"/><Relationship Id="rId64" Type="http://schemas.openxmlformats.org/officeDocument/2006/relationships/hyperlink" Target="https://link.springer.com/chapter/10.1007/978-1-4612-1098-6_3" TargetMode="External"/><Relationship Id="rId63" Type="http://schemas.openxmlformats.org/officeDocument/2006/relationships/hyperlink" Target="https://ecommons.cornell.edu/handle/1813/6417" TargetMode="External"/><Relationship Id="rId66" Type="http://schemas.openxmlformats.org/officeDocument/2006/relationships/hyperlink" Target="https://link.springer.com/article/10.1007/BF02712873" TargetMode="External"/><Relationship Id="rId65" Type="http://schemas.openxmlformats.org/officeDocument/2006/relationships/hyperlink" Target="https://dl.acm.org/doi/10.1145/359423.359430" TargetMode="External"/><Relationship Id="rId68" Type="http://schemas.openxmlformats.org/officeDocument/2006/relationships/hyperlink" Target="https://dl.acm.org/doi/abs/10.1145/359131.359132" TargetMode="External"/><Relationship Id="rId67" Type="http://schemas.openxmlformats.org/officeDocument/2006/relationships/hyperlink" Target="https://dl.acm.org/doi/pdf/10.1145/12130.12172" TargetMode="External"/><Relationship Id="rId60" Type="http://schemas.openxmlformats.org/officeDocument/2006/relationships/hyperlink" Target="https://www.sciencedirect.com/science/article/pii/0022000086900255" TargetMode="External"/><Relationship Id="rId69" Type="http://schemas.openxmlformats.org/officeDocument/2006/relationships/hyperlink" Target="https://dl.acm.org/doi/abs/10.1145/359131.359132" TargetMode="External"/><Relationship Id="rId51" Type="http://schemas.openxmlformats.org/officeDocument/2006/relationships/hyperlink" Target="https://dl.acm.org/doi/10.1145/147508.147511" TargetMode="External"/><Relationship Id="rId50" Type="http://schemas.openxmlformats.org/officeDocument/2006/relationships/hyperlink" Target="https://www.jstor.org/stable/pdf/2628745.pdf" TargetMode="External"/><Relationship Id="rId53" Type="http://schemas.openxmlformats.org/officeDocument/2006/relationships/hyperlink" Target="https://epubs.siam.org/doi/abs/10.1137/S0097539797329373" TargetMode="External"/><Relationship Id="rId52" Type="http://schemas.openxmlformats.org/officeDocument/2006/relationships/hyperlink" Target="https://dl.acm.org/doi/10.1145/147508.147511" TargetMode="External"/><Relationship Id="rId55" Type="http://schemas.openxmlformats.org/officeDocument/2006/relationships/hyperlink" Target="https://pdfs.semanticscholar.org/a571/cc92218132a1b0e65c2adbf663c79d015737.pdf" TargetMode="External"/><Relationship Id="rId54" Type="http://schemas.openxmlformats.org/officeDocument/2006/relationships/hyperlink" Target="https://dl.acm.org/citation.cfm?id=304991" TargetMode="External"/><Relationship Id="rId57" Type="http://schemas.openxmlformats.org/officeDocument/2006/relationships/hyperlink" Target="https://pdfs.semanticscholar.org/a571/cc92218132a1b0e65c2adbf663c79d015737.pdf" TargetMode="External"/><Relationship Id="rId56" Type="http://schemas.openxmlformats.org/officeDocument/2006/relationships/hyperlink" Target="https://pdfs.semanticscholar.org/a571/cc92218132a1b0e65c2adbf663c79d015737.pdf" TargetMode="External"/><Relationship Id="rId59" Type="http://schemas.openxmlformats.org/officeDocument/2006/relationships/hyperlink" Target="https://www.sciencedirect.com/science/article/pii/0022000086900255" TargetMode="External"/><Relationship Id="rId58" Type="http://schemas.openxmlformats.org/officeDocument/2006/relationships/hyperlink" Target="https://pdfs.semanticscholar.org/a571/cc92218132a1b0e65c2adbf663c79d015737.pdf" TargetMode="External"/><Relationship Id="rId107" Type="http://schemas.openxmlformats.org/officeDocument/2006/relationships/hyperlink" Target="https://arxiv.org/pdf/1703.01638.pdf" TargetMode="External"/><Relationship Id="rId228" Type="http://schemas.openxmlformats.org/officeDocument/2006/relationships/hyperlink" Target="https://dl.acm.org/doi/pdf/10.1145/876638.876640" TargetMode="External"/><Relationship Id="rId349" Type="http://schemas.openxmlformats.org/officeDocument/2006/relationships/hyperlink" Target="http://hariharan-ramesh.com/ppts/turnpike.pdf" TargetMode="External"/><Relationship Id="rId106" Type="http://schemas.openxmlformats.org/officeDocument/2006/relationships/hyperlink" Target="https://arxiv.org/pdf/1703.01638.pdf" TargetMode="External"/><Relationship Id="rId227" Type="http://schemas.openxmlformats.org/officeDocument/2006/relationships/hyperlink" Target="https://arxiv.org/pdf/1602.05837.pdf" TargetMode="External"/><Relationship Id="rId348" Type="http://schemas.openxmlformats.org/officeDocument/2006/relationships/hyperlink" Target="http://hariharan-ramesh.com/ppts/turnpike.pdf" TargetMode="External"/><Relationship Id="rId469" Type="http://schemas.openxmlformats.org/officeDocument/2006/relationships/hyperlink" Target="https://dl.acm.org/doi/pdf/10.1145/3186893" TargetMode="External"/><Relationship Id="rId105" Type="http://schemas.openxmlformats.org/officeDocument/2006/relationships/hyperlink" Target="https://arxiv.org/pdf/1703.01638.pdf" TargetMode="External"/><Relationship Id="rId226" Type="http://schemas.openxmlformats.org/officeDocument/2006/relationships/hyperlink" Target="https://people.csail.mit.edu/virgi/eccentri.pdf" TargetMode="External"/><Relationship Id="rId347" Type="http://schemas.openxmlformats.org/officeDocument/2006/relationships/hyperlink" Target="https://dl.acm.org/doi/10.1145/321864.321874" TargetMode="External"/><Relationship Id="rId468" Type="http://schemas.openxmlformats.org/officeDocument/2006/relationships/hyperlink" Target="https://epubs.siam.org/doi/epdf/10.1137/1.9781611973730.112" TargetMode="External"/><Relationship Id="rId104" Type="http://schemas.openxmlformats.org/officeDocument/2006/relationships/hyperlink" Target="https://arxiv.org/pdf/1703.01638.pdf" TargetMode="External"/><Relationship Id="rId225" Type="http://schemas.openxmlformats.org/officeDocument/2006/relationships/hyperlink" Target="https://people.csail.mit.edu/virgi/eccentri.pdf" TargetMode="External"/><Relationship Id="rId346" Type="http://schemas.openxmlformats.org/officeDocument/2006/relationships/hyperlink" Target="https://epubs.siam.org/doi/pdf/10.1137/0201008" TargetMode="External"/><Relationship Id="rId467" Type="http://schemas.openxmlformats.org/officeDocument/2006/relationships/hyperlink" Target="https://epubs.siam.org/doi/epdf/10.1137/1.9781611973730.112" TargetMode="External"/><Relationship Id="rId109" Type="http://schemas.openxmlformats.org/officeDocument/2006/relationships/hyperlink" Target="https://dl.acm.org/doi/10.1145/2591796.2591811" TargetMode="External"/><Relationship Id="rId108" Type="http://schemas.openxmlformats.org/officeDocument/2006/relationships/hyperlink" Target="https://dl.acm.org/doi/10.1145/2591796.2591811" TargetMode="External"/><Relationship Id="rId229" Type="http://schemas.openxmlformats.org/officeDocument/2006/relationships/hyperlink" Target="https://www.jstor.org/stable/2098806" TargetMode="External"/><Relationship Id="rId220" Type="http://schemas.openxmlformats.org/officeDocument/2006/relationships/hyperlink" Target="https://www.sciencedirect.com/science/article/am/pii/S095070511830488X" TargetMode="External"/><Relationship Id="rId341" Type="http://schemas.openxmlformats.org/officeDocument/2006/relationships/hyperlink" Target="https://ieeexplore.ieee.org/stamp/stamp.jsp?tp=&amp;arnumber=4567957" TargetMode="External"/><Relationship Id="rId462" Type="http://schemas.openxmlformats.org/officeDocument/2006/relationships/hyperlink" Target="https://doi.org/10.1137/1.9781611973730.112" TargetMode="External"/><Relationship Id="rId340" Type="http://schemas.openxmlformats.org/officeDocument/2006/relationships/hyperlink" Target="https://web.stanford.edu/class/archive/cs/cs161/cs161.1168/lecture12.pdf" TargetMode="External"/><Relationship Id="rId461" Type="http://schemas.openxmlformats.org/officeDocument/2006/relationships/hyperlink" Target="https://epubs.siam.org/doi/10.1137/1.9781611973730.112" TargetMode="External"/><Relationship Id="rId460" Type="http://schemas.openxmlformats.org/officeDocument/2006/relationships/hyperlink" Target="https://doi.org/10.1137/1.9781611973730.112" TargetMode="External"/><Relationship Id="rId103" Type="http://schemas.openxmlformats.org/officeDocument/2006/relationships/hyperlink" Target="https://arxiv.org/pdf/1703.01638.pdf" TargetMode="External"/><Relationship Id="rId224" Type="http://schemas.openxmlformats.org/officeDocument/2006/relationships/hyperlink" Target="https://dml.cz/bitstream/handle/10338.dmlcz/106381/CommentatMathUnivCarol_026-1985-2_22.pdf" TargetMode="External"/><Relationship Id="rId345" Type="http://schemas.openxmlformats.org/officeDocument/2006/relationships/hyperlink" Target="https://epubs.siam.org/doi/pdf/10.1137/0201008" TargetMode="External"/><Relationship Id="rId466" Type="http://schemas.openxmlformats.org/officeDocument/2006/relationships/hyperlink" Target="https://epubs.siam.org/doi/epdf/10.1137/1.9781611973730.112" TargetMode="External"/><Relationship Id="rId102" Type="http://schemas.openxmlformats.org/officeDocument/2006/relationships/hyperlink" Target="https://arxiv.org/pdf/1703.01638.pdf" TargetMode="External"/><Relationship Id="rId223" Type="http://schemas.openxmlformats.org/officeDocument/2006/relationships/hyperlink" Target="https://people.csail.mit.edu/virgi/eccentri.pdf" TargetMode="External"/><Relationship Id="rId344" Type="http://schemas.openxmlformats.org/officeDocument/2006/relationships/hyperlink" Target="https://ieeexplore.ieee.org/stamp/stamp.jsp?tp=&amp;arnumber=4567957" TargetMode="External"/><Relationship Id="rId465" Type="http://schemas.openxmlformats.org/officeDocument/2006/relationships/hyperlink" Target="https://epubs.siam.org/doi/epdf/10.1137/1.9781611973730.112" TargetMode="External"/><Relationship Id="rId101" Type="http://schemas.openxmlformats.org/officeDocument/2006/relationships/hyperlink" Target="https://dl.acm.org/doi/pdf/10.1145/3186893" TargetMode="External"/><Relationship Id="rId222" Type="http://schemas.openxmlformats.org/officeDocument/2006/relationships/hyperlink" Target="https://dl.acm.org/doi/10.1145/362342.362367" TargetMode="External"/><Relationship Id="rId343" Type="http://schemas.openxmlformats.org/officeDocument/2006/relationships/hyperlink" Target="https://ieeexplore.ieee.org/stamp/stamp.jsp?tp=&amp;arnumber=4567957" TargetMode="External"/><Relationship Id="rId464" Type="http://schemas.openxmlformats.org/officeDocument/2006/relationships/hyperlink" Target="https://doi.org/10.1137/1.9781611973730.112" TargetMode="External"/><Relationship Id="rId100" Type="http://schemas.openxmlformats.org/officeDocument/2006/relationships/hyperlink" Target="https://dl.acm.org/doi/10.1016/j.jcss.2004.04.003" TargetMode="External"/><Relationship Id="rId221" Type="http://schemas.openxmlformats.org/officeDocument/2006/relationships/hyperlink" Target="https://www.sciencedirect.com/science/article/am/pii/S095070511830488X" TargetMode="External"/><Relationship Id="rId342" Type="http://schemas.openxmlformats.org/officeDocument/2006/relationships/hyperlink" Target="https://ieeexplore.ieee.org/stamp/stamp.jsp?tp=&amp;arnumber=4567957" TargetMode="External"/><Relationship Id="rId463" Type="http://schemas.openxmlformats.org/officeDocument/2006/relationships/hyperlink" Target="https://doi.org/10.1137/1.9781611973730.112" TargetMode="External"/><Relationship Id="rId217" Type="http://schemas.openxmlformats.org/officeDocument/2006/relationships/hyperlink" Target="https://www.semanticscholar.org/paper/Fast-Algorithms-for-Finding-Nearest-Common-Harel-Tarjan/8867d059dda279b1aed4a0301e4e46f9daf65174" TargetMode="External"/><Relationship Id="rId338" Type="http://schemas.openxmlformats.org/officeDocument/2006/relationships/hyperlink" Target="https://doi.org/10.1016/S0304-3975(99)00333-3" TargetMode="External"/><Relationship Id="rId459" Type="http://schemas.openxmlformats.org/officeDocument/2006/relationships/hyperlink" Target="https://epubs.siam.org/doi/10.1137/1.9781611973730.112" TargetMode="External"/><Relationship Id="rId216" Type="http://schemas.openxmlformats.org/officeDocument/2006/relationships/hyperlink" Target="https://www.semanticscholar.org/paper/Fast-Algorithms-for-Finding-Nearest-Common-Harel-Tarjan/8867d059dda279b1aed4a0301e4e46f9daf65174" TargetMode="External"/><Relationship Id="rId337" Type="http://schemas.openxmlformats.org/officeDocument/2006/relationships/hyperlink" Target="https://epubs.siam.org/doi/pdf/10.1137/0218059" TargetMode="External"/><Relationship Id="rId458" Type="http://schemas.openxmlformats.org/officeDocument/2006/relationships/hyperlink" Target="https://doi.org/10.1016/0378-8733(94)00248-9" TargetMode="External"/><Relationship Id="rId215" Type="http://schemas.openxmlformats.org/officeDocument/2006/relationships/hyperlink" Target="https://www.semanticscholar.org/paper/Fast-Algorithms-for-Finding-Nearest-Common-Harel-Tarjan/8867d059dda279b1aed4a0301e4e46f9daf65174" TargetMode="External"/><Relationship Id="rId336" Type="http://schemas.openxmlformats.org/officeDocument/2006/relationships/hyperlink" Target="https://www.ams.org/journals/mcom/1999-68-225/S0025-5718-99-00995-3/S0025-5718-99-00995-3.pdf" TargetMode="External"/><Relationship Id="rId457" Type="http://schemas.openxmlformats.org/officeDocument/2006/relationships/hyperlink" Target="https://arxiv.org/pdf/1703.01638.pdf" TargetMode="External"/><Relationship Id="rId214" Type="http://schemas.openxmlformats.org/officeDocument/2006/relationships/hyperlink" Target="https://www.semanticscholar.org/paper/Fast-Algorithms-for-Finding-Nearest-Common-Harel-Tarjan/8867d059dda279b1aed4a0301e4e46f9daf65174" TargetMode="External"/><Relationship Id="rId335" Type="http://schemas.openxmlformats.org/officeDocument/2006/relationships/hyperlink" Target="https://epubs.siam.org/doi/pdf/10.1137/0218059" TargetMode="External"/><Relationship Id="rId456" Type="http://schemas.openxmlformats.org/officeDocument/2006/relationships/hyperlink" Target="https://arxiv.org/pdf/1703.01638.pdf" TargetMode="External"/><Relationship Id="rId219" Type="http://schemas.openxmlformats.org/officeDocument/2006/relationships/hyperlink" Target="https://www.semanticscholar.org/paper/Fast-Algorithms-for-Finding-Nearest-Common-Harel-Tarjan/8867d059dda279b1aed4a0301e4e46f9daf65174" TargetMode="External"/><Relationship Id="rId218" Type="http://schemas.openxmlformats.org/officeDocument/2006/relationships/hyperlink" Target="https://www.semanticscholar.org/paper/Fast-Algorithms-for-Finding-Nearest-Common-Harel-Tarjan/8867d059dda279b1aed4a0301e4e46f9daf65174" TargetMode="External"/><Relationship Id="rId339" Type="http://schemas.openxmlformats.org/officeDocument/2006/relationships/hyperlink" Target="https://doi.org/10.1006/inco.1998.2761" TargetMode="External"/><Relationship Id="rId330" Type="http://schemas.openxmlformats.org/officeDocument/2006/relationships/hyperlink" Target="https://dl.acm.org/doi/10.1145/2723372.2749449" TargetMode="External"/><Relationship Id="rId451" Type="http://schemas.openxmlformats.org/officeDocument/2006/relationships/hyperlink" Target="https://people.csail.mit.edu/virgi/diam.pdf" TargetMode="External"/><Relationship Id="rId450" Type="http://schemas.openxmlformats.org/officeDocument/2006/relationships/hyperlink" Target="https://people.csail.mit.edu/virgi/diam.pdf" TargetMode="External"/><Relationship Id="rId213" Type="http://schemas.openxmlformats.org/officeDocument/2006/relationships/hyperlink" Target="https://www.labri.fr/perso/zeitoun/research/pdf/Almeida-Zeitoun-IPL2008.pdf" TargetMode="External"/><Relationship Id="rId334" Type="http://schemas.openxmlformats.org/officeDocument/2006/relationships/hyperlink" Target="https://www.ams.org/journals/mcom/1968-22-103/S0025-5718-1968-0226829-0/S0025-5718-1968-0226829-0.pdf" TargetMode="External"/><Relationship Id="rId455" Type="http://schemas.openxmlformats.org/officeDocument/2006/relationships/hyperlink" Target="https://arxiv.org/pdf/1703.01638.pdf" TargetMode="External"/><Relationship Id="rId212" Type="http://schemas.openxmlformats.org/officeDocument/2006/relationships/hyperlink" Target="https://www.labri.fr/perso/zeitoun/research/pdf/Almeida-Zeitoun-IPL2008.pdf" TargetMode="External"/><Relationship Id="rId333" Type="http://schemas.openxmlformats.org/officeDocument/2006/relationships/hyperlink" Target="https://arxiv.org/pdf/1712.08147v2.pdf" TargetMode="External"/><Relationship Id="rId454" Type="http://schemas.openxmlformats.org/officeDocument/2006/relationships/hyperlink" Target="https://arxiv.org/pdf/1703.01638.pdf" TargetMode="External"/><Relationship Id="rId211" Type="http://schemas.openxmlformats.org/officeDocument/2006/relationships/hyperlink" Target="https://www.labri.fr/perso/zeitoun/research/pdf/Almeida-Zeitoun-IPL2008.pdf" TargetMode="External"/><Relationship Id="rId332" Type="http://schemas.openxmlformats.org/officeDocument/2006/relationships/hyperlink" Target="https://dl.acm.org/doi/10.1145/2723372.2749449" TargetMode="External"/><Relationship Id="rId453" Type="http://schemas.openxmlformats.org/officeDocument/2006/relationships/hyperlink" Target="https://arxiv.org/pdf/1703.01638.pdf" TargetMode="External"/><Relationship Id="rId210" Type="http://schemas.openxmlformats.org/officeDocument/2006/relationships/hyperlink" Target="https://dl.acm.org/doi/10.1145/368996.369025" TargetMode="External"/><Relationship Id="rId331" Type="http://schemas.openxmlformats.org/officeDocument/2006/relationships/hyperlink" Target="https://dl.acm.org/doi/10.1145/2723372.2749449" TargetMode="External"/><Relationship Id="rId452" Type="http://schemas.openxmlformats.org/officeDocument/2006/relationships/hyperlink" Target="https://people.csail.mit.edu/virgi/diam.pdf" TargetMode="External"/><Relationship Id="rId370" Type="http://schemas.openxmlformats.org/officeDocument/2006/relationships/hyperlink" Target="https://doi.org/10.1145%2F359168.359176" TargetMode="External"/><Relationship Id="rId491" Type="http://schemas.openxmlformats.org/officeDocument/2006/relationships/hyperlink" Target="https://doi.org/10.1016/j.ipl.2014.03.007" TargetMode="External"/><Relationship Id="rId490" Type="http://schemas.openxmlformats.org/officeDocument/2006/relationships/hyperlink" Target="https://arxiv.org/pdf/1602.05837.pdf" TargetMode="External"/><Relationship Id="rId129" Type="http://schemas.openxmlformats.org/officeDocument/2006/relationships/hyperlink" Target="https://doi.org/10.1109%2Ftro.2004.838026" TargetMode="External"/><Relationship Id="rId128" Type="http://schemas.openxmlformats.org/officeDocument/2006/relationships/hyperlink" Target="https://ieeexplore.ieee.org/stamp/stamp.jsp?tp=&amp;arnumber=4082128" TargetMode="External"/><Relationship Id="rId249" Type="http://schemas.openxmlformats.org/officeDocument/2006/relationships/hyperlink" Target="https://dl.acm.org/doi/abs/10.1145/320557.320571" TargetMode="External"/><Relationship Id="rId127" Type="http://schemas.openxmlformats.org/officeDocument/2006/relationships/hyperlink" Target="https://arxiv.org/abs/math/0506382" TargetMode="External"/><Relationship Id="rId248" Type="http://schemas.openxmlformats.org/officeDocument/2006/relationships/hyperlink" Target="https://dl.acm.org/doi/pdf/10.1145/990511.990513" TargetMode="External"/><Relationship Id="rId369" Type="http://schemas.openxmlformats.org/officeDocument/2006/relationships/hyperlink" Target="https://doi.org/10.1016/B0-12-227240-4/00054-X" TargetMode="External"/><Relationship Id="rId126" Type="http://schemas.openxmlformats.org/officeDocument/2006/relationships/hyperlink" Target="https://arxiv.org/abs/math/0506382" TargetMode="External"/><Relationship Id="rId247" Type="http://schemas.openxmlformats.org/officeDocument/2006/relationships/hyperlink" Target="https://www.microsoft.com/en-us/research/uploads/prod/2020/12/WhatDoesBCNFdo-VLDB1980.pdf" TargetMode="External"/><Relationship Id="rId368" Type="http://schemas.openxmlformats.org/officeDocument/2006/relationships/hyperlink" Target="https://doi.org/10.1016/B0-12-227240-4/00054-X" TargetMode="External"/><Relationship Id="rId489" Type="http://schemas.openxmlformats.org/officeDocument/2006/relationships/hyperlink" Target="https://doi.org/10.1016/0925-7721(95)00022-2" TargetMode="External"/><Relationship Id="rId121" Type="http://schemas.openxmlformats.org/officeDocument/2006/relationships/hyperlink" Target="https://link.springer.com/content/pdf/10.1007/BF01933667.pdf" TargetMode="External"/><Relationship Id="rId242" Type="http://schemas.openxmlformats.org/officeDocument/2006/relationships/hyperlink" Target="https://dl.acm.org/doi/pdf/10.1145/509404.509414" TargetMode="External"/><Relationship Id="rId363" Type="http://schemas.openxmlformats.org/officeDocument/2006/relationships/hyperlink" Target="https://www.fmf.uni-lj.si/~klavzar/preprints/topdiscs-scan.pdf" TargetMode="External"/><Relationship Id="rId484" Type="http://schemas.openxmlformats.org/officeDocument/2006/relationships/hyperlink" Target="https://doi.org/10.1016/0925-7721(95)00022-2" TargetMode="External"/><Relationship Id="rId120" Type="http://schemas.openxmlformats.org/officeDocument/2006/relationships/hyperlink" Target="https://arxiv.org/pdf/1703.01638.pdf" TargetMode="External"/><Relationship Id="rId241" Type="http://schemas.openxmlformats.org/officeDocument/2006/relationships/hyperlink" Target="https://dl.acm.org/doi/full/10.1145/3450524" TargetMode="External"/><Relationship Id="rId362" Type="http://schemas.openxmlformats.org/officeDocument/2006/relationships/hyperlink" Target="https://academic.oup.com/bioinformatics/article/30/14/2000/2391348" TargetMode="External"/><Relationship Id="rId483" Type="http://schemas.openxmlformats.org/officeDocument/2006/relationships/hyperlink" Target="https://doi.org/10.1016/0925-7721(95)00022-2" TargetMode="External"/><Relationship Id="rId240" Type="http://schemas.openxmlformats.org/officeDocument/2006/relationships/hyperlink" Target="https://dl.acm.org/doi/pdf/10.1145/3329863" TargetMode="External"/><Relationship Id="rId361" Type="http://schemas.openxmlformats.org/officeDocument/2006/relationships/hyperlink" Target="https://link.springer.com/content/pdf/10.1007/3-540-44888-8_23.pdf" TargetMode="External"/><Relationship Id="rId482" Type="http://schemas.openxmlformats.org/officeDocument/2006/relationships/hyperlink" Target="https://doi.org/10.1016/0925-7721(95)00022-2" TargetMode="External"/><Relationship Id="rId360" Type="http://schemas.openxmlformats.org/officeDocument/2006/relationships/hyperlink" Target="https://link.springer.com/content/pdf/10.1007/3-540-44888-8_23.pdf" TargetMode="External"/><Relationship Id="rId481" Type="http://schemas.openxmlformats.org/officeDocument/2006/relationships/hyperlink" Target="https://doi.org/10.1016/0925-7721(95)00022-2" TargetMode="External"/><Relationship Id="rId125" Type="http://schemas.openxmlformats.org/officeDocument/2006/relationships/hyperlink" Target="https://core.ac.uk/download/pdf/301669364.pdf" TargetMode="External"/><Relationship Id="rId246" Type="http://schemas.openxmlformats.org/officeDocument/2006/relationships/hyperlink" Target="https://www.microsoft.com/en-us/research/uploads/prod/2020/12/WhatDoesBCNFdo-VLDB1980.pdf" TargetMode="External"/><Relationship Id="rId367" Type="http://schemas.openxmlformats.org/officeDocument/2006/relationships/hyperlink" Target="https://books.google.com/books?hl=en&amp;lr=&amp;id=JFU0ltx0E68C&amp;oi=fnd&amp;pg=PR3&amp;dq=integral+equations&amp;ots=Kp98jJWIJT&amp;sig=CXobYQkw_g35JhZ6qKjdy7P1idw" TargetMode="External"/><Relationship Id="rId488" Type="http://schemas.openxmlformats.org/officeDocument/2006/relationships/hyperlink" Target="https://doi.org/10.1016/0925-7721(95)00022-2" TargetMode="External"/><Relationship Id="rId124" Type="http://schemas.openxmlformats.org/officeDocument/2006/relationships/hyperlink" Target="http://www.ams.org/notices/199612/pomerance.pdf" TargetMode="External"/><Relationship Id="rId245" Type="http://schemas.openxmlformats.org/officeDocument/2006/relationships/hyperlink" Target="https://doi.org/10.1016/0950-5849(92)90028-N" TargetMode="External"/><Relationship Id="rId366" Type="http://schemas.openxmlformats.org/officeDocument/2006/relationships/hyperlink" Target="https://books.google.com/books?hl=en&amp;lr=&amp;id=JFU0ltx0E68C&amp;oi=fnd&amp;pg=PR3&amp;dq=integral+equations&amp;ots=Kp98jJWIJT&amp;sig=CXobYQkw_g35JhZ6qKjdy7P1idw" TargetMode="External"/><Relationship Id="rId487" Type="http://schemas.openxmlformats.org/officeDocument/2006/relationships/hyperlink" Target="https://doi.org/10.1016/0925-7721(95)00022-2" TargetMode="External"/><Relationship Id="rId123" Type="http://schemas.openxmlformats.org/officeDocument/2006/relationships/hyperlink" Target="https://www.ams.org/journals/mcom/1981-36-153/S0025-5718-1981-0595059-1/home.html" TargetMode="External"/><Relationship Id="rId244" Type="http://schemas.openxmlformats.org/officeDocument/2006/relationships/hyperlink" Target="https://dl.acm.org/doi/pdf/10.1145/509404.509414" TargetMode="External"/><Relationship Id="rId365" Type="http://schemas.openxmlformats.org/officeDocument/2006/relationships/hyperlink" Target="http://bioinformaticsalgorithms.com/data/debugdatasets/replication/FrequentWordsProblem.pdf" TargetMode="External"/><Relationship Id="rId486" Type="http://schemas.openxmlformats.org/officeDocument/2006/relationships/hyperlink" Target="https://doi.org/10.1016/0925-7721(95)00022-2" TargetMode="External"/><Relationship Id="rId122" Type="http://schemas.openxmlformats.org/officeDocument/2006/relationships/hyperlink" Target="http://www.ams.org/notices/199612/pomerance.pdf" TargetMode="External"/><Relationship Id="rId243" Type="http://schemas.openxmlformats.org/officeDocument/2006/relationships/hyperlink" Target="https://www.sciencedirect.com/science/article/pii/0166218X92900315" TargetMode="External"/><Relationship Id="rId364" Type="http://schemas.openxmlformats.org/officeDocument/2006/relationships/hyperlink" Target="https://bioinformaticsalgorithms.com/data/debugdatasets/replication/FrequentWordsProblem.pdf" TargetMode="External"/><Relationship Id="rId485" Type="http://schemas.openxmlformats.org/officeDocument/2006/relationships/hyperlink" Target="https://doi.org/10.1016/0925-7721(95)00022-2" TargetMode="External"/><Relationship Id="rId95" Type="http://schemas.openxmlformats.org/officeDocument/2006/relationships/hyperlink" Target="https://www.sciencedirect.com/science/article/pii/0020019080900356" TargetMode="External"/><Relationship Id="rId94" Type="http://schemas.openxmlformats.org/officeDocument/2006/relationships/hyperlink" Target="https://ieeexplore.ieee.org/document/4567872" TargetMode="External"/><Relationship Id="rId97" Type="http://schemas.openxmlformats.org/officeDocument/2006/relationships/hyperlink" Target="https://www.jstor.org/stable/3007178?seq=1" TargetMode="External"/><Relationship Id="rId96" Type="http://schemas.openxmlformats.org/officeDocument/2006/relationships/hyperlink" Target="https://apps.dtic.mil/sti/pdfs/AD0422842.pdf" TargetMode="External"/><Relationship Id="rId99" Type="http://schemas.openxmlformats.org/officeDocument/2006/relationships/hyperlink" Target="https://doi.org/10.1016/0166-218X(83)90104-X" TargetMode="External"/><Relationship Id="rId480" Type="http://schemas.openxmlformats.org/officeDocument/2006/relationships/hyperlink" Target="https://people.csail.mit.edu/virgi/6.s078/lecture6-post.txt" TargetMode="External"/><Relationship Id="rId98" Type="http://schemas.openxmlformats.org/officeDocument/2006/relationships/hyperlink" Target="https://www.cs.princeton.edu/courses/archive/fall03/cs528/handouts/fibonacci%20heaps.pdf" TargetMode="External"/><Relationship Id="rId91" Type="http://schemas.openxmlformats.org/officeDocument/2006/relationships/hyperlink" Target="https://onlinelibrary.wiley.com/doi/10.1002/net.3230070103" TargetMode="External"/><Relationship Id="rId90" Type="http://schemas.openxmlformats.org/officeDocument/2006/relationships/hyperlink" Target="https://onlinelibrary.wiley.com/doi/10.1002/net.3230070103" TargetMode="External"/><Relationship Id="rId93" Type="http://schemas.openxmlformats.org/officeDocument/2006/relationships/hyperlink" Target="https://www.sciencedirect.com/science/article/pii/0020019088901500" TargetMode="External"/><Relationship Id="rId92" Type="http://schemas.openxmlformats.org/officeDocument/2006/relationships/hyperlink" Target="https://dl.acm.org/citation.cfm?id=540196" TargetMode="External"/><Relationship Id="rId118" Type="http://schemas.openxmlformats.org/officeDocument/2006/relationships/hyperlink" Target="https://dl.acm.org/doi/abs/10.1145/567112.567114" TargetMode="External"/><Relationship Id="rId239" Type="http://schemas.openxmlformats.org/officeDocument/2006/relationships/hyperlink" Target="https://dl.acm.org/doi/pdf/10.1145/3329863" TargetMode="External"/><Relationship Id="rId117" Type="http://schemas.openxmlformats.org/officeDocument/2006/relationships/hyperlink" Target="https://www.sciencedirect.com/science/article/pii/S0022000085710781?via%3Dihub" TargetMode="External"/><Relationship Id="rId238" Type="http://schemas.openxmlformats.org/officeDocument/2006/relationships/hyperlink" Target="https://www.illumina.com/techniques/sequencing/dna-sequencing/whole-genome-sequencing/de-novo-sequencing.html" TargetMode="External"/><Relationship Id="rId359" Type="http://schemas.openxmlformats.org/officeDocument/2006/relationships/hyperlink" Target="https://link.springer.com/content/pdf/10.1007/3-540-44888-8_23.pdf" TargetMode="External"/><Relationship Id="rId116" Type="http://schemas.openxmlformats.org/officeDocument/2006/relationships/hyperlink" Target="https://dl.acm.org/doi/abs/10.1145/567112.567114" TargetMode="External"/><Relationship Id="rId237" Type="http://schemas.openxmlformats.org/officeDocument/2006/relationships/hyperlink" Target="http://www.geom.uiuc.edu/~samuelp/del_project.html" TargetMode="External"/><Relationship Id="rId358" Type="http://schemas.openxmlformats.org/officeDocument/2006/relationships/hyperlink" Target="https://link.springer.com/content/pdf/10.1007/3-540-44888-8_23.pdf" TargetMode="External"/><Relationship Id="rId479" Type="http://schemas.openxmlformats.org/officeDocument/2006/relationships/hyperlink" Target="https://arxiv.org/pdf/1502.01063.pdf" TargetMode="External"/><Relationship Id="rId115" Type="http://schemas.openxmlformats.org/officeDocument/2006/relationships/hyperlink" Target="http://citeseerx.ist.psu.edu/viewdoc/download?doi=10.1.1.22.7128&amp;rep=rep1&amp;type=pdf" TargetMode="External"/><Relationship Id="rId236" Type="http://schemas.openxmlformats.org/officeDocument/2006/relationships/hyperlink" Target="https://dl.acm.org/doi/abs/10.1145/1053379.1053381" TargetMode="External"/><Relationship Id="rId357" Type="http://schemas.openxmlformats.org/officeDocument/2006/relationships/hyperlink" Target="https://link.springer.com/content/pdf/10.1007/3-540-44888-8_23.pdf" TargetMode="External"/><Relationship Id="rId478" Type="http://schemas.openxmlformats.org/officeDocument/2006/relationships/hyperlink" Target="https://people.mpi-inf.mpg.de/~kbringma/paper/2014FOCS.pdf" TargetMode="External"/><Relationship Id="rId119" Type="http://schemas.openxmlformats.org/officeDocument/2006/relationships/hyperlink" Target="https://www.sciencedirect.com/science/article/pii/S0022000085710781?via%3Dihub" TargetMode="External"/><Relationship Id="rId110" Type="http://schemas.openxmlformats.org/officeDocument/2006/relationships/hyperlink" Target="https://dl.acm.org/doi/10.1145/2591796.2591811" TargetMode="External"/><Relationship Id="rId231" Type="http://schemas.openxmlformats.org/officeDocument/2006/relationships/hyperlink" Target="https://dl.acm.org/doi/pdf/10.1145/876638.876640" TargetMode="External"/><Relationship Id="rId352" Type="http://schemas.openxmlformats.org/officeDocument/2006/relationships/hyperlink" Target="https://dl.acm.org/citation.cfm?id=1243380" TargetMode="External"/><Relationship Id="rId473" Type="http://schemas.openxmlformats.org/officeDocument/2006/relationships/hyperlink" Target="https://dl.acm.org/doi/pdf/10.1145/3186893" TargetMode="External"/><Relationship Id="rId230" Type="http://schemas.openxmlformats.org/officeDocument/2006/relationships/hyperlink" Target="https://link.springer.com/content/pdf/10.1007/978-1-4684-2001-2_9.pdf" TargetMode="External"/><Relationship Id="rId351" Type="http://schemas.openxmlformats.org/officeDocument/2006/relationships/hyperlink" Target="https://doi.org/10.1080/00029890.1994.11997004" TargetMode="External"/><Relationship Id="rId472" Type="http://schemas.openxmlformats.org/officeDocument/2006/relationships/hyperlink" Target="https://dl.acm.org/doi/pdf/10.1145/3186893" TargetMode="External"/><Relationship Id="rId350" Type="http://schemas.openxmlformats.org/officeDocument/2006/relationships/hyperlink" Target="https://sandbox.dodona.be/en/activities/1441444585/description/sKfgfbq-Wnx-ufBY/media/Dakic2000.pdf" TargetMode="External"/><Relationship Id="rId471" Type="http://schemas.openxmlformats.org/officeDocument/2006/relationships/hyperlink" Target="https://dl.acm.org/doi/pdf/10.1145/3186893" TargetMode="External"/><Relationship Id="rId470" Type="http://schemas.openxmlformats.org/officeDocument/2006/relationships/hyperlink" Target="https://dl.acm.org/doi/pdf/10.1145/3186893" TargetMode="External"/><Relationship Id="rId114" Type="http://schemas.openxmlformats.org/officeDocument/2006/relationships/hyperlink" Target="http://citeseerx.ist.psu.edu/viewdoc/download?doi=10.1.1.22.7128&amp;rep=rep1&amp;type=pdf" TargetMode="External"/><Relationship Id="rId235" Type="http://schemas.openxmlformats.org/officeDocument/2006/relationships/hyperlink" Target="https://docs.lib.purdue.edu/cgi/viewcontent.cgi?article=1117&amp;context=cstech" TargetMode="External"/><Relationship Id="rId356" Type="http://schemas.openxmlformats.org/officeDocument/2006/relationships/hyperlink" Target="https://link.springer.com/content/pdf/10.1007/3-540-44888-8_23.pdf" TargetMode="External"/><Relationship Id="rId477" Type="http://schemas.openxmlformats.org/officeDocument/2006/relationships/hyperlink" Target="https://dl.acm.org/doi/pdf/10.1145/3186893" TargetMode="External"/><Relationship Id="rId113" Type="http://schemas.openxmlformats.org/officeDocument/2006/relationships/hyperlink" Target="https://dl.acm.org/doi/10.1145/321992.321993" TargetMode="External"/><Relationship Id="rId234" Type="http://schemas.openxmlformats.org/officeDocument/2006/relationships/hyperlink" Target="https://dl.acm.org/doi/abs/10.1145/1053379.1053381" TargetMode="External"/><Relationship Id="rId355" Type="http://schemas.openxmlformats.org/officeDocument/2006/relationships/hyperlink" Target="https://doi.org/10.1080/00029890.1994.11997004" TargetMode="External"/><Relationship Id="rId476" Type="http://schemas.openxmlformats.org/officeDocument/2006/relationships/hyperlink" Target="https://arxiv.org/abs/1602.06705" TargetMode="External"/><Relationship Id="rId112" Type="http://schemas.openxmlformats.org/officeDocument/2006/relationships/hyperlink" Target="https://dl.acm.org/doi/10.1145/2591796.2591811" TargetMode="External"/><Relationship Id="rId233" Type="http://schemas.openxmlformats.org/officeDocument/2006/relationships/hyperlink" Target="https://link.springer.com/chapter/10.1007/978-1-4020-9688-4_3" TargetMode="External"/><Relationship Id="rId354" Type="http://schemas.openxmlformats.org/officeDocument/2006/relationships/hyperlink" Target="https://dl.acm.org/citation.cfm?id=1243380" TargetMode="External"/><Relationship Id="rId475" Type="http://schemas.openxmlformats.org/officeDocument/2006/relationships/hyperlink" Target="https://dl.acm.org/doi/pdf/10.1145/3186893" TargetMode="External"/><Relationship Id="rId111" Type="http://schemas.openxmlformats.org/officeDocument/2006/relationships/hyperlink" Target="https://dl.acm.org/doi/10.1145/2591796.2591811" TargetMode="External"/><Relationship Id="rId232" Type="http://schemas.openxmlformats.org/officeDocument/2006/relationships/hyperlink" Target="https://dl.acm.org/doi/pdf/10.1145/876638.876640" TargetMode="External"/><Relationship Id="rId353" Type="http://schemas.openxmlformats.org/officeDocument/2006/relationships/hyperlink" Target="https://doi.org/10.1080/00029890.1994.11997004" TargetMode="External"/><Relationship Id="rId474" Type="http://schemas.openxmlformats.org/officeDocument/2006/relationships/hyperlink" Target="https://dl.acm.org/doi/pdf/10.1145/3186893" TargetMode="External"/><Relationship Id="rId305" Type="http://schemas.openxmlformats.org/officeDocument/2006/relationships/hyperlink" Target="http://people.csail.mit.edu/virgi/eccentri.pdf" TargetMode="External"/><Relationship Id="rId426" Type="http://schemas.openxmlformats.org/officeDocument/2006/relationships/hyperlink" Target="https://dl.acm.org/doi/pdf/10.1145/237814.237977" TargetMode="External"/><Relationship Id="rId547" Type="http://schemas.openxmlformats.org/officeDocument/2006/relationships/hyperlink" Target="https://doi.org/10.1016/0925-7721(95)00022-2" TargetMode="External"/><Relationship Id="rId304" Type="http://schemas.openxmlformats.org/officeDocument/2006/relationships/hyperlink" Target="https://dl.acm.org/doi/pdf/10.1145/237814.237991" TargetMode="External"/><Relationship Id="rId425" Type="http://schemas.openxmlformats.org/officeDocument/2006/relationships/hyperlink" Target="https://epubs.siam.org/doi/abs/10.1137/120868177" TargetMode="External"/><Relationship Id="rId546" Type="http://schemas.openxmlformats.org/officeDocument/2006/relationships/hyperlink" Target="http://people.csail.mit.edu/virgi/eccentri.pdf" TargetMode="External"/><Relationship Id="rId303" Type="http://schemas.openxmlformats.org/officeDocument/2006/relationships/hyperlink" Target="https://mas.cs.umass.edu/classes/cs683/lectures-2010/Lec13_MDP2-F2010-4up.pdf" TargetMode="External"/><Relationship Id="rId424" Type="http://schemas.openxmlformats.org/officeDocument/2006/relationships/hyperlink" Target="https://dl.acm.org/doi/pdf/10.1145/3491210?casa_token=9ge17j5R2vAAAAAA:Ex4kBr0hTUo_VEVlcFUJgW3zwfdyUhGW6VyV6IxDUq9eJbxBMa8GPx0dv-AR8xyuyCKk6uie8To" TargetMode="External"/><Relationship Id="rId545" Type="http://schemas.openxmlformats.org/officeDocument/2006/relationships/hyperlink" Target="https://dl.acm.org/doi/abs/10.1145/3363541" TargetMode="External"/><Relationship Id="rId302" Type="http://schemas.openxmlformats.org/officeDocument/2006/relationships/hyperlink" Target="https://ieeexplore.ieee.org/abstract/document/506400" TargetMode="External"/><Relationship Id="rId423" Type="http://schemas.openxmlformats.org/officeDocument/2006/relationships/hyperlink" Target="https://dl.acm.org/doi/pdf/10.1145/3491210?casa_token=9ge17j5R2vAAAAAA:Ex4kBr0hTUo_VEVlcFUJgW3zwfdyUhGW6VyV6IxDUq9eJbxBMa8GPx0dv-AR8xyuyCKk6uie8To" TargetMode="External"/><Relationship Id="rId544" Type="http://schemas.openxmlformats.org/officeDocument/2006/relationships/hyperlink" Target="https://dl.acm.org/doi/abs/10.1145/3363541" TargetMode="External"/><Relationship Id="rId309" Type="http://schemas.openxmlformats.org/officeDocument/2006/relationships/hyperlink" Target="https://rosalind.info/problems/ba3m/" TargetMode="External"/><Relationship Id="rId308" Type="http://schemas.openxmlformats.org/officeDocument/2006/relationships/hyperlink" Target="https://bmcbioinformatics.biomedcentral.com/articles/10.1186/1471-2105-8-S7-S21" TargetMode="External"/><Relationship Id="rId429" Type="http://schemas.openxmlformats.org/officeDocument/2006/relationships/hyperlink" Target="https://epubs.siam.org/doi/abs/10.1137/120868177" TargetMode="External"/><Relationship Id="rId307" Type="http://schemas.openxmlformats.org/officeDocument/2006/relationships/hyperlink" Target="http://people.csail.mit.edu/virgi/eccentri.pdf" TargetMode="External"/><Relationship Id="rId428" Type="http://schemas.openxmlformats.org/officeDocument/2006/relationships/hyperlink" Target="https://dl.acm.org/doi/pdf/10.1145/3491210?casa_token=9ge17j5R2vAAAAAA:Ex4kBr0hTUo_VEVlcFUJgW3zwfdyUhGW6VyV6IxDUq9eJbxBMa8GPx0dv-AR8xyuyCKk6uie8To" TargetMode="External"/><Relationship Id="rId549" Type="http://schemas.openxmlformats.org/officeDocument/2006/relationships/drawing" Target="../drawings/drawing2.xml"/><Relationship Id="rId306" Type="http://schemas.openxmlformats.org/officeDocument/2006/relationships/hyperlink" Target="https://www.jstor.org/stable/pdf/3689577.pdf" TargetMode="External"/><Relationship Id="rId427" Type="http://schemas.openxmlformats.org/officeDocument/2006/relationships/hyperlink" Target="https://dl.acm.org/doi/abs/10.1145/285055.285059" TargetMode="External"/><Relationship Id="rId548" Type="http://schemas.openxmlformats.org/officeDocument/2006/relationships/hyperlink" Target="https://dl.acm.org/doi/pdf/10.1145/3186893" TargetMode="External"/><Relationship Id="rId301" Type="http://schemas.openxmlformats.org/officeDocument/2006/relationships/hyperlink" Target="https://dl.acm.org/doi/pdf/10.1145/253284.253312" TargetMode="External"/><Relationship Id="rId422" Type="http://schemas.openxmlformats.org/officeDocument/2006/relationships/hyperlink" Target="https://dl.acm.org/doi/abs/10.1145/1066100.1066101" TargetMode="External"/><Relationship Id="rId543" Type="http://schemas.openxmlformats.org/officeDocument/2006/relationships/hyperlink" Target="http://people.csail.mit.edu/virgi/eccentri.pdf" TargetMode="External"/><Relationship Id="rId300" Type="http://schemas.openxmlformats.org/officeDocument/2006/relationships/hyperlink" Target="https://ieeexplore.ieee.org/stamp/stamp.jsp?arnumber=7467122" TargetMode="External"/><Relationship Id="rId421" Type="http://schemas.openxmlformats.org/officeDocument/2006/relationships/hyperlink" Target="https://dl.acm.org/doi/pdf/10.1145/3491210?casa_token=9ge17j5R2vAAAAAA:Ex4kBr0hTUo_VEVlcFUJgW3zwfdyUhGW6VyV6IxDUq9eJbxBMa8GPx0dv-AR8xyuyCKk6uie8To" TargetMode="External"/><Relationship Id="rId542" Type="http://schemas.openxmlformats.org/officeDocument/2006/relationships/hyperlink" Target="https://link.springer.com/article/10.1007/s00453-007-9036-3" TargetMode="External"/><Relationship Id="rId420" Type="http://schemas.openxmlformats.org/officeDocument/2006/relationships/hyperlink" Target="https://dl.acm.org/doi/abs/10.1145/800133.804350" TargetMode="External"/><Relationship Id="rId541" Type="http://schemas.openxmlformats.org/officeDocument/2006/relationships/hyperlink" Target="https://doi.org/10.1016/0925-7721(95)00022-2" TargetMode="External"/><Relationship Id="rId540" Type="http://schemas.openxmlformats.org/officeDocument/2006/relationships/hyperlink" Target="https://proceedings.neurips.cc/paper/2017/file/635440afdfc39fe37995fed127d7df4f-Paper.pdf" TargetMode="External"/><Relationship Id="rId415" Type="http://schemas.openxmlformats.org/officeDocument/2006/relationships/hyperlink" Target="https://dl.acm.org/doi/abs/10.1145/800133.804350" TargetMode="External"/><Relationship Id="rId536" Type="http://schemas.openxmlformats.org/officeDocument/2006/relationships/hyperlink" Target="https://doi.org/10.1016/S0925-7721(02)00156-6" TargetMode="External"/><Relationship Id="rId414" Type="http://schemas.openxmlformats.org/officeDocument/2006/relationships/hyperlink" Target="https://www.sciencedirect.com/science/article/pii/S1572528613000030" TargetMode="External"/><Relationship Id="rId535" Type="http://schemas.openxmlformats.org/officeDocument/2006/relationships/hyperlink" Target="https://doi.org/10.1016/S0925-7721(02)00156-6" TargetMode="External"/><Relationship Id="rId413" Type="http://schemas.openxmlformats.org/officeDocument/2006/relationships/hyperlink" Target="https://drops.dagstuhl.de/opus/volltexte/2016/6476/pdf/LIPIcs-MFCS-2016-64.pdf" TargetMode="External"/><Relationship Id="rId534" Type="http://schemas.openxmlformats.org/officeDocument/2006/relationships/hyperlink" Target="https://dl.acm.org/doi/pdf/10.1145/2933575.2935304" TargetMode="External"/><Relationship Id="rId412" Type="http://schemas.openxmlformats.org/officeDocument/2006/relationships/hyperlink" Target="https://dl.acm.org/doi/abs/10.1145/800133.804350" TargetMode="External"/><Relationship Id="rId533" Type="http://schemas.openxmlformats.org/officeDocument/2006/relationships/hyperlink" Target="https://dl.acm.org/doi/pdf/10.1145/2933575.2935304" TargetMode="External"/><Relationship Id="rId419" Type="http://schemas.openxmlformats.org/officeDocument/2006/relationships/hyperlink" Target="https://doi.org/10.1016/j.tcs.2020.02.010" TargetMode="External"/><Relationship Id="rId418" Type="http://schemas.openxmlformats.org/officeDocument/2006/relationships/hyperlink" Target="https://dl.acm.org/doi/abs/10.1145/800133.804350" TargetMode="External"/><Relationship Id="rId539" Type="http://schemas.openxmlformats.org/officeDocument/2006/relationships/hyperlink" Target="https://proceedings.neurips.cc/paper/2017/file/635440afdfc39fe37995fed127d7df4f-Paper.pdf" TargetMode="External"/><Relationship Id="rId417" Type="http://schemas.openxmlformats.org/officeDocument/2006/relationships/hyperlink" Target="https://dl.acm.org/doi/pdf/10.1145/800133.804350" TargetMode="External"/><Relationship Id="rId538" Type="http://schemas.openxmlformats.org/officeDocument/2006/relationships/hyperlink" Target="https://doi.org/10.1016/S0925-7721(02)00156-6" TargetMode="External"/><Relationship Id="rId416" Type="http://schemas.openxmlformats.org/officeDocument/2006/relationships/hyperlink" Target="https://dl.acm.org/doi/pdf/10.1145/800133.804350" TargetMode="External"/><Relationship Id="rId537" Type="http://schemas.openxmlformats.org/officeDocument/2006/relationships/hyperlink" Target="https://doi.org/10.1016/S0925-7721(02)00156-6" TargetMode="External"/><Relationship Id="rId411" Type="http://schemas.openxmlformats.org/officeDocument/2006/relationships/hyperlink" Target="https://dl.acm.org/doi/pdf/10.1145/800133.804350" TargetMode="External"/><Relationship Id="rId532" Type="http://schemas.openxmlformats.org/officeDocument/2006/relationships/hyperlink" Target="https://dl.acm.org/doi/pdf/10.1145/2933575.2935304" TargetMode="External"/><Relationship Id="rId410" Type="http://schemas.openxmlformats.org/officeDocument/2006/relationships/hyperlink" Target="https://link.springer.com/content/pdf/10.1007/BF00996269.pdf" TargetMode="External"/><Relationship Id="rId531" Type="http://schemas.openxmlformats.org/officeDocument/2006/relationships/hyperlink" Target="https://dl.acm.org/doi/pdf/10.1145/2933575.2935304" TargetMode="External"/><Relationship Id="rId530" Type="http://schemas.openxmlformats.org/officeDocument/2006/relationships/hyperlink" Target="https://dl.acm.org/doi/pdf/10.1145/2933575.2935304" TargetMode="External"/><Relationship Id="rId206" Type="http://schemas.openxmlformats.org/officeDocument/2006/relationships/hyperlink" Target="https://www.wias-berlin.de/people/si/course/files/Fortune87-SweepLine-Voronoi.pdf" TargetMode="External"/><Relationship Id="rId327" Type="http://schemas.openxmlformats.org/officeDocument/2006/relationships/hyperlink" Target="http://ais.informatik.uni-freiburg.de/teaching/ss12/robotics/slides/12-slam.pdf" TargetMode="External"/><Relationship Id="rId448" Type="http://schemas.openxmlformats.org/officeDocument/2006/relationships/hyperlink" Target="https://doi.org/10.1016/0378-8733(94)00248-9" TargetMode="External"/><Relationship Id="rId205" Type="http://schemas.openxmlformats.org/officeDocument/2006/relationships/hyperlink" Target="http://www.cs.ucr.edu/~gupta/research/Publications/Comp/p370-gupta.pdf" TargetMode="External"/><Relationship Id="rId326" Type="http://schemas.openxmlformats.org/officeDocument/2006/relationships/hyperlink" Target="https://ieeexplore.ieee.org/stamp/stamp.jsp?arnumber=30720" TargetMode="External"/><Relationship Id="rId447" Type="http://schemas.openxmlformats.org/officeDocument/2006/relationships/hyperlink" Target="https://doi.org/10.1016/0378-8733(94)00248-9" TargetMode="External"/><Relationship Id="rId204" Type="http://schemas.openxmlformats.org/officeDocument/2006/relationships/hyperlink" Target="https://citeseerx.ist.psu.edu/viewdoc/download?doi=10.1.1.452.8606&amp;rep=rep1&amp;type=pdf" TargetMode="External"/><Relationship Id="rId325" Type="http://schemas.openxmlformats.org/officeDocument/2006/relationships/hyperlink" Target="https://doi.org/10.1109/MCG.1986.276672" TargetMode="External"/><Relationship Id="rId446" Type="http://schemas.openxmlformats.org/officeDocument/2006/relationships/hyperlink" Target="https://arxiv.org/pdf/1502.01063.pdf" TargetMode="External"/><Relationship Id="rId203" Type="http://schemas.openxmlformats.org/officeDocument/2006/relationships/hyperlink" Target="http://web.cs.ucla.edu/~palsberg/course/cs132/linearscan.pdf" TargetMode="External"/><Relationship Id="rId324" Type="http://schemas.openxmlformats.org/officeDocument/2006/relationships/hyperlink" Target="https://dl.acm.org/doi/abs/10.1145/74333.74370" TargetMode="External"/><Relationship Id="rId445" Type="http://schemas.openxmlformats.org/officeDocument/2006/relationships/hyperlink" Target="https://epubs.siam.org/doi/abs/10.1137/1.9781611974331.ch87" TargetMode="External"/><Relationship Id="rId209" Type="http://schemas.openxmlformats.org/officeDocument/2006/relationships/hyperlink" Target="http://citeseerx.ist.psu.edu/viewdoc/download?doi=10.1.1.302.7503&amp;rep=rep1&amp;type=pdf" TargetMode="External"/><Relationship Id="rId208" Type="http://schemas.openxmlformats.org/officeDocument/2006/relationships/hyperlink" Target="https://people.inf.elte.hu/fekete/algoritmusok_msc/terinfo_geom/konyvek/Computational%20Geometry%20-%20Algorithms%20and%20Applications,%203rd%20Ed.pdf" TargetMode="External"/><Relationship Id="rId329" Type="http://schemas.openxmlformats.org/officeDocument/2006/relationships/hyperlink" Target="https://doi.org/10.1016/0167-6377(81)90020-1" TargetMode="External"/><Relationship Id="rId207" Type="http://schemas.openxmlformats.org/officeDocument/2006/relationships/hyperlink" Target="http://www.wias-berlin.de/people/si/course/files/Fortune87-SweepLine-Voronoi.pdf" TargetMode="External"/><Relationship Id="rId328" Type="http://schemas.openxmlformats.org/officeDocument/2006/relationships/hyperlink" Target="https://rosalind.info/problems/ba1n/" TargetMode="External"/><Relationship Id="rId449" Type="http://schemas.openxmlformats.org/officeDocument/2006/relationships/hyperlink" Target="https://doi.org/10.1016/0378-8733(94)00248-9" TargetMode="External"/><Relationship Id="rId440" Type="http://schemas.openxmlformats.org/officeDocument/2006/relationships/hyperlink" Target="https://epubs.siam.org/doi/epdf/10.1137/1.9781611975482.2" TargetMode="External"/><Relationship Id="rId202" Type="http://schemas.openxmlformats.org/officeDocument/2006/relationships/hyperlink" Target="https://citeseerx.ist.psu.edu/viewdoc/download?doi=10.1.1.452.8606&amp;rep=rep1&amp;type=pdf" TargetMode="External"/><Relationship Id="rId323" Type="http://schemas.openxmlformats.org/officeDocument/2006/relationships/hyperlink" Target="https://www.techfak.uni-bielefeld.de/~skopp/Lehre/STdKI_SS10/POMDP_survey.pdf" TargetMode="External"/><Relationship Id="rId444" Type="http://schemas.openxmlformats.org/officeDocument/2006/relationships/hyperlink" Target="https://drops.dagstuhl.de/opus/volltexte/2018/9031/pdf/LIPIcs-ICALP-2018-27.pdf" TargetMode="External"/><Relationship Id="rId201" Type="http://schemas.openxmlformats.org/officeDocument/2006/relationships/hyperlink" Target="https://www.vldb.org/pvldb/vol11/p499-harmouch.pdf" TargetMode="External"/><Relationship Id="rId322" Type="http://schemas.openxmlformats.org/officeDocument/2006/relationships/hyperlink" Target="https://ieeexplore.ieee.org/stamp/stamp.jsp?tp=&amp;arnumber=4359404" TargetMode="External"/><Relationship Id="rId443" Type="http://schemas.openxmlformats.org/officeDocument/2006/relationships/hyperlink" Target="https://epubs.siam.org/doi/abs/10.1137/1.9781611974331.ch87" TargetMode="External"/><Relationship Id="rId200" Type="http://schemas.openxmlformats.org/officeDocument/2006/relationships/hyperlink" Target="https://oertl.github.io/hyperloglog-sketch-estimation-paper/paper/paper.pdf" TargetMode="External"/><Relationship Id="rId321" Type="http://schemas.openxmlformats.org/officeDocument/2006/relationships/hyperlink" Target="http://webdocs.cs.ualberta.ca/~anup/Courses/604_3DTV/Presentation_files/Polygon_Simplification/7.pdf" TargetMode="External"/><Relationship Id="rId442" Type="http://schemas.openxmlformats.org/officeDocument/2006/relationships/hyperlink" Target="https://drops.dagstuhl.de/opus/volltexte/2018/9031/pdf/LIPIcs-ICALP-2018-27.pdf" TargetMode="External"/><Relationship Id="rId320" Type="http://schemas.openxmlformats.org/officeDocument/2006/relationships/hyperlink" Target="http://www.ttcenter.ir/ArticleFiles/ENARTICLE/3405.pdf" TargetMode="External"/><Relationship Id="rId441" Type="http://schemas.openxmlformats.org/officeDocument/2006/relationships/hyperlink" Target="https://epubs.siam.org/doi/abs/10.1137/1.9781611974331.ch87" TargetMode="External"/><Relationship Id="rId316" Type="http://schemas.openxmlformats.org/officeDocument/2006/relationships/hyperlink" Target="https://link.springer.com/content/pdf/10.1007/978-3-540-78839-3_16.pdf" TargetMode="External"/><Relationship Id="rId437" Type="http://schemas.openxmlformats.org/officeDocument/2006/relationships/hyperlink" Target="https://doi.org/10.1145%2F322047.322059" TargetMode="External"/><Relationship Id="rId315" Type="http://schemas.openxmlformats.org/officeDocument/2006/relationships/hyperlink" Target="https://martin.kleppmann.com/2016/02/08/how-to-do-distributed-locking.html" TargetMode="External"/><Relationship Id="rId436" Type="http://schemas.openxmlformats.org/officeDocument/2006/relationships/hyperlink" Target="https://dl.acm.org/doi/abs/10.1145/800133.804350" TargetMode="External"/><Relationship Id="rId314" Type="http://schemas.openxmlformats.org/officeDocument/2006/relationships/hyperlink" Target="https://dl.acm.org/doi/abs/10.1145/344779.345009" TargetMode="External"/><Relationship Id="rId435" Type="http://schemas.openxmlformats.org/officeDocument/2006/relationships/hyperlink" Target="https://www.sciencedirect.com/science/article/pii/S0304397519300076?via%3Dihub" TargetMode="External"/><Relationship Id="rId313" Type="http://schemas.openxmlformats.org/officeDocument/2006/relationships/hyperlink" Target="https://dl.acm.org/doi/pdf/10.1145/800031.808606" TargetMode="External"/><Relationship Id="rId434" Type="http://schemas.openxmlformats.org/officeDocument/2006/relationships/hyperlink" Target="https://www.cambridge.org/core/journals/journal-of-symbolic-logic/article/on-sentences-which-are-true-of-direct-unions-of-algebras1/DF348CB269B06D6702DA3AE4DCF38C39" TargetMode="External"/><Relationship Id="rId319" Type="http://schemas.openxmlformats.org/officeDocument/2006/relationships/hyperlink" Target="https://ir.nctu.edu.tw/bitstream/11536/749/1/A1997WM15100010.pdf" TargetMode="External"/><Relationship Id="rId318" Type="http://schemas.openxmlformats.org/officeDocument/2006/relationships/hyperlink" Target="https://web.archive.org/web/20100727005751/http://www.cs.berkeley.edu/~ravir/6998/papers/p165-hanrahan.pdf" TargetMode="External"/><Relationship Id="rId439" Type="http://schemas.openxmlformats.org/officeDocument/2006/relationships/hyperlink" Target="https://eprints.soton.ac.uk/265340/1/jpms-wodes08.pdf" TargetMode="External"/><Relationship Id="rId317" Type="http://schemas.openxmlformats.org/officeDocument/2006/relationships/hyperlink" Target="https://web.archive.org/web/20100727005751/http://www.cs.berkeley.edu/~ravir/6998/papers/p165-hanrahan.pdf" TargetMode="External"/><Relationship Id="rId438" Type="http://schemas.openxmlformats.org/officeDocument/2006/relationships/hyperlink" Target="https://dl.acm.org/doi/10.1145/322047.322059" TargetMode="External"/><Relationship Id="rId312" Type="http://schemas.openxmlformats.org/officeDocument/2006/relationships/hyperlink" Target="https://ipsen.math.ncsu.edu/ps/simax43980.pdf" TargetMode="External"/><Relationship Id="rId433" Type="http://schemas.openxmlformats.org/officeDocument/2006/relationships/hyperlink" Target="https://doi.org/10.1016/0743-1066(84)90014-1" TargetMode="External"/><Relationship Id="rId311" Type="http://schemas.openxmlformats.org/officeDocument/2006/relationships/hyperlink" Target="http://snap.stanford.edu/class/cs224w-readings/borodin05pagerank.pdf" TargetMode="External"/><Relationship Id="rId432" Type="http://schemas.openxmlformats.org/officeDocument/2006/relationships/hyperlink" Target="https://books.google.com/books?hl=en&amp;lr=&amp;id=jnGKbpMV8xoC&amp;oi=fnd&amp;pg=PT8&amp;dq=The+Nature+of+Computation&amp;ots=9ZOCm9Ia88&amp;sig=ZjNevvawgmj27OHQVkYpq53AJOs" TargetMode="External"/><Relationship Id="rId310" Type="http://schemas.openxmlformats.org/officeDocument/2006/relationships/hyperlink" Target="https://dl.acm.org/doi/pdf/10.1145/1052934.1052942" TargetMode="External"/><Relationship Id="rId431" Type="http://schemas.openxmlformats.org/officeDocument/2006/relationships/hyperlink" Target="https://doi.org/10.1016/S0166-218X(99)00032-3" TargetMode="External"/><Relationship Id="rId430" Type="http://schemas.openxmlformats.org/officeDocument/2006/relationships/hyperlink" Target="https://iccl.inf.tu-dresden.de/w/images/9/9d/Brandt-ECAI-2004.pdf"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dl.acm.org/doi/pdf/10.1145/3329863" TargetMode="External"/><Relationship Id="rId194" Type="http://schemas.openxmlformats.org/officeDocument/2006/relationships/hyperlink" Target="https://dl.acm.org/doi/pdf/10.1145/3329863" TargetMode="External"/><Relationship Id="rId193" Type="http://schemas.openxmlformats.org/officeDocument/2006/relationships/hyperlink" Target="https://dl.acm.org/doi/pdf/10.1145/3329863" TargetMode="External"/><Relationship Id="rId192" Type="http://schemas.openxmlformats.org/officeDocument/2006/relationships/hyperlink" Target="https://www.sciencedirect.com/science/article/abs/pii/S0196677499910349" TargetMode="External"/><Relationship Id="rId191" Type="http://schemas.openxmlformats.org/officeDocument/2006/relationships/hyperlink" Target="https://en.wikipedia.org/wiki/Subset_sum_problem" TargetMode="External"/><Relationship Id="rId187" Type="http://schemas.openxmlformats.org/officeDocument/2006/relationships/hyperlink" Target="https://dl.acm.org/doi/10.1145/321812.321823" TargetMode="External"/><Relationship Id="rId186" Type="http://schemas.openxmlformats.org/officeDocument/2006/relationships/hyperlink" Target="https://www.sciencedirect.com/science/article/pii/S1877050915019675" TargetMode="External"/><Relationship Id="rId185" Type="http://schemas.openxmlformats.org/officeDocument/2006/relationships/hyperlink" Target="http://www-db.deis.unibo.it/courses/SI-LS/papers/Gut84.pdf" TargetMode="External"/><Relationship Id="rId184" Type="http://schemas.openxmlformats.org/officeDocument/2006/relationships/hyperlink" Target="https://dl.acm.org/doi/pdf/10.1145/355744.355745" TargetMode="External"/><Relationship Id="rId189" Type="http://schemas.openxmlformats.org/officeDocument/2006/relationships/hyperlink" Target="https://onlinelibrary.wiley.com/doi/10.1002/nav.3800030107" TargetMode="External"/><Relationship Id="rId188" Type="http://schemas.openxmlformats.org/officeDocument/2006/relationships/hyperlink" Target="https://dl.acm.org/doi/10.1145/321812.321823" TargetMode="External"/><Relationship Id="rId183" Type="http://schemas.openxmlformats.org/officeDocument/2006/relationships/hyperlink" Target="https://www.geeksforgeeks.org/k-dimensional-tree/" TargetMode="External"/><Relationship Id="rId182" Type="http://schemas.openxmlformats.org/officeDocument/2006/relationships/hyperlink" Target="https://dl.acm.org/doi/pdf/10.1145/355744.355745" TargetMode="External"/><Relationship Id="rId181" Type="http://schemas.openxmlformats.org/officeDocument/2006/relationships/hyperlink" Target="https://dl.acm.org/doi/pdf/10.1145/355744.355745" TargetMode="External"/><Relationship Id="rId180" Type="http://schemas.openxmlformats.org/officeDocument/2006/relationships/hyperlink" Target="http://citeseerx.ist.psu.edu/viewdoc/summary?doi=10.1.1.494.7321" TargetMode="External"/><Relationship Id="rId176" Type="http://schemas.openxmlformats.org/officeDocument/2006/relationships/hyperlink" Target="https://hull-repository.worktribe.com/output/459275" TargetMode="External"/><Relationship Id="rId175" Type="http://schemas.openxmlformats.org/officeDocument/2006/relationships/hyperlink" Target="https://www.sciencedirect.com/science/article/abs/pii/S0146664X72800170" TargetMode="External"/><Relationship Id="rId174" Type="http://schemas.openxmlformats.org/officeDocument/2006/relationships/hyperlink" Target="https://en.wikipedia.org/wiki/Multiplication_algorithm" TargetMode="External"/><Relationship Id="rId173" Type="http://schemas.openxmlformats.org/officeDocument/2006/relationships/hyperlink" Target="https://www.ams.org/journals/tran/1969-142-00/S0002-9947-1969-0249212-8/S0002-9947-1969-0249212-8.pdf" TargetMode="External"/><Relationship Id="rId179" Type="http://schemas.openxmlformats.org/officeDocument/2006/relationships/hyperlink" Target="http://koreascience.or.kr/article/JAKO201300763572495.page" TargetMode="External"/><Relationship Id="rId178" Type="http://schemas.openxmlformats.org/officeDocument/2006/relationships/hyperlink" Target="http://dx.doi.org/10.2312/eg.19811012" TargetMode="External"/><Relationship Id="rId177" Type="http://schemas.openxmlformats.org/officeDocument/2006/relationships/hyperlink" Target="http://psimpl.sourceforge.net/reumann-witkam.html" TargetMode="External"/><Relationship Id="rId198" Type="http://schemas.openxmlformats.org/officeDocument/2006/relationships/hyperlink" Target="https://en.wikipedia.org/wiki/Maximum_subarray_problem" TargetMode="External"/><Relationship Id="rId197" Type="http://schemas.openxmlformats.org/officeDocument/2006/relationships/hyperlink" Target="https://arxiv.org/abs/1610.04712" TargetMode="External"/><Relationship Id="rId196" Type="http://schemas.openxmlformats.org/officeDocument/2006/relationships/hyperlink" Target="https://arxiv.org/abs/1610.04712" TargetMode="External"/><Relationship Id="rId195" Type="http://schemas.openxmlformats.org/officeDocument/2006/relationships/hyperlink" Target="https://dl.acm.org/doi/pdf/10.1145/3329863" TargetMode="External"/><Relationship Id="rId199" Type="http://schemas.openxmlformats.org/officeDocument/2006/relationships/hyperlink" Target="https://en.wikipedia.org/wiki/Maximum_subarray_problem" TargetMode="External"/><Relationship Id="rId150" Type="http://schemas.openxmlformats.org/officeDocument/2006/relationships/hyperlink" Target="https://www.sciencedirect.com/science/article/pii/0022283681900875" TargetMode="External"/><Relationship Id="rId392" Type="http://schemas.openxmlformats.org/officeDocument/2006/relationships/hyperlink" Target="http://essay.utwente.nl/67128/1/Bloemen_MA_EEMCS.pdf" TargetMode="External"/><Relationship Id="rId391" Type="http://schemas.openxmlformats.org/officeDocument/2006/relationships/hyperlink" Target="https://link.springer.com/chapter/10.1007/3-540-48119-2_16" TargetMode="External"/><Relationship Id="rId390" Type="http://schemas.openxmlformats.org/officeDocument/2006/relationships/hyperlink" Target="http://essay.utwente.nl/67128/1/Bloemen_MA_EEMCS.pdf" TargetMode="External"/><Relationship Id="rId1" Type="http://schemas.openxmlformats.org/officeDocument/2006/relationships/comments" Target="../comments1.xml"/><Relationship Id="rId2" Type="http://schemas.openxmlformats.org/officeDocument/2006/relationships/hyperlink" Target="https://people.mpi-inf.mpg.de/~mehlhorn/ftp/mehlhorn3.pdf" TargetMode="External"/><Relationship Id="rId3" Type="http://schemas.openxmlformats.org/officeDocument/2006/relationships/hyperlink" Target="https://people.mpi-inf.mpg.de/~mehlhorn/ftp/mehlhorn3.pdf" TargetMode="External"/><Relationship Id="rId149" Type="http://schemas.openxmlformats.org/officeDocument/2006/relationships/hyperlink" Target="https://www.sciencedirect.com/science/article/pii/0022283670900574" TargetMode="External"/><Relationship Id="rId4" Type="http://schemas.openxmlformats.org/officeDocument/2006/relationships/hyperlink" Target="https://citeseerx.ist.psu.edu/viewdoc/download?doi=10.1.1.54.6940&amp;rep=rep1&amp;type=pdf" TargetMode="External"/><Relationship Id="rId148" Type="http://schemas.openxmlformats.org/officeDocument/2006/relationships/hyperlink" Target="https://www.sciencedirect.com/science/article/pii/0022283670900574" TargetMode="External"/><Relationship Id="rId1090" Type="http://schemas.openxmlformats.org/officeDocument/2006/relationships/hyperlink" Target="https://ir.nctu.edu.tw/bitstream/11536/749/1/A1997WM15100010.pdf" TargetMode="External"/><Relationship Id="rId1091" Type="http://schemas.openxmlformats.org/officeDocument/2006/relationships/hyperlink" Target="https://doi.org/10.1007/BF01934125" TargetMode="External"/><Relationship Id="rId1092" Type="http://schemas.openxmlformats.org/officeDocument/2006/relationships/hyperlink" Target="https://ir.nctu.edu.tw/bitstream/11536/749/1/A1997WM15100010.pdf" TargetMode="External"/><Relationship Id="rId1093" Type="http://schemas.openxmlformats.org/officeDocument/2006/relationships/hyperlink" Target="http://www.cs.kent.edu/~dragan/CG/CG-Book.pdf" TargetMode="External"/><Relationship Id="rId1094" Type="http://schemas.openxmlformats.org/officeDocument/2006/relationships/hyperlink" Target="https://ir.nctu.edu.tw/bitstream/11536/749/1/A1997WM15100010.pdf" TargetMode="External"/><Relationship Id="rId9" Type="http://schemas.openxmlformats.org/officeDocument/2006/relationships/hyperlink" Target="http://infolab.stanford.edu/~ullman/mmds/ch3n.pdf" TargetMode="External"/><Relationship Id="rId143" Type="http://schemas.openxmlformats.org/officeDocument/2006/relationships/hyperlink" Target="https://www.cs.utexas.edu/users/moore/publications/fstrpos.pdf" TargetMode="External"/><Relationship Id="rId385" Type="http://schemas.openxmlformats.org/officeDocument/2006/relationships/hyperlink" Target="https://link.springer.com/content/pdf/10.1007/BF01940892.pdf" TargetMode="External"/><Relationship Id="rId1095" Type="http://schemas.openxmlformats.org/officeDocument/2006/relationships/hyperlink" Target="https://ir.nctu.edu.tw/bitstream/11536/749/1/A1997WM15100010.pdf" TargetMode="External"/><Relationship Id="rId142" Type="http://schemas.openxmlformats.org/officeDocument/2006/relationships/hyperlink" Target="http://citeseerx.ist.psu.edu/viewdoc/download?doi=10.1.1.100.7210&amp;rep=rep1&amp;type=pdf" TargetMode="External"/><Relationship Id="rId384" Type="http://schemas.openxmlformats.org/officeDocument/2006/relationships/hyperlink" Target="https://link.springer.com/article/10.1007%2FBF01940892" TargetMode="External"/><Relationship Id="rId1096" Type="http://schemas.openxmlformats.org/officeDocument/2006/relationships/hyperlink" Target="https://doi.org/10.1080/02693798708927823" TargetMode="External"/><Relationship Id="rId141" Type="http://schemas.openxmlformats.org/officeDocument/2006/relationships/hyperlink" Target="https://pdfs.semanticscholar.org/4479/9559a1067e06b5a6bf052f8f10637707928f.pdf" TargetMode="External"/><Relationship Id="rId383" Type="http://schemas.openxmlformats.org/officeDocument/2006/relationships/hyperlink" Target="https://link.springer.com/content/pdf/10.1007/BF01940892.pdf" TargetMode="External"/><Relationship Id="rId1097" Type="http://schemas.openxmlformats.org/officeDocument/2006/relationships/hyperlink" Target="https://ir.nctu.edu.tw/bitstream/11536/749/1/A1997WM15100010.pdf" TargetMode="External"/><Relationship Id="rId140" Type="http://schemas.openxmlformats.org/officeDocument/2006/relationships/hyperlink" Target="https://pdfs.semanticscholar.org/4479/9559a1067e06b5a6bf052f8f10637707928f.pdf" TargetMode="External"/><Relationship Id="rId382" Type="http://schemas.openxmlformats.org/officeDocument/2006/relationships/hyperlink" Target="https://www.sciencedirect.com/science/article/pii/S002001900000051X?via%3Dihub" TargetMode="External"/><Relationship Id="rId1098" Type="http://schemas.openxmlformats.org/officeDocument/2006/relationships/hyperlink" Target="http://www.cs.kent.edu/~dragan/CG/CG-Book.pdf" TargetMode="External"/><Relationship Id="rId5" Type="http://schemas.openxmlformats.org/officeDocument/2006/relationships/hyperlink" Target="https://epubs.siam.org/doi/abs/10.1137/S0895480193256651?journalCode=sjdmec" TargetMode="External"/><Relationship Id="rId147" Type="http://schemas.openxmlformats.org/officeDocument/2006/relationships/hyperlink" Target="http://citeseerx.ist.psu.edu/viewdoc/download?doi=10.1.1.100.7210&amp;rep=rep1&amp;type=pdf" TargetMode="External"/><Relationship Id="rId389" Type="http://schemas.openxmlformats.org/officeDocument/2006/relationships/hyperlink" Target="https://link.springer.com/chapter/10.1007/978-3-642-45221-5_44" TargetMode="External"/><Relationship Id="rId1099" Type="http://schemas.openxmlformats.org/officeDocument/2006/relationships/hyperlink" Target="https://ir.nctu.edu.tw/bitstream/11536/749/1/A1997WM15100010.pdf" TargetMode="External"/><Relationship Id="rId6" Type="http://schemas.openxmlformats.org/officeDocument/2006/relationships/hyperlink" Target="https://www.sciencedirect.com/science/article/pii/0196677487900526" TargetMode="External"/><Relationship Id="rId146" Type="http://schemas.openxmlformats.org/officeDocument/2006/relationships/hyperlink" Target="https://pdfs.semanticscholar.org/c47d/151f09c567013761632c89e237431c6291a2.pdf" TargetMode="External"/><Relationship Id="rId388" Type="http://schemas.openxmlformats.org/officeDocument/2006/relationships/hyperlink" Target="http://essay.utwente.nl/67128/1/Bloemen_MA_EEMCS.pdf" TargetMode="External"/><Relationship Id="rId7" Type="http://schemas.openxmlformats.org/officeDocument/2006/relationships/hyperlink" Target="https://doi.org/10.1109/TPAMI.2018.2889473" TargetMode="External"/><Relationship Id="rId145" Type="http://schemas.openxmlformats.org/officeDocument/2006/relationships/hyperlink" Target="http://citeseerx.ist.psu.edu/viewdoc/download?doi=10.1.1.100.7210&amp;rep=rep1&amp;type=pdf" TargetMode="External"/><Relationship Id="rId387" Type="http://schemas.openxmlformats.org/officeDocument/2006/relationships/hyperlink" Target="http://www.cs.ox.ac.uk/people/gavin.lowe/parallelDFS.html" TargetMode="External"/><Relationship Id="rId8" Type="http://schemas.openxmlformats.org/officeDocument/2006/relationships/hyperlink" Target="https://arxiv.org/abs/1603.09320" TargetMode="External"/><Relationship Id="rId144" Type="http://schemas.openxmlformats.org/officeDocument/2006/relationships/hyperlink" Target="https://www.cs.utexas.edu/users/moore/publications/fstrpos.pdf" TargetMode="External"/><Relationship Id="rId386" Type="http://schemas.openxmlformats.org/officeDocument/2006/relationships/hyperlink" Target="https://link.springer.com/content/pdf/10.1007/BF01940892.pdf" TargetMode="External"/><Relationship Id="rId381" Type="http://schemas.openxmlformats.org/officeDocument/2006/relationships/hyperlink" Target="https://www.sciencedirect.com/science/article/pii/S002001900000051X?via%3Dihub" TargetMode="External"/><Relationship Id="rId380" Type="http://schemas.openxmlformats.org/officeDocument/2006/relationships/hyperlink" Target="https://www.sciencedirect.com/science/article/pii/S0020019015001532" TargetMode="External"/><Relationship Id="rId139" Type="http://schemas.openxmlformats.org/officeDocument/2006/relationships/hyperlink" Target="http://citeseerx.ist.psu.edu/viewdoc/download?doi=10.1.1.100.7210&amp;rep=rep1&amp;type=pdf" TargetMode="External"/><Relationship Id="rId138" Type="http://schemas.openxmlformats.org/officeDocument/2006/relationships/hyperlink" Target="https://en.wikipedia.org/wiki/String-searching_algorithm" TargetMode="External"/><Relationship Id="rId137" Type="http://schemas.openxmlformats.org/officeDocument/2006/relationships/hyperlink" Target="https://www.cs.du.edu/~sturtevant/papers/TBA.pdf" TargetMode="External"/><Relationship Id="rId379" Type="http://schemas.openxmlformats.org/officeDocument/2006/relationships/hyperlink" Target="https://www.sciencedirect.com/science/article/pii/S0020019015001532" TargetMode="External"/><Relationship Id="rId1080" Type="http://schemas.openxmlformats.org/officeDocument/2006/relationships/hyperlink" Target="https://www.cs.utexas.edu/~lorenzo/corsi/cs380d/papers/p225-chandra.pdf" TargetMode="External"/><Relationship Id="rId1081" Type="http://schemas.openxmlformats.org/officeDocument/2006/relationships/hyperlink" Target="https://averyparkinson23.medium.com/sequencing-antibiotics-using-bioinformatics-2af1373ee009" TargetMode="External"/><Relationship Id="rId1082" Type="http://schemas.openxmlformats.org/officeDocument/2006/relationships/hyperlink" Target="https://github.com/xuwd11/Coursera-Bioinformatics/blob/master/23_04_CyclopeptideSequencing.py" TargetMode="External"/><Relationship Id="rId1083" Type="http://schemas.openxmlformats.org/officeDocument/2006/relationships/hyperlink" Target="https://dl.acm.org/doi/pdf/10.1145/368637.368653" TargetMode="External"/><Relationship Id="rId132" Type="http://schemas.openxmlformats.org/officeDocument/2006/relationships/hyperlink" Target="http://users.cecs.anu.edu.au/~dharabor/data/papers/harabor-grastien-aaai11.pdf" TargetMode="External"/><Relationship Id="rId374" Type="http://schemas.openxmlformats.org/officeDocument/2006/relationships/hyperlink" Target="https://www.semanticscholar.org/paper/Depth-First-Search-and-Linear-Graph-Algorithms-Tarjan/385742fffcf113656f0d3cf6c06ef95cb8439dc6" TargetMode="External"/><Relationship Id="rId1084" Type="http://schemas.openxmlformats.org/officeDocument/2006/relationships/hyperlink" Target="https://doi.org/10.1007/BF01934125" TargetMode="External"/><Relationship Id="rId131" Type="http://schemas.openxmlformats.org/officeDocument/2006/relationships/hyperlink" Target="https://linkinghub.elsevier.com/retrieve/pii/0004370285900840" TargetMode="External"/><Relationship Id="rId373" Type="http://schemas.openxmlformats.org/officeDocument/2006/relationships/hyperlink" Target="https://www.sciencedirect.com/science/article/pii/B9780123743640500114" TargetMode="External"/><Relationship Id="rId1085" Type="http://schemas.openxmlformats.org/officeDocument/2006/relationships/hyperlink" Target="https://ir.nctu.edu.tw/bitstream/11536/749/1/A1997WM15100010.pdf" TargetMode="External"/><Relationship Id="rId130" Type="http://schemas.openxmlformats.org/officeDocument/2006/relationships/hyperlink" Target="http://idm-lab.org/bib/abstracts/papers/aamas08b.pdf" TargetMode="External"/><Relationship Id="rId372" Type="http://schemas.openxmlformats.org/officeDocument/2006/relationships/hyperlink" Target="https://www.sciencedirect.com/science/article/pii/0898122181900080" TargetMode="External"/><Relationship Id="rId1086" Type="http://schemas.openxmlformats.org/officeDocument/2006/relationships/hyperlink" Target="https://ir.nctu.edu.tw/bitstream/11536/749/1/A1997WM15100010.pdf" TargetMode="External"/><Relationship Id="rId371" Type="http://schemas.openxmlformats.org/officeDocument/2006/relationships/hyperlink" Target="https://cse.buffalo.edu/faculty/miller/Papers/IEEETC88a.pdf" TargetMode="External"/><Relationship Id="rId1087" Type="http://schemas.openxmlformats.org/officeDocument/2006/relationships/hyperlink" Target="https://ir.nctu.edu.tw/bitstream/11536/749/1/A1997WM15100010.pdf" TargetMode="External"/><Relationship Id="rId136" Type="http://schemas.openxmlformats.org/officeDocument/2006/relationships/hyperlink" Target="https://papers.nips.cc/paper/2382-ara-anytime-a-with-provable-bounds-on-sub-optimality.pdf" TargetMode="External"/><Relationship Id="rId378" Type="http://schemas.openxmlformats.org/officeDocument/2006/relationships/hyperlink" Target="https://ldhulipala.github.io/readings/sequential-scc.pdf" TargetMode="External"/><Relationship Id="rId1088" Type="http://schemas.openxmlformats.org/officeDocument/2006/relationships/hyperlink" Target="https://doi.org/10.1016/0098-3004(78)90085-7" TargetMode="External"/><Relationship Id="rId135" Type="http://schemas.openxmlformats.org/officeDocument/2006/relationships/hyperlink" Target="http://idm-lab.org/bib/abstracts/papers/aaai07a.pdf" TargetMode="External"/><Relationship Id="rId377" Type="http://schemas.openxmlformats.org/officeDocument/2006/relationships/hyperlink" Target="https://www.worldcat.org/title/discipline-of-programming/oclc/1958445" TargetMode="External"/><Relationship Id="rId1089" Type="http://schemas.openxmlformats.org/officeDocument/2006/relationships/hyperlink" Target="https://ir.nctu.edu.tw/bitstream/11536/749/1/A1997WM15100010.pdf" TargetMode="External"/><Relationship Id="rId134" Type="http://schemas.openxmlformats.org/officeDocument/2006/relationships/hyperlink" Target="https://citeseerx.ist.psu.edu/viewdoc/summary?doi=10.1.1.105.7839" TargetMode="External"/><Relationship Id="rId376" Type="http://schemas.openxmlformats.org/officeDocument/2006/relationships/hyperlink" Target="https://www.sciencedirect.com/science/article/pii/S0020019015001532" TargetMode="External"/><Relationship Id="rId133" Type="http://schemas.openxmlformats.org/officeDocument/2006/relationships/hyperlink" Target="http://idm-lab.org/bib/abstracts/papers/aaai02b.pdf" TargetMode="External"/><Relationship Id="rId375" Type="http://schemas.openxmlformats.org/officeDocument/2006/relationships/hyperlink" Target="https://www.geeksforgeeks.org/tarjan-algorithm-find-strongly-connected-components/" TargetMode="External"/><Relationship Id="rId172" Type="http://schemas.openxmlformats.org/officeDocument/2006/relationships/hyperlink" Target="http://www.mathnet.ru/php/archive.phtml?wshow=paper&amp;jrnid=dan&amp;paperid=26729&amp;option_lang=eng" TargetMode="External"/><Relationship Id="rId171" Type="http://schemas.openxmlformats.org/officeDocument/2006/relationships/hyperlink" Target="http://www.cs.nuim.ie/~jpower/Courses/Previous/parsing/node9.html" TargetMode="External"/><Relationship Id="rId170" Type="http://schemas.openxmlformats.org/officeDocument/2006/relationships/hyperlink" Target="https://ieeexplore.ieee.org/document/5392601" TargetMode="External"/><Relationship Id="rId165" Type="http://schemas.openxmlformats.org/officeDocument/2006/relationships/hyperlink" Target="https://dl.acm.org/doi/10.1145/357332.357333" TargetMode="External"/><Relationship Id="rId164" Type="http://schemas.openxmlformats.org/officeDocument/2006/relationships/hyperlink" Target="https://www.geeksforgeeks.org/line-clipping-set-1-cohen-sutherland-algorithm/" TargetMode="External"/><Relationship Id="rId163" Type="http://schemas.openxmlformats.org/officeDocument/2006/relationships/hyperlink" Target="https://books.google.com/books/about/Principles_of_interactive_computer_graph.html?id=inJ8AAAAIAAJ" TargetMode="External"/><Relationship Id="rId162" Type="http://schemas.openxmlformats.org/officeDocument/2006/relationships/hyperlink" Target="https://www.ncbi.nlm.nih.gov/pmc/articles/PMC427531/" TargetMode="External"/><Relationship Id="rId169" Type="http://schemas.openxmlformats.org/officeDocument/2006/relationships/hyperlink" Target="https://www.sciencedirect.com/science/article/pii/0097849387900616" TargetMode="External"/><Relationship Id="rId168" Type="http://schemas.openxmlformats.org/officeDocument/2006/relationships/hyperlink" Target="https://www.cs.drexel.edu/~david/Classes/Talks/McCurdyPresentation.pdf" TargetMode="External"/><Relationship Id="rId167" Type="http://schemas.openxmlformats.org/officeDocument/2006/relationships/hyperlink" Target="https://dl.acm.org/doi/10.1145/37401.37432" TargetMode="External"/><Relationship Id="rId166" Type="http://schemas.openxmlformats.org/officeDocument/2006/relationships/hyperlink" Target="https://www.sciencedirect.com/science/article/pii/0097849378900213" TargetMode="External"/><Relationship Id="rId161" Type="http://schemas.openxmlformats.org/officeDocument/2006/relationships/hyperlink" Target="https://academic.oup.com/bioinformatics/article/4/1/11/205106?login=true" TargetMode="External"/><Relationship Id="rId160" Type="http://schemas.openxmlformats.org/officeDocument/2006/relationships/hyperlink" Target="https://academic.oup.com/bioinformatics/article/4/1/11/205106?login=true" TargetMode="External"/><Relationship Id="rId159" Type="http://schemas.openxmlformats.org/officeDocument/2006/relationships/hyperlink" Target="https://link.springer.com/article/10.1007/BF02462326" TargetMode="External"/><Relationship Id="rId154" Type="http://schemas.openxmlformats.org/officeDocument/2006/relationships/hyperlink" Target="https://dl.acm.org/doi/10.1145/360825.360861" TargetMode="External"/><Relationship Id="rId396" Type="http://schemas.openxmlformats.org/officeDocument/2006/relationships/hyperlink" Target="https://ris.utwente.nl/ws/files/6872352/Barnat09distributed.pdf" TargetMode="External"/><Relationship Id="rId153" Type="http://schemas.openxmlformats.org/officeDocument/2006/relationships/hyperlink" Target="https://www.sciencedirect.com/science/article/pii/0022000080900021" TargetMode="External"/><Relationship Id="rId395" Type="http://schemas.openxmlformats.org/officeDocument/2006/relationships/hyperlink" Target="https://ieeexplore.ieee.org/document/8133154" TargetMode="External"/><Relationship Id="rId152" Type="http://schemas.openxmlformats.org/officeDocument/2006/relationships/hyperlink" Target="https://reader.elsevier.com/reader/sd/pii/0022000080900021?token=73AF2A185C2FC6C67F5579CDB00D3B782FF86C4EB03694E1E783EFF5885B871AB0841E8A69D206FB16A1EFF882EB712C" TargetMode="External"/><Relationship Id="rId394" Type="http://schemas.openxmlformats.org/officeDocument/2006/relationships/hyperlink" Target="http://essay.utwente.nl/67128/1/Bloemen_MA_EEMCS.pdf" TargetMode="External"/><Relationship Id="rId151" Type="http://schemas.openxmlformats.org/officeDocument/2006/relationships/hyperlink" Target="https://www.sciencedirect.com/science/article/pii/0022000080900021" TargetMode="External"/><Relationship Id="rId393" Type="http://schemas.openxmlformats.org/officeDocument/2006/relationships/hyperlink" Target="https://www.sciencedirect.com/science/article/pii/0020019071900068" TargetMode="External"/><Relationship Id="rId158" Type="http://schemas.openxmlformats.org/officeDocument/2006/relationships/hyperlink" Target="https://www.sciencedirect.com/science/article/pii/0022283682903989" TargetMode="External"/><Relationship Id="rId157" Type="http://schemas.openxmlformats.org/officeDocument/2006/relationships/hyperlink" Target="https://en.wikipedia.org/wiki/FASTA" TargetMode="External"/><Relationship Id="rId399" Type="http://schemas.openxmlformats.org/officeDocument/2006/relationships/hyperlink" Target="https://www.geeksforgeeks.org/boruvkas-algorithm-greedy-algo-9/" TargetMode="External"/><Relationship Id="rId156" Type="http://schemas.openxmlformats.org/officeDocument/2006/relationships/hyperlink" Target="https://www.ncbi.nlm.nih.gov/pubmed/2983426" TargetMode="External"/><Relationship Id="rId398" Type="http://schemas.openxmlformats.org/officeDocument/2006/relationships/hyperlink" Target="https://stanford-ppl.github.io/website/papers/sc13-hong.pdf" TargetMode="External"/><Relationship Id="rId155" Type="http://schemas.openxmlformats.org/officeDocument/2006/relationships/hyperlink" Target="https://dl.acm.org/doi/10.1145/360825.360861" TargetMode="External"/><Relationship Id="rId397" Type="http://schemas.openxmlformats.org/officeDocument/2006/relationships/hyperlink" Target="https://research.vu.nl/en/publications/on-distributed-verification-and-verified-distribution" TargetMode="External"/><Relationship Id="rId808" Type="http://schemas.openxmlformats.org/officeDocument/2006/relationships/hyperlink" Target="https://www.cs.cmu.edu/~./sutner/CDM/papers/Hopcroft71.pdf" TargetMode="External"/><Relationship Id="rId807" Type="http://schemas.openxmlformats.org/officeDocument/2006/relationships/hyperlink" Target="https://arxiv.org/pdf/1010.5318.pdf" TargetMode="External"/><Relationship Id="rId806" Type="http://schemas.openxmlformats.org/officeDocument/2006/relationships/hyperlink" Target="https://www.proquest.com/docview/920003939?pq-origsite=gscholar&amp;fromopenview=true" TargetMode="External"/><Relationship Id="rId805" Type="http://schemas.openxmlformats.org/officeDocument/2006/relationships/hyperlink" Target="https://link.springer.com/article/10.1007/BF00268499" TargetMode="External"/><Relationship Id="rId809" Type="http://schemas.openxmlformats.org/officeDocument/2006/relationships/hyperlink" Target="https://link.springer.com/content/pdf/10.1007/3-540-54430-5_107.pdf" TargetMode="External"/><Relationship Id="rId800" Type="http://schemas.openxmlformats.org/officeDocument/2006/relationships/hyperlink" Target="http://citeseerx.ist.psu.edu/viewdoc/download?doi=10.1.1.302.7503&amp;rep=rep1&amp;type=pdf" TargetMode="External"/><Relationship Id="rId804" Type="http://schemas.openxmlformats.org/officeDocument/2006/relationships/hyperlink" Target="https://dl.acm.org/doi/10.1145/368996.369025" TargetMode="External"/><Relationship Id="rId803" Type="http://schemas.openxmlformats.org/officeDocument/2006/relationships/hyperlink" Target="https://dbs.ifi.uni-heidelberg.de/files/Team/eschubert/publications/SSDBM18-covariance-authorcopy.pdf" TargetMode="External"/><Relationship Id="rId802" Type="http://schemas.openxmlformats.org/officeDocument/2006/relationships/hyperlink" Target="http://i.stanford.edu/pub/cstr/reports/cs/tr/79/773/CS-TR-79-773.pdf" TargetMode="External"/><Relationship Id="rId801" Type="http://schemas.openxmlformats.org/officeDocument/2006/relationships/hyperlink" Target="https://dl.acm.org/doi/10.1145/359146.359153" TargetMode="External"/><Relationship Id="rId40" Type="http://schemas.openxmlformats.org/officeDocument/2006/relationships/hyperlink" Target="https://dl.acm.org/doi/abs/10.1145/344779.345009" TargetMode="External"/><Relationship Id="rId42" Type="http://schemas.openxmlformats.org/officeDocument/2006/relationships/hyperlink" Target="https://arxiv.org/abs/1705.06566" TargetMode="External"/><Relationship Id="rId41" Type="http://schemas.openxmlformats.org/officeDocument/2006/relationships/hyperlink" Target="https://dl.acm.org/doi/abs/10.1145/344779.345009" TargetMode="External"/><Relationship Id="rId44" Type="http://schemas.openxmlformats.org/officeDocument/2006/relationships/hyperlink" Target="https://arxiv.org/abs/1912.05935" TargetMode="External"/><Relationship Id="rId43" Type="http://schemas.openxmlformats.org/officeDocument/2006/relationships/hyperlink" Target="https://arxiv.org/abs/1705.06566" TargetMode="External"/><Relationship Id="rId46" Type="http://schemas.openxmlformats.org/officeDocument/2006/relationships/hyperlink" Target="https://epubs.siam.org/doi/abs/10.1137/0211030?journalCode=smjcat" TargetMode="External"/><Relationship Id="rId45" Type="http://schemas.openxmlformats.org/officeDocument/2006/relationships/hyperlink" Target="https://epubs.siam.org/doi/abs/10.1137/0211030?journalCode=smjcat" TargetMode="External"/><Relationship Id="rId509" Type="http://schemas.openxmlformats.org/officeDocument/2006/relationships/hyperlink" Target="https://www.sciencedirect.com/science/article/pii/0167642383900151?via%3Dihub" TargetMode="External"/><Relationship Id="rId508" Type="http://schemas.openxmlformats.org/officeDocument/2006/relationships/hyperlink" Target="http://www.wias-berlin.de/people/si/course/files/Fortune87-SweepLine-Voronoi.pdf" TargetMode="External"/><Relationship Id="rId503" Type="http://schemas.openxmlformats.org/officeDocument/2006/relationships/hyperlink" Target="http://isgwww.cs.uni-magdeburg.de/graphics/misc/Wolfgang_Stra%C3%9Fer_Schnelle_Kurven-_und_Flaechendarstellung_auf_grafischen_Sichtgeraeten.pdf" TargetMode="External"/><Relationship Id="rId745" Type="http://schemas.openxmlformats.org/officeDocument/2006/relationships/hyperlink" Target="http://www.cs.gettysburg.edu/~ilinkin/courses/Fall-2014/cs373/handouts/papers/gs-fegsd-81.pdf" TargetMode="External"/><Relationship Id="rId987" Type="http://schemas.openxmlformats.org/officeDocument/2006/relationships/hyperlink" Target="https://epubs.siam.org/doi/10.1137/0209018" TargetMode="External"/><Relationship Id="rId502" Type="http://schemas.openxmlformats.org/officeDocument/2006/relationships/hyperlink" Target="http://library.msri.org/books/Book52/files/29toth.pdf" TargetMode="External"/><Relationship Id="rId744" Type="http://schemas.openxmlformats.org/officeDocument/2006/relationships/hyperlink" Target="http://www-users.mat.umk.pl/~gruby/teaching/lgim/1_wu.pdf" TargetMode="External"/><Relationship Id="rId986" Type="http://schemas.openxmlformats.org/officeDocument/2006/relationships/hyperlink" Target="https://dl.acm.org/doi/10.1145/800061.808746" TargetMode="External"/><Relationship Id="rId501" Type="http://schemas.openxmlformats.org/officeDocument/2006/relationships/hyperlink" Target="https://apps.dtic.mil/dtic/tr/fulltext/u2/700375.pdf" TargetMode="External"/><Relationship Id="rId743" Type="http://schemas.openxmlformats.org/officeDocument/2006/relationships/hyperlink" Target="https://web.archive.org/web/20080528040104/http://www.research.ibm.com/journal/sj/041/ibmsjIVRIC.pdf" TargetMode="External"/><Relationship Id="rId985" Type="http://schemas.openxmlformats.org/officeDocument/2006/relationships/hyperlink" Target="https://dl.acm.org/doi/10.1145/321607.321620" TargetMode="External"/><Relationship Id="rId500" Type="http://schemas.openxmlformats.org/officeDocument/2006/relationships/hyperlink" Target="https://dl.acm.org/doi/book/10.5555/905316?dl=ACM" TargetMode="External"/><Relationship Id="rId742" Type="http://schemas.openxmlformats.org/officeDocument/2006/relationships/hyperlink" Target="https://en.wikipedia.org/wiki/Digital_differential_analyzer_(graphics_algorithm)" TargetMode="External"/><Relationship Id="rId984" Type="http://schemas.openxmlformats.org/officeDocument/2006/relationships/hyperlink" Target="https://dl.acm.org/doi/10.1145/321607.321620" TargetMode="External"/><Relationship Id="rId507" Type="http://schemas.openxmlformats.org/officeDocument/2006/relationships/hyperlink" Target="https://en.wikipedia.org/wiki/Power_iteration" TargetMode="External"/><Relationship Id="rId749" Type="http://schemas.openxmlformats.org/officeDocument/2006/relationships/hyperlink" Target="https://dl.acm.org/doi/pdf/10.1145/360767.360802" TargetMode="External"/><Relationship Id="rId506" Type="http://schemas.openxmlformats.org/officeDocument/2006/relationships/hyperlink" Target="https://onlinelibrary.wiley.com/doi/pdf/10.1002/zamm.19290090105?casa_token=xSwK6PkV010AAAAA:j_1-JKs0GG-KuwUUyM_dIt8kmOa5z6lvp_GABgDryAYxKdYvChyNGA9VA5CZLyAurWOVYPRn45geRTFk" TargetMode="External"/><Relationship Id="rId748" Type="http://schemas.openxmlformats.org/officeDocument/2006/relationships/hyperlink" Target="https://dl.acm.org/doi/10.1145/360767.360802" TargetMode="External"/><Relationship Id="rId505" Type="http://schemas.openxmlformats.org/officeDocument/2006/relationships/hyperlink" Target="https://en.wikipedia.org/wiki/Scanline_rendering" TargetMode="External"/><Relationship Id="rId747" Type="http://schemas.openxmlformats.org/officeDocument/2006/relationships/hyperlink" Target="https://www.inf.usi.ch/hormann/papers/Greiner.1998.ECO.pdf" TargetMode="External"/><Relationship Id="rId989" Type="http://schemas.openxmlformats.org/officeDocument/2006/relationships/hyperlink" Target="https://www.cs.yale.edu/homes/spielman/PAPERS/srg.pdf" TargetMode="External"/><Relationship Id="rId504" Type="http://schemas.openxmlformats.org/officeDocument/2006/relationships/hyperlink" Target="https://www.geeksforgeeks.org/z-buffer-depth-buffer-method/" TargetMode="External"/><Relationship Id="rId746" Type="http://schemas.openxmlformats.org/officeDocument/2006/relationships/hyperlink" Target="http://davis.wpi.edu/~matt/courses/clipping/" TargetMode="External"/><Relationship Id="rId988" Type="http://schemas.openxmlformats.org/officeDocument/2006/relationships/hyperlink" Target="https://epubs.siam.org/doi/10.1137/0209018" TargetMode="External"/><Relationship Id="rId48" Type="http://schemas.openxmlformats.org/officeDocument/2006/relationships/hyperlink" Target="https://epubs.siam.org/doi/abs/10.1137/0211030?journalCode=smjcat" TargetMode="External"/><Relationship Id="rId47" Type="http://schemas.openxmlformats.org/officeDocument/2006/relationships/hyperlink" Target="https://www.semanticscholar.org/paper/The-Complexity-of-Finding-Cycles-in-Periodic-Sedgewick-Szymanski/8f1e5d92733380112a44630d0561611121c3228d" TargetMode="External"/><Relationship Id="rId49" Type="http://schemas.openxmlformats.org/officeDocument/2006/relationships/hyperlink" Target="https://drive.google.com/file/d/16H_lrjeaBJqWvcn07C_w-6VNHldJ-ZZl/view" TargetMode="External"/><Relationship Id="rId741" Type="http://schemas.openxmlformats.org/officeDocument/2006/relationships/hyperlink" Target="https://en.wikipedia.org/wiki/Line_drawing_algorithm" TargetMode="External"/><Relationship Id="rId983" Type="http://schemas.openxmlformats.org/officeDocument/2006/relationships/hyperlink" Target="https://dl.acm.org/doi/10.1145/236114.236117" TargetMode="External"/><Relationship Id="rId740" Type="http://schemas.openxmlformats.org/officeDocument/2006/relationships/hyperlink" Target="https://ieeexplore.ieee.org/stamp/stamp.jsp?arnumber=5625613" TargetMode="External"/><Relationship Id="rId982" Type="http://schemas.openxmlformats.org/officeDocument/2006/relationships/hyperlink" Target="https://d1wqtxts1xzle7.cloudfront.net/31053376/Algorithms_on_String_Trees_and_Sequences-with-cover-page-v2.pdf?Expires=1661234618&amp;Signature=F2kwJp-yun59cg~XkWJkmRPpTYA~w8ZV8-T7prnT1vRBskR9HP5--HSAW3yRCkMvsogo8r6dTuq94Um2iFLJueNP-wf-EwQwsnTfaNWN8~IPjQAStkg0o3~9dr~gbsRzgddypdVJFp2qnFOzCaL3RgLw1mVEt~z6l9NwCSAK~mKZn6gZm3pP2-oCtuvQeUkRQKEWMrjbmZJvnXGoTSeKl4wMvvO5VOB17WLvU2A~G3XuiV05wJJwK8cQ9wqGZdorSYXieKLElOTfoYCDEjugeJuQXa2R-VhZtk8WpBPLmIv-PKUqQpxNG2usEwy0f4rcZnpsIBfEAJV9UBv1QwxlPQ__&amp;Key-Pair-Id=APKAJLOHF5GGSLRBV4ZA" TargetMode="External"/><Relationship Id="rId981" Type="http://schemas.openxmlformats.org/officeDocument/2006/relationships/hyperlink" Target="https://www.cambridge.org/core/books/algorithms-on-strings-trees-and-sequences/F0B095049C7E6EF5356F0A26686C20D3" TargetMode="External"/><Relationship Id="rId980" Type="http://schemas.openxmlformats.org/officeDocument/2006/relationships/hyperlink" Target="https://doi.org/10.1007%2FBF01182773" TargetMode="External"/><Relationship Id="rId31" Type="http://schemas.openxmlformats.org/officeDocument/2006/relationships/hyperlink" Target="https://dl.acm.org/doi/abs/10.1145/1806689.1806735" TargetMode="External"/><Relationship Id="rId30" Type="http://schemas.openxmlformats.org/officeDocument/2006/relationships/hyperlink" Target="https://dl.acm.org/doi/pdf/10.1145/3329863" TargetMode="External"/><Relationship Id="rId33" Type="http://schemas.openxmlformats.org/officeDocument/2006/relationships/hyperlink" Target="https://arxiv.org/pdf/0812.4893.pdf" TargetMode="External"/><Relationship Id="rId32" Type="http://schemas.openxmlformats.org/officeDocument/2006/relationships/hyperlink" Target="https://dl.acm.org/doi/pdf/10.1145/3329863" TargetMode="External"/><Relationship Id="rId35" Type="http://schemas.openxmlformats.org/officeDocument/2006/relationships/hyperlink" Target="https://www.ncbi.nlm.nih.gov/pubmed/2184437" TargetMode="External"/><Relationship Id="rId34" Type="http://schemas.openxmlformats.org/officeDocument/2006/relationships/hyperlink" Target="https://www.ncbi.nlm.nih.gov/pubmed/2184437" TargetMode="External"/><Relationship Id="rId739" Type="http://schemas.openxmlformats.org/officeDocument/2006/relationships/hyperlink" Target="https://ieeexplore.ieee.org/stamp/stamp.jsp?arnumber=5625613" TargetMode="External"/><Relationship Id="rId734" Type="http://schemas.openxmlformats.org/officeDocument/2006/relationships/hyperlink" Target="https://ieeexplore.ieee.org/document/1162043" TargetMode="External"/><Relationship Id="rId976" Type="http://schemas.openxmlformats.org/officeDocument/2006/relationships/hyperlink" Target="https://www.geeksforgeeks.org/longest-palindrome-substring-set-1/" TargetMode="External"/><Relationship Id="rId733" Type="http://schemas.openxmlformats.org/officeDocument/2006/relationships/hyperlink" Target="https://ieeexplore.ieee.org/document/1162043" TargetMode="External"/><Relationship Id="rId975" Type="http://schemas.openxmlformats.org/officeDocument/2006/relationships/hyperlink" Target="https://www.sciencedirect.com/science/article/abs/pii/016794739390116B" TargetMode="External"/><Relationship Id="rId732" Type="http://schemas.openxmlformats.org/officeDocument/2006/relationships/hyperlink" Target="http://cis.rit.edu/class/simg716/FFT_Fun_Profit.pdf" TargetMode="External"/><Relationship Id="rId974" Type="http://schemas.openxmlformats.org/officeDocument/2006/relationships/hyperlink" Target="https://doi.org/10.1016/B978-155860869-6/50058-5" TargetMode="External"/><Relationship Id="rId731" Type="http://schemas.openxmlformats.org/officeDocument/2006/relationships/hyperlink" Target="https://dl.acm.org/citation.cfm?id=1476610" TargetMode="External"/><Relationship Id="rId973" Type="http://schemas.openxmlformats.org/officeDocument/2006/relationships/hyperlink" Target="https://dl.acm.org/doi/10.1145/2339530.2339707" TargetMode="External"/><Relationship Id="rId738" Type="http://schemas.openxmlformats.org/officeDocument/2006/relationships/hyperlink" Target="https://ieeexplore.ieee.org/document/1926/" TargetMode="External"/><Relationship Id="rId737" Type="http://schemas.openxmlformats.org/officeDocument/2006/relationships/hyperlink" Target="https://dl.acm.org/doi/10.1145/236869.236882" TargetMode="External"/><Relationship Id="rId979" Type="http://schemas.openxmlformats.org/officeDocument/2006/relationships/hyperlink" Target="https://dl.acm.org/doi/10.1145/321892.321896" TargetMode="External"/><Relationship Id="rId736" Type="http://schemas.openxmlformats.org/officeDocument/2006/relationships/hyperlink" Target="https://dl.acm.org/doi/10.1145/236869.236882" TargetMode="External"/><Relationship Id="rId978" Type="http://schemas.openxmlformats.org/officeDocument/2006/relationships/hyperlink" Target="https://doi.org/10.1145%2F321892.321896" TargetMode="External"/><Relationship Id="rId735" Type="http://schemas.openxmlformats.org/officeDocument/2006/relationships/hyperlink" Target="https://ieeexplore.ieee.org/document/917698" TargetMode="External"/><Relationship Id="rId977" Type="http://schemas.openxmlformats.org/officeDocument/2006/relationships/hyperlink" Target="https://www.geeksforgeeks.org/longest-palindrome-substring-set-1/" TargetMode="External"/><Relationship Id="rId37" Type="http://schemas.openxmlformats.org/officeDocument/2006/relationships/hyperlink" Target="https://science.sciencemag.org/content/262/5131/208" TargetMode="External"/><Relationship Id="rId36" Type="http://schemas.openxmlformats.org/officeDocument/2006/relationships/hyperlink" Target="https://www.ncbi.nlm.nih.gov/pmc/articles/PMC2966288/" TargetMode="External"/><Relationship Id="rId39" Type="http://schemas.openxmlformats.org/officeDocument/2006/relationships/hyperlink" Target="https://www.ncbi.nlm.nih.gov/pubmed/12015892" TargetMode="External"/><Relationship Id="rId38" Type="http://schemas.openxmlformats.org/officeDocument/2006/relationships/hyperlink" Target="https://www.ncbi.nlm.nih.gov/pmc/articles/PMC2966288/" TargetMode="External"/><Relationship Id="rId730" Type="http://schemas.openxmlformats.org/officeDocument/2006/relationships/hyperlink" Target="https://ieeexplore.ieee.org/document/1163036/" TargetMode="External"/><Relationship Id="rId972" Type="http://schemas.openxmlformats.org/officeDocument/2006/relationships/hyperlink" Target="https://arxiv.org/abs/1207.4180" TargetMode="External"/><Relationship Id="rId971" Type="http://schemas.openxmlformats.org/officeDocument/2006/relationships/hyperlink" Target="https://courses.cs.washington.edu/courses/cse590q/04au/papers/WinklerEM.pdf" TargetMode="External"/><Relationship Id="rId970" Type="http://schemas.openxmlformats.org/officeDocument/2006/relationships/hyperlink" Target="https://doi.org/10.14778/1687627.1687661" TargetMode="External"/><Relationship Id="rId1114" Type="http://schemas.openxmlformats.org/officeDocument/2006/relationships/hyperlink" Target="https://arxiv.org/pdf/1504.00513.pdf" TargetMode="External"/><Relationship Id="rId1115" Type="http://schemas.openxmlformats.org/officeDocument/2006/relationships/hyperlink" Target="https://en.wikipedia.org/wiki/Wiener_connector" TargetMode="External"/><Relationship Id="rId20" Type="http://schemas.openxmlformats.org/officeDocument/2006/relationships/hyperlink" Target="https://dl.acm.org/doi/pdf/10.1145/3329863" TargetMode="External"/><Relationship Id="rId1116" Type="http://schemas.openxmlformats.org/officeDocument/2006/relationships/hyperlink" Target="https://www.ams.org/journals/mcom/1968-22-103/S0025-5718-1968-0226829-0/S0025-5718-1968-0226829-0.pdf" TargetMode="External"/><Relationship Id="rId1117" Type="http://schemas.openxmlformats.org/officeDocument/2006/relationships/hyperlink" Target="https://en.wikipedia.org/wiki/Bareiss_algorithm" TargetMode="External"/><Relationship Id="rId22" Type="http://schemas.openxmlformats.org/officeDocument/2006/relationships/hyperlink" Target="https://doi.org/10.1002/(SICI)1097-0037(199905)33:3%3C189::AID-NET5%3E3.0.CO;2-2" TargetMode="External"/><Relationship Id="rId1118" Type="http://schemas.openxmlformats.org/officeDocument/2006/relationships/hyperlink" Target="https://en.wikipedia.org/wiki/Bareiss_algorithm" TargetMode="External"/><Relationship Id="rId21" Type="http://schemas.openxmlformats.org/officeDocument/2006/relationships/hyperlink" Target="https://dl.acm.org/doi/pdf/10.1145/3329863" TargetMode="External"/><Relationship Id="rId1119" Type="http://schemas.openxmlformats.org/officeDocument/2006/relationships/hyperlink" Target="https://www.ams.org/journals/bull/1979-01-06/S0273-0979-1979-14691-3/S0273-0979-1979-14691-3.pdf" TargetMode="External"/><Relationship Id="rId24" Type="http://schemas.openxmlformats.org/officeDocument/2006/relationships/hyperlink" Target="https://dl.acm.org/doi/pdf/10.1145/3329863" TargetMode="External"/><Relationship Id="rId23" Type="http://schemas.openxmlformats.org/officeDocument/2006/relationships/hyperlink" Target="https://dl.acm.org/doi/pdf/10.1145/3329863" TargetMode="External"/><Relationship Id="rId525" Type="http://schemas.openxmlformats.org/officeDocument/2006/relationships/hyperlink" Target="https://www.cs.jhu.edu/~langmea/resources/lecture_notes/assembly_olc.pdf" TargetMode="External"/><Relationship Id="rId767" Type="http://schemas.openxmlformats.org/officeDocument/2006/relationships/hyperlink" Target="https://en.wikipedia.org/wiki/Halley%27s_method" TargetMode="External"/><Relationship Id="rId524" Type="http://schemas.openxmlformats.org/officeDocument/2006/relationships/hyperlink" Target="https://doi.org/10.1016/S0377-2217(99)00284-2" TargetMode="External"/><Relationship Id="rId766" Type="http://schemas.openxmlformats.org/officeDocument/2006/relationships/hyperlink" Target="https://archive.org/details/historyofmathema031897mbp" TargetMode="External"/><Relationship Id="rId523" Type="http://schemas.openxmlformats.org/officeDocument/2006/relationships/hyperlink" Target="https://doi.org/10.1016/S0377-2217(99)00284-2" TargetMode="External"/><Relationship Id="rId765" Type="http://schemas.openxmlformats.org/officeDocument/2006/relationships/hyperlink" Target="https://www.geeksforgeeks.org/program-for-method-of-false-position/" TargetMode="External"/><Relationship Id="rId522" Type="http://schemas.openxmlformats.org/officeDocument/2006/relationships/hyperlink" Target="https://www.cs.princeton.edu/~bwk/btl.mirror/tsp.pdf" TargetMode="External"/><Relationship Id="rId764" Type="http://schemas.openxmlformats.org/officeDocument/2006/relationships/hyperlink" Target="https://en.wikipedia.org/wiki/Bisection_method" TargetMode="External"/><Relationship Id="rId529" Type="http://schemas.openxmlformats.org/officeDocument/2006/relationships/hyperlink" Target="https://www.academia.edu/814419/A_New_Parallel_Algorithm_Provided_by_a_Computation_Time_Model" TargetMode="External"/><Relationship Id="rId528" Type="http://schemas.openxmlformats.org/officeDocument/2006/relationships/hyperlink" Target="https://dl.acm.org/doi/10.1145/358876.358882" TargetMode="External"/><Relationship Id="rId527" Type="http://schemas.openxmlformats.org/officeDocument/2006/relationships/hyperlink" Target="https://dl.acm.org/doi/10.1145/1468075.1468082" TargetMode="External"/><Relationship Id="rId769" Type="http://schemas.openxmlformats.org/officeDocument/2006/relationships/hyperlink" Target="https://ieeexplore.ieee.org/document/1084580/" TargetMode="External"/><Relationship Id="rId526" Type="http://schemas.openxmlformats.org/officeDocument/2006/relationships/hyperlink" Target="https://www.ncbi.nlm.nih.gov/pmc/articles/PMC321006/" TargetMode="External"/><Relationship Id="rId768" Type="http://schemas.openxmlformats.org/officeDocument/2006/relationships/hyperlink" Target="https://en.wikipedia.org/wiki/Secant_method" TargetMode="External"/><Relationship Id="rId26" Type="http://schemas.openxmlformats.org/officeDocument/2006/relationships/hyperlink" Target="https://dl.acm.org/doi/pdf/10.1145/3329863" TargetMode="External"/><Relationship Id="rId25" Type="http://schemas.openxmlformats.org/officeDocument/2006/relationships/hyperlink" Target="https://www.sciencedirect.com/science/article/abs/pii/S019667749690841X?via%3Dihub" TargetMode="External"/><Relationship Id="rId28" Type="http://schemas.openxmlformats.org/officeDocument/2006/relationships/hyperlink" Target="https://dl.acm.org/doi/pdf/10.1145/3329863" TargetMode="External"/><Relationship Id="rId27" Type="http://schemas.openxmlformats.org/officeDocument/2006/relationships/hyperlink" Target="https://journals.plos.org/plosone/article?id=10.1371/journal.pone.0091507" TargetMode="External"/><Relationship Id="rId521" Type="http://schemas.openxmlformats.org/officeDocument/2006/relationships/hyperlink" Target="https://link.springer.com/chapter/10.1007/978-1-4020-9688-4_3" TargetMode="External"/><Relationship Id="rId763" Type="http://schemas.openxmlformats.org/officeDocument/2006/relationships/hyperlink" Target="http://www.cs.utexas.edu/~inderjit/public_papers/DesignMRRR_toms06.pdf" TargetMode="External"/><Relationship Id="rId1110" Type="http://schemas.openxmlformats.org/officeDocument/2006/relationships/hyperlink" Target="https://link.springer.com/content/pdf/10.1007/978-3-642-58412-1.pdf?pdf=button" TargetMode="External"/><Relationship Id="rId29" Type="http://schemas.openxmlformats.org/officeDocument/2006/relationships/hyperlink" Target="https://www.liebertpub.com/doi/10.1089/cmb.2015.0013" TargetMode="External"/><Relationship Id="rId520" Type="http://schemas.openxmlformats.org/officeDocument/2006/relationships/hyperlink" Target="https://link.springer.com/chapter/10.1007/978-1-4020-9688-4_3" TargetMode="External"/><Relationship Id="rId762" Type="http://schemas.openxmlformats.org/officeDocument/2006/relationships/hyperlink" Target="https://www.cs.utexas.edu/users/inderjit/public_papers/DesignMRRR_toms06.pdf" TargetMode="External"/><Relationship Id="rId1111" Type="http://schemas.openxmlformats.org/officeDocument/2006/relationships/hyperlink" Target="https://pubsonline.informs.org/doi/epdf/10.1287/ijoc.2017.0798" TargetMode="External"/><Relationship Id="rId761" Type="http://schemas.openxmlformats.org/officeDocument/2006/relationships/hyperlink" Target="https://journals.aps.org/pr/abstract/10.1103/PhysRev.46.828" TargetMode="External"/><Relationship Id="rId1112" Type="http://schemas.openxmlformats.org/officeDocument/2006/relationships/hyperlink" Target="https://pubsonline.informs.org/doi/pdf/10.1287/ijoc.2017.0798" TargetMode="External"/><Relationship Id="rId760" Type="http://schemas.openxmlformats.org/officeDocument/2006/relationships/hyperlink" Target="https://www.scirp.org/(S(czeh2tfqyw2orz553k1w0r45))/reference/ReferencesPapers.aspx?ReferenceID=530065" TargetMode="External"/><Relationship Id="rId1113" Type="http://schemas.openxmlformats.org/officeDocument/2006/relationships/hyperlink" Target="https://arxiv.org/abs/1504.00513" TargetMode="External"/><Relationship Id="rId1103" Type="http://schemas.openxmlformats.org/officeDocument/2006/relationships/hyperlink" Target="https://www.researchgate.net/publication/224306349_Clock-Sampling_Mutual_Network_Synchronization_for_Mobile_Multi-hop_Wireless_Ad_Hoc_Networks" TargetMode="External"/><Relationship Id="rId1104" Type="http://schemas.openxmlformats.org/officeDocument/2006/relationships/hyperlink" Target="https://ieeexplore.ieee.org/document/4359404" TargetMode="External"/><Relationship Id="rId1105" Type="http://schemas.openxmlformats.org/officeDocument/2006/relationships/hyperlink" Target="http://rosalind.info/problems/ba1n/" TargetMode="External"/><Relationship Id="rId1106" Type="http://schemas.openxmlformats.org/officeDocument/2006/relationships/hyperlink" Target="http://rosalind.info/problems/ba1n/" TargetMode="External"/><Relationship Id="rId11" Type="http://schemas.openxmlformats.org/officeDocument/2006/relationships/hyperlink" Target="https://en.wikipedia.org/wiki/Locality-sensitive_hashing" TargetMode="External"/><Relationship Id="rId1107" Type="http://schemas.openxmlformats.org/officeDocument/2006/relationships/hyperlink" Target="https://rajsain.files.wordpress.com/2013/11/randomized-algorithms-motwani-and-raghavan.pdf" TargetMode="External"/><Relationship Id="rId10" Type="http://schemas.openxmlformats.org/officeDocument/2006/relationships/hyperlink" Target="https://en.wikipedia.org/wiki/Locality-sensitive_hashing" TargetMode="External"/><Relationship Id="rId1108" Type="http://schemas.openxmlformats.org/officeDocument/2006/relationships/hyperlink" Target="http://lib.ysu.am/open_books/413311.pdf" TargetMode="External"/><Relationship Id="rId13" Type="http://schemas.openxmlformats.org/officeDocument/2006/relationships/hyperlink" Target="https://link.springer.com/content/pdf/10.1631/FITEE.1700833.pdf" TargetMode="External"/><Relationship Id="rId1109" Type="http://schemas.openxmlformats.org/officeDocument/2006/relationships/hyperlink" Target="https://doc.lagout.org/science/0_Computer%20Science/2_Algorithms/Handbook%20of%20Approximation%20Algorithms%20and%20Metaheuristics%20%5BGonzalez%202007-01-05%5D.pdf" TargetMode="External"/><Relationship Id="rId12" Type="http://schemas.openxmlformats.org/officeDocument/2006/relationships/hyperlink" Target="http://www.araa.asn.au/acra/acra2013/papers/pap148s1-file1.pdf" TargetMode="External"/><Relationship Id="rId519" Type="http://schemas.openxmlformats.org/officeDocument/2006/relationships/hyperlink" Target="https://www.researchgate.net/publication/222408030_Traveling_Salesman_Should_not_be_Greedy_Domination_Analysis_of_Greedy-Type_Heuristics_for_the_TSP" TargetMode="External"/><Relationship Id="rId514" Type="http://schemas.openxmlformats.org/officeDocument/2006/relationships/hyperlink" Target="https://epubs.siam.org/doi/pdf/10.1137/0218059" TargetMode="External"/><Relationship Id="rId756" Type="http://schemas.openxmlformats.org/officeDocument/2006/relationships/hyperlink" Target="https://academic.oup.com/comjnl/article/4/4/332/432033" TargetMode="External"/><Relationship Id="rId998" Type="http://schemas.openxmlformats.org/officeDocument/2006/relationships/hyperlink" Target="https://www.cambridge.org/core/journals/canadian-journal-of-mathematics/article/properties-of-a-class-of-01matrices-covering-a-given-matrix/9A3857D219511017536142BD7F132C91" TargetMode="External"/><Relationship Id="rId513" Type="http://schemas.openxmlformats.org/officeDocument/2006/relationships/hyperlink" Target="https://epubs.siam.org/doi/pdf/10.1137/0218059" TargetMode="External"/><Relationship Id="rId755" Type="http://schemas.openxmlformats.org/officeDocument/2006/relationships/hyperlink" Target="https://archive.org/details/numericalmethods00form" TargetMode="External"/><Relationship Id="rId997" Type="http://schemas.openxmlformats.org/officeDocument/2006/relationships/hyperlink" Target="http://compalg.inf.elte.hu/~tony/Oktatas/TDK/FINAL/Chap%202.PDF" TargetMode="External"/><Relationship Id="rId512" Type="http://schemas.openxmlformats.org/officeDocument/2006/relationships/hyperlink" Target="https://ieeexplore.ieee.org/document/6972008" TargetMode="External"/><Relationship Id="rId754" Type="http://schemas.openxmlformats.org/officeDocument/2006/relationships/hyperlink" Target="https://en.wikipedia.org/wiki/LOBPCG" TargetMode="External"/><Relationship Id="rId996" Type="http://schemas.openxmlformats.org/officeDocument/2006/relationships/hyperlink" Target="https://linkinghub.elsevier.com/retrieve/pii/0012365X7390037X" TargetMode="External"/><Relationship Id="rId511" Type="http://schemas.openxmlformats.org/officeDocument/2006/relationships/hyperlink" Target="https://dl.acm.org/doi/10.1093/comjnl/32.2.122" TargetMode="External"/><Relationship Id="rId753" Type="http://schemas.openxmlformats.org/officeDocument/2006/relationships/hyperlink" Target="https://en.wikipedia.org/wiki/Rayleigh_quotient_iteration" TargetMode="External"/><Relationship Id="rId995" Type="http://schemas.openxmlformats.org/officeDocument/2006/relationships/hyperlink" Target="https://oa.mg/work/10.1109/focs.2008.80" TargetMode="External"/><Relationship Id="rId518" Type="http://schemas.openxmlformats.org/officeDocument/2006/relationships/hyperlink" Target="http://citeseerx.ist.psu.edu/viewdoc/download?doi=10.1.1.92.1635&amp;rep=rep1&amp;type=pdf" TargetMode="External"/><Relationship Id="rId517" Type="http://schemas.openxmlformats.org/officeDocument/2006/relationships/hyperlink" Target="https://www.jstor.org/stable/j.ctt7s8xg" TargetMode="External"/><Relationship Id="rId759" Type="http://schemas.openxmlformats.org/officeDocument/2006/relationships/hyperlink" Target="https://en.wikipedia.org/wiki/Divide-and-conquer_algorithm" TargetMode="External"/><Relationship Id="rId516" Type="http://schemas.openxmlformats.org/officeDocument/2006/relationships/hyperlink" Target="https://en.wikipedia.org/wiki/Dining_philosophers_problem" TargetMode="External"/><Relationship Id="rId758" Type="http://schemas.openxmlformats.org/officeDocument/2006/relationships/hyperlink" Target="https://link.springer.com/content/pdf/10.1007/BF01389480.pdf" TargetMode="External"/><Relationship Id="rId515" Type="http://schemas.openxmlformats.org/officeDocument/2006/relationships/hyperlink" Target="https://en.wikipedia.org/wiki/Dining_philosophers_problem" TargetMode="External"/><Relationship Id="rId757" Type="http://schemas.openxmlformats.org/officeDocument/2006/relationships/hyperlink" Target="https://gdz.sub.uni-goettingen.de/id/PPN243919689_0030" TargetMode="External"/><Relationship Id="rId999" Type="http://schemas.openxmlformats.org/officeDocument/2006/relationships/hyperlink" Target="https://dl.acm.org/doi/pdf/10.1145/2783258.2783410?casa_token=u46OpjQb5b4AAAAA:7jdo-IEc4gQRd648rIJNa5WhQno8vQGGaHkDzTcu6FJ8K_BIraVU3kQ8qqqjUkO6zVLW71I7iI_VlA" TargetMode="External"/><Relationship Id="rId15" Type="http://schemas.openxmlformats.org/officeDocument/2006/relationships/hyperlink" Target="https://link.springer.com/article/10.1007/s00453-002-0989-y" TargetMode="External"/><Relationship Id="rId990" Type="http://schemas.openxmlformats.org/officeDocument/2006/relationships/hyperlink" Target="http://users.cecs.anu.edu.au/~bdm/papers/pgi.pdf" TargetMode="External"/><Relationship Id="rId14" Type="http://schemas.openxmlformats.org/officeDocument/2006/relationships/hyperlink" Target="https://link.springer.com/article/10.1007/s00453-002-0989-y" TargetMode="External"/><Relationship Id="rId17" Type="http://schemas.openxmlformats.org/officeDocument/2006/relationships/hyperlink" Target="https://doi.org/10.1287/opre.21.1.332" TargetMode="External"/><Relationship Id="rId16" Type="http://schemas.openxmlformats.org/officeDocument/2006/relationships/hyperlink" Target="https://doi.org/10.1287/opre.21.1.332" TargetMode="External"/><Relationship Id="rId19" Type="http://schemas.openxmlformats.org/officeDocument/2006/relationships/hyperlink" Target="https://link.springer.com/article/10.1007/s006070050042" TargetMode="External"/><Relationship Id="rId510" Type="http://schemas.openxmlformats.org/officeDocument/2006/relationships/hyperlink" Target="https://en.wikipedia.org/wiki/Maximum_subarray_problem" TargetMode="External"/><Relationship Id="rId752" Type="http://schemas.openxmlformats.org/officeDocument/2006/relationships/hyperlink" Target="https://onlinelibrary.wiley.com/doi/abs/10.1002/zamm.19210010104" TargetMode="External"/><Relationship Id="rId994" Type="http://schemas.openxmlformats.org/officeDocument/2006/relationships/hyperlink" Target="https://www.sciencedirect.com/science/article/pii/0196677490900135" TargetMode="External"/><Relationship Id="rId18" Type="http://schemas.openxmlformats.org/officeDocument/2006/relationships/hyperlink" Target="https://dl.acm.org/doi/pdf/10.1145/3329863" TargetMode="External"/><Relationship Id="rId751" Type="http://schemas.openxmlformats.org/officeDocument/2006/relationships/hyperlink" Target="https://www.cs.drexel.edu/~david/Classes/CS430/HWs/p214-weiler.pdf" TargetMode="External"/><Relationship Id="rId993" Type="http://schemas.openxmlformats.org/officeDocument/2006/relationships/hyperlink" Target="https://londmathsoc.onlinelibrary.wiley.com/doi/abs/10.1112/S0024611503014412" TargetMode="External"/><Relationship Id="rId1100" Type="http://schemas.openxmlformats.org/officeDocument/2006/relationships/hyperlink" Target="https://doi.org/10.1007/BF01934125" TargetMode="External"/><Relationship Id="rId750" Type="http://schemas.openxmlformats.org/officeDocument/2006/relationships/hyperlink" Target="https://dl.acm.org/doi/10.1145/129902.129906" TargetMode="External"/><Relationship Id="rId992" Type="http://schemas.openxmlformats.org/officeDocument/2006/relationships/hyperlink" Target="https://dl.acm.org/doi/10.1145/321921.321925" TargetMode="External"/><Relationship Id="rId1101" Type="http://schemas.openxmlformats.org/officeDocument/2006/relationships/hyperlink" Target="https://ir.nctu.edu.tw/bitstream/11536/749/1/A1997WM15100010.pdf" TargetMode="External"/><Relationship Id="rId991" Type="http://schemas.openxmlformats.org/officeDocument/2006/relationships/hyperlink" Target="https://dl.acm.org/doi/10.1145/321958.321963" TargetMode="External"/><Relationship Id="rId1102" Type="http://schemas.openxmlformats.org/officeDocument/2006/relationships/hyperlink" Target="https://ieeexplore.ieee.org/document/1281624" TargetMode="External"/><Relationship Id="rId84" Type="http://schemas.openxmlformats.org/officeDocument/2006/relationships/hyperlink" Target="https://epubs.siam.org/doi/abs/10.1137/0211038" TargetMode="External"/><Relationship Id="rId83" Type="http://schemas.openxmlformats.org/officeDocument/2006/relationships/hyperlink" Target="https://arxiv.org/abs/2202.08996" TargetMode="External"/><Relationship Id="rId86" Type="http://schemas.openxmlformats.org/officeDocument/2006/relationships/hyperlink" Target="https://arxiv.org/abs/2202.08996" TargetMode="External"/><Relationship Id="rId85" Type="http://schemas.openxmlformats.org/officeDocument/2006/relationships/hyperlink" Target="https://simons.berkeley.edu/sites/default/files/docs/2438/slideslegall.pdf" TargetMode="External"/><Relationship Id="rId88" Type="http://schemas.openxmlformats.org/officeDocument/2006/relationships/hyperlink" Target="https://simons.berkeley.edu/sites/default/files/docs/2438/slideslegall.pdf" TargetMode="External"/><Relationship Id="rId87" Type="http://schemas.openxmlformats.org/officeDocument/2006/relationships/hyperlink" Target="https://ieeexplore.ieee.org/abstract/document/4568194" TargetMode="External"/><Relationship Id="rId89" Type="http://schemas.openxmlformats.org/officeDocument/2006/relationships/hyperlink" Target="https://arxiv.org/abs/2202.08996" TargetMode="External"/><Relationship Id="rId709" Type="http://schemas.openxmlformats.org/officeDocument/2006/relationships/hyperlink" Target="https://doi.org/10.1137/0603055" TargetMode="External"/><Relationship Id="rId708" Type="http://schemas.openxmlformats.org/officeDocument/2006/relationships/hyperlink" Target="https://www.cs.bgu.ac.il/~michaluz/seminar/Knuth71.pdf" TargetMode="External"/><Relationship Id="rId707" Type="http://schemas.openxmlformats.org/officeDocument/2006/relationships/hyperlink" Target="https://ieeexplore.ieee.org/stamp/stamp.jsp?arnumber=4492658" TargetMode="External"/><Relationship Id="rId949" Type="http://schemas.openxmlformats.org/officeDocument/2006/relationships/hyperlink" Target="https://link.springer.com/chapter/10.1007%2F978-3-319-07046-9_2" TargetMode="External"/><Relationship Id="rId706" Type="http://schemas.openxmlformats.org/officeDocument/2006/relationships/hyperlink" Target="https://www.cs.bgu.ac.il/~michaluz/seminar/Knuth71.pdf" TargetMode="External"/><Relationship Id="rId948" Type="http://schemas.openxmlformats.org/officeDocument/2006/relationships/hyperlink" Target="https://link.springer.com/chapter/10.1007/3-540-45578-7_16" TargetMode="External"/><Relationship Id="rId80" Type="http://schemas.openxmlformats.org/officeDocument/2006/relationships/hyperlink" Target="https://arxiv.org/abs/2202.08996" TargetMode="External"/><Relationship Id="rId82" Type="http://schemas.openxmlformats.org/officeDocument/2006/relationships/hyperlink" Target="https://simons.berkeley.edu/sites/default/files/docs/2438/slideslegall.pdf" TargetMode="External"/><Relationship Id="rId81" Type="http://schemas.openxmlformats.org/officeDocument/2006/relationships/hyperlink" Target="https://epubs.siam.org/doi/abs/10.1137/0211020" TargetMode="External"/><Relationship Id="rId701" Type="http://schemas.openxmlformats.org/officeDocument/2006/relationships/hyperlink" Target="https://epubs.siam.org/doi/10.1137/0121057" TargetMode="External"/><Relationship Id="rId943" Type="http://schemas.openxmlformats.org/officeDocument/2006/relationships/hyperlink" Target="http://www.dcs.gla.ac.uk/~pat/jchoco/roommates/papers/Comp_sdarticle.pdf" TargetMode="External"/><Relationship Id="rId700" Type="http://schemas.openxmlformats.org/officeDocument/2006/relationships/hyperlink" Target="https://epubs.siam.org/doi/epdf/10.1137/0206045" TargetMode="External"/><Relationship Id="rId942" Type="http://schemas.openxmlformats.org/officeDocument/2006/relationships/hyperlink" Target="http://www.eecs.harvard.edu/cs286r/courses/fall09/papers/galeshapley.pdf" TargetMode="External"/><Relationship Id="rId941" Type="http://schemas.openxmlformats.org/officeDocument/2006/relationships/hyperlink" Target="https://www.semanticscholar.org/paper/Shift-register-synthesis-and-BCH-decoding-Massey/a0870e57fb5e59aae83f2a2a09b8df78257ef556" TargetMode="External"/><Relationship Id="rId940" Type="http://schemas.openxmlformats.org/officeDocument/2006/relationships/hyperlink" Target="https://ieeexplore.ieee.org/document/1054260" TargetMode="External"/><Relationship Id="rId705" Type="http://schemas.openxmlformats.org/officeDocument/2006/relationships/hyperlink" Target="https://ieeexplore.ieee.org/stamp/stamp.jsp?arnumber=4492658" TargetMode="External"/><Relationship Id="rId947" Type="http://schemas.openxmlformats.org/officeDocument/2006/relationships/hyperlink" Target="https://www.sciencedirect.com/science/article/abs/pii/000437029290020X" TargetMode="External"/><Relationship Id="rId704" Type="http://schemas.openxmlformats.org/officeDocument/2006/relationships/hyperlink" Target="https://www.cs.bgu.ac.il/~michaluz/seminar/Knuth71.pdf" TargetMode="External"/><Relationship Id="rId946" Type="http://schemas.openxmlformats.org/officeDocument/2006/relationships/hyperlink" Target="https://www.sciencedirect.com/science/article/abs/pii/000437029290020X" TargetMode="External"/><Relationship Id="rId703" Type="http://schemas.openxmlformats.org/officeDocument/2006/relationships/hyperlink" Target="https://epubs.siam.org/doi/10.1137/0121057" TargetMode="External"/><Relationship Id="rId945" Type="http://schemas.openxmlformats.org/officeDocument/2006/relationships/hyperlink" Target="http://www.dcs.gla.ac.uk/~pat/roommates/distribution/papers/SM2N.pdf" TargetMode="External"/><Relationship Id="rId702" Type="http://schemas.openxmlformats.org/officeDocument/2006/relationships/hyperlink" Target="https://epubs.siam.org/doi/10.1137/0121057" TargetMode="External"/><Relationship Id="rId944" Type="http://schemas.openxmlformats.org/officeDocument/2006/relationships/hyperlink" Target="http://www.dcs.gla.ac.uk/~davidm/pubs/7981.pdf" TargetMode="External"/><Relationship Id="rId73" Type="http://schemas.openxmlformats.org/officeDocument/2006/relationships/hyperlink" Target="http://alexander-karzanov.net/Publications/maxflow-acyc.pdf" TargetMode="External"/><Relationship Id="rId72" Type="http://schemas.openxmlformats.org/officeDocument/2006/relationships/hyperlink" Target="https://core.ac.uk/download/pdf/81946904.pdf" TargetMode="External"/><Relationship Id="rId75" Type="http://schemas.openxmlformats.org/officeDocument/2006/relationships/hyperlink" Target="https://core.ac.uk/download/pdf/81946904.pdf" TargetMode="External"/><Relationship Id="rId74" Type="http://schemas.openxmlformats.org/officeDocument/2006/relationships/hyperlink" Target="https://core.ac.uk/download/pdf/81946904.pdf" TargetMode="External"/><Relationship Id="rId77" Type="http://schemas.openxmlformats.org/officeDocument/2006/relationships/hyperlink" Target="https://link.springer.com/article/10.1007%2FBF02165411" TargetMode="External"/><Relationship Id="rId76" Type="http://schemas.openxmlformats.org/officeDocument/2006/relationships/hyperlink" Target="https://core.ac.uk/download/pdf/81946904.pdf" TargetMode="External"/><Relationship Id="rId79" Type="http://schemas.openxmlformats.org/officeDocument/2006/relationships/hyperlink" Target="https://ieeexplore.ieee.org/document/4567976" TargetMode="External"/><Relationship Id="rId78" Type="http://schemas.openxmlformats.org/officeDocument/2006/relationships/hyperlink" Target="http://www.cs.cmu.edu/afs/cs/academic/class/15750-s17/ScribeNotes/lecture1.pdf" TargetMode="External"/><Relationship Id="rId939" Type="http://schemas.openxmlformats.org/officeDocument/2006/relationships/hyperlink" Target="https://www.sciencedirect.com/science/article/abs/pii/0020019090901954" TargetMode="External"/><Relationship Id="rId938" Type="http://schemas.openxmlformats.org/officeDocument/2006/relationships/hyperlink" Target="https://www.ams.org/journals/mcom/1981-36-154/S0025-5718-1981-0606517-5/home.html" TargetMode="External"/><Relationship Id="rId937" Type="http://schemas.openxmlformats.org/officeDocument/2006/relationships/hyperlink" Target="https://en.wikipedia.org/wiki/Factorization_of_polynomials_over_finite_fields" TargetMode="External"/><Relationship Id="rId71" Type="http://schemas.openxmlformats.org/officeDocument/2006/relationships/hyperlink" Target="https://web.eecs.umich.edu/~pettie/matching/Edmonds-Karp-network-flow.pdf" TargetMode="External"/><Relationship Id="rId70" Type="http://schemas.openxmlformats.org/officeDocument/2006/relationships/hyperlink" Target="https://core.ac.uk/download/pdf/81946904.pdf" TargetMode="External"/><Relationship Id="rId932" Type="http://schemas.openxmlformats.org/officeDocument/2006/relationships/hyperlink" Target="https://arxiv.org/pdf/0903.0307.pdf" TargetMode="External"/><Relationship Id="rId931" Type="http://schemas.openxmlformats.org/officeDocument/2006/relationships/hyperlink" Target="https://authors.library.caltech.edu/17983/1/Jalali2010p7459Ieee_T_Inform_Theory.pdf" TargetMode="External"/><Relationship Id="rId930" Type="http://schemas.openxmlformats.org/officeDocument/2006/relationships/hyperlink" Target="https://web.stanford.edu/~tsachy/pdf_files/Lossy%20Source%20Coding%20via%20Markov%20Chain%20Monte%20Carlo.pdf" TargetMode="External"/><Relationship Id="rId936" Type="http://schemas.openxmlformats.org/officeDocument/2006/relationships/hyperlink" Target="https://en.wikipedia.org/wiki/Factorization_of_polynomials_over_finite_fields" TargetMode="External"/><Relationship Id="rId935" Type="http://schemas.openxmlformats.org/officeDocument/2006/relationships/hyperlink" Target="https://en.wikipedia.org/wiki/Factorization_of_polynomials_over_finite_fields" TargetMode="External"/><Relationship Id="rId934" Type="http://schemas.openxmlformats.org/officeDocument/2006/relationships/hyperlink" Target="https://ieeexplore.ieee.org/document/6768643/" TargetMode="External"/><Relationship Id="rId933" Type="http://schemas.openxmlformats.org/officeDocument/2006/relationships/hyperlink" Target="https://arxiv.org/pdf/0903.0307.pdf" TargetMode="External"/><Relationship Id="rId62" Type="http://schemas.openxmlformats.org/officeDocument/2006/relationships/hyperlink" Target="https://dl.acm.org/citation.cfm?doid=366622.366647" TargetMode="External"/><Relationship Id="rId61" Type="http://schemas.openxmlformats.org/officeDocument/2006/relationships/hyperlink" Target="https://11011110.github.io/blog/2007/10/09/blum-style-analysis-of.html" TargetMode="External"/><Relationship Id="rId64" Type="http://schemas.openxmlformats.org/officeDocument/2006/relationships/hyperlink" Target="http://mitpress.mit.edu/9780262046305/introduction-to-algorithms/" TargetMode="External"/><Relationship Id="rId63" Type="http://schemas.openxmlformats.org/officeDocument/2006/relationships/hyperlink" Target="http://www.cs.tut.fi/~elomaa/teach/AADS-2014-7.pdf" TargetMode="External"/><Relationship Id="rId66" Type="http://schemas.openxmlformats.org/officeDocument/2006/relationships/hyperlink" Target="https://dl.acm.org/doi/10.1145/360825.360861" TargetMode="External"/><Relationship Id="rId65" Type="http://schemas.openxmlformats.org/officeDocument/2006/relationships/hyperlink" Target="https://dl.acm.org/citation.cfm?doid=321796.321811" TargetMode="External"/><Relationship Id="rId68" Type="http://schemas.openxmlformats.org/officeDocument/2006/relationships/hyperlink" Target="https://core.ac.uk/download/pdf/81946904.pdf" TargetMode="External"/><Relationship Id="rId67" Type="http://schemas.openxmlformats.org/officeDocument/2006/relationships/hyperlink" Target="http://www.cs.yale.edu/homes/lans/readings/routing/ford-max_flow-1956.pdf" TargetMode="External"/><Relationship Id="rId729" Type="http://schemas.openxmlformats.org/officeDocument/2006/relationships/hyperlink" Target="https://ieeexplore.ieee.org/document/1162805" TargetMode="External"/><Relationship Id="rId728" Type="http://schemas.openxmlformats.org/officeDocument/2006/relationships/hyperlink" Target="https://ieeexplore.ieee.org/stamp/stamp.jsp?arnumber=1055938" TargetMode="External"/><Relationship Id="rId60" Type="http://schemas.openxmlformats.org/officeDocument/2006/relationships/hyperlink" Target="https://en.wikipedia.org/wiki/Selection_algorithm" TargetMode="External"/><Relationship Id="rId723" Type="http://schemas.openxmlformats.org/officeDocument/2006/relationships/hyperlink" Target="https://en.wikipedia.org/wiki/Eulerian_path" TargetMode="External"/><Relationship Id="rId965" Type="http://schemas.openxmlformats.org/officeDocument/2006/relationships/hyperlink" Target="https://www.cs.rutgers.edu/~farach/pubs/PRAMSuffixICALP.pdf" TargetMode="External"/><Relationship Id="rId722" Type="http://schemas.openxmlformats.org/officeDocument/2006/relationships/hyperlink" Target="https://www.geeksforgeeks.org/hierholzers-algorithm-directed-graph/" TargetMode="External"/><Relationship Id="rId964" Type="http://schemas.openxmlformats.org/officeDocument/2006/relationships/hyperlink" Target="https://www.cs.rutgers.edu/~farach/pubs/PRAMSuffixICALP.pdf" TargetMode="External"/><Relationship Id="rId721" Type="http://schemas.openxmlformats.org/officeDocument/2006/relationships/hyperlink" Target="https://collaborate.princeton.edu/en/publications/a-note-on-finding-the-bridges-of-a-graph" TargetMode="External"/><Relationship Id="rId963" Type="http://schemas.openxmlformats.org/officeDocument/2006/relationships/hyperlink" Target="https://link.springer.com/content/pdf/10.1007/3-540-57811-0_3.pdf" TargetMode="External"/><Relationship Id="rId720" Type="http://schemas.openxmlformats.org/officeDocument/2006/relationships/hyperlink" Target="https://dl.acm.org/doi/10.1109/FOCS.2004.40" TargetMode="External"/><Relationship Id="rId962" Type="http://schemas.openxmlformats.org/officeDocument/2006/relationships/hyperlink" Target="https://link.springer.com/content/pdf/10.1007/3-540-57811-0_3.pdf" TargetMode="External"/><Relationship Id="rId727" Type="http://schemas.openxmlformats.org/officeDocument/2006/relationships/hyperlink" Target="https://www.ams.org/journals/mcom/1965-19-090/S0025-5718-1965-0178586-1/S0025-5718-1965-0178586-1.pdf" TargetMode="External"/><Relationship Id="rId969" Type="http://schemas.openxmlformats.org/officeDocument/2006/relationships/hyperlink" Target="https://courses.cs.washington.edu/courses/cse590q/04au/papers/Felligi69.pdf" TargetMode="External"/><Relationship Id="rId726" Type="http://schemas.openxmlformats.org/officeDocument/2006/relationships/hyperlink" Target="https://www.ams.org/journals/mcom/1965-19-090/S0025-5718-1965-0178586-1/S0025-5718-1965-0178586-1.pdf" TargetMode="External"/><Relationship Id="rId968" Type="http://schemas.openxmlformats.org/officeDocument/2006/relationships/hyperlink" Target="http://libeccio.di.unisa.it/TdP/suffix.pdf" TargetMode="External"/><Relationship Id="rId725" Type="http://schemas.openxmlformats.org/officeDocument/2006/relationships/hyperlink" Target="https://ccrma.stanford.edu/~jos/mdft/" TargetMode="External"/><Relationship Id="rId967" Type="http://schemas.openxmlformats.org/officeDocument/2006/relationships/hyperlink" Target="https://www.researchgate.net/publication/228945502_On_parallel_transformations_of_suffix_arrays_into_suffix_trees" TargetMode="External"/><Relationship Id="rId724" Type="http://schemas.openxmlformats.org/officeDocument/2006/relationships/hyperlink" Target="https://www.cs.princeton.edu/courses/archive/spr10/cos423/handouts/NearOpt.pdf" TargetMode="External"/><Relationship Id="rId966" Type="http://schemas.openxmlformats.org/officeDocument/2006/relationships/hyperlink" Target="https://www.researchgate.net/publication/228945502_On_parallel_transformations_of_suffix_arrays_into_suffix_trees" TargetMode="External"/><Relationship Id="rId69" Type="http://schemas.openxmlformats.org/officeDocument/2006/relationships/hyperlink" Target="https://www.scirp.org/(S(lz5mqp453edsnp55rrgjct55))/reference/ReferencesPapers.aspx?ReferenceID=1690549" TargetMode="External"/><Relationship Id="rId961" Type="http://schemas.openxmlformats.org/officeDocument/2006/relationships/hyperlink" Target="https://www.sciencedirect.com/science/article/pii/S0022000097914963" TargetMode="External"/><Relationship Id="rId960" Type="http://schemas.openxmlformats.org/officeDocument/2006/relationships/hyperlink" Target="https://www.sciencedirect.com/science/article/pii/S0022000097914963" TargetMode="External"/><Relationship Id="rId51" Type="http://schemas.openxmlformats.org/officeDocument/2006/relationships/hyperlink" Target="https://www.gabrielnivasch.org/fun/cycle-detection" TargetMode="External"/><Relationship Id="rId50" Type="http://schemas.openxmlformats.org/officeDocument/2006/relationships/hyperlink" Target="https://drive.google.com/file/d/16H_lrjeaBJqWvcn07C_w-6VNHldJ-ZZl/view" TargetMode="External"/><Relationship Id="rId53" Type="http://schemas.openxmlformats.org/officeDocument/2006/relationships/hyperlink" Target="https://www.ijser.org/researchpaper/Evaluation-of-Sorting-Algorithms-Mathematical-and-Empirical-Analysis-of-sorting-Algorithms.pdf" TargetMode="External"/><Relationship Id="rId52" Type="http://schemas.openxmlformats.org/officeDocument/2006/relationships/hyperlink" Target="https://en.wikipedia.org/wiki/Selection_sort" TargetMode="External"/><Relationship Id="rId55" Type="http://schemas.openxmlformats.org/officeDocument/2006/relationships/hyperlink" Target="https://en.wikipedia.org/wiki/Introsort" TargetMode="External"/><Relationship Id="rId54" Type="http://schemas.openxmlformats.org/officeDocument/2006/relationships/hyperlink" Target="https://onlinelibrary.wiley.com/doi/abs/10.1002/%28SICI%291097-024X%28199708%2927%3A8%3C983%3A%3AAID-SPE117%3E3.0.CO%3B2-%23" TargetMode="External"/><Relationship Id="rId57" Type="http://schemas.openxmlformats.org/officeDocument/2006/relationships/hyperlink" Target="https://www.bibsonomy.org/bibtex/2f485e4ea9a877871b59ab503151a7f10/bjoern" TargetMode="External"/><Relationship Id="rId56" Type="http://schemas.openxmlformats.org/officeDocument/2006/relationships/hyperlink" Target="https://www.sciencedirect.com/science/article/pii/030439759390364Y?via%3Dihub" TargetMode="External"/><Relationship Id="rId719" Type="http://schemas.openxmlformats.org/officeDocument/2006/relationships/hyperlink" Target="https://ieeexplore.ieee.org/document/4567800" TargetMode="External"/><Relationship Id="rId718" Type="http://schemas.openxmlformats.org/officeDocument/2006/relationships/hyperlink" Target="https://nvlpubs.nist.gov/nistpubs/jres/69B/jresv69Bn1-2p125_A1b.pdf" TargetMode="External"/><Relationship Id="rId717" Type="http://schemas.openxmlformats.org/officeDocument/2006/relationships/hyperlink" Target="https://web.eecs.umich.edu/~pettie/matching/Kuhn-hungarian-assignment.pdf" TargetMode="External"/><Relationship Id="rId959" Type="http://schemas.openxmlformats.org/officeDocument/2006/relationships/hyperlink" Target="https://link.springer.com/article/10.1007/BF01769703" TargetMode="External"/><Relationship Id="rId712" Type="http://schemas.openxmlformats.org/officeDocument/2006/relationships/hyperlink" Target="https://www.sciencedirect.com/science/article/pii/002001909390212R" TargetMode="External"/><Relationship Id="rId954" Type="http://schemas.openxmlformats.org/officeDocument/2006/relationships/hyperlink" Target="https://link.springer.com/content/pdf/10.1007/s00453-010-9411-3.pdf" TargetMode="External"/><Relationship Id="rId711" Type="http://schemas.openxmlformats.org/officeDocument/2006/relationships/hyperlink" Target="https://www.sciencedirect.com/science/article/pii/0304397589901345" TargetMode="External"/><Relationship Id="rId953" Type="http://schemas.openxmlformats.org/officeDocument/2006/relationships/hyperlink" Target="https://link.springer.com/content/pdf/10.1007/s00453-010-9411-3.pdf" TargetMode="External"/><Relationship Id="rId710" Type="http://schemas.openxmlformats.org/officeDocument/2006/relationships/hyperlink" Target="https://doi.org/10.1137/0603055" TargetMode="External"/><Relationship Id="rId952" Type="http://schemas.openxmlformats.org/officeDocument/2006/relationships/hyperlink" Target="http://theory.stanford.edu/~megiddo/pdf/soda94.pdf" TargetMode="External"/><Relationship Id="rId951" Type="http://schemas.openxmlformats.org/officeDocument/2006/relationships/hyperlink" Target="https://link.springer.com/content/pdf/10.1007/BF02136029.pdf" TargetMode="External"/><Relationship Id="rId716" Type="http://schemas.openxmlformats.org/officeDocument/2006/relationships/hyperlink" Target="https://web.eecs.umich.edu/~pettie/matching/Kuhn-hungarian-assignment.pdf" TargetMode="External"/><Relationship Id="rId958" Type="http://schemas.openxmlformats.org/officeDocument/2006/relationships/hyperlink" Target="https://link.springer.com/article/10.1007/BF01769703" TargetMode="External"/><Relationship Id="rId715" Type="http://schemas.openxmlformats.org/officeDocument/2006/relationships/hyperlink" Target="https://dl.acm.org/doi/10.1145/779928.779933" TargetMode="External"/><Relationship Id="rId957" Type="http://schemas.openxmlformats.org/officeDocument/2006/relationships/hyperlink" Target="https://www.cs.helsinki.fi/u/ukkonen/SuffixT1withFigs.pdf" TargetMode="External"/><Relationship Id="rId714" Type="http://schemas.openxmlformats.org/officeDocument/2006/relationships/hyperlink" Target="https://web.stanford.edu/~saberi/lecture4.pdf" TargetMode="External"/><Relationship Id="rId956" Type="http://schemas.openxmlformats.org/officeDocument/2006/relationships/hyperlink" Target="https://dl.acm.org/citation.cfm?id=1441766" TargetMode="External"/><Relationship Id="rId713" Type="http://schemas.openxmlformats.org/officeDocument/2006/relationships/hyperlink" Target="https://epubs.siam.org/doi/abs/10.1137/0112033?journalCode=smjmap.1" TargetMode="External"/><Relationship Id="rId955" Type="http://schemas.openxmlformats.org/officeDocument/2006/relationships/hyperlink" Target="https://link.springer.com/content/pdf/10.1007/s00453-010-9411-3.pdf" TargetMode="External"/><Relationship Id="rId59" Type="http://schemas.openxmlformats.org/officeDocument/2006/relationships/hyperlink" Target="http://bitsavers.org/pdf/mit/whirlwind/R-series/R-232_Information_Sorting_in_the_Application_of_Electronic_Digital_Computers_to_Business_Operations_May54.pdf" TargetMode="External"/><Relationship Id="rId58" Type="http://schemas.openxmlformats.org/officeDocument/2006/relationships/hyperlink" Target="https://en.wikipedia.org/wiki/Heapsort" TargetMode="External"/><Relationship Id="rId950" Type="http://schemas.openxmlformats.org/officeDocument/2006/relationships/hyperlink" Target="https://link.springer.com/chapter/10.1007%2F978-3-319-07046-9_2" TargetMode="External"/><Relationship Id="rId590" Type="http://schemas.openxmlformats.org/officeDocument/2006/relationships/hyperlink" Target="http://www.ams.org/notices/199612/pomerance.pdf" TargetMode="External"/><Relationship Id="rId107" Type="http://schemas.openxmlformats.org/officeDocument/2006/relationships/hyperlink" Target="https://en.wikipedia.org/wiki/Linear_programming" TargetMode="External"/><Relationship Id="rId349" Type="http://schemas.openxmlformats.org/officeDocument/2006/relationships/hyperlink" Target="https://www.sciencedirect.com/science/article/pii/0022000086900255" TargetMode="External"/><Relationship Id="rId106" Type="http://schemas.openxmlformats.org/officeDocument/2006/relationships/hyperlink" Target="https://www.sciencedirect.com/science/article/abs/pii/0041555380900610" TargetMode="External"/><Relationship Id="rId348" Type="http://schemas.openxmlformats.org/officeDocument/2006/relationships/hyperlink" Target="https://www.sciencedirect.com/science/article/pii/0022000086900255" TargetMode="External"/><Relationship Id="rId105" Type="http://schemas.openxmlformats.org/officeDocument/2006/relationships/hyperlink" Target="https://gallica.bnf.fr/ark:/12148/bpt6k32227/f53" TargetMode="External"/><Relationship Id="rId347" Type="http://schemas.openxmlformats.org/officeDocument/2006/relationships/hyperlink" Target="https://dl.acm.org/doi/10.1145/147508.147511" TargetMode="External"/><Relationship Id="rId589" Type="http://schemas.openxmlformats.org/officeDocument/2006/relationships/hyperlink" Target="http://www.ams.org/notices/199612/pomerance.pdf" TargetMode="External"/><Relationship Id="rId104" Type="http://schemas.openxmlformats.org/officeDocument/2006/relationships/hyperlink" Target="http://www.cs.cmu.edu/~odonnell/toolkit13/lecture13-anonymous.pdf" TargetMode="External"/><Relationship Id="rId346" Type="http://schemas.openxmlformats.org/officeDocument/2006/relationships/hyperlink" Target="https://dl.acm.org/doi/10.1145/147508.147511" TargetMode="External"/><Relationship Id="rId588" Type="http://schemas.openxmlformats.org/officeDocument/2006/relationships/hyperlink" Target="https://www.sciencedirect.com/science/article/pii/S0743731506001262" TargetMode="External"/><Relationship Id="rId109" Type="http://schemas.openxmlformats.org/officeDocument/2006/relationships/hyperlink" Target="https://dl.acm.org/doi/pdf/10.1145/147508.147511" TargetMode="External"/><Relationship Id="rId1170" Type="http://schemas.openxmlformats.org/officeDocument/2006/relationships/hyperlink" Target="https://epubs.siam.org/doi/pdf/10.1137/0201008" TargetMode="External"/><Relationship Id="rId108" Type="http://schemas.openxmlformats.org/officeDocument/2006/relationships/hyperlink" Target="https://doi.org/10.1109%2FTC.1979.1675432" TargetMode="External"/><Relationship Id="rId1171" Type="http://schemas.openxmlformats.org/officeDocument/2006/relationships/hyperlink" Target="https://epubs.siam.org/doi/pdf/10.1137/0201008" TargetMode="External"/><Relationship Id="rId341" Type="http://schemas.openxmlformats.org/officeDocument/2006/relationships/hyperlink" Target="https://link.springer.com/content/pdf/10.1007/BF01585729.pdf" TargetMode="External"/><Relationship Id="rId583" Type="http://schemas.openxmlformats.org/officeDocument/2006/relationships/hyperlink" Target="https://www.sciencedirect.com/science/article/abs/pii/0020019088900658" TargetMode="External"/><Relationship Id="rId1172" Type="http://schemas.openxmlformats.org/officeDocument/2006/relationships/hyperlink" Target="https://epubs.siam.org/doi/pdf/10.1137/0201008" TargetMode="External"/><Relationship Id="rId340" Type="http://schemas.openxmlformats.org/officeDocument/2006/relationships/hyperlink" Target="http://www-leland.stanford.edu/group/SOL/reports/OR-80-27.pdf" TargetMode="External"/><Relationship Id="rId582" Type="http://schemas.openxmlformats.org/officeDocument/2006/relationships/hyperlink" Target="https://dl.acm.org/doi/10.5555/314613.314838" TargetMode="External"/><Relationship Id="rId1173" Type="http://schemas.openxmlformats.org/officeDocument/2006/relationships/hyperlink" Target="https://epubs.siam.org/doi/pdf/10.1137/0201008" TargetMode="External"/><Relationship Id="rId581" Type="http://schemas.openxmlformats.org/officeDocument/2006/relationships/hyperlink" Target="https://ieeexplore.ieee.org/document/814612" TargetMode="External"/><Relationship Id="rId1174" Type="http://schemas.openxmlformats.org/officeDocument/2006/relationships/hyperlink" Target="https://epubs.siam.org/doi/pdf/10.1137/0201008" TargetMode="External"/><Relationship Id="rId580" Type="http://schemas.openxmlformats.org/officeDocument/2006/relationships/hyperlink" Target="https://arxiv.org/pdf/cs/0006046.pdf" TargetMode="External"/><Relationship Id="rId1175" Type="http://schemas.openxmlformats.org/officeDocument/2006/relationships/hyperlink" Target="https://epubs.siam.org/doi/pdf/10.1137/0201008" TargetMode="External"/><Relationship Id="rId103" Type="http://schemas.openxmlformats.org/officeDocument/2006/relationships/hyperlink" Target="https://www.jstor.org/stable/2004623?seq=1" TargetMode="External"/><Relationship Id="rId345" Type="http://schemas.openxmlformats.org/officeDocument/2006/relationships/hyperlink" Target="https://arxiv.org/abs/1503.01752" TargetMode="External"/><Relationship Id="rId587" Type="http://schemas.openxmlformats.org/officeDocument/2006/relationships/hyperlink" Target="https://www.sciencedirect.com/science/article/pii/S0743731506001262" TargetMode="External"/><Relationship Id="rId1176" Type="http://schemas.openxmlformats.org/officeDocument/2006/relationships/hyperlink" Target="https://epubs.siam.org/doi/pdf/10.1137/0201008" TargetMode="External"/><Relationship Id="rId102" Type="http://schemas.openxmlformats.org/officeDocument/2006/relationships/hyperlink" Target="https://link.springer.com/article/10.1007/BF02163269" TargetMode="External"/><Relationship Id="rId344" Type="http://schemas.openxmlformats.org/officeDocument/2006/relationships/hyperlink" Target="https://arxiv.org/abs/1810.07896" TargetMode="External"/><Relationship Id="rId586" Type="http://schemas.openxmlformats.org/officeDocument/2006/relationships/hyperlink" Target="https://www.sciencedirect.com/science/article/pii/002001908490084X" TargetMode="External"/><Relationship Id="rId1177" Type="http://schemas.openxmlformats.org/officeDocument/2006/relationships/hyperlink" Target="https://epubs.siam.org/doi/pdf/10.1137/0201008" TargetMode="External"/><Relationship Id="rId101" Type="http://schemas.openxmlformats.org/officeDocument/2006/relationships/hyperlink" Target="https://en.wikipedia.org/wiki/Levinson_recursion" TargetMode="External"/><Relationship Id="rId343" Type="http://schemas.openxmlformats.org/officeDocument/2006/relationships/hyperlink" Target="https://arxiv.org/abs/1810.07896" TargetMode="External"/><Relationship Id="rId585" Type="http://schemas.openxmlformats.org/officeDocument/2006/relationships/hyperlink" Target="http://www.cs.tau.ac.il/~nogaa/PDFS/spectcolpr1.pdf" TargetMode="External"/><Relationship Id="rId1178" Type="http://schemas.openxmlformats.org/officeDocument/2006/relationships/hyperlink" Target="https://epubs.siam.org/doi/pdf/10.1137/0201008" TargetMode="External"/><Relationship Id="rId100" Type="http://schemas.openxmlformats.org/officeDocument/2006/relationships/hyperlink" Target="https://onlinelibrary.wiley.com/doi/abs/10.1002/sapm1946251261" TargetMode="External"/><Relationship Id="rId342" Type="http://schemas.openxmlformats.org/officeDocument/2006/relationships/hyperlink" Target="https://pdfs.semanticscholar.org/c23c/43d781da35b8314489d83ee8f3b5490541ea.pdf" TargetMode="External"/><Relationship Id="rId584" Type="http://schemas.openxmlformats.org/officeDocument/2006/relationships/hyperlink" Target="http://www.cs.tau.ac.il/~nogaa/PDFS/spectcolpr1.pdf" TargetMode="External"/><Relationship Id="rId1179" Type="http://schemas.openxmlformats.org/officeDocument/2006/relationships/hyperlink" Target="https://epubs.siam.org/doi/pdf/10.1137/0201008" TargetMode="External"/><Relationship Id="rId1169" Type="http://schemas.openxmlformats.org/officeDocument/2006/relationships/hyperlink" Target="https://epubs.siam.org/doi/pdf/10.1137/0201008" TargetMode="External"/><Relationship Id="rId338" Type="http://schemas.openxmlformats.org/officeDocument/2006/relationships/hyperlink" Target="https://en.wikipedia.org/wiki/Quantum_algorithm_for_linear_systems_of_equations" TargetMode="External"/><Relationship Id="rId337" Type="http://schemas.openxmlformats.org/officeDocument/2006/relationships/hyperlink" Target="https://arxiv.org/pdf/0811.3171.pdf" TargetMode="External"/><Relationship Id="rId579" Type="http://schemas.openxmlformats.org/officeDocument/2006/relationships/hyperlink" Target="https://www.sciencedirect.com/science/article/pii/0196677486900325" TargetMode="External"/><Relationship Id="rId336" Type="http://schemas.openxmlformats.org/officeDocument/2006/relationships/hyperlink" Target="https://journals.aps.org/prl/abstract/10.1103/PhysRevLett.103.150502" TargetMode="External"/><Relationship Id="rId578" Type="http://schemas.openxmlformats.org/officeDocument/2006/relationships/hyperlink" Target="http://citeseerx.ist.psu.edu/viewdoc/download?doi=10.1.1.86.5093&amp;rep=rep1&amp;type=pdf" TargetMode="External"/><Relationship Id="rId335" Type="http://schemas.openxmlformats.org/officeDocument/2006/relationships/hyperlink" Target="http://www.cs.cmu.edu/~quake-papers/painless-conjugate-gradient.pdf" TargetMode="External"/><Relationship Id="rId577" Type="http://schemas.openxmlformats.org/officeDocument/2006/relationships/hyperlink" Target="https://publications.mpi-cbg.de/Wu_1990_6334.pdf" TargetMode="External"/><Relationship Id="rId339" Type="http://schemas.openxmlformats.org/officeDocument/2006/relationships/hyperlink" Target="https://web.archive.org/web/20131228145520/http://retis.sssup.it/~bini/teaching/optim2010/karmarkar.pdf" TargetMode="External"/><Relationship Id="rId1160" Type="http://schemas.openxmlformats.org/officeDocument/2006/relationships/hyperlink" Target="https://ieeexplore.ieee.org/document/4567957" TargetMode="External"/><Relationship Id="rId330" Type="http://schemas.openxmlformats.org/officeDocument/2006/relationships/hyperlink" Target="https://www.sciencedirect.com/science/article/pii/002001907690065X?via%3Dihub" TargetMode="External"/><Relationship Id="rId572" Type="http://schemas.openxmlformats.org/officeDocument/2006/relationships/hyperlink" Target="https://link.springer.com/content/pdf/10.1007/3-540-58338-6_63.pdf" TargetMode="External"/><Relationship Id="rId1161" Type="http://schemas.openxmlformats.org/officeDocument/2006/relationships/hyperlink" Target="https://www.cs.drexel.edu/~amd435/courses/cs260/lectures/L-6_2-3_Trees.pdf" TargetMode="External"/><Relationship Id="rId571" Type="http://schemas.openxmlformats.org/officeDocument/2006/relationships/hyperlink" Target="https://link.springer.com/content/pdf/10.1007/3-540-58338-6_63.pdf" TargetMode="External"/><Relationship Id="rId1162" Type="http://schemas.openxmlformats.org/officeDocument/2006/relationships/hyperlink" Target="https://www.cs.drexel.edu/~amd435/courses/cs260/lectures/L-6_2-3_Trees.pdf" TargetMode="External"/><Relationship Id="rId570" Type="http://schemas.openxmlformats.org/officeDocument/2006/relationships/hyperlink" Target="https://dl.acm.org/doi/abs/10.5555/105582.105592" TargetMode="External"/><Relationship Id="rId1163" Type="http://schemas.openxmlformats.org/officeDocument/2006/relationships/hyperlink" Target="https://ieeexplore.ieee.org/document/4567957" TargetMode="External"/><Relationship Id="rId1164" Type="http://schemas.openxmlformats.org/officeDocument/2006/relationships/hyperlink" Target="https://www.cs.drexel.edu/~amd435/courses/cs260/lectures/L-6_2-3_Trees.pdf" TargetMode="External"/><Relationship Id="rId334" Type="http://schemas.openxmlformats.org/officeDocument/2006/relationships/hyperlink" Target="http://www.cs.cmu.edu/~quake-papers/painless-conjugate-gradient.pdf" TargetMode="External"/><Relationship Id="rId576" Type="http://schemas.openxmlformats.org/officeDocument/2006/relationships/hyperlink" Target="https://onlinelibrary.wiley.com/doi/abs/10.1002/spe.4380151102" TargetMode="External"/><Relationship Id="rId1165" Type="http://schemas.openxmlformats.org/officeDocument/2006/relationships/hyperlink" Target="https://ieeexplore.ieee.org/document/4567957" TargetMode="External"/><Relationship Id="rId333" Type="http://schemas.openxmlformats.org/officeDocument/2006/relationships/hyperlink" Target="https://en.wikipedia.org/wiki/Conjugate_gradient_method" TargetMode="External"/><Relationship Id="rId575" Type="http://schemas.openxmlformats.org/officeDocument/2006/relationships/hyperlink" Target="https://link.springer.com/content/pdf/10.1007/3-540-58338-6_63.pdf" TargetMode="External"/><Relationship Id="rId1166" Type="http://schemas.openxmlformats.org/officeDocument/2006/relationships/hyperlink" Target="https://www.cs.drexel.edu/~amd435/courses/cs260/lectures/L-6_2-3_Trees.pdf" TargetMode="External"/><Relationship Id="rId332" Type="http://schemas.openxmlformats.org/officeDocument/2006/relationships/hyperlink" Target="https://nvlpubs.nist.gov/nistpubs/jres/049/jresv49n6p409_A1b.pdf" TargetMode="External"/><Relationship Id="rId574" Type="http://schemas.openxmlformats.org/officeDocument/2006/relationships/hyperlink" Target="https://link.springer.com/content/pdf/10.1007/3-540-58338-6_63.pdf" TargetMode="External"/><Relationship Id="rId1167" Type="http://schemas.openxmlformats.org/officeDocument/2006/relationships/hyperlink" Target="https://ieeexplore.ieee.org/document/4567957" TargetMode="External"/><Relationship Id="rId331" Type="http://schemas.openxmlformats.org/officeDocument/2006/relationships/hyperlink" Target="https://www.sciencedirect.com/science/article/abs/pii/S0167637704000409?via%3Dihub" TargetMode="External"/><Relationship Id="rId573" Type="http://schemas.openxmlformats.org/officeDocument/2006/relationships/hyperlink" Target="https://link.springer.com/article/10.1007/BF00264437" TargetMode="External"/><Relationship Id="rId1168" Type="http://schemas.openxmlformats.org/officeDocument/2006/relationships/hyperlink" Target="https://arxiv.org/abs/2202.08996" TargetMode="External"/><Relationship Id="rId370" Type="http://schemas.openxmlformats.org/officeDocument/2006/relationships/hyperlink" Target="https://link.springer.com/article/10.1007/BF02712873" TargetMode="External"/><Relationship Id="rId129" Type="http://schemas.openxmlformats.org/officeDocument/2006/relationships/hyperlink" Target="http://idm-lab.org/bib/abstracts/papers/aamas09d.pdf" TargetMode="External"/><Relationship Id="rId128" Type="http://schemas.openxmlformats.org/officeDocument/2006/relationships/hyperlink" Target="https://en.wikipedia.org/wiki/Bidirectional_search" TargetMode="External"/><Relationship Id="rId127" Type="http://schemas.openxmlformats.org/officeDocument/2006/relationships/hyperlink" Target="http://theory.stanford.edu/~amitp/GameProgramming/Variations.html" TargetMode="External"/><Relationship Id="rId369" Type="http://schemas.openxmlformats.org/officeDocument/2006/relationships/hyperlink" Target="https://link.springer.com/article/10.1007/BF02712873" TargetMode="External"/><Relationship Id="rId126" Type="http://schemas.openxmlformats.org/officeDocument/2006/relationships/hyperlink" Target="https://www.cs.princeton.edu/courses/archive/spr06/cos423/Handouts/EPP%20shortest%20path%20algorithms.pdf" TargetMode="External"/><Relationship Id="rId368" Type="http://schemas.openxmlformats.org/officeDocument/2006/relationships/hyperlink" Target="https://ecommons.cornell.edu/handle/1813/6417" TargetMode="External"/><Relationship Id="rId1190" Type="http://schemas.openxmlformats.org/officeDocument/2006/relationships/hyperlink" Target="https://link.springer.com/chapter/10.1007/3-540-44888-8_23" TargetMode="External"/><Relationship Id="rId1191" Type="http://schemas.openxmlformats.org/officeDocument/2006/relationships/hyperlink" Target="https://marcin-chwedczuk.github.io/iterative-solution-to-towers-of-hanoi-problem" TargetMode="External"/><Relationship Id="rId1192" Type="http://schemas.openxmlformats.org/officeDocument/2006/relationships/hyperlink" Target="https://en.wikipedia.org/wiki/Tower_of_Hanoi" TargetMode="External"/><Relationship Id="rId1193" Type="http://schemas.openxmlformats.org/officeDocument/2006/relationships/hyperlink" Target="https://en.wikipedia.org/wiki/Tower_of_Hanoi" TargetMode="External"/><Relationship Id="rId121" Type="http://schemas.openxmlformats.org/officeDocument/2006/relationships/hyperlink" Target="https://arxiv.org/abs/math/0506382" TargetMode="External"/><Relationship Id="rId363" Type="http://schemas.openxmlformats.org/officeDocument/2006/relationships/hyperlink" Target="https://dl.acm.org/citation.cfm?id=355766" TargetMode="External"/><Relationship Id="rId1194" Type="http://schemas.openxmlformats.org/officeDocument/2006/relationships/hyperlink" Target="https://en.wikipedia.org/wiki/Tower_of_Hanoi" TargetMode="External"/><Relationship Id="rId120" Type="http://schemas.openxmlformats.org/officeDocument/2006/relationships/hyperlink" Target="https://en.wikipedia.org/wiki/Crout_matrix_decomposition" TargetMode="External"/><Relationship Id="rId362" Type="http://schemas.openxmlformats.org/officeDocument/2006/relationships/hyperlink" Target="https://dl.acm.org/citation.cfm?id=355766" TargetMode="External"/><Relationship Id="rId1195" Type="http://schemas.openxmlformats.org/officeDocument/2006/relationships/hyperlink" Target="https://en.wikipedia.org/wiki/Tower_of_Hanoi" TargetMode="External"/><Relationship Id="rId361" Type="http://schemas.openxmlformats.org/officeDocument/2006/relationships/hyperlink" Target="https://www.sciencedirect.com/science/article/pii/0020019072900452?via%3Dihub" TargetMode="External"/><Relationship Id="rId1196" Type="http://schemas.openxmlformats.org/officeDocument/2006/relationships/hyperlink" Target="https://books.google.com/books/about/Topics_in_Graph_Theory.html?id=pSv3XotPCQgC" TargetMode="External"/><Relationship Id="rId360" Type="http://schemas.openxmlformats.org/officeDocument/2006/relationships/hyperlink" Target="https://link.springer.com/chapter/10.1007/978-1-4612-1098-6_3" TargetMode="External"/><Relationship Id="rId1197" Type="http://schemas.openxmlformats.org/officeDocument/2006/relationships/hyperlink" Target="http://bioinformaticsalgorithms.com/data/debugdatasets/replication/FrequentWordsProblem.pdf" TargetMode="External"/><Relationship Id="rId125" Type="http://schemas.openxmlformats.org/officeDocument/2006/relationships/hyperlink" Target="https://arxiv.org/pdf/1703.03868.pdf" TargetMode="External"/><Relationship Id="rId367" Type="http://schemas.openxmlformats.org/officeDocument/2006/relationships/hyperlink" Target="https://www.cs.princeton.edu/~chazelle/temp/451/451-2019/KirkSeidel.pdf" TargetMode="External"/><Relationship Id="rId1198" Type="http://schemas.openxmlformats.org/officeDocument/2006/relationships/hyperlink" Target="https://www.sciencedirect.com/science/article/pii/S0016003209000428" TargetMode="External"/><Relationship Id="rId124" Type="http://schemas.openxmlformats.org/officeDocument/2006/relationships/hyperlink" Target="https://www.cs.auckland.ac.nz/compsci767s2c/projectReportExamples.d/astarNilsson.pdf" TargetMode="External"/><Relationship Id="rId366" Type="http://schemas.openxmlformats.org/officeDocument/2006/relationships/hyperlink" Target="https://ecommons.cornell.edu/handle/1813/6417" TargetMode="External"/><Relationship Id="rId1199" Type="http://schemas.openxmlformats.org/officeDocument/2006/relationships/hyperlink" Target="https://en.wikipedia.org/wiki/Data_Encryption_Standard" TargetMode="External"/><Relationship Id="rId123" Type="http://schemas.openxmlformats.org/officeDocument/2006/relationships/hyperlink" Target="https://en.wikipedia.org/wiki/A*_search_algorithm:" TargetMode="External"/><Relationship Id="rId365" Type="http://schemas.openxmlformats.org/officeDocument/2006/relationships/hyperlink" Target="https://www.sciencedirect.com/science/article/pii/0020019079900723" TargetMode="External"/><Relationship Id="rId122" Type="http://schemas.openxmlformats.org/officeDocument/2006/relationships/hyperlink" Target="https://ieeexplore.ieee.org/document/4082128/" TargetMode="External"/><Relationship Id="rId364" Type="http://schemas.openxmlformats.org/officeDocument/2006/relationships/hyperlink" Target="https://dl.acm.org/citation.cfm?id=359430" TargetMode="External"/><Relationship Id="rId95" Type="http://schemas.openxmlformats.org/officeDocument/2006/relationships/hyperlink" Target="https://arxiv.org/abs/2202.08996" TargetMode="External"/><Relationship Id="rId94" Type="http://schemas.openxmlformats.org/officeDocument/2006/relationships/hyperlink" Target="https://simons.berkeley.edu/sites/default/files/docs/2438/slideslegall.pdf" TargetMode="External"/><Relationship Id="rId97" Type="http://schemas.openxmlformats.org/officeDocument/2006/relationships/hyperlink" Target="https://simons.berkeley.edu/sites/default/files/docs/2438/slideslegall.pdf" TargetMode="External"/><Relationship Id="rId96" Type="http://schemas.openxmlformats.org/officeDocument/2006/relationships/hyperlink" Target="https://arxiv.org/abs/1401.7714" TargetMode="External"/><Relationship Id="rId99" Type="http://schemas.openxmlformats.org/officeDocument/2006/relationships/hyperlink" Target="https://link.springer.com/article/10.1007/BF01931804" TargetMode="External"/><Relationship Id="rId98" Type="http://schemas.openxmlformats.org/officeDocument/2006/relationships/hyperlink" Target="https://en.wikipedia.org/wiki/Levinson_recursion" TargetMode="External"/><Relationship Id="rId91" Type="http://schemas.openxmlformats.org/officeDocument/2006/relationships/hyperlink" Target="https://simons.berkeley.edu/sites/default/files/docs/2438/slideslegall.pdf" TargetMode="External"/><Relationship Id="rId90" Type="http://schemas.openxmlformats.org/officeDocument/2006/relationships/hyperlink" Target="http://www.cs.umd.edu/~gasarch/TOPICS/ramsey/matrixmult.pdf" TargetMode="External"/><Relationship Id="rId93" Type="http://schemas.openxmlformats.org/officeDocument/2006/relationships/hyperlink" Target="http://theory.stanford.edu/~virgi/matrixmult-f.pdf" TargetMode="External"/><Relationship Id="rId92" Type="http://schemas.openxmlformats.org/officeDocument/2006/relationships/hyperlink" Target="https://arxiv.org/abs/2202.08996" TargetMode="External"/><Relationship Id="rId118" Type="http://schemas.openxmlformats.org/officeDocument/2006/relationships/hyperlink" Target="http://cs.brown.edu/research/pubs/pdfs/1995/Karger-1995-RLT.pdf" TargetMode="External"/><Relationship Id="rId117" Type="http://schemas.openxmlformats.org/officeDocument/2006/relationships/hyperlink" Target="http://cs.brown.edu/research/pubs/pdfs/1995/Karger-1995-RLT.pdf" TargetMode="External"/><Relationship Id="rId359" Type="http://schemas.openxmlformats.org/officeDocument/2006/relationships/hyperlink" Target="https://dl.acm.org/citation.cfm?id=72950" TargetMode="External"/><Relationship Id="rId116" Type="http://schemas.openxmlformats.org/officeDocument/2006/relationships/hyperlink" Target="http://cs.brown.edu/research/pubs/pdfs/1995/Karger-1995-RLT.pdf" TargetMode="External"/><Relationship Id="rId358" Type="http://schemas.openxmlformats.org/officeDocument/2006/relationships/hyperlink" Target="https://dl.acm.org/citation.cfm?id=304991" TargetMode="External"/><Relationship Id="rId115" Type="http://schemas.openxmlformats.org/officeDocument/2006/relationships/hyperlink" Target="https://dl.acm.org/citation.cfm?id=2791187" TargetMode="External"/><Relationship Id="rId357" Type="http://schemas.openxmlformats.org/officeDocument/2006/relationships/hyperlink" Target="https://dl.acm.org/citation.cfm?id=304991" TargetMode="External"/><Relationship Id="rId599" Type="http://schemas.openxmlformats.org/officeDocument/2006/relationships/hyperlink" Target="https://www.geeksforgeeks.org/finite-automata-algorithm-for-pattern-searching/" TargetMode="External"/><Relationship Id="rId1180" Type="http://schemas.openxmlformats.org/officeDocument/2006/relationships/hyperlink" Target="https://www.sciencedirect.com/science/article/pii/0167642389900397" TargetMode="External"/><Relationship Id="rId1181" Type="http://schemas.openxmlformats.org/officeDocument/2006/relationships/hyperlink" Target="http://hariharan-ramesh.com/ppts/turnpike.pdf" TargetMode="External"/><Relationship Id="rId119" Type="http://schemas.openxmlformats.org/officeDocument/2006/relationships/hyperlink" Target="https://www.geeksforgeeks.org/doolittle-algorithm-lu-decomposition/" TargetMode="External"/><Relationship Id="rId1182" Type="http://schemas.openxmlformats.org/officeDocument/2006/relationships/hyperlink" Target="https://web.northeastern.edu/seigen/11Magic/Books/Rouse%20Ball.pdf" TargetMode="External"/><Relationship Id="rId110" Type="http://schemas.openxmlformats.org/officeDocument/2006/relationships/hyperlink" Target="http://math.uaa.alaska.edu/~afkjm/cs351/handouts/bruteforce" TargetMode="External"/><Relationship Id="rId352" Type="http://schemas.openxmlformats.org/officeDocument/2006/relationships/hyperlink" Target="https://courses.cs.duke.edu/cps234/spring04/papers/NP82.pdf" TargetMode="External"/><Relationship Id="rId594" Type="http://schemas.openxmlformats.org/officeDocument/2006/relationships/hyperlink" Target="https://quantum-computing.ibm.com/composer/docs/iqx/guide/shors-algorithm" TargetMode="External"/><Relationship Id="rId1183" Type="http://schemas.openxmlformats.org/officeDocument/2006/relationships/hyperlink" Target="https://web.northeastern.edu/seigen/11Magic/Books/Rouse%20Ball.pdf" TargetMode="External"/><Relationship Id="rId351" Type="http://schemas.openxmlformats.org/officeDocument/2006/relationships/hyperlink" Target="https://dl.acm.org/doi/pdf/10.1145/358656.358681" TargetMode="External"/><Relationship Id="rId593" Type="http://schemas.openxmlformats.org/officeDocument/2006/relationships/hyperlink" Target="https://ieeexplore.ieee.org/document/365700/" TargetMode="External"/><Relationship Id="rId1184" Type="http://schemas.openxmlformats.org/officeDocument/2006/relationships/hyperlink" Target="https://dl.acm.org/citation.cfm?id=1243380" TargetMode="External"/><Relationship Id="rId350" Type="http://schemas.openxmlformats.org/officeDocument/2006/relationships/hyperlink" Target="https://pdfs.semanticscholar.org/a571/cc92218132a1b0e65c2adbf663c79d015737.pdf" TargetMode="External"/><Relationship Id="rId592" Type="http://schemas.openxmlformats.org/officeDocument/2006/relationships/hyperlink" Target="http://www.ams.org/notices/199612/pomerance.pdf" TargetMode="External"/><Relationship Id="rId1185" Type="http://schemas.openxmlformats.org/officeDocument/2006/relationships/hyperlink" Target="https://www.geeksforgeeks.org/n-queen-problem-backtracking-3/" TargetMode="External"/><Relationship Id="rId591" Type="http://schemas.openxmlformats.org/officeDocument/2006/relationships/hyperlink" Target="http://www.ams.org/notices/199612/pomerance.pdf" TargetMode="External"/><Relationship Id="rId1186" Type="http://schemas.openxmlformats.org/officeDocument/2006/relationships/hyperlink" Target="https://web.northeastern.edu/seigen/11Magic/Books/Rouse%20Ball.pdf" TargetMode="External"/><Relationship Id="rId114" Type="http://schemas.openxmlformats.org/officeDocument/2006/relationships/hyperlink" Target="https://dl.acm.org/doi/10.5555/2791171.2791187" TargetMode="External"/><Relationship Id="rId356" Type="http://schemas.openxmlformats.org/officeDocument/2006/relationships/hyperlink" Target="https://dl.acm.org/doi/pdf/10.1145/220279.220302" TargetMode="External"/><Relationship Id="rId598" Type="http://schemas.openxmlformats.org/officeDocument/2006/relationships/hyperlink" Target="http://citeseerx.ist.psu.edu/viewdoc/download?doi=10.1.1.100.7210&amp;rep=rep1&amp;type=pdf" TargetMode="External"/><Relationship Id="rId1187" Type="http://schemas.openxmlformats.org/officeDocument/2006/relationships/hyperlink" Target="https://web.northeastern.edu/seigen/11Magic/Books/Rouse%20Ball.pdf" TargetMode="External"/><Relationship Id="rId113" Type="http://schemas.openxmlformats.org/officeDocument/2006/relationships/hyperlink" Target="https://link.springer.com/chapter/10.1007/BFb0028279" TargetMode="External"/><Relationship Id="rId355" Type="http://schemas.openxmlformats.org/officeDocument/2006/relationships/hyperlink" Target="https://dl.acm.org/doi/pdf/10.1145/220279.220302" TargetMode="External"/><Relationship Id="rId597" Type="http://schemas.openxmlformats.org/officeDocument/2006/relationships/hyperlink" Target="http://monge.univ-mlv.fr/~mac/Articles-PDF/CP-1991-jacm.pdf" TargetMode="External"/><Relationship Id="rId1188" Type="http://schemas.openxmlformats.org/officeDocument/2006/relationships/hyperlink" Target="http://www.cs.cornell.edu/~rdz/Papers/RZ-IPL92.pdf" TargetMode="External"/><Relationship Id="rId112" Type="http://schemas.openxmlformats.org/officeDocument/2006/relationships/hyperlink" Target="https://dl.acm.org/doi/10.5555/2791171.2791187" TargetMode="External"/><Relationship Id="rId354" Type="http://schemas.openxmlformats.org/officeDocument/2006/relationships/hyperlink" Target="https://epubs.siam.org/doi/epdf/10.1137/S0097539797329373" TargetMode="External"/><Relationship Id="rId596" Type="http://schemas.openxmlformats.org/officeDocument/2006/relationships/hyperlink" Target="http://monge.univ-mlv.fr/~mac/Articles-PDF/CP-1991-jacm.pdf" TargetMode="External"/><Relationship Id="rId1189" Type="http://schemas.openxmlformats.org/officeDocument/2006/relationships/hyperlink" Target="http://www.cs.cornell.edu/~rdz/Papers/RZ-IPL92.pdf" TargetMode="External"/><Relationship Id="rId111" Type="http://schemas.openxmlformats.org/officeDocument/2006/relationships/hyperlink" Target="https://linkinghub.elsevier.com/retrieve/pii/0020019073900203" TargetMode="External"/><Relationship Id="rId353" Type="http://schemas.openxmlformats.org/officeDocument/2006/relationships/hyperlink" Target="https://epubs.siam.org/doi/abs/10.1137/S0097539797329373" TargetMode="External"/><Relationship Id="rId595" Type="http://schemas.openxmlformats.org/officeDocument/2006/relationships/hyperlink" Target="https://quantum-computing.ibm.com/composer/docs/iqx/guide/shors-algorithm" TargetMode="External"/><Relationship Id="rId1136" Type="http://schemas.openxmlformats.org/officeDocument/2006/relationships/hyperlink" Target="https://www.biorxiv.org/content/10.1101/124941v1.full" TargetMode="External"/><Relationship Id="rId1137" Type="http://schemas.openxmlformats.org/officeDocument/2006/relationships/hyperlink" Target="https://www.biorxiv.org/content/10.1101/522912v1.full.pdf" TargetMode="External"/><Relationship Id="rId1138" Type="http://schemas.openxmlformats.org/officeDocument/2006/relationships/hyperlink" Target="https://www.biorxiv.org/content/10.1101/216127v1" TargetMode="External"/><Relationship Id="rId1139" Type="http://schemas.openxmlformats.org/officeDocument/2006/relationships/hyperlink" Target="https://www.biorxiv.org/content/10.1101/216127v1" TargetMode="External"/><Relationship Id="rId305" Type="http://schemas.openxmlformats.org/officeDocument/2006/relationships/hyperlink" Target="https://core.ac.uk/download/pdf/81946904.pdf" TargetMode="External"/><Relationship Id="rId547" Type="http://schemas.openxmlformats.org/officeDocument/2006/relationships/hyperlink" Target="https://link.springer.com/chapter/10.1007/978-94-009-2794-0_11" TargetMode="External"/><Relationship Id="rId789" Type="http://schemas.openxmlformats.org/officeDocument/2006/relationships/hyperlink" Target="https://dl.acm.org/doi/10.1145/872726.806984" TargetMode="External"/><Relationship Id="rId304" Type="http://schemas.openxmlformats.org/officeDocument/2006/relationships/hyperlink" Target="https://www.sciencedirect.com/science/article/abs/pii/S037722179600269X" TargetMode="External"/><Relationship Id="rId546" Type="http://schemas.openxmlformats.org/officeDocument/2006/relationships/hyperlink" Target="https://en.wikipedia.org/wiki/Odd%E2%80%93even_sort" TargetMode="External"/><Relationship Id="rId788" Type="http://schemas.openxmlformats.org/officeDocument/2006/relationships/hyperlink" Target="https://static.googleusercontent.com/media/research.google.com/en//pubs/archive/40671.pdf" TargetMode="External"/><Relationship Id="rId303" Type="http://schemas.openxmlformats.org/officeDocument/2006/relationships/hyperlink" Target="https://www.scirp.org/(S(lz5mqp453edsnp55rrgjct55))/reference/ReferencesPapers.aspx?ReferenceID=1690549" TargetMode="External"/><Relationship Id="rId545" Type="http://schemas.openxmlformats.org/officeDocument/2006/relationships/hyperlink" Target="https://www.semanticscholar.org/paper/Parallel-Neighbor-Sort-(or-the-Glory-of-the-Habermann/bc7b6efb99aae6225239425747fd0169a51f30ce" TargetMode="External"/><Relationship Id="rId787" Type="http://schemas.openxmlformats.org/officeDocument/2006/relationships/hyperlink" Target="https://oertl.github.io/hyperloglog-sketch-estimation-paper/paper/paper.pdf" TargetMode="External"/><Relationship Id="rId302" Type="http://schemas.openxmlformats.org/officeDocument/2006/relationships/hyperlink" Target="https://www.sciencedirect.com/science/article/pii/0020025580900250" TargetMode="External"/><Relationship Id="rId544" Type="http://schemas.openxmlformats.org/officeDocument/2006/relationships/hyperlink" Target="https://pubmed.ncbi.nlm.nih.gov/24626234/" TargetMode="External"/><Relationship Id="rId786" Type="http://schemas.openxmlformats.org/officeDocument/2006/relationships/hyperlink" Target="http://algo.inria.fr/flajolet/Publications/FlFuGaMe07.pdf" TargetMode="External"/><Relationship Id="rId309" Type="http://schemas.openxmlformats.org/officeDocument/2006/relationships/hyperlink" Target="https://ieeexplore.ieee.org/document/63465" TargetMode="External"/><Relationship Id="rId308" Type="http://schemas.openxmlformats.org/officeDocument/2006/relationships/hyperlink" Target="https://www.researchgate.net/publication/38008130_A_Fast_and_Simple_Algorithm_for_the_Maximum_Flow_Problem" TargetMode="External"/><Relationship Id="rId307" Type="http://schemas.openxmlformats.org/officeDocument/2006/relationships/hyperlink" Target="https://www.cs.princeton.edu/courses/archive/fall03/cs528/handouts/a%20new%20approach.pdf" TargetMode="External"/><Relationship Id="rId549" Type="http://schemas.openxmlformats.org/officeDocument/2006/relationships/hyperlink" Target="http://citeseerx.ist.psu.edu/viewdoc/download?doi=10.1.1.56.222&amp;rep=rep1&amp;type=pdf" TargetMode="External"/><Relationship Id="rId306" Type="http://schemas.openxmlformats.org/officeDocument/2006/relationships/hyperlink" Target="https://www.sciencedirect.com/science/article/pii/0022000083900065" TargetMode="External"/><Relationship Id="rId548" Type="http://schemas.openxmlformats.org/officeDocument/2006/relationships/hyperlink" Target="https://en.wikipedia.org/wiki/Spaghetti_sort" TargetMode="External"/><Relationship Id="rId781" Type="http://schemas.openxmlformats.org/officeDocument/2006/relationships/hyperlink" Target="https://dl.acm.org/doi/10.1109/TIT.2002.808105" TargetMode="External"/><Relationship Id="rId780" Type="http://schemas.openxmlformats.org/officeDocument/2006/relationships/hyperlink" Target="https://web.eecs.umich.edu/~fessler/papers/files/jour/94/web/fessler-94-sag.pdf" TargetMode="External"/><Relationship Id="rId1130" Type="http://schemas.openxmlformats.org/officeDocument/2006/relationships/hyperlink" Target="https://www.sciencedirect.com/science/article/pii/S0304397599003333" TargetMode="External"/><Relationship Id="rId1131" Type="http://schemas.openxmlformats.org/officeDocument/2006/relationships/hyperlink" Target="https://www.biorxiv.org/content/10.1101/522912v1.full.pdf" TargetMode="External"/><Relationship Id="rId301" Type="http://schemas.openxmlformats.org/officeDocument/2006/relationships/hyperlink" Target="https://www.sciencedirect.com/science/article/pii/0020025580900250" TargetMode="External"/><Relationship Id="rId543" Type="http://schemas.openxmlformats.org/officeDocument/2006/relationships/hyperlink" Target="https://www.ncbi.nlm.nih.gov/pubmed/24626234" TargetMode="External"/><Relationship Id="rId785" Type="http://schemas.openxmlformats.org/officeDocument/2006/relationships/hyperlink" Target="http://algo.inria.fr/flajolet/Publications/DuFl03-LNCS.pdf" TargetMode="External"/><Relationship Id="rId1132" Type="http://schemas.openxmlformats.org/officeDocument/2006/relationships/hyperlink" Target="https://www.ncbi.nlm.nih.gov/pubmed/26589280" TargetMode="External"/><Relationship Id="rId300" Type="http://schemas.openxmlformats.org/officeDocument/2006/relationships/hyperlink" Target="https://www.sciencedirect.com/science/article/pii/0020025580900250" TargetMode="External"/><Relationship Id="rId542" Type="http://schemas.openxmlformats.org/officeDocument/2006/relationships/hyperlink" Target="http://ingmec.ual.es/~jlblanco/papers/blanco2013rba.pdf" TargetMode="External"/><Relationship Id="rId784" Type="http://schemas.openxmlformats.org/officeDocument/2006/relationships/hyperlink" Target="http://algo.inria.fr/flajolet/Publications/DuFl03-LNCS.pdf" TargetMode="External"/><Relationship Id="rId1133" Type="http://schemas.openxmlformats.org/officeDocument/2006/relationships/hyperlink" Target="https://www.biorxiv.org/content/10.1101/522912v1.full.pdf" TargetMode="External"/><Relationship Id="rId541" Type="http://schemas.openxmlformats.org/officeDocument/2006/relationships/hyperlink" Target="http://robots.stanford.edu/papers/montemerlo.fastslam-tr.pdf" TargetMode="External"/><Relationship Id="rId783" Type="http://schemas.openxmlformats.org/officeDocument/2006/relationships/hyperlink" Target="https://www.sciencedirect.com/science/article/pii/S0022000097915452" TargetMode="External"/><Relationship Id="rId1134" Type="http://schemas.openxmlformats.org/officeDocument/2006/relationships/hyperlink" Target="https://www.biorxiv.org/content/10.1101/124941v1.full" TargetMode="External"/><Relationship Id="rId540" Type="http://schemas.openxmlformats.org/officeDocument/2006/relationships/hyperlink" Target="http://robots.stanford.edu/papers/montemerlo.fastslam-tr.pdf" TargetMode="External"/><Relationship Id="rId782" Type="http://schemas.openxmlformats.org/officeDocument/2006/relationships/hyperlink" Target="http://algo.inria.fr/flajolet/Publications/src/FlMa85.pdf" TargetMode="External"/><Relationship Id="rId1135" Type="http://schemas.openxmlformats.org/officeDocument/2006/relationships/hyperlink" Target="https://www.biorxiv.org/content/10.1101/124941v1.full" TargetMode="External"/><Relationship Id="rId1125" Type="http://schemas.openxmlformats.org/officeDocument/2006/relationships/hyperlink" Target="https://reader.elsevier.com/reader/sd/pii/S0196677499910635?token=B149D19F22DC42C8DCC1DFAA76A22B88E61FC2018BF3ED1937F7C5951F9BD810C4726C3153D36F697AE499721F3422A1" TargetMode="External"/><Relationship Id="rId1126" Type="http://schemas.openxmlformats.org/officeDocument/2006/relationships/hyperlink" Target="https://www.sciencedirect.com/science/article/pii/S0304397599003333" TargetMode="External"/><Relationship Id="rId1127" Type="http://schemas.openxmlformats.org/officeDocument/2006/relationships/hyperlink" Target="https://www.biorxiv.org/content/10.1101/522912v1.full.pdf" TargetMode="External"/><Relationship Id="rId1128" Type="http://schemas.openxmlformats.org/officeDocument/2006/relationships/hyperlink" Target="https://www.sciencedirect.com/science/article/pii/S0304397599003333" TargetMode="External"/><Relationship Id="rId1129" Type="http://schemas.openxmlformats.org/officeDocument/2006/relationships/hyperlink" Target="https://reader.elsevier.com/reader/sd/pii/S0304397599003333?token=C0E6BDF7BA98CD5C338EDB86675CB3A29AF44F5B046E169EE0F115788255757C815F0F0307EAF080CDF9A9DE7AA37764" TargetMode="External"/><Relationship Id="rId536" Type="http://schemas.openxmlformats.org/officeDocument/2006/relationships/hyperlink" Target="https://www.edwardrosten.com/work/rosten_2006_machine.pdf" TargetMode="External"/><Relationship Id="rId778" Type="http://schemas.openxmlformats.org/officeDocument/2006/relationships/hyperlink" Target="https://www.jstor.org/stable/2337481" TargetMode="External"/><Relationship Id="rId535" Type="http://schemas.openxmlformats.org/officeDocument/2006/relationships/hyperlink" Target="https://www.cs.ubc.ca/~lowe/papers/ijcv04.pdf" TargetMode="External"/><Relationship Id="rId777" Type="http://schemas.openxmlformats.org/officeDocument/2006/relationships/hyperlink" Target="https://en.wikipedia.org/wiki/Newton%27s_methodhttps://web.mit.edu/10.001/Web/Course_Notes/NLAE/node6.html" TargetMode="External"/><Relationship Id="rId534" Type="http://schemas.openxmlformats.org/officeDocument/2006/relationships/hyperlink" Target="https://www.robots.ox.ac.uk/~vgg/research/affine/det_eval_files/mikolajczyk_pami2004.pdf" TargetMode="External"/><Relationship Id="rId776" Type="http://schemas.openxmlformats.org/officeDocument/2006/relationships/hyperlink" Target="https://www.jstor.org/stable/2984875" TargetMode="External"/><Relationship Id="rId533" Type="http://schemas.openxmlformats.org/officeDocument/2006/relationships/hyperlink" Target="https://link.springer.com/article/10.1023/A:1008045108935" TargetMode="External"/><Relationship Id="rId775" Type="http://schemas.openxmlformats.org/officeDocument/2006/relationships/hyperlink" Target="https://www.win.tue.nl/~mvdbrand/courses/seminar/0809/papers/ag-genesis.pdf" TargetMode="External"/><Relationship Id="rId539" Type="http://schemas.openxmlformats.org/officeDocument/2006/relationships/hyperlink" Target="https://dl.acm.org/doi/abs/10.1145/882262.882264" TargetMode="External"/><Relationship Id="rId538" Type="http://schemas.openxmlformats.org/officeDocument/2006/relationships/hyperlink" Target="http://citeseerx.ist.psu.edu/viewdoc/summary?doi=10.1.1.471.6845" TargetMode="External"/><Relationship Id="rId537" Type="http://schemas.openxmlformats.org/officeDocument/2006/relationships/hyperlink" Target="https://www.mitpressjournals.org/doi/abs/10.1162/evco.2008.16.4.483?journalCode=evco&amp;mobileUi=0&amp;" TargetMode="External"/><Relationship Id="rId779" Type="http://schemas.openxmlformats.org/officeDocument/2006/relationships/hyperlink" Target="https://arxiv.org/abs/1709.06970" TargetMode="External"/><Relationship Id="rId770" Type="http://schemas.openxmlformats.org/officeDocument/2006/relationships/hyperlink" Target="https://www.jstor.org/stable/2001916" TargetMode="External"/><Relationship Id="rId1120" Type="http://schemas.openxmlformats.org/officeDocument/2006/relationships/hyperlink" Target="https://www.math.leidenuniv.nl/~hwl/PUBLICATIONS/1982f/art.pdf" TargetMode="External"/><Relationship Id="rId532" Type="http://schemas.openxmlformats.org/officeDocument/2006/relationships/hyperlink" Target="https://www.osapublishing.org/josaa/abstract.cfm?uri=josaa-5-7-1136" TargetMode="External"/><Relationship Id="rId774" Type="http://schemas.openxmlformats.org/officeDocument/2006/relationships/hyperlink" Target="https://www.cs.tufts.edu/~nr/cs257/archive/don-knuth/knuth-bendix.pdf" TargetMode="External"/><Relationship Id="rId1121" Type="http://schemas.openxmlformats.org/officeDocument/2006/relationships/hyperlink" Target="https://www.math.leidenuniv.nl/~hwl/PUBLICATIONS/1982f/art.pdf" TargetMode="External"/><Relationship Id="rId531" Type="http://schemas.openxmlformats.org/officeDocument/2006/relationships/hyperlink" Target="https://www.ijedr.org/papers/IJEDR1404047.pdf" TargetMode="External"/><Relationship Id="rId773" Type="http://schemas.openxmlformats.org/officeDocument/2006/relationships/hyperlink" Target="https://www.cambridge.org/core/journals/mathematical-proceedings-of-the-cambridge-philosophical-society/article/coset-enumeration-on-digital-computers/047323FB9415ACF3466E627590ABB790" TargetMode="External"/><Relationship Id="rId1122" Type="http://schemas.openxmlformats.org/officeDocument/2006/relationships/hyperlink" Target="https://www.ams.org/journals/mcom/1989-53-188/S0025-5718-1989-0979934-9/S0025-5718-1989-0979934-9.pdf" TargetMode="External"/><Relationship Id="rId530" Type="http://schemas.openxmlformats.org/officeDocument/2006/relationships/hyperlink" Target="https://www.ri.cmu.edu/pub_files/pub4/moravec_hans_1980_1/moravec_hans_1980_1.pdf" TargetMode="External"/><Relationship Id="rId772" Type="http://schemas.openxmlformats.org/officeDocument/2006/relationships/hyperlink" Target="https://www.cambridge.org/core/services/aop-cambridge-core/content/view/0306574AD958F694A0A8339338348AA1/S0013091500008221a.pdf/practical_method_for_enumerating_cosets_of_a_finite_abstract_group.pdf" TargetMode="External"/><Relationship Id="rId1123" Type="http://schemas.openxmlformats.org/officeDocument/2006/relationships/hyperlink" Target="https://www.ams.org/journals/mcom/1999-68-225/S0025-5718-99-00995-3/S0025-5718-99-00995-3.pdf" TargetMode="External"/><Relationship Id="rId771" Type="http://schemas.openxmlformats.org/officeDocument/2006/relationships/hyperlink" Target="https://www.cambridge.org/core/journals/proceedings-of-the-edinburgh-mathematical-society/article/practical-method-for-enumerating-cosets-of-a-finite-abstract-group/0306574AD958F694A0A8339338348AA1" TargetMode="External"/><Relationship Id="rId1124" Type="http://schemas.openxmlformats.org/officeDocument/2006/relationships/hyperlink" Target="https://link.springer.com/chapter/10.1007/3-540-63307-3_56" TargetMode="External"/><Relationship Id="rId1158" Type="http://schemas.openxmlformats.org/officeDocument/2006/relationships/hyperlink" Target="https://www.ams.org/mcom/1978-32-143/S0025-5718-1978-0491431-9/S0025-5718-1978-0491431-9.pdf" TargetMode="External"/><Relationship Id="rId1159" Type="http://schemas.openxmlformats.org/officeDocument/2006/relationships/hyperlink" Target="https://en.wikipedia.org/wiki/Pollard%27s_kangaroo_algorithm" TargetMode="External"/><Relationship Id="rId327" Type="http://schemas.openxmlformats.org/officeDocument/2006/relationships/hyperlink" Target="https://link.springer.com/chapter/10.1007/3-540-57899-4_51" TargetMode="External"/><Relationship Id="rId569" Type="http://schemas.openxmlformats.org/officeDocument/2006/relationships/hyperlink" Target="https://link.springer.com/content/pdf/10.1007/BF01840365.pdf" TargetMode="External"/><Relationship Id="rId326" Type="http://schemas.openxmlformats.org/officeDocument/2006/relationships/hyperlink" Target="https://www.sciencedirect.com/science/article/pii/002001907690065X?via%3Dihub" TargetMode="External"/><Relationship Id="rId568" Type="http://schemas.openxmlformats.org/officeDocument/2006/relationships/hyperlink" Target="https://link.springer.com/article/10.1007/BF01840365" TargetMode="External"/><Relationship Id="rId325" Type="http://schemas.openxmlformats.org/officeDocument/2006/relationships/hyperlink" Target="https://dl.acm.org/citation.cfm?id=2488705" TargetMode="External"/><Relationship Id="rId567" Type="http://schemas.openxmlformats.org/officeDocument/2006/relationships/hyperlink" Target="https://www.sciencedirect.com/science/article/pii/0022000084900254" TargetMode="External"/><Relationship Id="rId324" Type="http://schemas.openxmlformats.org/officeDocument/2006/relationships/hyperlink" Target="https://dl.acm.org/citation.cfm?id=2488705" TargetMode="External"/><Relationship Id="rId566" Type="http://schemas.openxmlformats.org/officeDocument/2006/relationships/hyperlink" Target="https://www.sciencedirect.com/science/article/pii/0022000084900254" TargetMode="External"/><Relationship Id="rId329" Type="http://schemas.openxmlformats.org/officeDocument/2006/relationships/hyperlink" Target="https://www.sciencedirect.com/science/article/pii/S0196677404001117?via%3Dihub" TargetMode="External"/><Relationship Id="rId328" Type="http://schemas.openxmlformats.org/officeDocument/2006/relationships/hyperlink" Target="https://ieeexplore.ieee.org/stamp/stamp.jsp?arnumber=492575" TargetMode="External"/><Relationship Id="rId561" Type="http://schemas.openxmlformats.org/officeDocument/2006/relationships/hyperlink" Target="https://link.springer.com/chapter/10.1007/3-540-60044-2_53" TargetMode="External"/><Relationship Id="rId1150" Type="http://schemas.openxmlformats.org/officeDocument/2006/relationships/hyperlink" Target="https://en.wikipedia.org/wiki/Baby-step_giant-step" TargetMode="External"/><Relationship Id="rId560" Type="http://schemas.openxmlformats.org/officeDocument/2006/relationships/hyperlink" Target="https://link.springer.com/chapter/10.1007/3-540-60044-2_53" TargetMode="External"/><Relationship Id="rId1151" Type="http://schemas.openxmlformats.org/officeDocument/2006/relationships/hyperlink" Target="https://www.sciencedirect.com/science/article/pii/S0890540198927614" TargetMode="External"/><Relationship Id="rId1152" Type="http://schemas.openxmlformats.org/officeDocument/2006/relationships/hyperlink" Target="https://en.wikipedia.org/wiki/Index_calculus_algorithm" TargetMode="External"/><Relationship Id="rId1153" Type="http://schemas.openxmlformats.org/officeDocument/2006/relationships/hyperlink" Target="http://www.ams.org/notices/199612/pomerance.pdf" TargetMode="External"/><Relationship Id="rId323" Type="http://schemas.openxmlformats.org/officeDocument/2006/relationships/hyperlink" Target="https://dl.acm.org/citation.cfm?id=290181" TargetMode="External"/><Relationship Id="rId565" Type="http://schemas.openxmlformats.org/officeDocument/2006/relationships/hyperlink" Target="https://link.springer.com/content/pdf/10.1007/BF01840365.pdf" TargetMode="External"/><Relationship Id="rId1154" Type="http://schemas.openxmlformats.org/officeDocument/2006/relationships/hyperlink" Target="http://www.ams.org/notices/199612/pomerance.pdf" TargetMode="External"/><Relationship Id="rId322" Type="http://schemas.openxmlformats.org/officeDocument/2006/relationships/hyperlink" Target="https://dl.acm.org/citation.cfm?id=290181" TargetMode="External"/><Relationship Id="rId564" Type="http://schemas.openxmlformats.org/officeDocument/2006/relationships/hyperlink" Target="https://dl.acm.org/citation.cfm?id=322044" TargetMode="External"/><Relationship Id="rId1155" Type="http://schemas.openxmlformats.org/officeDocument/2006/relationships/hyperlink" Target="https://core.ac.uk/download/pdf/15590206.pdf" TargetMode="External"/><Relationship Id="rId321" Type="http://schemas.openxmlformats.org/officeDocument/2006/relationships/hyperlink" Target="https://dl.acm.org/citation.cfm?id=290181" TargetMode="External"/><Relationship Id="rId563" Type="http://schemas.openxmlformats.org/officeDocument/2006/relationships/hyperlink" Target="https://link.springer.com/chapter/10.1007/3-540-60044-2_53" TargetMode="External"/><Relationship Id="rId1156" Type="http://schemas.openxmlformats.org/officeDocument/2006/relationships/hyperlink" Target="https://dl.acm.org/citation.cfm?id=2269283" TargetMode="External"/><Relationship Id="rId320" Type="http://schemas.openxmlformats.org/officeDocument/2006/relationships/hyperlink" Target="https://dl.acm.org/citation.cfm?id=290181" TargetMode="External"/><Relationship Id="rId562" Type="http://schemas.openxmlformats.org/officeDocument/2006/relationships/hyperlink" Target="https://link.springer.com/chapter/10.1007/3-540-60044-2_53" TargetMode="External"/><Relationship Id="rId1157" Type="http://schemas.openxmlformats.org/officeDocument/2006/relationships/hyperlink" Target="https://www.ams.org/mcom/1978-32-143/S0025-5718-1978-0491431-9/S0025-5718-1978-0491431-9.pdf" TargetMode="External"/><Relationship Id="rId1147" Type="http://schemas.openxmlformats.org/officeDocument/2006/relationships/hyperlink" Target="https://www.ncbi.nlm.nih.gov/pubmed/30851095" TargetMode="External"/><Relationship Id="rId1148" Type="http://schemas.openxmlformats.org/officeDocument/2006/relationships/hyperlink" Target="https://en.wikipedia.org/wiki/Discrete_logarithm" TargetMode="External"/><Relationship Id="rId1149" Type="http://schemas.openxmlformats.org/officeDocument/2006/relationships/hyperlink" Target="https://doi.org/10.1090/pspum/020" TargetMode="External"/><Relationship Id="rId316" Type="http://schemas.openxmlformats.org/officeDocument/2006/relationships/hyperlink" Target="https://dl.acm.org/citation.cfm?id=139438" TargetMode="External"/><Relationship Id="rId558" Type="http://schemas.openxmlformats.org/officeDocument/2006/relationships/hyperlink" Target="https://dl.acm.org/citation.cfm?id=74702" TargetMode="External"/><Relationship Id="rId315" Type="http://schemas.openxmlformats.org/officeDocument/2006/relationships/hyperlink" Target="https://www.sciencedirect.com/science/article/pii/002001909090024R" TargetMode="External"/><Relationship Id="rId557" Type="http://schemas.openxmlformats.org/officeDocument/2006/relationships/hyperlink" Target="https://dl.acm.org/doi/10.1145/74697.74702" TargetMode="External"/><Relationship Id="rId799" Type="http://schemas.openxmlformats.org/officeDocument/2006/relationships/hyperlink" Target="https://academic.oup.com/comjnl/article/24/2/162/338193" TargetMode="External"/><Relationship Id="rId314" Type="http://schemas.openxmlformats.org/officeDocument/2006/relationships/hyperlink" Target="https://www.sciencedirect.com/science/article/pii/002001909090024R" TargetMode="External"/><Relationship Id="rId556" Type="http://schemas.openxmlformats.org/officeDocument/2006/relationships/hyperlink" Target="https://link.springer.com/article/10.1007/BF01840365" TargetMode="External"/><Relationship Id="rId798" Type="http://schemas.openxmlformats.org/officeDocument/2006/relationships/hyperlink" Target="https://academic.oup.com/comjnl/article/24/2/167/338200" TargetMode="External"/><Relationship Id="rId313" Type="http://schemas.openxmlformats.org/officeDocument/2006/relationships/hyperlink" Target="https://link.springer.com/chapter/10.1007/BFb0032035" TargetMode="External"/><Relationship Id="rId555" Type="http://schemas.openxmlformats.org/officeDocument/2006/relationships/hyperlink" Target="https://link.springer.com/article/10.1007/BF01840365" TargetMode="External"/><Relationship Id="rId797" Type="http://schemas.openxmlformats.org/officeDocument/2006/relationships/hyperlink" Target="https://ieeexplore.ieee.org/document/1094577/" TargetMode="External"/><Relationship Id="rId319" Type="http://schemas.openxmlformats.org/officeDocument/2006/relationships/hyperlink" Target="https://dl.acm.org/citation.cfm?id=167201" TargetMode="External"/><Relationship Id="rId318" Type="http://schemas.openxmlformats.org/officeDocument/2006/relationships/hyperlink" Target="https://dl.acm.org/citation.cfm?id=167201" TargetMode="External"/><Relationship Id="rId317" Type="http://schemas.openxmlformats.org/officeDocument/2006/relationships/hyperlink" Target="https://dl.acm.org/citation.cfm?id=139438" TargetMode="External"/><Relationship Id="rId559" Type="http://schemas.openxmlformats.org/officeDocument/2006/relationships/hyperlink" Target="https://dl.acm.org/doi/10.1145/74697.74702" TargetMode="External"/><Relationship Id="rId550" Type="http://schemas.openxmlformats.org/officeDocument/2006/relationships/hyperlink" Target="https://epubs.siam.org/doi/abs/10.1137/0225039" TargetMode="External"/><Relationship Id="rId792" Type="http://schemas.openxmlformats.org/officeDocument/2006/relationships/hyperlink" Target="https://onlinelibrary.wiley.com/doi/10.1002/(SICI)1097-024X(199608)26:8%3C929::AID-SPE40%3E3.0.CO;2-T" TargetMode="External"/><Relationship Id="rId791" Type="http://schemas.openxmlformats.org/officeDocument/2006/relationships/hyperlink" Target="http://web.cs.ucla.edu/~palsberg/course/cs132/linearscan.pdf" TargetMode="External"/><Relationship Id="rId1140" Type="http://schemas.openxmlformats.org/officeDocument/2006/relationships/hyperlink" Target="https://www.biorxiv.org/content/10.1101/216127v1" TargetMode="External"/><Relationship Id="rId790" Type="http://schemas.openxmlformats.org/officeDocument/2006/relationships/hyperlink" Target="https://dl.acm.org/doi/10.1145/502874.502896" TargetMode="External"/><Relationship Id="rId1141" Type="http://schemas.openxmlformats.org/officeDocument/2006/relationships/hyperlink" Target="https://www.biorxiv.org/content/10.1101/522912v1.full.pdf" TargetMode="External"/><Relationship Id="rId1142" Type="http://schemas.openxmlformats.org/officeDocument/2006/relationships/hyperlink" Target="https://www.biorxiv.org/content/10.1101/522912v1.full.pdf" TargetMode="External"/><Relationship Id="rId312" Type="http://schemas.openxmlformats.org/officeDocument/2006/relationships/hyperlink" Target="https://link.springer.com/chapter/10.1007/BFb0032035" TargetMode="External"/><Relationship Id="rId554" Type="http://schemas.openxmlformats.org/officeDocument/2006/relationships/hyperlink" Target="https://dl.acm.org/doi/10.1145/74697.74702" TargetMode="External"/><Relationship Id="rId796" Type="http://schemas.openxmlformats.org/officeDocument/2006/relationships/hyperlink" Target="https://www.wias-berlin.de/people/si/course/files/Fortune87-SweepLine-Voronoi.pdf" TargetMode="External"/><Relationship Id="rId1143" Type="http://schemas.openxmlformats.org/officeDocument/2006/relationships/hyperlink" Target="https://www.biorxiv.org/content/10.1101/522912v1.full.pdf" TargetMode="External"/><Relationship Id="rId311" Type="http://schemas.openxmlformats.org/officeDocument/2006/relationships/hyperlink" Target="https://ieeexplore.ieee.org/document/63465" TargetMode="External"/><Relationship Id="rId553" Type="http://schemas.openxmlformats.org/officeDocument/2006/relationships/hyperlink" Target="https://www.sciencedirect.com/science/article/pii/0022000084900254" TargetMode="External"/><Relationship Id="rId795" Type="http://schemas.openxmlformats.org/officeDocument/2006/relationships/hyperlink" Target="http://www.wias-berlin.de/people/si/course/files/Fortune87-SweepLine-Voronoi.pdf" TargetMode="External"/><Relationship Id="rId1144" Type="http://schemas.openxmlformats.org/officeDocument/2006/relationships/hyperlink" Target="https://www.biorxiv.org/content/10.1101/522912v1.full.pdf" TargetMode="External"/><Relationship Id="rId310" Type="http://schemas.openxmlformats.org/officeDocument/2006/relationships/hyperlink" Target="https://ieeexplore.ieee.org/document/63465" TargetMode="External"/><Relationship Id="rId552" Type="http://schemas.openxmlformats.org/officeDocument/2006/relationships/hyperlink" Target="https://www.sciencedirect.com/science/article/pii/0022000084900254" TargetMode="External"/><Relationship Id="rId794" Type="http://schemas.openxmlformats.org/officeDocument/2006/relationships/hyperlink" Target="https://dl.acm.org/doi/10.5555/290940.291002" TargetMode="External"/><Relationship Id="rId1145" Type="http://schemas.openxmlformats.org/officeDocument/2006/relationships/hyperlink" Target="https://www.biorxiv.org/content/10.1101/522912v1.full.pdf" TargetMode="External"/><Relationship Id="rId551" Type="http://schemas.openxmlformats.org/officeDocument/2006/relationships/hyperlink" Target="https://citeseerx.ist.psu.edu/viewdoc/download?doi=10.1.1.54.9426&amp;rep=rep1&amp;type=pdf" TargetMode="External"/><Relationship Id="rId793" Type="http://schemas.openxmlformats.org/officeDocument/2006/relationships/hyperlink" Target="https://dl.acm.org/doi/10.5555/290940.291002" TargetMode="External"/><Relationship Id="rId1146" Type="http://schemas.openxmlformats.org/officeDocument/2006/relationships/hyperlink" Target="https://www.ncbi.nlm.nih.gov/pubmed/30851095" TargetMode="External"/><Relationship Id="rId297" Type="http://schemas.openxmlformats.org/officeDocument/2006/relationships/hyperlink" Target="https://dl.acm.org/doi/10.1145/74697.74702" TargetMode="External"/><Relationship Id="rId296" Type="http://schemas.openxmlformats.org/officeDocument/2006/relationships/hyperlink" Target="http://www.cs.ust.hk/mjg_lib/bibs/DPSu/DPSu.Files/0213017.pdf" TargetMode="External"/><Relationship Id="rId295" Type="http://schemas.openxmlformats.org/officeDocument/2006/relationships/hyperlink" Target="https://doi.org/10.1137/0211028" TargetMode="External"/><Relationship Id="rId294" Type="http://schemas.openxmlformats.org/officeDocument/2006/relationships/hyperlink" Target="https://en.wikipedia.org/wiki/Selection_algorithm" TargetMode="External"/><Relationship Id="rId299" Type="http://schemas.openxmlformats.org/officeDocument/2006/relationships/hyperlink" Target="https://cse.hkust.edu.hk/mjg_lib/bibs/DPSu/DPSu.Files/HuSz77.pdf" TargetMode="External"/><Relationship Id="rId298" Type="http://schemas.openxmlformats.org/officeDocument/2006/relationships/hyperlink" Target="http://www.cs.ust.hk/mjg_lib/bibs/DPSu/DPSu.Files/HuSz77.pdf" TargetMode="External"/><Relationship Id="rId271" Type="http://schemas.openxmlformats.org/officeDocument/2006/relationships/hyperlink" Target="https://academic.oup.com/comjnl/article/5/1/10/395338?login=true" TargetMode="External"/><Relationship Id="rId270" Type="http://schemas.openxmlformats.org/officeDocument/2006/relationships/hyperlink" Target="https://apps.dtic.mil/dtic/tr/fulltext/u2/740110.pdf" TargetMode="External"/><Relationship Id="rId269" Type="http://schemas.openxmlformats.org/officeDocument/2006/relationships/hyperlink" Target="https://academic.oup.com/comjnl/article/5/1/10/395338?login=true" TargetMode="External"/><Relationship Id="rId264" Type="http://schemas.openxmlformats.org/officeDocument/2006/relationships/hyperlink" Target="https://www.sciencedirect.com/science/article/pii/S0890540185710498" TargetMode="External"/><Relationship Id="rId263" Type="http://schemas.openxmlformats.org/officeDocument/2006/relationships/hyperlink" Target="https://www.sciencedirect.com/science/article/pii/S0890540185710498" TargetMode="External"/><Relationship Id="rId262" Type="http://schemas.openxmlformats.org/officeDocument/2006/relationships/hyperlink" Target="https://www.researchgate.net/publication/221426668_Improved_Exact_Algorithms_for_Counting_3-_and_4-Colorings" TargetMode="External"/><Relationship Id="rId261" Type="http://schemas.openxmlformats.org/officeDocument/2006/relationships/hyperlink" Target="https://link.springer.com/chapter/10.1007/978-3-540-73545-8_9" TargetMode="External"/><Relationship Id="rId268" Type="http://schemas.openxmlformats.org/officeDocument/2006/relationships/hyperlink" Target="https://link.springer.com/chapter/10.1007/978-1-349-08147-9_4" TargetMode="External"/><Relationship Id="rId267" Type="http://schemas.openxmlformats.org/officeDocument/2006/relationships/hyperlink" Target="https://en.wikipedia.org/wiki/Bitap_algorithm" TargetMode="External"/><Relationship Id="rId266" Type="http://schemas.openxmlformats.org/officeDocument/2006/relationships/hyperlink" Target="https://www.ams.org/journals/mcom/1974-28-125/S0025-5718-1974-0331751-8/" TargetMode="External"/><Relationship Id="rId265" Type="http://schemas.openxmlformats.org/officeDocument/2006/relationships/hyperlink" Target="https://dl.acm.org/citation.cfm?id=248979" TargetMode="External"/><Relationship Id="rId260" Type="http://schemas.openxmlformats.org/officeDocument/2006/relationships/hyperlink" Target="https://www.sciencedirect.com/science/article/pii/0012365X89902148" TargetMode="External"/><Relationship Id="rId259" Type="http://schemas.openxmlformats.org/officeDocument/2006/relationships/hyperlink" Target="https://papers.nips.cc/paper/1716-bayesian-map-learning-in-dynamic-environments.pdf" TargetMode="External"/><Relationship Id="rId258" Type="http://schemas.openxmlformats.org/officeDocument/2006/relationships/hyperlink" Target="https://citeseerx.ist.psu.edu/viewdoc/download?doi=10.1.1.206.999&amp;rep=rep1&amp;type=pdf" TargetMode="External"/><Relationship Id="rId253" Type="http://schemas.openxmlformats.org/officeDocument/2006/relationships/hyperlink" Target="https://dl.acm.org/doi/abs/10.1145/383259.383295" TargetMode="External"/><Relationship Id="rId495" Type="http://schemas.openxmlformats.org/officeDocument/2006/relationships/hyperlink" Target="https://dl.acm.org/doi/abs/10.1145/58564.59295" TargetMode="External"/><Relationship Id="rId252" Type="http://schemas.openxmlformats.org/officeDocument/2006/relationships/hyperlink" Target="https://ieeexplore.ieee.org/abstract/document/790383" TargetMode="External"/><Relationship Id="rId494" Type="http://schemas.openxmlformats.org/officeDocument/2006/relationships/hyperlink" Target="https://citeseerx.ist.psu.edu/viewdoc/download?doi=10.1.1.135.825&amp;rep=rep1&amp;type=pdf" TargetMode="External"/><Relationship Id="rId251" Type="http://schemas.openxmlformats.org/officeDocument/2006/relationships/hyperlink" Target="https://www.ncbi.nlm.nih.gov/pmc/articles/PMC2966288/" TargetMode="External"/><Relationship Id="rId493" Type="http://schemas.openxmlformats.org/officeDocument/2006/relationships/hyperlink" Target="https://cseweb.ucsd.edu/classes/wi09/cse223a/p145-maekawa.pdf" TargetMode="External"/><Relationship Id="rId250" Type="http://schemas.openxmlformats.org/officeDocument/2006/relationships/hyperlink" Target="https://www.ncbi.nlm.nih.gov/pubmed/9788350" TargetMode="External"/><Relationship Id="rId492" Type="http://schemas.openxmlformats.org/officeDocument/2006/relationships/hyperlink" Target="https://link.springer.com/content/pdf/10.1007/b101206.pdf" TargetMode="External"/><Relationship Id="rId257" Type="http://schemas.openxmlformats.org/officeDocument/2006/relationships/hyperlink" Target="https://www.seas.harvard.edu/courses/cs281/papers/unscented.pdf" TargetMode="External"/><Relationship Id="rId499" Type="http://schemas.openxmlformats.org/officeDocument/2006/relationships/hyperlink" Target="https://www.cs.drexel.edu/~david/Classes/Papers/p443-newell.pdf" TargetMode="External"/><Relationship Id="rId256" Type="http://schemas.openxmlformats.org/officeDocument/2006/relationships/hyperlink" Target="http://ais.informatik.uni-freiburg.de/teaching/ss12/robotics/slides/12-slam.pdf" TargetMode="External"/><Relationship Id="rId498" Type="http://schemas.openxmlformats.org/officeDocument/2006/relationships/hyperlink" Target="https://citeseerx.ist.psu.edu/viewdoc/download?doi=10.1.1.135.825&amp;rep=rep1&amp;type=pdf" TargetMode="External"/><Relationship Id="rId255" Type="http://schemas.openxmlformats.org/officeDocument/2006/relationships/hyperlink" Target="https://dl.acm.org/doi/abs/10.1145/383259.383296" TargetMode="External"/><Relationship Id="rId497" Type="http://schemas.openxmlformats.org/officeDocument/2006/relationships/hyperlink" Target="https://cse.iitkgp.ac.in/~agupta/distsys/Mutex-SuzukiKasami.pdf" TargetMode="External"/><Relationship Id="rId254" Type="http://schemas.openxmlformats.org/officeDocument/2006/relationships/hyperlink" Target="https://ieeexplore.ieee.org/abstract/document/679446" TargetMode="External"/><Relationship Id="rId496" Type="http://schemas.openxmlformats.org/officeDocument/2006/relationships/hyperlink" Target="https://citeseerx.ist.psu.edu/viewdoc/download?doi=10.1.1.135.825&amp;rep=rep1&amp;type=pdf" TargetMode="External"/><Relationship Id="rId293" Type="http://schemas.openxmlformats.org/officeDocument/2006/relationships/hyperlink" Target="https://www.semanticscholar.org/paper/The-Spreadsort-High-performance-General-case-Ross/41f5b49e9843b2d98b6b22a84924dae5761e6e52" TargetMode="External"/><Relationship Id="rId292" Type="http://schemas.openxmlformats.org/officeDocument/2006/relationships/hyperlink" Target="https://www.semanticscholar.org/paper/The-Spreadsort-High-performance-General-case-Ross/41f5b49e9843b2d98b6b22a84924dae5761e6e52" TargetMode="External"/><Relationship Id="rId291" Type="http://schemas.openxmlformats.org/officeDocument/2006/relationships/hyperlink" Target="https://dl.acm.org/citation.cfm?doid=1005813.1041517" TargetMode="External"/><Relationship Id="rId290" Type="http://schemas.openxmlformats.org/officeDocument/2006/relationships/hyperlink" Target="https://web.archive.org/web/20170809110409/https://www.cs.auckland.ac.nz/~jaru003/research/publications/journals/beadsort.pdf" TargetMode="External"/><Relationship Id="rId286" Type="http://schemas.openxmlformats.org/officeDocument/2006/relationships/hyperlink" Target="https://www.sciencedirect.com/science/article/pii/S0196677402912113" TargetMode="External"/><Relationship Id="rId285" Type="http://schemas.openxmlformats.org/officeDocument/2006/relationships/hyperlink" Target="https://epubs.siam.org/doi/abs/10.1137/0218014" TargetMode="External"/><Relationship Id="rId284" Type="http://schemas.openxmlformats.org/officeDocument/2006/relationships/hyperlink" Target="https://en.wikipedia.org/wiki/Shellsort" TargetMode="External"/><Relationship Id="rId283" Type="http://schemas.openxmlformats.org/officeDocument/2006/relationships/hyperlink" Target="https://www.sciencedirect.com/science/article/pii/0196677486900015?via%3Dihub" TargetMode="External"/><Relationship Id="rId289" Type="http://schemas.openxmlformats.org/officeDocument/2006/relationships/hyperlink" Target="http://www.neubert.net/FSOIntro.html" TargetMode="External"/><Relationship Id="rId288" Type="http://schemas.openxmlformats.org/officeDocument/2006/relationships/hyperlink" Target="http://www.neubert.net/FSOIntro.html" TargetMode="External"/><Relationship Id="rId287" Type="http://schemas.openxmlformats.org/officeDocument/2006/relationships/hyperlink" Target="https://www.sciencedirect.com/science/article/pii/S0196677402912113?via%3Dihub" TargetMode="External"/><Relationship Id="rId282" Type="http://schemas.openxmlformats.org/officeDocument/2006/relationships/hyperlink" Target="https://en.wikipedia.org/wiki/Shellsort" TargetMode="External"/><Relationship Id="rId281" Type="http://schemas.openxmlformats.org/officeDocument/2006/relationships/hyperlink" Target="https://apps.dtic.mil/sti/pdfs/AD0740110.pdf" TargetMode="External"/><Relationship Id="rId280" Type="http://schemas.openxmlformats.org/officeDocument/2006/relationships/hyperlink" Target="https://en.wikipedia.org/wiki/Shellsort" TargetMode="External"/><Relationship Id="rId275" Type="http://schemas.openxmlformats.org/officeDocument/2006/relationships/hyperlink" Target="https://www.sciencedirect.com/science/article/pii/0196677492900166?via%3Dihub" TargetMode="External"/><Relationship Id="rId274" Type="http://schemas.openxmlformats.org/officeDocument/2006/relationships/hyperlink" Target="https://en.wikipedia.org/wiki/Timsort" TargetMode="External"/><Relationship Id="rId273" Type="http://schemas.openxmlformats.org/officeDocument/2006/relationships/hyperlink" Target="https://drops.dagstuhl.de/opus/volltexte/2018/9467/" TargetMode="External"/><Relationship Id="rId272" Type="http://schemas.openxmlformats.org/officeDocument/2006/relationships/hyperlink" Target="https://www.ijser.org/researchpaper/Evaluation-of-Sorting-Algorithms-Mathematical-and-Empirical-Analysis-of-sorting-Algorithms.pdf" TargetMode="External"/><Relationship Id="rId279" Type="http://schemas.openxmlformats.org/officeDocument/2006/relationships/hyperlink" Target="https://dl.acm.org/citation.cfm?doid=366947.366957" TargetMode="External"/><Relationship Id="rId278" Type="http://schemas.openxmlformats.org/officeDocument/2006/relationships/hyperlink" Target="https://en.wikipedia.org/wiki/Shellsort" TargetMode="External"/><Relationship Id="rId277" Type="http://schemas.openxmlformats.org/officeDocument/2006/relationships/hyperlink" Target="https://dl.acm.org/citation.cfm?doid=368370.368387" TargetMode="External"/><Relationship Id="rId276" Type="http://schemas.openxmlformats.org/officeDocument/2006/relationships/hyperlink" Target="https://en.wikipedia.org/wiki/Cubesort" TargetMode="External"/><Relationship Id="rId907" Type="http://schemas.openxmlformats.org/officeDocument/2006/relationships/hyperlink" Target="https://core.ac.uk/download/pdf/158319955.pdf" TargetMode="External"/><Relationship Id="rId906" Type="http://schemas.openxmlformats.org/officeDocument/2006/relationships/hyperlink" Target="https://citeseerx.ist.psu.edu/viewdoc/download?doi=10.1.1.12.4079&amp;rep=rep1&amp;type=pdf" TargetMode="External"/><Relationship Id="rId905" Type="http://schemas.openxmlformats.org/officeDocument/2006/relationships/hyperlink" Target="https://citeseerx.ist.psu.edu/viewdoc/download?doi=10.1.1.69.1933&amp;rep=rep1&amp;type=pdf" TargetMode="External"/><Relationship Id="rId904" Type="http://schemas.openxmlformats.org/officeDocument/2006/relationships/hyperlink" Target="https://www.sciencedirect.com/science/article/pii/S0022000096900586" TargetMode="External"/><Relationship Id="rId909" Type="http://schemas.openxmlformats.org/officeDocument/2006/relationships/hyperlink" Target="https://linkinghub.elsevier.com/retrieve/pii/S0022000075800468" TargetMode="External"/><Relationship Id="rId908" Type="http://schemas.openxmlformats.org/officeDocument/2006/relationships/hyperlink" Target="https://core.ac.uk/download/pdf/158319955.pdf" TargetMode="External"/><Relationship Id="rId903" Type="http://schemas.openxmlformats.org/officeDocument/2006/relationships/hyperlink" Target="https://citeseerx.ist.psu.edu/viewdoc/summary?doi=10.1.1.711.8844" TargetMode="External"/><Relationship Id="rId902" Type="http://schemas.openxmlformats.org/officeDocument/2006/relationships/hyperlink" Target="https://onlinelibrary.wiley.com/doi/abs/10.1002/1097-0037(200007)35:4%3C253::AID-NET3%3E3.0.CO;2-K" TargetMode="External"/><Relationship Id="rId901" Type="http://schemas.openxmlformats.org/officeDocument/2006/relationships/hyperlink" Target="https://www.cs.lafayette.edu/~gexia/research/mfcs06.pdf" TargetMode="External"/><Relationship Id="rId900" Type="http://schemas.openxmlformats.org/officeDocument/2006/relationships/hyperlink" Target="https://www.cs.lafayette.edu/~gexia/research/mfcs06.pdf" TargetMode="External"/><Relationship Id="rId929" Type="http://schemas.openxmlformats.org/officeDocument/2006/relationships/hyperlink" Target="https://arxiv.org/abs/cs/0602046" TargetMode="External"/><Relationship Id="rId928" Type="http://schemas.openxmlformats.org/officeDocument/2006/relationships/hyperlink" Target="https://www.semanticscholar.org/paper/Lossy-Data-Compression-over-Zq-by-LDPC-Code-Miyake/652f0438118898b63126f7261ec4cd2002ff0e0b" TargetMode="External"/><Relationship Id="rId927" Type="http://schemas.openxmlformats.org/officeDocument/2006/relationships/hyperlink" Target="https://ieeexplore.ieee.org/document/5474629/" TargetMode="External"/><Relationship Id="rId926" Type="http://schemas.openxmlformats.org/officeDocument/2006/relationships/hyperlink" Target="https://doi.org/10.1109/TIT.2003.815805" TargetMode="External"/><Relationship Id="rId921" Type="http://schemas.openxmlformats.org/officeDocument/2006/relationships/hyperlink" Target="https://doi.org/10.1109/TIT.2009.2016040" TargetMode="External"/><Relationship Id="rId920" Type="http://schemas.openxmlformats.org/officeDocument/2006/relationships/hyperlink" Target="http://ilpubs.stanford.edu:8090/423/" TargetMode="External"/><Relationship Id="rId925" Type="http://schemas.openxmlformats.org/officeDocument/2006/relationships/hyperlink" Target="https://doi.org/10.1109/TIT.2003.815805" TargetMode="External"/><Relationship Id="rId924" Type="http://schemas.openxmlformats.org/officeDocument/2006/relationships/hyperlink" Target="https://arxiv.org/abs/cond-mat/0504509" TargetMode="External"/><Relationship Id="rId923" Type="http://schemas.openxmlformats.org/officeDocument/2006/relationships/hyperlink" Target="https://ieeexplore.ieee.org/document/1523592" TargetMode="External"/><Relationship Id="rId922" Type="http://schemas.openxmlformats.org/officeDocument/2006/relationships/hyperlink" Target="https://doi.org/10.1109%2FT-C.1974.223784" TargetMode="External"/><Relationship Id="rId918" Type="http://schemas.openxmlformats.org/officeDocument/2006/relationships/hyperlink" Target="https://link.springer.com/content/pdf/10.1007/3-540-44418-1_1.pdf" TargetMode="External"/><Relationship Id="rId917" Type="http://schemas.openxmlformats.org/officeDocument/2006/relationships/hyperlink" Target="https://dl.acm.org/doi/abs/10.1145/568271.223813" TargetMode="External"/><Relationship Id="rId916" Type="http://schemas.openxmlformats.org/officeDocument/2006/relationships/hyperlink" Target="https://www-users.cse.umn.edu/~kumar001/dmbook/ch6.pdf" TargetMode="External"/><Relationship Id="rId915" Type="http://schemas.openxmlformats.org/officeDocument/2006/relationships/hyperlink" Target="https://dl.acm.org/doi/pdf/10.1145/1014052.1014091" TargetMode="External"/><Relationship Id="rId919" Type="http://schemas.openxmlformats.org/officeDocument/2006/relationships/hyperlink" Target="http://ilpubs.stanford.edu:8090/423/" TargetMode="External"/><Relationship Id="rId910" Type="http://schemas.openxmlformats.org/officeDocument/2006/relationships/hyperlink" Target="https://web.archive.org/web/20040708052627/http://www-2.cs.cmu.edu/afs/cs.cmu.edu/project/cmt-55/lti/Courses/711/Class-notes/p94-earley.pdf" TargetMode="External"/><Relationship Id="rId914" Type="http://schemas.openxmlformats.org/officeDocument/2006/relationships/hyperlink" Target="http://www.vldb.org/conf/1994/P487.PDF" TargetMode="External"/><Relationship Id="rId913" Type="http://schemas.openxmlformats.org/officeDocument/2006/relationships/hyperlink" Target="https://link.springer.com/chapter/10.1007%2F978-3-662-21545-6_18" TargetMode="External"/><Relationship Id="rId912" Type="http://schemas.openxmlformats.org/officeDocument/2006/relationships/hyperlink" Target="https://link.springer.com/chapter/10.1007%2F978-3-662-21545-6_18" TargetMode="External"/><Relationship Id="rId911" Type="http://schemas.openxmlformats.org/officeDocument/2006/relationships/hyperlink" Target="https://web.archive.org/web/20040708052627/http://www-2.cs.cmu.edu/afs/cs.cmu.edu/project/cmt-55/lti/Courses/711/Class-notes/p94-earley.pdf" TargetMode="External"/><Relationship Id="rId1213" Type="http://schemas.openxmlformats.org/officeDocument/2006/relationships/hyperlink" Target="https://www.cs.ubc.ca/~liorma/cpsc320/files/weighted-activity-selection.pdf" TargetMode="External"/><Relationship Id="rId1214" Type="http://schemas.openxmlformats.org/officeDocument/2006/relationships/hyperlink" Target="https://www.cs.ubc.ca/~liorma/cpsc320/files/weighted-activity-selection.pdf" TargetMode="External"/><Relationship Id="rId1215" Type="http://schemas.openxmlformats.org/officeDocument/2006/relationships/hyperlink" Target="https://www.cs.ubc.ca/~liorma/cpsc320/files/weighted-activity-selection.pdf" TargetMode="External"/><Relationship Id="rId1216" Type="http://schemas.openxmlformats.org/officeDocument/2006/relationships/hyperlink" Target="https://www.cs.utexas.edu/users/EWD/ewd01xx/EWD108.PDF" TargetMode="External"/><Relationship Id="rId1217" Type="http://schemas.openxmlformats.org/officeDocument/2006/relationships/hyperlink" Target="https://www.cs.colorado.edu/~rhan/CSCI_3753_Spring_2005/CSCI_3753_Spring_2005/Lectures/03_01_05_deadlock.pdf" TargetMode="External"/><Relationship Id="rId1218" Type="http://schemas.openxmlformats.org/officeDocument/2006/relationships/hyperlink" Target="https://www.researchgate.net/profile/Gyanendra-Kumar-3/publication/319467661_A_Novel_Longest_Distance_First_Page_Replacement_Algorithm/links/59b209f1aca2728472d14684/A-Novel-Longest-Distance-First-Page-Replacement-Algorithm.pdf" TargetMode="External"/><Relationship Id="rId1219" Type="http://schemas.openxmlformats.org/officeDocument/2006/relationships/hyperlink" Target="https://dl.acm.org/doi/10.1145/128765.128770" TargetMode="External"/><Relationship Id="rId629" Type="http://schemas.openxmlformats.org/officeDocument/2006/relationships/hyperlink" Target="https://arxiv.org/abs/1307.2205" TargetMode="External"/><Relationship Id="rId624" Type="http://schemas.openxmlformats.org/officeDocument/2006/relationships/hyperlink" Target="https://www.cambridge.org/core/journals/canadian-journal-of-mathematics/article/maximal-flow-through-a-network/5D6E55D3B06C4F7B1043BC1D82D40764" TargetMode="External"/><Relationship Id="rId866" Type="http://schemas.openxmlformats.org/officeDocument/2006/relationships/hyperlink" Target="http://www.geom.uiuc.edu/~samuelp/del_project.html" TargetMode="External"/><Relationship Id="rId623" Type="http://schemas.openxmlformats.org/officeDocument/2006/relationships/hyperlink" Target="https://dev.mysql.com/doc/refman/8.0/en/hash-joins.html" TargetMode="External"/><Relationship Id="rId865" Type="http://schemas.openxmlformats.org/officeDocument/2006/relationships/hyperlink" Target="https://web.archive.org/web/20180425231851/https://www.cs.cmu.edu/~ygu1/paper/SPAA16/Incremental.pdf" TargetMode="External"/><Relationship Id="rId622" Type="http://schemas.openxmlformats.org/officeDocument/2006/relationships/hyperlink" Target="https://use-the-index-luke.com/sql/join/sort-merge-join" TargetMode="External"/><Relationship Id="rId864" Type="http://schemas.openxmlformats.org/officeDocument/2006/relationships/hyperlink" Target="https://academic.oup.com/comjnl/article/24/2/167/338200" TargetMode="External"/><Relationship Id="rId621" Type="http://schemas.openxmlformats.org/officeDocument/2006/relationships/hyperlink" Target="https://docs.oracle.com/cd/E17952_01/mysql-5.7-en/nested-loop-joins.html" TargetMode="External"/><Relationship Id="rId863" Type="http://schemas.openxmlformats.org/officeDocument/2006/relationships/hyperlink" Target="https://web.archive.org/web/20091028054315/http://www.cs.uu.nl/geobook/interpolation.pdf" TargetMode="External"/><Relationship Id="rId628" Type="http://schemas.openxmlformats.org/officeDocument/2006/relationships/hyperlink" Target="https://arxiv.org/abs/1307.2205" TargetMode="External"/><Relationship Id="rId627" Type="http://schemas.openxmlformats.org/officeDocument/2006/relationships/hyperlink" Target="https://link.springer.com/article/10.1007/s00453-005-1187-5" TargetMode="External"/><Relationship Id="rId869" Type="http://schemas.openxmlformats.org/officeDocument/2006/relationships/hyperlink" Target="https://link.springer.com/article/10.1007/BF01840356" TargetMode="External"/><Relationship Id="rId626" Type="http://schemas.openxmlformats.org/officeDocument/2006/relationships/hyperlink" Target="https://epubs.siam.org/doi/10.1137/0202019" TargetMode="External"/><Relationship Id="rId868" Type="http://schemas.openxmlformats.org/officeDocument/2006/relationships/hyperlink" Target="http://www.s-hull.org/paper/s_hull.pdf" TargetMode="External"/><Relationship Id="rId625" Type="http://schemas.openxmlformats.org/officeDocument/2006/relationships/hyperlink" Target="http://www.cs.kent.edu/~dragan/GraphAn/p23-galil.pdf" TargetMode="External"/><Relationship Id="rId867" Type="http://schemas.openxmlformats.org/officeDocument/2006/relationships/hyperlink" Target="https://dl.acm.org/doi/10.1145/142675.142695" TargetMode="External"/><Relationship Id="rId620" Type="http://schemas.openxmlformats.org/officeDocument/2006/relationships/hyperlink" Target="https://docs.oracle.com/cd/E17952_01/mysql-5.7-en/nested-loop-joins.html" TargetMode="External"/><Relationship Id="rId862" Type="http://schemas.openxmlformats.org/officeDocument/2006/relationships/hyperlink" Target="https://link.springer.com/article/10.1007/PL00009464" TargetMode="External"/><Relationship Id="rId861" Type="http://schemas.openxmlformats.org/officeDocument/2006/relationships/hyperlink" Target="https://epubs.siam.org/doi/pdf/10.1137/0113067" TargetMode="External"/><Relationship Id="rId1210" Type="http://schemas.openxmlformats.org/officeDocument/2006/relationships/hyperlink" Target="https://link.springer.com/article/10.1007/BF01990529" TargetMode="External"/><Relationship Id="rId860" Type="http://schemas.openxmlformats.org/officeDocument/2006/relationships/hyperlink" Target="https://en.wikipedia.org/wiki/Successive_over-relaxation" TargetMode="External"/><Relationship Id="rId1211" Type="http://schemas.openxmlformats.org/officeDocument/2006/relationships/hyperlink" Target="https://arxiv.org/abs/0910.0095" TargetMode="External"/><Relationship Id="rId1212" Type="http://schemas.openxmlformats.org/officeDocument/2006/relationships/hyperlink" Target="https://hal.inria.fr/file/index/docid/71533/filename/RR-5050.pdf" TargetMode="External"/><Relationship Id="rId1202" Type="http://schemas.openxmlformats.org/officeDocument/2006/relationships/hyperlink" Target="https://en.wikipedia.org/wiki/RC5" TargetMode="External"/><Relationship Id="rId1203" Type="http://schemas.openxmlformats.org/officeDocument/2006/relationships/hyperlink" Target="https://csrc.nist.gov/csrc/media/projects/cryptographic-standards-and-guidelines/documents/aes-development/rijndael-ammended.pdf" TargetMode="External"/><Relationship Id="rId1204" Type="http://schemas.openxmlformats.org/officeDocument/2006/relationships/hyperlink" Target="https://link.springer.com/chapter/10.1007/3-540-58108-1_24" TargetMode="External"/><Relationship Id="rId1205" Type="http://schemas.openxmlformats.org/officeDocument/2006/relationships/hyperlink" Target="https://www.jstor.org/stable/2004623?origin=crossref&amp;seq=5" TargetMode="External"/><Relationship Id="rId1206" Type="http://schemas.openxmlformats.org/officeDocument/2006/relationships/hyperlink" Target="https://www.ams.org/journals/mcom/1970-24-112/S0025-5718-1970-0290541-1/S0025-5718-1970-0290541-1.pdf" TargetMode="External"/><Relationship Id="rId1207" Type="http://schemas.openxmlformats.org/officeDocument/2006/relationships/hyperlink" Target="https://academic.oup.com/imajna/article/8/4/473/758789?login=true" TargetMode="External"/><Relationship Id="rId1208" Type="http://schemas.openxmlformats.org/officeDocument/2006/relationships/hyperlink" Target="https://academic.oup.com/imajna/article/8/4/473/758789?login=true" TargetMode="External"/><Relationship Id="rId1209" Type="http://schemas.openxmlformats.org/officeDocument/2006/relationships/hyperlink" Target="https://academic.oup.com/imajna/article/8/4/473/758789?login=true" TargetMode="External"/><Relationship Id="rId619" Type="http://schemas.openxmlformats.org/officeDocument/2006/relationships/hyperlink" Target="https://www.ncbi.nlm.nih.gov/pubmed/2231712" TargetMode="External"/><Relationship Id="rId618" Type="http://schemas.openxmlformats.org/officeDocument/2006/relationships/hyperlink" Target="https://www.ncbi.nlm.nih.gov/pubmed/9254694" TargetMode="External"/><Relationship Id="rId613" Type="http://schemas.openxmlformats.org/officeDocument/2006/relationships/hyperlink" Target="https://link.springer.com/content/pdf/10.1007/3-540-47849-3_18.pdf" TargetMode="External"/><Relationship Id="rId855" Type="http://schemas.openxmlformats.org/officeDocument/2006/relationships/hyperlink" Target="https://en.wikipedia.org/wiki/Alternating-direction_implicit_method" TargetMode="External"/><Relationship Id="rId612" Type="http://schemas.openxmlformats.org/officeDocument/2006/relationships/hyperlink" Target="https://link.springer.com/chapter/10.1007/3-540-47849-3_18" TargetMode="External"/><Relationship Id="rId854" Type="http://schemas.openxmlformats.org/officeDocument/2006/relationships/hyperlink" Target="https://en.wikipedia.org/wiki/Successive_over-relaxation" TargetMode="External"/><Relationship Id="rId611" Type="http://schemas.openxmlformats.org/officeDocument/2006/relationships/hyperlink" Target="https://www.cin.ufpe.br/~paguso/courses/if767/bib/Raita_1992.pdf" TargetMode="External"/><Relationship Id="rId853" Type="http://schemas.openxmlformats.org/officeDocument/2006/relationships/hyperlink" Target="https://pubsonline.informs.org/doi/abs/10.1287/ijoc.3.4.376" TargetMode="External"/><Relationship Id="rId610" Type="http://schemas.openxmlformats.org/officeDocument/2006/relationships/hyperlink" Target="https://doi.org/10.1016/0304-3975(92)90133-Z" TargetMode="External"/><Relationship Id="rId852" Type="http://schemas.openxmlformats.org/officeDocument/2006/relationships/hyperlink" Target="https://onlinelibrary.wiley.com/doi/10.1002/net.3230180309" TargetMode="External"/><Relationship Id="rId617" Type="http://schemas.openxmlformats.org/officeDocument/2006/relationships/hyperlink" Target="http://www.darkridge.com/~jpr5/mirror/string/node16.html" TargetMode="External"/><Relationship Id="rId859" Type="http://schemas.openxmlformats.org/officeDocument/2006/relationships/hyperlink" Target="https://en.wikipedia.org/wiki/Alternating-direction_implicit_method" TargetMode="External"/><Relationship Id="rId616" Type="http://schemas.openxmlformats.org/officeDocument/2006/relationships/hyperlink" Target="https://docs.lib.purdue.edu/cgi/viewcontent.cgi?article=1456&amp;context=cstech&amp;sei-redir=1" TargetMode="External"/><Relationship Id="rId858" Type="http://schemas.openxmlformats.org/officeDocument/2006/relationships/hyperlink" Target="https://en.wikipedia.org/wiki/Successive_over-relaxation" TargetMode="External"/><Relationship Id="rId615" Type="http://schemas.openxmlformats.org/officeDocument/2006/relationships/hyperlink" Target="https://docs.lib.purdue.edu/cgi/viewcontent.cgi?article=1456&amp;context=cstech&amp;sei-redir=1" TargetMode="External"/><Relationship Id="rId857" Type="http://schemas.openxmlformats.org/officeDocument/2006/relationships/hyperlink" Target="https://epubs.siam.org/doi/pdf/10.1137/0113067" TargetMode="External"/><Relationship Id="rId614" Type="http://schemas.openxmlformats.org/officeDocument/2006/relationships/hyperlink" Target="https://www-igm.univ-mlv.fr/~lecroq/string/bom.html" TargetMode="External"/><Relationship Id="rId856" Type="http://schemas.openxmlformats.org/officeDocument/2006/relationships/hyperlink" Target="https://en.wikipedia.org/wiki/Successive_over-relaxation" TargetMode="External"/><Relationship Id="rId851" Type="http://schemas.openxmlformats.org/officeDocument/2006/relationships/hyperlink" Target="https://apps.dtic.mil/dtic/tr/fulltext/u2/a025602.pdf" TargetMode="External"/><Relationship Id="rId850" Type="http://schemas.openxmlformats.org/officeDocument/2006/relationships/hyperlink" Target="https://www.jstor.org/stable/2098806" TargetMode="External"/><Relationship Id="rId1200" Type="http://schemas.openxmlformats.org/officeDocument/2006/relationships/hyperlink" Target="https://en.wikipedia.org/wiki/International_Data_Encryption_Algorithm" TargetMode="External"/><Relationship Id="rId1201" Type="http://schemas.openxmlformats.org/officeDocument/2006/relationships/hyperlink" Target="https://link.springer.com/chapter/10.1007/3-540-60590-8_7" TargetMode="External"/><Relationship Id="rId409" Type="http://schemas.openxmlformats.org/officeDocument/2006/relationships/hyperlink" Target="https://www.cs.princeton.edu/courses/archive/spr10/cos423/handouts/NearOpt.pdf" TargetMode="External"/><Relationship Id="rId404" Type="http://schemas.openxmlformats.org/officeDocument/2006/relationships/hyperlink" Target="https://www.sciencedirect.com/science/article/pii/0020019075900563" TargetMode="External"/><Relationship Id="rId646" Type="http://schemas.openxmlformats.org/officeDocument/2006/relationships/hyperlink" Target="https://www.cs.cmu.edu/~glmiller/Publications/Papers/GrMiZa94-tr.pdf" TargetMode="External"/><Relationship Id="rId888" Type="http://schemas.openxmlformats.org/officeDocument/2006/relationships/hyperlink" Target="https://en.wikipedia.org/wiki/FIFO_(computing_and_electronics)" TargetMode="External"/><Relationship Id="rId403" Type="http://schemas.openxmlformats.org/officeDocument/2006/relationships/hyperlink" Target="https://www.jstor.org/stable/2033241" TargetMode="External"/><Relationship Id="rId645" Type="http://schemas.openxmlformats.org/officeDocument/2006/relationships/hyperlink" Target="https://pdfs.semanticscholar.org/9038/1cb96bcee79a8bfab06def49b762baee8da3.pdf" TargetMode="External"/><Relationship Id="rId887" Type="http://schemas.openxmlformats.org/officeDocument/2006/relationships/hyperlink" Target="https://dl.acm.org/doi/10.1145/509404.509414" TargetMode="External"/><Relationship Id="rId402" Type="http://schemas.openxmlformats.org/officeDocument/2006/relationships/hyperlink" Target="https://dl.acm.org/citation.cfm?id=28874" TargetMode="External"/><Relationship Id="rId644" Type="http://schemas.openxmlformats.org/officeDocument/2006/relationships/hyperlink" Target="https://pdfs.semanticscholar.org/9038/1cb96bcee79a8bfab06def49b762baee8da3.pdf" TargetMode="External"/><Relationship Id="rId886" Type="http://schemas.openxmlformats.org/officeDocument/2006/relationships/hyperlink" Target="https://www.sciencedirect.com/science/article/pii/0166218X92900315" TargetMode="External"/><Relationship Id="rId401" Type="http://schemas.openxmlformats.org/officeDocument/2006/relationships/hyperlink" Target="https://ieeexplore.ieee.org/document/6773228" TargetMode="External"/><Relationship Id="rId643" Type="http://schemas.openxmlformats.org/officeDocument/2006/relationships/hyperlink" Target="https://dl.acm.org/doi/pdf/10.1145/1007352.1007372?casa_token=k60CrC_UJp0AAAAA:yGVve4fRNbftRM0P7aaEbq8OIlxa4nRy8-CjZErlGrBwBfPEt0ECHGYc8Ei48rdA9W9NoY73xC2W" TargetMode="External"/><Relationship Id="rId885" Type="http://schemas.openxmlformats.org/officeDocument/2006/relationships/hyperlink" Target="https://doi.org/10.1016/0950-5849(92)90028-N" TargetMode="External"/><Relationship Id="rId408" Type="http://schemas.openxmlformats.org/officeDocument/2006/relationships/hyperlink" Target="https://www.cs.princeton.edu/~chazelle/pubs/mst.pdf" TargetMode="External"/><Relationship Id="rId407" Type="http://schemas.openxmlformats.org/officeDocument/2006/relationships/hyperlink" Target="https://dl.acm.org/citation.cfm?id=2791225" TargetMode="External"/><Relationship Id="rId649" Type="http://schemas.openxmlformats.org/officeDocument/2006/relationships/hyperlink" Target="https://epubs.siam.org/doi/10.1137/S0895479801390637" TargetMode="External"/><Relationship Id="rId406" Type="http://schemas.openxmlformats.org/officeDocument/2006/relationships/hyperlink" Target="https://dl.acm.org/doi/10.5555/2791220.2791225" TargetMode="External"/><Relationship Id="rId648" Type="http://schemas.openxmlformats.org/officeDocument/2006/relationships/hyperlink" Target="https://dl.acm.org/citation.cfm?id=1117896" TargetMode="External"/><Relationship Id="rId405" Type="http://schemas.openxmlformats.org/officeDocument/2006/relationships/hyperlink" Target="https://epubs.siam.org/doi/abs/10.1137/0205051" TargetMode="External"/><Relationship Id="rId647" Type="http://schemas.openxmlformats.org/officeDocument/2006/relationships/hyperlink" Target="https://www.cs.cmu.edu/~glmiller/Publications/Papers/GrMiZa94-tr.pdf" TargetMode="External"/><Relationship Id="rId889" Type="http://schemas.openxmlformats.org/officeDocument/2006/relationships/hyperlink" Target="https://www.geeksforgeeks.org/program-for-sstf-disk-scheduling-algorithm/?ref=lbp" TargetMode="External"/><Relationship Id="rId880" Type="http://schemas.openxmlformats.org/officeDocument/2006/relationships/hyperlink" Target="https://www.ncbi.nlm.nih.gov/pmc/articles/PMC2881401/pdf/btq217.pdf" TargetMode="External"/><Relationship Id="rId400" Type="http://schemas.openxmlformats.org/officeDocument/2006/relationships/hyperlink" Target="https://scholarworks.rit.edu/cgi/viewcontent.cgi?article=1658&amp;context=theses" TargetMode="External"/><Relationship Id="rId642" Type="http://schemas.openxmlformats.org/officeDocument/2006/relationships/hyperlink" Target="https://ieeexplore.ieee.org/document/113817" TargetMode="External"/><Relationship Id="rId884" Type="http://schemas.openxmlformats.org/officeDocument/2006/relationships/hyperlink" Target="https://www.aaai.org/Papers/Workshops/1993/WS-93-02/WS93-02-017.pdf" TargetMode="External"/><Relationship Id="rId641" Type="http://schemas.openxmlformats.org/officeDocument/2006/relationships/hyperlink" Target="https://www.sciencedirect.com/science/article/abs/pii/S0743731596900416" TargetMode="External"/><Relationship Id="rId883" Type="http://schemas.openxmlformats.org/officeDocument/2006/relationships/hyperlink" Target="https://www.sciencedirect.com/science/article/pii/0166218X92900315" TargetMode="External"/><Relationship Id="rId640" Type="http://schemas.openxmlformats.org/officeDocument/2006/relationships/hyperlink" Target="https://zoo.cs.yale.edu/classes/cs323/doc/Peterson.pdf" TargetMode="External"/><Relationship Id="rId882" Type="http://schemas.openxmlformats.org/officeDocument/2006/relationships/hyperlink" Target="https://dl.acm.org/doi/10.1145/321812.321823" TargetMode="External"/><Relationship Id="rId881" Type="http://schemas.openxmlformats.org/officeDocument/2006/relationships/hyperlink" Target="https://dl.acm.org/doi/10.1145/321812.321823" TargetMode="External"/><Relationship Id="rId635" Type="http://schemas.openxmlformats.org/officeDocument/2006/relationships/hyperlink" Target="http://theory.stanford.edu/~virgi/cs267/papers/planar-sssp.pdf" TargetMode="External"/><Relationship Id="rId877" Type="http://schemas.openxmlformats.org/officeDocument/2006/relationships/hyperlink" Target="https://www.ncbi.nlm.nih.gov/pubmed/7497130" TargetMode="External"/><Relationship Id="rId634" Type="http://schemas.openxmlformats.org/officeDocument/2006/relationships/hyperlink" Target="https://ieeexplore.ieee.org/document/1366244" TargetMode="External"/><Relationship Id="rId876" Type="http://schemas.openxmlformats.org/officeDocument/2006/relationships/hyperlink" Target="https://link.springer.com/article/10.1007/BF02574694" TargetMode="External"/><Relationship Id="rId633" Type="http://schemas.openxmlformats.org/officeDocument/2006/relationships/hyperlink" Target="https://web.eecs.umich.edu/~pettie/matching/Gabow-Tarjan-scaling-general-graph-matching.pdf" TargetMode="External"/><Relationship Id="rId875" Type="http://schemas.openxmlformats.org/officeDocument/2006/relationships/hyperlink" Target="https://link.springer.com/article/10.1007/BF02574694" TargetMode="External"/><Relationship Id="rId632" Type="http://schemas.openxmlformats.org/officeDocument/2006/relationships/hyperlink" Target="https://web.eecs.umich.edu/~pettie/matching/Gabow-Tarjan-scaling-general-graph-matching.pdf" TargetMode="External"/><Relationship Id="rId874" Type="http://schemas.openxmlformats.org/officeDocument/2006/relationships/hyperlink" Target="https://web.archive.org/web/20120308043808/http://www.cs.berkeley.edu/~jrs/meshpapers/SuDrysdale.pdf" TargetMode="External"/><Relationship Id="rId639" Type="http://schemas.openxmlformats.org/officeDocument/2006/relationships/hyperlink" Target="https://en.wikipedia.org/wiki/Dekker%27s_algorithm" TargetMode="External"/><Relationship Id="rId638" Type="http://schemas.openxmlformats.org/officeDocument/2006/relationships/hyperlink" Target="https://csrc.nist.gov/publications/detail/sp/800-56a/revised/archive/2007-03-14" TargetMode="External"/><Relationship Id="rId637" Type="http://schemas.openxmlformats.org/officeDocument/2006/relationships/hyperlink" Target="https://dl.acm.org/doi/10.1145/359460.359473" TargetMode="External"/><Relationship Id="rId879" Type="http://schemas.openxmlformats.org/officeDocument/2006/relationships/hyperlink" Target="https://www.ncbi.nlm.nih.gov/pubmed/7497129" TargetMode="External"/><Relationship Id="rId636" Type="http://schemas.openxmlformats.org/officeDocument/2006/relationships/hyperlink" Target="https://ieeexplore.ieee.org/document/1055638" TargetMode="External"/><Relationship Id="rId878" Type="http://schemas.openxmlformats.org/officeDocument/2006/relationships/hyperlink" Target="https://academic.oup.com/bioinformatics/article/32/9/1301/1744507" TargetMode="External"/><Relationship Id="rId631" Type="http://schemas.openxmlformats.org/officeDocument/2006/relationships/hyperlink" Target="https://web.eecs.umich.edu/~pettie/matching/Blum-matching-ICALP90.pdf" TargetMode="External"/><Relationship Id="rId873" Type="http://schemas.openxmlformats.org/officeDocument/2006/relationships/hyperlink" Target="https://web.archive.org/web/20120308043808/http://www.cs.berkeley.edu/~jrs/meshpapers/SuDrysdale.pdf" TargetMode="External"/><Relationship Id="rId1220" Type="http://schemas.openxmlformats.org/officeDocument/2006/relationships/drawing" Target="../drawings/drawing3.xml"/><Relationship Id="rId630" Type="http://schemas.openxmlformats.org/officeDocument/2006/relationships/hyperlink" Target="https://arxiv.org/abs/1105.1569" TargetMode="External"/><Relationship Id="rId872" Type="http://schemas.openxmlformats.org/officeDocument/2006/relationships/hyperlink" Target="https://ieeexplore.ieee.org/stamp/stamp.jsp?tp=&amp;arnumber=6313167" TargetMode="External"/><Relationship Id="rId1221" Type="http://schemas.openxmlformats.org/officeDocument/2006/relationships/vmlDrawing" Target="../drawings/vmlDrawing1.vml"/><Relationship Id="rId871" Type="http://schemas.openxmlformats.org/officeDocument/2006/relationships/hyperlink" Target="https://ieeexplore.ieee.org/stamp/stamp.jsp?tp=&amp;arnumber=6313167" TargetMode="External"/><Relationship Id="rId870" Type="http://schemas.openxmlformats.org/officeDocument/2006/relationships/hyperlink" Target="https://link.springer.com/article/10.1007/BF01840356" TargetMode="External"/><Relationship Id="rId829" Type="http://schemas.openxmlformats.org/officeDocument/2006/relationships/hyperlink" Target="https://doi.org/10.48550/arXiv.1709.06810" TargetMode="External"/><Relationship Id="rId828" Type="http://schemas.openxmlformats.org/officeDocument/2006/relationships/hyperlink" Target="https://doi.org/10.48550/arXiv.1709.06810" TargetMode="External"/><Relationship Id="rId827" Type="http://schemas.openxmlformats.org/officeDocument/2006/relationships/hyperlink" Target="https://asset-pdf.scinapse.io/prod/2886034153/2886034153.pdf" TargetMode="External"/><Relationship Id="rId822" Type="http://schemas.openxmlformats.org/officeDocument/2006/relationships/hyperlink" Target="https://apps.dtic.mil/dtic/tr/fulltext/u2/a227803.pdf" TargetMode="External"/><Relationship Id="rId821" Type="http://schemas.openxmlformats.org/officeDocument/2006/relationships/hyperlink" Target="https://epubs.siam.org/doi/abs/10.1137/0217079?journalCode=smjcat" TargetMode="External"/><Relationship Id="rId820" Type="http://schemas.openxmlformats.org/officeDocument/2006/relationships/hyperlink" Target="https://epubs.siam.org/doi/abs/10.1137/0217079?journalCode=smjcat" TargetMode="External"/><Relationship Id="rId826" Type="http://schemas.openxmlformats.org/officeDocument/2006/relationships/hyperlink" Target="https://doi.org/10.1016/j.knosys.2018.10.002" TargetMode="External"/><Relationship Id="rId825" Type="http://schemas.openxmlformats.org/officeDocument/2006/relationships/hyperlink" Target="https://doi.org/10.1016/j.knosys.2018.10.002" TargetMode="External"/><Relationship Id="rId824" Type="http://schemas.openxmlformats.org/officeDocument/2006/relationships/hyperlink" Target="https://link.springer.com/article/10.1007/s00224-004-1155-5" TargetMode="External"/><Relationship Id="rId823" Type="http://schemas.openxmlformats.org/officeDocument/2006/relationships/hyperlink" Target="https://www.ics.uci.edu/~eppstein/261/BenFar-LCA-00.pdf" TargetMode="External"/><Relationship Id="rId819" Type="http://schemas.openxmlformats.org/officeDocument/2006/relationships/hyperlink" Target="https://www.semanticscholar.org/paper/Fast-Algorithms-for-Finding-Nearest-Common-Harel-Tarjan/8867d059dda279b1aed4a0301e4e46f9daf65174" TargetMode="External"/><Relationship Id="rId818" Type="http://schemas.openxmlformats.org/officeDocument/2006/relationships/hyperlink" Target="https://www.semanticscholar.org/paper/Fast-Algorithms-for-Finding-Nearest-Common-Harel-Tarjan/8867d059dda279b1aed4a0301e4e46f9daf65174" TargetMode="External"/><Relationship Id="rId817" Type="http://schemas.openxmlformats.org/officeDocument/2006/relationships/hyperlink" Target="https://www.labri.fr/perso/zeitoun/research/pdf/Almeida-Zeitoun-IPL2008.pdf" TargetMode="External"/><Relationship Id="rId816" Type="http://schemas.openxmlformats.org/officeDocument/2006/relationships/hyperlink" Target="https://www.labri.fr/perso/zeitoun/research/pdf/Almeida-Zeitoun-IPL2008.pdf" TargetMode="External"/><Relationship Id="rId811" Type="http://schemas.openxmlformats.org/officeDocument/2006/relationships/hyperlink" Target="https://doi.org/10.2307/2964500" TargetMode="External"/><Relationship Id="rId810" Type="http://schemas.openxmlformats.org/officeDocument/2006/relationships/hyperlink" Target="https://doi.org/10.1007/978-3-642-15155-2_29" TargetMode="External"/><Relationship Id="rId815" Type="http://schemas.openxmlformats.org/officeDocument/2006/relationships/hyperlink" Target="https://www.labri.fr/perso/zeitoun/research/pdf/Almeida-Zeitoun-IPL2008.pdf" TargetMode="External"/><Relationship Id="rId814" Type="http://schemas.openxmlformats.org/officeDocument/2006/relationships/hyperlink" Target="https://www.sciencedirect.com/science/article/pii/0304397592901423" TargetMode="External"/><Relationship Id="rId813" Type="http://schemas.openxmlformats.org/officeDocument/2006/relationships/hyperlink" Target="http://www.cs.ru.nl/bachelors-theses/2017/Erin_van_der_Veen___4431200___The_Practical_Performance_of_Automata_Minimization_Algorithms.pdf" TargetMode="External"/><Relationship Id="rId812" Type="http://schemas.openxmlformats.org/officeDocument/2006/relationships/hyperlink" Target="https://www.semanticscholar.org/paper/Canonical-regular-expressions-and-minimal-state-for-Brzozowski/94def4233e1e8f15bab72e82708a03fd37233b14" TargetMode="External"/><Relationship Id="rId609" Type="http://schemas.openxmlformats.org/officeDocument/2006/relationships/hyperlink" Target="https://onlinelibrary.wiley.com/doi/abs/10.1002/spe.4380100608" TargetMode="External"/><Relationship Id="rId608" Type="http://schemas.openxmlformats.org/officeDocument/2006/relationships/hyperlink" Target="https://doi.org/10.1016/0304-3975(92)90133-Z" TargetMode="External"/><Relationship Id="rId607" Type="http://schemas.openxmlformats.org/officeDocument/2006/relationships/hyperlink" Target="https://cr.yp.to/bib/1975/aho.pdf" TargetMode="External"/><Relationship Id="rId849" Type="http://schemas.openxmlformats.org/officeDocument/2006/relationships/hyperlink" Target="https://link.springer.com/chapter/10.1007/978-3-540-27810-8_23" TargetMode="External"/><Relationship Id="rId602" Type="http://schemas.openxmlformats.org/officeDocument/2006/relationships/hyperlink" Target="https://thesai.org/Downloads/Volume8No6/Paper_15-Fast_Hybrid_String_Matching_Algorithm.pdf" TargetMode="External"/><Relationship Id="rId844" Type="http://schemas.openxmlformats.org/officeDocument/2006/relationships/hyperlink" Target="https://arxiv.org/pdf/1006.5440.pdf" TargetMode="External"/><Relationship Id="rId601" Type="http://schemas.openxmlformats.org/officeDocument/2006/relationships/hyperlink" Target="http://www.ijcte.org/papers/462-G1278.pdf" TargetMode="External"/><Relationship Id="rId843" Type="http://schemas.openxmlformats.org/officeDocument/2006/relationships/hyperlink" Target="https://pdfs.semanticscholar.org/0d19/245a27bc65a87a8014d5b8a66fb514c8ff0b.pdf" TargetMode="External"/><Relationship Id="rId600" Type="http://schemas.openxmlformats.org/officeDocument/2006/relationships/hyperlink" Target="http://citeseerx.ist.psu.edu/viewdoc/download?doi=10.1.1.100.7210&amp;rep=rep1&amp;type=pdf" TargetMode="External"/><Relationship Id="rId842" Type="http://schemas.openxmlformats.org/officeDocument/2006/relationships/hyperlink" Target="https://pdfs.semanticscholar.org/0d19/245a27bc65a87a8014d5b8a66fb514c8ff0b.pdf" TargetMode="External"/><Relationship Id="rId841" Type="http://schemas.openxmlformats.org/officeDocument/2006/relationships/hyperlink" Target="https://arxiv.org/pdf/1006.5440.pdf" TargetMode="External"/><Relationship Id="rId606" Type="http://schemas.openxmlformats.org/officeDocument/2006/relationships/hyperlink" Target="https://link.springer.com/chapter/10.1007/3-540-09510-1_10" TargetMode="External"/><Relationship Id="rId848" Type="http://schemas.openxmlformats.org/officeDocument/2006/relationships/hyperlink" Target="https://link.springer.com/chapter/10.1007/978-3-540-27810-8_23" TargetMode="External"/><Relationship Id="rId605" Type="http://schemas.openxmlformats.org/officeDocument/2006/relationships/hyperlink" Target="https://link.springer.com/chapter/10.1007/BFb0030778" TargetMode="External"/><Relationship Id="rId847" Type="http://schemas.openxmlformats.org/officeDocument/2006/relationships/hyperlink" Target="https://www.proquest.com/docview/918487776?pq-origsite=gscholar&amp;fromopenview=true" TargetMode="External"/><Relationship Id="rId604" Type="http://schemas.openxmlformats.org/officeDocument/2006/relationships/hyperlink" Target="https://link.springer.com/chapter/10.1007/BFb0030778" TargetMode="External"/><Relationship Id="rId846" Type="http://schemas.openxmlformats.org/officeDocument/2006/relationships/hyperlink" Target="https://arxiv.org/pdf/1006.5440.pdf" TargetMode="External"/><Relationship Id="rId603" Type="http://schemas.openxmlformats.org/officeDocument/2006/relationships/hyperlink" Target="https://thesai.org/Downloads/Volume8No6/Paper_15-Fast_Hybrid_String_Matching_Algorithm.pdf" TargetMode="External"/><Relationship Id="rId845" Type="http://schemas.openxmlformats.org/officeDocument/2006/relationships/hyperlink" Target="https://www.ics.uci.edu/~eppstein/pubs/ChrEpp-TCS-91.pdf" TargetMode="External"/><Relationship Id="rId840" Type="http://schemas.openxmlformats.org/officeDocument/2006/relationships/hyperlink" Target="https://arxiv.org/pdf/1801.00202.pdf" TargetMode="External"/><Relationship Id="rId839" Type="http://schemas.openxmlformats.org/officeDocument/2006/relationships/hyperlink" Target="https://snap.stanford.edu/class/cs224w-readings/tomita06cliques.pdf" TargetMode="External"/><Relationship Id="rId838" Type="http://schemas.openxmlformats.org/officeDocument/2006/relationships/hyperlink" Target="http://www.dcs.gla.ac.uk/~pat/jchoco/clique/enumeration/papers/SMJ000001%5B1%5D.pdf" TargetMode="External"/><Relationship Id="rId833" Type="http://schemas.openxmlformats.org/officeDocument/2006/relationships/hyperlink" Target="https://doi.org/10.1109/3477.604100" TargetMode="External"/><Relationship Id="rId832" Type="http://schemas.openxmlformats.org/officeDocument/2006/relationships/hyperlink" Target="https://link.springer.com/chapter/10.1007/11815921_17" TargetMode="External"/><Relationship Id="rId831" Type="http://schemas.openxmlformats.org/officeDocument/2006/relationships/hyperlink" Target="https://doi.org/10.1109/TSMC.1983.6313167" TargetMode="External"/><Relationship Id="rId830" Type="http://schemas.openxmlformats.org/officeDocument/2006/relationships/hyperlink" Target="https://doi.org/10.1007/978-3-642-38221-5_15" TargetMode="External"/><Relationship Id="rId837" Type="http://schemas.openxmlformats.org/officeDocument/2006/relationships/hyperlink" Target="https://dl.acm.org/doi/10.1145/362342.362367" TargetMode="External"/><Relationship Id="rId836" Type="http://schemas.openxmlformats.org/officeDocument/2006/relationships/hyperlink" Target="https://scholar.google.com/scholar?hl=en&amp;as_sdt=0%2C22&amp;q=An+Energy+Function+and+Continuous+Edit+Process+for+Graph+Matching&amp;btnG=" TargetMode="External"/><Relationship Id="rId835" Type="http://schemas.openxmlformats.org/officeDocument/2006/relationships/hyperlink" Target="https://direct.mit.edu/neco/article-pdf/10/7/1873/813998/089976698300017188.pdf?casa_token=nCYv9xO_Cc4AAAAA:EHiG4v8QmQju6u9RE6w4X6EGRtk5O5W6hIGy-_0A3HSit43f__4oSd4wjAtFIGJuopGMZzU" TargetMode="External"/><Relationship Id="rId834" Type="http://schemas.openxmlformats.org/officeDocument/2006/relationships/hyperlink" Target="https://eprints.bbk.ac.uk/id/eprint/443/1/Binder1.pdf" TargetMode="External"/><Relationship Id="rId1059" Type="http://schemas.openxmlformats.org/officeDocument/2006/relationships/hyperlink" Target="https://www.worldscientific.com/doi/10.1142/S0219720004000466" TargetMode="External"/><Relationship Id="rId228" Type="http://schemas.openxmlformats.org/officeDocument/2006/relationships/hyperlink" Target="https://epubs.siam.org/doi/abs/10.1137/0210032" TargetMode="External"/><Relationship Id="rId227" Type="http://schemas.openxmlformats.org/officeDocument/2006/relationships/hyperlink" Target="https://doi.org/10.1016/0020-0190(79)90113-3" TargetMode="External"/><Relationship Id="rId469" Type="http://schemas.openxmlformats.org/officeDocument/2006/relationships/hyperlink" Target="https://webdocs.cs.ualberta.ca/~holte/Publications/aaai11PeterYapFinal.pdf" TargetMode="External"/><Relationship Id="rId226" Type="http://schemas.openxmlformats.org/officeDocument/2006/relationships/hyperlink" Target="https://doi.org/10.1016/0020-0190(79)90113-3" TargetMode="External"/><Relationship Id="rId468" Type="http://schemas.openxmlformats.org/officeDocument/2006/relationships/hyperlink" Target="https://webdocs.cs.ualberta.ca/~holte/Publications/aaai11PeterYapFinal.pdf" TargetMode="External"/><Relationship Id="rId225" Type="http://schemas.openxmlformats.org/officeDocument/2006/relationships/hyperlink" Target="https://dl.acm.org/citation.cfm?id=359556" TargetMode="External"/><Relationship Id="rId467" Type="http://schemas.openxmlformats.org/officeDocument/2006/relationships/hyperlink" Target="https://en.wikipedia.org/wiki/Incremental_heuristic_search" TargetMode="External"/><Relationship Id="rId229" Type="http://schemas.openxmlformats.org/officeDocument/2006/relationships/hyperlink" Target="https://epubs.siam.org/doi/abs/10.1137/0210032" TargetMode="External"/><Relationship Id="rId1050" Type="http://schemas.openxmlformats.org/officeDocument/2006/relationships/hyperlink" Target="https://www.semanticscholar.org/paper/An-efficient-distributed-algorithm-for-computing-Cardoso-Abreu/ce32696c1176800c5b90fab026bf93f282e2b161" TargetMode="External"/><Relationship Id="rId220" Type="http://schemas.openxmlformats.org/officeDocument/2006/relationships/hyperlink" Target="https://en.wikipedia.org/wiki/Change-making_problem" TargetMode="External"/><Relationship Id="rId462" Type="http://schemas.openxmlformats.org/officeDocument/2006/relationships/hyperlink" Target="https://www.sciencedirect.com/science/article/pii/S1063520316300069" TargetMode="External"/><Relationship Id="rId1051" Type="http://schemas.openxmlformats.org/officeDocument/2006/relationships/hyperlink" Target="https://www.ncbi.nlm.nih.gov/pubmed/9719638" TargetMode="External"/><Relationship Id="rId461" Type="http://schemas.openxmlformats.org/officeDocument/2006/relationships/hyperlink" Target="https://www.ams.org/journals/mcom/2008-77-261/S0025-5718-07-02010-8/S0025-5718-07-02010-8.pdf" TargetMode="External"/><Relationship Id="rId1052" Type="http://schemas.openxmlformats.org/officeDocument/2006/relationships/hyperlink" Target="https://www.ncbi.nlm.nih.gov/pmc/articles/PMC102821/" TargetMode="External"/><Relationship Id="rId460" Type="http://schemas.openxmlformats.org/officeDocument/2006/relationships/hyperlink" Target="https://www.ams.org/journals/mcom/1993-61-203/S0025-5718-1993-1182953-4/S0025-5718-1993-1182953-4.pdf" TargetMode="External"/><Relationship Id="rId1053" Type="http://schemas.openxmlformats.org/officeDocument/2006/relationships/hyperlink" Target="https://www.aaai.org/Papers/ISMB/1999/ISMB99-030.pdf" TargetMode="External"/><Relationship Id="rId1054" Type="http://schemas.openxmlformats.org/officeDocument/2006/relationships/hyperlink" Target="https://www.ncbi.nlm.nih.gov/pubmed/10977095" TargetMode="External"/><Relationship Id="rId224" Type="http://schemas.openxmlformats.org/officeDocument/2006/relationships/hyperlink" Target="https://www.worldcat.org/title/computing-matrix-chain-products-in-near-optimal-time/oclc/727708286" TargetMode="External"/><Relationship Id="rId466" Type="http://schemas.openxmlformats.org/officeDocument/2006/relationships/hyperlink" Target="https://en.wikipedia.org/wiki/Breadth-first_search" TargetMode="External"/><Relationship Id="rId1055" Type="http://schemas.openxmlformats.org/officeDocument/2006/relationships/hyperlink" Target="https://link.springer.com/article/10.1007/BF00993379" TargetMode="External"/><Relationship Id="rId223" Type="http://schemas.openxmlformats.org/officeDocument/2006/relationships/hyperlink" Target="https://citeseerx.ist.psu.edu/viewdoc/download?doi=10.1.1.218.8168&amp;rep=rep1&amp;type=pdf" TargetMode="External"/><Relationship Id="rId465" Type="http://schemas.openxmlformats.org/officeDocument/2006/relationships/hyperlink" Target="https://en.wikipedia.org/wiki/Breadth-first_search:" TargetMode="External"/><Relationship Id="rId1056" Type="http://schemas.openxmlformats.org/officeDocument/2006/relationships/hyperlink" Target="https://link.springer.com/article/10.1007/BF00993379" TargetMode="External"/><Relationship Id="rId222" Type="http://schemas.openxmlformats.org/officeDocument/2006/relationships/hyperlink" Target="https://citeseerx.ist.psu.edu/viewdoc/download?doi=10.1.1.218.8168&amp;rep=rep1&amp;type=pdf" TargetMode="External"/><Relationship Id="rId464" Type="http://schemas.openxmlformats.org/officeDocument/2006/relationships/hyperlink" Target="https://www.cs.cmu.edu/afs/cs/project/jair/pub/volume28/coles07a-html/node11.html" TargetMode="External"/><Relationship Id="rId1057" Type="http://schemas.openxmlformats.org/officeDocument/2006/relationships/hyperlink" Target="https://link.springer.com/chapter/10.1007/BFb0054337" TargetMode="External"/><Relationship Id="rId221" Type="http://schemas.openxmlformats.org/officeDocument/2006/relationships/hyperlink" Target="https://en.wikipedia.org/wiki/Change-making_problem" TargetMode="External"/><Relationship Id="rId463" Type="http://schemas.openxmlformats.org/officeDocument/2006/relationships/hyperlink" Target="https://books.google.com/books?hl=en&amp;lr=&amp;id=1aAOdzK3FegC&amp;oi=fnd&amp;pg=PA1&amp;dq=Teukolsky" TargetMode="External"/><Relationship Id="rId1058" Type="http://schemas.openxmlformats.org/officeDocument/2006/relationships/hyperlink" Target="https://link.springer.com/chapter/10.1007/BFb0054337" TargetMode="External"/><Relationship Id="rId1048" Type="http://schemas.openxmlformats.org/officeDocument/2006/relationships/hyperlink" Target="https://dl.acm.org/doi/10.1145/258533.258641" TargetMode="External"/><Relationship Id="rId1049" Type="http://schemas.openxmlformats.org/officeDocument/2006/relationships/hyperlink" Target="https://www.dsteurer.org/paper/productgames.pdf" TargetMode="External"/><Relationship Id="rId217" Type="http://schemas.openxmlformats.org/officeDocument/2006/relationships/hyperlink" Target="https://en.wikipedia.org/wiki/Change-making_problem" TargetMode="External"/><Relationship Id="rId459" Type="http://schemas.openxmlformats.org/officeDocument/2006/relationships/hyperlink" Target="https://www.semanticscholar.org/paper/Analysis-and-comparison-of-some-integer-factoring-Pomerance/134b7b065a73d4ca00bb16c7b8bebbde951b0ba0" TargetMode="External"/><Relationship Id="rId216" Type="http://schemas.openxmlformats.org/officeDocument/2006/relationships/hyperlink" Target="https://www.geeksforgeeks.org/cutting-a-rod-dp-13/" TargetMode="External"/><Relationship Id="rId458" Type="http://schemas.openxmlformats.org/officeDocument/2006/relationships/hyperlink" Target="https://www.ams.org/journals/bull/1931-37-10/S0002-9904-1931-05271-X/home.html" TargetMode="External"/><Relationship Id="rId215" Type="http://schemas.openxmlformats.org/officeDocument/2006/relationships/hyperlink" Target="https://web.stanford.edu/class/archive/cs/cs161/cs161.1168/lecture12.pdf" TargetMode="External"/><Relationship Id="rId457" Type="http://schemas.openxmlformats.org/officeDocument/2006/relationships/hyperlink" Target="https://www.ams.org/journals/mcom/1981-36-153/S0025-5718-1981-0595059-1/home.html" TargetMode="External"/><Relationship Id="rId699" Type="http://schemas.openxmlformats.org/officeDocument/2006/relationships/hyperlink" Target="https://epubs.siam.org/doi/abs/10.1137/0206045" TargetMode="External"/><Relationship Id="rId214" Type="http://schemas.openxmlformats.org/officeDocument/2006/relationships/hyperlink" Target="https://www.ncbi.nlm.nih.gov/pmc/articles/PMC2966288/pdf/1471-2105-11-S8-S1.pdf" TargetMode="External"/><Relationship Id="rId456" Type="http://schemas.openxmlformats.org/officeDocument/2006/relationships/hyperlink" Target="https://archive.org/details/numbertheoryitsh0000orey/page/59" TargetMode="External"/><Relationship Id="rId698" Type="http://schemas.openxmlformats.org/officeDocument/2006/relationships/hyperlink" Target="https://academic.oup.com/comjnl/article/6/3/293/360213" TargetMode="External"/><Relationship Id="rId219" Type="http://schemas.openxmlformats.org/officeDocument/2006/relationships/hyperlink" Target="https://dl.acm.org/doi/10.1145/321864.321874" TargetMode="External"/><Relationship Id="rId218" Type="http://schemas.openxmlformats.org/officeDocument/2006/relationships/hyperlink" Target="https://en.wikipedia.org/wiki/Change-making_problem" TargetMode="External"/><Relationship Id="rId451" Type="http://schemas.openxmlformats.org/officeDocument/2006/relationships/hyperlink" Target="https://www.cambridge.org/core/journals/mathematical-proceedings-of-the-cambridge-philosophical-society/article/theorems-on-factorization-and-primality-testing/6762E84DBD34AEF13E6B1D1A8334A989" TargetMode="External"/><Relationship Id="rId693" Type="http://schemas.openxmlformats.org/officeDocument/2006/relationships/hyperlink" Target="https://link.springer.com/article/10.1007/BF01840359" TargetMode="External"/><Relationship Id="rId1040" Type="http://schemas.openxmlformats.org/officeDocument/2006/relationships/hyperlink" Target="https://projecteuclid.org/journals/annals-of-applied-probability/volume-8/issue-2/Measure-valued-processes-and-interacting-particle-systems-Application-to-nonlinear/10.1214/aoap/1028903535.full" TargetMode="External"/><Relationship Id="rId450" Type="http://schemas.openxmlformats.org/officeDocument/2006/relationships/hyperlink" Target="https://link.springer.com/article/10.1007%2FBF01933667" TargetMode="External"/><Relationship Id="rId692" Type="http://schemas.openxmlformats.org/officeDocument/2006/relationships/hyperlink" Target="https://hal.inria.fr/hal-01064519/document" TargetMode="External"/><Relationship Id="rId1041" Type="http://schemas.openxmlformats.org/officeDocument/2006/relationships/hyperlink" Target="https://link.springer.com/chapter/10.1007/978-1-4612-1784-8_28" TargetMode="External"/><Relationship Id="rId691" Type="http://schemas.openxmlformats.org/officeDocument/2006/relationships/hyperlink" Target="https://dl.acm.org/doi/10.1145/780506.780516" TargetMode="External"/><Relationship Id="rId1042" Type="http://schemas.openxmlformats.org/officeDocument/2006/relationships/hyperlink" Target="https://www.jstor.org/stable/24900506" TargetMode="External"/><Relationship Id="rId690" Type="http://schemas.openxmlformats.org/officeDocument/2006/relationships/hyperlink" Target="https://eprint.iacr.org/2021/051.pdf" TargetMode="External"/><Relationship Id="rId1043" Type="http://schemas.openxmlformats.org/officeDocument/2006/relationships/hyperlink" Target="http://web.mit.edu/dimitrib/www/dpchapter.pdf" TargetMode="External"/><Relationship Id="rId213" Type="http://schemas.openxmlformats.org/officeDocument/2006/relationships/hyperlink" Target="https://ieeexplore.ieee.org/abstract/document/4359890" TargetMode="External"/><Relationship Id="rId455" Type="http://schemas.openxmlformats.org/officeDocument/2006/relationships/hyperlink" Target="https://www.geeksforgeeks.org/fermats-factorization-method/" TargetMode="External"/><Relationship Id="rId697" Type="http://schemas.openxmlformats.org/officeDocument/2006/relationships/hyperlink" Target="https://mathscinet.ams.org/mathscinet-getitem?mr=0080380" TargetMode="External"/><Relationship Id="rId1044" Type="http://schemas.openxmlformats.org/officeDocument/2006/relationships/hyperlink" Target="https://link.springer.com/chapter/10.1007/978-3-662-04565-7_13" TargetMode="External"/><Relationship Id="rId212" Type="http://schemas.openxmlformats.org/officeDocument/2006/relationships/hyperlink" Target="https://www.ncbi.nlm.nih.gov/pmc/articles/PMC2966288/pdf/1471-2105-11-S8-S1.pdf" TargetMode="External"/><Relationship Id="rId454" Type="http://schemas.openxmlformats.org/officeDocument/2006/relationships/hyperlink" Target="https://archive.org/details/oeuvresdefermat02ferm" TargetMode="External"/><Relationship Id="rId696" Type="http://schemas.openxmlformats.org/officeDocument/2006/relationships/hyperlink" Target="https://www.ams.org/journals/mcom/1963-17-083/S0025-5718-1963-0159764-2/home.html" TargetMode="External"/><Relationship Id="rId1045" Type="http://schemas.openxmlformats.org/officeDocument/2006/relationships/hyperlink" Target="https://dl.acm.org/doi/10.1145/237814.237991" TargetMode="External"/><Relationship Id="rId211" Type="http://schemas.openxmlformats.org/officeDocument/2006/relationships/hyperlink" Target="https://link.springer.com/chapter/10.1007/11682462_69" TargetMode="External"/><Relationship Id="rId453" Type="http://schemas.openxmlformats.org/officeDocument/2006/relationships/hyperlink" Target="https://www.jstor.org/stable/1971363?origin=crossref&amp;seq=1" TargetMode="External"/><Relationship Id="rId695" Type="http://schemas.openxmlformats.org/officeDocument/2006/relationships/hyperlink" Target="https://dl.acm.org/doi/10.1145/356689.356692" TargetMode="External"/><Relationship Id="rId1046" Type="http://schemas.openxmlformats.org/officeDocument/2006/relationships/hyperlink" Target="https://doi.org/10.1145%2F185675.306789" TargetMode="External"/><Relationship Id="rId210" Type="http://schemas.openxmlformats.org/officeDocument/2006/relationships/hyperlink" Target="https://www.ncbi.nlm.nih.gov/pmc/articles/PMC2966288/pdf/1471-2105-11-S8-S1.pdf" TargetMode="External"/><Relationship Id="rId452" Type="http://schemas.openxmlformats.org/officeDocument/2006/relationships/hyperlink" Target="https://www.jstor.org/stable/2007633?origin=crossref" TargetMode="External"/><Relationship Id="rId694" Type="http://schemas.openxmlformats.org/officeDocument/2006/relationships/hyperlink" Target="https://link.springer.com/content/pdf/10.1007/BF01840359.pdf" TargetMode="External"/><Relationship Id="rId1047" Type="http://schemas.openxmlformats.org/officeDocument/2006/relationships/hyperlink" Target="https://courses.cs.duke.edu/spring07/cps296.2/papers/p634-feige.pdf" TargetMode="External"/><Relationship Id="rId491" Type="http://schemas.openxmlformats.org/officeDocument/2006/relationships/hyperlink" Target="https://link.springer.com/chapter/10.1007/978-3-540-30186-8_5" TargetMode="External"/><Relationship Id="rId490" Type="http://schemas.openxmlformats.org/officeDocument/2006/relationships/hyperlink" Target="https://www.researchgate.net/publication/221235887_A_simple_solution_to_Lamport's_concurrent_programming_problem_with_linear_wait" TargetMode="External"/><Relationship Id="rId249" Type="http://schemas.openxmlformats.org/officeDocument/2006/relationships/hyperlink" Target="https://dl.acm.org/doi/pdf/10.1145/1150334.1150336" TargetMode="External"/><Relationship Id="rId248" Type="http://schemas.openxmlformats.org/officeDocument/2006/relationships/hyperlink" Target="http://dl.acm.org/citation.cfm?id=237991" TargetMode="External"/><Relationship Id="rId247" Type="http://schemas.openxmlformats.org/officeDocument/2006/relationships/hyperlink" Target="http://dl.acm.org/citation.cfm?id=237991" TargetMode="External"/><Relationship Id="rId489" Type="http://schemas.openxmlformats.org/officeDocument/2006/relationships/hyperlink" Target="https://citeseerx.ist.psu.edu/viewdoc/download?doi=10.1.1.135.825&amp;rep=rep1&amp;type=pdf" TargetMode="External"/><Relationship Id="rId1070" Type="http://schemas.openxmlformats.org/officeDocument/2006/relationships/hyperlink" Target="http://web.cse.msu.edu/~cse960/Papers/LinkAnalysis/phits.pdf" TargetMode="External"/><Relationship Id="rId1071" Type="http://schemas.openxmlformats.org/officeDocument/2006/relationships/hyperlink" Target="http://www-cs-students.stanford.edu/~taherh/papers/topic-sensitive-pagerank.pdf" TargetMode="External"/><Relationship Id="rId1072" Type="http://schemas.openxmlformats.org/officeDocument/2006/relationships/hyperlink" Target="http://infolab.stanford.edu/~glenj/spws.pdf" TargetMode="External"/><Relationship Id="rId242" Type="http://schemas.openxmlformats.org/officeDocument/2006/relationships/hyperlink" Target="http://www.bmva.org/bmvc/1988/avc-88-023.pdf" TargetMode="External"/><Relationship Id="rId484" Type="http://schemas.openxmlformats.org/officeDocument/2006/relationships/hyperlink" Target="https://arxiv.org/abs/1407.3360" TargetMode="External"/><Relationship Id="rId1073" Type="http://schemas.openxmlformats.org/officeDocument/2006/relationships/hyperlink" Target="https://homes.cs.washington.edu/~pedrod/papers/nips01b.pdf" TargetMode="External"/><Relationship Id="rId241" Type="http://schemas.openxmlformats.org/officeDocument/2006/relationships/hyperlink" Target="https://ieeexplore.ieee.org/stamp/stamp.jsp?tp=&amp;arnumber=4739758" TargetMode="External"/><Relationship Id="rId483" Type="http://schemas.openxmlformats.org/officeDocument/2006/relationships/hyperlink" Target="https://hal.archives-ouvertes.fr/hal-02070778" TargetMode="External"/><Relationship Id="rId1074" Type="http://schemas.openxmlformats.org/officeDocument/2006/relationships/hyperlink" Target="https://dl.acm.org/doi/10.1145/775152.775202" TargetMode="External"/><Relationship Id="rId240" Type="http://schemas.openxmlformats.org/officeDocument/2006/relationships/hyperlink" Target="https://dl.acm.org/doi/10.1145/876638.876640" TargetMode="External"/><Relationship Id="rId482" Type="http://schemas.openxmlformats.org/officeDocument/2006/relationships/hyperlink" Target="https://arxiv.org/abs/0801.1416" TargetMode="External"/><Relationship Id="rId1075" Type="http://schemas.openxmlformats.org/officeDocument/2006/relationships/hyperlink" Target="https://homes.cs.washington.edu/~karlin/papers/web-search.pdf" TargetMode="External"/><Relationship Id="rId481" Type="http://schemas.openxmlformats.org/officeDocument/2006/relationships/hyperlink" Target="https://web.archive.org/web/20130425232048/http://www.cse.psu.edu/~furer/Papers/mult.pdf" TargetMode="External"/><Relationship Id="rId1076" Type="http://schemas.openxmlformats.org/officeDocument/2006/relationships/hyperlink" Target="https://web.stanford.edu/class/cs240/readings/89-leases.pdf" TargetMode="External"/><Relationship Id="rId246" Type="http://schemas.openxmlformats.org/officeDocument/2006/relationships/hyperlink" Target="https://www.jstor.org/stable/3689577" TargetMode="External"/><Relationship Id="rId488" Type="http://schemas.openxmlformats.org/officeDocument/2006/relationships/hyperlink" Target="http://lamport.azurewebsites.net/pubs/bakery.pdf" TargetMode="External"/><Relationship Id="rId1077" Type="http://schemas.openxmlformats.org/officeDocument/2006/relationships/hyperlink" Target="https://web.stanford.edu/class/cs240/readings/89-leases.pdf" TargetMode="External"/><Relationship Id="rId245" Type="http://schemas.openxmlformats.org/officeDocument/2006/relationships/hyperlink" Target="https://ieeexplore.ieee.org/stamp/stamp.jsp?tp=&amp;arnumber=4739758" TargetMode="External"/><Relationship Id="rId487" Type="http://schemas.openxmlformats.org/officeDocument/2006/relationships/hyperlink" Target="https://arxiv.org/abs/1802.07932" TargetMode="External"/><Relationship Id="rId1078" Type="http://schemas.openxmlformats.org/officeDocument/2006/relationships/hyperlink" Target="https://dl.acm.org/doi/10.5555/1298455.1298487" TargetMode="External"/><Relationship Id="rId244" Type="http://schemas.openxmlformats.org/officeDocument/2006/relationships/hyperlink" Target="https://www.sciencedirect.com/science/article/abs/pii/0167865582900204" TargetMode="External"/><Relationship Id="rId486" Type="http://schemas.openxmlformats.org/officeDocument/2006/relationships/hyperlink" Target="https://arxiv.org/abs/1502.02800" TargetMode="External"/><Relationship Id="rId1079" Type="http://schemas.openxmlformats.org/officeDocument/2006/relationships/hyperlink" Target="https://martin.kleppmann.com/2016/02/08/how-to-do-distributed-locking.html" TargetMode="External"/><Relationship Id="rId243" Type="http://schemas.openxmlformats.org/officeDocument/2006/relationships/hyperlink" Target="https://www.mdpi.com/2076-3417/10/2/443/htm" TargetMode="External"/><Relationship Id="rId485" Type="http://schemas.openxmlformats.org/officeDocument/2006/relationships/hyperlink" Target="https://hal.inria.fr/hal-01108166v1/document" TargetMode="External"/><Relationship Id="rId480" Type="http://schemas.openxmlformats.org/officeDocument/2006/relationships/hyperlink" Target="https://link.springer.com/article/10.1007/BF02242355" TargetMode="External"/><Relationship Id="rId239" Type="http://schemas.openxmlformats.org/officeDocument/2006/relationships/hyperlink" Target="https://dl.acm.org/doi/10.1145/876638.876640" TargetMode="External"/><Relationship Id="rId238" Type="http://schemas.openxmlformats.org/officeDocument/2006/relationships/hyperlink" Target="http://web.ist.utl.pt/~ist11038/CD_Casquilho/TSP1992EJOR_Laporte.pdf" TargetMode="External"/><Relationship Id="rId237" Type="http://schemas.openxmlformats.org/officeDocument/2006/relationships/hyperlink" Target="https://doi.org/10.1287/opre.2.4.393" TargetMode="External"/><Relationship Id="rId479" Type="http://schemas.openxmlformats.org/officeDocument/2006/relationships/hyperlink" Target="https://onlinelibrary.wiley.com/doi/abs/10.1111/1467-8659.1510061" TargetMode="External"/><Relationship Id="rId236" Type="http://schemas.openxmlformats.org/officeDocument/2006/relationships/hyperlink" Target="https://dl.acm.org/doi/10.1145/321043.321046" TargetMode="External"/><Relationship Id="rId478" Type="http://schemas.openxmlformats.org/officeDocument/2006/relationships/hyperlink" Target="https://www.sciencedirect.com/science/article/pii/0097849394900647" TargetMode="External"/><Relationship Id="rId1060" Type="http://schemas.openxmlformats.org/officeDocument/2006/relationships/hyperlink" Target="https://link.springer.com/chapter/10.1007/11780441_22" TargetMode="External"/><Relationship Id="rId1061" Type="http://schemas.openxmlformats.org/officeDocument/2006/relationships/hyperlink" Target="http://rosalind.info/problems/ba3m/" TargetMode="External"/><Relationship Id="rId231" Type="http://schemas.openxmlformats.org/officeDocument/2006/relationships/hyperlink" Target="https://dl.acm.org/doi/10.1145/359094.359101" TargetMode="External"/><Relationship Id="rId473" Type="http://schemas.openxmlformats.org/officeDocument/2006/relationships/hyperlink" Target="http://citeseerx.ist.psu.edu/viewdoc/download?doi=10.1.1.13.9460&amp;rep=rep1&amp;type=pdf" TargetMode="External"/><Relationship Id="rId1062" Type="http://schemas.openxmlformats.org/officeDocument/2006/relationships/hyperlink" Target="https://www.w3.org/People/Massimo/papers/quest_hypersearch.pdf" TargetMode="External"/><Relationship Id="rId230" Type="http://schemas.openxmlformats.org/officeDocument/2006/relationships/hyperlink" Target="http://citeseerx.ist.psu.edu/viewdoc/summary?doi=10.1.1.36.4204" TargetMode="External"/><Relationship Id="rId472" Type="http://schemas.openxmlformats.org/officeDocument/2006/relationships/hyperlink" Target="https://citeseerx.ist.psu.edu/viewdoc/download?doi=10.1.1.13.9460&amp;rep=rep1&amp;type=pdf" TargetMode="External"/><Relationship Id="rId1063" Type="http://schemas.openxmlformats.org/officeDocument/2006/relationships/hyperlink" Target="https://dl.acm.org/doi/pdf/10.1145/1052934.1052942" TargetMode="External"/><Relationship Id="rId471" Type="http://schemas.openxmlformats.org/officeDocument/2006/relationships/hyperlink" Target="https://www.ri.cmu.edu/pub_files/pub4/ferguson_david_2006_3/ferguson_david_2006_3.pdf" TargetMode="External"/><Relationship Id="rId1064" Type="http://schemas.openxmlformats.org/officeDocument/2006/relationships/hyperlink" Target="http://ilpubs.stanford.edu:8090/422/1/1999-66.pdf" TargetMode="External"/><Relationship Id="rId470" Type="http://schemas.openxmlformats.org/officeDocument/2006/relationships/hyperlink" Target="https://citeseerx.ist.psu.edu/viewdoc/summary?doi=10.1.1.15.3683" TargetMode="External"/><Relationship Id="rId1065" Type="http://schemas.openxmlformats.org/officeDocument/2006/relationships/hyperlink" Target="https://dl.acm.org/doi/pdf/10.1145/324133.324140" TargetMode="External"/><Relationship Id="rId235" Type="http://schemas.openxmlformats.org/officeDocument/2006/relationships/hyperlink" Target="https://ieeexplore.ieee.org/stamp/stamp.jsp?tp=&amp;arnumber=4567800" TargetMode="External"/><Relationship Id="rId477" Type="http://schemas.openxmlformats.org/officeDocument/2006/relationships/hyperlink" Target="https://www.sciencedirect.com/science/article/pii/0097849394900647/pdf?md5=06bd1f11031af17d1fd34626c4e2f49b&amp;pid=1-s2.0-0097849394900647-main.pdf" TargetMode="External"/><Relationship Id="rId1066" Type="http://schemas.openxmlformats.org/officeDocument/2006/relationships/hyperlink" Target="https://en.wikipedia.org/wiki/HITS_algorithm" TargetMode="External"/><Relationship Id="rId234" Type="http://schemas.openxmlformats.org/officeDocument/2006/relationships/hyperlink" Target="https://link.springer.com/content/pdf/10.1007/PL00009186.pdf" TargetMode="External"/><Relationship Id="rId476" Type="http://schemas.openxmlformats.org/officeDocument/2006/relationships/hyperlink" Target="https://www.nature.com/articles/srep01746" TargetMode="External"/><Relationship Id="rId1067" Type="http://schemas.openxmlformats.org/officeDocument/2006/relationships/hyperlink" Target="https://citeseerx.ist.psu.edu/viewdoc/download?doi=10.1.1.585.7341&amp;rep=rep1&amp;type=pdf" TargetMode="External"/><Relationship Id="rId233" Type="http://schemas.openxmlformats.org/officeDocument/2006/relationships/hyperlink" Target="https://ieeexplore.ieee.org/document/4567800" TargetMode="External"/><Relationship Id="rId475" Type="http://schemas.openxmlformats.org/officeDocument/2006/relationships/hyperlink" Target="http://citeseerx.ist.psu.edu/viewdoc/download?doi=10.1.1.100.7210&amp;rep=rep1&amp;type=pdf" TargetMode="External"/><Relationship Id="rId1068" Type="http://schemas.openxmlformats.org/officeDocument/2006/relationships/hyperlink" Target="https://dl.acm.org/doi/abs/10.1145/382979.383041" TargetMode="External"/><Relationship Id="rId232" Type="http://schemas.openxmlformats.org/officeDocument/2006/relationships/hyperlink" Target="https://link.springer.com/content/pdf/10.1007/PL00009186.pdf" TargetMode="External"/><Relationship Id="rId474" Type="http://schemas.openxmlformats.org/officeDocument/2006/relationships/hyperlink" Target="https://www.cs.utexas.edu/users/moore/publications/fstrpos.pdf" TargetMode="External"/><Relationship Id="rId1069" Type="http://schemas.openxmlformats.org/officeDocument/2006/relationships/hyperlink" Target="https://dl.acm.org/doi/pdf/10.1145/383952.384003" TargetMode="External"/><Relationship Id="rId1015" Type="http://schemas.openxmlformats.org/officeDocument/2006/relationships/hyperlink" Target="https://www.sciencedirect.com/science/article/abs/pii/S0097849302001231" TargetMode="External"/><Relationship Id="rId1016" Type="http://schemas.openxmlformats.org/officeDocument/2006/relationships/hyperlink" Target="https://dl.acm.org/doi/10.1145/566654.566588" TargetMode="External"/><Relationship Id="rId1017" Type="http://schemas.openxmlformats.org/officeDocument/2006/relationships/hyperlink" Target="https://members.loria.fr/Bruno.Levy/papers/LSCM_SIGGRAPH_2002.pdf" TargetMode="External"/><Relationship Id="rId1018" Type="http://schemas.openxmlformats.org/officeDocument/2006/relationships/hyperlink" Target="https://dash.harvard.edu/bitstream/handle/1/2634388/Gortler_FreeBoundary.pdf?sequence=2&amp;isAllowed=y" TargetMode="External"/><Relationship Id="rId1019" Type="http://schemas.openxmlformats.org/officeDocument/2006/relationships/hyperlink" Target="https://www.semanticscholar.org/paper/MIPS%3A-An-Efficient-Global-Parametrization-Method-Hormann-Greiner/a2f7f69b37565eb2729b45a7d72c6aae2e4908b8" TargetMode="External"/><Relationship Id="rId426" Type="http://schemas.openxmlformats.org/officeDocument/2006/relationships/hyperlink" Target="https://www.jstor.org/stable/3007178?seq=1" TargetMode="External"/><Relationship Id="rId668" Type="http://schemas.openxmlformats.org/officeDocument/2006/relationships/hyperlink" Target="https://books.google.com/books?id=buQajqt-_iUC&amp;pg=PA223" TargetMode="External"/><Relationship Id="rId425" Type="http://schemas.openxmlformats.org/officeDocument/2006/relationships/hyperlink" Target="https://www.jstor.org/stable/pdf/2627005.pdf" TargetMode="External"/><Relationship Id="rId667" Type="http://schemas.openxmlformats.org/officeDocument/2006/relationships/hyperlink" Target="https://maths-people.anu.edu.au/~brent/pd/rpb005.pdf" TargetMode="External"/><Relationship Id="rId424" Type="http://schemas.openxmlformats.org/officeDocument/2006/relationships/hyperlink" Target="https://www.ams.org/journals/qam/1958-16-01/S0033-569X-1958-0102435-2/S0033-569X-1958-0102435-2.pdf" TargetMode="External"/><Relationship Id="rId666" Type="http://schemas.openxmlformats.org/officeDocument/2006/relationships/hyperlink" Target="https://en.wikipedia.org/wiki/Cycle_detection" TargetMode="External"/><Relationship Id="rId423" Type="http://schemas.openxmlformats.org/officeDocument/2006/relationships/hyperlink" Target="https://www.rand.org/pubs/papers/P923.html" TargetMode="External"/><Relationship Id="rId665" Type="http://schemas.openxmlformats.org/officeDocument/2006/relationships/hyperlink" Target="https://books.google.com/books?id=buQajqt-_iUC&amp;pg=PA223" TargetMode="External"/><Relationship Id="rId429" Type="http://schemas.openxmlformats.org/officeDocument/2006/relationships/hyperlink" Target="https://www.sciencedirect.com/science/article/pii/0166218X8390104X?via%3Dihub" TargetMode="External"/><Relationship Id="rId428" Type="http://schemas.openxmlformats.org/officeDocument/2006/relationships/hyperlink" Target="https://www.cs.princeton.edu/courses/archive/fall03/cs528/handouts/fibonacci%20heaps.pdf" TargetMode="External"/><Relationship Id="rId427" Type="http://schemas.openxmlformats.org/officeDocument/2006/relationships/hyperlink" Target="https://dl.acm.org/citation.cfm?id=321993" TargetMode="External"/><Relationship Id="rId669" Type="http://schemas.openxmlformats.org/officeDocument/2006/relationships/hyperlink" Target="https://www.inwap.com/pdp10/hbaker/hakmem/flows.html" TargetMode="External"/><Relationship Id="rId660" Type="http://schemas.openxmlformats.org/officeDocument/2006/relationships/hyperlink" Target="https://arxiv.org/pdf/1506.08204.pdf" TargetMode="External"/><Relationship Id="rId1010" Type="http://schemas.openxmlformats.org/officeDocument/2006/relationships/hyperlink" Target="http://sutir.sut.ac.th:8080/sutir/bitstream/123456789/431/1/bib115.pdf" TargetMode="External"/><Relationship Id="rId422" Type="http://schemas.openxmlformats.org/officeDocument/2006/relationships/hyperlink" Target="https://apps.dtic.mil/sti/pdfs/AD0422842.pdf" TargetMode="External"/><Relationship Id="rId664" Type="http://schemas.openxmlformats.org/officeDocument/2006/relationships/hyperlink" Target="https://www.geeksforgeeks.org/detect-loop-in-a-linked-list/" TargetMode="External"/><Relationship Id="rId1011" Type="http://schemas.openxmlformats.org/officeDocument/2006/relationships/hyperlink" Target="https://dl.acm.org/doi/10.1145/218380.218440" TargetMode="External"/><Relationship Id="rId421" Type="http://schemas.openxmlformats.org/officeDocument/2006/relationships/hyperlink" Target="https://www.sciencedirect.com/science/article/pii/0020019080900356" TargetMode="External"/><Relationship Id="rId663" Type="http://schemas.openxmlformats.org/officeDocument/2006/relationships/hyperlink" Target="http://pds7.egloos.com/pds/200801/07/29/p636-floyd.pdf" TargetMode="External"/><Relationship Id="rId1012" Type="http://schemas.openxmlformats.org/officeDocument/2006/relationships/hyperlink" Target="http://www.cs.jhu.edu/~misha/Fall09/Floater97.pdf" TargetMode="External"/><Relationship Id="rId420" Type="http://schemas.openxmlformats.org/officeDocument/2006/relationships/hyperlink" Target="https://www.sciencedirect.com/science/article/pii/0020019080900356" TargetMode="External"/><Relationship Id="rId662" Type="http://schemas.openxmlformats.org/officeDocument/2006/relationships/hyperlink" Target="https://pdfs.semanticscholar.org/e31c/0ce119f452e1804461c375f9814a6050519b.pdf" TargetMode="External"/><Relationship Id="rId1013" Type="http://schemas.openxmlformats.org/officeDocument/2006/relationships/hyperlink" Target="http://www.cs.jhu.edu/~misha/Fall09/Pinkall93.pdf" TargetMode="External"/><Relationship Id="rId661" Type="http://schemas.openxmlformats.org/officeDocument/2006/relationships/hyperlink" Target="https://arxiv.org/abs/cs/0703119" TargetMode="External"/><Relationship Id="rId1014" Type="http://schemas.openxmlformats.org/officeDocument/2006/relationships/hyperlink" Target="https://www.ams.org/journals/mcom/2003-72-242/S0025-5718-02-01466-7/S0025-5718-02-01466-7.pdf" TargetMode="External"/><Relationship Id="rId1004" Type="http://schemas.openxmlformats.org/officeDocument/2006/relationships/hyperlink" Target="https://dl.acm.org/doi/10.1145/956750.956759" TargetMode="External"/><Relationship Id="rId1005" Type="http://schemas.openxmlformats.org/officeDocument/2006/relationships/hyperlink" Target="https://link.springer.com/article/10.1134/S0965542508040039" TargetMode="External"/><Relationship Id="rId1006" Type="http://schemas.openxmlformats.org/officeDocument/2006/relationships/hyperlink" Target="https://link.springer.com/content/pdf/10.1134/S0965542511050095.pdf" TargetMode="External"/><Relationship Id="rId1007" Type="http://schemas.openxmlformats.org/officeDocument/2006/relationships/hyperlink" Target="https://www.mathnet.ru/eng/zvmmf2544" TargetMode="External"/><Relationship Id="rId1008" Type="http://schemas.openxmlformats.org/officeDocument/2006/relationships/hyperlink" Target="http://www.mathnet.ru/php/archive.phtml?wshow=paper&amp;jrnid=zvmmf&amp;paperid=943&amp;option_lang=eng" TargetMode="External"/><Relationship Id="rId1009" Type="http://schemas.openxmlformats.org/officeDocument/2006/relationships/hyperlink" Target="https://link.springer.com/article/10.1023/A:1018988312596" TargetMode="External"/><Relationship Id="rId415" Type="http://schemas.openxmlformats.org/officeDocument/2006/relationships/hyperlink" Target="https://dl.acm.org/citation.cfm?id=803652" TargetMode="External"/><Relationship Id="rId657" Type="http://schemas.openxmlformats.org/officeDocument/2006/relationships/hyperlink" Target="http://www.math.ust.hk/~mamu/courses/531/tutorial_with_corrections.pdf" TargetMode="External"/><Relationship Id="rId899" Type="http://schemas.openxmlformats.org/officeDocument/2006/relationships/hyperlink" Target="https://citeseerx.ist.psu.edu/viewdoc/download?doi=10.1.1.136.4409&amp;rep=rep1&amp;type=pdf" TargetMode="External"/><Relationship Id="rId414" Type="http://schemas.openxmlformats.org/officeDocument/2006/relationships/hyperlink" Target="https://dl.acm.org/citation.cfm?id=358850" TargetMode="External"/><Relationship Id="rId656" Type="http://schemas.openxmlformats.org/officeDocument/2006/relationships/hyperlink" Target="https://www.cs.cmu.edu/afs/cs.cmu.edu/Web/People/jkoutis/papers/SC10-paper.pdf" TargetMode="External"/><Relationship Id="rId898" Type="http://schemas.openxmlformats.org/officeDocument/2006/relationships/hyperlink" Target="https://citeseerx.ist.psu.edu/viewdoc/download?doi=10.1.1.136.4409&amp;rep=rep1&amp;type=pdf" TargetMode="External"/><Relationship Id="rId413" Type="http://schemas.openxmlformats.org/officeDocument/2006/relationships/hyperlink" Target="https://dl.acm.org/citation.cfm?id=540196" TargetMode="External"/><Relationship Id="rId655" Type="http://schemas.openxmlformats.org/officeDocument/2006/relationships/hyperlink" Target="https://ieeexplore.ieee.org/document/5644892" TargetMode="External"/><Relationship Id="rId897" Type="http://schemas.openxmlformats.org/officeDocument/2006/relationships/hyperlink" Target="https://citeseerx.ist.psu.edu/viewdoc/download?doi=10.1.1.7.4800&amp;rep=rep1&amp;type=pdf" TargetMode="External"/><Relationship Id="rId412" Type="http://schemas.openxmlformats.org/officeDocument/2006/relationships/hyperlink" Target="https://www.springer.com/gp/book/9780387961316" TargetMode="External"/><Relationship Id="rId654" Type="http://schemas.openxmlformats.org/officeDocument/2006/relationships/hyperlink" Target="https://pdfs.semanticscholar.org/9038/1cb96bcee79a8bfab06def49b762baee8da3.pdf" TargetMode="External"/><Relationship Id="rId896" Type="http://schemas.openxmlformats.org/officeDocument/2006/relationships/hyperlink" Target="http://bud.cs.uky.edu/~goldsmit/papers/NondetWithinP.pdf" TargetMode="External"/><Relationship Id="rId419" Type="http://schemas.openxmlformats.org/officeDocument/2006/relationships/hyperlink" Target="http://geomalgorithms.com/a09-_intersect-3.html" TargetMode="External"/><Relationship Id="rId418" Type="http://schemas.openxmlformats.org/officeDocument/2006/relationships/hyperlink" Target="https://ieeexplore.ieee.org/document/4567872" TargetMode="External"/><Relationship Id="rId417" Type="http://schemas.openxmlformats.org/officeDocument/2006/relationships/hyperlink" Target="https://www.sciencedirect.com/science/article/pii/0020019088901500" TargetMode="External"/><Relationship Id="rId659" Type="http://schemas.openxmlformats.org/officeDocument/2006/relationships/hyperlink" Target="https://arxiv.org/abs/1506.08204" TargetMode="External"/><Relationship Id="rId416" Type="http://schemas.openxmlformats.org/officeDocument/2006/relationships/hyperlink" Target="https://www.sciencedirect.com/science/article/pii/0020019088901500" TargetMode="External"/><Relationship Id="rId658" Type="http://schemas.openxmlformats.org/officeDocument/2006/relationships/hyperlink" Target="https://arxiv.org/pdf/1301.6628.pdf" TargetMode="External"/><Relationship Id="rId891" Type="http://schemas.openxmlformats.org/officeDocument/2006/relationships/hyperlink" Target="https://www.geeksforgeeks.org/scan-elevator-disk-scheduling-algorithms/?ref=lbp" TargetMode="External"/><Relationship Id="rId890" Type="http://schemas.openxmlformats.org/officeDocument/2006/relationships/hyperlink" Target="https://en.wikipedia.org/wiki/Shortest_seek_first" TargetMode="External"/><Relationship Id="rId411" Type="http://schemas.openxmlformats.org/officeDocument/2006/relationships/hyperlink" Target="https://ecommons.cornell.edu/bitstream/handle/1813/7460/78-340.pdf" TargetMode="External"/><Relationship Id="rId653" Type="http://schemas.openxmlformats.org/officeDocument/2006/relationships/hyperlink" Target="https://arxiv.org/abs/1003.2958" TargetMode="External"/><Relationship Id="rId895" Type="http://schemas.openxmlformats.org/officeDocument/2006/relationships/hyperlink" Target="http://www.cs.nuim.ie/~dkelly/CS240-05/Disk%20Scheduling.htm" TargetMode="External"/><Relationship Id="rId1000" Type="http://schemas.openxmlformats.org/officeDocument/2006/relationships/hyperlink" Target="https://arxiv.org/abs/1203.3636" TargetMode="External"/><Relationship Id="rId410" Type="http://schemas.openxmlformats.org/officeDocument/2006/relationships/hyperlink" Target="https://www.sciencedirect.com/science/article/pii/0020019079900851" TargetMode="External"/><Relationship Id="rId652" Type="http://schemas.openxmlformats.org/officeDocument/2006/relationships/hyperlink" Target="https://arxiv.org/abs/1102.4842" TargetMode="External"/><Relationship Id="rId894" Type="http://schemas.openxmlformats.org/officeDocument/2006/relationships/hyperlink" Target="http://courses.teresco.org/cs432_f02/lectures/17-files/17-files.html" TargetMode="External"/><Relationship Id="rId1001" Type="http://schemas.openxmlformats.org/officeDocument/2006/relationships/hyperlink" Target="https://link.springer.com/article/10.1023/A:1009761603038" TargetMode="External"/><Relationship Id="rId651" Type="http://schemas.openxmlformats.org/officeDocument/2006/relationships/hyperlink" Target="https://onlinelibrary.wiley.com/doi/abs/10.1002/nla.343" TargetMode="External"/><Relationship Id="rId893" Type="http://schemas.openxmlformats.org/officeDocument/2006/relationships/hyperlink" Target="http://courses.teresco.org/cs432_f02/lectures/17-files/17-files.html" TargetMode="External"/><Relationship Id="rId1002" Type="http://schemas.openxmlformats.org/officeDocument/2006/relationships/hyperlink" Target="https://doi.org/10.1145/1255175.1255213" TargetMode="External"/><Relationship Id="rId650" Type="http://schemas.openxmlformats.org/officeDocument/2006/relationships/hyperlink" Target="https://pdfs.semanticscholar.org/9038/1cb96bcee79a8bfab06def49b762baee8da3.pdf" TargetMode="External"/><Relationship Id="rId892" Type="http://schemas.openxmlformats.org/officeDocument/2006/relationships/hyperlink" Target="https://en.wikipedia.org/wiki/Elevator_algorithm" TargetMode="External"/><Relationship Id="rId1003" Type="http://schemas.openxmlformats.org/officeDocument/2006/relationships/hyperlink" Target="https://ieeexplore.ieee.org/document/5381140" TargetMode="External"/><Relationship Id="rId1037" Type="http://schemas.openxmlformats.org/officeDocument/2006/relationships/hyperlink" Target="https://ieeexplore.ieee.org/document/1098671" TargetMode="External"/><Relationship Id="rId1038" Type="http://schemas.openxmlformats.org/officeDocument/2006/relationships/hyperlink" Target="https://link.springer.com/article/10.1007/BF00536382" TargetMode="External"/><Relationship Id="rId1039" Type="http://schemas.openxmlformats.org/officeDocument/2006/relationships/hyperlink" Target="https://ieeexplore.ieee.org/abstract/document/661075" TargetMode="External"/><Relationship Id="rId206" Type="http://schemas.openxmlformats.org/officeDocument/2006/relationships/hyperlink" Target="https://www.ncbi.nlm.nih.gov/pmc/articles/PMC2966288/pdf/1471-2105-11-S8-S1.pdf" TargetMode="External"/><Relationship Id="rId448" Type="http://schemas.openxmlformats.org/officeDocument/2006/relationships/hyperlink" Target="https://en.wikipedia.org/wiki/Trial_division" TargetMode="External"/><Relationship Id="rId205" Type="http://schemas.openxmlformats.org/officeDocument/2006/relationships/hyperlink" Target="https://link.springer.com/chapter/10.1007/BFb0054337" TargetMode="External"/><Relationship Id="rId447" Type="http://schemas.openxmlformats.org/officeDocument/2006/relationships/hyperlink" Target="http://tmc.web.engr.illinois.edu/moreapsp.pdf" TargetMode="External"/><Relationship Id="rId689" Type="http://schemas.openxmlformats.org/officeDocument/2006/relationships/hyperlink" Target="https://reader.elsevier.com/reader/sd/pii/S0022404999000055?token=DC73BE34D9F12491D472CE3BBE70B5745448C6F5A27E99595808DA4B6E66531C37C9B7D23A7AFD7419D27DC7F06396F7" TargetMode="External"/><Relationship Id="rId204" Type="http://schemas.openxmlformats.org/officeDocument/2006/relationships/hyperlink" Target="https://citeseerx.ist.psu.edu/viewdoc/download?doi=10.1.1.24.1291&amp;rep=rep1&amp;type=pdf" TargetMode="External"/><Relationship Id="rId446" Type="http://schemas.openxmlformats.org/officeDocument/2006/relationships/hyperlink" Target="http://tmc.web.engr.illinois.edu/moreapsp.pdf" TargetMode="External"/><Relationship Id="rId688" Type="http://schemas.openxmlformats.org/officeDocument/2006/relationships/hyperlink" Target="https://linkinghub.elsevier.com/retrieve/pii/S0022404999000055" TargetMode="External"/><Relationship Id="rId203" Type="http://schemas.openxmlformats.org/officeDocument/2006/relationships/hyperlink" Target="https://en.wikipedia.org/wiki/Maximum_subarray_problem" TargetMode="External"/><Relationship Id="rId445" Type="http://schemas.openxmlformats.org/officeDocument/2006/relationships/hyperlink" Target="https://citeseerx.ist.psu.edu/viewdoc/download?doi=10.1.1.22.7128&amp;rep=rep1&amp;type=pdf" TargetMode="External"/><Relationship Id="rId687" Type="http://schemas.openxmlformats.org/officeDocument/2006/relationships/hyperlink" Target="https://www.sciencedirect.com/science/article/pii/S0304397512007505" TargetMode="External"/><Relationship Id="rId209" Type="http://schemas.openxmlformats.org/officeDocument/2006/relationships/hyperlink" Target="https://link.springer.com/chapter/10.1007/978-3-540-45078-8_5" TargetMode="External"/><Relationship Id="rId208" Type="http://schemas.openxmlformats.org/officeDocument/2006/relationships/hyperlink" Target="https://www.ncbi.nlm.nih.gov/pmc/articles/PMC2966288/pdf/1471-2105-11-S8-S1.pdf" TargetMode="External"/><Relationship Id="rId207" Type="http://schemas.openxmlformats.org/officeDocument/2006/relationships/hyperlink" Target="https://pubmed.ncbi.nlm.nih.gov/12169566/" TargetMode="External"/><Relationship Id="rId449" Type="http://schemas.openxmlformats.org/officeDocument/2006/relationships/hyperlink" Target="https://en.wikipedia.org/wiki/Trial_division" TargetMode="External"/><Relationship Id="rId440" Type="http://schemas.openxmlformats.org/officeDocument/2006/relationships/hyperlink" Target="https://www.sciencedirect.com/science/article/pii/S0022000085710781" TargetMode="External"/><Relationship Id="rId682" Type="http://schemas.openxmlformats.org/officeDocument/2006/relationships/hyperlink" Target="https://en.wikipedia.org/wiki/Ellipsoid_method" TargetMode="External"/><Relationship Id="rId681" Type="http://schemas.openxmlformats.org/officeDocument/2006/relationships/hyperlink" Target="https://www.sciencedirect.com/science/article/abs/pii/0041555380900610" TargetMode="External"/><Relationship Id="rId1030" Type="http://schemas.openxmlformats.org/officeDocument/2006/relationships/hyperlink" Target="https://rss.onlinelibrary.wiley.com/doi/abs/10.1111/1467-9868.00083" TargetMode="External"/><Relationship Id="rId680" Type="http://schemas.openxmlformats.org/officeDocument/2006/relationships/hyperlink" Target="https://link.springer.com/content/pdf/10.1007/BFb0120703.pdf" TargetMode="External"/><Relationship Id="rId1031" Type="http://schemas.openxmlformats.org/officeDocument/2006/relationships/hyperlink" Target="http://www.stat.ucla.edu/~ywu/research/papers/PXEM.pdf" TargetMode="External"/><Relationship Id="rId1032" Type="http://schemas.openxmlformats.org/officeDocument/2006/relationships/hyperlink" Target="https://academic.oup.com/biomet/article-abstract/80/2/267/251605?redirectedFrom=fulltext" TargetMode="External"/><Relationship Id="rId202" Type="http://schemas.openxmlformats.org/officeDocument/2006/relationships/hyperlink" Target="https://en.wikipedia.org/wiki/Maximum_subarray_problem" TargetMode="External"/><Relationship Id="rId444" Type="http://schemas.openxmlformats.org/officeDocument/2006/relationships/hyperlink" Target="https://dl.acm.org/doi/pdf/10.1145/316542.316548" TargetMode="External"/><Relationship Id="rId686" Type="http://schemas.openxmlformats.org/officeDocument/2006/relationships/hyperlink" Target="https://dl.acm.org/doi/pdf/10.1145/1088216.1088219" TargetMode="External"/><Relationship Id="rId1033" Type="http://schemas.openxmlformats.org/officeDocument/2006/relationships/hyperlink" Target="https://www.jstor.org/stable/2337067" TargetMode="External"/><Relationship Id="rId201" Type="http://schemas.openxmlformats.org/officeDocument/2006/relationships/hyperlink" Target="https://en.wikipedia.org/wiki/Maximum_subarray_problem" TargetMode="External"/><Relationship Id="rId443" Type="http://schemas.openxmlformats.org/officeDocument/2006/relationships/hyperlink" Target="http://citeseerx.ist.psu.edu/viewdoc/download?doi=10.1.1.22.7128&amp;rep=rep1&amp;type=pdf" TargetMode="External"/><Relationship Id="rId685" Type="http://schemas.openxmlformats.org/officeDocument/2006/relationships/hyperlink" Target="https://dl.acm.org/doi/10.1145/1088216.1088219" TargetMode="External"/><Relationship Id="rId1034" Type="http://schemas.openxmlformats.org/officeDocument/2006/relationships/hyperlink" Target="https://waseda.pure.elsevier.com/en/publications/the-%CE%B1-em-algorithm-surrogate-likelihood-maximization-using-%CE%B1-loga" TargetMode="External"/><Relationship Id="rId200" Type="http://schemas.openxmlformats.org/officeDocument/2006/relationships/hyperlink" Target="https://dl.acm.org/doi/pdf/10.1145/358234.381162" TargetMode="External"/><Relationship Id="rId442" Type="http://schemas.openxmlformats.org/officeDocument/2006/relationships/hyperlink" Target="https://dl.acm.org/citation.cfm?id=545417" TargetMode="External"/><Relationship Id="rId684" Type="http://schemas.openxmlformats.org/officeDocument/2006/relationships/hyperlink" Target="https://en.wikipedia.org/wiki/Subgradient_method" TargetMode="External"/><Relationship Id="rId1035" Type="http://schemas.openxmlformats.org/officeDocument/2006/relationships/hyperlink" Target="https://faculty.cc.gatech.edu/~bboots3/files/SpectralExteriorPoint-NIPSWorkshop.pdf" TargetMode="External"/><Relationship Id="rId441" Type="http://schemas.openxmlformats.org/officeDocument/2006/relationships/hyperlink" Target="https://dl.acm.org/citation.cfm?id=2591811" TargetMode="External"/><Relationship Id="rId683" Type="http://schemas.openxmlformats.org/officeDocument/2006/relationships/hyperlink" Target="https://www.springer.com/gp/book/9783642821202" TargetMode="External"/><Relationship Id="rId1036" Type="http://schemas.openxmlformats.org/officeDocument/2006/relationships/hyperlink" Target="https://ieeexplore.ieee.org/abstract/document/7895145" TargetMode="External"/><Relationship Id="rId1026" Type="http://schemas.openxmlformats.org/officeDocument/2006/relationships/hyperlink" Target="https://dl.acm.org/doi/10.1145/1236246.1236287" TargetMode="External"/><Relationship Id="rId1027" Type="http://schemas.openxmlformats.org/officeDocument/2006/relationships/hyperlink" Target="http://www.cs.technion.ac.il/~gotsman/AmendedPubl/Miri/EG08_Conf.pdf" TargetMode="External"/><Relationship Id="rId1028" Type="http://schemas.openxmlformats.org/officeDocument/2006/relationships/hyperlink" Target="https://dl.acm.org/doi/10.1145/1399504.1360676" TargetMode="External"/><Relationship Id="rId1029" Type="http://schemas.openxmlformats.org/officeDocument/2006/relationships/hyperlink" Target="https://www.jstor.org/stable/2984875" TargetMode="External"/><Relationship Id="rId437" Type="http://schemas.openxmlformats.org/officeDocument/2006/relationships/hyperlink" Target="https://link.springer.com/article/10.1007/BF02476438" TargetMode="External"/><Relationship Id="rId679" Type="http://schemas.openxmlformats.org/officeDocument/2006/relationships/hyperlink" Target="https://en.wikipedia.org/wiki/Ralph_E._Gomory" TargetMode="External"/><Relationship Id="rId436" Type="http://schemas.openxmlformats.org/officeDocument/2006/relationships/hyperlink" Target="https://dl.acm.org/doi/10.1016/j.jcss.2004.04.003" TargetMode="External"/><Relationship Id="rId678" Type="http://schemas.openxmlformats.org/officeDocument/2006/relationships/hyperlink" Target="http://www.math.wsu.edu/faculty/genz/364/lessons/l603.pdf" TargetMode="External"/><Relationship Id="rId435" Type="http://schemas.openxmlformats.org/officeDocument/2006/relationships/hyperlink" Target="https://dl.acm.org/doi/10.1016/j.jcss.2004.04.003" TargetMode="External"/><Relationship Id="rId677" Type="http://schemas.openxmlformats.org/officeDocument/2006/relationships/hyperlink" Target="https://www.cs.uleth.ca/~benkoczi/OR/read/cutting-stock-LP.pdf" TargetMode="External"/><Relationship Id="rId434" Type="http://schemas.openxmlformats.org/officeDocument/2006/relationships/hyperlink" Target="https://dl.acm.org/doi/10.1145/77600.77615" TargetMode="External"/><Relationship Id="rId676" Type="http://schemas.openxmlformats.org/officeDocument/2006/relationships/hyperlink" Target="https://www.sciencedirect.com/science/article/abs/pii/0020019086900736" TargetMode="External"/><Relationship Id="rId439" Type="http://schemas.openxmlformats.org/officeDocument/2006/relationships/hyperlink" Target="https://dl.acm.org/citation.cfm?id=368168" TargetMode="External"/><Relationship Id="rId438" Type="http://schemas.openxmlformats.org/officeDocument/2006/relationships/hyperlink" Target="https://link.springer.com/content/pdf/10.1007/BF02476438.pdf" TargetMode="External"/><Relationship Id="rId671" Type="http://schemas.openxmlformats.org/officeDocument/2006/relationships/hyperlink" Target="https://www.worldcat.org/title/statistical-tables-for-biological-agricultural-and-medical-research/oclc/14222135" TargetMode="External"/><Relationship Id="rId670" Type="http://schemas.openxmlformats.org/officeDocument/2006/relationships/hyperlink" Target="https://en.wikipedia.org/wiki/Cycle_detection" TargetMode="External"/><Relationship Id="rId1020" Type="http://schemas.openxmlformats.org/officeDocument/2006/relationships/hyperlink" Target="https://link.springer.com/article/10.1007/PL00013391" TargetMode="External"/><Relationship Id="rId1021" Type="http://schemas.openxmlformats.org/officeDocument/2006/relationships/hyperlink" Target="https://hal.inria.fr/inria-00105689/document" TargetMode="External"/><Relationship Id="rId433" Type="http://schemas.openxmlformats.org/officeDocument/2006/relationships/hyperlink" Target="https://dl.acm.org/doi/10.1145/77600.77615" TargetMode="External"/><Relationship Id="rId675" Type="http://schemas.openxmlformats.org/officeDocument/2006/relationships/hyperlink" Target="https://en.wikipedia.org/wiki/Radix_sort" TargetMode="External"/><Relationship Id="rId1022" Type="http://schemas.openxmlformats.org/officeDocument/2006/relationships/hyperlink" Target="https://dl.acm.org/doi/10.5555/1281991.1282010" TargetMode="External"/><Relationship Id="rId432" Type="http://schemas.openxmlformats.org/officeDocument/2006/relationships/hyperlink" Target="https://ieeexplore.ieee.org/document/4568085" TargetMode="External"/><Relationship Id="rId674" Type="http://schemas.openxmlformats.org/officeDocument/2006/relationships/hyperlink" Target="https://www.geeksforgeeks.org/radix-sort/" TargetMode="External"/><Relationship Id="rId1023" Type="http://schemas.openxmlformats.org/officeDocument/2006/relationships/hyperlink" Target="https://dl.acm.org/doi/pdf/10.1145/383259.383307" TargetMode="External"/><Relationship Id="rId431" Type="http://schemas.openxmlformats.org/officeDocument/2006/relationships/hyperlink" Target="https://www.sciencedirect.com/science/article/pii/0166218X8390104X?via%3Dihub" TargetMode="External"/><Relationship Id="rId673" Type="http://schemas.openxmlformats.org/officeDocument/2006/relationships/hyperlink" Target="https://dl.acm.org/doi/10.1145/364520.364540" TargetMode="External"/><Relationship Id="rId1024" Type="http://schemas.openxmlformats.org/officeDocument/2006/relationships/hyperlink" Target="http://citeseerx.ist.psu.edu/viewdoc/download?doi=10.1.1.226.1150&amp;rep=rep1&amp;type=pdf" TargetMode="External"/><Relationship Id="rId430" Type="http://schemas.openxmlformats.org/officeDocument/2006/relationships/hyperlink" Target="https://link.springer.com/article/10.1007/BF01786986" TargetMode="External"/><Relationship Id="rId672" Type="http://schemas.openxmlformats.org/officeDocument/2006/relationships/hyperlink" Target="https://digital.library.adelaide.edu.au/dspace/handle/2440/10701" TargetMode="External"/><Relationship Id="rId1025" Type="http://schemas.openxmlformats.org/officeDocument/2006/relationships/hyperlink" Target="https://www.researchgate.net/profile/Alexander_Belyaev5/publication/47861414_A_fast_and_simple_stretch-minimizing_mesh_parameterization/links/5b962a6292851c78c40c0c3f/A-fast-and-simple-stretch-minimizing-mesh-parameterization.pdf"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dl.acm.org/citation.cfm?id=290181" TargetMode="External"/><Relationship Id="rId194" Type="http://schemas.openxmlformats.org/officeDocument/2006/relationships/hyperlink" Target="https://epubs.siam.org/doi/abs/10.1137/0210049" TargetMode="External"/><Relationship Id="rId193" Type="http://schemas.openxmlformats.org/officeDocument/2006/relationships/hyperlink" Target="https://dl.acm.org/citation.cfm?id=290181" TargetMode="External"/><Relationship Id="rId192" Type="http://schemas.openxmlformats.org/officeDocument/2006/relationships/hyperlink" Target="https://dl.acm.org/citation.cfm?id=290181" TargetMode="External"/><Relationship Id="rId191" Type="http://schemas.openxmlformats.org/officeDocument/2006/relationships/hyperlink" Target="https://dl.acm.org/citation.cfm?id=290181" TargetMode="External"/><Relationship Id="rId187" Type="http://schemas.openxmlformats.org/officeDocument/2006/relationships/hyperlink" Target="https://dl.acm.org/citation.cfm?id=290181" TargetMode="External"/><Relationship Id="rId186" Type="http://schemas.openxmlformats.org/officeDocument/2006/relationships/hyperlink" Target="https://dl.acm.org/citation.cfm?id=290181" TargetMode="External"/><Relationship Id="rId185" Type="http://schemas.openxmlformats.org/officeDocument/2006/relationships/hyperlink" Target="http://users.umiacs.umd.edu/~vishkin/TEACHING/4CLASS/SV82-maxflow.pdf" TargetMode="External"/><Relationship Id="rId184" Type="http://schemas.openxmlformats.org/officeDocument/2006/relationships/hyperlink" Target="http://users.umiacs.umd.edu/~vishkin/TEACHING/4CLASS/SV82-maxflow.pdf" TargetMode="External"/><Relationship Id="rId189" Type="http://schemas.openxmlformats.org/officeDocument/2006/relationships/hyperlink" Target="https://dl.acm.org/citation.cfm?id=290181" TargetMode="External"/><Relationship Id="rId188" Type="http://schemas.openxmlformats.org/officeDocument/2006/relationships/hyperlink" Target="https://dl.acm.org/citation.cfm?id=290181" TargetMode="External"/><Relationship Id="rId183" Type="http://schemas.openxmlformats.org/officeDocument/2006/relationships/hyperlink" Target="http://users.umiacs.umd.edu/~vishkin/TEACHING/4CLASS/SV82-maxflow.pdf" TargetMode="External"/><Relationship Id="rId182" Type="http://schemas.openxmlformats.org/officeDocument/2006/relationships/hyperlink" Target="https://kilthub.cmu.edu/articles/journal_contribution/A_fast_parallel_algorithm_to_determine_edit_distance/6587387/1" TargetMode="External"/><Relationship Id="rId181" Type="http://schemas.openxmlformats.org/officeDocument/2006/relationships/hyperlink" Target="https://kilthub.cmu.edu/articles/journal_contribution/A_fast_parallel_algorithm_to_determine_edit_distance/6587387/1" TargetMode="External"/><Relationship Id="rId180" Type="http://schemas.openxmlformats.org/officeDocument/2006/relationships/hyperlink" Target="https://kilthub.cmu.edu/articles/journal_contribution/A_fast_parallel_algorithm_to_determine_edit_distance/6587387/1" TargetMode="External"/><Relationship Id="rId176" Type="http://schemas.openxmlformats.org/officeDocument/2006/relationships/hyperlink" Target="https://ieeexplore.ieee.org/document/21966" TargetMode="External"/><Relationship Id="rId175" Type="http://schemas.openxmlformats.org/officeDocument/2006/relationships/hyperlink" Target="https://ieeexplore.ieee.org/document/21966" TargetMode="External"/><Relationship Id="rId174" Type="http://schemas.openxmlformats.org/officeDocument/2006/relationships/hyperlink" Target="https://ieeexplore.ieee.org/document/21966" TargetMode="External"/><Relationship Id="rId173" Type="http://schemas.openxmlformats.org/officeDocument/2006/relationships/hyperlink" Target="https://ieeexplore.ieee.org/document/298210" TargetMode="External"/><Relationship Id="rId179" Type="http://schemas.openxmlformats.org/officeDocument/2006/relationships/hyperlink" Target="https://www.proquest.com/openview/efa7264fa824ce7768c53ccdcc6d1458/1?pq-origsite=gscholar&amp;cbl=666313" TargetMode="External"/><Relationship Id="rId178" Type="http://schemas.openxmlformats.org/officeDocument/2006/relationships/hyperlink" Target="https://www.proquest.com/openview/efa7264fa824ce7768c53ccdcc6d1458/1?pq-origsite=gscholar&amp;cbl=666313" TargetMode="External"/><Relationship Id="rId177" Type="http://schemas.openxmlformats.org/officeDocument/2006/relationships/hyperlink" Target="https://www.proquest.com/openview/efa7264fa824ce7768c53ccdcc6d1458/1?pq-origsite=gscholar&amp;cbl=666313" TargetMode="External"/><Relationship Id="rId198" Type="http://schemas.openxmlformats.org/officeDocument/2006/relationships/hyperlink" Target="https://epubs.siam.org/doi/pdf/10.1137/S0097539792234858" TargetMode="External"/><Relationship Id="rId197" Type="http://schemas.openxmlformats.org/officeDocument/2006/relationships/hyperlink" Target="https://www.sciencedirect.com/science/article/pii/S1051200411000650" TargetMode="External"/><Relationship Id="rId196" Type="http://schemas.openxmlformats.org/officeDocument/2006/relationships/hyperlink" Target="http://math.cmu.edu/~af1p/Texfiles/PARALLELALG.pdf" TargetMode="External"/><Relationship Id="rId195" Type="http://schemas.openxmlformats.org/officeDocument/2006/relationships/hyperlink" Target="https://dl.acm.org/doi/pdf/10.1145/2514.2515" TargetMode="External"/><Relationship Id="rId199" Type="http://schemas.openxmlformats.org/officeDocument/2006/relationships/hyperlink" Target="https://epubs.siam.org/doi/pdf/10.1137/S0097539792234858" TargetMode="External"/><Relationship Id="rId150" Type="http://schemas.openxmlformats.org/officeDocument/2006/relationships/hyperlink" Target="https://dl.acm.org/doi/pdf/10.1145/277830.277904" TargetMode="External"/><Relationship Id="rId392" Type="http://schemas.openxmlformats.org/officeDocument/2006/relationships/hyperlink" Target="https://digitalcommons.montclair.edu/compusci-facpubs/96/" TargetMode="External"/><Relationship Id="rId391" Type="http://schemas.openxmlformats.org/officeDocument/2006/relationships/hyperlink" Target="http://math.cmu.edu/~af1p/Texfiles/PARALLELALG.pdf" TargetMode="External"/><Relationship Id="rId390" Type="http://schemas.openxmlformats.org/officeDocument/2006/relationships/hyperlink" Target="https://dl.acm.org/doi/pdf/10.1145/2514.2515" TargetMode="External"/><Relationship Id="rId1" Type="http://schemas.openxmlformats.org/officeDocument/2006/relationships/comments" Target="../comments2.xml"/><Relationship Id="rId2" Type="http://schemas.openxmlformats.org/officeDocument/2006/relationships/hyperlink" Target="https://dl.acm.org/doi/abs/10.1145/1468075.1468121" TargetMode="External"/><Relationship Id="rId3" Type="http://schemas.openxmlformats.org/officeDocument/2006/relationships/hyperlink" Target="https://ieeexplore.ieee.org/stamp/stamp.jsp?tp=&amp;arnumber=1675167" TargetMode="External"/><Relationship Id="rId149" Type="http://schemas.openxmlformats.org/officeDocument/2006/relationships/hyperlink" Target="https://www.sciencedirect.com/science/article/abs/pii/S0743731597914015" TargetMode="External"/><Relationship Id="rId4" Type="http://schemas.openxmlformats.org/officeDocument/2006/relationships/hyperlink" Target="https://link.springer.com/chapter/10.1007/978-94-009-5315-4_5" TargetMode="External"/><Relationship Id="rId148" Type="http://schemas.openxmlformats.org/officeDocument/2006/relationships/hyperlink" Target="https://www.sciencedirect.com/science/article/abs/pii/S0743731598914629" TargetMode="External"/><Relationship Id="rId9" Type="http://schemas.openxmlformats.org/officeDocument/2006/relationships/hyperlink" Target="https://ieeexplore.ieee.org/abstract/document/1671798" TargetMode="External"/><Relationship Id="rId143" Type="http://schemas.openxmlformats.org/officeDocument/2006/relationships/hyperlink" Target="https://www.sciencedirect.com/science/article/pii/S0890540197926328" TargetMode="External"/><Relationship Id="rId385" Type="http://schemas.openxmlformats.org/officeDocument/2006/relationships/hyperlink" Target="https://cir.nii.ac.jp/crid/1571698600670249216" TargetMode="External"/><Relationship Id="rId142" Type="http://schemas.openxmlformats.org/officeDocument/2006/relationships/hyperlink" Target="https://www.sciencedirect.com/science/article/pii/S0890540197926328" TargetMode="External"/><Relationship Id="rId384" Type="http://schemas.openxmlformats.org/officeDocument/2006/relationships/hyperlink" Target="https://dl.acm.org/doi/pdf/10.1145/2514.2515" TargetMode="External"/><Relationship Id="rId141" Type="http://schemas.openxmlformats.org/officeDocument/2006/relationships/hyperlink" Target="https://ieeexplore.ieee.org/abstract/document/628397" TargetMode="External"/><Relationship Id="rId383" Type="http://schemas.openxmlformats.org/officeDocument/2006/relationships/hyperlink" Target="https://apps.dtic.mil/sti/citations/ADA056888" TargetMode="External"/><Relationship Id="rId140" Type="http://schemas.openxmlformats.org/officeDocument/2006/relationships/hyperlink" Target="https://ieeexplore.ieee.org/abstract/document/628397" TargetMode="External"/><Relationship Id="rId382" Type="http://schemas.openxmlformats.org/officeDocument/2006/relationships/hyperlink" Target="https://dl.acm.org/doi/pdf/10.1145/2514.2515" TargetMode="External"/><Relationship Id="rId5" Type="http://schemas.openxmlformats.org/officeDocument/2006/relationships/hyperlink" Target="https://dl.acm.org/doi/abs/10.1145/1468075.1468121" TargetMode="External"/><Relationship Id="rId147" Type="http://schemas.openxmlformats.org/officeDocument/2006/relationships/hyperlink" Target="https://www.sciencedirect.com/science/article/pii/S0890540197926328" TargetMode="External"/><Relationship Id="rId389" Type="http://schemas.openxmlformats.org/officeDocument/2006/relationships/hyperlink" Target="https://www.sciencedirect.com/science/article/pii/002001908290093X" TargetMode="External"/><Relationship Id="rId6" Type="http://schemas.openxmlformats.org/officeDocument/2006/relationships/hyperlink" Target="https://dl.acm.org/doi/abs/10.1145/2514.2516" TargetMode="External"/><Relationship Id="rId146" Type="http://schemas.openxmlformats.org/officeDocument/2006/relationships/hyperlink" Target="https://www.sciencedirect.com/science/article/pii/S0890540197926328" TargetMode="External"/><Relationship Id="rId388" Type="http://schemas.openxmlformats.org/officeDocument/2006/relationships/hyperlink" Target="https://dl.acm.org/doi/pdf/10.1145/2514.2515" TargetMode="External"/><Relationship Id="rId7" Type="http://schemas.openxmlformats.org/officeDocument/2006/relationships/hyperlink" Target="https://link.springer.com/article/10.1007/BF01267888" TargetMode="External"/><Relationship Id="rId145" Type="http://schemas.openxmlformats.org/officeDocument/2006/relationships/hyperlink" Target="https://www.sciencedirect.com/science/article/pii/S0890540197926328" TargetMode="External"/><Relationship Id="rId387" Type="http://schemas.openxmlformats.org/officeDocument/2006/relationships/hyperlink" Target="https://epubs.siam.org/doi/abs/10.1137/0210049" TargetMode="External"/><Relationship Id="rId8" Type="http://schemas.openxmlformats.org/officeDocument/2006/relationships/hyperlink" Target="https://dl.acm.org/doi/abs/10.1145/2514.2516" TargetMode="External"/><Relationship Id="rId144" Type="http://schemas.openxmlformats.org/officeDocument/2006/relationships/hyperlink" Target="https://www.sciencedirect.com/science/article/pii/S0890540197926328" TargetMode="External"/><Relationship Id="rId386" Type="http://schemas.openxmlformats.org/officeDocument/2006/relationships/hyperlink" Target="https://dl.acm.org/doi/pdf/10.1145/2514.2515" TargetMode="External"/><Relationship Id="rId381" Type="http://schemas.openxmlformats.org/officeDocument/2006/relationships/hyperlink" Target="https://dl.acm.org/doi/abs/10.5555/908319" TargetMode="External"/><Relationship Id="rId380" Type="http://schemas.openxmlformats.org/officeDocument/2006/relationships/hyperlink" Target="https://dl.acm.org/doi/pdf/10.1145/2514.2515" TargetMode="External"/><Relationship Id="rId139" Type="http://schemas.openxmlformats.org/officeDocument/2006/relationships/hyperlink" Target="https://dl.acm.org/doi/pdf/10.1145/237814.237870" TargetMode="External"/><Relationship Id="rId138" Type="http://schemas.openxmlformats.org/officeDocument/2006/relationships/hyperlink" Target="https://ieeexplore.ieee.org/abstract/document/548472" TargetMode="External"/><Relationship Id="rId137" Type="http://schemas.openxmlformats.org/officeDocument/2006/relationships/hyperlink" Target="https://www.infona.pl/resource/bwmeta1.element.elsevier-27dbeebf-1d67-3c08-a222-c630ae81af5c" TargetMode="External"/><Relationship Id="rId379" Type="http://schemas.openxmlformats.org/officeDocument/2006/relationships/hyperlink" Target="https://dl.acm.org/doi/abs/10.1145/361573.361576" TargetMode="External"/><Relationship Id="rId132" Type="http://schemas.openxmlformats.org/officeDocument/2006/relationships/hyperlink" Target="https://ieeexplore.ieee.org/abstract/document/262880" TargetMode="External"/><Relationship Id="rId374" Type="http://schemas.openxmlformats.org/officeDocument/2006/relationships/hyperlink" Target="https://www.academia.edu/814419/A_New_Parallel_Algorithm_Provided_by_a_Computation_Time_Model" TargetMode="External"/><Relationship Id="rId131" Type="http://schemas.openxmlformats.org/officeDocument/2006/relationships/hyperlink" Target="https://ieeexplore.ieee.org/abstract/document/4134268" TargetMode="External"/><Relationship Id="rId373" Type="http://schemas.openxmlformats.org/officeDocument/2006/relationships/hyperlink" Target="https://www.researchgate.net/publication/228945502_On_parallel_transformations_of_suffix_arrays_into_suffix_trees" TargetMode="External"/><Relationship Id="rId130" Type="http://schemas.openxmlformats.org/officeDocument/2006/relationships/hyperlink" Target="https://dl.acm.org/doi/pdf/10.1145/165231.157380" TargetMode="External"/><Relationship Id="rId372" Type="http://schemas.openxmlformats.org/officeDocument/2006/relationships/hyperlink" Target="https://www.researchgate.net/publication/228945502_On_parallel_transformations_of_suffix_arrays_into_suffix_trees" TargetMode="External"/><Relationship Id="rId371" Type="http://schemas.openxmlformats.org/officeDocument/2006/relationships/hyperlink" Target="https://www.researchgate.net/publication/228945502_On_parallel_transformations_of_suffix_arrays_into_suffix_trees" TargetMode="External"/><Relationship Id="rId136" Type="http://schemas.openxmlformats.org/officeDocument/2006/relationships/hyperlink" Target="https://link.springer.com/chapter/10.1007/BFb0030847" TargetMode="External"/><Relationship Id="rId378" Type="http://schemas.openxmlformats.org/officeDocument/2006/relationships/hyperlink" Target="https://www.ncbi.nlm.nih.gov/pubmed/30851095" TargetMode="External"/><Relationship Id="rId135" Type="http://schemas.openxmlformats.org/officeDocument/2006/relationships/hyperlink" Target="https://link.springer.com/chapter/10.1007/BFb0030847" TargetMode="External"/><Relationship Id="rId377" Type="http://schemas.openxmlformats.org/officeDocument/2006/relationships/hyperlink" Target="https://www.ncbi.nlm.nih.gov/pubmed/30851095" TargetMode="External"/><Relationship Id="rId134" Type="http://schemas.openxmlformats.org/officeDocument/2006/relationships/hyperlink" Target="https://dl.acm.org/doi/pdf/10.5555/314464.314499" TargetMode="External"/><Relationship Id="rId376" Type="http://schemas.openxmlformats.org/officeDocument/2006/relationships/hyperlink" Target="https://www.semanticscholar.org/paper/An-efficient-distributed-algorithm-for-computing-Cardoso-Abreu/ce32696c1176800c5b90fab026bf93f282e2b161" TargetMode="External"/><Relationship Id="rId133" Type="http://schemas.openxmlformats.org/officeDocument/2006/relationships/hyperlink" Target="https://www.sciencedirect.com/science/article/pii/S0196677484710303" TargetMode="External"/><Relationship Id="rId375" Type="http://schemas.openxmlformats.org/officeDocument/2006/relationships/hyperlink" Target="https://dl.acm.org/doi/10.1145/321921.321925" TargetMode="External"/><Relationship Id="rId172" Type="http://schemas.openxmlformats.org/officeDocument/2006/relationships/hyperlink" Target="https://ieeexplore.ieee.org/document/298210" TargetMode="External"/><Relationship Id="rId171" Type="http://schemas.openxmlformats.org/officeDocument/2006/relationships/hyperlink" Target="https://ieeexplore.ieee.org/document/298210" TargetMode="External"/><Relationship Id="rId170" Type="http://schemas.openxmlformats.org/officeDocument/2006/relationships/hyperlink" Target="https://ieeexplore.ieee.org/document/298210" TargetMode="External"/><Relationship Id="rId165" Type="http://schemas.openxmlformats.org/officeDocument/2006/relationships/hyperlink" Target="https://citeseerx.ist.psu.edu/viewdoc/download?doi=10.1.1.54.9426&amp;rep=rep1&amp;type=pdf" TargetMode="External"/><Relationship Id="rId164" Type="http://schemas.openxmlformats.org/officeDocument/2006/relationships/hyperlink" Target="https://epubs.siam.org/doi/abs/10.1137/0225039" TargetMode="External"/><Relationship Id="rId163" Type="http://schemas.openxmlformats.org/officeDocument/2006/relationships/hyperlink" Target="https://epubs.siam.org/doi/abs/10.1137/0225039" TargetMode="External"/><Relationship Id="rId162" Type="http://schemas.openxmlformats.org/officeDocument/2006/relationships/hyperlink" Target="https://epubs.siam.org/doi/abs/10.1137/0225039" TargetMode="External"/><Relationship Id="rId169" Type="http://schemas.openxmlformats.org/officeDocument/2006/relationships/hyperlink" Target="https://ieeexplore.ieee.org/document/298210" TargetMode="External"/><Relationship Id="rId168" Type="http://schemas.openxmlformats.org/officeDocument/2006/relationships/hyperlink" Target="https://ieeexplore.ieee.org/document/298210" TargetMode="External"/><Relationship Id="rId167" Type="http://schemas.openxmlformats.org/officeDocument/2006/relationships/hyperlink" Target="https://citeseerx.ist.psu.edu/viewdoc/download?doi=10.1.1.54.9426&amp;rep=rep1&amp;type=pdf" TargetMode="External"/><Relationship Id="rId166" Type="http://schemas.openxmlformats.org/officeDocument/2006/relationships/hyperlink" Target="https://citeseerx.ist.psu.edu/viewdoc/download?doi=10.1.1.54.9426&amp;rep=rep1&amp;type=pdf" TargetMode="External"/><Relationship Id="rId161" Type="http://schemas.openxmlformats.org/officeDocument/2006/relationships/hyperlink" Target="http://citeseerx.ist.psu.edu/viewdoc/download?doi=10.1.1.56.222&amp;rep=rep1&amp;type=pdf" TargetMode="External"/><Relationship Id="rId160" Type="http://schemas.openxmlformats.org/officeDocument/2006/relationships/hyperlink" Target="https://citeseerx.ist.psu.edu/viewdoc/download?doi=10.1.1.218.8168&amp;rep=rep1&amp;type=pdf" TargetMode="External"/><Relationship Id="rId159" Type="http://schemas.openxmlformats.org/officeDocument/2006/relationships/hyperlink" Target="https://citeseerx.ist.psu.edu/viewdoc/download?doi=10.1.1.218.8168&amp;rep=rep1&amp;type=pdf" TargetMode="External"/><Relationship Id="rId154" Type="http://schemas.openxmlformats.org/officeDocument/2006/relationships/hyperlink" Target="https://ieeexplore.ieee.org/abstract/document/5877001" TargetMode="External"/><Relationship Id="rId396" Type="http://schemas.openxmlformats.org/officeDocument/2006/relationships/hyperlink" Target="https://dl.acm.org/doi/pdf/10.1145/140901.141913" TargetMode="External"/><Relationship Id="rId153" Type="http://schemas.openxmlformats.org/officeDocument/2006/relationships/hyperlink" Target="https://link.springer.com/article/10.1007/s11227-010-0404-4" TargetMode="External"/><Relationship Id="rId395" Type="http://schemas.openxmlformats.org/officeDocument/2006/relationships/hyperlink" Target="https://dl.acm.org/doi/pdf/10.1145/140901.141913" TargetMode="External"/><Relationship Id="rId152" Type="http://schemas.openxmlformats.org/officeDocument/2006/relationships/hyperlink" Target="https://ieeexplore.ieee.org/abstract/document/4135254" TargetMode="External"/><Relationship Id="rId394" Type="http://schemas.openxmlformats.org/officeDocument/2006/relationships/hyperlink" Target="https://www.sciencedirect.com/science/article/pii/002001909290200F" TargetMode="External"/><Relationship Id="rId151" Type="http://schemas.openxmlformats.org/officeDocument/2006/relationships/hyperlink" Target="https://sites.cs.ucsb.edu/~gilbert/cs140resources/old/cs140Win2011/slides/ViralParallelSort.pdf" TargetMode="External"/><Relationship Id="rId393" Type="http://schemas.openxmlformats.org/officeDocument/2006/relationships/hyperlink" Target="https://link.springer.com/content/pdf/10.1007/3-540-50728-0_51.pdf" TargetMode="External"/><Relationship Id="rId158" Type="http://schemas.openxmlformats.org/officeDocument/2006/relationships/hyperlink" Target="https://citeseerx.ist.psu.edu/viewdoc/download?doi=10.1.1.218.8168&amp;rep=rep1&amp;type=pdf" TargetMode="External"/><Relationship Id="rId157" Type="http://schemas.openxmlformats.org/officeDocument/2006/relationships/hyperlink" Target="https://citeseerx.ist.psu.edu/viewdoc/download?doi=10.1.1.218.8168&amp;rep=rep1&amp;type=pdf" TargetMode="External"/><Relationship Id="rId399" Type="http://schemas.openxmlformats.org/officeDocument/2006/relationships/hyperlink" Target="https://link.springer.com/article/10.1007/PL00009198" TargetMode="External"/><Relationship Id="rId156" Type="http://schemas.openxmlformats.org/officeDocument/2006/relationships/hyperlink" Target="https://citeseerx.ist.psu.edu/viewdoc/download?doi=10.1.1.218.8168&amp;rep=rep1&amp;type=pdf" TargetMode="External"/><Relationship Id="rId398" Type="http://schemas.openxmlformats.org/officeDocument/2006/relationships/hyperlink" Target="https://dl.acm.org/doi/abs/10.5555/640121.640124" TargetMode="External"/><Relationship Id="rId155" Type="http://schemas.openxmlformats.org/officeDocument/2006/relationships/hyperlink" Target="https://citeseerx.ist.psu.edu/viewdoc/download?doi=10.1.1.218.8168&amp;rep=rep1&amp;type=pdf" TargetMode="External"/><Relationship Id="rId397" Type="http://schemas.openxmlformats.org/officeDocument/2006/relationships/hyperlink" Target="https://dl.acm.org/doi/pdf/10.1145/140901.141913" TargetMode="External"/><Relationship Id="rId40" Type="http://schemas.openxmlformats.org/officeDocument/2006/relationships/hyperlink" Target="https://dl.acm.org/doi/abs/10.1145/359461.359481" TargetMode="External"/><Relationship Id="rId42" Type="http://schemas.openxmlformats.org/officeDocument/2006/relationships/hyperlink" Target="https://dl.acm.org/doi/abs/10.1145/800255.810655" TargetMode="External"/><Relationship Id="rId41" Type="http://schemas.openxmlformats.org/officeDocument/2006/relationships/hyperlink" Target="https://dl.acm.org/doi/abs/10.1145/359461.359481" TargetMode="External"/><Relationship Id="rId44" Type="http://schemas.openxmlformats.org/officeDocument/2006/relationships/hyperlink" Target="https://www.eecs.harvard.edu/htk/static/files/bg891xp4727.pdf" TargetMode="External"/><Relationship Id="rId43" Type="http://schemas.openxmlformats.org/officeDocument/2006/relationships/hyperlink" Target="https://dl.acm.org/doi/abs/10.5555/1286643.1286685" TargetMode="External"/><Relationship Id="rId46" Type="http://schemas.openxmlformats.org/officeDocument/2006/relationships/hyperlink" Target="https://ieeexplore.ieee.org/abstract/document/1675216" TargetMode="External"/><Relationship Id="rId45" Type="http://schemas.openxmlformats.org/officeDocument/2006/relationships/hyperlink" Target="https://www.eecs.harvard.edu/htk/static/files/bg891xp4727.pdf" TargetMode="External"/><Relationship Id="rId48" Type="http://schemas.openxmlformats.org/officeDocument/2006/relationships/hyperlink" Target="https://apps.dtic.mil/sti/citations/ADA090192" TargetMode="External"/><Relationship Id="rId47" Type="http://schemas.openxmlformats.org/officeDocument/2006/relationships/hyperlink" Target="https://link.springer.com/chapter/10.1007/978-94-009-5315-4_5" TargetMode="External"/><Relationship Id="rId49" Type="http://schemas.openxmlformats.org/officeDocument/2006/relationships/hyperlink" Target="https://apps.dtic.mil/sti/citations/ADA090192" TargetMode="External"/><Relationship Id="rId31" Type="http://schemas.openxmlformats.org/officeDocument/2006/relationships/hyperlink" Target="https://ieeexplore.ieee.org/stamp/stamp.jsp?tp=&amp;arnumber=1675167" TargetMode="External"/><Relationship Id="rId30" Type="http://schemas.openxmlformats.org/officeDocument/2006/relationships/hyperlink" Target="https://epubs.siam.org/doi/abs/10.1137/0204030" TargetMode="External"/><Relationship Id="rId33" Type="http://schemas.openxmlformats.org/officeDocument/2006/relationships/hyperlink" Target="https://dl.acm.org/doi/abs/10.1145/361020.361216" TargetMode="External"/><Relationship Id="rId32" Type="http://schemas.openxmlformats.org/officeDocument/2006/relationships/hyperlink" Target="https://ieeexplore.ieee.org/stamp/stamp.jsp?tp=&amp;arnumber=1675167" TargetMode="External"/><Relationship Id="rId35" Type="http://schemas.openxmlformats.org/officeDocument/2006/relationships/hyperlink" Target="https://dl.acm.org/doi/abs/10.1145/359576.359582" TargetMode="External"/><Relationship Id="rId34" Type="http://schemas.openxmlformats.org/officeDocument/2006/relationships/hyperlink" Target="https://dl.acm.org/doi/abs/10.1145/359576.359582" TargetMode="External"/><Relationship Id="rId37" Type="http://schemas.openxmlformats.org/officeDocument/2006/relationships/hyperlink" Target="https://ieeexplore.ieee.org/stamp/stamp.jsp?tp=&amp;arnumber=1675167" TargetMode="External"/><Relationship Id="rId36" Type="http://schemas.openxmlformats.org/officeDocument/2006/relationships/hyperlink" Target="https://dl.acm.org/doi/abs/10.1145/359576.359582" TargetMode="External"/><Relationship Id="rId39" Type="http://schemas.openxmlformats.org/officeDocument/2006/relationships/hyperlink" Target="https://ieeexplore.ieee.org/stamp/stamp.jsp?tp=&amp;arnumber=1675167&amp;tag=1" TargetMode="External"/><Relationship Id="rId38" Type="http://schemas.openxmlformats.org/officeDocument/2006/relationships/hyperlink" Target="https://ieeexplore.ieee.org/stamp/stamp.jsp?tp=&amp;arnumber=1675167&amp;tag=1" TargetMode="External"/><Relationship Id="rId20" Type="http://schemas.openxmlformats.org/officeDocument/2006/relationships/hyperlink" Target="https://dl.acm.org/doi/abs/10.1145/2514.2516" TargetMode="External"/><Relationship Id="rId22" Type="http://schemas.openxmlformats.org/officeDocument/2006/relationships/hyperlink" Target="https://link.springer.com/chapter/10.1007/978-94-009-5315-4_5" TargetMode="External"/><Relationship Id="rId21" Type="http://schemas.openxmlformats.org/officeDocument/2006/relationships/hyperlink" Target="https://dl.acm.org/doi/abs/10.1145/360924.360941" TargetMode="External"/><Relationship Id="rId24" Type="http://schemas.openxmlformats.org/officeDocument/2006/relationships/hyperlink" Target="https://link.springer.com/chapter/10.1007/978-94-009-5315-4_5" TargetMode="External"/><Relationship Id="rId23" Type="http://schemas.openxmlformats.org/officeDocument/2006/relationships/hyperlink" Target="https://dl.acm.org/doi/abs/10.1145/360924.360941" TargetMode="External"/><Relationship Id="rId26" Type="http://schemas.openxmlformats.org/officeDocument/2006/relationships/hyperlink" Target="https://kilthub.cmu.edu/articles/Optimal_sorting_algorithms_for_parallel_computers/6608162/files/12099023.pdf" TargetMode="External"/><Relationship Id="rId25" Type="http://schemas.openxmlformats.org/officeDocument/2006/relationships/hyperlink" Target="https://kilthub.cmu.edu/articles/Optimal_sorting_algorithms_for_parallel_computers/6608162/files/12099023.pdf" TargetMode="External"/><Relationship Id="rId28" Type="http://schemas.openxmlformats.org/officeDocument/2006/relationships/hyperlink" Target="https://ieeexplore.ieee.org/stamp/stamp.jsp?tp=&amp;arnumber=1675167" TargetMode="External"/><Relationship Id="rId27" Type="http://schemas.openxmlformats.org/officeDocument/2006/relationships/hyperlink" Target="https://dl.acm.org/doi/pdf/10.1145/321879.321882" TargetMode="External"/><Relationship Id="rId29" Type="http://schemas.openxmlformats.org/officeDocument/2006/relationships/hyperlink" Target="https://epubs.siam.org/doi/abs/10.1137/0204030" TargetMode="External"/><Relationship Id="rId11" Type="http://schemas.openxmlformats.org/officeDocument/2006/relationships/hyperlink" Target="https://link.springer.com/chapter/10.1007/978-94-009-5315-4_5" TargetMode="External"/><Relationship Id="rId10" Type="http://schemas.openxmlformats.org/officeDocument/2006/relationships/hyperlink" Target="https://ieeexplore.ieee.org/abstract/document/1671798" TargetMode="External"/><Relationship Id="rId13" Type="http://schemas.openxmlformats.org/officeDocument/2006/relationships/hyperlink" Target="https://dl.acm.org/doi/abs/10.1145/2514.2516" TargetMode="External"/><Relationship Id="rId12" Type="http://schemas.openxmlformats.org/officeDocument/2006/relationships/hyperlink" Target="https://apps.dtic.mil/sti/citations/AD0737270" TargetMode="External"/><Relationship Id="rId15" Type="http://schemas.openxmlformats.org/officeDocument/2006/relationships/hyperlink" Target="https://www.semanticscholar.org/paper/Parallel-Neighbor-Sort-(or-the-Glory-of-the-Habermann/bc7b6efb99aae6225239425747fd0169a51f30ce" TargetMode="External"/><Relationship Id="rId14" Type="http://schemas.openxmlformats.org/officeDocument/2006/relationships/hyperlink" Target="https://link.springer.com/chapter/10.1007/978-94-009-5315-4_5" TargetMode="External"/><Relationship Id="rId17" Type="http://schemas.openxmlformats.org/officeDocument/2006/relationships/hyperlink" Target="https://www.semanticscholar.org/paper/Parallel-Neighbor-Sort-(or-the-Glory-of-the-Habermann/bc7b6efb99aae6225239425747fd0169a51f30ce" TargetMode="External"/><Relationship Id="rId16" Type="http://schemas.openxmlformats.org/officeDocument/2006/relationships/hyperlink" Target="https://www.semanticscholar.org/paper/Parallel-Neighbor-Sort-(or-the-Glory-of-the-Habermann/bc7b6efb99aae6225239425747fd0169a51f30ce" TargetMode="External"/><Relationship Id="rId19" Type="http://schemas.openxmlformats.org/officeDocument/2006/relationships/hyperlink" Target="https://apps.dtic.mil/sti/citations/AD0740110" TargetMode="External"/><Relationship Id="rId18" Type="http://schemas.openxmlformats.org/officeDocument/2006/relationships/hyperlink" Target="https://en.wikipedia.org/wiki/Odd%E2%80%93even_sort" TargetMode="External"/><Relationship Id="rId84" Type="http://schemas.openxmlformats.org/officeDocument/2006/relationships/hyperlink" Target="https://en.wikipedia.org/wiki/Spaghetti_sort" TargetMode="External"/><Relationship Id="rId83" Type="http://schemas.openxmlformats.org/officeDocument/2006/relationships/hyperlink" Target="https://link.springer.com/chapter/10.1007/978-94-009-2794-0_11" TargetMode="External"/><Relationship Id="rId86" Type="http://schemas.openxmlformats.org/officeDocument/2006/relationships/hyperlink" Target="https://ieeexplore.ieee.org/abstract/document/4568176" TargetMode="External"/><Relationship Id="rId85" Type="http://schemas.openxmlformats.org/officeDocument/2006/relationships/hyperlink" Target="https://www.sciencedirect.com/science/article/pii/0304397583900233" TargetMode="External"/><Relationship Id="rId88" Type="http://schemas.openxmlformats.org/officeDocument/2006/relationships/hyperlink" Target="https://link.springer.com/article/10.1007/BF00991185" TargetMode="External"/><Relationship Id="rId87" Type="http://schemas.openxmlformats.org/officeDocument/2006/relationships/hyperlink" Target="https://epubs.siam.org/doi/abs/10.1137/0214030" TargetMode="External"/><Relationship Id="rId89" Type="http://schemas.openxmlformats.org/officeDocument/2006/relationships/hyperlink" Target="https://www.vldb.org/conf/1986/P197.PDF" TargetMode="External"/><Relationship Id="rId80" Type="http://schemas.openxmlformats.org/officeDocument/2006/relationships/hyperlink" Target="https://www.sciencedirect.com/science/article/pii/0166218X83900951" TargetMode="External"/><Relationship Id="rId82" Type="http://schemas.openxmlformats.org/officeDocument/2006/relationships/hyperlink" Target="https://link.springer.com/chapter/10.1007/978-94-009-5315-4_5" TargetMode="External"/><Relationship Id="rId81" Type="http://schemas.openxmlformats.org/officeDocument/2006/relationships/hyperlink" Target="https://link.springer.com/chapter/10.1007/978-94-009-5315-4_5" TargetMode="External"/><Relationship Id="rId73" Type="http://schemas.openxmlformats.org/officeDocument/2006/relationships/hyperlink" Target="https://dl.acm.org/doi/pdf/10.1145/800061.808726" TargetMode="External"/><Relationship Id="rId72" Type="http://schemas.openxmlformats.org/officeDocument/2006/relationships/hyperlink" Target="https://dl.acm.org/doi/pdf/10.1145/800061.808726" TargetMode="External"/><Relationship Id="rId75" Type="http://schemas.openxmlformats.org/officeDocument/2006/relationships/hyperlink" Target="https://ieeexplore.ieee.org/abstract/document/1676138/authors" TargetMode="External"/><Relationship Id="rId74" Type="http://schemas.openxmlformats.org/officeDocument/2006/relationships/hyperlink" Target="https://link.springer.com/chapter/10.1007/978-3-642-68402-9_13" TargetMode="External"/><Relationship Id="rId77" Type="http://schemas.openxmlformats.org/officeDocument/2006/relationships/hyperlink" Target="https://dl.acm.org/doi/abs/10.1145/800057.808666" TargetMode="External"/><Relationship Id="rId76" Type="http://schemas.openxmlformats.org/officeDocument/2006/relationships/hyperlink" Target="https://ieeexplore.ieee.org/abstract/document/1676138/authors" TargetMode="External"/><Relationship Id="rId79" Type="http://schemas.openxmlformats.org/officeDocument/2006/relationships/hyperlink" Target="https://link.springer.com/chapter/10.1007/978-94-009-5315-4_5" TargetMode="External"/><Relationship Id="rId78" Type="http://schemas.openxmlformats.org/officeDocument/2006/relationships/hyperlink" Target="https://dl.acm.org/doi/abs/10.1145/800061.808727" TargetMode="External"/><Relationship Id="rId71" Type="http://schemas.openxmlformats.org/officeDocument/2006/relationships/hyperlink" Target="https://dl.acm.org/doi/pdf/10.1145/800061.808726" TargetMode="External"/><Relationship Id="rId70" Type="http://schemas.openxmlformats.org/officeDocument/2006/relationships/hyperlink" Target="https://dl.acm.org/doi/pdf/10.1145/800061.808726" TargetMode="External"/><Relationship Id="rId62" Type="http://schemas.openxmlformats.org/officeDocument/2006/relationships/hyperlink" Target="https://link.springer.com/chapter/10.1007/978-94-009-5315-4_5" TargetMode="External"/><Relationship Id="rId61" Type="http://schemas.openxmlformats.org/officeDocument/2006/relationships/hyperlink" Target="https://ieeexplore.ieee.org/abstract/document/4568337" TargetMode="External"/><Relationship Id="rId64" Type="http://schemas.openxmlformats.org/officeDocument/2006/relationships/hyperlink" Target="https://link.springer.com/chapter/10.1007/978-94-009-5315-4_5" TargetMode="External"/><Relationship Id="rId63" Type="http://schemas.openxmlformats.org/officeDocument/2006/relationships/hyperlink" Target="https://dl.acm.org/doi/abs/10.1145/800070.802209" TargetMode="External"/><Relationship Id="rId66" Type="http://schemas.openxmlformats.org/officeDocument/2006/relationships/hyperlink" Target="https://dl.acm.org/doi/abs/10.1145/1067649.801730" TargetMode="External"/><Relationship Id="rId65" Type="http://schemas.openxmlformats.org/officeDocument/2006/relationships/hyperlink" Target="https://ieeexplore.ieee.org/abstract/document/1675994" TargetMode="External"/><Relationship Id="rId68" Type="http://schemas.openxmlformats.org/officeDocument/2006/relationships/hyperlink" Target="https://dl.acm.org/doi/pdf/10.1145/322326.322329" TargetMode="External"/><Relationship Id="rId67" Type="http://schemas.openxmlformats.org/officeDocument/2006/relationships/hyperlink" Target="https://ieeexplore.ieee.org/abstract/document/1675943" TargetMode="External"/><Relationship Id="rId60" Type="http://schemas.openxmlformats.org/officeDocument/2006/relationships/hyperlink" Target="https://ieeexplore.ieee.org/abstract/document/4568337" TargetMode="External"/><Relationship Id="rId69" Type="http://schemas.openxmlformats.org/officeDocument/2006/relationships/hyperlink" Target="https://dl.acm.org/doi/pdf/10.1145/800061.808726" TargetMode="External"/><Relationship Id="rId51" Type="http://schemas.openxmlformats.org/officeDocument/2006/relationships/hyperlink" Target="https://ieeexplore.ieee.org/abstract/document/5390784" TargetMode="External"/><Relationship Id="rId50" Type="http://schemas.openxmlformats.org/officeDocument/2006/relationships/hyperlink" Target="https://apps.dtic.mil/sti/citations/ADA090192" TargetMode="External"/><Relationship Id="rId53" Type="http://schemas.openxmlformats.org/officeDocument/2006/relationships/hyperlink" Target="https://link.springer.com/chapter/10.1007/978-94-009-5315-4_5" TargetMode="External"/><Relationship Id="rId52" Type="http://schemas.openxmlformats.org/officeDocument/2006/relationships/hyperlink" Target="https://dl.acm.org/doi/abs/10.1145/357114.357116" TargetMode="External"/><Relationship Id="rId55" Type="http://schemas.openxmlformats.org/officeDocument/2006/relationships/hyperlink" Target="https://link.springer.com/chapter/10.1007/978-94-009-5315-4_5" TargetMode="External"/><Relationship Id="rId54" Type="http://schemas.openxmlformats.org/officeDocument/2006/relationships/hyperlink" Target="https://epubs.siam.org/doi/abs/10.1137/0210034" TargetMode="External"/><Relationship Id="rId57" Type="http://schemas.openxmlformats.org/officeDocument/2006/relationships/hyperlink" Target="https://ieeexplore.ieee.org/abstract/document/1675805" TargetMode="External"/><Relationship Id="rId56" Type="http://schemas.openxmlformats.org/officeDocument/2006/relationships/hyperlink" Target="https://link.springer.com/chapter/10.1007/978-94-009-5315-4_5" TargetMode="External"/><Relationship Id="rId59" Type="http://schemas.openxmlformats.org/officeDocument/2006/relationships/hyperlink" Target="https://link.springer.com/chapter/10.1007/BFb0105127" TargetMode="External"/><Relationship Id="rId58" Type="http://schemas.openxmlformats.org/officeDocument/2006/relationships/hyperlink" Target="https://www.proquest.com/docview/303100225?pq-origsite=gscholar&amp;fromopenview=true" TargetMode="External"/><Relationship Id="rId107" Type="http://schemas.openxmlformats.org/officeDocument/2006/relationships/hyperlink" Target="https://epubs.siam.org/doi/abs/10.1137/0218014" TargetMode="External"/><Relationship Id="rId349" Type="http://schemas.openxmlformats.org/officeDocument/2006/relationships/hyperlink" Target="https://www.sciencedirect.com/science/article/pii/0167642387900347" TargetMode="External"/><Relationship Id="rId106" Type="http://schemas.openxmlformats.org/officeDocument/2006/relationships/hyperlink" Target="https://www.sciencedirect.com/science/article/pii/0020019089901385" TargetMode="External"/><Relationship Id="rId348" Type="http://schemas.openxmlformats.org/officeDocument/2006/relationships/hyperlink" Target="https://www.sciencedirect.com/science/article/abs/pii/016781919400063G" TargetMode="External"/><Relationship Id="rId105" Type="http://schemas.openxmlformats.org/officeDocument/2006/relationships/hyperlink" Target="https://ieeexplore.ieee.org/abstract/document/16500" TargetMode="External"/><Relationship Id="rId347" Type="http://schemas.openxmlformats.org/officeDocument/2006/relationships/hyperlink" Target="https://www.sciencedirect.com/science/article/abs/pii/016781919400063G" TargetMode="External"/><Relationship Id="rId104" Type="http://schemas.openxmlformats.org/officeDocument/2006/relationships/hyperlink" Target="https://epubs.siam.org/doi/abs/10.1137/0218041" TargetMode="External"/><Relationship Id="rId346" Type="http://schemas.openxmlformats.org/officeDocument/2006/relationships/hyperlink" Target="https://www.sciencedirect.com/science/article/abs/pii/016781919400063G" TargetMode="External"/><Relationship Id="rId109" Type="http://schemas.openxmlformats.org/officeDocument/2006/relationships/hyperlink" Target="https://epubs.siam.org/doi/abs/10.1137/0218014" TargetMode="External"/><Relationship Id="rId108" Type="http://schemas.openxmlformats.org/officeDocument/2006/relationships/hyperlink" Target="https://epubs.siam.org/doi/abs/10.1137/0218014" TargetMode="External"/><Relationship Id="rId341" Type="http://schemas.openxmlformats.org/officeDocument/2006/relationships/hyperlink" Target="http://theory.stanford.edu/~megiddo/pdf/soda94.pdf" TargetMode="External"/><Relationship Id="rId340" Type="http://schemas.openxmlformats.org/officeDocument/2006/relationships/hyperlink" Target="http://theory.stanford.edu/~megiddo/pdf/soda94.pdf" TargetMode="External"/><Relationship Id="rId103" Type="http://schemas.openxmlformats.org/officeDocument/2006/relationships/hyperlink" Target="https://ieeexplore.ieee.org/abstract/document/9738" TargetMode="External"/><Relationship Id="rId345" Type="http://schemas.openxmlformats.org/officeDocument/2006/relationships/hyperlink" Target="https://ieeexplore.ieee.org/document/6972008" TargetMode="External"/><Relationship Id="rId102" Type="http://schemas.openxmlformats.org/officeDocument/2006/relationships/hyperlink" Target="https://epubs.siam.org/doi/abs/10.1137/0217049" TargetMode="External"/><Relationship Id="rId344" Type="http://schemas.openxmlformats.org/officeDocument/2006/relationships/hyperlink" Target="https://citeseerx.ist.psu.edu/viewdoc/download?doi=10.1.1.24.1291&amp;rep=rep1&amp;type=pdf" TargetMode="External"/><Relationship Id="rId101" Type="http://schemas.openxmlformats.org/officeDocument/2006/relationships/hyperlink" Target="https://epubs.siam.org/doi/abs/10.1137/0217049" TargetMode="External"/><Relationship Id="rId343" Type="http://schemas.openxmlformats.org/officeDocument/2006/relationships/hyperlink" Target="https://citeseerx.ist.psu.edu/viewdoc/download?doi=10.1.1.24.1291&amp;rep=rep1&amp;type=pdf" TargetMode="External"/><Relationship Id="rId100" Type="http://schemas.openxmlformats.org/officeDocument/2006/relationships/hyperlink" Target="https://epubs.siam.org/doi/abs/10.1137/0217049" TargetMode="External"/><Relationship Id="rId342" Type="http://schemas.openxmlformats.org/officeDocument/2006/relationships/hyperlink" Target="https://citeseerx.ist.psu.edu/viewdoc/download?doi=10.1.1.24.1291&amp;rep=rep1&amp;type=pdf" TargetMode="External"/><Relationship Id="rId338" Type="http://schemas.openxmlformats.org/officeDocument/2006/relationships/hyperlink" Target="https://di.ku.dk/forskning/Publikationer/tekniske_rapporter/tekniske-rapporter-1997/97-05.pdf" TargetMode="External"/><Relationship Id="rId337" Type="http://schemas.openxmlformats.org/officeDocument/2006/relationships/hyperlink" Target="https://link.springer.com/content/pdf/10.1007/BF02136029.pdf" TargetMode="External"/><Relationship Id="rId336" Type="http://schemas.openxmlformats.org/officeDocument/2006/relationships/hyperlink" Target="https://arxiv.org/pdf/0812.4893.pdf" TargetMode="External"/><Relationship Id="rId335" Type="http://schemas.openxmlformats.org/officeDocument/2006/relationships/hyperlink" Target="https://arxiv.org/pdf/0812.4893.pdf" TargetMode="External"/><Relationship Id="rId339" Type="http://schemas.openxmlformats.org/officeDocument/2006/relationships/hyperlink" Target="http://theory.stanford.edu/~megiddo/pdf/soda94.pdf" TargetMode="External"/><Relationship Id="rId330" Type="http://schemas.openxmlformats.org/officeDocument/2006/relationships/hyperlink" Target="https://arxiv.org/pdf/1801.00202.pdf" TargetMode="External"/><Relationship Id="rId334" Type="http://schemas.openxmlformats.org/officeDocument/2006/relationships/hyperlink" Target="https://arxiv.org/pdf/0812.4893.pdf" TargetMode="External"/><Relationship Id="rId333" Type="http://schemas.openxmlformats.org/officeDocument/2006/relationships/hyperlink" Target="https://web.archive.org/web/20180425231851/https://www.cs.cmu.edu/~ygu1/paper/SPAA16/Incremental.pdf" TargetMode="External"/><Relationship Id="rId332" Type="http://schemas.openxmlformats.org/officeDocument/2006/relationships/hyperlink" Target="https://web.archive.org/web/20180425231851/https://www.cs.cmu.edu/~ygu1/paper/SPAA16/Incremental.pdf" TargetMode="External"/><Relationship Id="rId331" Type="http://schemas.openxmlformats.org/officeDocument/2006/relationships/hyperlink" Target="https://web.archive.org/web/20180425231851/https://www.cs.cmu.edu/~ygu1/paper/SPAA16/Incremental.pdf" TargetMode="External"/><Relationship Id="rId370" Type="http://schemas.openxmlformats.org/officeDocument/2006/relationships/hyperlink" Target="https://www.researchgate.net/publication/228945502_On_parallel_transformations_of_suffix_arrays_into_suffix_trees" TargetMode="External"/><Relationship Id="rId129" Type="http://schemas.openxmlformats.org/officeDocument/2006/relationships/hyperlink" Target="https://pure.mpg.de/pubman/faces/ViewItemOverviewPage.jsp?itemId=item_1834884" TargetMode="External"/><Relationship Id="rId128" Type="http://schemas.openxmlformats.org/officeDocument/2006/relationships/hyperlink" Target="https://www.cse.iitd.ac.in/~sSen/journals/acta.pdf" TargetMode="External"/><Relationship Id="rId127" Type="http://schemas.openxmlformats.org/officeDocument/2006/relationships/hyperlink" Target="https://www.computer.org/csdl/journal/td/1992/05/l0626/13rRUxly9dj" TargetMode="External"/><Relationship Id="rId369" Type="http://schemas.openxmlformats.org/officeDocument/2006/relationships/hyperlink" Target="https://www.cs.rutgers.edu/~farach/pubs/PRAMSuffixICALP.pdf" TargetMode="External"/><Relationship Id="rId126" Type="http://schemas.openxmlformats.org/officeDocument/2006/relationships/hyperlink" Target="https://www.sciencedirect.com/science/article/pii/074373159290075X" TargetMode="External"/><Relationship Id="rId368" Type="http://schemas.openxmlformats.org/officeDocument/2006/relationships/hyperlink" Target="https://people.cs.rutgers.edu/~farach/pubs/PRAMSuffixICALP.pdf" TargetMode="External"/><Relationship Id="rId121" Type="http://schemas.openxmlformats.org/officeDocument/2006/relationships/hyperlink" Target="https://www.sciencedirect.com/science/article/pii/0196677492900166?via%3Dihub" TargetMode="External"/><Relationship Id="rId363" Type="http://schemas.openxmlformats.org/officeDocument/2006/relationships/hyperlink" Target="https://link.springer.com/content/pdf/10.1007/3-540-57811-0_3.pdf" TargetMode="External"/><Relationship Id="rId120" Type="http://schemas.openxmlformats.org/officeDocument/2006/relationships/hyperlink" Target="https://www.sciencedirect.com/science/article/pii/019667749190034V" TargetMode="External"/><Relationship Id="rId362" Type="http://schemas.openxmlformats.org/officeDocument/2006/relationships/hyperlink" Target="https://link.springer.com/content/pdf/10.1007/3-540-57811-0_3.pdf" TargetMode="External"/><Relationship Id="rId361" Type="http://schemas.openxmlformats.org/officeDocument/2006/relationships/hyperlink" Target="https://www.sciencedirect.com/science/article/pii/S0022000097914963" TargetMode="External"/><Relationship Id="rId360" Type="http://schemas.openxmlformats.org/officeDocument/2006/relationships/hyperlink" Target="https://www.sciencedirect.com/science/article/pii/S0022000097914963" TargetMode="External"/><Relationship Id="rId125" Type="http://schemas.openxmlformats.org/officeDocument/2006/relationships/hyperlink" Target="https://www.computer.org/csdl/journal/tc/1992/01/t0097/13rRUILLkD1" TargetMode="External"/><Relationship Id="rId367" Type="http://schemas.openxmlformats.org/officeDocument/2006/relationships/hyperlink" Target="https://people.cs.rutgers.edu/~farach/pubs/PRAMSuffixICALP.pdf" TargetMode="External"/><Relationship Id="rId124" Type="http://schemas.openxmlformats.org/officeDocument/2006/relationships/hyperlink" Target="https://en.wikipedia.org/wiki/Cubesort" TargetMode="External"/><Relationship Id="rId366" Type="http://schemas.openxmlformats.org/officeDocument/2006/relationships/hyperlink" Target="https://www.cs.rutgers.edu/~farach/pubs/PRAMSuffixICALP.pdf" TargetMode="External"/><Relationship Id="rId123" Type="http://schemas.openxmlformats.org/officeDocument/2006/relationships/hyperlink" Target="https://www.sciencedirect.com/science/article/pii/0196677492900166?via%3Dihub" TargetMode="External"/><Relationship Id="rId365" Type="http://schemas.openxmlformats.org/officeDocument/2006/relationships/hyperlink" Target="https://link.springer.com/content/pdf/10.1007/3-540-57811-0_3.pdf" TargetMode="External"/><Relationship Id="rId122" Type="http://schemas.openxmlformats.org/officeDocument/2006/relationships/hyperlink" Target="https://www.sciencedirect.com/science/article/pii/0196677492900166?via%3Dihub" TargetMode="External"/><Relationship Id="rId364" Type="http://schemas.openxmlformats.org/officeDocument/2006/relationships/hyperlink" Target="https://link.springer.com/content/pdf/10.1007/3-540-57811-0_3.pdf" TargetMode="External"/><Relationship Id="rId95" Type="http://schemas.openxmlformats.org/officeDocument/2006/relationships/hyperlink" Target="https://epubs.siam.org/doi/abs/10.1137/0217049" TargetMode="External"/><Relationship Id="rId94" Type="http://schemas.openxmlformats.org/officeDocument/2006/relationships/hyperlink" Target="https://link.springer.com/chapter/10.1007/BFb0040409" TargetMode="External"/><Relationship Id="rId97" Type="http://schemas.openxmlformats.org/officeDocument/2006/relationships/hyperlink" Target="https://epubs.siam.org/doi/abs/10.1137/0217049" TargetMode="External"/><Relationship Id="rId96" Type="http://schemas.openxmlformats.org/officeDocument/2006/relationships/hyperlink" Target="https://epubs.siam.org/doi/abs/10.1137/0217049" TargetMode="External"/><Relationship Id="rId99" Type="http://schemas.openxmlformats.org/officeDocument/2006/relationships/hyperlink" Target="https://epubs.siam.org/doi/abs/10.1137/0217049" TargetMode="External"/><Relationship Id="rId98" Type="http://schemas.openxmlformats.org/officeDocument/2006/relationships/hyperlink" Target="https://epubs.siam.org/doi/abs/10.1137/0217049" TargetMode="External"/><Relationship Id="rId91" Type="http://schemas.openxmlformats.org/officeDocument/2006/relationships/hyperlink" Target="https://dl.acm.org/doi/pdf/10.1145/12130.12156" TargetMode="External"/><Relationship Id="rId90" Type="http://schemas.openxmlformats.org/officeDocument/2006/relationships/hyperlink" Target="http://h.web.umkc.edu/hanyij/html/research/icpp86.pdf" TargetMode="External"/><Relationship Id="rId93" Type="http://schemas.openxmlformats.org/officeDocument/2006/relationships/hyperlink" Target="https://ieeexplore.ieee.org/abstract/document/5009478" TargetMode="External"/><Relationship Id="rId92" Type="http://schemas.openxmlformats.org/officeDocument/2006/relationships/hyperlink" Target="https://www.sciencedirect.com/science/article/pii/0890540187900629" TargetMode="External"/><Relationship Id="rId118" Type="http://schemas.openxmlformats.org/officeDocument/2006/relationships/hyperlink" Target="https://pure.mpg.de/pubman/faces/ViewItemOverviewPage.jsp?itemId=item_1834995" TargetMode="External"/><Relationship Id="rId117" Type="http://schemas.openxmlformats.org/officeDocument/2006/relationships/hyperlink" Target="https://www.sciencedirect.com/science/article/pii/089054019190031V" TargetMode="External"/><Relationship Id="rId359" Type="http://schemas.openxmlformats.org/officeDocument/2006/relationships/hyperlink" Target="https://www.sciencedirect.com/science/article/pii/S0022000097914963" TargetMode="External"/><Relationship Id="rId116" Type="http://schemas.openxmlformats.org/officeDocument/2006/relationships/hyperlink" Target="https://link.springer.com/article/10.1007/BF01759076" TargetMode="External"/><Relationship Id="rId358" Type="http://schemas.openxmlformats.org/officeDocument/2006/relationships/hyperlink" Target="https://www.sciencedirect.com/science/article/pii/S0022000097914963" TargetMode="External"/><Relationship Id="rId115" Type="http://schemas.openxmlformats.org/officeDocument/2006/relationships/hyperlink" Target="https://ieeexplore.ieee.org/abstract/document/89545" TargetMode="External"/><Relationship Id="rId357" Type="http://schemas.openxmlformats.org/officeDocument/2006/relationships/hyperlink" Target="https://www.sciencedirect.com/science/article/abs/pii/016781919400063G" TargetMode="External"/><Relationship Id="rId119" Type="http://schemas.openxmlformats.org/officeDocument/2006/relationships/hyperlink" Target="https://dl.acm.org/doi/pdf/10.1145/103418.103452" TargetMode="External"/><Relationship Id="rId110" Type="http://schemas.openxmlformats.org/officeDocument/2006/relationships/hyperlink" Target="https://epubs.siam.org/doi/abs/10.1137/0218014" TargetMode="External"/><Relationship Id="rId352" Type="http://schemas.openxmlformats.org/officeDocument/2006/relationships/hyperlink" Target="https://citeseerx.ist.psu.edu/viewdoc/download?doi=10.1.1.24.1291&amp;rep=rep1&amp;type=pdf" TargetMode="External"/><Relationship Id="rId351" Type="http://schemas.openxmlformats.org/officeDocument/2006/relationships/hyperlink" Target="https://www.sciencedirect.com/science/article/pii/0167642387900347" TargetMode="External"/><Relationship Id="rId350" Type="http://schemas.openxmlformats.org/officeDocument/2006/relationships/hyperlink" Target="https://www.sciencedirect.com/science/article/pii/0167642387900347" TargetMode="External"/><Relationship Id="rId114" Type="http://schemas.openxmlformats.org/officeDocument/2006/relationships/hyperlink" Target="https://dl.acm.org/doi/pdf/10.1145/100216.100240" TargetMode="External"/><Relationship Id="rId356" Type="http://schemas.openxmlformats.org/officeDocument/2006/relationships/hyperlink" Target="https://www.sciencedirect.com/science/article/abs/pii/016781919400063G" TargetMode="External"/><Relationship Id="rId113" Type="http://schemas.openxmlformats.org/officeDocument/2006/relationships/hyperlink" Target="https://link.springer.com/chapter/10.1007/3-540-53487-3_42" TargetMode="External"/><Relationship Id="rId355" Type="http://schemas.openxmlformats.org/officeDocument/2006/relationships/hyperlink" Target="https://www.sciencedirect.com/science/article/abs/pii/016781919400063G" TargetMode="External"/><Relationship Id="rId112" Type="http://schemas.openxmlformats.org/officeDocument/2006/relationships/hyperlink" Target="https://www.sciencedirect.com/science/article/pii/002001909090097H" TargetMode="External"/><Relationship Id="rId354" Type="http://schemas.openxmlformats.org/officeDocument/2006/relationships/hyperlink" Target="https://citeseerx.ist.psu.edu/viewdoc/download?doi=10.1.1.24.1291&amp;rep=rep1&amp;type=pdf" TargetMode="External"/><Relationship Id="rId111" Type="http://schemas.openxmlformats.org/officeDocument/2006/relationships/hyperlink" Target="https://ieeexplore.ieee.org/abstract/document/62417" TargetMode="External"/><Relationship Id="rId353" Type="http://schemas.openxmlformats.org/officeDocument/2006/relationships/hyperlink" Target="https://citeseerx.ist.psu.edu/viewdoc/download?doi=10.1.1.24.1291&amp;rep=rep1&amp;type=pdf" TargetMode="External"/><Relationship Id="rId305" Type="http://schemas.openxmlformats.org/officeDocument/2006/relationships/hyperlink" Target="https://www.sciencedirect.com/science/article/pii/0020019080900356" TargetMode="External"/><Relationship Id="rId304" Type="http://schemas.openxmlformats.org/officeDocument/2006/relationships/hyperlink" Target="https://www.sciencedirect.com/science/article/pii/0020019080900356" TargetMode="External"/><Relationship Id="rId303" Type="http://schemas.openxmlformats.org/officeDocument/2006/relationships/hyperlink" Target="https://www.sciencedirect.com/science/article/pii/0020019080900356" TargetMode="External"/><Relationship Id="rId302" Type="http://schemas.openxmlformats.org/officeDocument/2006/relationships/hyperlink" Target="https://pure.mpg.de/pubman/faces/ViewItemOverviewPage.jsp?itemId=item_1834886" TargetMode="External"/><Relationship Id="rId309" Type="http://schemas.openxmlformats.org/officeDocument/2006/relationships/hyperlink" Target="https://link.springer.com/chapter/10.1007/BFb0030778" TargetMode="External"/><Relationship Id="rId308" Type="http://schemas.openxmlformats.org/officeDocument/2006/relationships/hyperlink" Target="https://link.springer.com/chapter/10.1007/BFb0030778" TargetMode="External"/><Relationship Id="rId307" Type="http://schemas.openxmlformats.org/officeDocument/2006/relationships/hyperlink" Target="https://www.ams.org/journals/mcom/1993-61-203/S0025-5718-1993-1182953-4/S0025-5718-1993-1182953-4.pdf" TargetMode="External"/><Relationship Id="rId306" Type="http://schemas.openxmlformats.org/officeDocument/2006/relationships/hyperlink" Target="https://www.sciencedirect.com/science/article/pii/0020019080900356" TargetMode="External"/><Relationship Id="rId301" Type="http://schemas.openxmlformats.org/officeDocument/2006/relationships/hyperlink" Target="https://pure.mpg.de/pubman/faces/ViewItemOverviewPage.jsp?itemId=item_1834886" TargetMode="External"/><Relationship Id="rId300" Type="http://schemas.openxmlformats.org/officeDocument/2006/relationships/hyperlink" Target="https://pure.mpg.de/pubman/faces/ViewItemOverviewPage.jsp?itemId=item_1834886" TargetMode="External"/><Relationship Id="rId327" Type="http://schemas.openxmlformats.org/officeDocument/2006/relationships/hyperlink" Target="https://citeseerx.ist.psu.edu/viewdoc/summary?doi=10.1.1.64.5439" TargetMode="External"/><Relationship Id="rId326" Type="http://schemas.openxmlformats.org/officeDocument/2006/relationships/hyperlink" Target="https://citeseerx.ist.psu.edu/viewdoc/summary?doi=10.1.1.64.5439" TargetMode="External"/><Relationship Id="rId325" Type="http://schemas.openxmlformats.org/officeDocument/2006/relationships/hyperlink" Target="https://www.proquest.com/docview/919780720?pq-origsite=gscholar&amp;fromopenview=true" TargetMode="External"/><Relationship Id="rId324" Type="http://schemas.openxmlformats.org/officeDocument/2006/relationships/hyperlink" Target="https://www.proquest.com/docview/919780720?pq-origsite=gscholar&amp;fromopenview=true" TargetMode="External"/><Relationship Id="rId329" Type="http://schemas.openxmlformats.org/officeDocument/2006/relationships/hyperlink" Target="https://www.schoolofhaskell.com/user/edwardk/online-lca" TargetMode="External"/><Relationship Id="rId328" Type="http://schemas.openxmlformats.org/officeDocument/2006/relationships/hyperlink" Target="https://citeseerx.ist.psu.edu/viewdoc/summary?doi=10.1.1.64.5439" TargetMode="External"/><Relationship Id="rId323" Type="http://schemas.openxmlformats.org/officeDocument/2006/relationships/hyperlink" Target="https://epubs.siam.org/doi/epdf/10.1137/0217079" TargetMode="External"/><Relationship Id="rId322" Type="http://schemas.openxmlformats.org/officeDocument/2006/relationships/hyperlink" Target="https://epubs.siam.org/doi/epdf/10.1137/0217079" TargetMode="External"/><Relationship Id="rId321" Type="http://schemas.openxmlformats.org/officeDocument/2006/relationships/hyperlink" Target="https://epubs.siam.org/doi/abs/10.1137/0217079?journalCode=smjcat" TargetMode="External"/><Relationship Id="rId320" Type="http://schemas.openxmlformats.org/officeDocument/2006/relationships/hyperlink" Target="https://www.proquest.com/docview/920003939?fromopenview=true&amp;pq-origsite=gscholar&amp;parentSessionId=sFqBaY3zmnfUFqEv4cfbNEqD%2FS7jMtMwgheB67Bgqws%3D" TargetMode="External"/><Relationship Id="rId316" Type="http://schemas.openxmlformats.org/officeDocument/2006/relationships/hyperlink" Target="https://dbs.ifi.uni-heidelberg.de/files/Team/eschubert/publications/SSDBM18-covariance-authorcopy.pdf" TargetMode="External"/><Relationship Id="rId315" Type="http://schemas.openxmlformats.org/officeDocument/2006/relationships/hyperlink" Target="https://dbs.ifi.uni-heidelberg.de/files/Team/eschubert/publications/SSDBM18-covariance-authorcopy.pdf" TargetMode="External"/><Relationship Id="rId314" Type="http://schemas.openxmlformats.org/officeDocument/2006/relationships/hyperlink" Target="http://i.stanford.edu/pub/cstr/reports/cs/tr/79/773/CS-TR-79-773.pdf" TargetMode="External"/><Relationship Id="rId313" Type="http://schemas.openxmlformats.org/officeDocument/2006/relationships/hyperlink" Target="https://citeseerx.ist.psu.edu/viewdoc/download?doi=10.1.1.54.6940&amp;rep=rep1&amp;type=pdf" TargetMode="External"/><Relationship Id="rId319" Type="http://schemas.openxmlformats.org/officeDocument/2006/relationships/hyperlink" Target="https://www.proquest.com/docview/920003939?fromopenview=true&amp;pq-origsite=gscholar&amp;parentSessionId=sFqBaY3zmnfUFqEv4cfbNEqD%2FS7jMtMwgheB67Bgqws%3D" TargetMode="External"/><Relationship Id="rId318" Type="http://schemas.openxmlformats.org/officeDocument/2006/relationships/hyperlink" Target="https://www.proquest.com/docview/920003939?pq-origsite=gscholar&amp;fromopenview=true" TargetMode="External"/><Relationship Id="rId317" Type="http://schemas.openxmlformats.org/officeDocument/2006/relationships/hyperlink" Target="https://dbs.ifi.uni-heidelberg.de/files/Team/eschubert/publications/SSDBM18-covariance-authorcopy.pdf" TargetMode="External"/><Relationship Id="rId312" Type="http://schemas.openxmlformats.org/officeDocument/2006/relationships/hyperlink" Target="https://citeseerx.ist.psu.edu/viewdoc/download?doi=10.1.1.54.6940&amp;rep=rep1&amp;type=pdf" TargetMode="External"/><Relationship Id="rId311" Type="http://schemas.openxmlformats.org/officeDocument/2006/relationships/hyperlink" Target="https://citeseerx.ist.psu.edu/viewdoc/download?doi=10.1.1.54.6940&amp;rep=rep1&amp;type=pdf" TargetMode="External"/><Relationship Id="rId310" Type="http://schemas.openxmlformats.org/officeDocument/2006/relationships/hyperlink" Target="https://onlinelibrary.wiley.com/doi/abs/10.1111/1467-8659.1510061" TargetMode="External"/><Relationship Id="rId297" Type="http://schemas.openxmlformats.org/officeDocument/2006/relationships/hyperlink" Target="https://link.springer.com/article/10.1007/BF01758749" TargetMode="External"/><Relationship Id="rId296" Type="http://schemas.openxmlformats.org/officeDocument/2006/relationships/hyperlink" Target="https://dl.acm.org/doi/pdf/10.1145/2514.2525" TargetMode="External"/><Relationship Id="rId295" Type="http://schemas.openxmlformats.org/officeDocument/2006/relationships/hyperlink" Target="https://www.osti.gov/biblio/5689584" TargetMode="External"/><Relationship Id="rId294" Type="http://schemas.openxmlformats.org/officeDocument/2006/relationships/hyperlink" Target="https://dl.acm.org/doi/pdf/10.1145/2514.2524" TargetMode="External"/><Relationship Id="rId299" Type="http://schemas.openxmlformats.org/officeDocument/2006/relationships/hyperlink" Target="https://link.springer.com/article/10.1007/BF01758749" TargetMode="External"/><Relationship Id="rId298" Type="http://schemas.openxmlformats.org/officeDocument/2006/relationships/hyperlink" Target="https://link.springer.com/article/10.1007/BF01758749" TargetMode="External"/><Relationship Id="rId271" Type="http://schemas.openxmlformats.org/officeDocument/2006/relationships/hyperlink" Target="https://www.sciencedirect.com/science/article/pii/S0743731506001262" TargetMode="External"/><Relationship Id="rId270" Type="http://schemas.openxmlformats.org/officeDocument/2006/relationships/hyperlink" Target="https://www.sciencedirect.com/science/article/pii/S0743731506001262" TargetMode="External"/><Relationship Id="rId269" Type="http://schemas.openxmlformats.org/officeDocument/2006/relationships/hyperlink" Target="https://www.sciencedirect.com/science/article/pii/S0743731506001262" TargetMode="External"/><Relationship Id="rId264" Type="http://schemas.openxmlformats.org/officeDocument/2006/relationships/hyperlink" Target="https://apps.dtic.mil/sti/citations/ADA114875" TargetMode="External"/><Relationship Id="rId263" Type="http://schemas.openxmlformats.org/officeDocument/2006/relationships/hyperlink" Target="https://dl.acm.org/doi/pdf/10.1145/2514.2515" TargetMode="External"/><Relationship Id="rId262" Type="http://schemas.openxmlformats.org/officeDocument/2006/relationships/hyperlink" Target="https://www.sciencedirect.com/science/article/pii/002001908290093X" TargetMode="External"/><Relationship Id="rId261" Type="http://schemas.openxmlformats.org/officeDocument/2006/relationships/hyperlink" Target="https://dl.acm.org/doi/pdf/10.1145/2514.2515" TargetMode="External"/><Relationship Id="rId268" Type="http://schemas.openxmlformats.org/officeDocument/2006/relationships/hyperlink" Target="https://www.sciencedirect.com/science/article/pii/S0743731506001262" TargetMode="External"/><Relationship Id="rId267" Type="http://schemas.openxmlformats.org/officeDocument/2006/relationships/hyperlink" Target="https://dl.acm.org/doi/pdf/10.1145/2514.2515" TargetMode="External"/><Relationship Id="rId266" Type="http://schemas.openxmlformats.org/officeDocument/2006/relationships/hyperlink" Target="https://www.proquest.com/docview/303249065?pq-origsite=gscholar&amp;fromopenview=true" TargetMode="External"/><Relationship Id="rId265" Type="http://schemas.openxmlformats.org/officeDocument/2006/relationships/hyperlink" Target="https://dl.acm.org/doi/pdf/10.1145/2514.2515" TargetMode="External"/><Relationship Id="rId260" Type="http://schemas.openxmlformats.org/officeDocument/2006/relationships/hyperlink" Target="https://dl.acm.org/doi/pdf/10.1145/2514.2515" TargetMode="External"/><Relationship Id="rId259" Type="http://schemas.openxmlformats.org/officeDocument/2006/relationships/hyperlink" Target="https://www.sciencedirect.com/science/article/pii/0020019082901314" TargetMode="External"/><Relationship Id="rId258" Type="http://schemas.openxmlformats.org/officeDocument/2006/relationships/hyperlink" Target="https://dl.acm.org/doi/pdf/10.1145/2514.2515" TargetMode="External"/><Relationship Id="rId253" Type="http://schemas.openxmlformats.org/officeDocument/2006/relationships/hyperlink" Target="https://epubs.siam.org/doi/abs/10.1137/0210051" TargetMode="External"/><Relationship Id="rId252" Type="http://schemas.openxmlformats.org/officeDocument/2006/relationships/hyperlink" Target="https://dl.acm.org/doi/pdf/10.1145/358628.358650" TargetMode="External"/><Relationship Id="rId251" Type="http://schemas.openxmlformats.org/officeDocument/2006/relationships/hyperlink" Target="https://dl.acm.org/doi/pdf/10.1145/2514.2515" TargetMode="External"/><Relationship Id="rId250" Type="http://schemas.openxmlformats.org/officeDocument/2006/relationships/hyperlink" Target="https://epubs.siam.org/doi/abs/10.1137/0209058" TargetMode="External"/><Relationship Id="rId257" Type="http://schemas.openxmlformats.org/officeDocument/2006/relationships/hyperlink" Target="https://link.springer.com/chapter/10.1007/978-3-642-68402-9_32" TargetMode="External"/><Relationship Id="rId256" Type="http://schemas.openxmlformats.org/officeDocument/2006/relationships/hyperlink" Target="https://dl.acm.org/doi/pdf/10.1145/2514.2515" TargetMode="External"/><Relationship Id="rId255" Type="http://schemas.openxmlformats.org/officeDocument/2006/relationships/hyperlink" Target="https://epubs.siam.org/doi/abs/10.1137/0210051" TargetMode="External"/><Relationship Id="rId254" Type="http://schemas.openxmlformats.org/officeDocument/2006/relationships/hyperlink" Target="https://dl.acm.org/doi/pdf/10.1145/2514.2515" TargetMode="External"/><Relationship Id="rId293" Type="http://schemas.openxmlformats.org/officeDocument/2006/relationships/hyperlink" Target="https://dl.acm.org/doi/pdf/10.1145/2514.2523" TargetMode="External"/><Relationship Id="rId292" Type="http://schemas.openxmlformats.org/officeDocument/2006/relationships/hyperlink" Target="https://www.proquest.com/docview/303249065?pq-origsite=gscholar&amp;fromopenview=true" TargetMode="External"/><Relationship Id="rId291" Type="http://schemas.openxmlformats.org/officeDocument/2006/relationships/hyperlink" Target="https://dl.acm.org/doi/pdf/10.1145/2514.2522" TargetMode="External"/><Relationship Id="rId290" Type="http://schemas.openxmlformats.org/officeDocument/2006/relationships/hyperlink" Target="https://dl.acm.org/doi/abs/10.1145/358628.358650" TargetMode="External"/><Relationship Id="rId286" Type="http://schemas.openxmlformats.org/officeDocument/2006/relationships/hyperlink" Target="https://www.sciencedirect.com/science/article/pii/0020019082901314" TargetMode="External"/><Relationship Id="rId285" Type="http://schemas.openxmlformats.org/officeDocument/2006/relationships/hyperlink" Target="https://dl.acm.org/doi/pdf/10.1145/2514.2519" TargetMode="External"/><Relationship Id="rId284" Type="http://schemas.openxmlformats.org/officeDocument/2006/relationships/hyperlink" Target="https://epubs.siam.org/doi/abs/10.1137/0210051" TargetMode="External"/><Relationship Id="rId283" Type="http://schemas.openxmlformats.org/officeDocument/2006/relationships/hyperlink" Target="https://dl.acm.org/doi/pdf/10.1145/2514.2518" TargetMode="External"/><Relationship Id="rId289" Type="http://schemas.openxmlformats.org/officeDocument/2006/relationships/hyperlink" Target="https://dl.acm.org/doi/pdf/10.1145/2514.2521" TargetMode="External"/><Relationship Id="rId288" Type="http://schemas.openxmlformats.org/officeDocument/2006/relationships/hyperlink" Target="https://www.sciencedirect.com/science/article/pii/002001908290093X" TargetMode="External"/><Relationship Id="rId287" Type="http://schemas.openxmlformats.org/officeDocument/2006/relationships/hyperlink" Target="https://dl.acm.org/doi/pdf/10.1145/2514.2520" TargetMode="External"/><Relationship Id="rId282" Type="http://schemas.openxmlformats.org/officeDocument/2006/relationships/hyperlink" Target="https://dl.acm.org/doi/pdf/10.1145/2514.2517" TargetMode="External"/><Relationship Id="rId281" Type="http://schemas.openxmlformats.org/officeDocument/2006/relationships/hyperlink" Target="https://www.sciencedirect.com/science/article/pii/0196677480900048" TargetMode="External"/><Relationship Id="rId280" Type="http://schemas.openxmlformats.org/officeDocument/2006/relationships/hyperlink" Target="https://dl.acm.org/doi/pdf/10.1145/2514.2516" TargetMode="External"/><Relationship Id="rId275" Type="http://schemas.openxmlformats.org/officeDocument/2006/relationships/hyperlink" Target="https://dl.acm.org/doi/abs/10.1145/361573.361576" TargetMode="External"/><Relationship Id="rId274" Type="http://schemas.openxmlformats.org/officeDocument/2006/relationships/hyperlink" Target="https://dl.acm.org/doi/pdf/10.1145/2514.2515" TargetMode="External"/><Relationship Id="rId273" Type="http://schemas.openxmlformats.org/officeDocument/2006/relationships/hyperlink" Target="https://dl.acm.org/doi/abs/10.1145/361573.361576" TargetMode="External"/><Relationship Id="rId272" Type="http://schemas.openxmlformats.org/officeDocument/2006/relationships/hyperlink" Target="https://dl.acm.org/doi/pdf/10.1145/2145816.2145842" TargetMode="External"/><Relationship Id="rId279" Type="http://schemas.openxmlformats.org/officeDocument/2006/relationships/hyperlink" Target="https://www.proquest.com/docview/302856503?pq-origsite=gscholar&amp;fromopenview=true" TargetMode="External"/><Relationship Id="rId278" Type="http://schemas.openxmlformats.org/officeDocument/2006/relationships/hyperlink" Target="https://dl.acm.org/doi/pdf/10.1145/2514.2515" TargetMode="External"/><Relationship Id="rId277" Type="http://schemas.openxmlformats.org/officeDocument/2006/relationships/hyperlink" Target="https://dl.acm.org/doi/abs/10.1145/361573.361576" TargetMode="External"/><Relationship Id="rId276" Type="http://schemas.openxmlformats.org/officeDocument/2006/relationships/hyperlink" Target="https://dl.acm.org/doi/pdf/10.1145/2514.2515" TargetMode="External"/><Relationship Id="rId409" Type="http://schemas.openxmlformats.org/officeDocument/2006/relationships/hyperlink" Target="https://dl.acm.org/doi/abs/10.1145/3332466.3374533" TargetMode="External"/><Relationship Id="rId404" Type="http://schemas.openxmlformats.org/officeDocument/2006/relationships/hyperlink" Target="https://www.sciencedirect.com/science/article/pii/S1051200411000650" TargetMode="External"/><Relationship Id="rId403" Type="http://schemas.openxmlformats.org/officeDocument/2006/relationships/hyperlink" Target="https://ieeexplore.ieee.org/abstract/document/5501465/" TargetMode="External"/><Relationship Id="rId402" Type="http://schemas.openxmlformats.org/officeDocument/2006/relationships/hyperlink" Target="https://repository.upenn.edu/hms/180/" TargetMode="External"/><Relationship Id="rId401" Type="http://schemas.openxmlformats.org/officeDocument/2006/relationships/hyperlink" Target="https://link.springer.com/article/10.1007/BF02936037" TargetMode="External"/><Relationship Id="rId408" Type="http://schemas.openxmlformats.org/officeDocument/2006/relationships/hyperlink" Target="https://ieeexplore.ieee.org/abstract/document/6877270/" TargetMode="External"/><Relationship Id="rId407" Type="http://schemas.openxmlformats.org/officeDocument/2006/relationships/hyperlink" Target="https://ascelibrary.org/doi/abs/10.1061/(ASCE)CP.1943-5487.0000220" TargetMode="External"/><Relationship Id="rId406" Type="http://schemas.openxmlformats.org/officeDocument/2006/relationships/hyperlink" Target="https://ieeexplore.ieee.org/abstract/document/6569841" TargetMode="External"/><Relationship Id="rId405" Type="http://schemas.openxmlformats.org/officeDocument/2006/relationships/hyperlink" Target="https://www.researchgate.net/profile/Fumihiko-Ino/publication/262236119_A_task_parallel_algorithm_for_finding_all-pairs_shortest_paths_using_the_GPU/links/00b49536c9c521a413000000/A-task-parallel-algorithm-for-finding-all-pairs-shortest-paths-using-the-GPU.pdf" TargetMode="External"/><Relationship Id="rId400" Type="http://schemas.openxmlformats.org/officeDocument/2006/relationships/hyperlink" Target="https://link.springer.com/chapter/10.1007/978-3-540-27798-9_31" TargetMode="External"/><Relationship Id="rId228" Type="http://schemas.openxmlformats.org/officeDocument/2006/relationships/hyperlink" Target="https://ris.utwente.nl/ws/files/6872352/Barnat09distributed.pdf" TargetMode="External"/><Relationship Id="rId227" Type="http://schemas.openxmlformats.org/officeDocument/2006/relationships/hyperlink" Target="http://essay.utwente.nl/67128/1/Bloemen_MA_EEMCS.pdf" TargetMode="External"/><Relationship Id="rId226" Type="http://schemas.openxmlformats.org/officeDocument/2006/relationships/hyperlink" Target="http://essay.utwente.nl/67128/1/Bloemen_MA_EEMCS.pdf" TargetMode="External"/><Relationship Id="rId225" Type="http://schemas.openxmlformats.org/officeDocument/2006/relationships/hyperlink" Target="https://ieeexplore.ieee.org/document/8133154" TargetMode="External"/><Relationship Id="rId229" Type="http://schemas.openxmlformats.org/officeDocument/2006/relationships/hyperlink" Target="https://research.vu.nl/en/publications/on-distributed-verification-and-verified-distribution" TargetMode="External"/><Relationship Id="rId220" Type="http://schemas.openxmlformats.org/officeDocument/2006/relationships/hyperlink" Target="http://essay.utwente.nl/67128/1/Bloemen_MA_EEMCS.pdf" TargetMode="External"/><Relationship Id="rId224" Type="http://schemas.openxmlformats.org/officeDocument/2006/relationships/hyperlink" Target="http://essay.utwente.nl/67128/1/Bloemen_MA_EEMCS.pdf" TargetMode="External"/><Relationship Id="rId223" Type="http://schemas.openxmlformats.org/officeDocument/2006/relationships/hyperlink" Target="http://essay.utwente.nl/67128/1/Bloemen_MA_EEMCS.pdf" TargetMode="External"/><Relationship Id="rId222" Type="http://schemas.openxmlformats.org/officeDocument/2006/relationships/hyperlink" Target="http://essay.utwente.nl/67128/1/Bloemen_MA_EEMCS.pdf" TargetMode="External"/><Relationship Id="rId221" Type="http://schemas.openxmlformats.org/officeDocument/2006/relationships/hyperlink" Target="https://link.springer.com/chapter/10.1007/978-3-642-45221-5_44" TargetMode="External"/><Relationship Id="rId217" Type="http://schemas.openxmlformats.org/officeDocument/2006/relationships/hyperlink" Target="http://www.cs.ox.ac.uk/people/gavin.lowe/parallelDFS.html" TargetMode="External"/><Relationship Id="rId216" Type="http://schemas.openxmlformats.org/officeDocument/2006/relationships/hyperlink" Target="http://essay.utwente.nl/67128/1/Bloemen_MA_EEMCS.pdf" TargetMode="External"/><Relationship Id="rId215" Type="http://schemas.openxmlformats.org/officeDocument/2006/relationships/hyperlink" Target="http://essay.utwente.nl/67128/1/Bloemen_MA_EEMCS.pdf" TargetMode="External"/><Relationship Id="rId214" Type="http://schemas.openxmlformats.org/officeDocument/2006/relationships/hyperlink" Target="https://ldhulipala.github.io/readings/sequential-scc.pdf" TargetMode="External"/><Relationship Id="rId219" Type="http://schemas.openxmlformats.org/officeDocument/2006/relationships/hyperlink" Target="http://essay.utwente.nl/67128/1/Bloemen_MA_EEMCS.pdf" TargetMode="External"/><Relationship Id="rId218" Type="http://schemas.openxmlformats.org/officeDocument/2006/relationships/hyperlink" Target="http://essay.utwente.nl/67128/1/Bloemen_MA_EEMCS.pdf" TargetMode="External"/><Relationship Id="rId213" Type="http://schemas.openxmlformats.org/officeDocument/2006/relationships/hyperlink" Target="https://cse.buffalo.edu/faculty/miller/Papers/IEEETC88a.pdf" TargetMode="External"/><Relationship Id="rId212" Type="http://schemas.openxmlformats.org/officeDocument/2006/relationships/hyperlink" Target="https://cse.buffalo.edu/faculty/miller/Papers/IEEETC88a.pdf" TargetMode="External"/><Relationship Id="rId211" Type="http://schemas.openxmlformats.org/officeDocument/2006/relationships/hyperlink" Target="https://cse.buffalo.edu/faculty/miller/Papers/IEEETC88a.pdf" TargetMode="External"/><Relationship Id="rId210" Type="http://schemas.openxmlformats.org/officeDocument/2006/relationships/hyperlink" Target="https://dl.acm.org/citation.cfm?id=72950" TargetMode="External"/><Relationship Id="rId249" Type="http://schemas.openxmlformats.org/officeDocument/2006/relationships/hyperlink" Target="https://dl.acm.org/doi/pdf/10.1145/2514.2515" TargetMode="External"/><Relationship Id="rId248" Type="http://schemas.openxmlformats.org/officeDocument/2006/relationships/hyperlink" Target="https://hdl.handle.net/1813/7502" TargetMode="External"/><Relationship Id="rId247" Type="http://schemas.openxmlformats.org/officeDocument/2006/relationships/hyperlink" Target="https://dl.acm.org/doi/pdf/10.1145/2514.2515" TargetMode="External"/><Relationship Id="rId242" Type="http://schemas.openxmlformats.org/officeDocument/2006/relationships/hyperlink" Target="https://dl.acm.org/doi/pdf/10.1145/2514.2515" TargetMode="External"/><Relationship Id="rId241" Type="http://schemas.openxmlformats.org/officeDocument/2006/relationships/hyperlink" Target="https://dl.acm.org/doi/abs/10.1145/800113.803631" TargetMode="External"/><Relationship Id="rId240" Type="http://schemas.openxmlformats.org/officeDocument/2006/relationships/hyperlink" Target="https://dl.acm.org/doi/pdf/10.1145/2514.2515" TargetMode="External"/><Relationship Id="rId246" Type="http://schemas.openxmlformats.org/officeDocument/2006/relationships/hyperlink" Target="https://dl.acm.org/doi/abs/10.1145/359138.359141" TargetMode="External"/><Relationship Id="rId245" Type="http://schemas.openxmlformats.org/officeDocument/2006/relationships/hyperlink" Target="https://dl.acm.org/doi/abs/10.1145/359138.359141" TargetMode="External"/><Relationship Id="rId244" Type="http://schemas.openxmlformats.org/officeDocument/2006/relationships/hyperlink" Target="https://dl.acm.org/doi/pdf/10.1145/2514.2515" TargetMode="External"/><Relationship Id="rId243" Type="http://schemas.openxmlformats.org/officeDocument/2006/relationships/hyperlink" Target="https://dl.acm.org/doi/abs/10.1145/800113.803631" TargetMode="External"/><Relationship Id="rId239" Type="http://schemas.openxmlformats.org/officeDocument/2006/relationships/hyperlink" Target="https://cir.nii.ac.jp/crid/1573105974323147776" TargetMode="External"/><Relationship Id="rId238" Type="http://schemas.openxmlformats.org/officeDocument/2006/relationships/hyperlink" Target="https://epubs.siam.org/doi/abs/10.1137/0207020" TargetMode="External"/><Relationship Id="rId237" Type="http://schemas.openxmlformats.org/officeDocument/2006/relationships/hyperlink" Target="https://dl.acm.org/doi/pdf/10.1145/2514.2515" TargetMode="External"/><Relationship Id="rId236" Type="http://schemas.openxmlformats.org/officeDocument/2006/relationships/hyperlink" Target="https://epubs.siam.org/doi/abs/10.1137/0207020" TargetMode="External"/><Relationship Id="rId231" Type="http://schemas.openxmlformats.org/officeDocument/2006/relationships/hyperlink" Target="http://essay.utwente.nl/67128/1/Bloemen_MA_EEMCS.pdf" TargetMode="External"/><Relationship Id="rId230" Type="http://schemas.openxmlformats.org/officeDocument/2006/relationships/hyperlink" Target="http://essay.utwente.nl/67128/1/Bloemen_MA_EEMCS.pdf" TargetMode="External"/><Relationship Id="rId235" Type="http://schemas.openxmlformats.org/officeDocument/2006/relationships/hyperlink" Target="https://www.semanticscholar.org/paper/Depth-First-Search-and-Linear-Graph-Algorithms-Tarjan/385742fffcf113656f0d3cf6c06ef95cb8439dc6" TargetMode="External"/><Relationship Id="rId234" Type="http://schemas.openxmlformats.org/officeDocument/2006/relationships/hyperlink" Target="http://essay.utwente.nl/67128/1/Bloemen_MA_EEMCS.pdf" TargetMode="External"/><Relationship Id="rId233" Type="http://schemas.openxmlformats.org/officeDocument/2006/relationships/hyperlink" Target="http://essay.utwente.nl/67128/1/Bloemen_MA_EEMCS.pdf" TargetMode="External"/><Relationship Id="rId232" Type="http://schemas.openxmlformats.org/officeDocument/2006/relationships/hyperlink" Target="https://stanford-ppl.github.io/website/papers/sc13-hong.pdf" TargetMode="External"/><Relationship Id="rId412" Type="http://schemas.openxmlformats.org/officeDocument/2006/relationships/vmlDrawing" Target="../drawings/vmlDrawing2.vml"/><Relationship Id="rId411" Type="http://schemas.openxmlformats.org/officeDocument/2006/relationships/drawing" Target="../drawings/drawing4.xml"/><Relationship Id="rId410" Type="http://schemas.openxmlformats.org/officeDocument/2006/relationships/hyperlink" Target="https://www.computer.org/csdl/journal/tc/1983/03/01676223/13rRUy0HYQg" TargetMode="External"/><Relationship Id="rId206" Type="http://schemas.openxmlformats.org/officeDocument/2006/relationships/hyperlink" Target="https://www.sciencedirect.com/science/article/pii/002001909090026T?ref=pdf_download&amp;fr=RR-2&amp;rr=7d29f5c94c8e2249" TargetMode="External"/><Relationship Id="rId205" Type="http://schemas.openxmlformats.org/officeDocument/2006/relationships/hyperlink" Target="https://www.sciencedirect.com/science/article/pii/002001909090026T?ref=pdf_download&amp;fr=RR-2&amp;rr=7d29f5c94c8e2249" TargetMode="External"/><Relationship Id="rId204" Type="http://schemas.openxmlformats.org/officeDocument/2006/relationships/hyperlink" Target="https://ieeexplore.ieee.org/document/89578" TargetMode="External"/><Relationship Id="rId203" Type="http://schemas.openxmlformats.org/officeDocument/2006/relationships/hyperlink" Target="https://ieeexplore.ieee.org/document/89578" TargetMode="External"/><Relationship Id="rId209" Type="http://schemas.openxmlformats.org/officeDocument/2006/relationships/hyperlink" Target="https://dl.acm.org/citation.cfm?id=72950" TargetMode="External"/><Relationship Id="rId208" Type="http://schemas.openxmlformats.org/officeDocument/2006/relationships/hyperlink" Target="https://dl.acm.org/citation.cfm?id=72950" TargetMode="External"/><Relationship Id="rId207" Type="http://schemas.openxmlformats.org/officeDocument/2006/relationships/hyperlink" Target="https://www.sciencedirect.com/science/article/pii/002001909090026T?ref=pdf_download&amp;fr=RR-2&amp;rr=7d29f5c94c8e2249" TargetMode="External"/><Relationship Id="rId202" Type="http://schemas.openxmlformats.org/officeDocument/2006/relationships/hyperlink" Target="https://ieeexplore.ieee.org/document/89578" TargetMode="External"/><Relationship Id="rId201" Type="http://schemas.openxmlformats.org/officeDocument/2006/relationships/hyperlink" Target="https://dl.acm.org/doi/pdf/10.1145/167088.167211" TargetMode="External"/><Relationship Id="rId200" Type="http://schemas.openxmlformats.org/officeDocument/2006/relationships/hyperlink" Target="https://dl.acm.org/doi/pdf/10.1145/167088.167211"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dl.acm.org/doi/abs/10.1145/361573.361576" TargetMode="External"/><Relationship Id="rId3" Type="http://schemas.openxmlformats.org/officeDocument/2006/relationships/hyperlink" Target="https://dl.acm.org/doi/abs/10.1145/361573.361576" TargetMode="External"/><Relationship Id="rId4" Type="http://schemas.openxmlformats.org/officeDocument/2006/relationships/hyperlink" Target="https://dl.acm.org/doi/abs/10.1145/321420.321434" TargetMode="External"/><Relationship Id="rId9" Type="http://schemas.openxmlformats.org/officeDocument/2006/relationships/vmlDrawing" Target="../drawings/vmlDrawing3.vml"/><Relationship Id="rId5" Type="http://schemas.openxmlformats.org/officeDocument/2006/relationships/hyperlink" Target="https://ieeexplore.ieee.org/abstract/document/1687426/" TargetMode="External"/><Relationship Id="rId6" Type="http://schemas.openxmlformats.org/officeDocument/2006/relationships/hyperlink" Target="http://math.cmu.edu/~af1p/Texfiles/PARALLELALG.pdf" TargetMode="External"/><Relationship Id="rId7" Type="http://schemas.openxmlformats.org/officeDocument/2006/relationships/hyperlink" Target="https://www.jstor.org/stable/pdf/25768652.pdf" TargetMode="External"/><Relationship Id="rId8"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50" Type="http://schemas.openxmlformats.org/officeDocument/2006/relationships/hyperlink" Target="https://arxiv.org/pdf/2205.14797.pdf" TargetMode="External"/><Relationship Id="rId1" Type="http://schemas.openxmlformats.org/officeDocument/2006/relationships/comments" Target="../comments4.xml"/><Relationship Id="rId2" Type="http://schemas.openxmlformats.org/officeDocument/2006/relationships/hyperlink" Target="http://lamport.azurewebsites.net/pubs/bakery.pdf?from=https://research.microsoft.com/users/lamport/pubs/bakery.pdf&amp;type=path" TargetMode="External"/><Relationship Id="rId3" Type="http://schemas.openxmlformats.org/officeDocument/2006/relationships/hyperlink" Target="http://lamport.azurewebsites.net/pubs/bakery.pdf?from=https://research.microsoft.com/users/lamport/pubs/bakery.pdf&amp;type=path" TargetMode="External"/><Relationship Id="rId149" Type="http://schemas.openxmlformats.org/officeDocument/2006/relationships/hyperlink" Target="https://arxiv.org/pdf/2205.14797.pdf" TargetMode="External"/><Relationship Id="rId4" Type="http://schemas.openxmlformats.org/officeDocument/2006/relationships/hyperlink" Target="https://dl.acm.org/doi/pdf/10.1145/357195.357200" TargetMode="External"/><Relationship Id="rId148" Type="http://schemas.openxmlformats.org/officeDocument/2006/relationships/hyperlink" Target="https://arxiv.org/pdf/2205.14797.pdf" TargetMode="External"/><Relationship Id="rId9" Type="http://schemas.openxmlformats.org/officeDocument/2006/relationships/hyperlink" Target="https://ieeexplore.ieee.org/stamp/stamp.jsp?tp=&amp;arnumber=4568149" TargetMode="External"/><Relationship Id="rId143" Type="http://schemas.openxmlformats.org/officeDocument/2006/relationships/hyperlink" Target="https://dl.acm.org/doi/pdf/10.5555/2095116.2095207" TargetMode="External"/><Relationship Id="rId142" Type="http://schemas.openxmlformats.org/officeDocument/2006/relationships/hyperlink" Target="https://dl.acm.org/doi/abs/10.1145/2332432.2332504" TargetMode="External"/><Relationship Id="rId141" Type="http://schemas.openxmlformats.org/officeDocument/2006/relationships/hyperlink" Target="https://dl.acm.org/doi/pdf/10.5555/2095116.2095207" TargetMode="External"/><Relationship Id="rId140" Type="http://schemas.openxmlformats.org/officeDocument/2006/relationships/hyperlink" Target="https://dl.acm.org/doi/abs/10.1145/2332432.2332504" TargetMode="External"/><Relationship Id="rId5" Type="http://schemas.openxmlformats.org/officeDocument/2006/relationships/hyperlink" Target="https://dl.acm.org/doi/pdf/10.1145/357195.357200" TargetMode="External"/><Relationship Id="rId147" Type="http://schemas.openxmlformats.org/officeDocument/2006/relationships/hyperlink" Target="https://arxiv.org/pdf/2205.14797.pdf" TargetMode="External"/><Relationship Id="rId6" Type="http://schemas.openxmlformats.org/officeDocument/2006/relationships/hyperlink" Target="https://dl.acm.org/doi/pdf/10.1145/357195.357200" TargetMode="External"/><Relationship Id="rId146" Type="http://schemas.openxmlformats.org/officeDocument/2006/relationships/hyperlink" Target="https://arxiv.org/pdf/2011.05066.pdf" TargetMode="External"/><Relationship Id="rId7" Type="http://schemas.openxmlformats.org/officeDocument/2006/relationships/hyperlink" Target="https://ieeexplore.ieee.org/stamp/stamp.jsp?tp=&amp;arnumber=4568149" TargetMode="External"/><Relationship Id="rId145" Type="http://schemas.openxmlformats.org/officeDocument/2006/relationships/hyperlink" Target="https://link.springer.com/article/10.1007/s00446-018-0326-6" TargetMode="External"/><Relationship Id="rId8" Type="http://schemas.openxmlformats.org/officeDocument/2006/relationships/hyperlink" Target="https://ieeexplore.ieee.org/stamp/stamp.jsp?tp=&amp;arnumber=4568149" TargetMode="External"/><Relationship Id="rId144" Type="http://schemas.openxmlformats.org/officeDocument/2006/relationships/hyperlink" Target="https://arxiv.org/pdf/2011.05066.pdf" TargetMode="External"/><Relationship Id="rId139" Type="http://schemas.openxmlformats.org/officeDocument/2006/relationships/hyperlink" Target="https://dl.acm.org/doi/10.5555/2095116.2095207" TargetMode="External"/><Relationship Id="rId138" Type="http://schemas.openxmlformats.org/officeDocument/2006/relationships/hyperlink" Target="https://dl.acm.org/doi/abs/10.1145/2484239.2484262" TargetMode="External"/><Relationship Id="rId137" Type="http://schemas.openxmlformats.org/officeDocument/2006/relationships/hyperlink" Target="https://dl.acm.org/doi/10.5555/2095116.2095207" TargetMode="External"/><Relationship Id="rId132" Type="http://schemas.openxmlformats.org/officeDocument/2006/relationships/hyperlink" Target="https://link.springer.com/article/10.1007/s11432-020-2931-x" TargetMode="External"/><Relationship Id="rId131" Type="http://schemas.openxmlformats.org/officeDocument/2006/relationships/hyperlink" Target="https://arxiv.org/pdf/2101.07590.pdf" TargetMode="External"/><Relationship Id="rId130" Type="http://schemas.openxmlformats.org/officeDocument/2006/relationships/hyperlink" Target="https://arxiv.org/pdf/1503.04963.pdf" TargetMode="External"/><Relationship Id="rId136" Type="http://schemas.openxmlformats.org/officeDocument/2006/relationships/hyperlink" Target="https://link.springer.com/chapter/10.1007/978-3-642-31585-5_58" TargetMode="External"/><Relationship Id="rId135" Type="http://schemas.openxmlformats.org/officeDocument/2006/relationships/hyperlink" Target="https://arxiv.org/pdf/2205.14797.pdf" TargetMode="External"/><Relationship Id="rId134" Type="http://schemas.openxmlformats.org/officeDocument/2006/relationships/hyperlink" Target="https://arxiv.org/pdf/2205.14797.pdf" TargetMode="External"/><Relationship Id="rId133" Type="http://schemas.openxmlformats.org/officeDocument/2006/relationships/hyperlink" Target="https://link.springer.com/article/10.1007/s11432-020-2931-x" TargetMode="External"/><Relationship Id="rId163" Type="http://schemas.openxmlformats.org/officeDocument/2006/relationships/vmlDrawing" Target="../drawings/vmlDrawing4.vml"/><Relationship Id="rId162" Type="http://schemas.openxmlformats.org/officeDocument/2006/relationships/drawing" Target="../drawings/drawing6.xml"/><Relationship Id="rId161" Type="http://schemas.openxmlformats.org/officeDocument/2006/relationships/hyperlink" Target="http://groups.csail.mit.edu/tds/papers/Awerbuch/FOCS85.pdf" TargetMode="External"/><Relationship Id="rId160" Type="http://schemas.openxmlformats.org/officeDocument/2006/relationships/hyperlink" Target="http://groups.csail.mit.edu/tds/papers/Awerbuch/FOCS85.pdf" TargetMode="External"/><Relationship Id="rId159" Type="http://schemas.openxmlformats.org/officeDocument/2006/relationships/hyperlink" Target="https://dl.acm.org/doi/abs/10.1145/3293883.3295729" TargetMode="External"/><Relationship Id="rId154" Type="http://schemas.openxmlformats.org/officeDocument/2006/relationships/hyperlink" Target="https://arxiv.org/pdf/2205.14797.pdf" TargetMode="External"/><Relationship Id="rId153" Type="http://schemas.openxmlformats.org/officeDocument/2006/relationships/hyperlink" Target="https://arxiv.org/pdf/2205.14797.pdf" TargetMode="External"/><Relationship Id="rId152" Type="http://schemas.openxmlformats.org/officeDocument/2006/relationships/hyperlink" Target="https://arxiv.org/pdf/2205.14797.pdf" TargetMode="External"/><Relationship Id="rId151" Type="http://schemas.openxmlformats.org/officeDocument/2006/relationships/hyperlink" Target="https://arxiv.org/pdf/2205.14797.pdf" TargetMode="External"/><Relationship Id="rId158" Type="http://schemas.openxmlformats.org/officeDocument/2006/relationships/hyperlink" Target="https://arxiv.org/abs/1805.08124" TargetMode="External"/><Relationship Id="rId157" Type="http://schemas.openxmlformats.org/officeDocument/2006/relationships/hyperlink" Target="https://ieeexplore.ieee.org/document/7536526" TargetMode="External"/><Relationship Id="rId156" Type="http://schemas.openxmlformats.org/officeDocument/2006/relationships/hyperlink" Target="https://ieeexplore.ieee.org/document/7536526" TargetMode="External"/><Relationship Id="rId155" Type="http://schemas.openxmlformats.org/officeDocument/2006/relationships/hyperlink" Target="https://arxiv.org/pdf/0812.4893.pdf" TargetMode="External"/><Relationship Id="rId40" Type="http://schemas.openxmlformats.org/officeDocument/2006/relationships/hyperlink" Target="https://dl.acm.org/doi/pdf/10.1145/3357713.3384298" TargetMode="External"/><Relationship Id="rId42" Type="http://schemas.openxmlformats.org/officeDocument/2006/relationships/hyperlink" Target="https://onlinelibrary.wiley.com/doi/abs/10.1002/rsa.20130" TargetMode="External"/><Relationship Id="rId41" Type="http://schemas.openxmlformats.org/officeDocument/2006/relationships/hyperlink" Target="https://dl.acm.org/doi/pdf/10.1145/3357713.3384298" TargetMode="External"/><Relationship Id="rId44" Type="http://schemas.openxmlformats.org/officeDocument/2006/relationships/hyperlink" Target="https://link.springer.com/chapter/10.1007/978-3-540-75142-7_16" TargetMode="External"/><Relationship Id="rId43" Type="http://schemas.openxmlformats.org/officeDocument/2006/relationships/hyperlink" Target="https://link.springer.com/chapter/10.1007/978-3-540-75142-7_16" TargetMode="External"/><Relationship Id="rId46" Type="http://schemas.openxmlformats.org/officeDocument/2006/relationships/hyperlink" Target="https://link.springer.com/chapter/10.1007/978-3-540-75142-7_16" TargetMode="External"/><Relationship Id="rId45" Type="http://schemas.openxmlformats.org/officeDocument/2006/relationships/hyperlink" Target="https://link.springer.com/chapter/10.1007/978-3-540-75142-7_16" TargetMode="External"/><Relationship Id="rId48" Type="http://schemas.openxmlformats.org/officeDocument/2006/relationships/hyperlink" Target="https://dl.acm.org/doi/abs/10.1145/1400751.1400788" TargetMode="External"/><Relationship Id="rId47" Type="http://schemas.openxmlformats.org/officeDocument/2006/relationships/hyperlink" Target="https://link.springer.com/chapter/10.1007/978-3-540-75142-7_16" TargetMode="External"/><Relationship Id="rId49" Type="http://schemas.openxmlformats.org/officeDocument/2006/relationships/hyperlink" Target="https://dl.acm.org/doi/abs/10.1145/1400751.1400788" TargetMode="External"/><Relationship Id="rId31" Type="http://schemas.openxmlformats.org/officeDocument/2006/relationships/hyperlink" Target="https://arxiv.org/pdf/1305.5520.pdf" TargetMode="External"/><Relationship Id="rId30" Type="http://schemas.openxmlformats.org/officeDocument/2006/relationships/hyperlink" Target="https://arxiv.org/pdf/1305.5520.pdf" TargetMode="External"/><Relationship Id="rId33" Type="http://schemas.openxmlformats.org/officeDocument/2006/relationships/hyperlink" Target="https://arxiv.org/pdf/1305.5520.pdf" TargetMode="External"/><Relationship Id="rId32" Type="http://schemas.openxmlformats.org/officeDocument/2006/relationships/hyperlink" Target="https://arxiv.org/pdf/1305.5520.pdf" TargetMode="External"/><Relationship Id="rId35" Type="http://schemas.openxmlformats.org/officeDocument/2006/relationships/hyperlink" Target="https://dl.acm.org/doi/abs/10.1145/3212734.3212750" TargetMode="External"/><Relationship Id="rId34" Type="http://schemas.openxmlformats.org/officeDocument/2006/relationships/hyperlink" Target="https://dl.acm.org/doi/pdf/10.1145/2612669.2612706?casa_token=txOlIa5V41sAAAAA:tMIAwQ4-R-ablfyw7oeE6OVlD1V76jMwgj39HCcUkRsvxQ6j0hWHccZQNTKhSuUCwMzjS1woXVcKuw" TargetMode="External"/><Relationship Id="rId37" Type="http://schemas.openxmlformats.org/officeDocument/2006/relationships/hyperlink" Target="https://dl.acm.org/doi/pdf/10.1145/3406325.3451020?casa_token=Np84jW6NR8QAAAAA:7hKDr2WMCm4Osl_Jq-nuADiX5u4Xf4t8GOtH3qvMN6eK22VeOyvo_hU26Na6R-RKa7j7WMl-tMMx" TargetMode="External"/><Relationship Id="rId36" Type="http://schemas.openxmlformats.org/officeDocument/2006/relationships/hyperlink" Target="https://dl.acm.org/doi/10.1145/3313276.3316346" TargetMode="External"/><Relationship Id="rId39" Type="http://schemas.openxmlformats.org/officeDocument/2006/relationships/hyperlink" Target="https://dl.acm.org/doi/pdf/10.1145/224964.224990" TargetMode="External"/><Relationship Id="rId38" Type="http://schemas.openxmlformats.org/officeDocument/2006/relationships/hyperlink" Target="https://dl.acm.org/doi/pdf/10.1145/3519270.3538429?casa_token=BNR0TcvdUaMAAAAA:X4HuiIi_4Ubtumbx2vhncXBiiARejlV17sIrzRWseqVEmcv-UHhjeA9d1BHJZtKHd4HZru4YwTDw" TargetMode="External"/><Relationship Id="rId20" Type="http://schemas.openxmlformats.org/officeDocument/2006/relationships/hyperlink" Target="https://dl.acm.org/doi/pdf/10.1145/3087801.3087827?casa_token=N_pwQthOKmUAAAAA:NU5tllIrcUFzqU3aPBKqHVpyQM_Cp7hiYmNifPB_qyEgEylCHAuzsCSoR28INVytyRNnJGBpDhaNKw" TargetMode="External"/><Relationship Id="rId22" Type="http://schemas.openxmlformats.org/officeDocument/2006/relationships/hyperlink" Target="https://arxiv.org/pdf/1607.06883.pdf" TargetMode="External"/><Relationship Id="rId21" Type="http://schemas.openxmlformats.org/officeDocument/2006/relationships/hyperlink" Target="https://arxiv.org/pdf/1607.06883.pdf" TargetMode="External"/><Relationship Id="rId24" Type="http://schemas.openxmlformats.org/officeDocument/2006/relationships/hyperlink" Target="https://www.research-collection.ethz.ch/handle/20.500.11850/315337" TargetMode="External"/><Relationship Id="rId23" Type="http://schemas.openxmlformats.org/officeDocument/2006/relationships/hyperlink" Target="https://arxiv.org/pdf/1607.06883.pdf" TargetMode="External"/><Relationship Id="rId26" Type="http://schemas.openxmlformats.org/officeDocument/2006/relationships/hyperlink" Target="https://www.research-collection.ethz.ch/handle/20.500.11850/315337" TargetMode="External"/><Relationship Id="rId25" Type="http://schemas.openxmlformats.org/officeDocument/2006/relationships/hyperlink" Target="https://www.research-collection.ethz.ch/handle/20.500.11850/315337" TargetMode="External"/><Relationship Id="rId28" Type="http://schemas.openxmlformats.org/officeDocument/2006/relationships/hyperlink" Target="https://dl.acm.org/doi/pdf/10.1145/3380546?casa_token=81ou0VdGAEoAAAAA:Gh1BfyeI0zFbhdoZxXsl-Yub8w8xXYpevbC0vYUaZYLGlP_5XvAW_quQlS5u7lJfQti20oba2JsKpA" TargetMode="External"/><Relationship Id="rId27" Type="http://schemas.openxmlformats.org/officeDocument/2006/relationships/hyperlink" Target="https://dl.acm.org/doi/pdf/10.1145/3380546?casa_token=ehRtETWEBjkAAAAA:9-yaE0ChoFo92WwZtGsWKa2kf6kfx6hd51ex0_zIb5i_N7o7YBx0c4LLt0mwuIknNMMVYmCQrJWMoQ" TargetMode="External"/><Relationship Id="rId29" Type="http://schemas.openxmlformats.org/officeDocument/2006/relationships/hyperlink" Target="https://dl.acm.org/doi/pdf/10.1145/3380546?casa_token=81ou0VdGAEoAAAAA:Gh1BfyeI0zFbhdoZxXsl-Yub8w8xXYpevbC0vYUaZYLGlP_5XvAW_quQlS5u7lJfQti20oba2JsKpA" TargetMode="External"/><Relationship Id="rId11" Type="http://schemas.openxmlformats.org/officeDocument/2006/relationships/hyperlink" Target="https://dl.acm.org/doi/pdf/10.1145/28395.28421" TargetMode="External"/><Relationship Id="rId10" Type="http://schemas.openxmlformats.org/officeDocument/2006/relationships/hyperlink" Target="https://dl.acm.org/doi/pdf/10.1145/28395.28421" TargetMode="External"/><Relationship Id="rId13" Type="http://schemas.openxmlformats.org/officeDocument/2006/relationships/hyperlink" Target="https://www.researchgate.net/publication/220616582_A_SubLinear_Time_Distributed_Algorithm_for_Minimum-Weight_Spanning_Trees" TargetMode="External"/><Relationship Id="rId12" Type="http://schemas.openxmlformats.org/officeDocument/2006/relationships/hyperlink" Target="https://dl.acm.org/doi/pdf/10.1145/28395.28421" TargetMode="External"/><Relationship Id="rId15" Type="http://schemas.openxmlformats.org/officeDocument/2006/relationships/hyperlink" Target="https://dl.acm.org/doi/pdf/10.1145/224964.224990" TargetMode="External"/><Relationship Id="rId14" Type="http://schemas.openxmlformats.org/officeDocument/2006/relationships/hyperlink" Target="https://www.researchgate.net/publication/220616582_A_SubLinear_Time_Distributed_Algorithm_for_Minimum-Weight_Spanning_Trees" TargetMode="External"/><Relationship Id="rId17" Type="http://schemas.openxmlformats.org/officeDocument/2006/relationships/hyperlink" Target="https://arxiv.org/pdf/1703.02411.pdf" TargetMode="External"/><Relationship Id="rId16" Type="http://schemas.openxmlformats.org/officeDocument/2006/relationships/hyperlink" Target="https://dl.acm.org/doi/pdf/10.1145/224964.224990" TargetMode="External"/><Relationship Id="rId19" Type="http://schemas.openxmlformats.org/officeDocument/2006/relationships/hyperlink" Target="https://arxiv.org/pdf/1703.02411.pdf" TargetMode="External"/><Relationship Id="rId18" Type="http://schemas.openxmlformats.org/officeDocument/2006/relationships/hyperlink" Target="https://arxiv.org/pdf/1703.02411.pdf" TargetMode="External"/><Relationship Id="rId84" Type="http://schemas.openxmlformats.org/officeDocument/2006/relationships/hyperlink" Target="https://dl.acm.org/doi/abs/10.1145/3446330" TargetMode="External"/><Relationship Id="rId83" Type="http://schemas.openxmlformats.org/officeDocument/2006/relationships/hyperlink" Target="https://ieeexplore.ieee.org/abstract/document/9317987" TargetMode="External"/><Relationship Id="rId86" Type="http://schemas.openxmlformats.org/officeDocument/2006/relationships/hyperlink" Target="https://arxiv.org/abs/1201.6652" TargetMode="External"/><Relationship Id="rId85" Type="http://schemas.openxmlformats.org/officeDocument/2006/relationships/hyperlink" Target="https://arxiv.org/abs/2205.09245" TargetMode="External"/><Relationship Id="rId88" Type="http://schemas.openxmlformats.org/officeDocument/2006/relationships/hyperlink" Target="https://arxiv.org/abs/1802.04789" TargetMode="External"/><Relationship Id="rId87" Type="http://schemas.openxmlformats.org/officeDocument/2006/relationships/hyperlink" Target="https://arxiv.org/abs/1602.08481" TargetMode="External"/><Relationship Id="rId89" Type="http://schemas.openxmlformats.org/officeDocument/2006/relationships/hyperlink" Target="https://arxiv.org/pdf/1602.08481.pdf" TargetMode="External"/><Relationship Id="rId80" Type="http://schemas.openxmlformats.org/officeDocument/2006/relationships/hyperlink" Target="https://arxiv.org/abs/1705.09061" TargetMode="External"/><Relationship Id="rId82" Type="http://schemas.openxmlformats.org/officeDocument/2006/relationships/hyperlink" Target="https://arxiv.org/abs/1705.09061" TargetMode="External"/><Relationship Id="rId81" Type="http://schemas.openxmlformats.org/officeDocument/2006/relationships/hyperlink" Target="https://arxiv.org/abs/1807.06624" TargetMode="External"/><Relationship Id="rId73" Type="http://schemas.openxmlformats.org/officeDocument/2006/relationships/hyperlink" Target="https://dl.acm.org/doi/abs/10.1145/3087801.3087827" TargetMode="External"/><Relationship Id="rId72" Type="http://schemas.openxmlformats.org/officeDocument/2006/relationships/hyperlink" Target="https://dl.acm.org/doi/abs/10.1145/2484239.2501983" TargetMode="External"/><Relationship Id="rId75" Type="http://schemas.openxmlformats.org/officeDocument/2006/relationships/hyperlink" Target="https://people.csail.mit.edu/andyd/cong_clique_podc14.pdf" TargetMode="External"/><Relationship Id="rId74" Type="http://schemas.openxmlformats.org/officeDocument/2006/relationships/hyperlink" Target="https://arxiv.org/abs/1805.04764" TargetMode="External"/><Relationship Id="rId77" Type="http://schemas.openxmlformats.org/officeDocument/2006/relationships/hyperlink" Target="https://arxiv.org/pdf/1201.6652.pdf" TargetMode="External"/><Relationship Id="rId76" Type="http://schemas.openxmlformats.org/officeDocument/2006/relationships/hyperlink" Target="https://arxiv.org/abs/1503.04963" TargetMode="External"/><Relationship Id="rId79" Type="http://schemas.openxmlformats.org/officeDocument/2006/relationships/hyperlink" Target="https://arxiv.org/abs/1705.09061" TargetMode="External"/><Relationship Id="rId78" Type="http://schemas.openxmlformats.org/officeDocument/2006/relationships/hyperlink" Target="https://arxiv.org/abs/1705.09061" TargetMode="External"/><Relationship Id="rId71" Type="http://schemas.openxmlformats.org/officeDocument/2006/relationships/hyperlink" Target="https://dl.acm.org/doi/pdf/10.1145/1993636.1993639" TargetMode="External"/><Relationship Id="rId70" Type="http://schemas.openxmlformats.org/officeDocument/2006/relationships/hyperlink" Target="https://ieeexplore.ieee.org/abstract/document/9317987" TargetMode="External"/><Relationship Id="rId62" Type="http://schemas.openxmlformats.org/officeDocument/2006/relationships/hyperlink" Target="https://dl.acm.org/doi/pdf/10.1145/3519270.3538439" TargetMode="External"/><Relationship Id="rId61" Type="http://schemas.openxmlformats.org/officeDocument/2006/relationships/hyperlink" Target="https://dl.acm.org/doi/abs/10.1145/3465084.3467928" TargetMode="External"/><Relationship Id="rId64" Type="http://schemas.openxmlformats.org/officeDocument/2006/relationships/hyperlink" Target="https://www.ams.org/journals/qam/1958-16-01/S0033-569X-1958-0102435-2/S0033-569X-1958-0102435-2.pdf" TargetMode="External"/><Relationship Id="rId63" Type="http://schemas.openxmlformats.org/officeDocument/2006/relationships/hyperlink" Target="https://www.ams.org/journals/qam/1958-16-01/S0033-569X-1958-0102435-2/S0033-569X-1958-0102435-2.pdf" TargetMode="External"/><Relationship Id="rId66" Type="http://schemas.openxmlformats.org/officeDocument/2006/relationships/hyperlink" Target="https://dl.acm.org/doi/pdf/10.1145/3055399.3055452" TargetMode="External"/><Relationship Id="rId65" Type="http://schemas.openxmlformats.org/officeDocument/2006/relationships/hyperlink" Target="https://dl.acm.org/doi/pdf/10.1145/3055399.3055452" TargetMode="External"/><Relationship Id="rId68" Type="http://schemas.openxmlformats.org/officeDocument/2006/relationships/hyperlink" Target="https://dl.acm.org/doi/pdf/10.1145/3055399.3055452" TargetMode="External"/><Relationship Id="rId67" Type="http://schemas.openxmlformats.org/officeDocument/2006/relationships/hyperlink" Target="https://dl.acm.org/doi/pdf/10.1145/3055399.3055452" TargetMode="External"/><Relationship Id="rId60" Type="http://schemas.openxmlformats.org/officeDocument/2006/relationships/hyperlink" Target="https://www.sciencedirect.com/science/article/abs/pii/S0304397520303194" TargetMode="External"/><Relationship Id="rId69" Type="http://schemas.openxmlformats.org/officeDocument/2006/relationships/hyperlink" Target="https://ieeexplore.ieee.org/abstract/document/9317987" TargetMode="External"/><Relationship Id="rId51" Type="http://schemas.openxmlformats.org/officeDocument/2006/relationships/hyperlink" Target="https://link.springer.com/chapter/10.1007/978-3-642-04355-0_20" TargetMode="External"/><Relationship Id="rId50" Type="http://schemas.openxmlformats.org/officeDocument/2006/relationships/hyperlink" Target="https://www.sciencedirect.com/science/article/pii/S0304397508001138" TargetMode="External"/><Relationship Id="rId53" Type="http://schemas.openxmlformats.org/officeDocument/2006/relationships/hyperlink" Target="https://link.springer.com/chapter/10.1007/978-3-642-04355-0_20" TargetMode="External"/><Relationship Id="rId52" Type="http://schemas.openxmlformats.org/officeDocument/2006/relationships/hyperlink" Target="https://link.springer.com/chapter/10.1007/978-3-642-04355-0_20" TargetMode="External"/><Relationship Id="rId55" Type="http://schemas.openxmlformats.org/officeDocument/2006/relationships/hyperlink" Target="https://dl.acm.org/doi/abs/10.1145/1868237.1868242" TargetMode="External"/><Relationship Id="rId54" Type="http://schemas.openxmlformats.org/officeDocument/2006/relationships/hyperlink" Target="https://link.springer.com/chapter/10.1007/978-3-642-04355-0_20" TargetMode="External"/><Relationship Id="rId57" Type="http://schemas.openxmlformats.org/officeDocument/2006/relationships/hyperlink" Target="https://arxiv.org/pdf/1805.05404.pdf" TargetMode="External"/><Relationship Id="rId56" Type="http://schemas.openxmlformats.org/officeDocument/2006/relationships/hyperlink" Target="https://dl.acm.org/doi/abs/10.1145/2484239.2484262" TargetMode="External"/><Relationship Id="rId59" Type="http://schemas.openxmlformats.org/officeDocument/2006/relationships/hyperlink" Target="https://arxiv.org/pdf/1805.05404.pdf" TargetMode="External"/><Relationship Id="rId58" Type="http://schemas.openxmlformats.org/officeDocument/2006/relationships/hyperlink" Target="https://arxiv.org/pdf/1805.05404.pdf" TargetMode="External"/><Relationship Id="rId107" Type="http://schemas.openxmlformats.org/officeDocument/2006/relationships/hyperlink" Target="https://dl.acm.org/doi/abs/10.1145/2591796.2591850" TargetMode="External"/><Relationship Id="rId106" Type="http://schemas.openxmlformats.org/officeDocument/2006/relationships/hyperlink" Target="https://dl.acm.org/doi/abs/10.1145/2591796.2591850" TargetMode="External"/><Relationship Id="rId105" Type="http://schemas.openxmlformats.org/officeDocument/2006/relationships/hyperlink" Target="https://dl.acm.org/doi/abs/10.1145/2591796.2591850" TargetMode="External"/><Relationship Id="rId104" Type="http://schemas.openxmlformats.org/officeDocument/2006/relationships/hyperlink" Target="https://dl.acm.org/doi/abs/10.1145/2484239.2484262" TargetMode="External"/><Relationship Id="rId109" Type="http://schemas.openxmlformats.org/officeDocument/2006/relationships/hyperlink" Target="https://dl.acm.org/doi/pdf/10.1145/3055399.3055452" TargetMode="External"/><Relationship Id="rId108" Type="http://schemas.openxmlformats.org/officeDocument/2006/relationships/hyperlink" Target="https://dl.acm.org/doi/pdf/10.1145/3055399.3055452" TargetMode="External"/><Relationship Id="rId103" Type="http://schemas.openxmlformats.org/officeDocument/2006/relationships/hyperlink" Target="https://arxiv.org/abs/1210.5774" TargetMode="External"/><Relationship Id="rId102" Type="http://schemas.openxmlformats.org/officeDocument/2006/relationships/hyperlink" Target="https://arxiv.org/abs/1403.5171" TargetMode="External"/><Relationship Id="rId101" Type="http://schemas.openxmlformats.org/officeDocument/2006/relationships/hyperlink" Target="https://dl.acm.org/doi/abs/10.1145/2935764.2935812" TargetMode="External"/><Relationship Id="rId100" Type="http://schemas.openxmlformats.org/officeDocument/2006/relationships/hyperlink" Target="https://arxiv.org/abs/1403.5171" TargetMode="External"/><Relationship Id="rId129" Type="http://schemas.openxmlformats.org/officeDocument/2006/relationships/hyperlink" Target="https://arxiv.org/pdf/2101.07590.pdf" TargetMode="External"/><Relationship Id="rId128" Type="http://schemas.openxmlformats.org/officeDocument/2006/relationships/hyperlink" Target="https://dl.acm.org/doi/pdf/10.5555/2095116.2095207" TargetMode="External"/><Relationship Id="rId127" Type="http://schemas.openxmlformats.org/officeDocument/2006/relationships/hyperlink" Target="https://link.springer.com/chapter/10.1007/978-3-642-31585-5_58" TargetMode="External"/><Relationship Id="rId126" Type="http://schemas.openxmlformats.org/officeDocument/2006/relationships/hyperlink" Target="https://dl.acm.org/doi/pdf/10.5555/2095116.2095207" TargetMode="External"/><Relationship Id="rId121" Type="http://schemas.openxmlformats.org/officeDocument/2006/relationships/hyperlink" Target="https://dl.acm.org/doi/pdf/10.1145/3465084.3467928" TargetMode="External"/><Relationship Id="rId120" Type="http://schemas.openxmlformats.org/officeDocument/2006/relationships/hyperlink" Target="https://dl.acm.org/doi/pdf/10.1145/3465084.3467928" TargetMode="External"/><Relationship Id="rId125" Type="http://schemas.openxmlformats.org/officeDocument/2006/relationships/hyperlink" Target="https://dl.acm.org/doi/pdf/10.1145/2332432.2332504" TargetMode="External"/><Relationship Id="rId124" Type="http://schemas.openxmlformats.org/officeDocument/2006/relationships/hyperlink" Target="https://arxiv.org/abs/2003.03058" TargetMode="External"/><Relationship Id="rId123" Type="http://schemas.openxmlformats.org/officeDocument/2006/relationships/hyperlink" Target="https://arxiv.org/abs/2003.03058" TargetMode="External"/><Relationship Id="rId122" Type="http://schemas.openxmlformats.org/officeDocument/2006/relationships/hyperlink" Target="https://dl.acm.org/doi/pdf/10.1145/3293611.3331633" TargetMode="External"/><Relationship Id="rId95" Type="http://schemas.openxmlformats.org/officeDocument/2006/relationships/hyperlink" Target="https://dl.acm.org/doi/abs/10.1145/3446330" TargetMode="External"/><Relationship Id="rId94" Type="http://schemas.openxmlformats.org/officeDocument/2006/relationships/hyperlink" Target="https://ieeexplore.ieee.org/abstract/document/9317987" TargetMode="External"/><Relationship Id="rId97" Type="http://schemas.openxmlformats.org/officeDocument/2006/relationships/hyperlink" Target="https://arxiv.org/pdf/1705.09061.pdf" TargetMode="External"/><Relationship Id="rId96" Type="http://schemas.openxmlformats.org/officeDocument/2006/relationships/hyperlink" Target="https://arxiv.org/pdf/1201.6652.pdf" TargetMode="External"/><Relationship Id="rId99" Type="http://schemas.openxmlformats.org/officeDocument/2006/relationships/hyperlink" Target="https://dl.acm.org/doi/abs/10.1145/2332432.2332504" TargetMode="External"/><Relationship Id="rId98" Type="http://schemas.openxmlformats.org/officeDocument/2006/relationships/hyperlink" Target="https://arxiv.org/pdf/1705.09061.pdf" TargetMode="External"/><Relationship Id="rId91" Type="http://schemas.openxmlformats.org/officeDocument/2006/relationships/hyperlink" Target="https://arxiv.org/abs/1503.04963" TargetMode="External"/><Relationship Id="rId90" Type="http://schemas.openxmlformats.org/officeDocument/2006/relationships/hyperlink" Target="https://arxiv.org/abs/1908.11825" TargetMode="External"/><Relationship Id="rId93" Type="http://schemas.openxmlformats.org/officeDocument/2006/relationships/hyperlink" Target="https://arxiv.org/abs/1807.06624" TargetMode="External"/><Relationship Id="rId92" Type="http://schemas.openxmlformats.org/officeDocument/2006/relationships/hyperlink" Target="https://arxiv.org/abs/1705.09061" TargetMode="External"/><Relationship Id="rId118" Type="http://schemas.openxmlformats.org/officeDocument/2006/relationships/hyperlink" Target="https://arxiv.org/abs/2003.03058" TargetMode="External"/><Relationship Id="rId117" Type="http://schemas.openxmlformats.org/officeDocument/2006/relationships/hyperlink" Target="https://dl.acm.org/doi/pdf/10.1145/3293611.3331633" TargetMode="External"/><Relationship Id="rId116" Type="http://schemas.openxmlformats.org/officeDocument/2006/relationships/hyperlink" Target="https://dl.acm.org/doi/abs/10.1145/3293883.3295729" TargetMode="External"/><Relationship Id="rId115" Type="http://schemas.openxmlformats.org/officeDocument/2006/relationships/hyperlink" Target="https://dl.acm.org/doi/abs/10.1145/3350755.3400256" TargetMode="External"/><Relationship Id="rId119" Type="http://schemas.openxmlformats.org/officeDocument/2006/relationships/hyperlink" Target="https://arxiv.org/abs/2003.03058" TargetMode="External"/><Relationship Id="rId110" Type="http://schemas.openxmlformats.org/officeDocument/2006/relationships/hyperlink" Target="https://arxiv.org/abs/1705.05646" TargetMode="External"/><Relationship Id="rId114" Type="http://schemas.openxmlformats.org/officeDocument/2006/relationships/hyperlink" Target="https://dl.acm.org/doi/abs/10.1145/3212734.3212773" TargetMode="External"/><Relationship Id="rId113" Type="http://schemas.openxmlformats.org/officeDocument/2006/relationships/hyperlink" Target="https://ieeexplore.ieee.org/abstract/document/8104056" TargetMode="External"/><Relationship Id="rId112" Type="http://schemas.openxmlformats.org/officeDocument/2006/relationships/hyperlink" Target="https://arxiv.org/pdf/1811.03337.pdf" TargetMode="External"/><Relationship Id="rId111" Type="http://schemas.openxmlformats.org/officeDocument/2006/relationships/hyperlink" Target="https://arxiv.org/pdf/1811.03337.pdf"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link.springer.com/article/10.1007%2FBF00389433" TargetMode="External"/><Relationship Id="rId2" Type="http://schemas.openxmlformats.org/officeDocument/2006/relationships/hyperlink" Target="https://epubs.siam.org/doi/abs/10.1137/S0097539790190077" TargetMode="External"/><Relationship Id="rId3" Type="http://schemas.openxmlformats.org/officeDocument/2006/relationships/hyperlink" Target="https://link.springer.com/chapter/10.1007/3-540-59175-3_85" TargetMode="External"/><Relationship Id="rId4" Type="http://schemas.openxmlformats.org/officeDocument/2006/relationships/hyperlink" Target="https://dl.acm.org/doi/10.1145/2746539.2746594" TargetMode="External"/><Relationship Id="rId9" Type="http://schemas.openxmlformats.org/officeDocument/2006/relationships/hyperlink" Target="https://link.springer.com/chapter/10.1007/978-1-4684-2001-2_9" TargetMode="External"/><Relationship Id="rId5" Type="http://schemas.openxmlformats.org/officeDocument/2006/relationships/hyperlink" Target="https://dl.acm.org/doi/abs/10.1145/3212510" TargetMode="External"/><Relationship Id="rId6" Type="http://schemas.openxmlformats.org/officeDocument/2006/relationships/hyperlink" Target="https://ieeexplore.ieee.org/abstract/document/8555139" TargetMode="External"/><Relationship Id="rId7" Type="http://schemas.openxmlformats.org/officeDocument/2006/relationships/hyperlink" Target="https://web.cs.elte.hu/~lovasz/scans/covercolor.pdf" TargetMode="External"/><Relationship Id="rId8" Type="http://schemas.openxmlformats.org/officeDocument/2006/relationships/hyperlink" Target="https://web.cs.elte.hu/~lovasz/scans/covercolor.pdf" TargetMode="External"/><Relationship Id="rId40" Type="http://schemas.openxmlformats.org/officeDocument/2006/relationships/hyperlink" Target="https://doi.org/10.1145/2746539.2746612" TargetMode="External"/><Relationship Id="rId42" Type="http://schemas.openxmlformats.org/officeDocument/2006/relationships/hyperlink" Target="https://doi.org/10.1137/0221041" TargetMode="External"/><Relationship Id="rId41" Type="http://schemas.openxmlformats.org/officeDocument/2006/relationships/hyperlink" Target="https://dev.mysql.com/doc/refman/8.0/en/hash-joins.html" TargetMode="External"/><Relationship Id="rId44" Type="http://schemas.openxmlformats.org/officeDocument/2006/relationships/hyperlink" Target="https://www.ams.org/journals/tran/1969-142-00/S0002-9947-1969-0249212-8/S0002-9947-1969-0249212-8.pdf" TargetMode="External"/><Relationship Id="rId43" Type="http://schemas.openxmlformats.org/officeDocument/2006/relationships/hyperlink" Target="https://link.springer.com/chapter/10.1007/3-540-63174-7_12" TargetMode="External"/><Relationship Id="rId46" Type="http://schemas.openxmlformats.org/officeDocument/2006/relationships/hyperlink" Target="https://doi.org/10.1109/FOCS.2016.43" TargetMode="External"/><Relationship Id="rId45" Type="http://schemas.openxmlformats.org/officeDocument/2006/relationships/hyperlink" Target="https://doi.org/10.1109/SFCS.1980.12" TargetMode="External"/><Relationship Id="rId48" Type="http://schemas.openxmlformats.org/officeDocument/2006/relationships/hyperlink" Target="https://link.springer.com/chapter/10.1007/3-540-48071-4_33" TargetMode="External"/><Relationship Id="rId47" Type="http://schemas.openxmlformats.org/officeDocument/2006/relationships/hyperlink" Target="https://link.springer.com/chapter/10.1007/978-3-319-59250-3_8" TargetMode="External"/><Relationship Id="rId49" Type="http://schemas.openxmlformats.org/officeDocument/2006/relationships/hyperlink" Target="https://link.springer.com/chapter/10.1007/978-3-642-03356-8_22" TargetMode="External"/><Relationship Id="rId31" Type="http://schemas.openxmlformats.org/officeDocument/2006/relationships/hyperlink" Target="https://doi.org/10.1137/S0097539793245829" TargetMode="External"/><Relationship Id="rId30" Type="http://schemas.openxmlformats.org/officeDocument/2006/relationships/hyperlink" Target="https://doi.org/10.1137/S0097539791195543" TargetMode="External"/><Relationship Id="rId33" Type="http://schemas.openxmlformats.org/officeDocument/2006/relationships/hyperlink" Target="https://doi.org/10.1145/103418.103465" TargetMode="External"/><Relationship Id="rId32" Type="http://schemas.openxmlformats.org/officeDocument/2006/relationships/hyperlink" Target="https://doi.org/10.1137/0216067" TargetMode="External"/><Relationship Id="rId35" Type="http://schemas.openxmlformats.org/officeDocument/2006/relationships/hyperlink" Target="https://doi.org/10.1145/321921.321922" TargetMode="External"/><Relationship Id="rId34" Type="http://schemas.openxmlformats.org/officeDocument/2006/relationships/hyperlink" Target="https://doi.org/10.1145/321921.321922" TargetMode="External"/><Relationship Id="rId37" Type="http://schemas.openxmlformats.org/officeDocument/2006/relationships/hyperlink" Target="https://doi.org/10.1016/0020-0190(88)90220-7" TargetMode="External"/><Relationship Id="rId36" Type="http://schemas.openxmlformats.org/officeDocument/2006/relationships/hyperlink" Target="https://doi.org/10.1016/0020-0190(78)90037-6" TargetMode="External"/><Relationship Id="rId39" Type="http://schemas.openxmlformats.org/officeDocument/2006/relationships/hyperlink" Target="https://doi.org/10.1109/FOCS.2015.15" TargetMode="External"/><Relationship Id="rId38" Type="http://schemas.openxmlformats.org/officeDocument/2006/relationships/hyperlink" Target="https://dl.acm.org/doi/pdf/10.1145/321724.321730" TargetMode="External"/><Relationship Id="rId20" Type="http://schemas.openxmlformats.org/officeDocument/2006/relationships/hyperlink" Target="https://dl.acm.org/doi/10.1145/321992.321993" TargetMode="External"/><Relationship Id="rId22" Type="http://schemas.openxmlformats.org/officeDocument/2006/relationships/hyperlink" Target="https://dl.acm.org/doi/abs/10.1145/1186810.1186815" TargetMode="External"/><Relationship Id="rId21" Type="http://schemas.openxmlformats.org/officeDocument/2006/relationships/hyperlink" Target="https://dl.acm.org/doi/10.1145/28869.28874" TargetMode="External"/><Relationship Id="rId24" Type="http://schemas.openxmlformats.org/officeDocument/2006/relationships/hyperlink" Target="https://dl.acm.org/doi/abs/10.1145/2344422.2344424" TargetMode="External"/><Relationship Id="rId23" Type="http://schemas.openxmlformats.org/officeDocument/2006/relationships/hyperlink" Target="https://people.csail.mit.edu/rivest/pubs/YAR77.pdf" TargetMode="External"/><Relationship Id="rId26" Type="http://schemas.openxmlformats.org/officeDocument/2006/relationships/hyperlink" Target="http://citeseerx.ist.psu.edu/viewdoc/download?doi=10.1.1.117.1230&amp;rep=rep1&amp;type=pdf" TargetMode="External"/><Relationship Id="rId25" Type="http://schemas.openxmlformats.org/officeDocument/2006/relationships/hyperlink" Target="https://doi.org/10.1109/FOCS.2014.53" TargetMode="External"/><Relationship Id="rId28" Type="http://schemas.openxmlformats.org/officeDocument/2006/relationships/hyperlink" Target="https://www.sciencedirect.com/science/article/pii/S1063520316300069" TargetMode="External"/><Relationship Id="rId27" Type="http://schemas.openxmlformats.org/officeDocument/2006/relationships/hyperlink" Target="https://www.sciencedirect.com/science/article/pii/S0898122116305260" TargetMode="External"/><Relationship Id="rId29" Type="http://schemas.openxmlformats.org/officeDocument/2006/relationships/hyperlink" Target="https://www.ams.org/journals/mcom/1974-28-125/S0025-5718-1974-0331751-8/home.html" TargetMode="External"/><Relationship Id="rId11" Type="http://schemas.openxmlformats.org/officeDocument/2006/relationships/hyperlink" Target="https://link.springer.com/article/10.1007%2FBF01917108" TargetMode="External"/><Relationship Id="rId10" Type="http://schemas.openxmlformats.org/officeDocument/2006/relationships/hyperlink" Target="https://dl.acm.org/doi/10.1109/SFCS.1976.16" TargetMode="External"/><Relationship Id="rId13" Type="http://schemas.openxmlformats.org/officeDocument/2006/relationships/hyperlink" Target="https://dl.acm.org/doi/10.1145/322276.322289" TargetMode="External"/><Relationship Id="rId12" Type="http://schemas.openxmlformats.org/officeDocument/2006/relationships/hyperlink" Target="https://dl.acm.org/doi/pdf/10.1145/262839.263089" TargetMode="External"/><Relationship Id="rId15" Type="http://schemas.openxmlformats.org/officeDocument/2006/relationships/hyperlink" Target="http://www.bioinfo.org.cn/~dbu/AlgorithmCourses/Lectures/Shamos1975.pdf" TargetMode="External"/><Relationship Id="rId14" Type="http://schemas.openxmlformats.org/officeDocument/2006/relationships/hyperlink" Target="https://ecommons.cornell.edu/handle/1813/6417" TargetMode="External"/><Relationship Id="rId17" Type="http://schemas.openxmlformats.org/officeDocument/2006/relationships/hyperlink" Target="https://ieeexplore.ieee.org/abstract/document/4392963" TargetMode="External"/><Relationship Id="rId16" Type="http://schemas.openxmlformats.org/officeDocument/2006/relationships/hyperlink" Target="https://www.semanticscholar.org/paper/Depth-First-Search-and-Linear-Graph-Algorithms-Tarjan/385742fffcf113656f0d3cf6c06ef95cb8439dc6" TargetMode="External"/><Relationship Id="rId19" Type="http://schemas.openxmlformats.org/officeDocument/2006/relationships/hyperlink" Target="http://www.bioinfo.org.cn/~dbu/AlgorithmCourses/Lectures/Shamos1975.pdf" TargetMode="External"/><Relationship Id="rId18" Type="http://schemas.openxmlformats.org/officeDocument/2006/relationships/hyperlink" Target="https://www.sciencedirect.com/science/article/abs/pii/S0377221704006538" TargetMode="External"/><Relationship Id="rId84" Type="http://schemas.openxmlformats.org/officeDocument/2006/relationships/hyperlink" Target="https://doi.org/10.1016/0166-218X(92)90031-5" TargetMode="External"/><Relationship Id="rId83" Type="http://schemas.openxmlformats.org/officeDocument/2006/relationships/hyperlink" Target="https://dl.acm.org/doi/10.1145/502585.502688" TargetMode="External"/><Relationship Id="rId86" Type="http://schemas.openxmlformats.org/officeDocument/2006/relationships/hyperlink" Target="http://reports-archive.adm.cs.cmu.edu/anon/anon/usr/ftp/scan/CMU-CS-68-earley.pdf" TargetMode="External"/><Relationship Id="rId85" Type="http://schemas.openxmlformats.org/officeDocument/2006/relationships/hyperlink" Target="https://link.springer.com/chapter/10.1007/978-1-4684-2001-2_9" TargetMode="External"/><Relationship Id="rId88" Type="http://schemas.openxmlformats.org/officeDocument/2006/relationships/hyperlink" Target="https://drops.dagstuhl.de/opus/volltexte/2017/7454/" TargetMode="External"/><Relationship Id="rId87" Type="http://schemas.openxmlformats.org/officeDocument/2006/relationships/hyperlink" Target="https://link.springer.com/chapter/10.1007/3-540-09510-1_39" TargetMode="External"/><Relationship Id="rId89" Type="http://schemas.openxmlformats.org/officeDocument/2006/relationships/hyperlink" Target="https://www.sciencedirect.com/science/article/abs/pii/0196677492900122?via%3Dihub" TargetMode="External"/><Relationship Id="rId80" Type="http://schemas.openxmlformats.org/officeDocument/2006/relationships/hyperlink" Target="https://dl.acm.org/doi/pdf/10.1145/320064.320066" TargetMode="External"/><Relationship Id="rId82" Type="http://schemas.openxmlformats.org/officeDocument/2006/relationships/hyperlink" Target="https://dl.acm.org/doi/pdf/10.1145/320064.320066" TargetMode="External"/><Relationship Id="rId81" Type="http://schemas.openxmlformats.org/officeDocument/2006/relationships/hyperlink" Target="https://dl.acm.org/doi/abs/10.1145/990511.990513" TargetMode="External"/><Relationship Id="rId73" Type="http://schemas.openxmlformats.org/officeDocument/2006/relationships/hyperlink" Target="https://link.springer.com/chapter/10.1007/978-1-4684-2001-2_9" TargetMode="External"/><Relationship Id="rId72" Type="http://schemas.openxmlformats.org/officeDocument/2006/relationships/hyperlink" Target="https://epubs.siam.org/doi/abs/10.1137/0209042" TargetMode="External"/><Relationship Id="rId75" Type="http://schemas.openxmlformats.org/officeDocument/2006/relationships/hyperlink" Target="https://link.springer.com/chapter/10.1007/978-1-4684-2001-2_8" TargetMode="External"/><Relationship Id="rId74" Type="http://schemas.openxmlformats.org/officeDocument/2006/relationships/hyperlink" Target="https://link.springer.com/chapter/10.1007/978-1-4684-2001-2_8" TargetMode="External"/><Relationship Id="rId77" Type="http://schemas.openxmlformats.org/officeDocument/2006/relationships/hyperlink" Target="http://www.bioinfo.org.cn/~dbu/AlgorithmCourses/Lectures/Shamos1975.pdf" TargetMode="External"/><Relationship Id="rId76" Type="http://schemas.openxmlformats.org/officeDocument/2006/relationships/hyperlink" Target="https://math.berkeley.edu/~wilken/228A.F07/chr_lecture.pdf" TargetMode="External"/><Relationship Id="rId79" Type="http://schemas.openxmlformats.org/officeDocument/2006/relationships/hyperlink" Target="https://doi.org/10.1016/0166-218X(92)90031-5" TargetMode="External"/><Relationship Id="rId78" Type="http://schemas.openxmlformats.org/officeDocument/2006/relationships/hyperlink" Target="https://link.springer.com/chapter/10.1007/978-1-4684-2001-2_9" TargetMode="External"/><Relationship Id="rId71" Type="http://schemas.openxmlformats.org/officeDocument/2006/relationships/hyperlink" Target="https://link.springer.com/chapter/10.1007/978-3-540-73420-8_15" TargetMode="External"/><Relationship Id="rId70" Type="http://schemas.openxmlformats.org/officeDocument/2006/relationships/hyperlink" Target="https://dl.acm.org/doi/abs/10.14778/1687627.1687631" TargetMode="External"/><Relationship Id="rId62" Type="http://schemas.openxmlformats.org/officeDocument/2006/relationships/hyperlink" Target="https://zbmath.org/?format=complete&amp;q=an:0068.01301" TargetMode="External"/><Relationship Id="rId61" Type="http://schemas.openxmlformats.org/officeDocument/2006/relationships/hyperlink" Target="http://www.bioinfo.org.cn/~dbu/AlgorithmCourses/Lectures/Shamos1975.pdf" TargetMode="External"/><Relationship Id="rId64" Type="http://schemas.openxmlformats.org/officeDocument/2006/relationships/hyperlink" Target="https://www.sciencedirect.com/science/article/abs/pii/0031320384900645" TargetMode="External"/><Relationship Id="rId63" Type="http://schemas.openxmlformats.org/officeDocument/2006/relationships/hyperlink" Target="https://en.wikipedia.org/wiki/Coset_enumeration" TargetMode="External"/><Relationship Id="rId66" Type="http://schemas.openxmlformats.org/officeDocument/2006/relationships/hyperlink" Target="https://link.springer.com/chapter/10.1007/978-3-319-15612-5_12" TargetMode="External"/><Relationship Id="rId65" Type="http://schemas.openxmlformats.org/officeDocument/2006/relationships/hyperlink" Target="http://www.bioinfo.org.cn/~dbu/AlgorithmCourses/Lectures/Shamos1975.pdf" TargetMode="External"/><Relationship Id="rId68" Type="http://schemas.openxmlformats.org/officeDocument/2006/relationships/hyperlink" Target="https://doi.org/10.1137/0213024" TargetMode="External"/><Relationship Id="rId67" Type="http://schemas.openxmlformats.org/officeDocument/2006/relationships/hyperlink" Target="https://doi.org/10.1137/0213024" TargetMode="External"/><Relationship Id="rId60" Type="http://schemas.openxmlformats.org/officeDocument/2006/relationships/hyperlink" Target="https://dl.acm.org/doi/10.1145/1186785.1186788" TargetMode="External"/><Relationship Id="rId69" Type="http://schemas.openxmlformats.org/officeDocument/2006/relationships/hyperlink" Target="https://link.springer.com/chapter/10.1007%2F3-540-58325-4_168" TargetMode="External"/><Relationship Id="rId51" Type="http://schemas.openxmlformats.org/officeDocument/2006/relationships/hyperlink" Target="https://cseweb.ucsd.edu/classes/wi09/cse223a/p145-maekawa.pdf" TargetMode="External"/><Relationship Id="rId50" Type="http://schemas.openxmlformats.org/officeDocument/2006/relationships/hyperlink" Target="https://link.springer.com/chapter/10.1007/11533733_13" TargetMode="External"/><Relationship Id="rId53" Type="http://schemas.openxmlformats.org/officeDocument/2006/relationships/hyperlink" Target="https://cse.iitkgp.ac.in/~agupta/distsys/Mutex-SuzukiKasami.pdf" TargetMode="External"/><Relationship Id="rId52" Type="http://schemas.openxmlformats.org/officeDocument/2006/relationships/hyperlink" Target="https://dl.acm.org/doi/abs/10.1145/58564.59295" TargetMode="External"/><Relationship Id="rId55" Type="http://schemas.openxmlformats.org/officeDocument/2006/relationships/hyperlink" Target="http://citeseerx.ist.psu.edu/viewdoc/download?doi=10.1.1.402.5478&amp;rep=rep1&amp;type=pdf" TargetMode="External"/><Relationship Id="rId54" Type="http://schemas.openxmlformats.org/officeDocument/2006/relationships/hyperlink" Target="https://doi.org/10.1137/0211030" TargetMode="External"/><Relationship Id="rId57" Type="http://schemas.openxmlformats.org/officeDocument/2006/relationships/hyperlink" Target="https://www.ams.org/journals/mcom/1963-17-083/S0025-5718-1963-0159764-2/home.html" TargetMode="External"/><Relationship Id="rId56" Type="http://schemas.openxmlformats.org/officeDocument/2006/relationships/hyperlink" Target="https://link.springer.com/article/10.1007/BF01840359" TargetMode="External"/><Relationship Id="rId59" Type="http://schemas.openxmlformats.org/officeDocument/2006/relationships/hyperlink" Target="https://arxiv.org/pdf/1201.2501.pdf" TargetMode="External"/><Relationship Id="rId58" Type="http://schemas.openxmlformats.org/officeDocument/2006/relationships/hyperlink" Target="https://archive.org/details/euleriangraphsre0001flei/page/" TargetMode="External"/><Relationship Id="rId107" Type="http://schemas.openxmlformats.org/officeDocument/2006/relationships/hyperlink" Target="https://dl.acm.org/doi/10.1109/SFCS.1976.16" TargetMode="External"/><Relationship Id="rId106" Type="http://schemas.openxmlformats.org/officeDocument/2006/relationships/hyperlink" Target="https://dl.acm.org/doi/10.1145/103516.103522" TargetMode="External"/><Relationship Id="rId105" Type="http://schemas.openxmlformats.org/officeDocument/2006/relationships/hyperlink" Target="https://www.sciencedirect.com/science/article/pii/S1570866704000620" TargetMode="External"/><Relationship Id="rId104" Type="http://schemas.openxmlformats.org/officeDocument/2006/relationships/hyperlink" Target="https://www.jair.org/index.php/jair/article/view/11079" TargetMode="External"/><Relationship Id="rId109" Type="http://schemas.openxmlformats.org/officeDocument/2006/relationships/hyperlink" Target="https://zhjwpku.com/assets/pdf/AED2-10-avl-paper.pdf" TargetMode="External"/><Relationship Id="rId108" Type="http://schemas.openxmlformats.org/officeDocument/2006/relationships/hyperlink" Target="https://dl.acm.org/doi/10.1145/359545.359553" TargetMode="External"/><Relationship Id="rId103" Type="http://schemas.openxmlformats.org/officeDocument/2006/relationships/hyperlink" Target="https://www.nlc-bnc.ca/obj/s4/f2/dsk1/tape3/PQDD_0014/NQ61635.pdf" TargetMode="External"/><Relationship Id="rId102" Type="http://schemas.openxmlformats.org/officeDocument/2006/relationships/hyperlink" Target="https://www.worldcat.org/title/two-np-complete-problems-in-nonnegative-integer-programming/oclc/897664052" TargetMode="External"/><Relationship Id="rId101" Type="http://schemas.openxmlformats.org/officeDocument/2006/relationships/hyperlink" Target="https://epubs.siam.org/doi/10.1137/0201008" TargetMode="External"/><Relationship Id="rId100" Type="http://schemas.openxmlformats.org/officeDocument/2006/relationships/hyperlink" Target="https://ieeexplore.ieee.org/stamp/stamp.jsp?tp=&amp;arnumber=814653" TargetMode="External"/><Relationship Id="rId95" Type="http://schemas.openxmlformats.org/officeDocument/2006/relationships/hyperlink" Target="https://arxiv.org/abs/1512.03547" TargetMode="External"/><Relationship Id="rId94" Type="http://schemas.openxmlformats.org/officeDocument/2006/relationships/hyperlink" Target="https://link.springer.com/article/10.1007/BF01294132" TargetMode="External"/><Relationship Id="rId97" Type="http://schemas.openxmlformats.org/officeDocument/2006/relationships/hyperlink" Target="https://dl.acm.org/doi/10.1145/332306.332311" TargetMode="External"/><Relationship Id="rId96" Type="http://schemas.openxmlformats.org/officeDocument/2006/relationships/hyperlink" Target="https://link.springer.com/chapter/10.1007/978-1-4684-2001-2_9" TargetMode="External"/><Relationship Id="rId99" Type="http://schemas.openxmlformats.org/officeDocument/2006/relationships/hyperlink" Target="https://arxiv.org/abs/1504.00513" TargetMode="External"/><Relationship Id="rId98" Type="http://schemas.openxmlformats.org/officeDocument/2006/relationships/hyperlink" Target="https://link.springer.com/chapter/10.1007/978-1-4684-2001-2_9" TargetMode="External"/><Relationship Id="rId91" Type="http://schemas.openxmlformats.org/officeDocument/2006/relationships/hyperlink" Target="https://link.springer.com/chapter/10.1007/978-1-4615-2694-0_21" TargetMode="External"/><Relationship Id="rId90" Type="http://schemas.openxmlformats.org/officeDocument/2006/relationships/hyperlink" Target="https://www.researchgate.net/profile/Mohammed_Zaki4/publication/2921443_Theoretical_Foundations_of_Association_Rules/links/55a69e5b08aeb4e8e646a292/Theoretical-Foundations-of-Association-Rules.pdf" TargetMode="External"/><Relationship Id="rId93" Type="http://schemas.openxmlformats.org/officeDocument/2006/relationships/hyperlink" Target="https://ieeexplore.ieee.org/document/646102" TargetMode="External"/><Relationship Id="rId92" Type="http://schemas.openxmlformats.org/officeDocument/2006/relationships/hyperlink" Target="https://ieeexplore.ieee.org/abstract/document/1057299?casa_token=WGak__tiCqkAAAAA:r2cOFTLdVr2aPO31i436BQ2wEfVbrlWM9PsUE0DZF8euXa2B_RQ5-klmiDU7W7V1PgJkdNU" TargetMode="External"/><Relationship Id="rId110" Type="http://schemas.openxmlformats.org/officeDocument/2006/relationships/hyperlink" Target="https://dl.acm.org/doi/abs/10.1145/3828.3835" TargetMode="External"/><Relationship Id="rId114" Type="http://schemas.openxmlformats.org/officeDocument/2006/relationships/drawing" Target="../drawings/drawing7.xml"/><Relationship Id="rId113" Type="http://schemas.openxmlformats.org/officeDocument/2006/relationships/hyperlink" Target="https://zhjwpku.com/assets/pdf/AED2-10-avl-paper.pdf" TargetMode="External"/><Relationship Id="rId112" Type="http://schemas.openxmlformats.org/officeDocument/2006/relationships/hyperlink" Target="https://zhjwpku.com/assets/pdf/AED2-10-avl-paper.pdf" TargetMode="External"/><Relationship Id="rId111" Type="http://schemas.openxmlformats.org/officeDocument/2006/relationships/hyperlink" Target="https://zhjwpku.com/assets/pdf/AED2-10-avl-paper.pdf"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dl.acm.org/doi/pdf/10.1145/50087.50096" TargetMode="External"/><Relationship Id="rId194" Type="http://schemas.openxmlformats.org/officeDocument/2006/relationships/hyperlink" Target="https://dl.acm.org/doi/pdf/10.1145/50087.50096" TargetMode="External"/><Relationship Id="rId193" Type="http://schemas.openxmlformats.org/officeDocument/2006/relationships/hyperlink" Target="https://dl.acm.org/doi/pdf/10.1145/50087.50096" TargetMode="External"/><Relationship Id="rId192" Type="http://schemas.openxmlformats.org/officeDocument/2006/relationships/hyperlink" Target="https://dl.acm.org/doi/pdf/10.1145/50087.50096" TargetMode="External"/><Relationship Id="rId191" Type="http://schemas.openxmlformats.org/officeDocument/2006/relationships/hyperlink" Target="https://dl.acm.org/doi/pdf/10.1145/50087.50096" TargetMode="External"/><Relationship Id="rId187" Type="http://schemas.openxmlformats.org/officeDocument/2006/relationships/hyperlink" Target="https://dl.acm.org/doi/10.1145/28869.28874" TargetMode="External"/><Relationship Id="rId186" Type="http://schemas.openxmlformats.org/officeDocument/2006/relationships/hyperlink" Target="https://dl.acm.org/doi/10.1145/28869.28874" TargetMode="External"/><Relationship Id="rId185" Type="http://schemas.openxmlformats.org/officeDocument/2006/relationships/hyperlink" Target="https://dl.acm.org/doi/10.1145/28869.28874" TargetMode="External"/><Relationship Id="rId184" Type="http://schemas.openxmlformats.org/officeDocument/2006/relationships/hyperlink" Target="https://dl.acm.org/doi/10.1145/28869.28874" TargetMode="External"/><Relationship Id="rId189" Type="http://schemas.openxmlformats.org/officeDocument/2006/relationships/hyperlink" Target="https://dl.acm.org/doi/pdf/10.1145/50087.50096" TargetMode="External"/><Relationship Id="rId188" Type="http://schemas.openxmlformats.org/officeDocument/2006/relationships/hyperlink" Target="https://dl.acm.org/doi/10.1145/28869.28874" TargetMode="External"/><Relationship Id="rId183" Type="http://schemas.openxmlformats.org/officeDocument/2006/relationships/hyperlink" Target="https://dl.acm.org/doi/10.1145/28869.28874" TargetMode="External"/><Relationship Id="rId182" Type="http://schemas.openxmlformats.org/officeDocument/2006/relationships/hyperlink" Target="https://epubs.siam.org/doi/epdf/10.1137/0207026" TargetMode="External"/><Relationship Id="rId181" Type="http://schemas.openxmlformats.org/officeDocument/2006/relationships/hyperlink" Target="https://epubs.siam.org/doi/epdf/10.1137/0207026" TargetMode="External"/><Relationship Id="rId180" Type="http://schemas.openxmlformats.org/officeDocument/2006/relationships/hyperlink" Target="https://epubs.siam.org/doi/epdf/10.1137/0207026" TargetMode="External"/><Relationship Id="rId176" Type="http://schemas.openxmlformats.org/officeDocument/2006/relationships/hyperlink" Target="https://dl.acm.org/doi/10.1145/297096.297111" TargetMode="External"/><Relationship Id="rId175" Type="http://schemas.openxmlformats.org/officeDocument/2006/relationships/hyperlink" Target="https://dl.acm.org/doi/10.1145/297096.297111" TargetMode="External"/><Relationship Id="rId174" Type="http://schemas.openxmlformats.org/officeDocument/2006/relationships/hyperlink" Target="https://dl.acm.org/doi/10.1145/297096.297111" TargetMode="External"/><Relationship Id="rId173" Type="http://schemas.openxmlformats.org/officeDocument/2006/relationships/hyperlink" Target="https://www.proquest.com/docview/288011272" TargetMode="External"/><Relationship Id="rId179" Type="http://schemas.openxmlformats.org/officeDocument/2006/relationships/hyperlink" Target="https://dl.acm.org/doi/pdf/10.1145/359460.359478" TargetMode="External"/><Relationship Id="rId178" Type="http://schemas.openxmlformats.org/officeDocument/2006/relationships/hyperlink" Target="https://dl.acm.org/doi/10.1145/359460.359478" TargetMode="External"/><Relationship Id="rId177" Type="http://schemas.openxmlformats.org/officeDocument/2006/relationships/hyperlink" Target="https://dl.acm.org/doi/10.1145/297096.297111" TargetMode="External"/><Relationship Id="rId198" Type="http://schemas.openxmlformats.org/officeDocument/2006/relationships/hyperlink" Target="https://dl.acm.org/doi/pdf/10.1145/50087.50096" TargetMode="External"/><Relationship Id="rId197" Type="http://schemas.openxmlformats.org/officeDocument/2006/relationships/hyperlink" Target="https://dl.acm.org/doi/pdf/10.1145/50087.50096" TargetMode="External"/><Relationship Id="rId196" Type="http://schemas.openxmlformats.org/officeDocument/2006/relationships/hyperlink" Target="https://dl.acm.org/doi/pdf/10.1145/50087.50096" TargetMode="External"/><Relationship Id="rId195" Type="http://schemas.openxmlformats.org/officeDocument/2006/relationships/hyperlink" Target="https://dl.acm.org/doi/pdf/10.1145/50087.50096" TargetMode="External"/><Relationship Id="rId199" Type="http://schemas.openxmlformats.org/officeDocument/2006/relationships/hyperlink" Target="https://dl.acm.org/doi/pdf/10.1145/50087.50096" TargetMode="External"/><Relationship Id="rId150" Type="http://schemas.openxmlformats.org/officeDocument/2006/relationships/hyperlink" Target="https://ieeexplore.ieee.org/document/6979001" TargetMode="External"/><Relationship Id="rId1" Type="http://schemas.openxmlformats.org/officeDocument/2006/relationships/hyperlink" Target="https://zhjwpku.com/assets/pdf/AED2-10-avl-paper.pdf" TargetMode="External"/><Relationship Id="rId2" Type="http://schemas.openxmlformats.org/officeDocument/2006/relationships/hyperlink" Target="https://zhjwpku.com/assets/pdf/AED2-10-avl-paper.pdf" TargetMode="External"/><Relationship Id="rId3" Type="http://schemas.openxmlformats.org/officeDocument/2006/relationships/hyperlink" Target="https://zhjwpku.com/assets/pdf/AED2-10-avl-paper.pdf" TargetMode="External"/><Relationship Id="rId149" Type="http://schemas.openxmlformats.org/officeDocument/2006/relationships/hyperlink" Target="https://ieeexplore.ieee.org/document/6979001" TargetMode="External"/><Relationship Id="rId4" Type="http://schemas.openxmlformats.org/officeDocument/2006/relationships/hyperlink" Target="https://dl.acm.org/doi/pdf/10.1145/322123.322127" TargetMode="External"/><Relationship Id="rId148" Type="http://schemas.openxmlformats.org/officeDocument/2006/relationships/hyperlink" Target="https://arxiv.org/abs/cs/0210006" TargetMode="External"/><Relationship Id="rId9" Type="http://schemas.openxmlformats.org/officeDocument/2006/relationships/hyperlink" Target="https://dl.acm.org/doi/10.1145/2935764.2935768" TargetMode="External"/><Relationship Id="rId143" Type="http://schemas.openxmlformats.org/officeDocument/2006/relationships/hyperlink" Target="https://arxiv.org/abs/cs/0210006" TargetMode="External"/><Relationship Id="rId142" Type="http://schemas.openxmlformats.org/officeDocument/2006/relationships/hyperlink" Target="https://arxiv.org/abs/cs/0210006" TargetMode="External"/><Relationship Id="rId141" Type="http://schemas.openxmlformats.org/officeDocument/2006/relationships/hyperlink" Target="https://ieeexplore.ieee.org/document/548472" TargetMode="External"/><Relationship Id="rId140" Type="http://schemas.openxmlformats.org/officeDocument/2006/relationships/hyperlink" Target="https://ieeexplore.ieee.org/document/548472" TargetMode="External"/><Relationship Id="rId5" Type="http://schemas.openxmlformats.org/officeDocument/2006/relationships/hyperlink" Target="https://ieeexplore.ieee.org/document/4567957" TargetMode="External"/><Relationship Id="rId147" Type="http://schemas.openxmlformats.org/officeDocument/2006/relationships/hyperlink" Target="https://arxiv.org/abs/cs/0210006" TargetMode="External"/><Relationship Id="rId6" Type="http://schemas.openxmlformats.org/officeDocument/2006/relationships/hyperlink" Target="https://ieeexplore.ieee.org/document/4567957" TargetMode="External"/><Relationship Id="rId146" Type="http://schemas.openxmlformats.org/officeDocument/2006/relationships/hyperlink" Target="https://arxiv.org/abs/cs/0210006" TargetMode="External"/><Relationship Id="rId7" Type="http://schemas.openxmlformats.org/officeDocument/2006/relationships/hyperlink" Target="https://ieeexplore.ieee.org/document/4567957" TargetMode="External"/><Relationship Id="rId145" Type="http://schemas.openxmlformats.org/officeDocument/2006/relationships/hyperlink" Target="https://arxiv.org/abs/cs/0210006" TargetMode="External"/><Relationship Id="rId8" Type="http://schemas.openxmlformats.org/officeDocument/2006/relationships/hyperlink" Target="https://ieeexplore.ieee.org/document/4567957" TargetMode="External"/><Relationship Id="rId144" Type="http://schemas.openxmlformats.org/officeDocument/2006/relationships/hyperlink" Target="https://arxiv.org/abs/cs/0210006" TargetMode="External"/><Relationship Id="rId139" Type="http://schemas.openxmlformats.org/officeDocument/2006/relationships/hyperlink" Target="https://ieeexplore.ieee.org/document/548472" TargetMode="External"/><Relationship Id="rId138" Type="http://schemas.openxmlformats.org/officeDocument/2006/relationships/hyperlink" Target="https://ieeexplore.ieee.org/document/548472" TargetMode="External"/><Relationship Id="rId137" Type="http://schemas.openxmlformats.org/officeDocument/2006/relationships/hyperlink" Target="https://ieeexplore.ieee.org/document/548472" TargetMode="External"/><Relationship Id="rId132" Type="http://schemas.openxmlformats.org/officeDocument/2006/relationships/hyperlink" Target="https://dl.acm.org/doi/10.1145/100216.100217" TargetMode="External"/><Relationship Id="rId131" Type="http://schemas.openxmlformats.org/officeDocument/2006/relationships/hyperlink" Target="https://dl.acm.org/doi/10.1145/100216.100217" TargetMode="External"/><Relationship Id="rId130" Type="http://schemas.openxmlformats.org/officeDocument/2006/relationships/hyperlink" Target="https://dl.acm.org/doi/10.1145/100216.100217" TargetMode="External"/><Relationship Id="rId136" Type="http://schemas.openxmlformats.org/officeDocument/2006/relationships/hyperlink" Target="https://ieeexplore.ieee.org/document/548472" TargetMode="External"/><Relationship Id="rId135" Type="http://schemas.openxmlformats.org/officeDocument/2006/relationships/hyperlink" Target="https://ieeexplore.ieee.org/document/548472" TargetMode="External"/><Relationship Id="rId134" Type="http://schemas.openxmlformats.org/officeDocument/2006/relationships/hyperlink" Target="https://dl.acm.org/doi/10.1145/100216.100217" TargetMode="External"/><Relationship Id="rId133" Type="http://schemas.openxmlformats.org/officeDocument/2006/relationships/hyperlink" Target="https://dl.acm.org/doi/10.1145/100216.100217" TargetMode="External"/><Relationship Id="rId172" Type="http://schemas.openxmlformats.org/officeDocument/2006/relationships/hyperlink" Target="https://www.proquest.com/docview/288011272" TargetMode="External"/><Relationship Id="rId171" Type="http://schemas.openxmlformats.org/officeDocument/2006/relationships/hyperlink" Target="https://www.proquest.com/docview/288011272" TargetMode="External"/><Relationship Id="rId170" Type="http://schemas.openxmlformats.org/officeDocument/2006/relationships/hyperlink" Target="https://www.proquest.com/docview/288011272" TargetMode="External"/><Relationship Id="rId165" Type="http://schemas.openxmlformats.org/officeDocument/2006/relationships/hyperlink" Target="https://lusy.fri.uni-lj.si/sites/lusy.fri.uni-lj.si/files/publications/jekovec2012-tr01.pdf" TargetMode="External"/><Relationship Id="rId164" Type="http://schemas.openxmlformats.org/officeDocument/2006/relationships/hyperlink" Target="https://xlinux.nist.gov/dads/HTML/binaryheap.html" TargetMode="External"/><Relationship Id="rId163" Type="http://schemas.openxmlformats.org/officeDocument/2006/relationships/hyperlink" Target="https://www.sciencedirect.com/science/article/pii/0020019075900010?via%3Dihub" TargetMode="External"/><Relationship Id="rId162" Type="http://schemas.openxmlformats.org/officeDocument/2006/relationships/hyperlink" Target="https://lusy.fri.uni-lj.si/sites/lusy.fri.uni-lj.si/files/publications/jekovec2012-tr01.pdf" TargetMode="External"/><Relationship Id="rId169" Type="http://schemas.openxmlformats.org/officeDocument/2006/relationships/hyperlink" Target="https://www.sciencedirect.com/science/article/pii/0020019075900010?via%3Dihub" TargetMode="External"/><Relationship Id="rId168" Type="http://schemas.openxmlformats.org/officeDocument/2006/relationships/hyperlink" Target="https://www.sciencedirect.com/science/article/pii/0020019075900010?via%3Dihub" TargetMode="External"/><Relationship Id="rId167" Type="http://schemas.openxmlformats.org/officeDocument/2006/relationships/hyperlink" Target="https://www.sciencedirect.com/science/article/pii/0020019075900010?via%3Dihub" TargetMode="External"/><Relationship Id="rId166" Type="http://schemas.openxmlformats.org/officeDocument/2006/relationships/hyperlink" Target="https://www.sciencedirect.com/science/article/pii/0020019075900010?via%3Dihub" TargetMode="External"/><Relationship Id="rId161" Type="http://schemas.openxmlformats.org/officeDocument/2006/relationships/hyperlink" Target="https://www.deepdyve.com/lp/ios-press/elementary-yet-precise-worst-case-analysis-of-floyd-s-heap-50NW30HMxU" TargetMode="External"/><Relationship Id="rId160" Type="http://schemas.openxmlformats.org/officeDocument/2006/relationships/hyperlink" Target="https://dl.acm.org/doi/10.1145/512274.512284" TargetMode="External"/><Relationship Id="rId159" Type="http://schemas.openxmlformats.org/officeDocument/2006/relationships/hyperlink" Target="https://en.wikipedia.org/wiki/Priority_queue" TargetMode="External"/><Relationship Id="rId154" Type="http://schemas.openxmlformats.org/officeDocument/2006/relationships/hyperlink" Target="https://ieeexplore.ieee.org/document/6979001" TargetMode="External"/><Relationship Id="rId153" Type="http://schemas.openxmlformats.org/officeDocument/2006/relationships/hyperlink" Target="https://ieeexplore.ieee.org/document/6979001" TargetMode="External"/><Relationship Id="rId152" Type="http://schemas.openxmlformats.org/officeDocument/2006/relationships/hyperlink" Target="https://ieeexplore.ieee.org/document/6979001" TargetMode="External"/><Relationship Id="rId151" Type="http://schemas.openxmlformats.org/officeDocument/2006/relationships/hyperlink" Target="https://ieeexplore.ieee.org/document/6979001" TargetMode="External"/><Relationship Id="rId158" Type="http://schemas.openxmlformats.org/officeDocument/2006/relationships/hyperlink" Target="https://en.wikipedia.org/wiki/Priority_queue" TargetMode="External"/><Relationship Id="rId157" Type="http://schemas.openxmlformats.org/officeDocument/2006/relationships/hyperlink" Target="https://en.wikipedia.org/wiki/Priority_queue" TargetMode="External"/><Relationship Id="rId156" Type="http://schemas.openxmlformats.org/officeDocument/2006/relationships/hyperlink" Target="https://en.wikipedia.org/wiki/Priority_queue" TargetMode="External"/><Relationship Id="rId155" Type="http://schemas.openxmlformats.org/officeDocument/2006/relationships/hyperlink" Target="https://ieeexplore.ieee.org/document/6979001" TargetMode="External"/><Relationship Id="rId40" Type="http://schemas.openxmlformats.org/officeDocument/2006/relationships/hyperlink" Target="http://faculty.washington.edu/aragon/pubs/rst89.pdf" TargetMode="External"/><Relationship Id="rId42" Type="http://schemas.openxmlformats.org/officeDocument/2006/relationships/hyperlink" Target="https://dl.acm.org/doi/10.1145/277651.277660" TargetMode="External"/><Relationship Id="rId41" Type="http://schemas.openxmlformats.org/officeDocument/2006/relationships/hyperlink" Target="http://faculty.washington.edu/aragon/pubs/rst89.pdf" TargetMode="External"/><Relationship Id="rId44" Type="http://schemas.openxmlformats.org/officeDocument/2006/relationships/hyperlink" Target="https://dl.acm.org/doi/abs/10.1145/2689412" TargetMode="External"/><Relationship Id="rId43" Type="http://schemas.openxmlformats.org/officeDocument/2006/relationships/hyperlink" Target="https://ieeexplore.ieee.org/abstract/document/1648303" TargetMode="External"/><Relationship Id="rId46" Type="http://schemas.openxmlformats.org/officeDocument/2006/relationships/hyperlink" Target="https://dl.acm.org/doi/abs/10.1145/2689412" TargetMode="External"/><Relationship Id="rId45" Type="http://schemas.openxmlformats.org/officeDocument/2006/relationships/hyperlink" Target="https://dl.acm.org/doi/abs/10.1145/2689412" TargetMode="External"/><Relationship Id="rId48" Type="http://schemas.openxmlformats.org/officeDocument/2006/relationships/hyperlink" Target="https://arxiv.org/abs/1806.06726" TargetMode="External"/><Relationship Id="rId47" Type="http://schemas.openxmlformats.org/officeDocument/2006/relationships/hyperlink" Target="https://dl.acm.org/doi/abs/10.1145/2689412" TargetMode="External"/><Relationship Id="rId49" Type="http://schemas.openxmlformats.org/officeDocument/2006/relationships/hyperlink" Target="https://arxiv.org/abs/1806.06726" TargetMode="External"/><Relationship Id="rId31" Type="http://schemas.openxmlformats.org/officeDocument/2006/relationships/hyperlink" Target="http://people.csail.mit.edu/rivest/pubs/GR93.pdf" TargetMode="External"/><Relationship Id="rId30" Type="http://schemas.openxmlformats.org/officeDocument/2006/relationships/hyperlink" Target="https://user.it.uu.se/~arnea/abs/partb.html" TargetMode="External"/><Relationship Id="rId33" Type="http://schemas.openxmlformats.org/officeDocument/2006/relationships/hyperlink" Target="http://people.csail.mit.edu/rivest/pubs/GR93.pdf" TargetMode="External"/><Relationship Id="rId32" Type="http://schemas.openxmlformats.org/officeDocument/2006/relationships/hyperlink" Target="http://people.csail.mit.edu/rivest/pubs/GR93.pdf" TargetMode="External"/><Relationship Id="rId35" Type="http://schemas.openxmlformats.org/officeDocument/2006/relationships/hyperlink" Target="https://www.cs.cmu.edu/~sleator/papers/self-adjusting.pdf" TargetMode="External"/><Relationship Id="rId34" Type="http://schemas.openxmlformats.org/officeDocument/2006/relationships/hyperlink" Target="https://www.cs.cmu.edu/~sleator/papers/self-adjusting.pdf" TargetMode="External"/><Relationship Id="rId37" Type="http://schemas.openxmlformats.org/officeDocument/2006/relationships/hyperlink" Target="https://www.cs.cmu.edu/~sleator/papers/self-adjusting.pdf" TargetMode="External"/><Relationship Id="rId36" Type="http://schemas.openxmlformats.org/officeDocument/2006/relationships/hyperlink" Target="https://www.cs.cmu.edu/~sleator/papers/self-adjusting.pdf" TargetMode="External"/><Relationship Id="rId39" Type="http://schemas.openxmlformats.org/officeDocument/2006/relationships/hyperlink" Target="http://faculty.washington.edu/aragon/pubs/rst89.pdf" TargetMode="External"/><Relationship Id="rId38" Type="http://schemas.openxmlformats.org/officeDocument/2006/relationships/hyperlink" Target="http://faculty.washington.edu/aragon/pubs/rst89.pdf" TargetMode="External"/><Relationship Id="rId20" Type="http://schemas.openxmlformats.org/officeDocument/2006/relationships/hyperlink" Target="https://dl.acm.org/doi/pdf/10.1145/356770.356776" TargetMode="External"/><Relationship Id="rId22" Type="http://schemas.openxmlformats.org/officeDocument/2006/relationships/hyperlink" Target="https://dl.acm.org/doi/pdf/10.1145/356770.356776" TargetMode="External"/><Relationship Id="rId21" Type="http://schemas.openxmlformats.org/officeDocument/2006/relationships/hyperlink" Target="https://dl.acm.org/doi/pdf/10.1145/356770.356776" TargetMode="External"/><Relationship Id="rId24" Type="http://schemas.openxmlformats.org/officeDocument/2006/relationships/hyperlink" Target="https://dl.acm.org/doi/pdf/10.1145/356770.356776" TargetMode="External"/><Relationship Id="rId23" Type="http://schemas.openxmlformats.org/officeDocument/2006/relationships/hyperlink" Target="https://dl.acm.org/doi/pdf/10.1145/356770.356776" TargetMode="External"/><Relationship Id="rId26" Type="http://schemas.openxmlformats.org/officeDocument/2006/relationships/hyperlink" Target="https://dl.acm.org/doi/pdf/10.1145/356770.356776" TargetMode="External"/><Relationship Id="rId25" Type="http://schemas.openxmlformats.org/officeDocument/2006/relationships/hyperlink" Target="https://dl.acm.org/doi/pdf/10.1145/356770.356776" TargetMode="External"/><Relationship Id="rId28" Type="http://schemas.openxmlformats.org/officeDocument/2006/relationships/hyperlink" Target="https://dl.acm.org/doi/pdf/10.1145/356770.356776" TargetMode="External"/><Relationship Id="rId27" Type="http://schemas.openxmlformats.org/officeDocument/2006/relationships/hyperlink" Target="https://dl.acm.org/doi/pdf/10.1145/356770.356776" TargetMode="External"/><Relationship Id="rId29" Type="http://schemas.openxmlformats.org/officeDocument/2006/relationships/hyperlink" Target="https://ispranproceedings.elpub.ru/jour/article/view/1188" TargetMode="External"/><Relationship Id="rId11" Type="http://schemas.openxmlformats.org/officeDocument/2006/relationships/hyperlink" Target="https://citeseerx.ist.psu.edu/viewdoc/summary?doi=10.1.1.139.282" TargetMode="External"/><Relationship Id="rId10" Type="http://schemas.openxmlformats.org/officeDocument/2006/relationships/hyperlink" Target="https://citeseerx.ist.psu.edu/viewdoc/summary?doi=10.1.1.139.282" TargetMode="External"/><Relationship Id="rId13" Type="http://schemas.openxmlformats.org/officeDocument/2006/relationships/hyperlink" Target="https://citeseerx.ist.psu.edu/viewdoc/summary?doi=10.1.1.139.282" TargetMode="External"/><Relationship Id="rId12" Type="http://schemas.openxmlformats.org/officeDocument/2006/relationships/hyperlink" Target="https://citeseerx.ist.psu.edu/viewdoc/summary?doi=10.1.1.139.282" TargetMode="External"/><Relationship Id="rId15" Type="http://schemas.openxmlformats.org/officeDocument/2006/relationships/hyperlink" Target="https://dl.acm.org/doi/pdf/10.1145/322123.322127" TargetMode="External"/><Relationship Id="rId14" Type="http://schemas.openxmlformats.org/officeDocument/2006/relationships/hyperlink" Target="https://cs.gmu.edu/~rcarver/cs310/aa-tree.pdf" TargetMode="External"/><Relationship Id="rId17" Type="http://schemas.openxmlformats.org/officeDocument/2006/relationships/hyperlink" Target="https://infolab.usc.edu/csci585/Spring2010/den_ar/indexing.pdf" TargetMode="External"/><Relationship Id="rId16" Type="http://schemas.openxmlformats.org/officeDocument/2006/relationships/hyperlink" Target="https://infolab.usc.edu/csci585/Spring2010/den_ar/indexing.pdf" TargetMode="External"/><Relationship Id="rId19" Type="http://schemas.openxmlformats.org/officeDocument/2006/relationships/hyperlink" Target="https://infolab.usc.edu/csci585/Spring2010/den_ar/indexing.pdf" TargetMode="External"/><Relationship Id="rId18" Type="http://schemas.openxmlformats.org/officeDocument/2006/relationships/hyperlink" Target="https://infolab.usc.edu/csci585/Spring2010/den_ar/indexing.pdf" TargetMode="External"/><Relationship Id="rId84" Type="http://schemas.openxmlformats.org/officeDocument/2006/relationships/hyperlink" Target="https://www.cs.cmu.edu/~dgolovin/papers/focs07.pdf" TargetMode="External"/><Relationship Id="rId83" Type="http://schemas.openxmlformats.org/officeDocument/2006/relationships/hyperlink" Target="https://www.cs.cmu.edu/~dgolovin/papers/focs07.pdf" TargetMode="External"/><Relationship Id="rId86" Type="http://schemas.openxmlformats.org/officeDocument/2006/relationships/hyperlink" Target="https://www.cs.cmu.edu/~dgolovin/papers/focs07.pdf" TargetMode="External"/><Relationship Id="rId85" Type="http://schemas.openxmlformats.org/officeDocument/2006/relationships/hyperlink" Target="https://www.cs.cmu.edu/~dgolovin/papers/focs07.pdf" TargetMode="External"/><Relationship Id="rId88" Type="http://schemas.openxmlformats.org/officeDocument/2006/relationships/hyperlink" Target="https://arxiv.org/abs/2109.04548" TargetMode="External"/><Relationship Id="rId87" Type="http://schemas.openxmlformats.org/officeDocument/2006/relationships/hyperlink" Target="https://www.cs.cmu.edu/~dgolovin/papers/focs07.pdf" TargetMode="External"/><Relationship Id="rId89" Type="http://schemas.openxmlformats.org/officeDocument/2006/relationships/hyperlink" Target="https://arxiv.org/pdf/2109.04548.pdf" TargetMode="External"/><Relationship Id="rId80" Type="http://schemas.openxmlformats.org/officeDocument/2006/relationships/hyperlink" Target="http://people.csail.mit.edu/shanir/publications/disc2008_submission_98.pdf" TargetMode="External"/><Relationship Id="rId82" Type="http://schemas.openxmlformats.org/officeDocument/2006/relationships/hyperlink" Target="http://people.csail.mit.edu/shanir/publications/disc2008_submission_98.pdf" TargetMode="External"/><Relationship Id="rId81" Type="http://schemas.openxmlformats.org/officeDocument/2006/relationships/hyperlink" Target="http://people.csail.mit.edu/shanir/publications/disc2008_submission_98.pdf" TargetMode="External"/><Relationship Id="rId73" Type="http://schemas.openxmlformats.org/officeDocument/2006/relationships/hyperlink" Target="https://web.archive.org/web/20160125172602/http://phillipbradford.com/papers/AProbStudyExpandersAndHashing.pdf" TargetMode="External"/><Relationship Id="rId72" Type="http://schemas.openxmlformats.org/officeDocument/2006/relationships/hyperlink" Target="https://web.archive.org/web/20160125172602/http://phillipbradford.com/papers/AProbStudyExpandersAndHashing.pdf" TargetMode="External"/><Relationship Id="rId75" Type="http://schemas.openxmlformats.org/officeDocument/2006/relationships/hyperlink" Target="https://link.springer.com/content/pdf/10.1007/3-540-44676-1.pdf" TargetMode="External"/><Relationship Id="rId74" Type="http://schemas.openxmlformats.org/officeDocument/2006/relationships/hyperlink" Target="https://archive.org/details/designanalysisof0000vitt" TargetMode="External"/><Relationship Id="rId77" Type="http://schemas.openxmlformats.org/officeDocument/2006/relationships/hyperlink" Target="https://citeseerx.ist.psu.edu/doc/10.1.1.25.4189" TargetMode="External"/><Relationship Id="rId76" Type="http://schemas.openxmlformats.org/officeDocument/2006/relationships/hyperlink" Target="https://citeseerx.ist.psu.edu/doc/10.1.1.25.4189" TargetMode="External"/><Relationship Id="rId79" Type="http://schemas.openxmlformats.org/officeDocument/2006/relationships/hyperlink" Target="http://people.csail.mit.edu/shanir/publications/disc2008_submission_98.pdf" TargetMode="External"/><Relationship Id="rId78" Type="http://schemas.openxmlformats.org/officeDocument/2006/relationships/hyperlink" Target="https://citeseerx.ist.psu.edu/doc/10.1.1.25.4189" TargetMode="External"/><Relationship Id="rId71" Type="http://schemas.openxmlformats.org/officeDocument/2006/relationships/hyperlink" Target="https://web.archive.org/web/20160303225949/http://algo.inria.fr/AofA/Research/11-97.html" TargetMode="External"/><Relationship Id="rId70" Type="http://schemas.openxmlformats.org/officeDocument/2006/relationships/hyperlink" Target="https://web.archive.org/web/20160303225949/http://algo.inria.fr/AofA/Research/11-97.html" TargetMode="External"/><Relationship Id="rId62" Type="http://schemas.openxmlformats.org/officeDocument/2006/relationships/hyperlink" Target="https://web.archive.org/web/20160304094014/http://www.arl.wustl.edu/~sailesh/download_files/Limited_Edition/hash/Dynamic%20Perfect%20Hashing-%20Upper%20and%20Lower%20Bounds.pdf" TargetMode="External"/><Relationship Id="rId61" Type="http://schemas.openxmlformats.org/officeDocument/2006/relationships/hyperlink" Target="https://dl.acm.org/doi/pdf/10.1145/2935764.2935768" TargetMode="External"/><Relationship Id="rId64" Type="http://schemas.openxmlformats.org/officeDocument/2006/relationships/hyperlink" Target="https://web.archive.org/web/20160304094014/http://www.arl.wustl.edu/~sailesh/download_files/Limited_Edition/hash/Dynamic%20Perfect%20Hashing-%20Upper%20and%20Lower%20Bounds.pdf" TargetMode="External"/><Relationship Id="rId63" Type="http://schemas.openxmlformats.org/officeDocument/2006/relationships/hyperlink" Target="https://web.archive.org/web/20160304094014/http://www.arl.wustl.edu/~sailesh/download_files/Limited_Edition/hash/Dynamic%20Perfect%20Hashing-%20Upper%20and%20Lower%20Bounds.pdf" TargetMode="External"/><Relationship Id="rId66" Type="http://schemas.openxmlformats.org/officeDocument/2006/relationships/hyperlink" Target="https://web.archive.org/web/20160304094014/http://www.arl.wustl.edu/~sailesh/download_files/Limited_Edition/hash/Dynamic%20Perfect%20Hashing-%20Upper%20and%20Lower%20Bounds.pdf" TargetMode="External"/><Relationship Id="rId65" Type="http://schemas.openxmlformats.org/officeDocument/2006/relationships/hyperlink" Target="https://web.archive.org/web/20160304094014/http://www.arl.wustl.edu/~sailesh/download_files/Limited_Edition/hash/Dynamic%20Perfect%20Hashing-%20Upper%20and%20Lower%20Bounds.pdf" TargetMode="External"/><Relationship Id="rId68" Type="http://schemas.openxmlformats.org/officeDocument/2006/relationships/hyperlink" Target="https://web.archive.org/web/20160303225949/http://algo.inria.fr/AofA/Research/11-97.html" TargetMode="External"/><Relationship Id="rId67" Type="http://schemas.openxmlformats.org/officeDocument/2006/relationships/hyperlink" Target="https://web.archive.org/web/20160303225949/http://algo.inria.fr/AofA/Research/11-97.html" TargetMode="External"/><Relationship Id="rId60" Type="http://schemas.openxmlformats.org/officeDocument/2006/relationships/hyperlink" Target="https://dl.acm.org/doi/pdf/10.1145/800152.804906" TargetMode="External"/><Relationship Id="rId69" Type="http://schemas.openxmlformats.org/officeDocument/2006/relationships/hyperlink" Target="https://web.archive.org/web/20160303225949/http://algo.inria.fr/AofA/Research/11-97.html" TargetMode="External"/><Relationship Id="rId51" Type="http://schemas.openxmlformats.org/officeDocument/2006/relationships/hyperlink" Target="https://arxiv.org/abs/1806.06726" TargetMode="External"/><Relationship Id="rId50" Type="http://schemas.openxmlformats.org/officeDocument/2006/relationships/hyperlink" Target="https://arxiv.org/abs/1806.06726" TargetMode="External"/><Relationship Id="rId53" Type="http://schemas.openxmlformats.org/officeDocument/2006/relationships/hyperlink" Target="https://www.cys.cic.ipn.mx/ojs/index.php/CyS/article/view/3108/2727" TargetMode="External"/><Relationship Id="rId52" Type="http://schemas.openxmlformats.org/officeDocument/2006/relationships/hyperlink" Target="https://www.cys.cic.ipn.mx/ojs/index.php/CyS/article/view/3108/2727" TargetMode="External"/><Relationship Id="rId55" Type="http://schemas.openxmlformats.org/officeDocument/2006/relationships/hyperlink" Target="https://www.cys.cic.ipn.mx/ojs/index.php/CyS/article/view/3108/2727" TargetMode="External"/><Relationship Id="rId54" Type="http://schemas.openxmlformats.org/officeDocument/2006/relationships/hyperlink" Target="https://www.cys.cic.ipn.mx/ojs/index.php/CyS/article/view/3108/2727" TargetMode="External"/><Relationship Id="rId57" Type="http://schemas.openxmlformats.org/officeDocument/2006/relationships/hyperlink" Target="https://publikationen.sulb.uni-saarland.de/handle/20.500.11880/26129" TargetMode="External"/><Relationship Id="rId56" Type="http://schemas.openxmlformats.org/officeDocument/2006/relationships/hyperlink" Target="https://dl.acm.org/doi/pdf/10.1145/800152.804906" TargetMode="External"/><Relationship Id="rId59" Type="http://schemas.openxmlformats.org/officeDocument/2006/relationships/hyperlink" Target="https://publikationen.sulb.uni-saarland.de/handle/20.500.11880/26129" TargetMode="External"/><Relationship Id="rId58" Type="http://schemas.openxmlformats.org/officeDocument/2006/relationships/hyperlink" Target="https://publikationen.sulb.uni-saarland.de/handle/20.500.11880/26129" TargetMode="External"/><Relationship Id="rId107" Type="http://schemas.openxmlformats.org/officeDocument/2006/relationships/hyperlink" Target="https://www.sciencedirect.com/science/article/pii/0020019083900753?via%3Dihub" TargetMode="External"/><Relationship Id="rId106" Type="http://schemas.openxmlformats.org/officeDocument/2006/relationships/hyperlink" Target="https://www.sciencedirect.com/science/article/pii/002001907790031X" TargetMode="External"/><Relationship Id="rId105" Type="http://schemas.openxmlformats.org/officeDocument/2006/relationships/hyperlink" Target="https://www.sciencedirect.com/science/article/pii/002001907790031X" TargetMode="External"/><Relationship Id="rId104" Type="http://schemas.openxmlformats.org/officeDocument/2006/relationships/hyperlink" Target="https://www.sciencedirect.com/science/article/pii/002001907790031X" TargetMode="External"/><Relationship Id="rId109" Type="http://schemas.openxmlformats.org/officeDocument/2006/relationships/hyperlink" Target="http://courses.csail.mit.edu/6.851/spring10/scribe/lec09.pdf" TargetMode="External"/><Relationship Id="rId108" Type="http://schemas.openxmlformats.org/officeDocument/2006/relationships/hyperlink" Target="https://www.sciencedirect.com/science/article/pii/0020019083900753?via%3Dihub" TargetMode="External"/><Relationship Id="rId103" Type="http://schemas.openxmlformats.org/officeDocument/2006/relationships/hyperlink" Target="https://www.sciencedirect.com/science/article/pii/002001907790031X" TargetMode="External"/><Relationship Id="rId102" Type="http://schemas.openxmlformats.org/officeDocument/2006/relationships/hyperlink" Target="https://www.sciencedirect.com/science/article/pii/002001907790031X" TargetMode="External"/><Relationship Id="rId101" Type="http://schemas.openxmlformats.org/officeDocument/2006/relationships/hyperlink" Target="https://www.sciencedirect.com/science/article/pii/002001907790031X" TargetMode="External"/><Relationship Id="rId100" Type="http://schemas.openxmlformats.org/officeDocument/2006/relationships/hyperlink" Target="https://www.sciencedirect.com/science/article/pii/002001907790031X" TargetMode="External"/><Relationship Id="rId129" Type="http://schemas.openxmlformats.org/officeDocument/2006/relationships/hyperlink" Target="https://dl.acm.org/doi/10.1145/100216.100217" TargetMode="External"/><Relationship Id="rId128" Type="http://schemas.openxmlformats.org/officeDocument/2006/relationships/hyperlink" Target="https://www.sciencedirect.com/science/article/pii/0022000084900205" TargetMode="External"/><Relationship Id="rId127" Type="http://schemas.openxmlformats.org/officeDocument/2006/relationships/hyperlink" Target="https://www.sciencedirect.com/science/article/pii/0022000084900205" TargetMode="External"/><Relationship Id="rId126" Type="http://schemas.openxmlformats.org/officeDocument/2006/relationships/hyperlink" Target="https://www.sciencedirect.com/science/article/pii/0022000084900205" TargetMode="External"/><Relationship Id="rId121" Type="http://schemas.openxmlformats.org/officeDocument/2006/relationships/hyperlink" Target="https://www.sciencedirect.com/science/article/pii/0022000084900205" TargetMode="External"/><Relationship Id="rId120" Type="http://schemas.openxmlformats.org/officeDocument/2006/relationships/hyperlink" Target="https://www.sciencedirect.com/science/article/pii/0022000084900205" TargetMode="External"/><Relationship Id="rId125" Type="http://schemas.openxmlformats.org/officeDocument/2006/relationships/hyperlink" Target="https://www.sciencedirect.com/science/article/pii/0022000084900205" TargetMode="External"/><Relationship Id="rId124" Type="http://schemas.openxmlformats.org/officeDocument/2006/relationships/hyperlink" Target="https://www.sciencedirect.com/science/article/pii/0022000084900205" TargetMode="External"/><Relationship Id="rId123" Type="http://schemas.openxmlformats.org/officeDocument/2006/relationships/hyperlink" Target="https://www.sciencedirect.com/science/article/pii/0022000084900205" TargetMode="External"/><Relationship Id="rId122" Type="http://schemas.openxmlformats.org/officeDocument/2006/relationships/hyperlink" Target="https://www.sciencedirect.com/science/article/pii/0022000084900205" TargetMode="External"/><Relationship Id="rId95" Type="http://schemas.openxmlformats.org/officeDocument/2006/relationships/hyperlink" Target="https://dl.acm.org/doi/pdf/10.1145/1008620.1008624" TargetMode="External"/><Relationship Id="rId94" Type="http://schemas.openxmlformats.org/officeDocument/2006/relationships/hyperlink" Target="https://dl.acm.org/doi/pdf/10.1145/1008620.1008624" TargetMode="External"/><Relationship Id="rId97" Type="http://schemas.openxmlformats.org/officeDocument/2006/relationships/hyperlink" Target="https://packages.debian.org/buster/libjudy-dev" TargetMode="External"/><Relationship Id="rId96" Type="http://schemas.openxmlformats.org/officeDocument/2006/relationships/hyperlink" Target="https://judy.sourceforge.net/application/shop_interm.pdf" TargetMode="External"/><Relationship Id="rId99" Type="http://schemas.openxmlformats.org/officeDocument/2006/relationships/hyperlink" Target="https://packages.debian.org/buster/libjudy-dev" TargetMode="External"/><Relationship Id="rId98" Type="http://schemas.openxmlformats.org/officeDocument/2006/relationships/hyperlink" Target="https://packages.debian.org/buster/libjudy-dev" TargetMode="External"/><Relationship Id="rId91" Type="http://schemas.openxmlformats.org/officeDocument/2006/relationships/hyperlink" Target="https://arxiv.org/pdf/2109.04548.pdf" TargetMode="External"/><Relationship Id="rId90" Type="http://schemas.openxmlformats.org/officeDocument/2006/relationships/hyperlink" Target="https://arxiv.org/pdf/2109.04548.pdf" TargetMode="External"/><Relationship Id="rId93" Type="http://schemas.openxmlformats.org/officeDocument/2006/relationships/hyperlink" Target="https://dl.acm.org/doi/pdf/10.1145/1008620.1008624" TargetMode="External"/><Relationship Id="rId92" Type="http://schemas.openxmlformats.org/officeDocument/2006/relationships/hyperlink" Target="https://web.archive.org/web/20200211163605/https://pdfs.semanticscholar.org/3ce3/f4cc1c91d03850ed84ef96a08498e018d18f.pdf" TargetMode="External"/><Relationship Id="rId118" Type="http://schemas.openxmlformats.org/officeDocument/2006/relationships/hyperlink" Target="https://www.sciencedirect.com/science/article/pii/0020019083900753?via%3Dihub" TargetMode="External"/><Relationship Id="rId117" Type="http://schemas.openxmlformats.org/officeDocument/2006/relationships/hyperlink" Target="https://www.sciencedirect.com/science/article/pii/0020019083900753?via%3Dihub" TargetMode="External"/><Relationship Id="rId116" Type="http://schemas.openxmlformats.org/officeDocument/2006/relationships/hyperlink" Target="http://courses.csail.mit.edu/6.851/spring10/scribe/lec09.pdf" TargetMode="External"/><Relationship Id="rId115" Type="http://schemas.openxmlformats.org/officeDocument/2006/relationships/hyperlink" Target="http://courses.csail.mit.edu/6.851/spring10/scribe/lec09.pdf" TargetMode="External"/><Relationship Id="rId119" Type="http://schemas.openxmlformats.org/officeDocument/2006/relationships/hyperlink" Target="https://www.sciencedirect.com/science/article/pii/0022000084900205" TargetMode="External"/><Relationship Id="rId110" Type="http://schemas.openxmlformats.org/officeDocument/2006/relationships/hyperlink" Target="http://courses.csail.mit.edu/6.851/spring10/scribe/lec09.pdf" TargetMode="External"/><Relationship Id="rId114" Type="http://schemas.openxmlformats.org/officeDocument/2006/relationships/hyperlink" Target="https://www.sciencedirect.com/science/article/pii/0020019083900753?via%3Dihub" TargetMode="External"/><Relationship Id="rId113" Type="http://schemas.openxmlformats.org/officeDocument/2006/relationships/hyperlink" Target="https://www.sciencedirect.com/science/article/pii/0020019083900753?via%3Dihub" TargetMode="External"/><Relationship Id="rId112" Type="http://schemas.openxmlformats.org/officeDocument/2006/relationships/hyperlink" Target="https://www.sciencedirect.com/science/article/pii/0020019083900753?via%3Dihub" TargetMode="External"/><Relationship Id="rId111" Type="http://schemas.openxmlformats.org/officeDocument/2006/relationships/hyperlink" Target="https://www.sciencedirect.com/science/article/pii/0020019083900753?via%3Dihub" TargetMode="External"/><Relationship Id="rId305" Type="http://schemas.openxmlformats.org/officeDocument/2006/relationships/hyperlink" Target="https://www.sciencedirect.com/science/article/pii/S1570866712000792" TargetMode="External"/><Relationship Id="rId304" Type="http://schemas.openxmlformats.org/officeDocument/2006/relationships/hyperlink" Target="https://link.springer.com/article/10.1007/BF01990520" TargetMode="External"/><Relationship Id="rId303" Type="http://schemas.openxmlformats.org/officeDocument/2006/relationships/hyperlink" Target="https://www.sciencedirect.com/science/article/pii/S1570866712000792" TargetMode="External"/><Relationship Id="rId302" Type="http://schemas.openxmlformats.org/officeDocument/2006/relationships/hyperlink" Target="https://www.sciencedirect.com/science/article/pii/S1570866712000792" TargetMode="External"/><Relationship Id="rId309" Type="http://schemas.openxmlformats.org/officeDocument/2006/relationships/hyperlink" Target="https://www.sciencedirect.com/science/article/pii/S1570866712000792" TargetMode="External"/><Relationship Id="rId308" Type="http://schemas.openxmlformats.org/officeDocument/2006/relationships/hyperlink" Target="https://www.sciencedirect.com/science/article/pii/S1570866712000792" TargetMode="External"/><Relationship Id="rId307" Type="http://schemas.openxmlformats.org/officeDocument/2006/relationships/hyperlink" Target="https://www.sciencedirect.com/science/article/pii/S1570866712000792" TargetMode="External"/><Relationship Id="rId306" Type="http://schemas.openxmlformats.org/officeDocument/2006/relationships/hyperlink" Target="https://www.sciencedirect.com/science/article/pii/S1570866712000792" TargetMode="External"/><Relationship Id="rId301" Type="http://schemas.openxmlformats.org/officeDocument/2006/relationships/hyperlink" Target="https://www.sciencedirect.com/science/article/pii/S1570866712000792" TargetMode="External"/><Relationship Id="rId300" Type="http://schemas.openxmlformats.org/officeDocument/2006/relationships/hyperlink" Target="https://link.springer.com/article/10.1007/BF01990520" TargetMode="External"/><Relationship Id="rId322" Type="http://schemas.openxmlformats.org/officeDocument/2006/relationships/drawing" Target="../drawings/drawing8.xml"/><Relationship Id="rId321" Type="http://schemas.openxmlformats.org/officeDocument/2006/relationships/hyperlink" Target="http://erikdemaine.org/papers/Tango_SICOMP/paper.pdf" TargetMode="External"/><Relationship Id="rId320" Type="http://schemas.openxmlformats.org/officeDocument/2006/relationships/hyperlink" Target="https://epubs.siam.org/doi/pdf/10.1137/S0097539792241102?casa_token=RoY3RrpUuFMAAAAA:Sc89TVYIb4xGcTVVpBeM-WoC7JonLRX7Jq8jOaEsyJydwqW-cEsdJEJEGGXOcvFZuUrr7c3qSA" TargetMode="External"/><Relationship Id="rId316" Type="http://schemas.openxmlformats.org/officeDocument/2006/relationships/hyperlink" Target="https://link.springer.com/chapter/10.1007/3-540-61680-2_51" TargetMode="External"/><Relationship Id="rId315" Type="http://schemas.openxmlformats.org/officeDocument/2006/relationships/hyperlink" Target="https://ieeexplore.ieee.org/document/377045" TargetMode="External"/><Relationship Id="rId314" Type="http://schemas.openxmlformats.org/officeDocument/2006/relationships/hyperlink" Target="https://ieeexplore.ieee.org/document/377045" TargetMode="External"/><Relationship Id="rId313" Type="http://schemas.openxmlformats.org/officeDocument/2006/relationships/hyperlink" Target="https://ieeexplore.ieee.org/document/377045" TargetMode="External"/><Relationship Id="rId319" Type="http://schemas.openxmlformats.org/officeDocument/2006/relationships/hyperlink" Target="https://onlinelibrary.wiley.com/doi/10.1002/spe.4380240306" TargetMode="External"/><Relationship Id="rId318" Type="http://schemas.openxmlformats.org/officeDocument/2006/relationships/hyperlink" Target="https://www.researchgate.net/publication/281740929" TargetMode="External"/><Relationship Id="rId317" Type="http://schemas.openxmlformats.org/officeDocument/2006/relationships/hyperlink" Target="https://www.ic.unicamp.br/~celio/peer2peer/skip-net-graph/deterministic-skip-lists-munro.pdf" TargetMode="External"/><Relationship Id="rId312" Type="http://schemas.openxmlformats.org/officeDocument/2006/relationships/hyperlink" Target="https://ieeexplore.ieee.org/document/377045" TargetMode="External"/><Relationship Id="rId311" Type="http://schemas.openxmlformats.org/officeDocument/2006/relationships/hyperlink" Target="https://www.sciencedirect.com/science/article/pii/S1570866712000792" TargetMode="External"/><Relationship Id="rId310" Type="http://schemas.openxmlformats.org/officeDocument/2006/relationships/hyperlink" Target="https://link.springer.com/article/10.1007/BF01990520" TargetMode="External"/><Relationship Id="rId297" Type="http://schemas.openxmlformats.org/officeDocument/2006/relationships/hyperlink" Target="https://www.sciencedirect.com/science/article/pii/S1570866712000792" TargetMode="External"/><Relationship Id="rId296" Type="http://schemas.openxmlformats.org/officeDocument/2006/relationships/hyperlink" Target="https://www.sciencedirect.com/science/article/pii/S1570866712000792" TargetMode="External"/><Relationship Id="rId295" Type="http://schemas.openxmlformats.org/officeDocument/2006/relationships/hyperlink" Target="https://www.sciencedirect.com/science/article/pii/S1570866712000792" TargetMode="External"/><Relationship Id="rId294" Type="http://schemas.openxmlformats.org/officeDocument/2006/relationships/hyperlink" Target="https://web.archive.org/web/20170811001458/http://www.cphstl.dk/Paper/Policy-based-benchmarking/policy.pdf" TargetMode="External"/><Relationship Id="rId299" Type="http://schemas.openxmlformats.org/officeDocument/2006/relationships/hyperlink" Target="https://link.springer.com/article/10.1007/BF01990520" TargetMode="External"/><Relationship Id="rId298" Type="http://schemas.openxmlformats.org/officeDocument/2006/relationships/hyperlink" Target="https://www.sciencedirect.com/science/article/pii/S1570866712000792" TargetMode="External"/><Relationship Id="rId271" Type="http://schemas.openxmlformats.org/officeDocument/2006/relationships/hyperlink" Target="https://dl.acm.org/doi/abs/10.5555/646718.702069" TargetMode="External"/><Relationship Id="rId270" Type="http://schemas.openxmlformats.org/officeDocument/2006/relationships/hyperlink" Target="https://dl.acm.org/doi/abs/10.5555/646718.702069" TargetMode="External"/><Relationship Id="rId269" Type="http://schemas.openxmlformats.org/officeDocument/2006/relationships/hyperlink" Target="https://dl.acm.org/doi/pdf/10.1145/1328911.1328914" TargetMode="External"/><Relationship Id="rId264" Type="http://schemas.openxmlformats.org/officeDocument/2006/relationships/hyperlink" Target="https://dl.acm.org/doi/pdf/10.1145/1328911.1328914" TargetMode="External"/><Relationship Id="rId263" Type="http://schemas.openxmlformats.org/officeDocument/2006/relationships/hyperlink" Target="https://www.cs.princeton.edu/research/techreps/TR-597-99" TargetMode="External"/><Relationship Id="rId262" Type="http://schemas.openxmlformats.org/officeDocument/2006/relationships/hyperlink" Target="https://www.cs.princeton.edu/research/techreps/TR-597-99" TargetMode="External"/><Relationship Id="rId261" Type="http://schemas.openxmlformats.org/officeDocument/2006/relationships/hyperlink" Target="https://www.cs.princeton.edu/research/techreps/TR-597-99" TargetMode="External"/><Relationship Id="rId268" Type="http://schemas.openxmlformats.org/officeDocument/2006/relationships/hyperlink" Target="https://dl.acm.org/doi/pdf/10.1145/1328911.1328914" TargetMode="External"/><Relationship Id="rId267" Type="http://schemas.openxmlformats.org/officeDocument/2006/relationships/hyperlink" Target="https://dl.acm.org/doi/pdf/10.1145/1328911.1328914" TargetMode="External"/><Relationship Id="rId266" Type="http://schemas.openxmlformats.org/officeDocument/2006/relationships/hyperlink" Target="https://dl.acm.org/doi/pdf/10.1145/1328911.1328914" TargetMode="External"/><Relationship Id="rId265" Type="http://schemas.openxmlformats.org/officeDocument/2006/relationships/hyperlink" Target="https://dl.acm.org/doi/pdf/10.1145/1328911.1328914" TargetMode="External"/><Relationship Id="rId260" Type="http://schemas.openxmlformats.org/officeDocument/2006/relationships/hyperlink" Target="https://www.cs.princeton.edu/research/techreps/TR-597-99" TargetMode="External"/><Relationship Id="rId259" Type="http://schemas.openxmlformats.org/officeDocument/2006/relationships/hyperlink" Target="https://www.cs.princeton.edu/research/techreps/TR-597-99" TargetMode="External"/><Relationship Id="rId258" Type="http://schemas.openxmlformats.org/officeDocument/2006/relationships/hyperlink" Target="https://www.cs.princeton.edu/research/techreps/TR-597-99" TargetMode="External"/><Relationship Id="rId253" Type="http://schemas.openxmlformats.org/officeDocument/2006/relationships/hyperlink" Target="https://www.cs.princeton.edu/research/techreps/TR-597-99" TargetMode="External"/><Relationship Id="rId252" Type="http://schemas.openxmlformats.org/officeDocument/2006/relationships/hyperlink" Target="https://www.cs.princeton.edu/research/techreps/TR-597-99" TargetMode="External"/><Relationship Id="rId251" Type="http://schemas.openxmlformats.org/officeDocument/2006/relationships/hyperlink" Target="https://link.springer.com/chapter/10.1007/978-3-642-14031-0_51" TargetMode="External"/><Relationship Id="rId250" Type="http://schemas.openxmlformats.org/officeDocument/2006/relationships/hyperlink" Target="https://link.springer.com/chapter/10.1007/978-3-642-14031-0_51" TargetMode="External"/><Relationship Id="rId257" Type="http://schemas.openxmlformats.org/officeDocument/2006/relationships/hyperlink" Target="https://www.cs.princeton.edu/research/techreps/TR-597-99" TargetMode="External"/><Relationship Id="rId256" Type="http://schemas.openxmlformats.org/officeDocument/2006/relationships/hyperlink" Target="https://www.cs.princeton.edu/research/techreps/TR-597-99" TargetMode="External"/><Relationship Id="rId255" Type="http://schemas.openxmlformats.org/officeDocument/2006/relationships/hyperlink" Target="https://dl.acm.org/doi/pdf/10.1145/1328911.1328914" TargetMode="External"/><Relationship Id="rId254" Type="http://schemas.openxmlformats.org/officeDocument/2006/relationships/hyperlink" Target="https://dl.acm.org/doi/pdf/10.1145/1328911.1328914" TargetMode="External"/><Relationship Id="rId293" Type="http://schemas.openxmlformats.org/officeDocument/2006/relationships/hyperlink" Target="https://link.springer.com/article/10.1007/BF01990520" TargetMode="External"/><Relationship Id="rId292" Type="http://schemas.openxmlformats.org/officeDocument/2006/relationships/hyperlink" Target="https://link.springer.com/article/10.1007/BF01990520" TargetMode="External"/><Relationship Id="rId291" Type="http://schemas.openxmlformats.org/officeDocument/2006/relationships/hyperlink" Target="https://web.archive.org/web/20170811001458/http://www.cphstl.dk/Paper/Policy-based-benchmarking/policy.pdf" TargetMode="External"/><Relationship Id="rId290" Type="http://schemas.openxmlformats.org/officeDocument/2006/relationships/hyperlink" Target="https://web.archive.org/web/20170811001458/http://www.cphstl.dk/Paper/Policy-based-benchmarking/policy.pdf" TargetMode="External"/><Relationship Id="rId286" Type="http://schemas.openxmlformats.org/officeDocument/2006/relationships/hyperlink" Target="https://www.cs.cmu.edu/~sleator/papers/Adjusting-Heaps.htm" TargetMode="External"/><Relationship Id="rId285" Type="http://schemas.openxmlformats.org/officeDocument/2006/relationships/hyperlink" Target="https://www.cs.cmu.edu/~sleator/papers/Adjusting-Heaps.htm" TargetMode="External"/><Relationship Id="rId284" Type="http://schemas.openxmlformats.org/officeDocument/2006/relationships/hyperlink" Target="https://www.cs.cmu.edu/~sleator/papers/Adjusting-Heaps.htm" TargetMode="External"/><Relationship Id="rId283" Type="http://schemas.openxmlformats.org/officeDocument/2006/relationships/hyperlink" Target="https://www.cs.cmu.edu/~sleator/papers/Adjusting-Heaps.htm" TargetMode="External"/><Relationship Id="rId289" Type="http://schemas.openxmlformats.org/officeDocument/2006/relationships/hyperlink" Target="https://link.springer.com/article/10.1007/BF01990520" TargetMode="External"/><Relationship Id="rId288" Type="http://schemas.openxmlformats.org/officeDocument/2006/relationships/hyperlink" Target="https://link.springer.com/article/10.1007/BF01990520" TargetMode="External"/><Relationship Id="rId287" Type="http://schemas.openxmlformats.org/officeDocument/2006/relationships/hyperlink" Target="https://link.springer.com/article/10.1007/BF01990520" TargetMode="External"/><Relationship Id="rId282" Type="http://schemas.openxmlformats.org/officeDocument/2006/relationships/hyperlink" Target="https://www.cs.cmu.edu/~sleator/papers/Adjusting-Heaps.htm" TargetMode="External"/><Relationship Id="rId281" Type="http://schemas.openxmlformats.org/officeDocument/2006/relationships/hyperlink" Target="https://www.cs.cmu.edu/~sleator/papers/Adjusting-Heaps.htm" TargetMode="External"/><Relationship Id="rId280" Type="http://schemas.openxmlformats.org/officeDocument/2006/relationships/hyperlink" Target="https://www.cs.cmu.edu/~sleator/papers/Adjusting-Heaps.htm" TargetMode="External"/><Relationship Id="rId275" Type="http://schemas.openxmlformats.org/officeDocument/2006/relationships/hyperlink" Target="https://dl.acm.org/doi/abs/10.5555/646718.702069" TargetMode="External"/><Relationship Id="rId274" Type="http://schemas.openxmlformats.org/officeDocument/2006/relationships/hyperlink" Target="https://dl.acm.org/doi/abs/10.5555/646718.702069" TargetMode="External"/><Relationship Id="rId273" Type="http://schemas.openxmlformats.org/officeDocument/2006/relationships/hyperlink" Target="https://dl.acm.org/doi/abs/10.5555/646718.702069" TargetMode="External"/><Relationship Id="rId272" Type="http://schemas.openxmlformats.org/officeDocument/2006/relationships/hyperlink" Target="https://dl.acm.org/doi/abs/10.5555/646718.702069" TargetMode="External"/><Relationship Id="rId279" Type="http://schemas.openxmlformats.org/officeDocument/2006/relationships/hyperlink" Target="https://www.cs.cmu.edu/~sleator/papers/Adjusting-Heaps.htm" TargetMode="External"/><Relationship Id="rId278" Type="http://schemas.openxmlformats.org/officeDocument/2006/relationships/hyperlink" Target="https://www.cs.cmu.edu/~sleator/papers/Adjusting-Heaps.htm" TargetMode="External"/><Relationship Id="rId277" Type="http://schemas.openxmlformats.org/officeDocument/2006/relationships/hyperlink" Target="https://www.cs.cmu.edu/~sleator/papers/Adjusting-Heaps.htm" TargetMode="External"/><Relationship Id="rId276" Type="http://schemas.openxmlformats.org/officeDocument/2006/relationships/hyperlink" Target="https://dl.acm.org/doi/abs/10.5555/646718.702069" TargetMode="External"/><Relationship Id="rId228" Type="http://schemas.openxmlformats.org/officeDocument/2006/relationships/hyperlink" Target="https://link.springer.com/chapter/10.1007/978-3-642-04128-0_59" TargetMode="External"/><Relationship Id="rId227" Type="http://schemas.openxmlformats.org/officeDocument/2006/relationships/hyperlink" Target="https://link.springer.com/chapter/10.1007/978-3-642-04128-0_59" TargetMode="External"/><Relationship Id="rId226" Type="http://schemas.openxmlformats.org/officeDocument/2006/relationships/hyperlink" Target="https://link.springer.com/chapter/10.1007/978-3-642-04128-0_59" TargetMode="External"/><Relationship Id="rId225" Type="http://schemas.openxmlformats.org/officeDocument/2006/relationships/hyperlink" Target="https://link.springer.com/chapter/10.1007/978-3-642-04128-0_59" TargetMode="External"/><Relationship Id="rId229" Type="http://schemas.openxmlformats.org/officeDocument/2006/relationships/hyperlink" Target="https://link.springer.com/chapter/10.1007/978-3-642-04128-0_59" TargetMode="External"/><Relationship Id="rId220" Type="http://schemas.openxmlformats.org/officeDocument/2006/relationships/hyperlink" Target="https://dl.acm.org/doi/pdf/10.5555/313852.313883" TargetMode="External"/><Relationship Id="rId224" Type="http://schemas.openxmlformats.org/officeDocument/2006/relationships/hyperlink" Target="https://link.springer.com/chapter/10.1007/978-3-642-04128-0_59" TargetMode="External"/><Relationship Id="rId223" Type="http://schemas.openxmlformats.org/officeDocument/2006/relationships/hyperlink" Target="https://link.springer.com/chapter/10.1007/978-3-642-04128-0_59" TargetMode="External"/><Relationship Id="rId222" Type="http://schemas.openxmlformats.org/officeDocument/2006/relationships/hyperlink" Target="https://dl.acm.org/doi/pdf/10.5555/313852.313883" TargetMode="External"/><Relationship Id="rId221" Type="http://schemas.openxmlformats.org/officeDocument/2006/relationships/hyperlink" Target="https://dl.acm.org/doi/pdf/10.5555/313852.313883" TargetMode="External"/><Relationship Id="rId217" Type="http://schemas.openxmlformats.org/officeDocument/2006/relationships/hyperlink" Target="https://dl.acm.org/doi/pdf/10.5555/313852.313883" TargetMode="External"/><Relationship Id="rId216" Type="http://schemas.openxmlformats.org/officeDocument/2006/relationships/hyperlink" Target="https://dl.acm.org/doi/pdf/10.5555/313852.313883" TargetMode="External"/><Relationship Id="rId215" Type="http://schemas.openxmlformats.org/officeDocument/2006/relationships/hyperlink" Target="https://www.researchgate.net/publication/321068476_Toward_Optimal_Self-Adjusting_Heaps" TargetMode="External"/><Relationship Id="rId214" Type="http://schemas.openxmlformats.org/officeDocument/2006/relationships/hyperlink" Target="https://www.researchgate.net/publication/321068476_Toward_Optimal_Self-Adjusting_Heaps" TargetMode="External"/><Relationship Id="rId219" Type="http://schemas.openxmlformats.org/officeDocument/2006/relationships/hyperlink" Target="https://dl.acm.org/doi/pdf/10.5555/313852.313883" TargetMode="External"/><Relationship Id="rId218" Type="http://schemas.openxmlformats.org/officeDocument/2006/relationships/hyperlink" Target="https://dl.acm.org/doi/pdf/10.5555/313852.313883" TargetMode="External"/><Relationship Id="rId213" Type="http://schemas.openxmlformats.org/officeDocument/2006/relationships/hyperlink" Target="https://www.researchgate.net/publication/321068476_Toward_Optimal_Self-Adjusting_Heaps" TargetMode="External"/><Relationship Id="rId212" Type="http://schemas.openxmlformats.org/officeDocument/2006/relationships/hyperlink" Target="https://www.researchgate.net/publication/321068476_Toward_Optimal_Self-Adjusting_Heaps" TargetMode="External"/><Relationship Id="rId211" Type="http://schemas.openxmlformats.org/officeDocument/2006/relationships/hyperlink" Target="https://www.researchgate.net/publication/321068476_Toward_Optimal_Self-Adjusting_Heaps" TargetMode="External"/><Relationship Id="rId210" Type="http://schemas.openxmlformats.org/officeDocument/2006/relationships/hyperlink" Target="https://www.researchgate.net/publication/321068476_Toward_Optimal_Self-Adjusting_Heaps" TargetMode="External"/><Relationship Id="rId249" Type="http://schemas.openxmlformats.org/officeDocument/2006/relationships/hyperlink" Target="https://link.springer.com/chapter/10.1007/978-3-642-14031-0_51" TargetMode="External"/><Relationship Id="rId248" Type="http://schemas.openxmlformats.org/officeDocument/2006/relationships/hyperlink" Target="https://link.springer.com/chapter/10.1007/978-3-642-14031-0_51" TargetMode="External"/><Relationship Id="rId247" Type="http://schemas.openxmlformats.org/officeDocument/2006/relationships/hyperlink" Target="https://link.springer.com/chapter/10.1007/978-3-642-14031-0_51" TargetMode="External"/><Relationship Id="rId242" Type="http://schemas.openxmlformats.org/officeDocument/2006/relationships/hyperlink" Target="https://tmc.web.engr.illinois.edu/heap_ianfest.pdf" TargetMode="External"/><Relationship Id="rId241" Type="http://schemas.openxmlformats.org/officeDocument/2006/relationships/hyperlink" Target="https://tmc.web.engr.illinois.edu/heap_ianfest.pdf" TargetMode="External"/><Relationship Id="rId240" Type="http://schemas.openxmlformats.org/officeDocument/2006/relationships/hyperlink" Target="https://tmc.web.engr.illinois.edu/heap_ianfest.pdf" TargetMode="External"/><Relationship Id="rId246" Type="http://schemas.openxmlformats.org/officeDocument/2006/relationships/hyperlink" Target="https://link.springer.com/chapter/10.1007/978-3-642-14031-0_51" TargetMode="External"/><Relationship Id="rId245" Type="http://schemas.openxmlformats.org/officeDocument/2006/relationships/hyperlink" Target="https://tmc.web.engr.illinois.edu/heap_ianfest.pdf" TargetMode="External"/><Relationship Id="rId244" Type="http://schemas.openxmlformats.org/officeDocument/2006/relationships/hyperlink" Target="https://tmc.web.engr.illinois.edu/heap_ianfest.pdf" TargetMode="External"/><Relationship Id="rId243" Type="http://schemas.openxmlformats.org/officeDocument/2006/relationships/hyperlink" Target="https://tmc.web.engr.illinois.edu/heap_ianfest.pdf" TargetMode="External"/><Relationship Id="rId239" Type="http://schemas.openxmlformats.org/officeDocument/2006/relationships/hyperlink" Target="https://www.cs.au.dk/~gerth/papers/stoc12.pdf" TargetMode="External"/><Relationship Id="rId238" Type="http://schemas.openxmlformats.org/officeDocument/2006/relationships/hyperlink" Target="https://www.cs.au.dk/~gerth/papers/stoc12.pdf" TargetMode="External"/><Relationship Id="rId237" Type="http://schemas.openxmlformats.org/officeDocument/2006/relationships/hyperlink" Target="https://www.cs.au.dk/~gerth/papers/stoc12.pdf" TargetMode="External"/><Relationship Id="rId236" Type="http://schemas.openxmlformats.org/officeDocument/2006/relationships/hyperlink" Target="https://www.cs.au.dk/~gerth/papers/stoc12.pdf" TargetMode="External"/><Relationship Id="rId231" Type="http://schemas.openxmlformats.org/officeDocument/2006/relationships/hyperlink" Target="https://link.springer.com/chapter/10.1007/978-3-642-04128-0_59" TargetMode="External"/><Relationship Id="rId230" Type="http://schemas.openxmlformats.org/officeDocument/2006/relationships/hyperlink" Target="https://link.springer.com/chapter/10.1007/978-3-642-04128-0_59" TargetMode="External"/><Relationship Id="rId235" Type="http://schemas.openxmlformats.org/officeDocument/2006/relationships/hyperlink" Target="https://www.cs.au.dk/~gerth/papers/stoc12.pdf" TargetMode="External"/><Relationship Id="rId234" Type="http://schemas.openxmlformats.org/officeDocument/2006/relationships/hyperlink" Target="https://www.cs.au.dk/~gerth/papers/stoc12.pdf" TargetMode="External"/><Relationship Id="rId233" Type="http://schemas.openxmlformats.org/officeDocument/2006/relationships/hyperlink" Target="https://link.springer.com/chapter/10.1007/978-3-642-04128-0_59" TargetMode="External"/><Relationship Id="rId232" Type="http://schemas.openxmlformats.org/officeDocument/2006/relationships/hyperlink" Target="https://link.springer.com/chapter/10.1007/978-3-642-04128-0_59" TargetMode="External"/><Relationship Id="rId206" Type="http://schemas.openxmlformats.org/officeDocument/2006/relationships/hyperlink" Target="http://web.eecs.umich.edu/~pettie/papers/focs05.pdf" TargetMode="External"/><Relationship Id="rId205" Type="http://schemas.openxmlformats.org/officeDocument/2006/relationships/hyperlink" Target="https://www.cs.cmu.edu/~sleator/papers/pairing-heaps.pdf" TargetMode="External"/><Relationship Id="rId204" Type="http://schemas.openxmlformats.org/officeDocument/2006/relationships/hyperlink" Target="http://web.eecs.umich.edu/~pettie/papers/focs05.pdf" TargetMode="External"/><Relationship Id="rId203" Type="http://schemas.openxmlformats.org/officeDocument/2006/relationships/hyperlink" Target="https://www.cs.cmu.edu/~sleator/papers/pairing-heaps.pdf" TargetMode="External"/><Relationship Id="rId209" Type="http://schemas.openxmlformats.org/officeDocument/2006/relationships/hyperlink" Target="https://www.researchgate.net/publication/321068476_Toward_Optimal_Self-Adjusting_Heaps" TargetMode="External"/><Relationship Id="rId208" Type="http://schemas.openxmlformats.org/officeDocument/2006/relationships/hyperlink" Target="http://web.eecs.umich.edu/~pettie/papers/focs05.pdf" TargetMode="External"/><Relationship Id="rId207" Type="http://schemas.openxmlformats.org/officeDocument/2006/relationships/hyperlink" Target="https://www.cs.cmu.edu/~sleator/papers/pairing-heaps.pdf" TargetMode="External"/><Relationship Id="rId202" Type="http://schemas.openxmlformats.org/officeDocument/2006/relationships/hyperlink" Target="https://dl.acm.org/doi/pdf/10.1145/50087.50096" TargetMode="External"/><Relationship Id="rId201" Type="http://schemas.openxmlformats.org/officeDocument/2006/relationships/hyperlink" Target="https://dl.acm.org/doi/pdf/10.1145/50087.50096" TargetMode="External"/><Relationship Id="rId200" Type="http://schemas.openxmlformats.org/officeDocument/2006/relationships/hyperlink" Target="https://dl.acm.org/doi/pdf/10.1145/50087.5009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en.wikipedia.org/wiki/Routing_table" TargetMode="External"/><Relationship Id="rId2" Type="http://schemas.openxmlformats.org/officeDocument/2006/relationships/hyperlink" Target="https://people.engr.tamu.edu/guni/csce421/files/AI_Russell_Norvig.pdf" TargetMode="External"/><Relationship Id="rId3" Type="http://schemas.openxmlformats.org/officeDocument/2006/relationships/hyperlink" Target="https://ieeexplore.ieee.org/document/513" TargetMode="External"/><Relationship Id="rId4" Type="http://schemas.openxmlformats.org/officeDocument/2006/relationships/hyperlink" Target="https://ieeexplore.ieee.org/document/513" TargetMode="External"/><Relationship Id="rId9" Type="http://schemas.openxmlformats.org/officeDocument/2006/relationships/hyperlink" Target="https://en.wikipedia.org/wiki/K-d_tree" TargetMode="External"/><Relationship Id="rId5" Type="http://schemas.openxmlformats.org/officeDocument/2006/relationships/hyperlink" Target="http://ultra.sdk.free.fr/docs/DxO/Digital%20Signal%20Processing%20-%20Principles,%20Algorithms%20&amp;%20Applications%20Proakis%20&amp;%20Dimitris%20G.%20Manolakis.pdf" TargetMode="External"/><Relationship Id="rId6" Type="http://schemas.openxmlformats.org/officeDocument/2006/relationships/hyperlink" Target="http://user.engineering.uiowa.edu/~dip/lecture/DataStructures.html" TargetMode="External"/><Relationship Id="rId7" Type="http://schemas.openxmlformats.org/officeDocument/2006/relationships/hyperlink" Target="https://en.wikipedia.org/wiki/Scene_graph" TargetMode="External"/><Relationship Id="rId8" Type="http://schemas.openxmlformats.org/officeDocument/2006/relationships/hyperlink" Target="http://students.aiu.edu/submissions/profiles/resources/onlineBook/a6A8H5_computer%20graphics.pdf" TargetMode="External"/><Relationship Id="rId40" Type="http://schemas.openxmlformats.org/officeDocument/2006/relationships/hyperlink" Target="https://en.wikipedia.org/wiki/Binary_decision_diagram" TargetMode="External"/><Relationship Id="rId42" Type="http://schemas.openxmlformats.org/officeDocument/2006/relationships/hyperlink" Target="https://en.wikipedia.org/wiki/Bucket_queue" TargetMode="External"/><Relationship Id="rId41" Type="http://schemas.openxmlformats.org/officeDocument/2006/relationships/hyperlink" Target="https://en.wikipedia.org/wiki/Skip_list" TargetMode="External"/><Relationship Id="rId44" Type="http://schemas.openxmlformats.org/officeDocument/2006/relationships/hyperlink" Target="https://en.wikipedia.org/wiki/Link/cut_tree" TargetMode="External"/><Relationship Id="rId43" Type="http://schemas.openxmlformats.org/officeDocument/2006/relationships/hyperlink" Target="https://en.wikipedia.org/wiki/Range_tree" TargetMode="External"/><Relationship Id="rId45" Type="http://schemas.openxmlformats.org/officeDocument/2006/relationships/drawing" Target="../drawings/drawing9.xml"/><Relationship Id="rId31" Type="http://schemas.openxmlformats.org/officeDocument/2006/relationships/hyperlink" Target="https://en.wikipedia.org/wiki/Page_table" TargetMode="External"/><Relationship Id="rId30" Type="http://schemas.openxmlformats.org/officeDocument/2006/relationships/hyperlink" Target="https://en.wikipedia.org/wiki/Process_(computing)" TargetMode="External"/><Relationship Id="rId33" Type="http://schemas.openxmlformats.org/officeDocument/2006/relationships/hyperlink" Target="https://cis.temple.edu/~giorgio/old/cis307f96/readings/monitor.html" TargetMode="External"/><Relationship Id="rId32" Type="http://schemas.openxmlformats.org/officeDocument/2006/relationships/hyperlink" Target="https://docs.oracle.com/cd/E19120-01/open.solaris/819-3196/usb-10/index.html" TargetMode="External"/><Relationship Id="rId35" Type="http://schemas.openxmlformats.org/officeDocument/2006/relationships/hyperlink" Target="https://en.wikipedia.org/wiki/Inode" TargetMode="External"/><Relationship Id="rId34" Type="http://schemas.openxmlformats.org/officeDocument/2006/relationships/hyperlink" Target="https://en.wikipedia.org/wiki/Kernel_(operating_system)" TargetMode="External"/><Relationship Id="rId37" Type="http://schemas.openxmlformats.org/officeDocument/2006/relationships/hyperlink" Target="https://drdineshsharma.com/Operating%20Systems.pdf" TargetMode="External"/><Relationship Id="rId36" Type="http://schemas.openxmlformats.org/officeDocument/2006/relationships/hyperlink" Target="https://en.wikipedia.org/wiki/Cloud_storage" TargetMode="External"/><Relationship Id="rId39" Type="http://schemas.openxmlformats.org/officeDocument/2006/relationships/hyperlink" Target="https://www.cs.cmu.edu/~clo/www/CMU/DataStructures/Lessons/lesson1_1.htm" TargetMode="External"/><Relationship Id="rId38" Type="http://schemas.openxmlformats.org/officeDocument/2006/relationships/hyperlink" Target="https://www.sciencedirect.com/science/article/pii/0066413869900366" TargetMode="External"/><Relationship Id="rId20" Type="http://schemas.openxmlformats.org/officeDocument/2006/relationships/hyperlink" Target="https://en.wikipedia.org/wiki/Priority_search_tree" TargetMode="External"/><Relationship Id="rId22" Type="http://schemas.openxmlformats.org/officeDocument/2006/relationships/hyperlink" Target="https://www.octawian.ro/fisiere/situri/asor/build/html/_downloads/1fcab53a6d916e39c715fc20a9a9c2a8/Silberschatz_A_databases_6th_ed.pdf" TargetMode="External"/><Relationship Id="rId21" Type="http://schemas.openxmlformats.org/officeDocument/2006/relationships/hyperlink" Target="https://en.wikipedia.org/wiki/Database_storage_structures" TargetMode="External"/><Relationship Id="rId24" Type="http://schemas.openxmlformats.org/officeDocument/2006/relationships/hyperlink" Target="https://www.octawian.ro/fisiere/situri/asor/build/html/_downloads/1fcab53a6d916e39c715fc20a9a9c2a8/Silberschatz_A_databases_6th_ed.pdf" TargetMode="External"/><Relationship Id="rId23" Type="http://schemas.openxmlformats.org/officeDocument/2006/relationships/hyperlink" Target="https://www.octawian.ro/fisiere/situri/asor/build/html/_downloads/1fcab53a6d916e39c715fc20a9a9c2a8/Silberschatz_A_databases_6th_ed.pdf" TargetMode="External"/><Relationship Id="rId26" Type="http://schemas.openxmlformats.org/officeDocument/2006/relationships/hyperlink" Target="https://link.springer.com/book/10.1007/978-1-4842-5540-7)" TargetMode="External"/><Relationship Id="rId25" Type="http://schemas.openxmlformats.org/officeDocument/2006/relationships/hyperlink" Target="https://en.wikipedia.org/wiki/Database_storage_structures" TargetMode="External"/><Relationship Id="rId28" Type="http://schemas.openxmlformats.org/officeDocument/2006/relationships/hyperlink" Target="https://en.wikipedia.org/wiki/File_system" TargetMode="External"/><Relationship Id="rId27" Type="http://schemas.openxmlformats.org/officeDocument/2006/relationships/hyperlink" Target="https://dl.acm.org/doi/pdf/10.1145/356789.356797" TargetMode="External"/><Relationship Id="rId29" Type="http://schemas.openxmlformats.org/officeDocument/2006/relationships/hyperlink" Target="https://en.wikipedia.org/wiki/Semaphore_(programming)" TargetMode="External"/><Relationship Id="rId11" Type="http://schemas.openxmlformats.org/officeDocument/2006/relationships/hyperlink" Target="http://students.aiu.edu/submissions/profiles/resources/onlineBook/a6A8H5_computer%20graphics.pdf" TargetMode="External"/><Relationship Id="rId10" Type="http://schemas.openxmlformats.org/officeDocument/2006/relationships/hyperlink" Target="https://en.wikipedia.org/wiki/Binary_space_partitioning" TargetMode="External"/><Relationship Id="rId13" Type="http://schemas.openxmlformats.org/officeDocument/2006/relationships/hyperlink" Target="https://en.wikipedia.org/wiki/Database_index" TargetMode="External"/><Relationship Id="rId12" Type="http://schemas.openxmlformats.org/officeDocument/2006/relationships/hyperlink" Target="https://ia902203.us.archive.org/22/items/DonaldHearnM.PaulineBakerComputerGraphicsBookFi.org/%5BDonald_Hearn,_M._Pauline_Baker%5D_Computer_Graphics(BookFi.org).pdf" TargetMode="External"/><Relationship Id="rId15" Type="http://schemas.openxmlformats.org/officeDocument/2006/relationships/hyperlink" Target="https://grail.cs.washington.edu/projects/ldi/ldi.pdf" TargetMode="External"/><Relationship Id="rId14" Type="http://schemas.openxmlformats.org/officeDocument/2006/relationships/hyperlink" Target="https://en.wikipedia.org/wiki/Bitmap_index" TargetMode="External"/><Relationship Id="rId17" Type="http://schemas.openxmlformats.org/officeDocument/2006/relationships/hyperlink" Target="https://mrajacse.files.wordpress.com/2012/01/applied-cryptography-2nd-ed-b-schneier.pdf" TargetMode="External"/><Relationship Id="rId16" Type="http://schemas.openxmlformats.org/officeDocument/2006/relationships/hyperlink" Target="https://mrajacse.files.wordpress.com/2012/01/applied-cryptography-2nd-ed-b-schneier.pdf" TargetMode="External"/><Relationship Id="rId19" Type="http://schemas.openxmlformats.org/officeDocument/2006/relationships/hyperlink" Target="https://wp.kntu.ac.ir/peyghami/pdf/Book3912.pdf" TargetMode="External"/><Relationship Id="rId18" Type="http://schemas.openxmlformats.org/officeDocument/2006/relationships/hyperlink" Target="https://dl.acm.org/doi/pdf/10.1145/258533.258638"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90" Type="http://schemas.openxmlformats.org/officeDocument/2006/relationships/hyperlink" Target="https://citeseerx.ist.psu.edu/viewdoc/summary?doi=10.1.1.64.5439" TargetMode="External"/><Relationship Id="rId194" Type="http://schemas.openxmlformats.org/officeDocument/2006/relationships/hyperlink" Target="https://link.springer.com/chapter/10.1007/978-3-540-27810-8_23" TargetMode="External"/><Relationship Id="rId193" Type="http://schemas.openxmlformats.org/officeDocument/2006/relationships/hyperlink" Target="https://link.springer.com/chapter/10.1007/978-3-540-27810-8_23" TargetMode="External"/><Relationship Id="rId192" Type="http://schemas.openxmlformats.org/officeDocument/2006/relationships/hyperlink" Target="https://www.schoolofhaskell.com/user/edwardk/online-lca" TargetMode="External"/><Relationship Id="rId191" Type="http://schemas.openxmlformats.org/officeDocument/2006/relationships/hyperlink" Target="https://citeseerx.ist.psu.edu/viewdoc/summary?doi=10.1.1.64.5439" TargetMode="External"/><Relationship Id="rId187" Type="http://schemas.openxmlformats.org/officeDocument/2006/relationships/hyperlink" Target="https://www.cs.bgu.ac.il/~segal/PAPERS2/tarj.pdf" TargetMode="External"/><Relationship Id="rId186" Type="http://schemas.openxmlformats.org/officeDocument/2006/relationships/hyperlink" Target="https://www.semanticscholar.org/paper/Fast-Algorithms-for-Finding-Nearest-Common-Harel-Tarjan/8867d059dda279b1aed4a0301e4e46f9daf65174" TargetMode="External"/><Relationship Id="rId185" Type="http://schemas.openxmlformats.org/officeDocument/2006/relationships/hyperlink" Target="https://www.cs.bgu.ac.il/~segal/PAPERS2/tarj.pdf" TargetMode="External"/><Relationship Id="rId184" Type="http://schemas.openxmlformats.org/officeDocument/2006/relationships/hyperlink" Target="https://www.semanticscholar.org/paper/Fast-Algorithms-for-Finding-Nearest-Common-Harel-Tarjan/8867d059dda279b1aed4a0301e4e46f9daf65174" TargetMode="External"/><Relationship Id="rId189" Type="http://schemas.openxmlformats.org/officeDocument/2006/relationships/hyperlink" Target="https://www.proquest.com/docview/919780720?pq-origsite=gscholar&amp;fromopenview=true" TargetMode="External"/><Relationship Id="rId188" Type="http://schemas.openxmlformats.org/officeDocument/2006/relationships/hyperlink" Target="https://epubs.siam.org/doi/abs/10.1137/0217079?journalCode=smjcat" TargetMode="External"/><Relationship Id="rId183" Type="http://schemas.openxmlformats.org/officeDocument/2006/relationships/hyperlink" Target="https://www.cs.bgu.ac.il/~segal/PAPERS2/tarj.pdf" TargetMode="External"/><Relationship Id="rId182" Type="http://schemas.openxmlformats.org/officeDocument/2006/relationships/hyperlink" Target="https://www.sciencedirect.com/science/article/pii/0022000083900065" TargetMode="External"/><Relationship Id="rId181" Type="http://schemas.openxmlformats.org/officeDocument/2006/relationships/hyperlink" Target="https://www.cs.bgu.ac.il/~segal/PAPERS2/tarj.pdf" TargetMode="External"/><Relationship Id="rId180" Type="http://schemas.openxmlformats.org/officeDocument/2006/relationships/hyperlink" Target="https://www.sciencedirect.com/science/article/pii/0022000083900065" TargetMode="External"/><Relationship Id="rId176" Type="http://schemas.openxmlformats.org/officeDocument/2006/relationships/hyperlink" Target="https://dl.acm.org/doi/pdf/10.1145/800125.804056" TargetMode="External"/><Relationship Id="rId175" Type="http://schemas.openxmlformats.org/officeDocument/2006/relationships/hyperlink" Target="https://www.cs.bgu.ac.il/~segal/PAPERS2/tarj.pdf" TargetMode="External"/><Relationship Id="rId174" Type="http://schemas.openxmlformats.org/officeDocument/2006/relationships/hyperlink" Target="https://dl.acm.org/doi/pdf/10.1145/800125.804056" TargetMode="External"/><Relationship Id="rId173" Type="http://schemas.openxmlformats.org/officeDocument/2006/relationships/hyperlink" Target="https://www.cs.bgu.ac.il/~segal/PAPERS2/tarj.pdf" TargetMode="External"/><Relationship Id="rId179" Type="http://schemas.openxmlformats.org/officeDocument/2006/relationships/hyperlink" Target="https://www.cs.bgu.ac.il/~segal/PAPERS2/tarj.pdf" TargetMode="External"/><Relationship Id="rId178" Type="http://schemas.openxmlformats.org/officeDocument/2006/relationships/hyperlink" Target="https://www.cs.bgu.ac.il/~segal/PAPERS2/tarj.pdf" TargetMode="External"/><Relationship Id="rId177" Type="http://schemas.openxmlformats.org/officeDocument/2006/relationships/hyperlink" Target="https://www.cs.bgu.ac.il/~segal/PAPERS2/tarj.pdf" TargetMode="External"/><Relationship Id="rId198" Type="http://schemas.openxmlformats.org/officeDocument/2006/relationships/hyperlink" Target="https://link.springer.com/article/10.1007/s00453-007-9036-3" TargetMode="External"/><Relationship Id="rId197" Type="http://schemas.openxmlformats.org/officeDocument/2006/relationships/hyperlink" Target="https://link.springer.com/article/10.1007/s00453-007-9036-3" TargetMode="External"/><Relationship Id="rId196" Type="http://schemas.openxmlformats.org/officeDocument/2006/relationships/hyperlink" Target="https://link.springer.com/article/10.1007/s00453-007-9036-3" TargetMode="External"/><Relationship Id="rId195" Type="http://schemas.openxmlformats.org/officeDocument/2006/relationships/hyperlink" Target="https://link.springer.com/article/10.1007/s00453-007-9036-3" TargetMode="External"/><Relationship Id="rId199" Type="http://schemas.openxmlformats.org/officeDocument/2006/relationships/hyperlink" Target="https://ieeexplore.ieee.org/abstract/document/6979047" TargetMode="External"/><Relationship Id="rId150" Type="http://schemas.openxmlformats.org/officeDocument/2006/relationships/hyperlink" Target="https://dl.acm.org/doi/abs/10.1145/359997.360002" TargetMode="External"/><Relationship Id="rId1" Type="http://schemas.openxmlformats.org/officeDocument/2006/relationships/comments" Target="../comments5.xml"/><Relationship Id="rId2" Type="http://schemas.openxmlformats.org/officeDocument/2006/relationships/hyperlink" Target="https://dl.acm.org/doi/abs/10.1145/2736283" TargetMode="External"/><Relationship Id="rId3" Type="http://schemas.openxmlformats.org/officeDocument/2006/relationships/hyperlink" Target="https://dl.acm.org/doi/pdf/10.1145/3186893" TargetMode="External"/><Relationship Id="rId149" Type="http://schemas.openxmlformats.org/officeDocument/2006/relationships/hyperlink" Target="https://dl.acm.org/doi/pdf/10.1145/362896.362913" TargetMode="External"/><Relationship Id="rId4" Type="http://schemas.openxmlformats.org/officeDocument/2006/relationships/hyperlink" Target="https://dl.acm.org/doi/pdf/10.1145/3186893" TargetMode="External"/><Relationship Id="rId148" Type="http://schemas.openxmlformats.org/officeDocument/2006/relationships/hyperlink" Target="https://dl.acm.org/doi/pdf/10.1145/363282.363315" TargetMode="External"/><Relationship Id="rId9" Type="http://schemas.openxmlformats.org/officeDocument/2006/relationships/hyperlink" Target="https://ieeexplore.ieee.org/abstract/document/5438580" TargetMode="External"/><Relationship Id="rId143" Type="http://schemas.openxmlformats.org/officeDocument/2006/relationships/hyperlink" Target="https://www.sciencedirect.com/science/article/pii/002001909190195N" TargetMode="External"/><Relationship Id="rId142" Type="http://schemas.openxmlformats.org/officeDocument/2006/relationships/hyperlink" Target="https://www.sciencedirect.com/science/article/pii/0022000080900021?via%3Dihub" TargetMode="External"/><Relationship Id="rId141" Type="http://schemas.openxmlformats.org/officeDocument/2006/relationships/hyperlink" Target="https://www.sciencedirect.com/science/article/pii/0022000080900021?via%3Dihub" TargetMode="External"/><Relationship Id="rId140" Type="http://schemas.openxmlformats.org/officeDocument/2006/relationships/hyperlink" Target="https://dl.acm.org/doi/10.1145/360825.360861" TargetMode="External"/><Relationship Id="rId5" Type="http://schemas.openxmlformats.org/officeDocument/2006/relationships/hyperlink" Target="https://core.ac.uk/download/pdf/82467126.pdf" TargetMode="External"/><Relationship Id="rId147" Type="http://schemas.openxmlformats.org/officeDocument/2006/relationships/hyperlink" Target="https://www.jstor.org/stable/2004229" TargetMode="External"/><Relationship Id="rId6" Type="http://schemas.openxmlformats.org/officeDocument/2006/relationships/hyperlink" Target="https://core.ac.uk/download/pdf/82467126.pdf" TargetMode="External"/><Relationship Id="rId146" Type="http://schemas.openxmlformats.org/officeDocument/2006/relationships/hyperlink" Target="https://link.springer.com/article/10.1007/BF01840359" TargetMode="External"/><Relationship Id="rId7" Type="http://schemas.openxmlformats.org/officeDocument/2006/relationships/hyperlink" Target="https://scholar.google.com/scholar?hl=en&amp;as_sdt=0%2C22&amp;q=On+economical+construction+of+the+transitive+closure+of+an+oriented+graph.&amp;btnG=" TargetMode="External"/><Relationship Id="rId145" Type="http://schemas.openxmlformats.org/officeDocument/2006/relationships/hyperlink" Target="https://ieeexplore.ieee.org/document/4567800" TargetMode="External"/><Relationship Id="rId8" Type="http://schemas.openxmlformats.org/officeDocument/2006/relationships/hyperlink" Target="https://ieeexplore.ieee.org/abstract/document/5438580" TargetMode="External"/><Relationship Id="rId144" Type="http://schemas.openxmlformats.org/officeDocument/2006/relationships/hyperlink" Target="https://www.cambridge.org/core/journals/canadian-journal-of-mathematics/article/paths-trees-and-flowers/08B492B72322C4130AE800C0610E0E21" TargetMode="External"/><Relationship Id="rId139" Type="http://schemas.openxmlformats.org/officeDocument/2006/relationships/hyperlink" Target="https://dl.acm.org/doi/abs/10.1145/321796.321811" TargetMode="External"/><Relationship Id="rId138" Type="http://schemas.openxmlformats.org/officeDocument/2006/relationships/hyperlink" Target="https://dl.acm.org/doi/abs/10.1145/321796.321811" TargetMode="External"/><Relationship Id="rId137" Type="http://schemas.openxmlformats.org/officeDocument/2006/relationships/hyperlink" Target="https://dl.acm.org/doi/pdf/10.1145/135239.135244" TargetMode="External"/><Relationship Id="rId132" Type="http://schemas.openxmlformats.org/officeDocument/2006/relationships/hyperlink" Target="https://ieeexplore.ieee.org/stamp/stamp.jsp?tp=&amp;arnumber=5211463" TargetMode="External"/><Relationship Id="rId131" Type="http://schemas.openxmlformats.org/officeDocument/2006/relationships/hyperlink" Target="https://ieeexplore.ieee.org/abstract/document/5211463" TargetMode="External"/><Relationship Id="rId130" Type="http://schemas.openxmlformats.org/officeDocument/2006/relationships/hyperlink" Target="https://dl.acm.org/doi/abs/10.1145/1066100.1066101" TargetMode="External"/><Relationship Id="rId136" Type="http://schemas.openxmlformats.org/officeDocument/2006/relationships/hyperlink" Target="https://dl.acm.org/doi/pdf/10.1145/135239.135244" TargetMode="External"/><Relationship Id="rId135" Type="http://schemas.openxmlformats.org/officeDocument/2006/relationships/hyperlink" Target="https://citeseerx.ist.psu.edu/viewdoc/summary?doi=10.1.1.41.8257" TargetMode="External"/><Relationship Id="rId134" Type="http://schemas.openxmlformats.org/officeDocument/2006/relationships/hyperlink" Target="https://doi.org/10.1109%2Ftro.2004.838026" TargetMode="External"/><Relationship Id="rId133" Type="http://schemas.openxmlformats.org/officeDocument/2006/relationships/hyperlink" Target="https://www.ri.cmu.edu/publications/anytime-dynamic-a-an-anytime-replanning-algorithm/" TargetMode="External"/><Relationship Id="rId172" Type="http://schemas.openxmlformats.org/officeDocument/2006/relationships/hyperlink" Target="https://dl.acm.org/doi/pdf/10.1145/800125.804056" TargetMode="External"/><Relationship Id="rId171" Type="http://schemas.openxmlformats.org/officeDocument/2006/relationships/hyperlink" Target="https://en.wikipedia.org/wiki/Brent%27s_method" TargetMode="External"/><Relationship Id="rId170" Type="http://schemas.openxmlformats.org/officeDocument/2006/relationships/hyperlink" Target="https://books.google.com/books?vid=ISBN0130223352" TargetMode="External"/><Relationship Id="rId165" Type="http://schemas.openxmlformats.org/officeDocument/2006/relationships/hyperlink" Target="https://en.wikipedia.org/wiki/Regula_falsi" TargetMode="External"/><Relationship Id="rId164" Type="http://schemas.openxmlformats.org/officeDocument/2006/relationships/hyperlink" Target="https://link.springer.com/article/10.1007/BF01951936" TargetMode="External"/><Relationship Id="rId163" Type="http://schemas.openxmlformats.org/officeDocument/2006/relationships/hyperlink" Target="https://en.wikipedia.org/wiki/Regula_falsi" TargetMode="External"/><Relationship Id="rId162" Type="http://schemas.openxmlformats.org/officeDocument/2006/relationships/hyperlink" Target="https://link.springer.com/article/10.1007/BF01934364" TargetMode="External"/><Relationship Id="rId169" Type="http://schemas.openxmlformats.org/officeDocument/2006/relationships/hyperlink" Target="https://en.wikipedia.org/wiki/Inverse_quadratic_interpolation" TargetMode="External"/><Relationship Id="rId168" Type="http://schemas.openxmlformats.org/officeDocument/2006/relationships/hyperlink" Target="https://en.wikipedia.org/wiki/Steffensen%27s_method" TargetMode="External"/><Relationship Id="rId167" Type="http://schemas.openxmlformats.org/officeDocument/2006/relationships/hyperlink" Target="https://en.wikipedia.org/wiki/Halley%27s_method" TargetMode="External"/><Relationship Id="rId166" Type="http://schemas.openxmlformats.org/officeDocument/2006/relationships/hyperlink" Target="https://en.wikipedia.org/wiki/ITP_method" TargetMode="External"/><Relationship Id="rId161" Type="http://schemas.openxmlformats.org/officeDocument/2006/relationships/hyperlink" Target="https://dl.acm.org/doi/10.5555/320176.320229" TargetMode="External"/><Relationship Id="rId160" Type="http://schemas.openxmlformats.org/officeDocument/2006/relationships/hyperlink" Target="https://dl.acm.org/doi/10.5555/320176.320229" TargetMode="External"/><Relationship Id="rId159" Type="http://schemas.openxmlformats.org/officeDocument/2006/relationships/hyperlink" Target="https://ieeexplore.ieee.org/abstract/document/715935" TargetMode="External"/><Relationship Id="rId154" Type="http://schemas.openxmlformats.org/officeDocument/2006/relationships/hyperlink" Target="https://dl.acm.org/doi/10.1145/321694.321699" TargetMode="External"/><Relationship Id="rId153" Type="http://schemas.openxmlformats.org/officeDocument/2006/relationships/hyperlink" Target="https://link.springer.com/content/pdf/10.1007/BF01937486.pdf" TargetMode="External"/><Relationship Id="rId152" Type="http://schemas.openxmlformats.org/officeDocument/2006/relationships/hyperlink" Target="https://link.springer.com/article/10.1007/BF01937486" TargetMode="External"/><Relationship Id="rId151" Type="http://schemas.openxmlformats.org/officeDocument/2006/relationships/hyperlink" Target="https://link.springer.com/article/10.1007/BF01937486" TargetMode="External"/><Relationship Id="rId158" Type="http://schemas.openxmlformats.org/officeDocument/2006/relationships/hyperlink" Target="https://www.proquest.com/docview/919855909?pq-origsite=gscholar&amp;fromopenview=true" TargetMode="External"/><Relationship Id="rId157" Type="http://schemas.openxmlformats.org/officeDocument/2006/relationships/hyperlink" Target="https://www.proquest.com/docview/287948024?pq-origsite=gscholar&amp;fromopenview=true" TargetMode="External"/><Relationship Id="rId156" Type="http://schemas.openxmlformats.org/officeDocument/2006/relationships/hyperlink" Target="https://dl.acm.org/doi/10.1145/28869.28874" TargetMode="External"/><Relationship Id="rId155" Type="http://schemas.openxmlformats.org/officeDocument/2006/relationships/hyperlink" Target="https://www.sciencedirect.com/science/article/pii/0020019075900010" TargetMode="External"/><Relationship Id="rId40" Type="http://schemas.openxmlformats.org/officeDocument/2006/relationships/hyperlink" Target="https://ieeexplore.ieee.org/stamp/stamp.jsp?arnumber=4031392" TargetMode="External"/><Relationship Id="rId42" Type="http://schemas.openxmlformats.org/officeDocument/2006/relationships/hyperlink" Target="https://ieeexplore.ieee.org/stamp/stamp.jsp?arnumber=4031392" TargetMode="External"/><Relationship Id="rId41" Type="http://schemas.openxmlformats.org/officeDocument/2006/relationships/hyperlink" Target="https://ieeexplore.ieee.org/stamp/stamp.jsp?arnumber=4031392" TargetMode="External"/><Relationship Id="rId44" Type="http://schemas.openxmlformats.org/officeDocument/2006/relationships/hyperlink" Target="https://drops.dagstuhl.de/opus/volltexte/2021/14182/pdf/LIPIcs-ICALP-2021-113.pdf" TargetMode="External"/><Relationship Id="rId43" Type="http://schemas.openxmlformats.org/officeDocument/2006/relationships/hyperlink" Target="https://ieeexplore.ieee.org/stamp/stamp.jsp?arnumber=4031392" TargetMode="External"/><Relationship Id="rId46" Type="http://schemas.openxmlformats.org/officeDocument/2006/relationships/hyperlink" Target="https://www.sciencedirect.com/science/article/abs/pii/S0167637704000409?via%3Dihub" TargetMode="External"/><Relationship Id="rId45" Type="http://schemas.openxmlformats.org/officeDocument/2006/relationships/hyperlink" Target="https://www.sciencedirect.com/science/article/abs/pii/S0167637704000409?via%3Dihub" TargetMode="External"/><Relationship Id="rId48" Type="http://schemas.openxmlformats.org/officeDocument/2006/relationships/hyperlink" Target="https://ieeexplore.ieee.org/stamp/stamp.jsp?arnumber=4031392" TargetMode="External"/><Relationship Id="rId47" Type="http://schemas.openxmlformats.org/officeDocument/2006/relationships/hyperlink" Target="https://www.sciencedirect.com/science/article/pii/S0167637704000409" TargetMode="External"/><Relationship Id="rId49" Type="http://schemas.openxmlformats.org/officeDocument/2006/relationships/hyperlink" Target="https://ieeexplore.ieee.org/stamp/stamp.jsp?arnumber=4031392" TargetMode="External"/><Relationship Id="rId31" Type="http://schemas.openxmlformats.org/officeDocument/2006/relationships/hyperlink" Target="https://arxiv.org/abs/2203.00671" TargetMode="External"/><Relationship Id="rId30" Type="http://schemas.openxmlformats.org/officeDocument/2006/relationships/hyperlink" Target="https://arxiv.org/abs/2101.07233" TargetMode="External"/><Relationship Id="rId33" Type="http://schemas.openxmlformats.org/officeDocument/2006/relationships/hyperlink" Target="https://dl.acm.org/citation.cfm?id=290181" TargetMode="External"/><Relationship Id="rId32" Type="http://schemas.openxmlformats.org/officeDocument/2006/relationships/hyperlink" Target="https://dl.acm.org/citation.cfm?id=290181" TargetMode="External"/><Relationship Id="rId35" Type="http://schemas.openxmlformats.org/officeDocument/2006/relationships/hyperlink" Target="https://dl.acm.org/citation.cfm?id=290181" TargetMode="External"/><Relationship Id="rId34" Type="http://schemas.openxmlformats.org/officeDocument/2006/relationships/hyperlink" Target="https://dl.acm.org/citation.cfm?id=290181" TargetMode="External"/><Relationship Id="rId37" Type="http://schemas.openxmlformats.org/officeDocument/2006/relationships/hyperlink" Target="https://arxiv.org/abs/2202.08996" TargetMode="External"/><Relationship Id="rId36" Type="http://schemas.openxmlformats.org/officeDocument/2006/relationships/hyperlink" Target="https://scholar.google.com/scholar?hl=en&amp;as_sdt=0%2C22&amp;q=On+economical+construction+of+the+transitive+closure+of+an+oriented+graph.&amp;btnG=" TargetMode="External"/><Relationship Id="rId39" Type="http://schemas.openxmlformats.org/officeDocument/2006/relationships/hyperlink" Target="https://www.sciencedirect.com/science/article/abs/pii/S0167637704000409?via%3Dihub" TargetMode="External"/><Relationship Id="rId38" Type="http://schemas.openxmlformats.org/officeDocument/2006/relationships/hyperlink" Target="https://arxiv.org/pdf/2010.05846.pdf" TargetMode="External"/><Relationship Id="rId20" Type="http://schemas.openxmlformats.org/officeDocument/2006/relationships/hyperlink" Target="https://core.ac.uk/download/pdf/81946904.pdf" TargetMode="External"/><Relationship Id="rId22" Type="http://schemas.openxmlformats.org/officeDocument/2006/relationships/hyperlink" Target="https://link.springer.com/article/10.1007/BF00264254" TargetMode="External"/><Relationship Id="rId21" Type="http://schemas.openxmlformats.org/officeDocument/2006/relationships/hyperlink" Target="https://link.springer.com/article/10.1007/BF00264254" TargetMode="External"/><Relationship Id="rId24" Type="http://schemas.openxmlformats.org/officeDocument/2006/relationships/hyperlink" Target="https://www.sciencedirect.com/science/article/pii/002200008590039X" TargetMode="External"/><Relationship Id="rId23" Type="http://schemas.openxmlformats.org/officeDocument/2006/relationships/hyperlink" Target="http://users.umiacs.umd.edu/~vishkin/TEACHING/4CLASS/SV82-maxflow.pdf" TargetMode="External"/><Relationship Id="rId26" Type="http://schemas.openxmlformats.org/officeDocument/2006/relationships/hyperlink" Target="https://ieeexplore.ieee.org/stamp/stamp.jsp?tp=&amp;arnumber=7782974" TargetMode="External"/><Relationship Id="rId25" Type="http://schemas.openxmlformats.org/officeDocument/2006/relationships/hyperlink" Target="https://ieeexplore.ieee.org/stamp/stamp.jsp?tp=&amp;arnumber=6979027" TargetMode="External"/><Relationship Id="rId28" Type="http://schemas.openxmlformats.org/officeDocument/2006/relationships/hyperlink" Target="https://epubs.siam.org/doi/abs/10.1137/20M1383525" TargetMode="External"/><Relationship Id="rId27" Type="http://schemas.openxmlformats.org/officeDocument/2006/relationships/hyperlink" Target="https://epubs.siam.org/doi/abs/10.1137/20M1383525" TargetMode="External"/><Relationship Id="rId29" Type="http://schemas.openxmlformats.org/officeDocument/2006/relationships/hyperlink" Target="https://arxiv.org/abs/2101.05719" TargetMode="External"/><Relationship Id="rId11" Type="http://schemas.openxmlformats.org/officeDocument/2006/relationships/hyperlink" Target="https://epubs.siam.org/doi/abs/10.1137/1.9781611973730.16" TargetMode="External"/><Relationship Id="rId10" Type="http://schemas.openxmlformats.org/officeDocument/2006/relationships/hyperlink" Target="https://epubs.siam.org/doi/abs/10.1137/1.9781611973730.16" TargetMode="External"/><Relationship Id="rId13" Type="http://schemas.openxmlformats.org/officeDocument/2006/relationships/hyperlink" Target="http://www.cs.cmu.edu/~./theorylunch/pastSemesterIndices/slides/20070117.pdf" TargetMode="External"/><Relationship Id="rId12" Type="http://schemas.openxmlformats.org/officeDocument/2006/relationships/hyperlink" Target="https://www.sciencedirect.com/science/article/pii/S0890540118300099" TargetMode="External"/><Relationship Id="rId15" Type="http://schemas.openxmlformats.org/officeDocument/2006/relationships/hyperlink" Target="https://epubs.siam.org/doi/abs/10.1137/1.9781611974782.142" TargetMode="External"/><Relationship Id="rId14" Type="http://schemas.openxmlformats.org/officeDocument/2006/relationships/hyperlink" Target="https://epubs.siam.org/doi/abs/10.1137/1.9781611974782.142" TargetMode="External"/><Relationship Id="rId17" Type="http://schemas.openxmlformats.org/officeDocument/2006/relationships/hyperlink" Target="https://epubs.siam.org/doi/abs/10.1137/0217049" TargetMode="External"/><Relationship Id="rId16" Type="http://schemas.openxmlformats.org/officeDocument/2006/relationships/hyperlink" Target="https://dl.acm.org/doi/pdf/10.1145/3186893" TargetMode="External"/><Relationship Id="rId19" Type="http://schemas.openxmlformats.org/officeDocument/2006/relationships/hyperlink" Target="https://eprints.utas.edu.au/160/1/iplFlow.pdf" TargetMode="External"/><Relationship Id="rId18" Type="http://schemas.openxmlformats.org/officeDocument/2006/relationships/hyperlink" Target="https://epubs.siam.org/doi/abs/10.1137/0217049" TargetMode="External"/><Relationship Id="rId84" Type="http://schemas.openxmlformats.org/officeDocument/2006/relationships/hyperlink" Target="https://dl.acm.org/doi/pdf/10.1145/321556.321564" TargetMode="External"/><Relationship Id="rId83" Type="http://schemas.openxmlformats.org/officeDocument/2006/relationships/hyperlink" Target="https://dl.acm.org/doi/pdf/10.1145/12130.12172" TargetMode="External"/><Relationship Id="rId86" Type="http://schemas.openxmlformats.org/officeDocument/2006/relationships/hyperlink" Target="https://dl.acm.org/doi/abs/10.1145/359131.359132" TargetMode="External"/><Relationship Id="rId85" Type="http://schemas.openxmlformats.org/officeDocument/2006/relationships/hyperlink" Target="https://dl.acm.org/doi/pdf/10.1145/235815.235821" TargetMode="External"/><Relationship Id="rId88" Type="http://schemas.openxmlformats.org/officeDocument/2006/relationships/hyperlink" Target="https://www.semanticscholar.org/paper/Depth-First-Search-and-Linear-Graph-Algorithms-Tarjan/385742fffcf113656f0d3cf6c06ef95cb8439dc6" TargetMode="External"/><Relationship Id="rId87" Type="http://schemas.openxmlformats.org/officeDocument/2006/relationships/hyperlink" Target="https://www.sciencedirect.com/science/article/pii/002200008190012X?via%3Dihub" TargetMode="External"/><Relationship Id="rId89" Type="http://schemas.openxmlformats.org/officeDocument/2006/relationships/hyperlink" Target="https://ieeexplore.ieee.org/abstract/document/6877288" TargetMode="External"/><Relationship Id="rId80" Type="http://schemas.openxmlformats.org/officeDocument/2006/relationships/hyperlink" Target="https://www.sciencedirect.com/science/article/pii/0022000086900255" TargetMode="External"/><Relationship Id="rId82" Type="http://schemas.openxmlformats.org/officeDocument/2006/relationships/hyperlink" Target="https://courses.cs.duke.edu/cps234/spring04/papers/NP82.pdf" TargetMode="External"/><Relationship Id="rId81" Type="http://schemas.openxmlformats.org/officeDocument/2006/relationships/hyperlink" Target="https://pdfs.semanticscholar.org/a571/cc92218132a1b0e65c2adbf663c79d015737.pdf" TargetMode="External"/><Relationship Id="rId73" Type="http://schemas.openxmlformats.org/officeDocument/2006/relationships/hyperlink" Target="https://ieeexplore.ieee.org/stamp/stamp.jsp?arnumber=4031393" TargetMode="External"/><Relationship Id="rId72" Type="http://schemas.openxmlformats.org/officeDocument/2006/relationships/hyperlink" Target="https://www.cambridge.org/core/books/topics-in-chromatic-graph-theory/graph-colouring-algorithms/0057166BDF05B304D0D81D6C1EB911B6" TargetMode="External"/><Relationship Id="rId75" Type="http://schemas.openxmlformats.org/officeDocument/2006/relationships/hyperlink" Target="https://arxiv.org/abs/2007.10254" TargetMode="External"/><Relationship Id="rId74" Type="http://schemas.openxmlformats.org/officeDocument/2006/relationships/hyperlink" Target="https://epubs.siam.org/doi/10.1137/040617200" TargetMode="External"/><Relationship Id="rId77" Type="http://schemas.openxmlformats.org/officeDocument/2006/relationships/hyperlink" Target="https://ieeexplore.ieee.org/document/63499" TargetMode="External"/><Relationship Id="rId76" Type="http://schemas.openxmlformats.org/officeDocument/2006/relationships/hyperlink" Target="https://link.springer.com/article/10.1007/BF01580859" TargetMode="External"/><Relationship Id="rId79" Type="http://schemas.openxmlformats.org/officeDocument/2006/relationships/hyperlink" Target="https://www.sciencedirect.com/science/article/pii/0022000086900255" TargetMode="External"/><Relationship Id="rId78" Type="http://schemas.openxmlformats.org/officeDocument/2006/relationships/hyperlink" Target="https://arxiv.org/abs/1810.07896" TargetMode="External"/><Relationship Id="rId71" Type="http://schemas.openxmlformats.org/officeDocument/2006/relationships/hyperlink" Target="https://ieeexplore.ieee.org/stamp/stamp.jsp?arnumber=4031392" TargetMode="External"/><Relationship Id="rId70" Type="http://schemas.openxmlformats.org/officeDocument/2006/relationships/hyperlink" Target="https://ieeexplore.ieee.org/stamp/stamp.jsp?arnumber=4031392" TargetMode="External"/><Relationship Id="rId62" Type="http://schemas.openxmlformats.org/officeDocument/2006/relationships/hyperlink" Target="https://ieeexplore.ieee.org/stamp/stamp.jsp?arnumber=4031392" TargetMode="External"/><Relationship Id="rId61" Type="http://schemas.openxmlformats.org/officeDocument/2006/relationships/hyperlink" Target="https://ieeexplore.ieee.org/stamp/stamp.jsp?arnumber=4031392" TargetMode="External"/><Relationship Id="rId64" Type="http://schemas.openxmlformats.org/officeDocument/2006/relationships/hyperlink" Target="https://ieeexplore.ieee.org/stamp/stamp.jsp?arnumber=4031392" TargetMode="External"/><Relationship Id="rId63" Type="http://schemas.openxmlformats.org/officeDocument/2006/relationships/hyperlink" Target="https://ieeexplore.ieee.org/stamp/stamp.jsp?arnumber=4031392" TargetMode="External"/><Relationship Id="rId66" Type="http://schemas.openxmlformats.org/officeDocument/2006/relationships/hyperlink" Target="https://link.springer.com/chapter/10.1007/978-3-540-45193-8_6" TargetMode="External"/><Relationship Id="rId65" Type="http://schemas.openxmlformats.org/officeDocument/2006/relationships/hyperlink" Target="https://ieeexplore.ieee.org/stamp/stamp.jsp?arnumber=4031393" TargetMode="External"/><Relationship Id="rId68" Type="http://schemas.openxmlformats.org/officeDocument/2006/relationships/hyperlink" Target="https://link.springer.com/chapter/10.1007/978-3-540-73545-8_9" TargetMode="External"/><Relationship Id="rId67" Type="http://schemas.openxmlformats.org/officeDocument/2006/relationships/hyperlink" Target="https://citeseerx.ist.psu.edu/viewdoc/download?doi=10.1.1.634.4498&amp;rep=rep1&amp;type=pdf" TargetMode="External"/><Relationship Id="rId60" Type="http://schemas.openxmlformats.org/officeDocument/2006/relationships/hyperlink" Target="https://www.sciencedirect.com/science/article/pii/S0167637704000409" TargetMode="External"/><Relationship Id="rId69" Type="http://schemas.openxmlformats.org/officeDocument/2006/relationships/hyperlink" Target="https://link.springer.com/chapter/10.1007/978-3-540-73545-8_9" TargetMode="External"/><Relationship Id="rId51" Type="http://schemas.openxmlformats.org/officeDocument/2006/relationships/hyperlink" Target="https://ieeexplore.ieee.org/stamp/stamp.jsp?arnumber=4031392" TargetMode="External"/><Relationship Id="rId50" Type="http://schemas.openxmlformats.org/officeDocument/2006/relationships/hyperlink" Target="https://ieeexplore.ieee.org/stamp/stamp.jsp?arnumber=4031392" TargetMode="External"/><Relationship Id="rId53" Type="http://schemas.openxmlformats.org/officeDocument/2006/relationships/hyperlink" Target="https://academic.oup.com/comjnl/article/14/1/38/356253?login=true" TargetMode="External"/><Relationship Id="rId52" Type="http://schemas.openxmlformats.org/officeDocument/2006/relationships/hyperlink" Target="https://drops.dagstuhl.de/opus/volltexte/2021/14182/pdf/LIPIcs-ICALP-2021-113.pdf" TargetMode="External"/><Relationship Id="rId55" Type="http://schemas.openxmlformats.org/officeDocument/2006/relationships/hyperlink" Target="https://www.sciencedirect.com/science/article/pii/002001907690065X?via%3Dihub" TargetMode="External"/><Relationship Id="rId54" Type="http://schemas.openxmlformats.org/officeDocument/2006/relationships/hyperlink" Target="https://link.springer.com/article/10.1007/s00453-007-9149-8" TargetMode="External"/><Relationship Id="rId57" Type="http://schemas.openxmlformats.org/officeDocument/2006/relationships/hyperlink" Target="https://arxiv.org/pdf/cs/0011009.pdf" TargetMode="External"/><Relationship Id="rId56" Type="http://schemas.openxmlformats.org/officeDocument/2006/relationships/hyperlink" Target="https://www.sciencedirect.com/science/article/pii/S0167637704000409" TargetMode="External"/><Relationship Id="rId59" Type="http://schemas.openxmlformats.org/officeDocument/2006/relationships/hyperlink" Target="https://www.sciencedirect.com/science/article/pii/S0167637704000409" TargetMode="External"/><Relationship Id="rId58" Type="http://schemas.openxmlformats.org/officeDocument/2006/relationships/hyperlink" Target="https://arxiv.org/pdf/cs/0011009.pdf" TargetMode="External"/><Relationship Id="rId107" Type="http://schemas.openxmlformats.org/officeDocument/2006/relationships/hyperlink" Target="https://www.sciencedirect.com/science/article/pii/S0890540185710498?via%3Dihub" TargetMode="External"/><Relationship Id="rId106" Type="http://schemas.openxmlformats.org/officeDocument/2006/relationships/hyperlink" Target="https://www.sciencedirect.com/science/article/pii/S0890540185710498?via%3Dihub" TargetMode="External"/><Relationship Id="rId105" Type="http://schemas.openxmlformats.org/officeDocument/2006/relationships/hyperlink" Target="https://link.springer.com/article/10.1007/BF02579168" TargetMode="External"/><Relationship Id="rId104" Type="http://schemas.openxmlformats.org/officeDocument/2006/relationships/hyperlink" Target="https://ieeexplore.ieee.org/abstract/document/715935" TargetMode="External"/><Relationship Id="rId109" Type="http://schemas.openxmlformats.org/officeDocument/2006/relationships/hyperlink" Target="https://dl.acm.org/doi/10.1145/316542.316548" TargetMode="External"/><Relationship Id="rId108" Type="http://schemas.openxmlformats.org/officeDocument/2006/relationships/hyperlink" Target="https://dl.acm.org/doi/10.1145/363269.363610" TargetMode="External"/><Relationship Id="rId103" Type="http://schemas.openxmlformats.org/officeDocument/2006/relationships/hyperlink" Target="https://onlinelibrary.wiley.com/doi/10.1002/net.3230070103" TargetMode="External"/><Relationship Id="rId102" Type="http://schemas.openxmlformats.org/officeDocument/2006/relationships/hyperlink" Target="https://onlinelibrary.wiley.com/doi/10.1002/net.3230070103" TargetMode="External"/><Relationship Id="rId101" Type="http://schemas.openxmlformats.org/officeDocument/2006/relationships/hyperlink" Target="https://onlinelibrary.wiley.com/doi/10.1002/net.3230070103" TargetMode="External"/><Relationship Id="rId100" Type="http://schemas.openxmlformats.org/officeDocument/2006/relationships/hyperlink" Target="https://onlinelibrary.wiley.com/doi/10.1002/net.3230070103" TargetMode="External"/><Relationship Id="rId129" Type="http://schemas.openxmlformats.org/officeDocument/2006/relationships/hyperlink" Target="https://epubs.siam.org/doi/abs/10.1137/120868177" TargetMode="External"/><Relationship Id="rId128" Type="http://schemas.openxmlformats.org/officeDocument/2006/relationships/hyperlink" Target="https://dl.acm.org/doi/abs/10.1145/1066100.1066101" TargetMode="External"/><Relationship Id="rId127" Type="http://schemas.openxmlformats.org/officeDocument/2006/relationships/hyperlink" Target="https://epubs.siam.org/doi/abs/10.1137/120868177" TargetMode="External"/><Relationship Id="rId126" Type="http://schemas.openxmlformats.org/officeDocument/2006/relationships/hyperlink" Target="https://dl.acm.org/doi/abs/10.1145/1066100.1066101" TargetMode="External"/><Relationship Id="rId121" Type="http://schemas.openxmlformats.org/officeDocument/2006/relationships/hyperlink" Target="http://www.cs.cornell.edu/selman/papers/pdf/92.aaai.gsat.pdf" TargetMode="External"/><Relationship Id="rId120" Type="http://schemas.openxmlformats.org/officeDocument/2006/relationships/hyperlink" Target="https://ieeexplore.ieee.org/document/769433" TargetMode="External"/><Relationship Id="rId125" Type="http://schemas.openxmlformats.org/officeDocument/2006/relationships/hyperlink" Target="https://en.wikipedia.org/wiki/Horn-satisfiability" TargetMode="External"/><Relationship Id="rId124" Type="http://schemas.openxmlformats.org/officeDocument/2006/relationships/hyperlink" Target="https://dl.acm.org/doi/10.1145/322047.322059" TargetMode="External"/><Relationship Id="rId123" Type="http://schemas.openxmlformats.org/officeDocument/2006/relationships/hyperlink" Target="https://arxiv.org/pdf/quant-ph/0001106.pdf" TargetMode="External"/><Relationship Id="rId122" Type="http://schemas.openxmlformats.org/officeDocument/2006/relationships/hyperlink" Target="https://www.aaai.org/Papers/AAAI/1994/AAAI94-051.pdf" TargetMode="External"/><Relationship Id="rId95" Type="http://schemas.openxmlformats.org/officeDocument/2006/relationships/hyperlink" Target="https://dl.acm.org/doi/10.1145/505241.505243" TargetMode="External"/><Relationship Id="rId94" Type="http://schemas.openxmlformats.org/officeDocument/2006/relationships/hyperlink" Target="https://www.sciencedirect.com/science/article/pii/S0022000005800649?via%3Dihub" TargetMode="External"/><Relationship Id="rId97" Type="http://schemas.openxmlformats.org/officeDocument/2006/relationships/hyperlink" Target="https://nvlpubs.nist.gov/nistpubs/jres/71b/jresv71bn4p233_a1b.pdf" TargetMode="External"/><Relationship Id="rId96" Type="http://schemas.openxmlformats.org/officeDocument/2006/relationships/hyperlink" Target="https://dl.acm.org/doi/10.1145/505241.505243" TargetMode="External"/><Relationship Id="rId99" Type="http://schemas.openxmlformats.org/officeDocument/2006/relationships/hyperlink" Target="https://onlinelibrary.wiley.com/doi/10.1002/net.3230070103" TargetMode="External"/><Relationship Id="rId98" Type="http://schemas.openxmlformats.org/officeDocument/2006/relationships/hyperlink" Target="https://nvlpubs.nist.gov/nistpubs/jres/71B/jresv71Bn4p233_A1b.pdf" TargetMode="External"/><Relationship Id="rId91" Type="http://schemas.openxmlformats.org/officeDocument/2006/relationships/hyperlink" Target="https://epubs.siam.org/doi/abs/10.1137/0205051" TargetMode="External"/><Relationship Id="rId90" Type="http://schemas.openxmlformats.org/officeDocument/2006/relationships/hyperlink" Target="https://dl.acm.org/citation.cfm?id=28874" TargetMode="External"/><Relationship Id="rId93" Type="http://schemas.openxmlformats.org/officeDocument/2006/relationships/hyperlink" Target="https://link.springer.com/article/10.1007/BF02579168" TargetMode="External"/><Relationship Id="rId92" Type="http://schemas.openxmlformats.org/officeDocument/2006/relationships/hyperlink" Target="https://epubs.siam.org/doi/abs/10.1137/0205051" TargetMode="External"/><Relationship Id="rId118" Type="http://schemas.openxmlformats.org/officeDocument/2006/relationships/hyperlink" Target="https://dl.acm.org/doi/10.1145/368273.368557" TargetMode="External"/><Relationship Id="rId117" Type="http://schemas.openxmlformats.org/officeDocument/2006/relationships/hyperlink" Target="https://arxiv.org/abs/cs/0506069" TargetMode="External"/><Relationship Id="rId116" Type="http://schemas.openxmlformats.org/officeDocument/2006/relationships/hyperlink" Target="https://dl.acm.org/doi/abs/10.1145/567112.567114" TargetMode="External"/><Relationship Id="rId115" Type="http://schemas.openxmlformats.org/officeDocument/2006/relationships/hyperlink" Target="https://dl.acm.org/doi/10.1145/321992.321993" TargetMode="External"/><Relationship Id="rId119" Type="http://schemas.openxmlformats.org/officeDocument/2006/relationships/hyperlink" Target="https://en.wikipedia.org/wiki/DPLL_algorithm" TargetMode="External"/><Relationship Id="rId110" Type="http://schemas.openxmlformats.org/officeDocument/2006/relationships/hyperlink" Target="https://dl.acm.org/doi/10.1145/316542.316548" TargetMode="External"/><Relationship Id="rId114" Type="http://schemas.openxmlformats.org/officeDocument/2006/relationships/hyperlink" Target="https://www.tandfonline.com/doi/abs/10.1080/0022250x.2001.9990249" TargetMode="External"/><Relationship Id="rId113" Type="http://schemas.openxmlformats.org/officeDocument/2006/relationships/hyperlink" Target="https://www.tandfonline.com/doi/abs/10.1080/0022250x.2001.9990249" TargetMode="External"/><Relationship Id="rId112" Type="http://schemas.openxmlformats.org/officeDocument/2006/relationships/hyperlink" Target="https://www.tandfonline.com/doi/abs/10.1080/0022250x.2001.9990249" TargetMode="External"/><Relationship Id="rId111" Type="http://schemas.openxmlformats.org/officeDocument/2006/relationships/hyperlink" Target="https://www.tandfonline.com/doi/abs/10.1080/0022250x.2001.9990249" TargetMode="External"/><Relationship Id="rId259" Type="http://schemas.openxmlformats.org/officeDocument/2006/relationships/vmlDrawing" Target="../drawings/vmlDrawing5.vml"/><Relationship Id="rId258" Type="http://schemas.openxmlformats.org/officeDocument/2006/relationships/drawing" Target="../drawings/drawing11.xml"/><Relationship Id="rId253" Type="http://schemas.openxmlformats.org/officeDocument/2006/relationships/hyperlink" Target="https://dl.acm.org/doi/abs/10.1145/319540.319546" TargetMode="External"/><Relationship Id="rId252" Type="http://schemas.openxmlformats.org/officeDocument/2006/relationships/hyperlink" Target="https://link.springer.com/article/10.1007/BF01934180" TargetMode="External"/><Relationship Id="rId251" Type="http://schemas.openxmlformats.org/officeDocument/2006/relationships/hyperlink" Target="https://www.vldb.org/conf/1983/P186.PDF" TargetMode="External"/><Relationship Id="rId250" Type="http://schemas.openxmlformats.org/officeDocument/2006/relationships/hyperlink" Target="https://www.sciencedirect.com/science/article/pii/S0022053108000811" TargetMode="External"/><Relationship Id="rId257" Type="http://schemas.openxmlformats.org/officeDocument/2006/relationships/hyperlink" Target="https://link.springer.com/chapter/10.1007/978-3-540-27798-9_31" TargetMode="External"/><Relationship Id="rId256" Type="http://schemas.openxmlformats.org/officeDocument/2006/relationships/hyperlink" Target="https://link.springer.com/article/10.1007/BF01934180" TargetMode="External"/><Relationship Id="rId255" Type="http://schemas.openxmlformats.org/officeDocument/2006/relationships/hyperlink" Target="https://dl.acm.org/doi/abs/10.1145/320557.320571" TargetMode="External"/><Relationship Id="rId254" Type="http://schemas.openxmlformats.org/officeDocument/2006/relationships/hyperlink" Target="https://dl.acm.org/doi/abs/10.1145/582318.582337" TargetMode="External"/><Relationship Id="rId228" Type="http://schemas.openxmlformats.org/officeDocument/2006/relationships/hyperlink" Target="http://faculty.washington.edu/aragon/pubs/rst89.pdf" TargetMode="External"/><Relationship Id="rId227" Type="http://schemas.openxmlformats.org/officeDocument/2006/relationships/hyperlink" Target="https://citeseerx.ist.psu.edu/viewdoc/summary?doi=10.1.1.138.4859" TargetMode="External"/><Relationship Id="rId226" Type="http://schemas.openxmlformats.org/officeDocument/2006/relationships/hyperlink" Target="https://epubs.siam.org/doi/epdf/10.1137/0209018" TargetMode="External"/><Relationship Id="rId225" Type="http://schemas.openxmlformats.org/officeDocument/2006/relationships/hyperlink" Target="https://epubs.siam.org/doi/10.1137/0209018" TargetMode="External"/><Relationship Id="rId229" Type="http://schemas.openxmlformats.org/officeDocument/2006/relationships/hyperlink" Target="http://erikdemaine.org/papers/Tango_SICOMP/paper.pdf" TargetMode="External"/><Relationship Id="rId220" Type="http://schemas.openxmlformats.org/officeDocument/2006/relationships/hyperlink" Target="https://epubs.siam.org/doi/abs/10.1137/1.9781611974331.ch87" TargetMode="External"/><Relationship Id="rId224" Type="http://schemas.openxmlformats.org/officeDocument/2006/relationships/hyperlink" Target="https://epubs.siam.org/doi/epdf/10.1137/0209018" TargetMode="External"/><Relationship Id="rId223" Type="http://schemas.openxmlformats.org/officeDocument/2006/relationships/hyperlink" Target="https://epubs.siam.org/doi/10.1137/0209018" TargetMode="External"/><Relationship Id="rId222" Type="http://schemas.openxmlformats.org/officeDocument/2006/relationships/hyperlink" Target="https://ieeexplore.ieee.org/abstract/document/6979047" TargetMode="External"/><Relationship Id="rId221" Type="http://schemas.openxmlformats.org/officeDocument/2006/relationships/hyperlink" Target="https://dml.cz/bitstream/handle/10338.dmlcz/106381/CommentatMathUnivCarol_026-1985-2_22.pdf" TargetMode="External"/><Relationship Id="rId217" Type="http://schemas.openxmlformats.org/officeDocument/2006/relationships/hyperlink" Target="https://epubs.siam.org/doi/abs/10.1137/1.9781611973730.17" TargetMode="External"/><Relationship Id="rId216" Type="http://schemas.openxmlformats.org/officeDocument/2006/relationships/hyperlink" Target="https://en.wikipedia.org/wiki/Wiener_connector" TargetMode="External"/><Relationship Id="rId215" Type="http://schemas.openxmlformats.org/officeDocument/2006/relationships/hyperlink" Target="https://www.sciencedirect.com/science/article/abs/pii/016781919400063G" TargetMode="External"/><Relationship Id="rId214" Type="http://schemas.openxmlformats.org/officeDocument/2006/relationships/hyperlink" Target="https://citeseerx.ist.psu.edu/viewdoc/download?doi=10.1.1.24.1291&amp;rep=rep1&amp;type=pdf" TargetMode="External"/><Relationship Id="rId219" Type="http://schemas.openxmlformats.org/officeDocument/2006/relationships/hyperlink" Target="https://epubs.siam.org/doi/abs/10.1137/1.9781611974331.ch87" TargetMode="External"/><Relationship Id="rId218" Type="http://schemas.openxmlformats.org/officeDocument/2006/relationships/hyperlink" Target="https://epubs.siam.org/doi/abs/10.1137/1.9781611973730.17" TargetMode="External"/><Relationship Id="rId213" Type="http://schemas.openxmlformats.org/officeDocument/2006/relationships/hyperlink" Target="https://www.sciencedirect.com/science/article/pii/0167642387900347" TargetMode="External"/><Relationship Id="rId212" Type="http://schemas.openxmlformats.org/officeDocument/2006/relationships/hyperlink" Target="https://www.sciencedirect.com/science/article/pii/S1571066104003135?via%3Dihub" TargetMode="External"/><Relationship Id="rId211" Type="http://schemas.openxmlformats.org/officeDocument/2006/relationships/hyperlink" Target="https://dl.acm.org/doi/pdf/10.5555/314613.314823" TargetMode="External"/><Relationship Id="rId210" Type="http://schemas.openxmlformats.org/officeDocument/2006/relationships/hyperlink" Target="https://dl.acm.org/doi/pdf/10.5555/314613.314823" TargetMode="External"/><Relationship Id="rId249" Type="http://schemas.openxmlformats.org/officeDocument/2006/relationships/hyperlink" Target="https://doi.org/10.1016/j.jet.2008.06.002" TargetMode="External"/><Relationship Id="rId248" Type="http://schemas.openxmlformats.org/officeDocument/2006/relationships/hyperlink" Target="https://www.aaai.org/Papers/AAAI/2005/AAAI05-078.pdf" TargetMode="External"/><Relationship Id="rId247" Type="http://schemas.openxmlformats.org/officeDocument/2006/relationships/hyperlink" Target="https://www.aaai.org/Library/AAAI/2005/aaai05-078.php" TargetMode="External"/><Relationship Id="rId242" Type="http://schemas.openxmlformats.org/officeDocument/2006/relationships/hyperlink" Target="https://dl.acm.org/doi/10.1145/779928.779933" TargetMode="External"/><Relationship Id="rId241" Type="http://schemas.openxmlformats.org/officeDocument/2006/relationships/hyperlink" Target="https://www.semanticscholar.org/paper/A-Continuation-Method-for-Nash-Equilibria-in-Games-Blum-Shelton/4a3b80041922298db147debc2a2307bc4a5a42e9" TargetMode="External"/><Relationship Id="rId240" Type="http://schemas.openxmlformats.org/officeDocument/2006/relationships/hyperlink" Target="https://www.semanticscholar.org/paper/A-Continuation-Method-for-Nash-Equilibria-in-Games-Blum-Shelton/4a3b80041922298db147debc2a2307bc4a5a42e9" TargetMode="External"/><Relationship Id="rId246" Type="http://schemas.openxmlformats.org/officeDocument/2006/relationships/hyperlink" Target="https://www.aaai.org/Library/AAAI/2004/aaai04-105.php" TargetMode="External"/><Relationship Id="rId245" Type="http://schemas.openxmlformats.org/officeDocument/2006/relationships/hyperlink" Target="https://www.aaai.org/Library/AAAI/2004/aaai04-105.php" TargetMode="External"/><Relationship Id="rId244" Type="http://schemas.openxmlformats.org/officeDocument/2006/relationships/hyperlink" Target="https://dl.acm.org/doi/10.1145/779928.779933" TargetMode="External"/><Relationship Id="rId243" Type="http://schemas.openxmlformats.org/officeDocument/2006/relationships/hyperlink" Target="https://dl.acm.org/doi/10.1145/779928.779933" TargetMode="External"/><Relationship Id="rId239" Type="http://schemas.openxmlformats.org/officeDocument/2006/relationships/hyperlink" Target="https://doi.org/10.1137/0112033" TargetMode="External"/><Relationship Id="rId238" Type="http://schemas.openxmlformats.org/officeDocument/2006/relationships/hyperlink" Target="https://doi.org/10.1137/0112033" TargetMode="External"/><Relationship Id="rId237" Type="http://schemas.openxmlformats.org/officeDocument/2006/relationships/hyperlink" Target="https://www.academia.edu/1791725/An_experimental_analysis_of_Lemke_Howson_algorithm" TargetMode="External"/><Relationship Id="rId236" Type="http://schemas.openxmlformats.org/officeDocument/2006/relationships/hyperlink" Target="http://erikdemaine.org/papers/Tango_SICOMP/paper.pdf" TargetMode="External"/><Relationship Id="rId231" Type="http://schemas.openxmlformats.org/officeDocument/2006/relationships/hyperlink" Target="http://faculty.washington.edu/aragon/pubs/rst89.pdf" TargetMode="External"/><Relationship Id="rId230" Type="http://schemas.openxmlformats.org/officeDocument/2006/relationships/hyperlink" Target="https://citeseerx.ist.psu.edu/viewdoc/summary?doi=10.1.1.138.4859" TargetMode="External"/><Relationship Id="rId235" Type="http://schemas.openxmlformats.org/officeDocument/2006/relationships/hyperlink" Target="http://faculty.washington.edu/aragon/pubs/rst89.pdf" TargetMode="External"/><Relationship Id="rId234" Type="http://schemas.openxmlformats.org/officeDocument/2006/relationships/hyperlink" Target="https://citeseerx.ist.psu.edu/viewdoc/summary?doi=10.1.1.138.4859" TargetMode="External"/><Relationship Id="rId233" Type="http://schemas.openxmlformats.org/officeDocument/2006/relationships/hyperlink" Target="http://faculty.washington.edu/aragon/pubs/rst89.pdf" TargetMode="External"/><Relationship Id="rId232" Type="http://schemas.openxmlformats.org/officeDocument/2006/relationships/hyperlink" Target="https://citeseerx.ist.psu.edu/viewdoc/summary?doi=10.1.1.138.4859" TargetMode="External"/><Relationship Id="rId206" Type="http://schemas.openxmlformats.org/officeDocument/2006/relationships/hyperlink" Target="https://mediatum.ub.tum.de/doc/1094228/file.pdf" TargetMode="External"/><Relationship Id="rId205" Type="http://schemas.openxmlformats.org/officeDocument/2006/relationships/hyperlink" Target="https://www.research-collection.ethz.ch/bitstream/handle/20.500.11850/69332/eth-4359-01.pdf" TargetMode="External"/><Relationship Id="rId204" Type="http://schemas.openxmlformats.org/officeDocument/2006/relationships/hyperlink" Target="https://www.sciencedirect.com/science/article/pii/S0022000096900586" TargetMode="External"/><Relationship Id="rId203" Type="http://schemas.openxmlformats.org/officeDocument/2006/relationships/hyperlink" Target="https://citeseerx.ist.psu.edu/viewdoc/download?doi=10.1.1.2.7270&amp;rep=rep1&amp;type=pdf" TargetMode="External"/><Relationship Id="rId209" Type="http://schemas.openxmlformats.org/officeDocument/2006/relationships/hyperlink" Target="https://www.sciencedirect.com/science/article/pii/0167642387900347" TargetMode="External"/><Relationship Id="rId208" Type="http://schemas.openxmlformats.org/officeDocument/2006/relationships/hyperlink" Target="https://dl.acm.org/doi/pdf/10.1145/1968.381154" TargetMode="External"/><Relationship Id="rId207" Type="http://schemas.openxmlformats.org/officeDocument/2006/relationships/hyperlink" Target="https://www.sciencedirect.com/science/article/abs/pii/016781919400063G" TargetMode="External"/><Relationship Id="rId202" Type="http://schemas.openxmlformats.org/officeDocument/2006/relationships/hyperlink" Target="https://dl.acm.org/doi/abs/10.1145/3363541" TargetMode="External"/><Relationship Id="rId201" Type="http://schemas.openxmlformats.org/officeDocument/2006/relationships/hyperlink" Target="https://link.springer.com/article/10.1007/s00453-015-0079-6" TargetMode="External"/><Relationship Id="rId200" Type="http://schemas.openxmlformats.org/officeDocument/2006/relationships/hyperlink" Target="https://ieeexplore.ieee.org/abstract/document/6979047"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www.sciencedirect.com/science/article/pii/0196677486900325" TargetMode="External"/><Relationship Id="rId3" Type="http://schemas.openxmlformats.org/officeDocument/2006/relationships/hyperlink" Target="https://ieeexplore.ieee.org/document/814612" TargetMode="External"/><Relationship Id="rId4" Type="http://schemas.openxmlformats.org/officeDocument/2006/relationships/hyperlink" Target="https://dl.acm.org/doi/10.5555/314613.314838" TargetMode="External"/><Relationship Id="rId9" Type="http://schemas.openxmlformats.org/officeDocument/2006/relationships/hyperlink" Target="https://eprints.bbk.ac.uk/id/eprint/443/1/Binder1.pdf" TargetMode="External"/><Relationship Id="rId5" Type="http://schemas.openxmlformats.org/officeDocument/2006/relationships/hyperlink" Target="https://www.sciencedirect.com/science/article/abs/pii/0020019088900658" TargetMode="External"/><Relationship Id="rId6" Type="http://schemas.openxmlformats.org/officeDocument/2006/relationships/hyperlink" Target="https://ieeexplore.ieee.org/document/4567800" TargetMode="External"/><Relationship Id="rId7" Type="http://schemas.openxmlformats.org/officeDocument/2006/relationships/hyperlink" Target="https://dl.acm.org/doi/10.1109/FOCS.2004.40" TargetMode="External"/><Relationship Id="rId8" Type="http://schemas.openxmlformats.org/officeDocument/2006/relationships/hyperlink" Target="https://ieeexplore.ieee.org/document/1094577/" TargetMode="External"/><Relationship Id="rId40" Type="http://schemas.openxmlformats.org/officeDocument/2006/relationships/hyperlink" Target="https://www.jstor.org/stable/j.ctt7s8xg" TargetMode="External"/><Relationship Id="rId42" Type="http://schemas.openxmlformats.org/officeDocument/2006/relationships/hyperlink" Target="https://doi.org/10.1109/TSMC.1983.6313167" TargetMode="External"/><Relationship Id="rId41" Type="http://schemas.openxmlformats.org/officeDocument/2006/relationships/hyperlink" Target="https://www.semanticscholar.org/paper/Constructing-Delaunay-triangulations-by-merging-in-Katajainen-Koppinen/b13059c096f37407ea680fec0e61e000f6407292" TargetMode="External"/><Relationship Id="rId44" Type="http://schemas.openxmlformats.org/officeDocument/2006/relationships/drawing" Target="../drawings/drawing15.xml"/><Relationship Id="rId43" Type="http://schemas.openxmlformats.org/officeDocument/2006/relationships/hyperlink" Target="http://citeseerx.ist.psu.edu/viewdoc/summary?doi=10.1.1.36.4204" TargetMode="External"/><Relationship Id="rId45" Type="http://schemas.openxmlformats.org/officeDocument/2006/relationships/vmlDrawing" Target="../drawings/vmlDrawing6.vml"/><Relationship Id="rId31" Type="http://schemas.openxmlformats.org/officeDocument/2006/relationships/hyperlink" Target="https://link.springer.com/chapter/10.1007/BFb0054337" TargetMode="External"/><Relationship Id="rId30" Type="http://schemas.openxmlformats.org/officeDocument/2006/relationships/hyperlink" Target="https://link.springer.com/chapter/10.1007%2F3-540-60044-2_53" TargetMode="External"/><Relationship Id="rId33" Type="http://schemas.openxmlformats.org/officeDocument/2006/relationships/hyperlink" Target="https://dl.acm.org/citation.cfm?id=545417" TargetMode="External"/><Relationship Id="rId32" Type="http://schemas.openxmlformats.org/officeDocument/2006/relationships/hyperlink" Target="https://citeseerx.ist.psu.edu/viewdoc/download?doi=10.1.1.585.7341&amp;rep=rep1&amp;type=pdf" TargetMode="External"/><Relationship Id="rId35" Type="http://schemas.openxmlformats.org/officeDocument/2006/relationships/hyperlink" Target="http://citeseerx.ist.psu.edu/viewdoc/download?doi=10.1.1.92.1635&amp;rep=rep1&amp;type=pdf" TargetMode="External"/><Relationship Id="rId34" Type="http://schemas.openxmlformats.org/officeDocument/2006/relationships/hyperlink" Target="https://doi.org/10.1109/3477.604100" TargetMode="External"/><Relationship Id="rId37" Type="http://schemas.openxmlformats.org/officeDocument/2006/relationships/hyperlink" Target="https://www.mathnet.ru/eng/zvmmf2544" TargetMode="External"/><Relationship Id="rId36" Type="http://schemas.openxmlformats.org/officeDocument/2006/relationships/hyperlink" Target="https://onlinelibrary.wiley.com/doi/10.1002/net.3230180309" TargetMode="External"/><Relationship Id="rId39" Type="http://schemas.openxmlformats.org/officeDocument/2006/relationships/hyperlink" Target="https://link.springer.com/content/pdf/10.1134/S0965542511050095.pdf" TargetMode="External"/><Relationship Id="rId38" Type="http://schemas.openxmlformats.org/officeDocument/2006/relationships/hyperlink" Target="http://www.mathnet.ru/php/archive.phtml?wshow=paper&amp;jrnid=zvmmf&amp;paperid=943&amp;option_lang=eng" TargetMode="External"/><Relationship Id="rId20" Type="http://schemas.openxmlformats.org/officeDocument/2006/relationships/hyperlink" Target="https://pubsonline.informs.org/doi/abs/10.1287/ijoc.3.4.376" TargetMode="External"/><Relationship Id="rId22" Type="http://schemas.openxmlformats.org/officeDocument/2006/relationships/hyperlink" Target="https://link.springer.com/article/10.1007/BF00536382" TargetMode="External"/><Relationship Id="rId21" Type="http://schemas.openxmlformats.org/officeDocument/2006/relationships/hyperlink" Target="https://dl.acm.org/doi/10.1145/509404.509414" TargetMode="External"/><Relationship Id="rId24" Type="http://schemas.openxmlformats.org/officeDocument/2006/relationships/hyperlink" Target="https://doi.org/10.1145%2F185675.306789" TargetMode="External"/><Relationship Id="rId23" Type="http://schemas.openxmlformats.org/officeDocument/2006/relationships/hyperlink" Target="https://link.springer.com/chapter/10.1007/978-1-4612-1784-8_28" TargetMode="External"/><Relationship Id="rId26" Type="http://schemas.openxmlformats.org/officeDocument/2006/relationships/hyperlink" Target="https://dl.acm.org/doi/10.1145/258533.258641" TargetMode="External"/><Relationship Id="rId25" Type="http://schemas.openxmlformats.org/officeDocument/2006/relationships/hyperlink" Target="https://courses.cs.duke.edu/spring07/cps296.2/papers/p634-feige.pdf" TargetMode="External"/><Relationship Id="rId28" Type="http://schemas.openxmlformats.org/officeDocument/2006/relationships/hyperlink" Target="https://pubsonline.informs.org/doi/epdf/10.1287/ijoc.2017.0798" TargetMode="External"/><Relationship Id="rId27" Type="http://schemas.openxmlformats.org/officeDocument/2006/relationships/hyperlink" Target="https://www.dsteurer.org/paper/productgames.pdf" TargetMode="External"/><Relationship Id="rId29" Type="http://schemas.openxmlformats.org/officeDocument/2006/relationships/hyperlink" Target="https://books.google.com/books/about/Topics_in_Graph_Theory.html?id=pSv3XotPCQgC" TargetMode="External"/><Relationship Id="rId11" Type="http://schemas.openxmlformats.org/officeDocument/2006/relationships/hyperlink" Target="https://dl.acm.org/doi/pdf/10.1145/1150334.1150336" TargetMode="External"/><Relationship Id="rId10" Type="http://schemas.openxmlformats.org/officeDocument/2006/relationships/hyperlink" Target="https://www.cs.utexas.edu/~lorenzo/corsi/cs380d/papers/p225-chandra.pdf" TargetMode="External"/><Relationship Id="rId13" Type="http://schemas.openxmlformats.org/officeDocument/2006/relationships/hyperlink" Target="http://citeseerx.ist.psu.edu/viewdoc/download?doi=10.1.1.86.5093&amp;rep=rep1&amp;type=pdf" TargetMode="External"/><Relationship Id="rId12" Type="http://schemas.openxmlformats.org/officeDocument/2006/relationships/hyperlink" Target="https://www.researchgate.net/publication/222408030_Traveling_Salesman_Should_not_be_Greedy_Domination_Analysis_of_Greedy-Type_Heuristics_for_the_TSP" TargetMode="External"/><Relationship Id="rId15" Type="http://schemas.openxmlformats.org/officeDocument/2006/relationships/hyperlink" Target="https://www.sciencedirect.com/science/article/pii/002001908490084X" TargetMode="External"/><Relationship Id="rId14" Type="http://schemas.openxmlformats.org/officeDocument/2006/relationships/hyperlink" Target="http://www.cs.tau.ac.il/~nogaa/PDFS/spectcolpr1.pdf" TargetMode="External"/><Relationship Id="rId17" Type="http://schemas.openxmlformats.org/officeDocument/2006/relationships/hyperlink" Target="https://epubs.siam.org/doi/10.1137/S0895479801390637" TargetMode="External"/><Relationship Id="rId16" Type="http://schemas.openxmlformats.org/officeDocument/2006/relationships/hyperlink" Target="https://dl.acm.org/citation.cfm?id=1117896" TargetMode="External"/><Relationship Id="rId19" Type="http://schemas.openxmlformats.org/officeDocument/2006/relationships/hyperlink" Target="https://dl.acm.org/doi/10.1145/779928.779933" TargetMode="External"/><Relationship Id="rId18" Type="http://schemas.openxmlformats.org/officeDocument/2006/relationships/hyperlink" Target="http://www.math.ust.hk/~mamu/courses/531/tutorial_with_corrections.pdf" TargetMode="External"/></Relationships>
</file>

<file path=xl/worksheets/_rels/sheet16.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arxiv.org/pdf/1502.01063.pdf" TargetMode="External"/><Relationship Id="rId3" Type="http://schemas.openxmlformats.org/officeDocument/2006/relationships/hyperlink" Target="https://arxiv.org/pdf/1502.01063.pdf" TargetMode="External"/><Relationship Id="rId4" Type="http://schemas.openxmlformats.org/officeDocument/2006/relationships/hyperlink" Target="https://arxiv.org/pdf/1502.01063.pdf" TargetMode="External"/><Relationship Id="rId9" Type="http://schemas.openxmlformats.org/officeDocument/2006/relationships/drawing" Target="../drawings/drawing16.xml"/><Relationship Id="rId5" Type="http://schemas.openxmlformats.org/officeDocument/2006/relationships/hyperlink" Target="https://arxiv.org/pdf/1502.01063.pdf" TargetMode="External"/><Relationship Id="rId6" Type="http://schemas.openxmlformats.org/officeDocument/2006/relationships/hyperlink" Target="https://arxiv.org/pdf/1502.01063.pdf" TargetMode="External"/><Relationship Id="rId7" Type="http://schemas.openxmlformats.org/officeDocument/2006/relationships/hyperlink" Target="https://people.csail.mit.edu/virgi/6.s078/lect2.pdf" TargetMode="External"/><Relationship Id="rId8" Type="http://schemas.openxmlformats.org/officeDocument/2006/relationships/hyperlink" Target="https://epubs.siam.org/doi/abs/10.1137/1.9781611975994.134" TargetMode="External"/><Relationship Id="rId10"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1" Type="http://schemas.openxmlformats.org/officeDocument/2006/relationships/hyperlink" Target="https://dl.acm.org/doi/pdf/10.1145/3186893" TargetMode="External"/><Relationship Id="rId2" Type="http://schemas.openxmlformats.org/officeDocument/2006/relationships/hyperlink" Target="https://dl.acm.org/doi/pdf/10.1145/3186893" TargetMode="External"/><Relationship Id="rId3" Type="http://schemas.openxmlformats.org/officeDocument/2006/relationships/hyperlink" Target="https://dl.acm.org/doi/pdf/10.1145/3186893" TargetMode="Externa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50" Type="http://schemas.openxmlformats.org/officeDocument/2006/relationships/hyperlink" Target="https://arxiv.org/pdf/1510.06452.pdf" TargetMode="External"/><Relationship Id="rId1" Type="http://schemas.openxmlformats.org/officeDocument/2006/relationships/comments" Target="../comments8.xml"/><Relationship Id="rId2" Type="http://schemas.openxmlformats.org/officeDocument/2006/relationships/hyperlink" Target="https://people.csail.mit.edu/virgi/diam.pdf" TargetMode="External"/><Relationship Id="rId3" Type="http://schemas.openxmlformats.org/officeDocument/2006/relationships/hyperlink" Target="https://dl.acm.org/doi/pdf/10.1145/3188745.3188950" TargetMode="External"/><Relationship Id="rId149" Type="http://schemas.openxmlformats.org/officeDocument/2006/relationships/hyperlink" Target="https://dl.acm.org/doi/pdf/10.1145/2933575.2935304" TargetMode="External"/><Relationship Id="rId4" Type="http://schemas.openxmlformats.org/officeDocument/2006/relationships/hyperlink" Target="https://arxiv.org/pdf/1412.0348.pdf" TargetMode="External"/><Relationship Id="rId148" Type="http://schemas.openxmlformats.org/officeDocument/2006/relationships/hyperlink" Target="https://dl.acm.org/doi/pdf/10.1145/2933575.2935304" TargetMode="External"/><Relationship Id="rId9" Type="http://schemas.openxmlformats.org/officeDocument/2006/relationships/hyperlink" Target="https://people.csail.mit.edu/virgi/6.s078/lecture6-post.txt" TargetMode="External"/><Relationship Id="rId143" Type="http://schemas.openxmlformats.org/officeDocument/2006/relationships/hyperlink" Target="https://dl.acm.org/doi/pdf/10.1145/3093239" TargetMode="External"/><Relationship Id="rId142" Type="http://schemas.openxmlformats.org/officeDocument/2006/relationships/hyperlink" Target="https://dl.acm.org/doi/pdf/10.1145/3093239" TargetMode="External"/><Relationship Id="rId141" Type="http://schemas.openxmlformats.org/officeDocument/2006/relationships/hyperlink" Target="https://dl.acm.org/doi/full/10.1145/3450524" TargetMode="External"/><Relationship Id="rId140" Type="http://schemas.openxmlformats.org/officeDocument/2006/relationships/hyperlink" Target="https://ieeexplore.ieee.org/abstract/document/8104058" TargetMode="External"/><Relationship Id="rId5" Type="http://schemas.openxmlformats.org/officeDocument/2006/relationships/hyperlink" Target="https://people.mpi-inf.mpg.de/~kbringma/paper/2014FOCS.pdf" TargetMode="External"/><Relationship Id="rId147" Type="http://schemas.openxmlformats.org/officeDocument/2006/relationships/hyperlink" Target="https://dl.acm.org/doi/pdf/10.1145/2933575.2935304" TargetMode="External"/><Relationship Id="rId6" Type="http://schemas.openxmlformats.org/officeDocument/2006/relationships/hyperlink" Target="https://arxiv.org/pdf/1502.01063.pdf" TargetMode="External"/><Relationship Id="rId146" Type="http://schemas.openxmlformats.org/officeDocument/2006/relationships/hyperlink" Target="https://dl.acm.org/doi/pdf/10.1145/2933575.2935304" TargetMode="External"/><Relationship Id="rId7" Type="http://schemas.openxmlformats.org/officeDocument/2006/relationships/hyperlink" Target="https://arxiv.org/pdf/1502.01063.pdf" TargetMode="External"/><Relationship Id="rId145" Type="http://schemas.openxmlformats.org/officeDocument/2006/relationships/hyperlink" Target="https://arxiv.org/pdf/1607.05850.pdf" TargetMode="External"/><Relationship Id="rId8" Type="http://schemas.openxmlformats.org/officeDocument/2006/relationships/hyperlink" Target="https://people.csail.mit.edu/virgi/6.s078/lecture6-post.txt" TargetMode="External"/><Relationship Id="rId144" Type="http://schemas.openxmlformats.org/officeDocument/2006/relationships/hyperlink" Target="https://arxiv.org/pdf/1607.05850.pdf" TargetMode="External"/><Relationship Id="rId139" Type="http://schemas.openxmlformats.org/officeDocument/2006/relationships/hyperlink" Target="https://ieeexplore.ieee.org/abstract/document/8104058" TargetMode="External"/><Relationship Id="rId138" Type="http://schemas.openxmlformats.org/officeDocument/2006/relationships/hyperlink" Target="https://ieeexplore.ieee.org/abstract/document/8104058" TargetMode="External"/><Relationship Id="rId137" Type="http://schemas.openxmlformats.org/officeDocument/2006/relationships/hyperlink" Target="https://ieeexplore.ieee.org/abstract/document/8104058" TargetMode="External"/><Relationship Id="rId132" Type="http://schemas.openxmlformats.org/officeDocument/2006/relationships/hyperlink" Target="https://arxiv.org/pdf/1703.01638.pdf" TargetMode="External"/><Relationship Id="rId131" Type="http://schemas.openxmlformats.org/officeDocument/2006/relationships/hyperlink" Target="https://arxiv.org/pdf/1703.01638.pdf" TargetMode="External"/><Relationship Id="rId130" Type="http://schemas.openxmlformats.org/officeDocument/2006/relationships/hyperlink" Target="https://arxiv.org/pdf/1703.01638.pdf" TargetMode="External"/><Relationship Id="rId136" Type="http://schemas.openxmlformats.org/officeDocument/2006/relationships/hyperlink" Target="https://ieeexplore.ieee.org/abstract/document/7354392" TargetMode="External"/><Relationship Id="rId135" Type="http://schemas.openxmlformats.org/officeDocument/2006/relationships/hyperlink" Target="https://arxiv.org/pdf/1703.01638.pdf" TargetMode="External"/><Relationship Id="rId134" Type="http://schemas.openxmlformats.org/officeDocument/2006/relationships/hyperlink" Target="https://arxiv.org/pdf/1703.01638.pdf" TargetMode="External"/><Relationship Id="rId133" Type="http://schemas.openxmlformats.org/officeDocument/2006/relationships/hyperlink" Target="https://arxiv.org/pdf/1703.01638.pdf" TargetMode="External"/><Relationship Id="rId163" Type="http://schemas.openxmlformats.org/officeDocument/2006/relationships/vmlDrawing" Target="../drawings/vmlDrawing8.vml"/><Relationship Id="rId162" Type="http://schemas.openxmlformats.org/officeDocument/2006/relationships/drawing" Target="../drawings/drawing18.xml"/><Relationship Id="rId161" Type="http://schemas.openxmlformats.org/officeDocument/2006/relationships/hyperlink" Target="https://arxiv.org/pdf/1602.05837.pdf" TargetMode="External"/><Relationship Id="rId160" Type="http://schemas.openxmlformats.org/officeDocument/2006/relationships/hyperlink" Target="https://arxiv.org/pdf/1602.05837.pdf" TargetMode="External"/><Relationship Id="rId159" Type="http://schemas.openxmlformats.org/officeDocument/2006/relationships/hyperlink" Target="https://arxiv.org/pdf/1602.05837.pdf" TargetMode="External"/><Relationship Id="rId154" Type="http://schemas.openxmlformats.org/officeDocument/2006/relationships/hyperlink" Target="https://arxiv.org/pdf/1510.06452.pdf" TargetMode="External"/><Relationship Id="rId153" Type="http://schemas.openxmlformats.org/officeDocument/2006/relationships/hyperlink" Target="https://arxiv.org/pdf/1510.06452.pdf" TargetMode="External"/><Relationship Id="rId152" Type="http://schemas.openxmlformats.org/officeDocument/2006/relationships/hyperlink" Target="https://arxiv.org/pdf/1510.06452.pdf" TargetMode="External"/><Relationship Id="rId151" Type="http://schemas.openxmlformats.org/officeDocument/2006/relationships/hyperlink" Target="https://arxiv.org/pdf/1510.06452.pdf" TargetMode="External"/><Relationship Id="rId158" Type="http://schemas.openxmlformats.org/officeDocument/2006/relationships/hyperlink" Target="https://arxiv.org/pdf/1602.05837.pdf" TargetMode="External"/><Relationship Id="rId157" Type="http://schemas.openxmlformats.org/officeDocument/2006/relationships/hyperlink" Target="https://arxiv.org/pdf/1602.05837.pdf" TargetMode="External"/><Relationship Id="rId156" Type="http://schemas.openxmlformats.org/officeDocument/2006/relationships/hyperlink" Target="https://arxiv.org/pdf/1602.05837.pdf" TargetMode="External"/><Relationship Id="rId155" Type="http://schemas.openxmlformats.org/officeDocument/2006/relationships/hyperlink" Target="https://proceedings.neurips.cc/paper/2017/file/635440afdfc39fe37995fed127d7df4f-Paper.pdf" TargetMode="External"/><Relationship Id="rId40" Type="http://schemas.openxmlformats.org/officeDocument/2006/relationships/hyperlink" Target="https://dl.acm.org/doi/pdf/10.1145/3186893" TargetMode="External"/><Relationship Id="rId42" Type="http://schemas.openxmlformats.org/officeDocument/2006/relationships/hyperlink" Target="https://dl.acm.org/doi/pdf/10.1145/3186893" TargetMode="External"/><Relationship Id="rId41" Type="http://schemas.openxmlformats.org/officeDocument/2006/relationships/hyperlink" Target="https://dl.acm.org/doi/pdf/10.1145/3186893" TargetMode="External"/><Relationship Id="rId44" Type="http://schemas.openxmlformats.org/officeDocument/2006/relationships/hyperlink" Target="https://dl.acm.org/doi/pdf/10.1145/3186893" TargetMode="External"/><Relationship Id="rId43" Type="http://schemas.openxmlformats.org/officeDocument/2006/relationships/hyperlink" Target="https://dl.acm.org/doi/pdf/10.1145/3186893" TargetMode="External"/><Relationship Id="rId46" Type="http://schemas.openxmlformats.org/officeDocument/2006/relationships/hyperlink" Target="https://dl.acm.org/doi/pdf/10.1145/3186893" TargetMode="External"/><Relationship Id="rId45" Type="http://schemas.openxmlformats.org/officeDocument/2006/relationships/hyperlink" Target="https://dl.acm.org/doi/abs/10.5555/314613.314823" TargetMode="External"/><Relationship Id="rId48" Type="http://schemas.openxmlformats.org/officeDocument/2006/relationships/hyperlink" Target="https://dl.acm.org/doi/pdf/10.1145/3186893" TargetMode="External"/><Relationship Id="rId47" Type="http://schemas.openxmlformats.org/officeDocument/2006/relationships/hyperlink" Target="https://dl.acm.org/doi/pdf/10.1145/3186893" TargetMode="External"/><Relationship Id="rId49" Type="http://schemas.openxmlformats.org/officeDocument/2006/relationships/hyperlink" Target="https://dl.acm.org/doi/pdf/10.1145/3186893" TargetMode="External"/><Relationship Id="rId31" Type="http://schemas.openxmlformats.org/officeDocument/2006/relationships/hyperlink" Target="https://doi.org/10.1016/S0925-7721(02)00156-6" TargetMode="External"/><Relationship Id="rId30" Type="http://schemas.openxmlformats.org/officeDocument/2006/relationships/hyperlink" Target="https://doi.org/10.1016/0925-7721(95)00022-2" TargetMode="External"/><Relationship Id="rId33" Type="http://schemas.openxmlformats.org/officeDocument/2006/relationships/hyperlink" Target="https://link.springer.com/chapter/10.1007/978-3-662-43948-7_4" TargetMode="External"/><Relationship Id="rId32" Type="http://schemas.openxmlformats.org/officeDocument/2006/relationships/hyperlink" Target="https://link.springer.com/chapter/10.1007/978-3-662-43948-7_4" TargetMode="External"/><Relationship Id="rId35" Type="http://schemas.openxmlformats.org/officeDocument/2006/relationships/hyperlink" Target="https://link.springer.com/chapter/10.1007/978-3-662-43948-7_4" TargetMode="External"/><Relationship Id="rId34" Type="http://schemas.openxmlformats.org/officeDocument/2006/relationships/hyperlink" Target="https://link.springer.com/chapter/10.1007/978-3-662-43948-7_4" TargetMode="External"/><Relationship Id="rId37" Type="http://schemas.openxmlformats.org/officeDocument/2006/relationships/hyperlink" Target="https://www.sciencedirect.com/science/article/pii/S0022000075800468" TargetMode="External"/><Relationship Id="rId36" Type="http://schemas.openxmlformats.org/officeDocument/2006/relationships/hyperlink" Target="https://dl.acm.org/doi/pdf/10.1145/3186893" TargetMode="External"/><Relationship Id="rId39" Type="http://schemas.openxmlformats.org/officeDocument/2006/relationships/hyperlink" Target="https://dl.acm.org/doi/pdf/10.1145/3186893" TargetMode="External"/><Relationship Id="rId38" Type="http://schemas.openxmlformats.org/officeDocument/2006/relationships/hyperlink" Target="https://arxiv.org/abs/cs/0112018" TargetMode="External"/><Relationship Id="rId20" Type="http://schemas.openxmlformats.org/officeDocument/2006/relationships/hyperlink" Target="https://doi.org/10.1016/0925-7721(95)00022-2" TargetMode="External"/><Relationship Id="rId22" Type="http://schemas.openxmlformats.org/officeDocument/2006/relationships/hyperlink" Target="https://doi.org/10.1016/0925-7721(95)00022-2" TargetMode="External"/><Relationship Id="rId21" Type="http://schemas.openxmlformats.org/officeDocument/2006/relationships/hyperlink" Target="https://doi.org/10.1016/0925-7721(95)00022-2" TargetMode="External"/><Relationship Id="rId24" Type="http://schemas.openxmlformats.org/officeDocument/2006/relationships/hyperlink" Target="https://doi.org/10.1016/0925-7721(95)00022-2" TargetMode="External"/><Relationship Id="rId23" Type="http://schemas.openxmlformats.org/officeDocument/2006/relationships/hyperlink" Target="https://doi.org/10.1016/0925-7721(95)00022-2" TargetMode="External"/><Relationship Id="rId26" Type="http://schemas.openxmlformats.org/officeDocument/2006/relationships/hyperlink" Target="https://doi.org/10.1016/0925-7721(95)00022-2" TargetMode="External"/><Relationship Id="rId25" Type="http://schemas.openxmlformats.org/officeDocument/2006/relationships/hyperlink" Target="https://doi.org/10.1016/0925-7721(95)00022-2" TargetMode="External"/><Relationship Id="rId28" Type="http://schemas.openxmlformats.org/officeDocument/2006/relationships/hyperlink" Target="https://doi.org/10.1016/0925-7721(95)00022-2" TargetMode="External"/><Relationship Id="rId27" Type="http://schemas.openxmlformats.org/officeDocument/2006/relationships/hyperlink" Target="https://doi.org/10.1016/0925-7721(95)00022-2" TargetMode="External"/><Relationship Id="rId29" Type="http://schemas.openxmlformats.org/officeDocument/2006/relationships/hyperlink" Target="https://doi.org/10.1016/0925-7721(95)00022-2" TargetMode="External"/><Relationship Id="rId11" Type="http://schemas.openxmlformats.org/officeDocument/2006/relationships/hyperlink" Target="https://doi.org/10.1016/0925-7721(95)00022-2" TargetMode="External"/><Relationship Id="rId10" Type="http://schemas.openxmlformats.org/officeDocument/2006/relationships/hyperlink" Target="https://doi.org/10.1016/0925-7721(95)00022-2" TargetMode="External"/><Relationship Id="rId13" Type="http://schemas.openxmlformats.org/officeDocument/2006/relationships/hyperlink" Target="https://doi.org/10.1016/0925-7721(95)00022-2" TargetMode="External"/><Relationship Id="rId12" Type="http://schemas.openxmlformats.org/officeDocument/2006/relationships/hyperlink" Target="https://doi.org/10.1016/0925-7721(95)00022-2" TargetMode="External"/><Relationship Id="rId15" Type="http://schemas.openxmlformats.org/officeDocument/2006/relationships/hyperlink" Target="https://doi.org/10.1016/0925-7721(95)00022-2" TargetMode="External"/><Relationship Id="rId14" Type="http://schemas.openxmlformats.org/officeDocument/2006/relationships/hyperlink" Target="https://doi.org/10.1016/0925-7721(95)00022-2" TargetMode="External"/><Relationship Id="rId17" Type="http://schemas.openxmlformats.org/officeDocument/2006/relationships/hyperlink" Target="https://doi.org/10.1016/0925-7721(95)00022-2" TargetMode="External"/><Relationship Id="rId16" Type="http://schemas.openxmlformats.org/officeDocument/2006/relationships/hyperlink" Target="https://doi.org/10.1016/0925-7721(95)00022-2" TargetMode="External"/><Relationship Id="rId19" Type="http://schemas.openxmlformats.org/officeDocument/2006/relationships/hyperlink" Target="https://doi.org/10.1016/0925-7721(95)00022-2" TargetMode="External"/><Relationship Id="rId18" Type="http://schemas.openxmlformats.org/officeDocument/2006/relationships/hyperlink" Target="https://doi.org/10.1016/0925-7721(95)00022-2" TargetMode="External"/><Relationship Id="rId84" Type="http://schemas.openxmlformats.org/officeDocument/2006/relationships/hyperlink" Target="https://epubs.siam.org/doi/10.1137/1.9781611973730.112" TargetMode="External"/><Relationship Id="rId83" Type="http://schemas.openxmlformats.org/officeDocument/2006/relationships/hyperlink" Target="https://epubs.siam.org/doi/10.1137/1.9781611973730.112" TargetMode="External"/><Relationship Id="rId86" Type="http://schemas.openxmlformats.org/officeDocument/2006/relationships/hyperlink" Target="https://epubs.siam.org/doi/10.1137/1.9781611973730.112" TargetMode="External"/><Relationship Id="rId85" Type="http://schemas.openxmlformats.org/officeDocument/2006/relationships/hyperlink" Target="https://epubs.siam.org/doi/10.1137/1.9781611973730.112" TargetMode="External"/><Relationship Id="rId88" Type="http://schemas.openxmlformats.org/officeDocument/2006/relationships/hyperlink" Target="https://epubs.siam.org/doi/10.1137/1.9781611973730.112" TargetMode="External"/><Relationship Id="rId87" Type="http://schemas.openxmlformats.org/officeDocument/2006/relationships/hyperlink" Target="https://epubs.siam.org/doi/10.1137/1.9781611973730.112" TargetMode="External"/><Relationship Id="rId89" Type="http://schemas.openxmlformats.org/officeDocument/2006/relationships/hyperlink" Target="https://epubs.siam.org/doi/10.1137/1.9781611973730.112" TargetMode="External"/><Relationship Id="rId80" Type="http://schemas.openxmlformats.org/officeDocument/2006/relationships/hyperlink" Target="https://epubs.siam.org/doi/10.1137/1.9781611973730.112" TargetMode="External"/><Relationship Id="rId82" Type="http://schemas.openxmlformats.org/officeDocument/2006/relationships/hyperlink" Target="https://epubs.siam.org/doi/10.1137/1.9781611973730.112" TargetMode="External"/><Relationship Id="rId81" Type="http://schemas.openxmlformats.org/officeDocument/2006/relationships/hyperlink" Target="https://epubs.siam.org/doi/10.1137/1.9781611973730.112" TargetMode="External"/><Relationship Id="rId73" Type="http://schemas.openxmlformats.org/officeDocument/2006/relationships/hyperlink" Target="https://people.csail.mit.edu/virgi/diam.pdf" TargetMode="External"/><Relationship Id="rId72" Type="http://schemas.openxmlformats.org/officeDocument/2006/relationships/hyperlink" Target="https://epubs.siam.org/doi/10.1137/1.9781611973730.112" TargetMode="External"/><Relationship Id="rId75" Type="http://schemas.openxmlformats.org/officeDocument/2006/relationships/hyperlink" Target="https://epubs.siam.org/doi/10.1137/1.9781611973730.112" TargetMode="External"/><Relationship Id="rId74" Type="http://schemas.openxmlformats.org/officeDocument/2006/relationships/hyperlink" Target="https://epubs.siam.org/doi/10.1137/1.9781611973730.112" TargetMode="External"/><Relationship Id="rId77" Type="http://schemas.openxmlformats.org/officeDocument/2006/relationships/hyperlink" Target="https://epubs.siam.org/doi/10.1137/1.9781611973730.112" TargetMode="External"/><Relationship Id="rId76" Type="http://schemas.openxmlformats.org/officeDocument/2006/relationships/hyperlink" Target="https://epubs.siam.org/doi/10.1137/1.9781611973730.112" TargetMode="External"/><Relationship Id="rId79" Type="http://schemas.openxmlformats.org/officeDocument/2006/relationships/hyperlink" Target="https://epubs.siam.org/doi/10.1137/1.9781611973730.112" TargetMode="External"/><Relationship Id="rId78" Type="http://schemas.openxmlformats.org/officeDocument/2006/relationships/hyperlink" Target="https://epubs.siam.org/doi/10.1137/1.9781611973730.112" TargetMode="External"/><Relationship Id="rId71" Type="http://schemas.openxmlformats.org/officeDocument/2006/relationships/hyperlink" Target="https://epubs.siam.org/doi/10.1137/1.9781611973730.112" TargetMode="External"/><Relationship Id="rId70" Type="http://schemas.openxmlformats.org/officeDocument/2006/relationships/hyperlink" Target="https://epubs.siam.org/doi/10.1137/1.9781611973730.112" TargetMode="External"/><Relationship Id="rId62" Type="http://schemas.openxmlformats.org/officeDocument/2006/relationships/hyperlink" Target="https://dl.acm.org/doi/pdf/10.1145/3186893" TargetMode="External"/><Relationship Id="rId61" Type="http://schemas.openxmlformats.org/officeDocument/2006/relationships/hyperlink" Target="https://dl.acm.org/doi/pdf/10.1145/3186893" TargetMode="External"/><Relationship Id="rId64" Type="http://schemas.openxmlformats.org/officeDocument/2006/relationships/hyperlink" Target="https://dl.acm.org/doi/pdf/10.1145/3186893" TargetMode="External"/><Relationship Id="rId63" Type="http://schemas.openxmlformats.org/officeDocument/2006/relationships/hyperlink" Target="https://dl.acm.org/doi/pdf/10.1145/3186893" TargetMode="External"/><Relationship Id="rId66" Type="http://schemas.openxmlformats.org/officeDocument/2006/relationships/hyperlink" Target="https://epubs.siam.org/doi/10.1137/1.9781611973730.112" TargetMode="External"/><Relationship Id="rId65" Type="http://schemas.openxmlformats.org/officeDocument/2006/relationships/hyperlink" Target="https://dl.acm.org/doi/pdf/10.1145/3186893" TargetMode="External"/><Relationship Id="rId68" Type="http://schemas.openxmlformats.org/officeDocument/2006/relationships/hyperlink" Target="https://epubs.siam.org/doi/10.1137/1.9781611973730.112" TargetMode="External"/><Relationship Id="rId67" Type="http://schemas.openxmlformats.org/officeDocument/2006/relationships/hyperlink" Target="https://epubs.siam.org/doi/10.1137/1.9781611973730.112" TargetMode="External"/><Relationship Id="rId60" Type="http://schemas.openxmlformats.org/officeDocument/2006/relationships/hyperlink" Target="https://dl.acm.org/doi/pdf/10.1145/3186893" TargetMode="External"/><Relationship Id="rId69" Type="http://schemas.openxmlformats.org/officeDocument/2006/relationships/hyperlink" Target="https://epubs.siam.org/doi/10.1137/1.9781611973730.112" TargetMode="External"/><Relationship Id="rId51" Type="http://schemas.openxmlformats.org/officeDocument/2006/relationships/hyperlink" Target="https://dl.acm.org/doi/pdf/10.1145/3186893" TargetMode="External"/><Relationship Id="rId50" Type="http://schemas.openxmlformats.org/officeDocument/2006/relationships/hyperlink" Target="https://dl.acm.org/doi/pdf/10.1145/3186893" TargetMode="External"/><Relationship Id="rId53" Type="http://schemas.openxmlformats.org/officeDocument/2006/relationships/hyperlink" Target="https://dl.acm.org/doi/pdf/10.1145/3186893" TargetMode="External"/><Relationship Id="rId52" Type="http://schemas.openxmlformats.org/officeDocument/2006/relationships/hyperlink" Target="https://dl.acm.org/doi/pdf/10.1145/3186893" TargetMode="External"/><Relationship Id="rId55" Type="http://schemas.openxmlformats.org/officeDocument/2006/relationships/hyperlink" Target="https://dl.acm.org/doi/abs/10.5555/314613.314823" TargetMode="External"/><Relationship Id="rId54" Type="http://schemas.openxmlformats.org/officeDocument/2006/relationships/hyperlink" Target="https://dl.acm.org/doi/pdf/10.1145/3186893" TargetMode="External"/><Relationship Id="rId57" Type="http://schemas.openxmlformats.org/officeDocument/2006/relationships/hyperlink" Target="https://dl.acm.org/doi/pdf/10.1145/3186893" TargetMode="External"/><Relationship Id="rId56" Type="http://schemas.openxmlformats.org/officeDocument/2006/relationships/hyperlink" Target="https://dl.acm.org/doi/pdf/10.1145/3186893" TargetMode="External"/><Relationship Id="rId59" Type="http://schemas.openxmlformats.org/officeDocument/2006/relationships/hyperlink" Target="https://dl.acm.org/doi/pdf/10.1145/3186893" TargetMode="External"/><Relationship Id="rId58" Type="http://schemas.openxmlformats.org/officeDocument/2006/relationships/hyperlink" Target="https://dl.acm.org/doi/pdf/10.1145/3186893" TargetMode="External"/><Relationship Id="rId107" Type="http://schemas.openxmlformats.org/officeDocument/2006/relationships/hyperlink" Target="https://ieeexplore.ieee.org/abstract/document/6979028?casa_token=daaoBjrHUa4AAAAA:DCjk_WMWZ5Is6KvGpmS8a2bL9LskvV0P1zEG4U2u-Tm_C8sixu1w65OpTyjml1HEpaikXhtYsg" TargetMode="External"/><Relationship Id="rId106" Type="http://schemas.openxmlformats.org/officeDocument/2006/relationships/hyperlink" Target="https://ieeexplore.ieee.org/abstract/document/6979028?casa_token=daaoBjrHUa4AAAAA:DCjk_WMWZ5Is6KvGpmS8a2bL9LskvV0P1zEG4U2u-Tm_C8sixu1w65OpTyjml1HEpaikXhtYsg" TargetMode="External"/><Relationship Id="rId105" Type="http://schemas.openxmlformats.org/officeDocument/2006/relationships/hyperlink" Target="https://ieeexplore.ieee.org/abstract/document/6979028?casa_token=daaoBjrHUa4AAAAA:DCjk_WMWZ5Is6KvGpmS8a2bL9LskvV0P1zEG4U2u-Tm_C8sixu1w65OpTyjml1HEpaikXhtYsg" TargetMode="External"/><Relationship Id="rId104" Type="http://schemas.openxmlformats.org/officeDocument/2006/relationships/hyperlink" Target="https://ieeexplore.ieee.org/abstract/document/6979028?casa_token=daaoBjrHUa4AAAAA:DCjk_WMWZ5Is6KvGpmS8a2bL9LskvV0P1zEG4U2u-Tm_C8sixu1w65OpTyjml1HEpaikXhtYsg" TargetMode="External"/><Relationship Id="rId109" Type="http://schemas.openxmlformats.org/officeDocument/2006/relationships/hyperlink" Target="https://ieeexplore.ieee.org/abstract/document/6979028?casa_token=daaoBjrHUa4AAAAA:DCjk_WMWZ5Is6KvGpmS8a2bL9LskvV0P1zEG4U2u-Tm_C8sixu1w65OpTyjml1HEpaikXhtYsg" TargetMode="External"/><Relationship Id="rId108" Type="http://schemas.openxmlformats.org/officeDocument/2006/relationships/hyperlink" Target="https://ieeexplore.ieee.org/abstract/document/6979028?casa_token=daaoBjrHUa4AAAAA:DCjk_WMWZ5Is6KvGpmS8a2bL9LskvV0P1zEG4U2u-Tm_C8sixu1w65OpTyjml1HEpaikXhtYsg" TargetMode="External"/><Relationship Id="rId103" Type="http://schemas.openxmlformats.org/officeDocument/2006/relationships/hyperlink" Target="https://ieeexplore.ieee.org/abstract/document/6979028?casa_token=daaoBjrHUa4AAAAA:DCjk_WMWZ5Is6KvGpmS8a2bL9LskvV0P1zEG4U2u-Tm_C8sixu1w65OpTyjml1HEpaikXhtYsg" TargetMode="External"/><Relationship Id="rId102" Type="http://schemas.openxmlformats.org/officeDocument/2006/relationships/hyperlink" Target="https://ieeexplore.ieee.org/abstract/document/6979028?casa_token=daaoBjrHUa4AAAAA:DCjk_WMWZ5Is6KvGpmS8a2bL9LskvV0P1zEG4U2u-Tm_C8sixu1w65OpTyjml1HEpaikXhtYsg" TargetMode="External"/><Relationship Id="rId101" Type="http://schemas.openxmlformats.org/officeDocument/2006/relationships/hyperlink" Target="https://ieeexplore.ieee.org/abstract/document/6979028?casa_token=daaoBjrHUa4AAAAA:DCjk_WMWZ5Is6KvGpmS8a2bL9LskvV0P1zEG4U2u-Tm_C8sixu1w65OpTyjml1HEpaikXhtYsg" TargetMode="External"/><Relationship Id="rId100" Type="http://schemas.openxmlformats.org/officeDocument/2006/relationships/hyperlink" Target="https://ieeexplore.ieee.org/abstract/document/6979028?casa_token=daaoBjrHUa4AAAAA:DCjk_WMWZ5Is6KvGpmS8a2bL9LskvV0P1zEG4U2u-Tm_C8sixu1w65OpTyjml1HEpaikXhtYsg" TargetMode="External"/><Relationship Id="rId129" Type="http://schemas.openxmlformats.org/officeDocument/2006/relationships/hyperlink" Target="https://arxiv.org/pdf/1703.01638.pdf" TargetMode="External"/><Relationship Id="rId128" Type="http://schemas.openxmlformats.org/officeDocument/2006/relationships/hyperlink" Target="https://arxiv.org/pdf/1703.01638.pdf" TargetMode="External"/><Relationship Id="rId127" Type="http://schemas.openxmlformats.org/officeDocument/2006/relationships/hyperlink" Target="https://arxiv.org/pdf/1703.01638.pdf" TargetMode="External"/><Relationship Id="rId126" Type="http://schemas.openxmlformats.org/officeDocument/2006/relationships/hyperlink" Target="https://arxiv.org/pdf/1703.01638.pdf" TargetMode="External"/><Relationship Id="rId121" Type="http://schemas.openxmlformats.org/officeDocument/2006/relationships/hyperlink" Target="https://arxiv.org/pdf/1703.01638.pdf" TargetMode="External"/><Relationship Id="rId120" Type="http://schemas.openxmlformats.org/officeDocument/2006/relationships/hyperlink" Target="https://arxiv.org/abs/1602.06705" TargetMode="External"/><Relationship Id="rId125" Type="http://schemas.openxmlformats.org/officeDocument/2006/relationships/hyperlink" Target="https://arxiv.org/pdf/1703.01638.pdf" TargetMode="External"/><Relationship Id="rId124" Type="http://schemas.openxmlformats.org/officeDocument/2006/relationships/hyperlink" Target="https://arxiv.org/pdf/1703.01638.pdf" TargetMode="External"/><Relationship Id="rId123" Type="http://schemas.openxmlformats.org/officeDocument/2006/relationships/hyperlink" Target="https://arxiv.org/pdf/1703.01638.pdf" TargetMode="External"/><Relationship Id="rId122" Type="http://schemas.openxmlformats.org/officeDocument/2006/relationships/hyperlink" Target="https://arxiv.org/pdf/1703.01638.pdf" TargetMode="External"/><Relationship Id="rId95" Type="http://schemas.openxmlformats.org/officeDocument/2006/relationships/hyperlink" Target="https://epubs.siam.org/doi/10.1137/1.9781611973730.112" TargetMode="External"/><Relationship Id="rId94" Type="http://schemas.openxmlformats.org/officeDocument/2006/relationships/hyperlink" Target="https://epubs.siam.org/doi/10.1137/1.9781611973730.112" TargetMode="External"/><Relationship Id="rId97" Type="http://schemas.openxmlformats.org/officeDocument/2006/relationships/hyperlink" Target="https://arxiv.org/pdf/1712.08147v2.pdf" TargetMode="External"/><Relationship Id="rId96" Type="http://schemas.openxmlformats.org/officeDocument/2006/relationships/hyperlink" Target="https://epubs.siam.org/doi/10.1137/1.9781611973730.112" TargetMode="External"/><Relationship Id="rId99" Type="http://schemas.openxmlformats.org/officeDocument/2006/relationships/hyperlink" Target="https://ieeexplore.ieee.org/abstract/document/6979028?casa_token=daaoBjrHUa4AAAAA:DCjk_WMWZ5Is6KvGpmS8a2bL9LskvV0P1zEG4U2u-Tm_C8sixu1w65OpTyjml1HEpaikXhtYsg" TargetMode="External"/><Relationship Id="rId98" Type="http://schemas.openxmlformats.org/officeDocument/2006/relationships/hyperlink" Target="https://arxiv.org/pdf/1712.08147v2.pdf" TargetMode="External"/><Relationship Id="rId91" Type="http://schemas.openxmlformats.org/officeDocument/2006/relationships/hyperlink" Target="https://epubs.siam.org/doi/10.1137/1.9781611973730.112" TargetMode="External"/><Relationship Id="rId90" Type="http://schemas.openxmlformats.org/officeDocument/2006/relationships/hyperlink" Target="https://epubs.siam.org/doi/10.1137/1.9781611973730.112" TargetMode="External"/><Relationship Id="rId93" Type="http://schemas.openxmlformats.org/officeDocument/2006/relationships/hyperlink" Target="https://epubs.siam.org/doi/10.1137/1.9781611973730.112" TargetMode="External"/><Relationship Id="rId92" Type="http://schemas.openxmlformats.org/officeDocument/2006/relationships/hyperlink" Target="https://epubs.siam.org/doi/10.1137/1.9781611973730.112" TargetMode="External"/><Relationship Id="rId118" Type="http://schemas.openxmlformats.org/officeDocument/2006/relationships/hyperlink" Target="https://arxiv.org/abs/1602.06705" TargetMode="External"/><Relationship Id="rId117" Type="http://schemas.openxmlformats.org/officeDocument/2006/relationships/hyperlink" Target="https://arxiv.org/abs/1602.06705" TargetMode="External"/><Relationship Id="rId116" Type="http://schemas.openxmlformats.org/officeDocument/2006/relationships/hyperlink" Target="https://arxiv.org/abs/1602.06705" TargetMode="External"/><Relationship Id="rId115" Type="http://schemas.openxmlformats.org/officeDocument/2006/relationships/hyperlink" Target="https://arxiv.org/abs/1602.06705" TargetMode="External"/><Relationship Id="rId119" Type="http://schemas.openxmlformats.org/officeDocument/2006/relationships/hyperlink" Target="https://arxiv.org/abs/1602.06705" TargetMode="External"/><Relationship Id="rId110" Type="http://schemas.openxmlformats.org/officeDocument/2006/relationships/hyperlink" Target="https://dl.acm.org/doi/abs/10.1145/3212510" TargetMode="External"/><Relationship Id="rId114" Type="http://schemas.openxmlformats.org/officeDocument/2006/relationships/hyperlink" Target="https://dl.acm.org/doi/abs/10.1145/3212510" TargetMode="External"/><Relationship Id="rId113" Type="http://schemas.openxmlformats.org/officeDocument/2006/relationships/hyperlink" Target="https://dl.acm.org/doi/abs/10.1145/3212510" TargetMode="External"/><Relationship Id="rId112" Type="http://schemas.openxmlformats.org/officeDocument/2006/relationships/hyperlink" Target="https://dl.acm.org/doi/abs/10.1145/3212510" TargetMode="External"/><Relationship Id="rId111" Type="http://schemas.openxmlformats.org/officeDocument/2006/relationships/hyperlink" Target="https://dl.acm.org/doi/abs/10.1145/3212510" TargetMode="External"/></Relationships>
</file>

<file path=xl/worksheets/_rels/sheet1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dl.acm.org/doi/10.1145/2591796.2591811" TargetMode="External"/><Relationship Id="rId3" Type="http://schemas.openxmlformats.org/officeDocument/2006/relationships/hyperlink" Target="http://people.csail.mit.edu/virgi/eccentri.pdf" TargetMode="External"/><Relationship Id="rId4" Type="http://schemas.openxmlformats.org/officeDocument/2006/relationships/hyperlink" Target="https://dl.acm.org/doi/10.1145/2591796.2591811" TargetMode="External"/><Relationship Id="rId9" Type="http://schemas.openxmlformats.org/officeDocument/2006/relationships/hyperlink" Target="https://www.sciencedirect.com/science/article/pii/S0022000085710781?via%3Dihub" TargetMode="External"/><Relationship Id="rId5" Type="http://schemas.openxmlformats.org/officeDocument/2006/relationships/hyperlink" Target="https://dl.acm.org/doi/pdf/10.1145/3186893" TargetMode="External"/><Relationship Id="rId6" Type="http://schemas.openxmlformats.org/officeDocument/2006/relationships/hyperlink" Target="https://dl.acm.org/doi/10.1145/321992.321993" TargetMode="External"/><Relationship Id="rId7" Type="http://schemas.openxmlformats.org/officeDocument/2006/relationships/hyperlink" Target="http://citeseerx.ist.psu.edu/viewdoc/download?doi=10.1.1.22.7128&amp;rep=rep1&amp;type=pdf" TargetMode="External"/><Relationship Id="rId8" Type="http://schemas.openxmlformats.org/officeDocument/2006/relationships/hyperlink" Target="https://dl.acm.org/doi/abs/10.1145/567112.567114" TargetMode="External"/><Relationship Id="rId20" Type="http://schemas.openxmlformats.org/officeDocument/2006/relationships/hyperlink" Target="https://dl.acm.org/doi/10.1145/321992.321993" TargetMode="External"/><Relationship Id="rId22" Type="http://schemas.openxmlformats.org/officeDocument/2006/relationships/drawing" Target="../drawings/drawing19.xml"/><Relationship Id="rId21" Type="http://schemas.openxmlformats.org/officeDocument/2006/relationships/hyperlink" Target="https://dl.acm.org/doi/abs/10.1145/567112.567114" TargetMode="External"/><Relationship Id="rId23" Type="http://schemas.openxmlformats.org/officeDocument/2006/relationships/vmlDrawing" Target="../drawings/vmlDrawing9.vml"/><Relationship Id="rId11" Type="http://schemas.openxmlformats.org/officeDocument/2006/relationships/hyperlink" Target="https://link.springer.com/content/pdf/10.1007/BF02476438.pdf" TargetMode="External"/><Relationship Id="rId10" Type="http://schemas.openxmlformats.org/officeDocument/2006/relationships/hyperlink" Target="https://link.springer.com/article/10.1007/BF02476438" TargetMode="External"/><Relationship Id="rId13" Type="http://schemas.openxmlformats.org/officeDocument/2006/relationships/hyperlink" Target="https://www.sciencedirect.com/science/article/pii/S0022000085710781?via%3Dihub" TargetMode="External"/><Relationship Id="rId12" Type="http://schemas.openxmlformats.org/officeDocument/2006/relationships/hyperlink" Target="https://dl.acm.org/citation.cfm?id=368168" TargetMode="External"/><Relationship Id="rId15" Type="http://schemas.openxmlformats.org/officeDocument/2006/relationships/hyperlink" Target="https://dl.acm.org/citation.cfm?id=545417" TargetMode="External"/><Relationship Id="rId14" Type="http://schemas.openxmlformats.org/officeDocument/2006/relationships/hyperlink" Target="https://dl.acm.org/citation.cfm?id=2591811" TargetMode="External"/><Relationship Id="rId17" Type="http://schemas.openxmlformats.org/officeDocument/2006/relationships/hyperlink" Target="https://dl.acm.org/doi/pdf/10.1145/316542.316548" TargetMode="External"/><Relationship Id="rId16" Type="http://schemas.openxmlformats.org/officeDocument/2006/relationships/hyperlink" Target="http://citeseerx.ist.psu.edu/viewdoc/download?doi=10.1.1.22.7128&amp;rep=rep1&amp;type=pdf" TargetMode="External"/><Relationship Id="rId19" Type="http://schemas.openxmlformats.org/officeDocument/2006/relationships/hyperlink" Target="http://tmc.web.engr.illinois.edu/moreapsp.pdf" TargetMode="External"/><Relationship Id="rId18" Type="http://schemas.openxmlformats.org/officeDocument/2006/relationships/hyperlink" Target="http://tmc.web.engr.illinois.edu/moreapsp.pdf"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journals.aps.org/" TargetMode="External"/><Relationship Id="rId2" Type="http://schemas.openxmlformats.org/officeDocument/2006/relationships/hyperlink" Target="https://ieeexplore.ieee.org/" TargetMode="External"/><Relationship Id="rId3" Type="http://schemas.openxmlformats.org/officeDocument/2006/relationships/hyperlink" Target="https://epubs.siam.org/" TargetMode="External"/><Relationship Id="rId4"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63"/>
    <col customWidth="1" min="2" max="2" width="16.88"/>
  </cols>
  <sheetData>
    <row r="1">
      <c r="A1" s="1" t="s">
        <v>0</v>
      </c>
      <c r="B1" s="1" t="s">
        <v>1</v>
      </c>
    </row>
    <row r="2">
      <c r="A2" s="2" t="str">
        <f>IFERROR(__xludf.DUMMYFUNCTION("UNIQUE(Problems!B2:B1001)"),"Sorting")</f>
        <v>Sorting</v>
      </c>
    </row>
    <row r="3">
      <c r="A3" s="2" t="str">
        <f>IFERROR(__xludf.DUMMYFUNCTION("""COMPUTED_VALUE"""),"kth Order Statistic")</f>
        <v>kth Order Statistic</v>
      </c>
    </row>
    <row r="4">
      <c r="A4" s="2" t="str">
        <f>IFERROR(__xludf.DUMMYFUNCTION("""COMPUTED_VALUE"""),"Matrix Chain Multiplication")</f>
        <v>Matrix Chain Multiplication</v>
      </c>
    </row>
    <row r="5">
      <c r="A5" s="2" t="str">
        <f>IFERROR(__xludf.DUMMYFUNCTION("""COMPUTED_VALUE"""),"Longest Common Subsequence")</f>
        <v>Longest Common Subsequence</v>
      </c>
    </row>
    <row r="6">
      <c r="A6" s="2" t="str">
        <f>IFERROR(__xludf.DUMMYFUNCTION("""COMPUTED_VALUE"""),"Maximum Flow")</f>
        <v>Maximum Flow</v>
      </c>
    </row>
    <row r="7">
      <c r="A7" s="2" t="str">
        <f>IFERROR(__xludf.DUMMYFUNCTION("""COMPUTED_VALUE"""),"Matrix Product")</f>
        <v>Matrix Product</v>
      </c>
    </row>
    <row r="8">
      <c r="A8" s="2" t="str">
        <f>IFERROR(__xludf.DUMMYFUNCTION("""COMPUTED_VALUE"""),"Linear System")</f>
        <v>Linear System</v>
      </c>
    </row>
    <row r="9">
      <c r="A9" s="2" t="str">
        <f>IFERROR(__xludf.DUMMYFUNCTION("""COMPUTED_VALUE"""),"Linear Programming")</f>
        <v>Linear Programming</v>
      </c>
    </row>
    <row r="10">
      <c r="A10" s="2" t="str">
        <f>IFERROR(__xludf.DUMMYFUNCTION("""COMPUTED_VALUE"""),"Line segment intersection")</f>
        <v>Line segment intersection</v>
      </c>
    </row>
    <row r="11">
      <c r="A11" s="2" t="str">
        <f>IFERROR(__xludf.DUMMYFUNCTION("""COMPUTED_VALUE"""),"Convex Hull")</f>
        <v>Convex Hull</v>
      </c>
    </row>
    <row r="12">
      <c r="A12" s="2" t="str">
        <f>IFERROR(__xludf.DUMMYFUNCTION("""COMPUTED_VALUE"""),"Strongly Connected Components")</f>
        <v>Strongly Connected Components</v>
      </c>
    </row>
    <row r="13">
      <c r="A13" s="2" t="str">
        <f>IFERROR(__xludf.DUMMYFUNCTION("""COMPUTED_VALUE"""),"Minimum Spanning Tree (MST)")</f>
        <v>Minimum Spanning Tree (MST)</v>
      </c>
    </row>
    <row r="14">
      <c r="A14" s="2" t="str">
        <f>IFERROR(__xludf.DUMMYFUNCTION("""COMPUTED_VALUE"""),"Closest Pair Problem")</f>
        <v>Closest Pair Problem</v>
      </c>
    </row>
    <row r="15">
      <c r="A15" s="2" t="str">
        <f>IFERROR(__xludf.DUMMYFUNCTION("""COMPUTED_VALUE"""),"Shortest Path (Directed Graphs)")</f>
        <v>Shortest Path (Directed Graphs)</v>
      </c>
    </row>
    <row r="16">
      <c r="A16" s="2" t="str">
        <f>IFERROR(__xludf.DUMMYFUNCTION("""COMPUTED_VALUE"""),"All-Pairs Shortest Paths (APSP)")</f>
        <v>All-Pairs Shortest Paths (APSP)</v>
      </c>
    </row>
    <row r="17">
      <c r="A17" s="2" t="str">
        <f>IFERROR(__xludf.DUMMYFUNCTION("""COMPUTED_VALUE"""),"Integer Factoring")</f>
        <v>Integer Factoring</v>
      </c>
    </row>
    <row r="18">
      <c r="A18" s="2" t="str">
        <f>IFERROR(__xludf.DUMMYFUNCTION("""COMPUTED_VALUE"""),"LU Decomposition")</f>
        <v>LU Decomposition</v>
      </c>
    </row>
    <row r="19">
      <c r="A19" s="2" t="str">
        <f>IFERROR(__xludf.DUMMYFUNCTION("""COMPUTED_VALUE"""),"Informed Search")</f>
        <v>Informed Search</v>
      </c>
    </row>
    <row r="20">
      <c r="A20" s="2" t="str">
        <f>IFERROR(__xludf.DUMMYFUNCTION("""COMPUTED_VALUE"""),"String Search")</f>
        <v>String Search</v>
      </c>
    </row>
    <row r="21">
      <c r="A21" s="2" t="str">
        <f>IFERROR(__xludf.DUMMYFUNCTION("""COMPUTED_VALUE"""),"Sequence Alignment")</f>
        <v>Sequence Alignment</v>
      </c>
    </row>
    <row r="22">
      <c r="A22" s="2" t="str">
        <f>IFERROR(__xludf.DUMMYFUNCTION("""COMPUTED_VALUE"""),"Joins")</f>
        <v>Joins</v>
      </c>
    </row>
    <row r="23">
      <c r="A23" s="2" t="str">
        <f>IFERROR(__xludf.DUMMYFUNCTION("""COMPUTED_VALUE"""),"Line Clipping")</f>
        <v>Line Clipping</v>
      </c>
    </row>
    <row r="24">
      <c r="A24" s="2" t="str">
        <f>IFERROR(__xludf.DUMMYFUNCTION("""COMPUTED_VALUE"""),"NFA to DFA conversion")</f>
        <v>NFA to DFA conversion</v>
      </c>
    </row>
    <row r="25">
      <c r="A25" s="2" t="str">
        <f>IFERROR(__xludf.DUMMYFUNCTION("""COMPUTED_VALUE"""),"Multiplication")</f>
        <v>Multiplication</v>
      </c>
    </row>
    <row r="26">
      <c r="A26" s="2" t="str">
        <f>IFERROR(__xludf.DUMMYFUNCTION("""COMPUTED_VALUE"""),"Maximum Cardinality Matching")</f>
        <v>Maximum Cardinality Matching</v>
      </c>
    </row>
    <row r="27">
      <c r="A27" s="2" t="str">
        <f>IFERROR(__xludf.DUMMYFUNCTION("""COMPUTED_VALUE"""),"Key Exchange")</f>
        <v>Key Exchange</v>
      </c>
    </row>
    <row r="28">
      <c r="A28" s="2" t="str">
        <f>IFERROR(__xludf.DUMMYFUNCTION("""COMPUTED_VALUE"""),"Mutual Exclusion")</f>
        <v>Mutual Exclusion</v>
      </c>
    </row>
    <row r="29">
      <c r="A29" s="2" t="str">
        <f>IFERROR(__xludf.DUMMYFUNCTION("""COMPUTED_VALUE"""),"SDD Systems Solvers")</f>
        <v>SDD Systems Solvers</v>
      </c>
    </row>
    <row r="30">
      <c r="A30" s="2" t="str">
        <f>IFERROR(__xludf.DUMMYFUNCTION("""COMPUTED_VALUE"""),"Cycle Detection")</f>
        <v>Cycle Detection</v>
      </c>
    </row>
    <row r="31">
      <c r="A31" s="2" t="str">
        <f>IFERROR(__xludf.DUMMYFUNCTION("""COMPUTED_VALUE"""),"Generating Random Permutations")</f>
        <v>Generating Random Permutations</v>
      </c>
    </row>
    <row r="32">
      <c r="A32" s="2" t="str">
        <f>IFERROR(__xludf.DUMMYFUNCTION("""COMPUTED_VALUE"""),"Convex Optimization (Non-linear)")</f>
        <v>Convex Optimization (Non-linear)</v>
      </c>
    </row>
    <row r="33">
      <c r="A33" s="2" t="str">
        <f>IFERROR(__xludf.DUMMYFUNCTION("""COMPUTED_VALUE"""),"Gröbner Bases")</f>
        <v>Gröbner Bases</v>
      </c>
    </row>
    <row r="34">
      <c r="A34" s="2" t="str">
        <f>IFERROR(__xludf.DUMMYFUNCTION("""COMPUTED_VALUE"""),"Minimum value in each row of an implicitly-defined totally monotone matrix")</f>
        <v>Minimum value in each row of an implicitly-defined totally monotone matrix</v>
      </c>
    </row>
    <row r="35">
      <c r="A35" s="2" t="str">
        <f>IFERROR(__xludf.DUMMYFUNCTION("""COMPUTED_VALUE"""),"All Permutations")</f>
        <v>All Permutations</v>
      </c>
    </row>
    <row r="36">
      <c r="A36" s="2" t="str">
        <f>IFERROR(__xludf.DUMMYFUNCTION("""COMPUTED_VALUE"""),"Optimal Binary Search Trees")</f>
        <v>Optimal Binary Search Trees</v>
      </c>
    </row>
    <row r="37">
      <c r="A37" s="2" t="str">
        <f>IFERROR(__xludf.DUMMYFUNCTION("""COMPUTED_VALUE"""),"Nash Equilibria")</f>
        <v>Nash Equilibria</v>
      </c>
    </row>
    <row r="38">
      <c r="A38" s="2" t="str">
        <f>IFERROR(__xludf.DUMMYFUNCTION("""COMPUTED_VALUE"""),"Maximum-Weight Matching")</f>
        <v>Maximum-Weight Matching</v>
      </c>
    </row>
    <row r="39">
      <c r="A39" s="2" t="str">
        <f>IFERROR(__xludf.DUMMYFUNCTION("""COMPUTED_VALUE"""),"Constructing Eulerian Trails in a Graph")</f>
        <v>Constructing Eulerian Trails in a Graph</v>
      </c>
    </row>
    <row r="40">
      <c r="A40" s="2" t="str">
        <f>IFERROR(__xludf.DUMMYFUNCTION("""COMPUTED_VALUE"""),"Discrete Fourier Transform")</f>
        <v>Discrete Fourier Transform</v>
      </c>
    </row>
    <row r="41">
      <c r="A41" s="2" t="str">
        <f>IFERROR(__xludf.DUMMYFUNCTION("""COMPUTED_VALUE"""),"Line Drawing")</f>
        <v>Line Drawing</v>
      </c>
    </row>
    <row r="42">
      <c r="A42" s="2" t="str">
        <f>IFERROR(__xludf.DUMMYFUNCTION("""COMPUTED_VALUE"""),"Polygon Clipping")</f>
        <v>Polygon Clipping</v>
      </c>
    </row>
    <row r="43">
      <c r="A43" s="2" t="str">
        <f>IFERROR(__xludf.DUMMYFUNCTION("""COMPUTED_VALUE"""),"Shown Surface Determination")</f>
        <v>Shown Surface Determination</v>
      </c>
    </row>
    <row r="44">
      <c r="A44" s="2" t="str">
        <f>IFERROR(__xludf.DUMMYFUNCTION("""COMPUTED_VALUE"""),"Line Simplification")</f>
        <v>Line Simplification</v>
      </c>
    </row>
    <row r="45">
      <c r="A45" s="2" t="str">
        <f>IFERROR(__xludf.DUMMYFUNCTION("""COMPUTED_VALUE"""),"Eigenvalues (Iterative Methods)")</f>
        <v>Eigenvalues (Iterative Methods)</v>
      </c>
    </row>
    <row r="46">
      <c r="A46" s="2" t="str">
        <f>IFERROR(__xludf.DUMMYFUNCTION("""COMPUTED_VALUE"""),"Root Computation")</f>
        <v>Root Computation</v>
      </c>
    </row>
    <row r="47">
      <c r="A47" s="2" t="str">
        <f>IFERROR(__xludf.DUMMYFUNCTION("""COMPUTED_VALUE"""),"Nearest Neighbor Search")</f>
        <v>Nearest Neighbor Search</v>
      </c>
    </row>
    <row r="48">
      <c r="A48" s="2" t="str">
        <f>IFERROR(__xludf.DUMMYFUNCTION("""COMPUTED_VALUE"""),"Coset Enumeration")</f>
        <v>Coset Enumeration</v>
      </c>
    </row>
    <row r="49">
      <c r="A49" s="2" t="str">
        <f>IFERROR(__xludf.DUMMYFUNCTION("""COMPUTED_VALUE"""),"Maximum Likelihood Parameters")</f>
        <v>Maximum Likelihood Parameters</v>
      </c>
    </row>
    <row r="50">
      <c r="A50" s="2" t="str">
        <f>IFERROR(__xludf.DUMMYFUNCTION("""COMPUTED_VALUE"""),"Cardinality Estimation")</f>
        <v>Cardinality Estimation</v>
      </c>
    </row>
    <row r="51">
      <c r="A51" s="2" t="str">
        <f>IFERROR(__xludf.DUMMYFUNCTION("""COMPUTED_VALUE"""),"Register Allocation")</f>
        <v>Register Allocation</v>
      </c>
    </row>
    <row r="52">
      <c r="A52" s="2" t="str">
        <f>IFERROR(__xludf.DUMMYFUNCTION("""COMPUTED_VALUE"""),"Voronoi Diagrams")</f>
        <v>Voronoi Diagrams</v>
      </c>
    </row>
    <row r="53">
      <c r="A53" s="2" t="str">
        <f>IFERROR(__xludf.DUMMYFUNCTION("""COMPUTED_VALUE"""),"Variance Calculations")</f>
        <v>Variance Calculations</v>
      </c>
    </row>
    <row r="54">
      <c r="A54" s="2" t="str">
        <f>IFERROR(__xludf.DUMMYFUNCTION("""COMPUTED_VALUE"""),"Topological Sorting")</f>
        <v>Topological Sorting</v>
      </c>
    </row>
    <row r="55">
      <c r="A55" s="2" t="str">
        <f>IFERROR(__xludf.DUMMYFUNCTION("""COMPUTED_VALUE"""),"DFA Minimization")</f>
        <v>DFA Minimization</v>
      </c>
    </row>
    <row r="56">
      <c r="A56" s="2" t="str">
        <f>IFERROR(__xludf.DUMMYFUNCTION("""COMPUTED_VALUE"""),"Lowest Common Ancestor")</f>
        <v>Lowest Common Ancestor</v>
      </c>
    </row>
    <row r="57">
      <c r="A57" s="2" t="str">
        <f>IFERROR(__xludf.DUMMYFUNCTION("""COMPUTED_VALUE"""),"Graph Edit Distance Computation")</f>
        <v>Graph Edit Distance Computation</v>
      </c>
    </row>
    <row r="58">
      <c r="A58" s="2" t="str">
        <f>IFERROR(__xludf.DUMMYFUNCTION("""COMPUTED_VALUE"""),"Clique Problems")</f>
        <v>Clique Problems</v>
      </c>
    </row>
    <row r="59">
      <c r="A59" s="2" t="str">
        <f>IFERROR(__xludf.DUMMYFUNCTION("""COMPUTED_VALUE"""),"The Traveling-Salesman Problem")</f>
        <v>The Traveling-Salesman Problem</v>
      </c>
    </row>
    <row r="60">
      <c r="A60" s="2" t="str">
        <f>IFERROR(__xludf.DUMMYFUNCTION("""COMPUTED_VALUE"""),"Poisson Problem")</f>
        <v>Poisson Problem</v>
      </c>
    </row>
    <row r="61">
      <c r="A61" s="2" t="str">
        <f>IFERROR(__xludf.DUMMYFUNCTION("""COMPUTED_VALUE"""),"Delaunay Triangulation")</f>
        <v>Delaunay Triangulation</v>
      </c>
    </row>
    <row r="62">
      <c r="A62" s="2" t="str">
        <f>IFERROR(__xludf.DUMMYFUNCTION("""COMPUTED_VALUE"""),"De Novo Genome Assembly")</f>
        <v>De Novo Genome Assembly</v>
      </c>
    </row>
    <row r="63">
      <c r="A63" s="2" t="str">
        <f>IFERROR(__xludf.DUMMYFUNCTION("""COMPUTED_VALUE"""),"The Subset-Sum Problem")</f>
        <v>The Subset-Sum Problem</v>
      </c>
    </row>
    <row r="64">
      <c r="A64" s="2" t="str">
        <f>IFERROR(__xludf.DUMMYFUNCTION("""COMPUTED_VALUE"""),"Dependency Inference Problem")</f>
        <v>Dependency Inference Problem</v>
      </c>
    </row>
    <row r="65">
      <c r="A65" s="2" t="str">
        <f>IFERROR(__xludf.DUMMYFUNCTION("""COMPUTED_VALUE"""),"BCNF Decomposition")</f>
        <v>BCNF Decomposition</v>
      </c>
    </row>
    <row r="66">
      <c r="A66" s="2" t="str">
        <f>IFERROR(__xludf.DUMMYFUNCTION("""COMPUTED_VALUE"""),"4NF Decomposition")</f>
        <v>4NF Decomposition</v>
      </c>
    </row>
    <row r="67">
      <c r="A67" s="2" t="str">
        <f>IFERROR(__xludf.DUMMYFUNCTION("""COMPUTED_VALUE"""),"Disk Scheduling")</f>
        <v>Disk Scheduling</v>
      </c>
    </row>
    <row r="68">
      <c r="A68" s="2" t="str">
        <f>IFERROR(__xludf.DUMMYFUNCTION("""COMPUTED_VALUE"""),"The Vertex Cover Problem")</f>
        <v>The Vertex Cover Problem</v>
      </c>
    </row>
    <row r="69">
      <c r="A69" s="2" t="str">
        <f>IFERROR(__xludf.DUMMYFUNCTION("""COMPUTED_VALUE"""),"CFG Problems")</f>
        <v>CFG Problems</v>
      </c>
    </row>
    <row r="70">
      <c r="A70" s="2" t="str">
        <f>IFERROR(__xludf.DUMMYFUNCTION("""COMPUTED_VALUE"""),"Finding Frequent Itemsets")</f>
        <v>Finding Frequent Itemsets</v>
      </c>
    </row>
    <row r="71">
      <c r="A71" s="2" t="str">
        <f>IFERROR(__xludf.DUMMYFUNCTION("""COMPUTED_VALUE"""),"Data Compression")</f>
        <v>Data Compression</v>
      </c>
    </row>
    <row r="72">
      <c r="A72" s="2" t="str">
        <f>IFERROR(__xludf.DUMMYFUNCTION("""COMPUTED_VALUE"""),"Factorization of Polynomials Over Finite Fields")</f>
        <v>Factorization of Polynomials Over Finite Fields</v>
      </c>
    </row>
    <row r="73">
      <c r="A73" s="2" t="str">
        <f>IFERROR(__xludf.DUMMYFUNCTION("""COMPUTED_VALUE"""),"Cryptanalysis of Linear Feedback Shift Registers")</f>
        <v>Cryptanalysis of Linear Feedback Shift Registers</v>
      </c>
    </row>
    <row r="74">
      <c r="A74" s="2" t="str">
        <f>IFERROR(__xludf.DUMMYFUNCTION("""COMPUTED_VALUE"""),"Stable Matching Problem")</f>
        <v>Stable Matching Problem</v>
      </c>
    </row>
    <row r="75">
      <c r="A75" s="2" t="str">
        <f>IFERROR(__xludf.DUMMYFUNCTION("""COMPUTED_VALUE"""),"Longest Path Problem")</f>
        <v>Longest Path Problem</v>
      </c>
    </row>
    <row r="76">
      <c r="A76" s="2" t="str">
        <f>IFERROR(__xludf.DUMMYFUNCTION("""COMPUTED_VALUE"""),"Maximum Subarray Problem")</f>
        <v>Maximum Subarray Problem</v>
      </c>
    </row>
    <row r="77">
      <c r="A77" s="2" t="str">
        <f>IFERROR(__xludf.DUMMYFUNCTION("""COMPUTED_VALUE"""),"Constructing Suffix Trees")</f>
        <v>Constructing Suffix Trees</v>
      </c>
    </row>
    <row r="78">
      <c r="A78" s="2" t="str">
        <f>IFERROR(__xludf.DUMMYFUNCTION("""COMPUTED_VALUE"""),"Ray Tracing")</f>
        <v>Ray Tracing</v>
      </c>
    </row>
    <row r="79">
      <c r="A79" s="2" t="str">
        <f>IFERROR(__xludf.DUMMYFUNCTION("""COMPUTED_VALUE"""),"Entity Resolution")</f>
        <v>Entity Resolution</v>
      </c>
    </row>
    <row r="80">
      <c r="A80" s="2" t="str">
        <f>IFERROR(__xludf.DUMMYFUNCTION("""COMPUTED_VALUE"""),"Longest Palindromic Substring")</f>
        <v>Longest Palindromic Substring</v>
      </c>
    </row>
    <row r="81">
      <c r="A81" s="2" t="str">
        <f>IFERROR(__xludf.DUMMYFUNCTION("""COMPUTED_VALUE"""),"AST to Code Translation")</f>
        <v>AST to Code Translation</v>
      </c>
    </row>
    <row r="82">
      <c r="A82" s="2" t="str">
        <f>IFERROR(__xludf.DUMMYFUNCTION("""COMPUTED_VALUE"""),"Graph Isomorphism Problem")</f>
        <v>Graph Isomorphism Problem</v>
      </c>
    </row>
    <row r="83">
      <c r="A83" s="2" t="str">
        <f>IFERROR(__xludf.DUMMYFUNCTION("""COMPUTED_VALUE"""),"Graph Realization Problems")</f>
        <v>Graph Realization Problems</v>
      </c>
    </row>
    <row r="84">
      <c r="A84" s="2" t="str">
        <f>IFERROR(__xludf.DUMMYFUNCTION("""COMPUTED_VALUE"""),"Duplicate Elimination")</f>
        <v>Duplicate Elimination</v>
      </c>
    </row>
    <row r="85">
      <c r="A85" s="2" t="str">
        <f>IFERROR(__xludf.DUMMYFUNCTION("""COMPUTED_VALUE"""),"Hyperbolic Spline Interpolation")</f>
        <v>Hyperbolic Spline Interpolation</v>
      </c>
    </row>
    <row r="86">
      <c r="A86" s="2" t="str">
        <f>IFERROR(__xludf.DUMMYFUNCTION("""COMPUTED_VALUE"""),"Mesh Parameterization")</f>
        <v>Mesh Parameterization</v>
      </c>
    </row>
    <row r="87">
      <c r="A87" s="2" t="str">
        <f>IFERROR(__xludf.DUMMYFUNCTION("""COMPUTED_VALUE"""),"Maximum Likelihood Methods in Unknown Latent Variables")</f>
        <v>Maximum Likelihood Methods in Unknown Latent Variables</v>
      </c>
    </row>
    <row r="88">
      <c r="A88" s="2" t="str">
        <f>IFERROR(__xludf.DUMMYFUNCTION("""COMPUTED_VALUE"""),"Collaborative Filtering")</f>
        <v>Collaborative Filtering</v>
      </c>
    </row>
    <row r="89">
      <c r="A89" s="2" t="str">
        <f>IFERROR(__xludf.DUMMYFUNCTION("""COMPUTED_VALUE"""),"Feature Detection")</f>
        <v>Feature Detection</v>
      </c>
    </row>
    <row r="90">
      <c r="A90" s="2" t="str">
        <f>IFERROR(__xludf.DUMMYFUNCTION("""COMPUTED_VALUE"""),"Culling")</f>
        <v>Culling</v>
      </c>
    </row>
    <row r="91">
      <c r="A91" s="2" t="str">
        <f>IFERROR(__xludf.DUMMYFUNCTION("""COMPUTED_VALUE"""),"Filtering Problem (Stochastic Processes)")</f>
        <v>Filtering Problem (Stochastic Processes)</v>
      </c>
    </row>
    <row r="92">
      <c r="A92" s="2" t="str">
        <f>IFERROR(__xludf.DUMMYFUNCTION("""COMPUTED_VALUE"""),"Optimal Policies for MDPs")</f>
        <v>Optimal Policies for MDPs</v>
      </c>
    </row>
    <row r="93">
      <c r="A93" s="2" t="str">
        <f>IFERROR(__xludf.DUMMYFUNCTION("""COMPUTED_VALUE"""),"The Set-Covering Problem")</f>
        <v>The Set-Covering Problem</v>
      </c>
    </row>
    <row r="94">
      <c r="A94" s="2" t="str">
        <f>IFERROR(__xludf.DUMMYFUNCTION("""COMPUTED_VALUE"""),"Motif Search")</f>
        <v>Motif Search</v>
      </c>
    </row>
    <row r="95">
      <c r="A95" s="2" t="str">
        <f>IFERROR(__xludf.DUMMYFUNCTION("""COMPUTED_VALUE"""),"All Maximal Non-Branching Paths in a Graph")</f>
        <v>All Maximal Non-Branching Paths in a Graph</v>
      </c>
    </row>
    <row r="96">
      <c r="A96" s="2" t="str">
        <f>IFERROR(__xludf.DUMMYFUNCTION("""COMPUTED_VALUE"""),"Link Analysis")</f>
        <v>Link Analysis</v>
      </c>
    </row>
    <row r="97">
      <c r="A97" s="2" t="str">
        <f>IFERROR(__xludf.DUMMYFUNCTION("""COMPUTED_VALUE"""),"Image Compositing")</f>
        <v>Image Compositing</v>
      </c>
    </row>
    <row r="98">
      <c r="A98" s="2" t="str">
        <f>IFERROR(__xludf.DUMMYFUNCTION("""COMPUTED_VALUE"""),"Texture Synthesis")</f>
        <v>Texture Synthesis</v>
      </c>
    </row>
    <row r="99">
      <c r="A99" s="2" t="str">
        <f>IFERROR(__xludf.DUMMYFUNCTION("""COMPUTED_VALUE"""),"Distributed Locking Algorithms")</f>
        <v>Distributed Locking Algorithms</v>
      </c>
    </row>
    <row r="100">
      <c r="A100" s="2" t="str">
        <f>IFERROR(__xludf.DUMMYFUNCTION("""COMPUTED_VALUE"""),"Cyclic Peptide Sequencing Problem")</f>
        <v>Cyclic Peptide Sequencing Problem</v>
      </c>
    </row>
    <row r="101">
      <c r="A101" s="2" t="str">
        <f>IFERROR(__xludf.DUMMYFUNCTION("""COMPUTED_VALUE"""),"Texture Mapping")</f>
        <v>Texture Mapping</v>
      </c>
    </row>
    <row r="102">
      <c r="A102" s="2" t="str">
        <f>IFERROR(__xludf.DUMMYFUNCTION("""COMPUTED_VALUE"""),"Point-in-Polygon")</f>
        <v>Point-in-Polygon</v>
      </c>
    </row>
    <row r="103">
      <c r="A103" s="2" t="str">
        <f>IFERROR(__xludf.DUMMYFUNCTION("""COMPUTED_VALUE"""),"Image Segmentation")</f>
        <v>Image Segmentation</v>
      </c>
    </row>
    <row r="104">
      <c r="A104" s="2" t="str">
        <f>IFERROR(__xludf.DUMMYFUNCTION("""COMPUTED_VALUE"""),"Mesh Simplification")</f>
        <v>Mesh Simplification</v>
      </c>
    </row>
    <row r="105">
      <c r="A105" s="2" t="str">
        <f>IFERROR(__xludf.DUMMYFUNCTION("""COMPUTED_VALUE"""),"Clock Synchronization in Distributed Systems")</f>
        <v>Clock Synchronization in Distributed Systems</v>
      </c>
    </row>
    <row r="106">
      <c r="A106" s="2" t="str">
        <f>IFERROR(__xludf.DUMMYFUNCTION("""COMPUTED_VALUE"""),"POMDPs")</f>
        <v>POMDPs</v>
      </c>
    </row>
    <row r="107">
      <c r="A107" s="2" t="str">
        <f>IFERROR(__xludf.DUMMYFUNCTION("""COMPUTED_VALUE"""),"Rasterization")</f>
        <v>Rasterization</v>
      </c>
    </row>
    <row r="108">
      <c r="A108" s="2" t="str">
        <f>IFERROR(__xludf.DUMMYFUNCTION("""COMPUTED_VALUE"""),"Occupancy Grid Mapping")</f>
        <v>Occupancy Grid Mapping</v>
      </c>
    </row>
    <row r="109">
      <c r="A109" s="2" t="str">
        <f>IFERROR(__xludf.DUMMYFUNCTION("""COMPUTED_VALUE"""),"SLAM Algorithms")</f>
        <v>SLAM Algorithms</v>
      </c>
    </row>
    <row r="110">
      <c r="A110" s="2" t="str">
        <f>IFERROR(__xludf.DUMMYFUNCTION("""COMPUTED_VALUE"""),"d-Neighborhood of a String")</f>
        <v>d-Neighborhood of a String</v>
      </c>
    </row>
    <row r="111">
      <c r="A111" s="2" t="str">
        <f>IFERROR(__xludf.DUMMYFUNCTION("""COMPUTED_VALUE"""),"Maximum Cut")</f>
        <v>Maximum Cut</v>
      </c>
    </row>
    <row r="112">
      <c r="A112" s="2" t="str">
        <f>IFERROR(__xludf.DUMMYFUNCTION("""COMPUTED_VALUE"""),"Wiener Index")</f>
        <v>Wiener Index</v>
      </c>
    </row>
    <row r="113">
      <c r="A113" s="2" t="str">
        <f>IFERROR(__xludf.DUMMYFUNCTION("""COMPUTED_VALUE"""),"Determinant of Matrices with Integer Entries")</f>
        <v>Determinant of Matrices with Integer Entries</v>
      </c>
    </row>
    <row r="114">
      <c r="A114" s="2" t="str">
        <f>IFERROR(__xludf.DUMMYFUNCTION("""COMPUTED_VALUE"""),"Integer Relation")</f>
        <v>Integer Relation</v>
      </c>
    </row>
    <row r="115">
      <c r="A115" s="2" t="str">
        <f>IFERROR(__xludf.DUMMYFUNCTION("""COMPUTED_VALUE"""),"Sequence-to-Graph Alignment")</f>
        <v>Sequence-to-Graph Alignment</v>
      </c>
    </row>
    <row r="116">
      <c r="A116" s="2" t="str">
        <f>IFERROR(__xludf.DUMMYFUNCTION("""COMPUTED_VALUE"""),"Logarithm Calculations")</f>
        <v>Logarithm Calculations</v>
      </c>
    </row>
    <row r="117">
      <c r="A117" s="2" t="str">
        <f>IFERROR(__xludf.DUMMYFUNCTION("""COMPUTED_VALUE"""),"Rod-Cutting Problem")</f>
        <v>Rod-Cutting Problem</v>
      </c>
    </row>
    <row r="118">
      <c r="A118" s="2" t="str">
        <f>IFERROR(__xludf.DUMMYFUNCTION("""COMPUTED_VALUE"""),"Self-Balancing Trees Creation")</f>
        <v>Self-Balancing Trees Creation</v>
      </c>
    </row>
    <row r="119">
      <c r="A119" s="2" t="str">
        <f>IFERROR(__xludf.DUMMYFUNCTION("""COMPUTED_VALUE"""),"Self-Balancing Trees Insertion")</f>
        <v>Self-Balancing Trees Insertion</v>
      </c>
    </row>
    <row r="120">
      <c r="A120" s="2" t="str">
        <f>IFERROR(__xludf.DUMMYFUNCTION("""COMPUTED_VALUE"""),"Self-Balancing Trees Deletion")</f>
        <v>Self-Balancing Trees Deletion</v>
      </c>
    </row>
    <row r="121">
      <c r="A121" s="2" t="str">
        <f>IFERROR(__xludf.DUMMYFUNCTION("""COMPUTED_VALUE"""),"Self-Balancing Trees Search")</f>
        <v>Self-Balancing Trees Search</v>
      </c>
    </row>
    <row r="122">
      <c r="A122" s="2" t="str">
        <f>IFERROR(__xludf.DUMMYFUNCTION("""COMPUTED_VALUE"""),"Transitive Reduction Problem")</f>
        <v>Transitive Reduction Problem</v>
      </c>
    </row>
    <row r="123">
      <c r="A123" s="2" t="str">
        <f>IFERROR(__xludf.DUMMYFUNCTION("""COMPUTED_VALUE"""),"Change-Making Problem")</f>
        <v>Change-Making Problem</v>
      </c>
    </row>
    <row r="124">
      <c r="A124" s="2" t="str">
        <f>IFERROR(__xludf.DUMMYFUNCTION("""COMPUTED_VALUE"""),"Turnpike Problem")</f>
        <v>Turnpike Problem</v>
      </c>
    </row>
    <row r="125">
      <c r="A125" s="2" t="str">
        <f>IFERROR(__xludf.DUMMYFUNCTION("""COMPUTED_VALUE"""),"n-Queens Problem")</f>
        <v>n-Queens Problem</v>
      </c>
    </row>
    <row r="126">
      <c r="A126" s="2" t="str">
        <f>IFERROR(__xludf.DUMMYFUNCTION("""COMPUTED_VALUE"""),"Median String Problem")</f>
        <v>Median String Problem</v>
      </c>
    </row>
    <row r="127">
      <c r="A127" s="2" t="str">
        <f>IFERROR(__xludf.DUMMYFUNCTION("""COMPUTED_VALUE"""),"Frequent Words with Mismatches Problem")</f>
        <v>Frequent Words with Mismatches Problem</v>
      </c>
    </row>
    <row r="128">
      <c r="A128" s="2" t="str">
        <f>IFERROR(__xludf.DUMMYFUNCTION("""COMPUTED_VALUE"""),"Tower of Hanoi")</f>
        <v>Tower of Hanoi</v>
      </c>
    </row>
    <row r="129">
      <c r="A129" s="2" t="str">
        <f>IFERROR(__xludf.DUMMYFUNCTION("""COMPUTED_VALUE"""),"The Frequent Words Problem")</f>
        <v>The Frequent Words Problem</v>
      </c>
    </row>
    <row r="130">
      <c r="A130" s="2" t="str">
        <f>IFERROR(__xludf.DUMMYFUNCTION("""COMPUTED_VALUE"""),"Integral Equations")</f>
        <v>Integral Equations</v>
      </c>
    </row>
    <row r="131">
      <c r="A131" s="2" t="str">
        <f>IFERROR(__xludf.DUMMYFUNCTION("""COMPUTED_VALUE"""),"One-Way Hash Functions")</f>
        <v>One-Way Hash Functions</v>
      </c>
    </row>
    <row r="132">
      <c r="A132" s="2" t="str">
        <f>IFERROR(__xludf.DUMMYFUNCTION("""COMPUTED_VALUE"""),"Secret Sharing")</f>
        <v>Secret Sharing</v>
      </c>
    </row>
    <row r="133">
      <c r="A133" s="2" t="str">
        <f>IFERROR(__xludf.DUMMYFUNCTION("""COMPUTED_VALUE"""),"Solutions to Nonlinear Equations")</f>
        <v>Solutions to Nonlinear Equations</v>
      </c>
    </row>
    <row r="134">
      <c r="A134" s="2" t="str">
        <f>IFERROR(__xludf.DUMMYFUNCTION("""COMPUTED_VALUE"""),"Block Ciphers")</f>
        <v>Block Ciphers</v>
      </c>
    </row>
    <row r="135">
      <c r="A135" s="2" t="str">
        <f>IFERROR(__xludf.DUMMYFUNCTION("""COMPUTED_VALUE"""),"Polynomial Interpolation")</f>
        <v>Polynomial Interpolation</v>
      </c>
    </row>
    <row r="136">
      <c r="A136" s="2" t="str">
        <f>IFERROR(__xludf.DUMMYFUNCTION("""COMPUTED_VALUE"""),"Greatest Common Divisor")</f>
        <v>Greatest Common Divisor</v>
      </c>
    </row>
    <row r="137">
      <c r="A137" s="2" t="str">
        <f>IFERROR(__xludf.DUMMYFUNCTION("""COMPUTED_VALUE"""),"Interval Scheduling")</f>
        <v>Interval Scheduling</v>
      </c>
    </row>
    <row r="138">
      <c r="A138" s="2" t="str">
        <f>IFERROR(__xludf.DUMMYFUNCTION("""COMPUTED_VALUE"""),"Deadlock Avoidance")</f>
        <v>Deadlock Avoidance</v>
      </c>
    </row>
    <row r="139">
      <c r="A139" s="2" t="str">
        <f>IFERROR(__xludf.DUMMYFUNCTION("""COMPUTED_VALUE"""),"Page Replacements")</f>
        <v>Page Replacements</v>
      </c>
    </row>
    <row r="140">
      <c r="A140" s="2" t="str">
        <f>IFERROR(__xludf.DUMMYFUNCTION("""COMPUTED_VALUE"""),"Recovery")</f>
        <v>Recovery</v>
      </c>
    </row>
    <row r="141">
      <c r="A141" s="2" t="str">
        <f>IFERROR(__xludf.DUMMYFUNCTION("""COMPUTED_VALUE"""),"Graph Coloring")</f>
        <v>Graph Coloring</v>
      </c>
    </row>
    <row r="142">
      <c r="A142" s="2" t="str">
        <f>IFERROR(__xludf.DUMMYFUNCTION("""COMPUTED_VALUE"""),"Boolean Satisfiability")</f>
        <v>Boolean Satisfiability</v>
      </c>
    </row>
    <row r="143">
      <c r="A143" s="2" t="str">
        <f>IFERROR(__xludf.DUMMYFUNCTION("""COMPUTED_VALUE"""),"Orthogonal Vectors")</f>
        <v>Orthogonal Vectors</v>
      </c>
    </row>
    <row r="144">
      <c r="A144" s="2" t="str">
        <f>IFERROR(__xludf.DUMMYFUNCTION("""COMPUTED_VALUE"""),"Graph Metrics")</f>
        <v>Graph Metrics</v>
      </c>
    </row>
    <row r="145">
      <c r="A145" s="2" t="str">
        <f>IFERROR(__xludf.DUMMYFUNCTION("""COMPUTED_VALUE"""),"Vertex Centrality")</f>
        <v>Vertex Centrality</v>
      </c>
    </row>
    <row r="146">
      <c r="A146" s="2" t="str">
        <f>IFERROR(__xludf.DUMMYFUNCTION("""COMPUTED_VALUE"""),"Graph Triangle Problems")</f>
        <v>Graph Triangle Problems</v>
      </c>
    </row>
    <row r="147">
      <c r="A147" s="2" t="str">
        <f>IFERROR(__xludf.DUMMYFUNCTION("""COMPUTED_VALUE"""),"Metricity")</f>
        <v>Metricity</v>
      </c>
    </row>
    <row r="148">
      <c r="A148" s="2" t="str">
        <f>IFERROR(__xludf.DUMMYFUNCTION("""COMPUTED_VALUE"""),"Frechet Distance")</f>
        <v>Frechet Distance</v>
      </c>
    </row>
    <row r="149">
      <c r="A149" s="2" t="str">
        <f>IFERROR(__xludf.DUMMYFUNCTION("""COMPUTED_VALUE"""),"Dynamic Time Warping")</f>
        <v>Dynamic Time Warping</v>
      </c>
    </row>
    <row r="150">
      <c r="A150" s="2" t="str">
        <f>IFERROR(__xludf.DUMMYFUNCTION("""COMPUTED_VALUE"""),"Partial Match")</f>
        <v>Partial Match</v>
      </c>
    </row>
    <row r="151">
      <c r="A151" s="2" t="str">
        <f>IFERROR(__xludf.DUMMYFUNCTION("""COMPUTED_VALUE"""),"Geometric Incidence Problems")</f>
        <v>Geometric Incidence Problems</v>
      </c>
    </row>
    <row r="152">
      <c r="A152" s="2" t="str">
        <f>IFERROR(__xludf.DUMMYFUNCTION("""COMPUTED_VALUE"""),"Geometric Separator Problems")</f>
        <v>Geometric Separator Problems</v>
      </c>
    </row>
    <row r="153">
      <c r="A153" s="2" t="str">
        <f>IFERROR(__xludf.DUMMYFUNCTION("""COMPUTED_VALUE"""),"Geometric Covering Problems")</f>
        <v>Geometric Covering Problems</v>
      </c>
    </row>
    <row r="154">
      <c r="A154" s="2" t="str">
        <f>IFERROR(__xludf.DUMMYFUNCTION("""COMPUTED_VALUE"""),"Geometric Visibility Problems")</f>
        <v>Geometric Visibility Problems</v>
      </c>
    </row>
    <row r="155">
      <c r="A155" s="2" t="str">
        <f>IFERROR(__xludf.DUMMYFUNCTION("""COMPUTED_VALUE"""),"Motion Planning Problems")</f>
        <v>Motion Planning Problems</v>
      </c>
    </row>
    <row r="156">
      <c r="A156" s="2" t="str">
        <f>IFERROR(__xludf.DUMMYFUNCTION("""COMPUTED_VALUE"""),"Geometric Base")</f>
        <v>Geometric Base</v>
      </c>
    </row>
    <row r="157">
      <c r="A157" s="2" t="str">
        <f>IFERROR(__xludf.DUMMYFUNCTION("""COMPUTED_VALUE"""),"Local Alignment")</f>
        <v>Local Alignment</v>
      </c>
    </row>
    <row r="158">
      <c r="A158" s="2" t="str">
        <f>IFERROR(__xludf.DUMMYFUNCTION("""COMPUTED_VALUE"""),"Minimum Witness")</f>
        <v>Minimum Witness</v>
      </c>
    </row>
    <row r="159">
      <c r="A159" s="2" t="str">
        <f>IFERROR(__xludf.DUMMYFUNCTION("""COMPUTED_VALUE"""),"Independent Set Queries")</f>
        <v>Independent Set Queries</v>
      </c>
    </row>
    <row r="160">
      <c r="A160" s="2" t="str">
        <f>IFERROR(__xludf.DUMMYFUNCTION("""COMPUTED_VALUE"""),"Price Query")</f>
        <v>Price Query</v>
      </c>
    </row>
    <row r="161">
      <c r="A161" s="2" t="str">
        <f>IFERROR(__xludf.DUMMYFUNCTION("""COMPUTED_VALUE"""),"Graph Cycles")</f>
        <v>Graph Cycles</v>
      </c>
    </row>
    <row r="162">
      <c r="A162" s="2" t="str">
        <f>IFERROR(__xludf.DUMMYFUNCTION("""COMPUTED_VALUE"""),"Matrix-Vector Multiplication")</f>
        <v>Matrix-Vector Multiplication</v>
      </c>
    </row>
    <row r="163">
      <c r="A163" s="2" t="str">
        <f>IFERROR(__xludf.DUMMYFUNCTION("""COMPUTED_VALUE"""),"Vertex Reachability")</f>
        <v>Vertex Reachability</v>
      </c>
    </row>
    <row r="164">
      <c r="A164" s="2" t="str">
        <f>IFERROR(__xludf.DUMMYFUNCTION("""COMPUTED_VALUE"""),"RNA Folding")</f>
        <v>RNA Folding</v>
      </c>
    </row>
    <row r="165">
      <c r="A165" s="2" t="str">
        <f>IFERROR(__xludf.DUMMYFUNCTION("""COMPUTED_VALUE"""),"Maximum Inner Product Search")</f>
        <v>Maximum Inner Product Search</v>
      </c>
    </row>
    <row r="166">
      <c r="A166" s="2" t="str">
        <f>IFERROR(__xludf.DUMMYFUNCTION("""COMPUTED_VALUE"""),"Model-Checking Problem")</f>
        <v>Model-Checking Problem</v>
      </c>
    </row>
    <row r="167">
      <c r="A167" s="2" t="str">
        <f>IFERROR(__xludf.DUMMYFUNCTION("""COMPUTED_VALUE"""),"Dihedral Rotation Queries")</f>
        <v>Dihedral Rotation Queries</v>
      </c>
    </row>
    <row r="168">
      <c r="A168" s="2" t="str">
        <f>IFERROR(__xludf.DUMMYFUNCTION("""COMPUTED_VALUE"""),"Bichromatic Hamming Close Pair")</f>
        <v>Bichromatic Hamming Close Pair</v>
      </c>
    </row>
    <row r="169">
      <c r="A169" s="2" t="str">
        <f>IFERROR(__xludf.DUMMYFUNCTION("""COMPUTED_VALUE"""),"Support Vector Machines (SVM)")</f>
        <v>Support Vector Machines (SVM)</v>
      </c>
    </row>
    <row r="170">
      <c r="A170" s="2" t="str">
        <f>IFERROR(__xludf.DUMMYFUNCTION("""COMPUTED_VALUE"""),"3SUM")</f>
        <v>3SUM</v>
      </c>
    </row>
    <row r="171">
      <c r="A171"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2.63" defaultRowHeight="15.75"/>
  <cols>
    <col customWidth="1" min="1" max="1" width="6.5"/>
    <col customWidth="1" min="2" max="2" width="21.0"/>
    <col customWidth="1" min="3" max="3" width="21.25"/>
    <col customWidth="1" min="4" max="4" width="17.38"/>
    <col customWidth="1" min="5" max="6" width="23.25"/>
    <col customWidth="1" min="7" max="7" width="33.5"/>
    <col customWidth="1" min="8" max="8" width="12.0"/>
    <col customWidth="1" min="9" max="9" width="29.13"/>
    <col customWidth="1" min="10" max="11" width="12.0"/>
    <col customWidth="1" min="12" max="12" width="11.63"/>
    <col customWidth="1" min="13" max="16" width="20.63"/>
    <col customWidth="1" min="17" max="17" width="26.25"/>
    <col customWidth="1" min="18" max="18" width="24.88"/>
  </cols>
  <sheetData>
    <row r="1">
      <c r="A1" s="3" t="s">
        <v>2</v>
      </c>
      <c r="B1" s="3" t="s">
        <v>0</v>
      </c>
      <c r="C1" s="3" t="s">
        <v>3</v>
      </c>
      <c r="D1" s="3" t="s">
        <v>4</v>
      </c>
      <c r="E1" s="3" t="s">
        <v>5</v>
      </c>
      <c r="F1" s="3" t="s">
        <v>6</v>
      </c>
      <c r="G1" s="3" t="s">
        <v>7</v>
      </c>
      <c r="H1" s="3" t="s">
        <v>8</v>
      </c>
      <c r="I1" s="3" t="s">
        <v>9</v>
      </c>
      <c r="J1" s="3" t="s">
        <v>10</v>
      </c>
      <c r="K1" s="3" t="s">
        <v>11</v>
      </c>
      <c r="L1" s="3" t="s">
        <v>12</v>
      </c>
      <c r="M1" s="3" t="s">
        <v>13</v>
      </c>
      <c r="N1" s="3" t="s">
        <v>14</v>
      </c>
      <c r="O1" s="3" t="s">
        <v>15</v>
      </c>
      <c r="P1" s="3" t="s">
        <v>16</v>
      </c>
      <c r="Q1" s="4" t="s">
        <v>17</v>
      </c>
      <c r="R1" s="5"/>
      <c r="S1" s="5"/>
      <c r="T1" s="5"/>
      <c r="U1" s="5"/>
      <c r="V1" s="5"/>
      <c r="W1" s="5"/>
      <c r="X1" s="5"/>
      <c r="Y1" s="5"/>
      <c r="Z1" s="5"/>
      <c r="AA1" s="5"/>
      <c r="AB1" s="5"/>
      <c r="AC1" s="5"/>
      <c r="AD1" s="5"/>
      <c r="AE1" s="5"/>
      <c r="AF1" s="5"/>
      <c r="AG1" s="5"/>
      <c r="AH1" s="5"/>
      <c r="AI1" s="5"/>
      <c r="AJ1" s="5"/>
    </row>
    <row r="2">
      <c r="A2" s="6">
        <v>1.0</v>
      </c>
      <c r="B2" s="6" t="s">
        <v>18</v>
      </c>
      <c r="C2" s="6" t="s">
        <v>18</v>
      </c>
      <c r="D2" s="7"/>
      <c r="E2" s="7"/>
      <c r="F2" s="6" t="str">
        <f t="array" ref="F2">TEXTJOIN("",FALSE,IF(NOT(ISBLANK(C2)), IF(E:E=C2,C:C &amp; "; ",""), ""))</f>
        <v>Comparison Sorting; Non-Comparison Sorting; </v>
      </c>
      <c r="G2" s="7" t="s">
        <v>19</v>
      </c>
      <c r="H2" s="8" t="s">
        <v>20</v>
      </c>
      <c r="I2" s="7" t="s">
        <v>21</v>
      </c>
      <c r="J2" s="6" t="s">
        <v>22</v>
      </c>
      <c r="K2" s="6" t="s">
        <v>22</v>
      </c>
      <c r="L2" s="6" t="s">
        <v>22</v>
      </c>
      <c r="M2" s="6"/>
      <c r="N2" s="6"/>
      <c r="O2" s="6"/>
      <c r="P2" s="6"/>
      <c r="Q2" s="9" t="s">
        <v>23</v>
      </c>
    </row>
    <row r="3">
      <c r="A3" s="6">
        <v>1.0</v>
      </c>
      <c r="B3" s="6" t="s">
        <v>18</v>
      </c>
      <c r="C3" s="10" t="s">
        <v>24</v>
      </c>
      <c r="D3" s="7"/>
      <c r="E3" s="7" t="s">
        <v>18</v>
      </c>
      <c r="F3" s="6" t="str">
        <f t="array" ref="F3">TEXTJOIN("",FALSE,IF(NOT(ISBLANK(C3)), IF(E:E=C3,C:C &amp; "; ",""), ""))</f>
        <v/>
      </c>
      <c r="G3" s="7" t="s">
        <v>25</v>
      </c>
      <c r="H3" s="11" t="s">
        <v>20</v>
      </c>
      <c r="I3" s="7" t="s">
        <v>21</v>
      </c>
      <c r="J3" s="6" t="s">
        <v>22</v>
      </c>
      <c r="K3" s="6" t="s">
        <v>22</v>
      </c>
      <c r="L3" s="6" t="s">
        <v>22</v>
      </c>
      <c r="M3" s="6" t="s">
        <v>26</v>
      </c>
      <c r="N3" s="6" t="s">
        <v>27</v>
      </c>
      <c r="O3" s="6" t="s">
        <v>28</v>
      </c>
      <c r="P3" s="6" t="s">
        <v>27</v>
      </c>
      <c r="Q3" s="9" t="s">
        <v>23</v>
      </c>
    </row>
    <row r="4">
      <c r="A4" s="6">
        <v>1.0</v>
      </c>
      <c r="B4" s="6" t="s">
        <v>18</v>
      </c>
      <c r="C4" s="6" t="s">
        <v>29</v>
      </c>
      <c r="D4" s="7"/>
      <c r="E4" s="7" t="s">
        <v>18</v>
      </c>
      <c r="F4" s="6" t="str">
        <f t="array" ref="F4">TEXTJOIN("",FALSE,IF(NOT(ISBLANK(C4)), IF(E:E=C4,C:C &amp; "; ",""), ""))</f>
        <v/>
      </c>
      <c r="G4" s="7" t="s">
        <v>30</v>
      </c>
      <c r="H4" s="12" t="s">
        <v>20</v>
      </c>
      <c r="I4" s="7" t="s">
        <v>21</v>
      </c>
      <c r="J4" s="6" t="s">
        <v>22</v>
      </c>
      <c r="K4" s="6" t="s">
        <v>22</v>
      </c>
      <c r="L4" s="6" t="s">
        <v>22</v>
      </c>
      <c r="M4" s="13"/>
      <c r="N4" s="13"/>
      <c r="O4" s="13"/>
      <c r="P4" s="13"/>
      <c r="Q4" s="9" t="s">
        <v>23</v>
      </c>
    </row>
    <row r="5">
      <c r="A5" s="6">
        <v>2.0</v>
      </c>
      <c r="B5" s="6" t="s">
        <v>31</v>
      </c>
      <c r="C5" s="6" t="s">
        <v>31</v>
      </c>
      <c r="D5" s="14"/>
      <c r="E5" s="14"/>
      <c r="F5" s="6" t="str">
        <f t="array" ref="F5">TEXTJOIN("",FALSE,IF(NOT(ISBLANK(C5)), IF(E:E=C5,C:C &amp; "; ",""), ""))</f>
        <v/>
      </c>
      <c r="G5" s="14" t="s">
        <v>32</v>
      </c>
      <c r="H5" s="12" t="s">
        <v>33</v>
      </c>
      <c r="I5" s="7" t="s">
        <v>21</v>
      </c>
      <c r="J5" s="6" t="s">
        <v>22</v>
      </c>
      <c r="K5" s="6" t="s">
        <v>22</v>
      </c>
      <c r="L5" s="6" t="s">
        <v>34</v>
      </c>
      <c r="M5" s="6" t="s">
        <v>35</v>
      </c>
      <c r="N5" s="15" t="s">
        <v>36</v>
      </c>
      <c r="O5" s="6" t="s">
        <v>37</v>
      </c>
      <c r="P5" s="6" t="s">
        <v>38</v>
      </c>
      <c r="Q5" s="7" t="s">
        <v>23</v>
      </c>
    </row>
    <row r="6">
      <c r="A6" s="16">
        <v>3.0</v>
      </c>
      <c r="B6" s="16" t="s">
        <v>39</v>
      </c>
      <c r="C6" s="16" t="s">
        <v>40</v>
      </c>
      <c r="D6" s="6" t="s">
        <v>41</v>
      </c>
      <c r="E6" s="6"/>
      <c r="F6" s="6" t="str">
        <f t="array" ref="F6">TEXTJOIN("",FALSE,IF(NOT(ISBLANK(C6)), IF(E:E=C6,C:C &amp; "; ",""), ""))</f>
        <v>Approximate MCOP; </v>
      </c>
      <c r="G6" s="6" t="s">
        <v>42</v>
      </c>
      <c r="H6" s="12" t="s">
        <v>43</v>
      </c>
      <c r="I6" s="6" t="s">
        <v>44</v>
      </c>
      <c r="J6" s="6" t="s">
        <v>22</v>
      </c>
      <c r="K6" s="6" t="s">
        <v>35</v>
      </c>
      <c r="L6" s="6" t="s">
        <v>35</v>
      </c>
      <c r="M6" s="6" t="s">
        <v>45</v>
      </c>
      <c r="N6" s="17" t="s">
        <v>46</v>
      </c>
      <c r="O6" s="6" t="s">
        <v>37</v>
      </c>
      <c r="P6" s="6" t="s">
        <v>38</v>
      </c>
      <c r="Q6" s="7" t="s">
        <v>23</v>
      </c>
    </row>
    <row r="7">
      <c r="A7" s="16">
        <v>3.0</v>
      </c>
      <c r="B7" s="16" t="s">
        <v>39</v>
      </c>
      <c r="C7" s="16" t="s">
        <v>47</v>
      </c>
      <c r="D7" s="6"/>
      <c r="E7" s="16" t="s">
        <v>40</v>
      </c>
      <c r="F7" s="6" t="str">
        <f t="array" ref="F7">TEXTJOIN("",FALSE,IF(NOT(ISBLANK(C7)), IF(E:E=C7,C:C &amp; "; ",""), ""))</f>
        <v/>
      </c>
      <c r="G7" s="6" t="s">
        <v>48</v>
      </c>
      <c r="H7" s="12" t="s">
        <v>43</v>
      </c>
      <c r="I7" s="6" t="s">
        <v>44</v>
      </c>
      <c r="J7" s="6" t="s">
        <v>22</v>
      </c>
      <c r="K7" s="6" t="s">
        <v>35</v>
      </c>
      <c r="L7" s="6" t="s">
        <v>35</v>
      </c>
      <c r="M7" s="6" t="s">
        <v>49</v>
      </c>
      <c r="N7" s="17" t="s">
        <v>50</v>
      </c>
      <c r="O7" s="6"/>
      <c r="P7" s="6"/>
      <c r="Q7" s="7" t="s">
        <v>23</v>
      </c>
    </row>
    <row r="8">
      <c r="A8" s="16">
        <v>3.0</v>
      </c>
      <c r="B8" s="16" t="s">
        <v>39</v>
      </c>
      <c r="C8" s="16" t="s">
        <v>51</v>
      </c>
      <c r="D8" s="6" t="s">
        <v>52</v>
      </c>
      <c r="E8" s="16"/>
      <c r="F8" s="6" t="str">
        <f t="array" ref="F8">TEXTJOIN("",FALSE,IF(NOT(ISBLANK(C8)), IF(E:E=C8,C:C &amp; "; ",""), ""))</f>
        <v>Approximate MCSP; </v>
      </c>
      <c r="G8" s="6" t="s">
        <v>53</v>
      </c>
      <c r="H8" s="12" t="s">
        <v>54</v>
      </c>
      <c r="I8" s="6" t="s">
        <v>55</v>
      </c>
      <c r="J8" s="6" t="s">
        <v>22</v>
      </c>
      <c r="K8" s="6" t="s">
        <v>35</v>
      </c>
      <c r="L8" s="6" t="s">
        <v>35</v>
      </c>
      <c r="M8" s="6" t="s">
        <v>56</v>
      </c>
      <c r="N8" s="17" t="s">
        <v>57</v>
      </c>
      <c r="O8" s="6" t="s">
        <v>58</v>
      </c>
      <c r="P8" s="18" t="s">
        <v>54</v>
      </c>
      <c r="Q8" s="7" t="s">
        <v>23</v>
      </c>
    </row>
    <row r="9">
      <c r="A9" s="16">
        <v>3.0</v>
      </c>
      <c r="B9" s="16" t="s">
        <v>39</v>
      </c>
      <c r="C9" s="16" t="s">
        <v>59</v>
      </c>
      <c r="D9" s="6"/>
      <c r="E9" s="16" t="s">
        <v>51</v>
      </c>
      <c r="F9" s="6" t="str">
        <f t="array" ref="F9">TEXTJOIN("",FALSE,IF(NOT(ISBLANK(C9)), IF(E:E=C9,C:C &amp; "; ",""), ""))</f>
        <v/>
      </c>
      <c r="G9" s="6" t="s">
        <v>60</v>
      </c>
      <c r="H9" s="12" t="s">
        <v>54</v>
      </c>
      <c r="I9" s="6" t="s">
        <v>55</v>
      </c>
      <c r="J9" s="6" t="s">
        <v>22</v>
      </c>
      <c r="K9" s="6" t="s">
        <v>35</v>
      </c>
      <c r="L9" s="6" t="s">
        <v>35</v>
      </c>
      <c r="M9" s="6" t="s">
        <v>61</v>
      </c>
      <c r="N9" s="17" t="s">
        <v>62</v>
      </c>
      <c r="O9" s="6"/>
      <c r="P9" s="6"/>
      <c r="Q9" s="7" t="s">
        <v>23</v>
      </c>
    </row>
    <row r="10">
      <c r="A10" s="16">
        <v>4.0</v>
      </c>
      <c r="B10" s="16" t="s">
        <v>63</v>
      </c>
      <c r="C10" s="16" t="s">
        <v>63</v>
      </c>
      <c r="D10" s="14" t="s">
        <v>64</v>
      </c>
      <c r="E10" s="14"/>
      <c r="F10" s="6" t="str">
        <f t="array" ref="F10">TEXTJOIN("",FALSE,IF(NOT(ISBLANK(C10)), IF(E:E=C10,C:C &amp; "; ",""), ""))</f>
        <v>Longest Common Substring with don't cares; </v>
      </c>
      <c r="G10" s="14" t="s">
        <v>65</v>
      </c>
      <c r="H10" s="12" t="s">
        <v>66</v>
      </c>
      <c r="I10" s="7" t="s">
        <v>67</v>
      </c>
      <c r="J10" s="6" t="s">
        <v>68</v>
      </c>
      <c r="K10" s="6" t="s">
        <v>68</v>
      </c>
      <c r="L10" s="6" t="s">
        <v>69</v>
      </c>
      <c r="M10" s="13"/>
      <c r="N10" s="13"/>
      <c r="O10" s="6" t="s">
        <v>70</v>
      </c>
      <c r="P10" s="19" t="s">
        <v>71</v>
      </c>
      <c r="Q10" s="7" t="s">
        <v>23</v>
      </c>
    </row>
    <row r="11">
      <c r="A11" s="16">
        <v>4.0</v>
      </c>
      <c r="B11" s="16" t="s">
        <v>63</v>
      </c>
      <c r="C11" s="16" t="s">
        <v>72</v>
      </c>
      <c r="D11" s="14"/>
      <c r="E11" s="16" t="s">
        <v>63</v>
      </c>
      <c r="F11" s="6" t="str">
        <f t="array" ref="F11">TEXTJOIN("",FALSE,IF(NOT(ISBLANK(C11)), IF(E:E=C11,C:C &amp; "; ",""), ""))</f>
        <v/>
      </c>
      <c r="G11" s="14" t="s">
        <v>73</v>
      </c>
      <c r="H11" s="12" t="s">
        <v>74</v>
      </c>
      <c r="I11" s="7" t="s">
        <v>67</v>
      </c>
      <c r="J11" s="6" t="s">
        <v>68</v>
      </c>
      <c r="K11" s="6" t="s">
        <v>68</v>
      </c>
      <c r="L11" s="6" t="s">
        <v>69</v>
      </c>
      <c r="M11" s="13"/>
      <c r="N11" s="13"/>
      <c r="O11" s="6" t="s">
        <v>70</v>
      </c>
      <c r="P11" s="19" t="s">
        <v>75</v>
      </c>
      <c r="Q11" s="9" t="s">
        <v>23</v>
      </c>
    </row>
    <row r="12">
      <c r="A12" s="16">
        <v>5.0</v>
      </c>
      <c r="B12" s="16" t="s">
        <v>76</v>
      </c>
      <c r="C12" s="6" t="s">
        <v>77</v>
      </c>
      <c r="D12" s="14"/>
      <c r="E12" s="14"/>
      <c r="F12" s="6" t="str">
        <f t="array" ref="F12">TEXTJOIN("",FALSE,IF(NOT(ISBLANK(C12)), IF(E:E=C12,C:C &amp; "; ",""), ""))</f>
        <v/>
      </c>
      <c r="G12" s="14" t="s">
        <v>78</v>
      </c>
      <c r="H12" s="12" t="s">
        <v>79</v>
      </c>
      <c r="I12" s="6" t="s">
        <v>80</v>
      </c>
      <c r="J12" s="16" t="s">
        <v>81</v>
      </c>
      <c r="K12" s="16" t="s">
        <v>82</v>
      </c>
      <c r="L12" s="16" t="s">
        <v>83</v>
      </c>
      <c r="M12" s="16"/>
      <c r="N12" s="6"/>
      <c r="O12" s="13"/>
      <c r="P12" s="13"/>
      <c r="Q12" s="9" t="s">
        <v>23</v>
      </c>
    </row>
    <row r="13">
      <c r="A13" s="16">
        <v>5.0</v>
      </c>
      <c r="B13" s="16" t="s">
        <v>76</v>
      </c>
      <c r="C13" s="16" t="s">
        <v>84</v>
      </c>
      <c r="D13" s="14"/>
      <c r="E13" s="14" t="s">
        <v>85</v>
      </c>
      <c r="F13" s="6" t="str">
        <f t="array" ref="F13">TEXTJOIN("",FALSE,IF(NOT(ISBLANK(C13)), IF(E:E=C13,C:C &amp; "; ",""), ""))</f>
        <v>Unweighted Maximum Flow; </v>
      </c>
      <c r="G13" s="14" t="s">
        <v>86</v>
      </c>
      <c r="H13" s="12" t="s">
        <v>79</v>
      </c>
      <c r="I13" s="6" t="s">
        <v>80</v>
      </c>
      <c r="J13" s="16" t="s">
        <v>81</v>
      </c>
      <c r="K13" s="16" t="s">
        <v>82</v>
      </c>
      <c r="L13" s="16" t="s">
        <v>83</v>
      </c>
      <c r="M13" s="16" t="s">
        <v>87</v>
      </c>
      <c r="N13" s="6" t="s">
        <v>88</v>
      </c>
      <c r="O13" s="13"/>
      <c r="P13" s="13"/>
      <c r="Q13" s="9" t="s">
        <v>23</v>
      </c>
    </row>
    <row r="14">
      <c r="A14" s="16">
        <v>5.0</v>
      </c>
      <c r="B14" s="16" t="s">
        <v>76</v>
      </c>
      <c r="C14" s="16" t="s">
        <v>89</v>
      </c>
      <c r="D14" s="14"/>
      <c r="E14" s="14" t="s">
        <v>84</v>
      </c>
      <c r="F14" s="6" t="str">
        <f t="array" ref="F14">TEXTJOIN("",FALSE,IF(NOT(ISBLANK(C14)), IF(E:E=C14,C:C &amp; "; ",""), ""))</f>
        <v/>
      </c>
      <c r="G14" s="14" t="s">
        <v>90</v>
      </c>
      <c r="H14" s="12" t="s">
        <v>79</v>
      </c>
      <c r="I14" s="6" t="s">
        <v>91</v>
      </c>
      <c r="J14" s="16" t="s">
        <v>81</v>
      </c>
      <c r="K14" s="16" t="s">
        <v>92</v>
      </c>
      <c r="L14" s="16" t="s">
        <v>93</v>
      </c>
      <c r="M14" s="16" t="s">
        <v>94</v>
      </c>
      <c r="N14" s="18" t="s">
        <v>95</v>
      </c>
      <c r="O14" s="13"/>
      <c r="P14" s="13"/>
      <c r="Q14" s="9" t="s">
        <v>23</v>
      </c>
    </row>
    <row r="15">
      <c r="A15" s="16">
        <v>5.0</v>
      </c>
      <c r="B15" s="16" t="s">
        <v>76</v>
      </c>
      <c r="C15" s="16" t="s">
        <v>96</v>
      </c>
      <c r="D15" s="14"/>
      <c r="E15" s="14"/>
      <c r="F15" s="6" t="str">
        <f t="array" ref="F15">TEXTJOIN("",FALSE,IF(NOT(ISBLANK(C15)), IF(E:E=C15,C:C &amp; "; ",""), ""))</f>
        <v>Integer Maximum Flow; </v>
      </c>
      <c r="G15" s="14" t="s">
        <v>97</v>
      </c>
      <c r="H15" s="12" t="s">
        <v>79</v>
      </c>
      <c r="I15" s="6" t="s">
        <v>80</v>
      </c>
      <c r="J15" s="16" t="s">
        <v>81</v>
      </c>
      <c r="K15" s="6" t="s">
        <v>82</v>
      </c>
      <c r="L15" s="16" t="s">
        <v>83</v>
      </c>
      <c r="M15" s="13"/>
      <c r="N15" s="13"/>
      <c r="O15" s="13"/>
      <c r="P15" s="13"/>
      <c r="Q15" s="9" t="s">
        <v>23</v>
      </c>
    </row>
    <row r="16">
      <c r="A16" s="16">
        <v>5.0</v>
      </c>
      <c r="B16" s="16" t="s">
        <v>76</v>
      </c>
      <c r="C16" s="16" t="s">
        <v>98</v>
      </c>
      <c r="D16" s="14" t="s">
        <v>99</v>
      </c>
      <c r="E16" s="14"/>
      <c r="F16" s="6" t="str">
        <f t="array" ref="F16">TEXTJOIN("",FALSE,IF(NOT(ISBLANK(C16)), IF(E:E=C16,C:C &amp; "; ",""), ""))</f>
        <v/>
      </c>
      <c r="G16" s="14" t="s">
        <v>100</v>
      </c>
      <c r="H16" s="12" t="s">
        <v>101</v>
      </c>
      <c r="I16" s="6" t="s">
        <v>102</v>
      </c>
      <c r="J16" s="16" t="s">
        <v>81</v>
      </c>
      <c r="K16" s="6" t="s">
        <v>82</v>
      </c>
      <c r="L16" s="16" t="s">
        <v>83</v>
      </c>
      <c r="M16" s="16" t="s">
        <v>103</v>
      </c>
      <c r="N16" s="18" t="s">
        <v>95</v>
      </c>
      <c r="O16" s="13"/>
      <c r="P16" s="13"/>
      <c r="Q16" s="9" t="s">
        <v>23</v>
      </c>
    </row>
    <row r="17">
      <c r="A17" s="16">
        <v>5.0</v>
      </c>
      <c r="B17" s="16" t="s">
        <v>76</v>
      </c>
      <c r="C17" s="6" t="s">
        <v>104</v>
      </c>
      <c r="D17" s="14"/>
      <c r="E17" s="14"/>
      <c r="F17" s="6" t="str">
        <f t="array" ref="F17">TEXTJOIN("",FALSE,IF(NOT(ISBLANK(C17)), IF(E:E=C17,C:C &amp; "; ",""), ""))</f>
        <v/>
      </c>
      <c r="G17" s="14" t="s">
        <v>105</v>
      </c>
      <c r="H17" s="12" t="s">
        <v>79</v>
      </c>
      <c r="I17" s="6" t="s">
        <v>91</v>
      </c>
      <c r="J17" s="16" t="s">
        <v>81</v>
      </c>
      <c r="K17" s="16"/>
      <c r="L17" s="16"/>
      <c r="M17" s="16"/>
      <c r="N17" s="6"/>
      <c r="O17" s="13"/>
      <c r="P17" s="13"/>
      <c r="Q17" s="9" t="s">
        <v>23</v>
      </c>
    </row>
    <row r="18">
      <c r="A18" s="16">
        <v>5.0</v>
      </c>
      <c r="B18" s="16" t="s">
        <v>76</v>
      </c>
      <c r="C18" s="6" t="s">
        <v>106</v>
      </c>
      <c r="D18" s="14"/>
      <c r="E18" s="14"/>
      <c r="F18" s="6" t="str">
        <f t="array" ref="F18">TEXTJOIN("",FALSE,IF(NOT(ISBLANK(C18)), IF(E:E=C18,C:C &amp; "; ",""), ""))</f>
        <v/>
      </c>
      <c r="G18" s="14" t="s">
        <v>107</v>
      </c>
      <c r="H18" s="12" t="s">
        <v>79</v>
      </c>
      <c r="I18" s="6" t="s">
        <v>91</v>
      </c>
      <c r="J18" s="16" t="s">
        <v>81</v>
      </c>
      <c r="K18" s="16"/>
      <c r="L18" s="16"/>
      <c r="M18" s="16"/>
      <c r="O18" s="13"/>
      <c r="P18" s="20" t="s">
        <v>108</v>
      </c>
      <c r="Q18" s="9" t="s">
        <v>23</v>
      </c>
    </row>
    <row r="19">
      <c r="A19" s="16">
        <v>6.0</v>
      </c>
      <c r="B19" s="21" t="s">
        <v>109</v>
      </c>
      <c r="C19" s="16" t="s">
        <v>110</v>
      </c>
      <c r="D19" s="14"/>
      <c r="E19" s="14"/>
      <c r="F19" s="6" t="str">
        <f t="array" ref="F19">TEXTJOIN("",FALSE,IF(NOT(ISBLANK(C19)), IF(E:E=C19,C:C &amp; "; ",""), ""))</f>
        <v>Boolean Matrix Multiplication; Matrix Product Verification; </v>
      </c>
      <c r="G19" s="14" t="s">
        <v>111</v>
      </c>
      <c r="H19" s="12" t="s">
        <v>112</v>
      </c>
      <c r="I19" s="6" t="s">
        <v>113</v>
      </c>
      <c r="J19" s="6" t="s">
        <v>114</v>
      </c>
      <c r="K19" s="6" t="s">
        <v>115</v>
      </c>
      <c r="L19" s="6" t="s">
        <v>115</v>
      </c>
      <c r="M19" s="22" t="s">
        <v>116</v>
      </c>
      <c r="N19" s="17" t="s">
        <v>117</v>
      </c>
      <c r="O19" s="6" t="s">
        <v>70</v>
      </c>
      <c r="P19" s="6" t="s">
        <v>38</v>
      </c>
      <c r="Q19" s="9" t="s">
        <v>23</v>
      </c>
    </row>
    <row r="20">
      <c r="A20" s="16">
        <v>6.0</v>
      </c>
      <c r="B20" s="21" t="s">
        <v>109</v>
      </c>
      <c r="C20" s="16" t="s">
        <v>118</v>
      </c>
      <c r="D20" s="14" t="s">
        <v>119</v>
      </c>
      <c r="E20" s="16" t="s">
        <v>110</v>
      </c>
      <c r="F20" s="6" t="str">
        <f t="array" ref="F20">TEXTJOIN("",FALSE,IF(NOT(ISBLANK(C20)), IF(E:E=C20,C:C &amp; "; ",""), ""))</f>
        <v>Boolean Matrix Multiplication (Combinatorial); </v>
      </c>
      <c r="G20" s="14" t="s">
        <v>120</v>
      </c>
      <c r="H20" s="12" t="s">
        <v>121</v>
      </c>
      <c r="I20" s="6" t="s">
        <v>113</v>
      </c>
      <c r="J20" s="6" t="s">
        <v>114</v>
      </c>
      <c r="K20" s="6" t="s">
        <v>115</v>
      </c>
      <c r="L20" s="6" t="s">
        <v>115</v>
      </c>
      <c r="M20" s="22" t="s">
        <v>116</v>
      </c>
      <c r="N20" s="17" t="s">
        <v>117</v>
      </c>
      <c r="O20" s="6" t="s">
        <v>70</v>
      </c>
      <c r="P20" s="6" t="s">
        <v>38</v>
      </c>
      <c r="Q20" s="9" t="s">
        <v>23</v>
      </c>
    </row>
    <row r="21">
      <c r="A21" s="16">
        <v>6.0</v>
      </c>
      <c r="B21" s="21" t="s">
        <v>109</v>
      </c>
      <c r="C21" s="16" t="s">
        <v>122</v>
      </c>
      <c r="D21" s="14" t="s">
        <v>123</v>
      </c>
      <c r="E21" s="16" t="s">
        <v>118</v>
      </c>
      <c r="F21" s="6" t="str">
        <f t="array" ref="F21">TEXTJOIN("",FALSE,IF(NOT(ISBLANK(C21)), IF(E:E=C21,C:C &amp; "; ",""), ""))</f>
        <v/>
      </c>
      <c r="G21" s="14" t="s">
        <v>124</v>
      </c>
      <c r="H21" s="12" t="s">
        <v>125</v>
      </c>
      <c r="I21" s="6" t="s">
        <v>113</v>
      </c>
      <c r="J21" s="6" t="s">
        <v>114</v>
      </c>
      <c r="K21" s="6" t="s">
        <v>115</v>
      </c>
      <c r="L21" s="6" t="s">
        <v>115</v>
      </c>
      <c r="M21" s="23" t="s">
        <v>126</v>
      </c>
      <c r="N21" s="24" t="s">
        <v>127</v>
      </c>
      <c r="O21" s="9" t="s">
        <v>128</v>
      </c>
      <c r="P21" s="6" t="s">
        <v>129</v>
      </c>
      <c r="Q21" s="9" t="s">
        <v>23</v>
      </c>
    </row>
    <row r="22">
      <c r="A22" s="16">
        <v>6.0</v>
      </c>
      <c r="B22" s="21" t="s">
        <v>109</v>
      </c>
      <c r="C22" s="16" t="s">
        <v>130</v>
      </c>
      <c r="D22" s="14"/>
      <c r="E22" s="16" t="s">
        <v>110</v>
      </c>
      <c r="F22" s="6" t="str">
        <f t="array" ref="F22">TEXTJOIN("",FALSE,IF(NOT(ISBLANK(C22)), IF(E:E=C22,C:C &amp; "; ",""), ""))</f>
        <v/>
      </c>
      <c r="G22" s="14" t="s">
        <v>131</v>
      </c>
      <c r="H22" s="12" t="s">
        <v>125</v>
      </c>
      <c r="I22" s="6" t="s">
        <v>113</v>
      </c>
      <c r="J22" s="6" t="s">
        <v>114</v>
      </c>
      <c r="K22" s="6" t="s">
        <v>115</v>
      </c>
      <c r="L22" s="6" t="s">
        <v>34</v>
      </c>
      <c r="M22" s="22"/>
      <c r="N22" s="17"/>
      <c r="P22" s="6"/>
      <c r="Q22" s="9" t="s">
        <v>23</v>
      </c>
    </row>
    <row r="23">
      <c r="A23" s="16">
        <v>6.0</v>
      </c>
      <c r="B23" s="21" t="s">
        <v>109</v>
      </c>
      <c r="C23" s="16" t="s">
        <v>132</v>
      </c>
      <c r="D23" s="6" t="s">
        <v>133</v>
      </c>
      <c r="E23" s="14"/>
      <c r="F23" s="6" t="str">
        <f t="array" ref="F23">TEXTJOIN("",FALSE,IF(NOT(ISBLANK(C23)), IF(E:E=C23,C:C &amp; "; ",""), ""))</f>
        <v/>
      </c>
      <c r="G23" s="14" t="s">
        <v>134</v>
      </c>
      <c r="H23" s="12" t="s">
        <v>125</v>
      </c>
      <c r="I23" s="6" t="s">
        <v>113</v>
      </c>
      <c r="J23" s="6" t="s">
        <v>114</v>
      </c>
      <c r="K23" s="6" t="s">
        <v>115</v>
      </c>
      <c r="L23" s="6" t="s">
        <v>115</v>
      </c>
      <c r="M23" s="22"/>
      <c r="N23" s="17"/>
      <c r="P23" s="6"/>
      <c r="Q23" s="9" t="s">
        <v>23</v>
      </c>
    </row>
    <row r="24">
      <c r="A24" s="16">
        <v>6.0</v>
      </c>
      <c r="B24" s="21" t="s">
        <v>109</v>
      </c>
      <c r="C24" s="6" t="s">
        <v>135</v>
      </c>
      <c r="D24" s="6" t="s">
        <v>136</v>
      </c>
      <c r="E24" s="14"/>
      <c r="F24" s="6" t="str">
        <f t="array" ref="F24">TEXTJOIN("",FALSE,IF(NOT(ISBLANK(C24)), IF(E:E=C24,C:C &amp; "; ",""), ""))</f>
        <v/>
      </c>
      <c r="G24" s="14" t="s">
        <v>137</v>
      </c>
      <c r="H24" s="12" t="s">
        <v>125</v>
      </c>
      <c r="I24" s="6" t="s">
        <v>113</v>
      </c>
      <c r="J24" s="6" t="s">
        <v>114</v>
      </c>
      <c r="K24" s="6" t="s">
        <v>115</v>
      </c>
      <c r="L24" s="6" t="s">
        <v>115</v>
      </c>
      <c r="M24" s="22"/>
      <c r="N24" s="17"/>
      <c r="P24" s="6"/>
      <c r="Q24" s="9" t="s">
        <v>23</v>
      </c>
    </row>
    <row r="25">
      <c r="A25" s="16">
        <v>9.0</v>
      </c>
      <c r="B25" s="16" t="s">
        <v>138</v>
      </c>
      <c r="C25" s="16" t="s">
        <v>139</v>
      </c>
      <c r="D25" s="7"/>
      <c r="E25" s="7"/>
      <c r="F25" s="6" t="str">
        <f t="array" ref="F25">TEXTJOIN("",FALSE,IF(NOT(ISBLANK(C25)), IF(E:E=C25,C:C &amp; "; ",""), ""))</f>
        <v>Sparse Linear System; Positive Definite, Hermitian Matrix; Non-Definite, Symmetric Matrix; Toeplitz Matrix; Vandermonde Matrix; </v>
      </c>
      <c r="G25" s="7" t="s">
        <v>140</v>
      </c>
      <c r="H25" s="12" t="s">
        <v>141</v>
      </c>
      <c r="I25" s="6" t="s">
        <v>142</v>
      </c>
      <c r="J25" s="6" t="s">
        <v>114</v>
      </c>
      <c r="K25" s="6" t="s">
        <v>115</v>
      </c>
      <c r="L25" s="6" t="s">
        <v>35</v>
      </c>
      <c r="M25" s="22" t="s">
        <v>116</v>
      </c>
      <c r="N25" s="6" t="s">
        <v>143</v>
      </c>
      <c r="O25" s="6" t="s">
        <v>70</v>
      </c>
      <c r="P25" s="6" t="s">
        <v>38</v>
      </c>
      <c r="Q25" s="9" t="s">
        <v>144</v>
      </c>
    </row>
    <row r="26">
      <c r="A26" s="16">
        <v>9.0</v>
      </c>
      <c r="B26" s="16" t="s">
        <v>138</v>
      </c>
      <c r="C26" s="16" t="s">
        <v>145</v>
      </c>
      <c r="D26" s="7"/>
      <c r="E26" s="16" t="s">
        <v>139</v>
      </c>
      <c r="F26" s="6" t="str">
        <f t="array" ref="F26">TEXTJOIN("",FALSE,IF(NOT(ISBLANK(C26)), IF(E:E=C26,C:C &amp; "; ",""), ""))</f>
        <v/>
      </c>
      <c r="G26" s="7" t="s">
        <v>146</v>
      </c>
      <c r="H26" s="12" t="s">
        <v>147</v>
      </c>
      <c r="I26" s="6" t="s">
        <v>142</v>
      </c>
      <c r="J26" s="6" t="s">
        <v>114</v>
      </c>
      <c r="K26" s="6" t="s">
        <v>148</v>
      </c>
      <c r="L26" s="6" t="s">
        <v>35</v>
      </c>
      <c r="M26" s="6" t="s">
        <v>149</v>
      </c>
      <c r="N26" s="25" t="s">
        <v>150</v>
      </c>
      <c r="O26" s="6" t="s">
        <v>37</v>
      </c>
      <c r="P26" s="6" t="s">
        <v>38</v>
      </c>
      <c r="Q26" s="9" t="s">
        <v>144</v>
      </c>
    </row>
    <row r="27">
      <c r="A27" s="16">
        <v>9.0</v>
      </c>
      <c r="B27" s="16" t="s">
        <v>138</v>
      </c>
      <c r="C27" s="16" t="s">
        <v>151</v>
      </c>
      <c r="D27" s="7"/>
      <c r="E27" s="16" t="s">
        <v>139</v>
      </c>
      <c r="F27" s="6" t="str">
        <f t="array" ref="F27">TEXTJOIN("",FALSE,IF(NOT(ISBLANK(C27)), IF(E:E=C27,C:C &amp; "; ",""), ""))</f>
        <v/>
      </c>
      <c r="G27" s="7" t="s">
        <v>152</v>
      </c>
      <c r="H27" s="12" t="s">
        <v>153</v>
      </c>
      <c r="I27" s="6" t="s">
        <v>142</v>
      </c>
      <c r="J27" s="6" t="s">
        <v>114</v>
      </c>
      <c r="K27" s="6" t="s">
        <v>115</v>
      </c>
      <c r="L27" s="6" t="s">
        <v>35</v>
      </c>
      <c r="M27" s="22" t="s">
        <v>116</v>
      </c>
      <c r="N27" s="6" t="s">
        <v>143</v>
      </c>
      <c r="O27" s="6" t="s">
        <v>70</v>
      </c>
      <c r="P27" s="6" t="s">
        <v>38</v>
      </c>
      <c r="Q27" s="9" t="s">
        <v>144</v>
      </c>
    </row>
    <row r="28">
      <c r="A28" s="16">
        <v>9.0</v>
      </c>
      <c r="B28" s="16" t="s">
        <v>138</v>
      </c>
      <c r="C28" s="16" t="s">
        <v>154</v>
      </c>
      <c r="D28" s="7"/>
      <c r="E28" s="16" t="s">
        <v>139</v>
      </c>
      <c r="F28" s="6" t="str">
        <f t="array" ref="F28">TEXTJOIN("",FALSE,IF(NOT(ISBLANK(C28)), IF(E:E=C28,C:C &amp; "; ",""), ""))</f>
        <v/>
      </c>
      <c r="G28" s="7" t="s">
        <v>155</v>
      </c>
      <c r="H28" s="12" t="s">
        <v>156</v>
      </c>
      <c r="I28" s="6" t="s">
        <v>142</v>
      </c>
      <c r="J28" s="6" t="s">
        <v>114</v>
      </c>
      <c r="K28" s="6" t="s">
        <v>115</v>
      </c>
      <c r="L28" s="6" t="s">
        <v>35</v>
      </c>
      <c r="M28" s="22" t="s">
        <v>116</v>
      </c>
      <c r="N28" s="6" t="s">
        <v>143</v>
      </c>
      <c r="O28" s="6" t="s">
        <v>70</v>
      </c>
      <c r="P28" s="6" t="s">
        <v>38</v>
      </c>
      <c r="Q28" s="9" t="s">
        <v>144</v>
      </c>
    </row>
    <row r="29">
      <c r="A29" s="16">
        <v>9.0</v>
      </c>
      <c r="B29" s="16" t="s">
        <v>138</v>
      </c>
      <c r="C29" s="16" t="s">
        <v>157</v>
      </c>
      <c r="D29" s="7"/>
      <c r="E29" s="16" t="s">
        <v>139</v>
      </c>
      <c r="F29" s="6" t="str">
        <f t="array" ref="F29">TEXTJOIN("",FALSE,IF(NOT(ISBLANK(C29)), IF(E:E=C29,C:C &amp; "; ",""), ""))</f>
        <v/>
      </c>
      <c r="G29" s="7" t="s">
        <v>158</v>
      </c>
      <c r="H29" s="12" t="s">
        <v>159</v>
      </c>
      <c r="I29" s="6" t="s">
        <v>142</v>
      </c>
      <c r="J29" s="6" t="s">
        <v>114</v>
      </c>
      <c r="K29" s="16" t="s">
        <v>35</v>
      </c>
      <c r="L29" s="16" t="s">
        <v>35</v>
      </c>
      <c r="M29" s="16" t="s">
        <v>160</v>
      </c>
      <c r="N29" s="17" t="s">
        <v>161</v>
      </c>
      <c r="O29" s="6" t="s">
        <v>37</v>
      </c>
      <c r="P29" s="6" t="s">
        <v>38</v>
      </c>
      <c r="Q29" s="9" t="s">
        <v>144</v>
      </c>
    </row>
    <row r="30">
      <c r="A30" s="16">
        <v>9.0</v>
      </c>
      <c r="B30" s="16" t="s">
        <v>138</v>
      </c>
      <c r="C30" s="16" t="s">
        <v>162</v>
      </c>
      <c r="D30" s="7"/>
      <c r="E30" s="16" t="s">
        <v>139</v>
      </c>
      <c r="F30" s="6" t="str">
        <f t="array" ref="F30">TEXTJOIN("",FALSE,IF(NOT(ISBLANK(C30)), IF(E:E=C30,C:C &amp; "; ",""), ""))</f>
        <v/>
      </c>
      <c r="G30" s="7" t="s">
        <v>163</v>
      </c>
      <c r="H30" s="12" t="s">
        <v>164</v>
      </c>
      <c r="I30" s="6" t="s">
        <v>142</v>
      </c>
      <c r="J30" s="6" t="s">
        <v>114</v>
      </c>
      <c r="K30" s="16" t="s">
        <v>35</v>
      </c>
      <c r="L30" s="16" t="s">
        <v>35</v>
      </c>
      <c r="M30" s="16" t="s">
        <v>115</v>
      </c>
      <c r="N30" s="10" t="s">
        <v>165</v>
      </c>
      <c r="O30" s="6" t="s">
        <v>37</v>
      </c>
      <c r="P30" s="6" t="s">
        <v>38</v>
      </c>
      <c r="Q30" s="9" t="s">
        <v>144</v>
      </c>
    </row>
    <row r="31">
      <c r="A31" s="16">
        <v>10.0</v>
      </c>
      <c r="B31" s="16" t="s">
        <v>166</v>
      </c>
      <c r="C31" s="16" t="s">
        <v>167</v>
      </c>
      <c r="D31" s="7"/>
      <c r="E31" s="7"/>
      <c r="F31" s="6" t="str">
        <f t="array" ref="F31">TEXTJOIN("",FALSE,IF(NOT(ISBLANK(C31)), IF(E:E=C31,C:C &amp; "; ",""), ""))</f>
        <v>Linear Programming with Reals; </v>
      </c>
      <c r="G31" s="7" t="s">
        <v>168</v>
      </c>
      <c r="H31" s="12" t="s">
        <v>169</v>
      </c>
      <c r="I31" s="6" t="s">
        <v>170</v>
      </c>
      <c r="J31" s="6" t="s">
        <v>22</v>
      </c>
      <c r="K31" s="6" t="s">
        <v>171</v>
      </c>
      <c r="L31" s="6" t="s">
        <v>172</v>
      </c>
      <c r="M31" s="6"/>
      <c r="N31" s="17"/>
      <c r="O31" s="6"/>
      <c r="P31" s="6"/>
      <c r="Q31" s="9" t="s">
        <v>144</v>
      </c>
    </row>
    <row r="32">
      <c r="A32" s="16">
        <v>10.0</v>
      </c>
      <c r="B32" s="16" t="s">
        <v>166</v>
      </c>
      <c r="C32" s="16" t="s">
        <v>173</v>
      </c>
      <c r="D32" s="7"/>
      <c r="E32" s="7" t="s">
        <v>167</v>
      </c>
      <c r="F32" s="6" t="str">
        <f t="array" ref="F32">TEXTJOIN("",FALSE,IF(NOT(ISBLANK(C32)), IF(E:E=C32,C:C &amp; "; ",""), ""))</f>
        <v>Integer Linear Programming; </v>
      </c>
      <c r="G32" s="7" t="s">
        <v>174</v>
      </c>
      <c r="H32" s="12" t="s">
        <v>175</v>
      </c>
      <c r="I32" s="6" t="s">
        <v>170</v>
      </c>
      <c r="J32" s="6" t="s">
        <v>22</v>
      </c>
      <c r="K32" s="6" t="s">
        <v>171</v>
      </c>
      <c r="L32" s="6" t="s">
        <v>172</v>
      </c>
      <c r="M32" s="6" t="s">
        <v>176</v>
      </c>
      <c r="N32" s="17" t="s">
        <v>177</v>
      </c>
      <c r="O32" s="6"/>
      <c r="P32" s="6"/>
      <c r="Q32" s="9" t="s">
        <v>144</v>
      </c>
    </row>
    <row r="33">
      <c r="A33" s="16">
        <v>10.0</v>
      </c>
      <c r="B33" s="16" t="s">
        <v>166</v>
      </c>
      <c r="C33" s="16" t="s">
        <v>178</v>
      </c>
      <c r="D33" s="7" t="s">
        <v>179</v>
      </c>
      <c r="E33" s="16" t="s">
        <v>173</v>
      </c>
      <c r="F33" s="6" t="str">
        <f t="array" ref="F33">TEXTJOIN("",FALSE,IF(NOT(ISBLANK(C33)), IF(E:E=C33,C:C &amp; "; ",""), ""))</f>
        <v>0-1 Linear Programming; </v>
      </c>
      <c r="G33" s="7" t="s">
        <v>180</v>
      </c>
      <c r="H33" s="12" t="s">
        <v>181</v>
      </c>
      <c r="I33" s="6" t="s">
        <v>170</v>
      </c>
      <c r="J33" s="6" t="s">
        <v>22</v>
      </c>
      <c r="K33" s="6" t="s">
        <v>171</v>
      </c>
      <c r="L33" s="6" t="s">
        <v>172</v>
      </c>
      <c r="M33" s="16"/>
      <c r="N33" s="10"/>
      <c r="O33" s="6" t="s">
        <v>182</v>
      </c>
      <c r="P33" s="6" t="s">
        <v>58</v>
      </c>
      <c r="Q33" s="9" t="s">
        <v>144</v>
      </c>
    </row>
    <row r="34">
      <c r="A34" s="16">
        <v>10.0</v>
      </c>
      <c r="B34" s="16" t="s">
        <v>166</v>
      </c>
      <c r="C34" s="16" t="s">
        <v>183</v>
      </c>
      <c r="D34" s="7"/>
      <c r="E34" s="16" t="s">
        <v>178</v>
      </c>
      <c r="F34" s="6" t="str">
        <f t="array" ref="F34">TEXTJOIN("",FALSE,IF(NOT(ISBLANK(C34)), IF(E:E=C34,C:C &amp; "; ",""), ""))</f>
        <v/>
      </c>
      <c r="G34" s="7" t="s">
        <v>184</v>
      </c>
      <c r="H34" s="12" t="s">
        <v>185</v>
      </c>
      <c r="I34" s="6" t="s">
        <v>170</v>
      </c>
      <c r="J34" s="6" t="s">
        <v>22</v>
      </c>
      <c r="K34" s="6" t="s">
        <v>171</v>
      </c>
      <c r="L34" s="6" t="s">
        <v>172</v>
      </c>
      <c r="M34" s="16"/>
      <c r="N34" s="10"/>
      <c r="O34" s="6" t="s">
        <v>182</v>
      </c>
      <c r="P34" s="6" t="s">
        <v>58</v>
      </c>
      <c r="Q34" s="9" t="s">
        <v>144</v>
      </c>
    </row>
    <row r="35">
      <c r="A35" s="16">
        <v>11.0</v>
      </c>
      <c r="B35" s="16" t="s">
        <v>186</v>
      </c>
      <c r="C35" s="16" t="s">
        <v>187</v>
      </c>
      <c r="D35" s="7"/>
      <c r="E35" s="16" t="s">
        <v>188</v>
      </c>
      <c r="F35" s="6" t="str">
        <f t="array" ref="F35">TEXTJOIN("",FALSE,IF(NOT(ISBLANK(C35)), IF(E:E=C35,C:C &amp; "; ",""), ""))</f>
        <v>Counting number of intersection points, line segments; </v>
      </c>
      <c r="G35" s="7" t="s">
        <v>189</v>
      </c>
      <c r="H35" s="11" t="s">
        <v>190</v>
      </c>
      <c r="I35" s="7" t="s">
        <v>191</v>
      </c>
      <c r="J35" s="16" t="s">
        <v>22</v>
      </c>
      <c r="K35" s="16" t="s">
        <v>35</v>
      </c>
      <c r="L35" s="16" t="s">
        <v>192</v>
      </c>
      <c r="M35" s="16" t="s">
        <v>193</v>
      </c>
      <c r="N35" s="25" t="s">
        <v>190</v>
      </c>
      <c r="O35" s="6" t="s">
        <v>194</v>
      </c>
      <c r="P35" s="6" t="s">
        <v>195</v>
      </c>
      <c r="Q35" s="9" t="s">
        <v>196</v>
      </c>
    </row>
    <row r="36">
      <c r="A36" s="16">
        <v>11.0</v>
      </c>
      <c r="B36" s="16" t="s">
        <v>186</v>
      </c>
      <c r="C36" s="16" t="s">
        <v>188</v>
      </c>
      <c r="D36" s="7"/>
      <c r="E36" s="7"/>
      <c r="F36" s="6" t="str">
        <f t="array" ref="F36">TEXTJOIN("",FALSE,IF(NOT(ISBLANK(C36)), IF(E:E=C36,C:C &amp; "; ",""), ""))</f>
        <v>Reporting all intersection points, line segments; </v>
      </c>
      <c r="G36" s="7" t="s">
        <v>197</v>
      </c>
      <c r="H36" s="11" t="s">
        <v>198</v>
      </c>
      <c r="I36" s="7" t="s">
        <v>191</v>
      </c>
      <c r="J36" s="16" t="s">
        <v>22</v>
      </c>
      <c r="K36" s="16" t="s">
        <v>35</v>
      </c>
      <c r="L36" s="16" t="s">
        <v>192</v>
      </c>
      <c r="M36" s="16" t="s">
        <v>193</v>
      </c>
      <c r="N36" s="17" t="s">
        <v>199</v>
      </c>
      <c r="O36" s="6" t="s">
        <v>194</v>
      </c>
      <c r="P36" s="6" t="s">
        <v>195</v>
      </c>
      <c r="Q36" s="9" t="s">
        <v>196</v>
      </c>
      <c r="R36" s="6" t="s">
        <v>200</v>
      </c>
    </row>
    <row r="37">
      <c r="A37" s="16">
        <v>11.0</v>
      </c>
      <c r="B37" s="16" t="s">
        <v>186</v>
      </c>
      <c r="C37" s="16" t="s">
        <v>201</v>
      </c>
      <c r="D37" s="7"/>
      <c r="E37" s="16" t="s">
        <v>202</v>
      </c>
      <c r="F37" s="6" t="str">
        <f t="array" ref="F37">TEXTJOIN("",FALSE,IF(NOT(ISBLANK(C37)), IF(E:E=C37,C:C &amp; "; ",""), ""))</f>
        <v/>
      </c>
      <c r="G37" s="7" t="s">
        <v>203</v>
      </c>
      <c r="H37" s="11" t="s">
        <v>204</v>
      </c>
      <c r="I37" s="7" t="s">
        <v>191</v>
      </c>
      <c r="J37" s="16" t="s">
        <v>22</v>
      </c>
      <c r="K37" s="16" t="s">
        <v>35</v>
      </c>
      <c r="L37" s="16" t="s">
        <v>192</v>
      </c>
      <c r="M37" s="16" t="s">
        <v>193</v>
      </c>
      <c r="N37" s="26" t="s">
        <v>204</v>
      </c>
      <c r="O37" s="6"/>
      <c r="P37" s="6"/>
      <c r="Q37" s="9" t="s">
        <v>196</v>
      </c>
    </row>
    <row r="38">
      <c r="A38" s="16">
        <v>11.0</v>
      </c>
      <c r="B38" s="16" t="s">
        <v>186</v>
      </c>
      <c r="C38" s="16" t="s">
        <v>202</v>
      </c>
      <c r="D38" s="7"/>
      <c r="E38" s="7"/>
      <c r="F38" s="6" t="str">
        <f t="array" ref="F38">TEXTJOIN("",FALSE,IF(NOT(ISBLANK(C38)), IF(E:E=C38,C:C &amp; "; ",""), ""))</f>
        <v>Reporting all intersection points, convex polygons; </v>
      </c>
      <c r="G38" s="7" t="s">
        <v>205</v>
      </c>
      <c r="H38" s="11" t="s">
        <v>204</v>
      </c>
      <c r="I38" s="7" t="s">
        <v>191</v>
      </c>
      <c r="J38" s="16" t="s">
        <v>22</v>
      </c>
      <c r="K38" s="16" t="s">
        <v>35</v>
      </c>
      <c r="L38" s="16" t="s">
        <v>192</v>
      </c>
      <c r="M38" s="16" t="s">
        <v>206</v>
      </c>
      <c r="N38" s="26" t="s">
        <v>204</v>
      </c>
      <c r="O38" s="6"/>
      <c r="P38" s="6"/>
      <c r="Q38" s="9" t="s">
        <v>196</v>
      </c>
    </row>
    <row r="39">
      <c r="A39" s="16">
        <v>11.0</v>
      </c>
      <c r="B39" s="16" t="s">
        <v>186</v>
      </c>
      <c r="C39" s="16" t="s">
        <v>207</v>
      </c>
      <c r="D39" s="7"/>
      <c r="E39" s="16" t="s">
        <v>187</v>
      </c>
      <c r="F39" s="6" t="str">
        <f t="array" ref="F39">TEXTJOIN("",FALSE,IF(NOT(ISBLANK(C39)), IF(E:E=C39,C:C &amp; "; ",""), ""))</f>
        <v/>
      </c>
      <c r="G39" s="7" t="s">
        <v>208</v>
      </c>
      <c r="H39" s="11" t="s">
        <v>209</v>
      </c>
      <c r="I39" s="7" t="s">
        <v>191</v>
      </c>
      <c r="J39" s="16" t="s">
        <v>22</v>
      </c>
      <c r="K39" s="16" t="s">
        <v>35</v>
      </c>
      <c r="L39" s="16" t="s">
        <v>210</v>
      </c>
      <c r="M39" s="16" t="s">
        <v>211</v>
      </c>
      <c r="N39" s="25" t="s">
        <v>209</v>
      </c>
      <c r="O39" s="6"/>
      <c r="P39" s="6"/>
      <c r="Q39" s="9" t="s">
        <v>196</v>
      </c>
      <c r="R39" s="9" t="s">
        <v>212</v>
      </c>
    </row>
    <row r="40">
      <c r="A40" s="16">
        <v>12.0</v>
      </c>
      <c r="B40" s="16" t="s">
        <v>213</v>
      </c>
      <c r="C40" s="16" t="s">
        <v>214</v>
      </c>
      <c r="D40" s="27"/>
      <c r="E40" s="16" t="s">
        <v>215</v>
      </c>
      <c r="F40" s="6" t="str">
        <f t="array" ref="F40">TEXTJOIN("",FALSE,IF(NOT(ISBLANK(C40)), IF(E:E=C40,C:C &amp; "; ",""), ""))</f>
        <v>2-dimensional Convex Hull, Online; 2-dimensional Convex Hull, Dynamic; </v>
      </c>
      <c r="G40" s="27" t="s">
        <v>216</v>
      </c>
      <c r="H40" s="11" t="s">
        <v>217</v>
      </c>
      <c r="I40" s="7" t="s">
        <v>218</v>
      </c>
      <c r="J40" s="16" t="s">
        <v>22</v>
      </c>
      <c r="K40" s="16" t="s">
        <v>35</v>
      </c>
      <c r="L40" s="16" t="s">
        <v>219</v>
      </c>
      <c r="M40" s="16" t="s">
        <v>220</v>
      </c>
      <c r="N40" s="28" t="s">
        <v>221</v>
      </c>
      <c r="O40" s="6" t="s">
        <v>222</v>
      </c>
      <c r="P40" s="28" t="s">
        <v>221</v>
      </c>
      <c r="Q40" s="9" t="s">
        <v>196</v>
      </c>
      <c r="R40" s="19" t="s">
        <v>223</v>
      </c>
    </row>
    <row r="41">
      <c r="A41" s="16">
        <v>12.0</v>
      </c>
      <c r="B41" s="16" t="s">
        <v>213</v>
      </c>
      <c r="C41" s="16" t="s">
        <v>224</v>
      </c>
      <c r="D41" s="7"/>
      <c r="E41" s="16" t="s">
        <v>215</v>
      </c>
      <c r="F41" s="6" t="str">
        <f t="array" ref="F41">TEXTJOIN("",FALSE,IF(NOT(ISBLANK(C41)), IF(E:E=C41,C:C &amp; "; ",""), ""))</f>
        <v/>
      </c>
      <c r="G41" s="7" t="s">
        <v>225</v>
      </c>
      <c r="H41" s="11" t="s">
        <v>217</v>
      </c>
      <c r="I41" s="7" t="s">
        <v>218</v>
      </c>
      <c r="J41" s="16" t="s">
        <v>22</v>
      </c>
      <c r="K41" s="16" t="s">
        <v>35</v>
      </c>
      <c r="L41" s="16" t="s">
        <v>219</v>
      </c>
      <c r="M41" s="16" t="s">
        <v>220</v>
      </c>
      <c r="N41" s="17" t="s">
        <v>226</v>
      </c>
      <c r="O41" s="6" t="s">
        <v>222</v>
      </c>
      <c r="P41" s="6" t="s">
        <v>227</v>
      </c>
      <c r="Q41" s="9" t="s">
        <v>196</v>
      </c>
    </row>
    <row r="42">
      <c r="A42" s="16">
        <v>12.0</v>
      </c>
      <c r="B42" s="16" t="s">
        <v>213</v>
      </c>
      <c r="C42" s="16" t="s">
        <v>215</v>
      </c>
      <c r="D42" s="7"/>
      <c r="E42" s="7"/>
      <c r="F42" s="6" t="str">
        <f t="array" ref="F42">TEXTJOIN("",FALSE,IF(NOT(ISBLANK(C42)), IF(E:E=C42,C:C &amp; "; ",""), ""))</f>
        <v>2-dimensional Convex Hull; 3-dimensional Convex Hull; </v>
      </c>
      <c r="G42" s="7" t="s">
        <v>228</v>
      </c>
      <c r="H42" s="11" t="s">
        <v>229</v>
      </c>
      <c r="I42" s="7" t="s">
        <v>230</v>
      </c>
      <c r="J42" s="16" t="s">
        <v>22</v>
      </c>
      <c r="K42" s="16" t="s">
        <v>35</v>
      </c>
      <c r="L42" s="16" t="s">
        <v>219</v>
      </c>
      <c r="M42" s="16"/>
      <c r="N42" s="29"/>
      <c r="O42" s="6"/>
      <c r="P42" s="6"/>
      <c r="Q42" s="9" t="s">
        <v>196</v>
      </c>
    </row>
    <row r="43">
      <c r="A43" s="16">
        <v>12.0</v>
      </c>
      <c r="B43" s="16" t="s">
        <v>213</v>
      </c>
      <c r="C43" s="16" t="s">
        <v>231</v>
      </c>
      <c r="D43" s="27"/>
      <c r="E43" s="16" t="s">
        <v>214</v>
      </c>
      <c r="F43" s="6" t="str">
        <f t="array" ref="F43">TEXTJOIN("",FALSE,IF(NOT(ISBLANK(C43)), IF(E:E=C43,C:C &amp; "; ",""), ""))</f>
        <v/>
      </c>
      <c r="G43" s="27" t="s">
        <v>232</v>
      </c>
      <c r="H43" s="11" t="s">
        <v>233</v>
      </c>
      <c r="I43" s="7" t="s">
        <v>218</v>
      </c>
      <c r="J43" s="16" t="s">
        <v>22</v>
      </c>
      <c r="K43" s="16" t="s">
        <v>35</v>
      </c>
      <c r="L43" s="16" t="s">
        <v>219</v>
      </c>
      <c r="M43" s="16" t="s">
        <v>234</v>
      </c>
      <c r="N43" s="30" t="s">
        <v>233</v>
      </c>
      <c r="O43" s="16" t="s">
        <v>235</v>
      </c>
      <c r="P43" s="18" t="s">
        <v>236</v>
      </c>
      <c r="Q43" s="9" t="s">
        <v>196</v>
      </c>
    </row>
    <row r="44">
      <c r="A44" s="16">
        <v>12.0</v>
      </c>
      <c r="B44" s="16" t="s">
        <v>213</v>
      </c>
      <c r="C44" s="16" t="s">
        <v>237</v>
      </c>
      <c r="D44" s="27"/>
      <c r="E44" s="16" t="s">
        <v>214</v>
      </c>
      <c r="F44" s="6" t="str">
        <f t="array" ref="F44">TEXTJOIN("",FALSE,IF(NOT(ISBLANK(C44)), IF(E:E=C44,C:C &amp; "; ",""), ""))</f>
        <v/>
      </c>
      <c r="G44" s="27" t="s">
        <v>238</v>
      </c>
      <c r="H44" s="11" t="s">
        <v>239</v>
      </c>
      <c r="I44" s="7" t="s">
        <v>218</v>
      </c>
      <c r="J44" s="16" t="s">
        <v>22</v>
      </c>
      <c r="K44" s="16" t="s">
        <v>35</v>
      </c>
      <c r="L44" s="16" t="s">
        <v>219</v>
      </c>
      <c r="M44" s="16"/>
      <c r="N44" s="31"/>
      <c r="O44" s="6"/>
      <c r="P44" s="6"/>
      <c r="Q44" s="9" t="s">
        <v>196</v>
      </c>
      <c r="R44" s="19" t="s">
        <v>240</v>
      </c>
    </row>
    <row r="45">
      <c r="A45" s="16">
        <v>13.0</v>
      </c>
      <c r="B45" s="16" t="s">
        <v>241</v>
      </c>
      <c r="C45" s="16" t="s">
        <v>241</v>
      </c>
      <c r="D45" s="7" t="s">
        <v>242</v>
      </c>
      <c r="E45" s="7"/>
      <c r="F45" s="6" t="str">
        <f t="array" ref="F45">TEXTJOIN("",FALSE,IF(NOT(ISBLANK(C45)), IF(E:E=C45,C:C &amp; "; ",""), ""))</f>
        <v/>
      </c>
      <c r="G45" s="7" t="s">
        <v>243</v>
      </c>
      <c r="H45" s="32" t="s">
        <v>244</v>
      </c>
      <c r="I45" s="7" t="s">
        <v>91</v>
      </c>
      <c r="J45" s="16" t="s">
        <v>81</v>
      </c>
      <c r="K45" s="16" t="s">
        <v>245</v>
      </c>
      <c r="L45" s="16" t="s">
        <v>245</v>
      </c>
      <c r="M45" s="16" t="s">
        <v>245</v>
      </c>
      <c r="N45" s="9" t="s">
        <v>246</v>
      </c>
      <c r="O45" s="6" t="s">
        <v>247</v>
      </c>
      <c r="P45" s="6" t="s">
        <v>38</v>
      </c>
      <c r="Q45" s="9" t="s">
        <v>23</v>
      </c>
    </row>
    <row r="46">
      <c r="A46" s="16">
        <v>13.0</v>
      </c>
      <c r="B46" s="16" t="s">
        <v>241</v>
      </c>
      <c r="C46" s="16" t="s">
        <v>248</v>
      </c>
      <c r="D46" s="7"/>
      <c r="E46" s="7"/>
      <c r="F46" s="6" t="str">
        <f t="array" ref="F46">TEXTJOIN("",FALSE,IF(NOT(ISBLANK(C46)), IF(E:E=C46,C:C &amp; "; ",""), ""))</f>
        <v/>
      </c>
      <c r="G46" s="7" t="s">
        <v>249</v>
      </c>
      <c r="H46" s="12" t="s">
        <v>250</v>
      </c>
      <c r="I46" s="7" t="s">
        <v>91</v>
      </c>
      <c r="J46" s="16" t="s">
        <v>81</v>
      </c>
      <c r="K46" s="16" t="s">
        <v>245</v>
      </c>
      <c r="L46" s="16" t="s">
        <v>251</v>
      </c>
      <c r="M46" s="16"/>
      <c r="N46" s="10"/>
      <c r="O46" s="6"/>
      <c r="P46" s="6"/>
      <c r="Q46" s="9" t="s">
        <v>23</v>
      </c>
    </row>
    <row r="47">
      <c r="A47" s="16">
        <v>13.0</v>
      </c>
      <c r="B47" s="16" t="s">
        <v>241</v>
      </c>
      <c r="C47" s="16" t="s">
        <v>252</v>
      </c>
      <c r="D47" s="6" t="s">
        <v>253</v>
      </c>
      <c r="E47" s="6"/>
      <c r="F47" s="6" t="str">
        <f t="array" ref="F47">TEXTJOIN("",FALSE,IF(NOT(ISBLANK(C47)), IF(E:E=C47,C:C &amp; "; ",""), ""))</f>
        <v/>
      </c>
      <c r="G47" s="6" t="s">
        <v>254</v>
      </c>
      <c r="H47" s="12" t="s">
        <v>244</v>
      </c>
      <c r="I47" s="7" t="s">
        <v>91</v>
      </c>
      <c r="J47" s="16" t="s">
        <v>81</v>
      </c>
      <c r="K47" s="16"/>
      <c r="L47" s="16"/>
      <c r="M47" s="16"/>
      <c r="N47" s="10"/>
      <c r="O47" s="6"/>
      <c r="P47" s="6"/>
      <c r="Q47" s="9" t="s">
        <v>23</v>
      </c>
    </row>
    <row r="48">
      <c r="A48" s="16">
        <v>13.0</v>
      </c>
      <c r="B48" s="16" t="s">
        <v>241</v>
      </c>
      <c r="C48" s="16" t="s">
        <v>255</v>
      </c>
      <c r="D48" s="6"/>
      <c r="E48" s="6"/>
      <c r="F48" s="6" t="str">
        <f t="array" ref="F48">TEXTJOIN("",FALSE,IF(NOT(ISBLANK(C48)), IF(E:E=C48,C:C &amp; "; ",""), ""))</f>
        <v/>
      </c>
      <c r="G48" s="6" t="s">
        <v>256</v>
      </c>
      <c r="H48" s="12" t="s">
        <v>244</v>
      </c>
      <c r="I48" s="7" t="s">
        <v>91</v>
      </c>
      <c r="J48" s="16" t="s">
        <v>81</v>
      </c>
      <c r="K48" s="16"/>
      <c r="L48" s="16"/>
      <c r="M48" s="16"/>
      <c r="N48" s="10"/>
      <c r="O48" s="6"/>
      <c r="P48" s="6"/>
      <c r="Q48" s="9" t="s">
        <v>23</v>
      </c>
    </row>
    <row r="49">
      <c r="A49" s="16">
        <v>13.0</v>
      </c>
      <c r="B49" s="16" t="s">
        <v>241</v>
      </c>
      <c r="C49" s="16" t="s">
        <v>257</v>
      </c>
      <c r="D49" s="6" t="s">
        <v>258</v>
      </c>
      <c r="E49" s="6"/>
      <c r="F49" s="6" t="str">
        <f t="array" ref="F49">TEXTJOIN("",FALSE,IF(NOT(ISBLANK(C49)), IF(E:E=C49,C:C &amp; "; ",""), ""))</f>
        <v/>
      </c>
      <c r="G49" s="6" t="s">
        <v>259</v>
      </c>
      <c r="H49" s="33" t="s">
        <v>244</v>
      </c>
      <c r="I49" s="7" t="s">
        <v>91</v>
      </c>
      <c r="J49" s="16" t="s">
        <v>81</v>
      </c>
      <c r="K49" s="16"/>
      <c r="L49" s="16"/>
      <c r="M49" s="16"/>
      <c r="N49" s="10"/>
      <c r="O49" s="6"/>
      <c r="P49" s="6"/>
      <c r="Q49" s="9" t="s">
        <v>23</v>
      </c>
    </row>
    <row r="50">
      <c r="A50" s="16">
        <v>13.0</v>
      </c>
      <c r="B50" s="16" t="s">
        <v>241</v>
      </c>
      <c r="C50" s="6" t="s">
        <v>260</v>
      </c>
      <c r="D50" s="6" t="s">
        <v>261</v>
      </c>
      <c r="E50" s="6"/>
      <c r="F50" s="6" t="str">
        <f t="array" ref="F50">TEXTJOIN("",FALSE,IF(NOT(ISBLANK(C50)), IF(E:E=C50,C:C &amp; "; ",""), ""))</f>
        <v/>
      </c>
      <c r="G50" s="6" t="s">
        <v>262</v>
      </c>
      <c r="H50" s="12" t="s">
        <v>244</v>
      </c>
      <c r="I50" s="7" t="s">
        <v>91</v>
      </c>
      <c r="J50" s="16" t="s">
        <v>81</v>
      </c>
      <c r="K50" s="16"/>
      <c r="L50" s="16"/>
      <c r="M50" s="16"/>
      <c r="N50" s="10"/>
      <c r="O50" s="6"/>
      <c r="P50" s="6"/>
      <c r="Q50" s="9" t="s">
        <v>23</v>
      </c>
    </row>
    <row r="51">
      <c r="A51" s="16">
        <v>14.0</v>
      </c>
      <c r="B51" s="16" t="s">
        <v>263</v>
      </c>
      <c r="C51" s="16" t="s">
        <v>264</v>
      </c>
      <c r="D51" s="7"/>
      <c r="E51" s="7"/>
      <c r="F51" s="6" t="str">
        <f t="array" ref="F51">TEXTJOIN("",FALSE,IF(NOT(ISBLANK(C51)), IF(E:E=C51,C:C &amp; "; ",""), ""))</f>
        <v>Undirected, Dense MST; Undirected, Planar MST; Undirected, Integer Weights MST; </v>
      </c>
      <c r="G51" s="7" t="s">
        <v>265</v>
      </c>
      <c r="H51" s="11" t="s">
        <v>266</v>
      </c>
      <c r="I51" s="7" t="s">
        <v>267</v>
      </c>
      <c r="J51" s="16" t="s">
        <v>81</v>
      </c>
      <c r="K51" s="16" t="s">
        <v>82</v>
      </c>
      <c r="L51" s="16" t="s">
        <v>268</v>
      </c>
      <c r="M51" s="16" t="s">
        <v>269</v>
      </c>
      <c r="N51" s="25" t="s">
        <v>270</v>
      </c>
      <c r="O51" s="6" t="s">
        <v>271</v>
      </c>
      <c r="P51" s="25" t="s">
        <v>270</v>
      </c>
      <c r="Q51" s="9" t="s">
        <v>23</v>
      </c>
    </row>
    <row r="52">
      <c r="A52" s="16">
        <v>14.0</v>
      </c>
      <c r="B52" s="16" t="s">
        <v>263</v>
      </c>
      <c r="C52" s="16" t="s">
        <v>272</v>
      </c>
      <c r="D52" s="7"/>
      <c r="E52" s="16" t="s">
        <v>264</v>
      </c>
      <c r="F52" s="6" t="str">
        <f t="array" ref="F52">TEXTJOIN("",FALSE,IF(NOT(ISBLANK(C52)), IF(E:E=C52,C:C &amp; "; ",""), ""))</f>
        <v/>
      </c>
      <c r="G52" s="7" t="s">
        <v>273</v>
      </c>
      <c r="H52" s="11" t="s">
        <v>274</v>
      </c>
      <c r="I52" s="7" t="s">
        <v>267</v>
      </c>
      <c r="J52" s="16" t="s">
        <v>81</v>
      </c>
      <c r="K52" s="16" t="s">
        <v>82</v>
      </c>
      <c r="L52" s="16" t="s">
        <v>268</v>
      </c>
      <c r="M52" s="34" t="s">
        <v>92</v>
      </c>
      <c r="N52" s="26" t="s">
        <v>274</v>
      </c>
      <c r="O52" s="34" t="s">
        <v>275</v>
      </c>
      <c r="P52" s="34" t="s">
        <v>38</v>
      </c>
      <c r="Q52" s="9" t="s">
        <v>23</v>
      </c>
    </row>
    <row r="53">
      <c r="A53" s="16">
        <v>14.0</v>
      </c>
      <c r="B53" s="16" t="s">
        <v>263</v>
      </c>
      <c r="C53" s="16" t="s">
        <v>276</v>
      </c>
      <c r="D53" s="7"/>
      <c r="E53" s="16" t="s">
        <v>264</v>
      </c>
      <c r="F53" s="6" t="str">
        <f t="array" ref="F53">TEXTJOIN("",FALSE,IF(NOT(ISBLANK(C53)), IF(E:E=C53,C:C &amp; "; ",""), ""))</f>
        <v/>
      </c>
      <c r="G53" s="7" t="s">
        <v>277</v>
      </c>
      <c r="H53" s="11" t="s">
        <v>274</v>
      </c>
      <c r="I53" s="7" t="s">
        <v>267</v>
      </c>
      <c r="J53" s="16" t="s">
        <v>81</v>
      </c>
      <c r="K53" s="16" t="s">
        <v>82</v>
      </c>
      <c r="L53" s="16" t="s">
        <v>268</v>
      </c>
      <c r="M53" s="35" t="s">
        <v>268</v>
      </c>
      <c r="N53" s="26" t="s">
        <v>274</v>
      </c>
      <c r="O53" s="35" t="s">
        <v>278</v>
      </c>
      <c r="P53" s="34" t="s">
        <v>38</v>
      </c>
      <c r="Q53" s="9" t="s">
        <v>23</v>
      </c>
    </row>
    <row r="54">
      <c r="A54" s="16">
        <v>14.0</v>
      </c>
      <c r="B54" s="16" t="s">
        <v>263</v>
      </c>
      <c r="C54" s="16" t="s">
        <v>279</v>
      </c>
      <c r="D54" s="7"/>
      <c r="E54" s="16" t="s">
        <v>264</v>
      </c>
      <c r="F54" s="6" t="str">
        <f t="array" ref="F54">TEXTJOIN("",FALSE,IF(NOT(ISBLANK(C54)), IF(E:E=C54,C:C &amp; "; ",""), ""))</f>
        <v/>
      </c>
      <c r="G54" s="7" t="s">
        <v>280</v>
      </c>
      <c r="H54" s="11" t="s">
        <v>281</v>
      </c>
      <c r="I54" s="7" t="s">
        <v>267</v>
      </c>
      <c r="J54" s="16" t="s">
        <v>81</v>
      </c>
      <c r="K54" s="16" t="s">
        <v>82</v>
      </c>
      <c r="L54" s="16" t="s">
        <v>268</v>
      </c>
      <c r="M54" s="34" t="s">
        <v>92</v>
      </c>
      <c r="N54" s="25" t="s">
        <v>281</v>
      </c>
      <c r="O54" s="34" t="s">
        <v>275</v>
      </c>
      <c r="P54" s="34" t="s">
        <v>38</v>
      </c>
      <c r="Q54" s="9" t="s">
        <v>23</v>
      </c>
    </row>
    <row r="55">
      <c r="A55" s="16">
        <v>14.0</v>
      </c>
      <c r="B55" s="16" t="s">
        <v>263</v>
      </c>
      <c r="C55" s="16" t="s">
        <v>282</v>
      </c>
      <c r="D55" s="7"/>
      <c r="E55" s="7"/>
      <c r="F55" s="6" t="str">
        <f t="array" ref="F55">TEXTJOIN("",FALSE,IF(NOT(ISBLANK(C55)), IF(E:E=C55,C:C &amp; "; ",""), ""))</f>
        <v>Directed (Optimum Branchings), Super Dense MST; </v>
      </c>
      <c r="G55" s="7" t="s">
        <v>283</v>
      </c>
      <c r="H55" s="11" t="s">
        <v>284</v>
      </c>
      <c r="I55" s="7" t="s">
        <v>267</v>
      </c>
      <c r="J55" s="16" t="s">
        <v>81</v>
      </c>
      <c r="K55" s="16" t="s">
        <v>82</v>
      </c>
      <c r="L55" s="16" t="s">
        <v>268</v>
      </c>
      <c r="M55" s="16" t="s">
        <v>285</v>
      </c>
      <c r="N55" s="25" t="s">
        <v>286</v>
      </c>
      <c r="O55" s="34" t="s">
        <v>275</v>
      </c>
      <c r="P55" s="34" t="s">
        <v>38</v>
      </c>
      <c r="Q55" s="9" t="s">
        <v>23</v>
      </c>
    </row>
    <row r="56">
      <c r="A56" s="16">
        <v>14.0</v>
      </c>
      <c r="B56" s="16" t="s">
        <v>263</v>
      </c>
      <c r="C56" s="16" t="s">
        <v>287</v>
      </c>
      <c r="D56" s="7"/>
      <c r="E56" s="16" t="s">
        <v>282</v>
      </c>
      <c r="F56" s="6" t="str">
        <f t="array" ref="F56">TEXTJOIN("",FALSE,IF(NOT(ISBLANK(C56)), IF(E:E=C56,C:C &amp; "; ",""), ""))</f>
        <v/>
      </c>
      <c r="G56" s="7" t="s">
        <v>288</v>
      </c>
      <c r="H56" s="11" t="s">
        <v>289</v>
      </c>
      <c r="I56" s="7" t="s">
        <v>267</v>
      </c>
      <c r="J56" s="16" t="s">
        <v>81</v>
      </c>
      <c r="K56" s="16" t="s">
        <v>82</v>
      </c>
      <c r="L56" s="16" t="s">
        <v>268</v>
      </c>
      <c r="M56" s="35" t="s">
        <v>251</v>
      </c>
      <c r="N56" s="25" t="s">
        <v>289</v>
      </c>
      <c r="O56" s="35" t="s">
        <v>290</v>
      </c>
      <c r="P56" s="34" t="s">
        <v>38</v>
      </c>
      <c r="Q56" s="9" t="s">
        <v>23</v>
      </c>
    </row>
    <row r="57">
      <c r="A57" s="16">
        <v>15.0</v>
      </c>
      <c r="B57" s="16" t="s">
        <v>291</v>
      </c>
      <c r="C57" s="16" t="s">
        <v>292</v>
      </c>
      <c r="D57" s="7"/>
      <c r="E57" s="7"/>
      <c r="F57" s="6" t="str">
        <f t="array" ref="F57">TEXTJOIN("",FALSE,IF(NOT(ISBLANK(C57)), IF(E:E=C57,C:C &amp; "; ",""), ""))</f>
        <v>2-dimensional space, $l_m$ (or $l_\infty$) norm; </v>
      </c>
      <c r="G57" s="7" t="s">
        <v>293</v>
      </c>
      <c r="H57" s="11" t="s">
        <v>294</v>
      </c>
      <c r="I57" s="7" t="s">
        <v>295</v>
      </c>
      <c r="J57" s="16" t="s">
        <v>22</v>
      </c>
      <c r="K57" s="35" t="s">
        <v>35</v>
      </c>
      <c r="L57" s="35" t="s">
        <v>34</v>
      </c>
      <c r="M57" s="35" t="s">
        <v>296</v>
      </c>
      <c r="N57" s="36" t="s">
        <v>297</v>
      </c>
      <c r="O57" s="35"/>
      <c r="P57" s="34"/>
      <c r="Q57" s="9" t="s">
        <v>196</v>
      </c>
      <c r="R57" s="9" t="s">
        <v>298</v>
      </c>
    </row>
    <row r="58">
      <c r="A58" s="16">
        <v>15.0</v>
      </c>
      <c r="B58" s="16" t="s">
        <v>291</v>
      </c>
      <c r="C58" s="7" t="s">
        <v>299</v>
      </c>
      <c r="D58" s="7"/>
      <c r="E58" s="16" t="s">
        <v>292</v>
      </c>
      <c r="F58" s="6" t="str">
        <f t="array" ref="F58">TEXTJOIN("",FALSE,IF(NOT(ISBLANK(C58)), IF(E:E=C58,C:C &amp; "; ",""), ""))</f>
        <v/>
      </c>
      <c r="G58" s="7" t="s">
        <v>300</v>
      </c>
      <c r="H58" s="37" t="s">
        <v>301</v>
      </c>
      <c r="I58" s="7" t="s">
        <v>295</v>
      </c>
      <c r="J58" s="35" t="s">
        <v>22</v>
      </c>
      <c r="K58" s="35"/>
      <c r="L58" s="35"/>
      <c r="M58" s="35"/>
      <c r="N58" s="36"/>
      <c r="O58" s="35"/>
      <c r="P58" s="34"/>
      <c r="Q58" s="9" t="s">
        <v>196</v>
      </c>
      <c r="R58" s="9"/>
    </row>
    <row r="59">
      <c r="A59" s="16">
        <v>15.0</v>
      </c>
      <c r="B59" s="16" t="s">
        <v>291</v>
      </c>
      <c r="C59" s="7" t="s">
        <v>302</v>
      </c>
      <c r="D59" s="7"/>
      <c r="E59" s="7"/>
      <c r="F59" s="6" t="str">
        <f t="array" ref="F59">TEXTJOIN("",FALSE,IF(NOT(ISBLANK(C59)), IF(E:E=C59,C:C &amp; "; ",""), ""))</f>
        <v/>
      </c>
      <c r="G59" s="7" t="s">
        <v>303</v>
      </c>
      <c r="H59" s="38" t="s">
        <v>304</v>
      </c>
      <c r="I59" s="7" t="s">
        <v>295</v>
      </c>
      <c r="J59" s="35" t="s">
        <v>22</v>
      </c>
      <c r="K59" s="35"/>
      <c r="L59" s="35"/>
      <c r="M59" s="35"/>
      <c r="N59" s="36"/>
      <c r="O59" s="35"/>
      <c r="P59" s="34"/>
      <c r="Q59" s="9" t="s">
        <v>196</v>
      </c>
      <c r="R59" s="9"/>
    </row>
    <row r="60">
      <c r="A60" s="16">
        <v>15.0</v>
      </c>
      <c r="B60" s="16" t="s">
        <v>291</v>
      </c>
      <c r="C60" s="7" t="s">
        <v>305</v>
      </c>
      <c r="D60" s="7"/>
      <c r="E60" s="7"/>
      <c r="F60" s="6" t="str">
        <f t="array" ref="F60">TEXTJOIN("",FALSE,IF(NOT(ISBLANK(C60)), IF(E:E=C60,C:C &amp; "; ",""), ""))</f>
        <v/>
      </c>
      <c r="G60" s="7" t="s">
        <v>306</v>
      </c>
      <c r="H60" s="37" t="s">
        <v>307</v>
      </c>
      <c r="I60" s="7" t="s">
        <v>295</v>
      </c>
      <c r="J60" s="35" t="s">
        <v>22</v>
      </c>
      <c r="K60" s="35"/>
      <c r="L60" s="35"/>
      <c r="M60" s="35"/>
      <c r="N60" s="36"/>
      <c r="O60" s="35"/>
      <c r="P60" s="34"/>
      <c r="Q60" s="9" t="s">
        <v>196</v>
      </c>
      <c r="R60" s="9"/>
    </row>
    <row r="61">
      <c r="A61" s="16">
        <v>16.0</v>
      </c>
      <c r="B61" s="16" t="s">
        <v>308</v>
      </c>
      <c r="C61" s="16" t="s">
        <v>309</v>
      </c>
      <c r="D61" s="7"/>
      <c r="E61" s="7"/>
      <c r="F61" s="6" t="str">
        <f t="array" ref="F61">TEXTJOIN("",FALSE,IF(NOT(ISBLANK(C61)), IF(E:E=C61,C:C &amp; "; ",""), ""))</f>
        <v>Nonnegative Weights; </v>
      </c>
      <c r="G61" s="7" t="s">
        <v>310</v>
      </c>
      <c r="H61" s="11" t="s">
        <v>311</v>
      </c>
      <c r="I61" s="7" t="s">
        <v>312</v>
      </c>
      <c r="J61" s="16" t="s">
        <v>81</v>
      </c>
      <c r="K61" s="16" t="s">
        <v>313</v>
      </c>
      <c r="L61" s="16" t="s">
        <v>268</v>
      </c>
      <c r="M61" s="39"/>
      <c r="N61" s="29"/>
      <c r="O61" s="35"/>
      <c r="P61" s="34"/>
      <c r="Q61" s="9" t="s">
        <v>23</v>
      </c>
    </row>
    <row r="62">
      <c r="A62" s="16">
        <v>16.0</v>
      </c>
      <c r="B62" s="16" t="s">
        <v>308</v>
      </c>
      <c r="C62" s="16" t="s">
        <v>314</v>
      </c>
      <c r="D62" s="7"/>
      <c r="E62" s="16" t="s">
        <v>315</v>
      </c>
      <c r="F62" s="6" t="str">
        <f t="array" ref="F62">TEXTJOIN("",FALSE,IF(NOT(ISBLANK(C62)), IF(E:E=C62,C:C &amp; "; ",""), ""))</f>
        <v>Nonnegative Integer Weights; </v>
      </c>
      <c r="G62" s="7" t="s">
        <v>316</v>
      </c>
      <c r="H62" s="8" t="s">
        <v>317</v>
      </c>
      <c r="I62" s="7" t="s">
        <v>312</v>
      </c>
      <c r="J62" s="16" t="s">
        <v>81</v>
      </c>
      <c r="K62" s="16" t="s">
        <v>313</v>
      </c>
      <c r="L62" s="16" t="s">
        <v>268</v>
      </c>
      <c r="M62" s="39" t="s">
        <v>318</v>
      </c>
      <c r="N62" s="25" t="s">
        <v>319</v>
      </c>
      <c r="O62" s="35"/>
      <c r="P62" s="34"/>
      <c r="Q62" s="9" t="s">
        <v>23</v>
      </c>
    </row>
    <row r="63">
      <c r="A63" s="16">
        <v>16.0</v>
      </c>
      <c r="B63" s="16" t="s">
        <v>308</v>
      </c>
      <c r="C63" s="16" t="s">
        <v>320</v>
      </c>
      <c r="D63" s="7"/>
      <c r="E63" s="16" t="s">
        <v>321</v>
      </c>
      <c r="F63" s="6" t="str">
        <f t="array" ref="F63">TEXTJOIN("",FALSE,IF(NOT(ISBLANK(C63)), IF(E:E=C63,C:C &amp; "; ",""), ""))</f>
        <v/>
      </c>
      <c r="G63" s="7" t="s">
        <v>322</v>
      </c>
      <c r="H63" s="11" t="s">
        <v>323</v>
      </c>
      <c r="I63" s="7" t="s">
        <v>312</v>
      </c>
      <c r="J63" s="16" t="s">
        <v>81</v>
      </c>
      <c r="K63" s="16" t="s">
        <v>313</v>
      </c>
      <c r="L63" s="16" t="s">
        <v>268</v>
      </c>
      <c r="M63" s="16" t="s">
        <v>324</v>
      </c>
      <c r="N63" s="17" t="s">
        <v>325</v>
      </c>
      <c r="O63" s="35"/>
      <c r="P63" s="34"/>
      <c r="Q63" s="9" t="s">
        <v>23</v>
      </c>
    </row>
    <row r="64">
      <c r="A64" s="16">
        <v>16.0</v>
      </c>
      <c r="B64" s="16" t="s">
        <v>308</v>
      </c>
      <c r="C64" s="6" t="s">
        <v>326</v>
      </c>
      <c r="D64" s="7"/>
      <c r="E64" s="6" t="s">
        <v>327</v>
      </c>
      <c r="F64" s="6" t="str">
        <f t="array" ref="F64">TEXTJOIN("",FALSE,IF(NOT(ISBLANK(C64)), IF(E:E=C64,C:C &amp; "; ",""), ""))</f>
        <v/>
      </c>
      <c r="G64" s="7" t="s">
        <v>328</v>
      </c>
      <c r="H64" s="12" t="s">
        <v>125</v>
      </c>
      <c r="I64" s="7" t="s">
        <v>312</v>
      </c>
      <c r="J64" s="16" t="s">
        <v>81</v>
      </c>
      <c r="K64" s="16"/>
      <c r="L64" s="16"/>
      <c r="M64" s="16"/>
      <c r="N64" s="17"/>
      <c r="O64" s="35"/>
      <c r="P64" s="34"/>
      <c r="Q64" s="9" t="s">
        <v>23</v>
      </c>
    </row>
    <row r="65">
      <c r="A65" s="16">
        <v>16.0</v>
      </c>
      <c r="B65" s="16" t="s">
        <v>308</v>
      </c>
      <c r="C65" s="6" t="s">
        <v>327</v>
      </c>
      <c r="D65" s="7"/>
      <c r="E65" s="7"/>
      <c r="F65" s="6" t="str">
        <f t="array" ref="F65">TEXTJOIN("",FALSE,IF(NOT(ISBLANK(C65)), IF(E:E=C65,C:C &amp; "; ",""), ""))</f>
        <v>Second Shortest Simple Path; 2-sensitive (7/5)-approximate st-shortest paths; 1-sensitive decremental st-shortest paths; 2-sensitive decremental st-shortest paths; Replacement Paths Problem; </v>
      </c>
      <c r="G65" s="7" t="s">
        <v>329</v>
      </c>
      <c r="H65" s="12" t="s">
        <v>330</v>
      </c>
      <c r="I65" s="7" t="s">
        <v>312</v>
      </c>
      <c r="J65" s="16" t="s">
        <v>81</v>
      </c>
      <c r="K65" s="16"/>
      <c r="L65" s="16"/>
      <c r="M65" s="16"/>
      <c r="N65" s="17"/>
      <c r="O65" s="35"/>
      <c r="P65" s="34"/>
      <c r="Q65" s="9" t="s">
        <v>23</v>
      </c>
    </row>
    <row r="66">
      <c r="A66" s="16">
        <v>16.0</v>
      </c>
      <c r="B66" s="16" t="s">
        <v>308</v>
      </c>
      <c r="C66" s="6" t="s">
        <v>331</v>
      </c>
      <c r="D66" s="7"/>
      <c r="E66" s="7"/>
      <c r="F66" s="6" t="str">
        <f t="array" ref="F66">TEXTJOIN("",FALSE,IF(NOT(ISBLANK(C66)), IF(E:E=C66,C:C &amp; "; ",""), ""))</f>
        <v/>
      </c>
      <c r="G66" s="7" t="s">
        <v>332</v>
      </c>
      <c r="H66" s="12" t="s">
        <v>330</v>
      </c>
      <c r="I66" s="7" t="s">
        <v>312</v>
      </c>
      <c r="J66" s="16" t="s">
        <v>81</v>
      </c>
      <c r="K66" s="16"/>
      <c r="L66" s="16"/>
      <c r="M66" s="16"/>
      <c r="N66" s="17"/>
      <c r="O66" s="35"/>
      <c r="P66" s="34"/>
      <c r="Q66" s="9" t="s">
        <v>23</v>
      </c>
    </row>
    <row r="67">
      <c r="A67" s="16">
        <v>16.0</v>
      </c>
      <c r="B67" s="16" t="s">
        <v>308</v>
      </c>
      <c r="C67" s="6" t="s">
        <v>333</v>
      </c>
      <c r="D67" s="7"/>
      <c r="E67" s="6" t="s">
        <v>327</v>
      </c>
      <c r="F67" s="6" t="str">
        <f t="array" ref="F67">TEXTJOIN("",FALSE,IF(NOT(ISBLANK(C67)), IF(E:E=C67,C:C &amp; "; ",""), ""))</f>
        <v/>
      </c>
      <c r="G67" s="7" t="s">
        <v>334</v>
      </c>
      <c r="H67" s="12" t="s">
        <v>330</v>
      </c>
      <c r="I67" s="7" t="s">
        <v>312</v>
      </c>
      <c r="J67" s="16" t="s">
        <v>81</v>
      </c>
      <c r="K67" s="16"/>
      <c r="L67" s="16"/>
      <c r="M67" s="16"/>
      <c r="N67" s="17"/>
      <c r="O67" s="35"/>
      <c r="P67" s="34"/>
      <c r="Q67" s="9" t="s">
        <v>23</v>
      </c>
    </row>
    <row r="68">
      <c r="A68" s="16">
        <v>16.0</v>
      </c>
      <c r="B68" s="16" t="s">
        <v>308</v>
      </c>
      <c r="C68" s="6" t="s">
        <v>335</v>
      </c>
      <c r="D68" s="7"/>
      <c r="E68" s="6" t="s">
        <v>327</v>
      </c>
      <c r="F68" s="6" t="str">
        <f t="array" ref="F68">TEXTJOIN("",FALSE,IF(NOT(ISBLANK(C68)), IF(E:E=C68,C:C &amp; "; ",""), ""))</f>
        <v/>
      </c>
      <c r="G68" s="7" t="s">
        <v>336</v>
      </c>
      <c r="H68" s="12" t="s">
        <v>330</v>
      </c>
      <c r="I68" s="7" t="s">
        <v>312</v>
      </c>
      <c r="J68" s="16" t="s">
        <v>81</v>
      </c>
      <c r="K68" s="16"/>
      <c r="L68" s="16"/>
      <c r="M68" s="16"/>
      <c r="N68" s="17"/>
      <c r="O68" s="35"/>
      <c r="P68" s="34"/>
      <c r="Q68" s="9" t="s">
        <v>23</v>
      </c>
    </row>
    <row r="69">
      <c r="A69" s="16">
        <v>16.0</v>
      </c>
      <c r="B69" s="16" t="s">
        <v>308</v>
      </c>
      <c r="C69" s="6" t="s">
        <v>337</v>
      </c>
      <c r="D69" s="7"/>
      <c r="E69" s="6" t="s">
        <v>327</v>
      </c>
      <c r="F69" s="6" t="str">
        <f t="array" ref="F69">TEXTJOIN("",FALSE,IF(NOT(ISBLANK(C69)), IF(E:E=C69,C:C &amp; "; ",""), ""))</f>
        <v/>
      </c>
      <c r="G69" s="7" t="s">
        <v>338</v>
      </c>
      <c r="H69" s="12" t="s">
        <v>330</v>
      </c>
      <c r="I69" s="7" t="s">
        <v>312</v>
      </c>
      <c r="J69" s="16" t="s">
        <v>81</v>
      </c>
      <c r="K69" s="16"/>
      <c r="L69" s="16"/>
      <c r="M69" s="16"/>
      <c r="N69" s="17"/>
      <c r="O69" s="35"/>
      <c r="P69" s="34"/>
      <c r="Q69" s="9" t="s">
        <v>23</v>
      </c>
    </row>
    <row r="70">
      <c r="A70" s="16">
        <v>16.0</v>
      </c>
      <c r="B70" s="16" t="s">
        <v>308</v>
      </c>
      <c r="C70" s="6" t="s">
        <v>339</v>
      </c>
      <c r="D70" s="7" t="s">
        <v>340</v>
      </c>
      <c r="E70" s="6" t="s">
        <v>327</v>
      </c>
      <c r="F70" s="6" t="str">
        <f t="array" ref="F70">TEXTJOIN("",FALSE,IF(NOT(ISBLANK(C70)), IF(E:E=C70,C:C &amp; "; ",""), ""))</f>
        <v/>
      </c>
      <c r="G70" s="7" t="s">
        <v>341</v>
      </c>
      <c r="H70" s="11" t="s">
        <v>330</v>
      </c>
      <c r="I70" s="7" t="s">
        <v>312</v>
      </c>
      <c r="J70" s="16" t="s">
        <v>81</v>
      </c>
      <c r="K70" s="16"/>
      <c r="L70" s="16"/>
      <c r="M70" s="16"/>
      <c r="N70" s="17"/>
      <c r="O70" s="35"/>
      <c r="P70" s="34"/>
      <c r="Q70" s="9" t="s">
        <v>23</v>
      </c>
    </row>
    <row r="71">
      <c r="A71" s="6">
        <v>17.0</v>
      </c>
      <c r="B71" s="6" t="s">
        <v>342</v>
      </c>
      <c r="C71" s="6" t="s">
        <v>343</v>
      </c>
      <c r="D71" s="6" t="s">
        <v>344</v>
      </c>
      <c r="E71" s="13"/>
      <c r="F71" s="6" t="str">
        <f t="array" ref="F71">TEXTJOIN("",FALSE,IF(NOT(ISBLANK(C71)), IF(E:E=C71,C:C &amp; "; ",""), ""))</f>
        <v>APSP on Dense Directed Graphs with Arbitrary Weights; APSP on Dense Undirected Graphs with Arbitrary Weights; APSP on Geometrically Weighted Graphs; APSP on Dense Undirected Graphs with Positive Integer Weights; APSP on Sparse Directed Graphs with Arbitrary Weights; APSP on Sparse Undirected Graphs with Positive Integer Weights; APSP on Sparse Undirected Graphs with Arbitrary Weights; APSP on Dense Directed Unweighted Graphs; APSP on Dense Undirected Unweighted Graphs; APSP on Sparse Directed Unweighted Graphs; APSP on Sparse Undirected Unweighted Graphs; (5/3)-approximate ap-shortest paths; </v>
      </c>
      <c r="G71" s="7" t="s">
        <v>345</v>
      </c>
      <c r="H71" s="12" t="s">
        <v>346</v>
      </c>
      <c r="I71" s="6" t="s">
        <v>347</v>
      </c>
      <c r="J71" s="16" t="s">
        <v>22</v>
      </c>
      <c r="K71" s="13"/>
      <c r="L71" s="13"/>
      <c r="M71" s="13"/>
      <c r="N71" s="13"/>
      <c r="O71" s="13"/>
      <c r="P71" s="13"/>
      <c r="Q71" s="9" t="s">
        <v>23</v>
      </c>
    </row>
    <row r="72">
      <c r="A72" s="6">
        <v>17.0</v>
      </c>
      <c r="B72" s="6" t="s">
        <v>342</v>
      </c>
      <c r="C72" s="6" t="s">
        <v>348</v>
      </c>
      <c r="D72" s="13"/>
      <c r="E72" s="6" t="s">
        <v>343</v>
      </c>
      <c r="F72" s="6" t="str">
        <f t="array" ref="F72">TEXTJOIN("",FALSE,IF(NOT(ISBLANK(C72)), IF(E:E=C72,C:C &amp; "; ",""), ""))</f>
        <v/>
      </c>
      <c r="G72" s="7" t="s">
        <v>349</v>
      </c>
      <c r="H72" s="12" t="s">
        <v>346</v>
      </c>
      <c r="I72" s="6" t="s">
        <v>347</v>
      </c>
      <c r="J72" s="16" t="s">
        <v>22</v>
      </c>
      <c r="K72" s="13"/>
      <c r="L72" s="13"/>
      <c r="M72" s="13"/>
      <c r="N72" s="13"/>
      <c r="O72" s="13"/>
      <c r="P72" s="13"/>
      <c r="Q72" s="9" t="s">
        <v>23</v>
      </c>
    </row>
    <row r="73">
      <c r="A73" s="6">
        <v>17.0</v>
      </c>
      <c r="B73" s="6" t="s">
        <v>342</v>
      </c>
      <c r="C73" s="6" t="s">
        <v>350</v>
      </c>
      <c r="D73" s="13"/>
      <c r="E73" s="6" t="s">
        <v>343</v>
      </c>
      <c r="F73" s="6" t="str">
        <f t="array" ref="F73">TEXTJOIN("",FALSE,IF(NOT(ISBLANK(C73)), IF(E:E=C73,C:C &amp; "; ",""), ""))</f>
        <v/>
      </c>
      <c r="G73" s="7" t="s">
        <v>351</v>
      </c>
      <c r="H73" s="12" t="s">
        <v>346</v>
      </c>
      <c r="I73" s="6" t="s">
        <v>347</v>
      </c>
      <c r="J73" s="6" t="s">
        <v>22</v>
      </c>
      <c r="K73" s="13"/>
      <c r="L73" s="13"/>
      <c r="M73" s="13"/>
      <c r="N73" s="13"/>
      <c r="O73" s="13"/>
      <c r="P73" s="13"/>
      <c r="Q73" s="9" t="s">
        <v>23</v>
      </c>
    </row>
    <row r="74">
      <c r="A74" s="6">
        <v>17.0</v>
      </c>
      <c r="B74" s="6" t="s">
        <v>342</v>
      </c>
      <c r="C74" s="6" t="s">
        <v>352</v>
      </c>
      <c r="D74" s="13"/>
      <c r="E74" s="6" t="s">
        <v>343</v>
      </c>
      <c r="F74" s="6" t="str">
        <f t="array" ref="F74">TEXTJOIN("",FALSE,IF(NOT(ISBLANK(C74)), IF(E:E=C74,C:C &amp; "; ",""), ""))</f>
        <v/>
      </c>
      <c r="G74" s="7" t="s">
        <v>353</v>
      </c>
      <c r="H74" s="12" t="s">
        <v>346</v>
      </c>
      <c r="I74" s="6" t="s">
        <v>354</v>
      </c>
      <c r="J74" s="6" t="s">
        <v>22</v>
      </c>
      <c r="K74" s="13"/>
      <c r="L74" s="13"/>
      <c r="M74" s="13"/>
      <c r="N74" s="13"/>
      <c r="O74" s="13"/>
      <c r="P74" s="13"/>
      <c r="Q74" s="9" t="s">
        <v>23</v>
      </c>
    </row>
    <row r="75">
      <c r="A75" s="6">
        <v>17.0</v>
      </c>
      <c r="B75" s="6" t="s">
        <v>342</v>
      </c>
      <c r="C75" s="6" t="s">
        <v>355</v>
      </c>
      <c r="D75" s="13"/>
      <c r="E75" s="6" t="s">
        <v>343</v>
      </c>
      <c r="F75" s="6" t="str">
        <f t="array" ref="F75">TEXTJOIN("",FALSE,IF(NOT(ISBLANK(C75)), IF(E:E=C75,C:C &amp; "; ",""), ""))</f>
        <v/>
      </c>
      <c r="G75" s="7" t="s">
        <v>356</v>
      </c>
      <c r="H75" s="12" t="s">
        <v>346</v>
      </c>
      <c r="I75" s="6" t="s">
        <v>347</v>
      </c>
      <c r="J75" s="6" t="s">
        <v>22</v>
      </c>
      <c r="K75" s="13"/>
      <c r="L75" s="13"/>
      <c r="M75" s="13"/>
      <c r="N75" s="13"/>
      <c r="O75" s="13"/>
      <c r="P75" s="13"/>
      <c r="Q75" s="9" t="s">
        <v>23</v>
      </c>
    </row>
    <row r="76">
      <c r="A76" s="6">
        <v>17.0</v>
      </c>
      <c r="B76" s="6" t="s">
        <v>342</v>
      </c>
      <c r="C76" s="40" t="s">
        <v>357</v>
      </c>
      <c r="D76" s="13"/>
      <c r="E76" s="6" t="s">
        <v>343</v>
      </c>
      <c r="F76" s="6" t="str">
        <f t="array" ref="F76">TEXTJOIN("",FALSE,IF(NOT(ISBLANK(C76)), IF(E:E=C76,C:C &amp; "; ",""), ""))</f>
        <v/>
      </c>
      <c r="G76" s="7" t="s">
        <v>358</v>
      </c>
      <c r="H76" s="12" t="s">
        <v>359</v>
      </c>
      <c r="I76" s="6" t="s">
        <v>347</v>
      </c>
      <c r="J76" s="6" t="s">
        <v>22</v>
      </c>
      <c r="K76" s="13"/>
      <c r="L76" s="13"/>
      <c r="M76" s="13"/>
      <c r="N76" s="13"/>
      <c r="O76" s="13"/>
      <c r="P76" s="13"/>
      <c r="Q76" s="9" t="s">
        <v>23</v>
      </c>
    </row>
    <row r="77">
      <c r="A77" s="6">
        <v>17.0</v>
      </c>
      <c r="B77" s="6" t="s">
        <v>342</v>
      </c>
      <c r="C77" s="40" t="s">
        <v>360</v>
      </c>
      <c r="D77" s="6"/>
      <c r="E77" s="6" t="s">
        <v>343</v>
      </c>
      <c r="F77" s="6" t="str">
        <f t="array" ref="F77">TEXTJOIN("",FALSE,IF(NOT(ISBLANK(C77)), IF(E:E=C77,C:C &amp; "; ",""), ""))</f>
        <v/>
      </c>
      <c r="G77" s="7" t="s">
        <v>361</v>
      </c>
      <c r="H77" s="12" t="s">
        <v>362</v>
      </c>
      <c r="I77" s="6" t="s">
        <v>347</v>
      </c>
      <c r="J77" s="6" t="s">
        <v>22</v>
      </c>
      <c r="K77" s="13"/>
      <c r="L77" s="13"/>
      <c r="M77" s="13"/>
      <c r="N77" s="13"/>
      <c r="O77" s="13"/>
      <c r="P77" s="13"/>
      <c r="Q77" s="9" t="s">
        <v>23</v>
      </c>
    </row>
    <row r="78">
      <c r="A78" s="6">
        <v>17.0</v>
      </c>
      <c r="B78" s="6" t="s">
        <v>342</v>
      </c>
      <c r="C78" s="40" t="s">
        <v>363</v>
      </c>
      <c r="D78" s="6"/>
      <c r="E78" s="6" t="s">
        <v>343</v>
      </c>
      <c r="F78" s="6" t="str">
        <f t="array" ref="F78">TEXTJOIN("",FALSE,IF(NOT(ISBLANK(C78)), IF(E:E=C78,C:C &amp; "; ",""), ""))</f>
        <v/>
      </c>
      <c r="G78" s="7" t="s">
        <v>364</v>
      </c>
      <c r="H78" s="12" t="s">
        <v>362</v>
      </c>
      <c r="I78" s="6" t="s">
        <v>347</v>
      </c>
      <c r="J78" s="6" t="s">
        <v>22</v>
      </c>
      <c r="K78" s="13"/>
      <c r="L78" s="13"/>
      <c r="M78" s="13"/>
      <c r="N78" s="13"/>
      <c r="O78" s="13"/>
      <c r="P78" s="13"/>
      <c r="Q78" s="9" t="s">
        <v>23</v>
      </c>
    </row>
    <row r="79">
      <c r="A79" s="6">
        <v>17.0</v>
      </c>
      <c r="B79" s="6" t="s">
        <v>342</v>
      </c>
      <c r="C79" s="6" t="s">
        <v>365</v>
      </c>
      <c r="D79" s="13"/>
      <c r="E79" s="6" t="s">
        <v>343</v>
      </c>
      <c r="F79" s="6" t="str">
        <f t="array" ref="F79">TEXTJOIN("",FALSE,IF(NOT(ISBLANK(C79)), IF(E:E=C79,C:C &amp; "; ",""), ""))</f>
        <v/>
      </c>
      <c r="G79" s="7" t="s">
        <v>366</v>
      </c>
      <c r="H79" s="12" t="s">
        <v>367</v>
      </c>
      <c r="I79" s="6" t="s">
        <v>347</v>
      </c>
      <c r="J79" s="6" t="s">
        <v>22</v>
      </c>
      <c r="K79" s="13"/>
      <c r="L79" s="13"/>
      <c r="M79" s="13"/>
      <c r="N79" s="13"/>
      <c r="O79" s="13"/>
      <c r="P79" s="13"/>
      <c r="Q79" s="9" t="s">
        <v>23</v>
      </c>
    </row>
    <row r="80">
      <c r="A80" s="6">
        <v>17.0</v>
      </c>
      <c r="B80" s="6" t="s">
        <v>342</v>
      </c>
      <c r="C80" s="6" t="s">
        <v>368</v>
      </c>
      <c r="D80" s="13"/>
      <c r="E80" s="6" t="s">
        <v>343</v>
      </c>
      <c r="F80" s="6" t="str">
        <f t="array" ref="F80">TEXTJOIN("",FALSE,IF(NOT(ISBLANK(C80)), IF(E:E=C80,C:C &amp; "; ",""), ""))</f>
        <v/>
      </c>
      <c r="G80" s="7" t="s">
        <v>369</v>
      </c>
      <c r="H80" s="12" t="s">
        <v>370</v>
      </c>
      <c r="I80" s="6" t="s">
        <v>347</v>
      </c>
      <c r="J80" s="6" t="s">
        <v>22</v>
      </c>
      <c r="K80" s="13"/>
      <c r="L80" s="13"/>
      <c r="M80" s="13"/>
      <c r="N80" s="13"/>
      <c r="O80" s="13"/>
      <c r="P80" s="13"/>
      <c r="Q80" s="9" t="s">
        <v>23</v>
      </c>
    </row>
    <row r="81">
      <c r="A81" s="6">
        <v>17.0</v>
      </c>
      <c r="B81" s="6" t="s">
        <v>342</v>
      </c>
      <c r="C81" s="6" t="s">
        <v>371</v>
      </c>
      <c r="D81" s="13"/>
      <c r="E81" s="6" t="s">
        <v>343</v>
      </c>
      <c r="F81" s="6" t="str">
        <f t="array" ref="F81">TEXTJOIN("",FALSE,IF(NOT(ISBLANK(C81)), IF(E:E=C81,C:C &amp; "; ",""), ""))</f>
        <v/>
      </c>
      <c r="G81" s="7" t="s">
        <v>372</v>
      </c>
      <c r="H81" s="12" t="s">
        <v>367</v>
      </c>
      <c r="I81" s="6" t="s">
        <v>347</v>
      </c>
      <c r="J81" s="6" t="s">
        <v>22</v>
      </c>
      <c r="K81" s="13"/>
      <c r="L81" s="13"/>
      <c r="M81" s="13"/>
      <c r="N81" s="13"/>
      <c r="O81" s="13"/>
      <c r="P81" s="13"/>
      <c r="Q81" s="9" t="s">
        <v>23</v>
      </c>
    </row>
    <row r="82">
      <c r="A82" s="6">
        <v>17.0</v>
      </c>
      <c r="B82" s="6" t="s">
        <v>342</v>
      </c>
      <c r="C82" s="6" t="s">
        <v>373</v>
      </c>
      <c r="D82" s="13"/>
      <c r="E82" s="6" t="s">
        <v>343</v>
      </c>
      <c r="F82" s="6" t="str">
        <f t="array" ref="F82">TEXTJOIN("",FALSE,IF(NOT(ISBLANK(C82)), IF(E:E=C82,C:C &amp; "; ",""), ""))</f>
        <v/>
      </c>
      <c r="G82" s="7" t="s">
        <v>374</v>
      </c>
      <c r="H82" s="12" t="s">
        <v>370</v>
      </c>
      <c r="I82" s="6" t="s">
        <v>347</v>
      </c>
      <c r="J82" s="6" t="s">
        <v>22</v>
      </c>
      <c r="K82" s="13"/>
      <c r="L82" s="13"/>
      <c r="M82" s="13"/>
      <c r="N82" s="13"/>
      <c r="O82" s="13"/>
      <c r="P82" s="13"/>
      <c r="Q82" s="9" t="s">
        <v>23</v>
      </c>
    </row>
    <row r="83">
      <c r="A83" s="6">
        <v>17.0</v>
      </c>
      <c r="B83" s="6" t="s">
        <v>342</v>
      </c>
      <c r="C83" s="6" t="s">
        <v>375</v>
      </c>
      <c r="D83" s="7"/>
      <c r="E83" s="6" t="s">
        <v>343</v>
      </c>
      <c r="F83" s="6" t="str">
        <f t="array" ref="F83">TEXTJOIN("",FALSE,IF(NOT(ISBLANK(C83)), IF(E:E=C83,C:C &amp; "; ",""), ""))</f>
        <v/>
      </c>
      <c r="G83" s="7" t="s">
        <v>376</v>
      </c>
      <c r="H83" s="12" t="s">
        <v>330</v>
      </c>
      <c r="I83" s="6" t="s">
        <v>347</v>
      </c>
      <c r="J83" s="16" t="s">
        <v>22</v>
      </c>
      <c r="K83" s="16"/>
      <c r="L83" s="16"/>
      <c r="M83" s="16"/>
      <c r="N83" s="17"/>
      <c r="O83" s="35"/>
      <c r="P83" s="34"/>
      <c r="Q83" s="9" t="s">
        <v>23</v>
      </c>
    </row>
    <row r="84">
      <c r="A84" s="16">
        <v>18.0</v>
      </c>
      <c r="B84" s="21" t="s">
        <v>377</v>
      </c>
      <c r="C84" s="21" t="s">
        <v>377</v>
      </c>
      <c r="D84" s="41" t="s">
        <v>378</v>
      </c>
      <c r="E84" s="13"/>
      <c r="F84" s="6" t="str">
        <f t="array" ref="F84">TEXTJOIN("",FALSE,IF(NOT(ISBLANK(C84)), IF(E:E=C84,C:C &amp; "; ",""), ""))</f>
        <v/>
      </c>
      <c r="G84" s="6" t="s">
        <v>379</v>
      </c>
      <c r="H84" s="12" t="s">
        <v>380</v>
      </c>
      <c r="I84" s="6" t="s">
        <v>381</v>
      </c>
      <c r="J84" s="6" t="s">
        <v>22</v>
      </c>
      <c r="K84" s="6" t="s">
        <v>22</v>
      </c>
      <c r="L84" s="6" t="s">
        <v>35</v>
      </c>
      <c r="M84" s="22" t="s">
        <v>382</v>
      </c>
      <c r="N84" s="19" t="s">
        <v>383</v>
      </c>
      <c r="O84" s="13"/>
      <c r="P84" s="13"/>
      <c r="Q84" s="9" t="s">
        <v>144</v>
      </c>
    </row>
    <row r="85">
      <c r="A85" s="16">
        <v>19.0</v>
      </c>
      <c r="B85" s="21" t="s">
        <v>377</v>
      </c>
      <c r="C85" s="21" t="s">
        <v>384</v>
      </c>
      <c r="D85" s="21" t="s">
        <v>385</v>
      </c>
      <c r="E85" s="13"/>
      <c r="F85" s="6" t="str">
        <f t="array" ref="F85">TEXTJOIN("",FALSE,IF(NOT(ISBLANK(C85)), IF(E:E=C85,C:C &amp; "; ",""), ""))</f>
        <v/>
      </c>
      <c r="G85" s="6" t="s">
        <v>386</v>
      </c>
      <c r="H85" s="12" t="s">
        <v>387</v>
      </c>
      <c r="I85" s="6" t="s">
        <v>388</v>
      </c>
      <c r="J85" s="6" t="s">
        <v>22</v>
      </c>
      <c r="K85" s="6" t="s">
        <v>22</v>
      </c>
      <c r="L85" s="6" t="s">
        <v>35</v>
      </c>
      <c r="M85" s="22" t="s">
        <v>389</v>
      </c>
      <c r="N85" s="19" t="s">
        <v>390</v>
      </c>
      <c r="O85" s="13"/>
      <c r="P85" s="13"/>
      <c r="Q85" s="9" t="s">
        <v>144</v>
      </c>
      <c r="R85" s="42" t="s">
        <v>391</v>
      </c>
      <c r="S85" s="43" t="s">
        <v>392</v>
      </c>
    </row>
    <row r="86">
      <c r="A86" s="16">
        <v>20.0</v>
      </c>
      <c r="B86" s="16" t="s">
        <v>393</v>
      </c>
      <c r="C86" s="16" t="s">
        <v>394</v>
      </c>
      <c r="D86" s="13"/>
      <c r="E86" s="13"/>
      <c r="F86" s="6" t="str">
        <f t="array" ref="F86">TEXTJOIN("",FALSE,IF(NOT(ISBLANK(C86)), IF(E:E=C86,C:C &amp; "; ",""), ""))</f>
        <v>Square Matrix LU Decomposition; </v>
      </c>
      <c r="G86" s="6" t="s">
        <v>395</v>
      </c>
      <c r="H86" s="12" t="s">
        <v>396</v>
      </c>
      <c r="I86" s="6" t="s">
        <v>397</v>
      </c>
      <c r="J86" s="6" t="s">
        <v>398</v>
      </c>
      <c r="K86" s="6" t="s">
        <v>398</v>
      </c>
      <c r="L86" s="6" t="s">
        <v>399</v>
      </c>
      <c r="M86" s="22"/>
      <c r="N86" s="44"/>
      <c r="O86" s="13"/>
      <c r="P86" s="13"/>
      <c r="Q86" s="9" t="s">
        <v>144</v>
      </c>
      <c r="R86" s="9"/>
    </row>
    <row r="87">
      <c r="A87" s="16">
        <v>20.0</v>
      </c>
      <c r="B87" s="16" t="s">
        <v>393</v>
      </c>
      <c r="C87" s="16" t="s">
        <v>400</v>
      </c>
      <c r="D87" s="13"/>
      <c r="E87" s="16" t="s">
        <v>394</v>
      </c>
      <c r="F87" s="6" t="str">
        <f t="array" ref="F87">TEXTJOIN("",FALSE,IF(NOT(ISBLANK(C87)), IF(E:E=C87,C:C &amp; "; ",""), ""))</f>
        <v/>
      </c>
      <c r="G87" s="6" t="s">
        <v>401</v>
      </c>
      <c r="H87" s="12" t="s">
        <v>396</v>
      </c>
      <c r="I87" s="6" t="s">
        <v>113</v>
      </c>
      <c r="J87" s="6" t="s">
        <v>114</v>
      </c>
      <c r="K87" s="6" t="s">
        <v>114</v>
      </c>
      <c r="L87" s="6" t="s">
        <v>115</v>
      </c>
      <c r="M87" s="22"/>
      <c r="N87" s="44"/>
      <c r="O87" s="13"/>
      <c r="P87" s="13"/>
      <c r="Q87" s="9" t="s">
        <v>144</v>
      </c>
      <c r="R87" s="9"/>
    </row>
    <row r="88">
      <c r="A88" s="6">
        <v>21.0</v>
      </c>
      <c r="B88" s="6" t="s">
        <v>402</v>
      </c>
      <c r="C88" s="6" t="s">
        <v>402</v>
      </c>
      <c r="D88" s="7"/>
      <c r="E88" s="7"/>
      <c r="F88" s="6" t="str">
        <f t="array" ref="F88">TEXTJOIN("",FALSE,IF(NOT(ISBLANK(C88)), IF(E:E=C88,C:C &amp; "; ",""), ""))</f>
        <v/>
      </c>
      <c r="G88" s="7" t="s">
        <v>403</v>
      </c>
      <c r="H88" s="11" t="s">
        <v>404</v>
      </c>
      <c r="I88" s="7" t="s">
        <v>405</v>
      </c>
      <c r="J88" s="6" t="s">
        <v>406</v>
      </c>
      <c r="K88" s="6" t="s">
        <v>35</v>
      </c>
      <c r="L88" s="6" t="s">
        <v>407</v>
      </c>
      <c r="M88" s="6" t="s">
        <v>408</v>
      </c>
      <c r="N88" s="45" t="s">
        <v>409</v>
      </c>
      <c r="O88" s="6" t="s">
        <v>407</v>
      </c>
      <c r="P88" s="6" t="s">
        <v>410</v>
      </c>
      <c r="Q88" s="9" t="s">
        <v>411</v>
      </c>
    </row>
    <row r="89">
      <c r="A89" s="16">
        <v>22.0</v>
      </c>
      <c r="B89" s="16" t="s">
        <v>412</v>
      </c>
      <c r="C89" s="16" t="s">
        <v>413</v>
      </c>
      <c r="D89" s="7"/>
      <c r="E89" s="7"/>
      <c r="F89" s="6" t="str">
        <f t="array" ref="F89">TEXTJOIN("",FALSE,IF(NOT(ISBLANK(C89)), IF(E:E=C89,C:C &amp; "; ",""), ""))</f>
        <v/>
      </c>
      <c r="G89" s="7" t="s">
        <v>414</v>
      </c>
      <c r="H89" s="11" t="s">
        <v>415</v>
      </c>
      <c r="I89" s="7" t="s">
        <v>416</v>
      </c>
      <c r="J89" s="6" t="s">
        <v>68</v>
      </c>
      <c r="K89" s="6" t="s">
        <v>417</v>
      </c>
      <c r="L89" s="6" t="s">
        <v>34</v>
      </c>
      <c r="M89" s="6"/>
      <c r="N89" s="46"/>
      <c r="O89" s="6"/>
      <c r="P89" s="6"/>
      <c r="Q89" s="9" t="s">
        <v>23</v>
      </c>
    </row>
    <row r="90">
      <c r="A90" s="16">
        <v>22.0</v>
      </c>
      <c r="B90" s="16" t="s">
        <v>412</v>
      </c>
      <c r="C90" s="16" t="s">
        <v>418</v>
      </c>
      <c r="D90" s="7"/>
      <c r="E90" s="7"/>
      <c r="F90" s="6" t="str">
        <f t="array" ref="F90">TEXTJOIN("",FALSE,IF(NOT(ISBLANK(C90)), IF(E:E=C90,C:C &amp; "; ",""), ""))</f>
        <v/>
      </c>
      <c r="G90" s="7" t="s">
        <v>419</v>
      </c>
      <c r="H90" s="11" t="s">
        <v>415</v>
      </c>
      <c r="I90" s="7" t="s">
        <v>420</v>
      </c>
      <c r="J90" s="6" t="s">
        <v>68</v>
      </c>
      <c r="K90" s="6" t="s">
        <v>421</v>
      </c>
      <c r="L90" s="6" t="s">
        <v>34</v>
      </c>
      <c r="M90" s="6" t="s">
        <v>422</v>
      </c>
      <c r="N90" s="45" t="s">
        <v>423</v>
      </c>
      <c r="O90" s="6"/>
      <c r="P90" s="6"/>
      <c r="Q90" s="9" t="s">
        <v>23</v>
      </c>
    </row>
    <row r="91">
      <c r="A91" s="6">
        <v>23.0</v>
      </c>
      <c r="B91" s="6" t="s">
        <v>424</v>
      </c>
      <c r="C91" s="6" t="s">
        <v>425</v>
      </c>
      <c r="D91" s="6"/>
      <c r="E91" s="6"/>
      <c r="F91" s="6" t="str">
        <f t="array" ref="F91">TEXTJOIN("",FALSE,IF(NOT(ISBLANK(C91)), IF(E:E=C91,C:C &amp; "; ",""), ""))</f>
        <v>Edit Sequence, constant-size alphabet; </v>
      </c>
      <c r="G91" s="6" t="s">
        <v>426</v>
      </c>
      <c r="H91" s="11" t="s">
        <v>427</v>
      </c>
      <c r="I91" s="7" t="s">
        <v>428</v>
      </c>
      <c r="J91" s="23" t="s">
        <v>68</v>
      </c>
      <c r="K91" s="23" t="s">
        <v>68</v>
      </c>
      <c r="L91" s="23" t="s">
        <v>34</v>
      </c>
      <c r="M91" s="23" t="s">
        <v>429</v>
      </c>
      <c r="N91" s="47" t="s">
        <v>430</v>
      </c>
      <c r="O91" s="6" t="s">
        <v>431</v>
      </c>
      <c r="P91" s="6" t="s">
        <v>432</v>
      </c>
      <c r="Q91" s="9" t="s">
        <v>433</v>
      </c>
    </row>
    <row r="92">
      <c r="A92" s="6">
        <v>23.0</v>
      </c>
      <c r="B92" s="6" t="s">
        <v>424</v>
      </c>
      <c r="C92" s="6" t="s">
        <v>434</v>
      </c>
      <c r="D92" s="6"/>
      <c r="E92" s="6" t="s">
        <v>425</v>
      </c>
      <c r="F92" s="6" t="str">
        <f t="array" ref="F92">TEXTJOIN("",FALSE,IF(NOT(ISBLANK(C92)), IF(E:E=C92,C:C &amp; "; ",""), ""))</f>
        <v/>
      </c>
      <c r="G92" s="6" t="s">
        <v>435</v>
      </c>
      <c r="H92" s="11" t="s">
        <v>427</v>
      </c>
      <c r="I92" s="7" t="s">
        <v>428</v>
      </c>
      <c r="J92" s="23" t="s">
        <v>68</v>
      </c>
      <c r="K92" s="23" t="s">
        <v>68</v>
      </c>
      <c r="L92" s="23" t="s">
        <v>35</v>
      </c>
      <c r="M92" s="23" t="s">
        <v>429</v>
      </c>
      <c r="N92" s="47" t="s">
        <v>430</v>
      </c>
      <c r="O92" s="6" t="s">
        <v>431</v>
      </c>
      <c r="P92" s="6" t="s">
        <v>432</v>
      </c>
      <c r="Q92" s="9" t="s">
        <v>433</v>
      </c>
    </row>
    <row r="93">
      <c r="A93" s="48">
        <v>24.0</v>
      </c>
      <c r="B93" s="16" t="s">
        <v>436</v>
      </c>
      <c r="C93" s="16" t="s">
        <v>436</v>
      </c>
      <c r="D93" s="6"/>
      <c r="E93" s="6"/>
      <c r="F93" s="6" t="str">
        <f t="array" ref="F93">TEXTJOIN("",FALSE,IF(NOT(ISBLANK(C93)), IF(E:E=C93,C:C &amp; "; ",""), ""))</f>
        <v/>
      </c>
      <c r="G93" s="6" t="s">
        <v>437</v>
      </c>
      <c r="H93" s="11" t="s">
        <v>438</v>
      </c>
      <c r="I93" s="7" t="s">
        <v>439</v>
      </c>
      <c r="J93" s="23" t="s">
        <v>68</v>
      </c>
      <c r="K93" s="23"/>
      <c r="L93" s="23"/>
      <c r="M93" s="23"/>
      <c r="N93" s="7"/>
      <c r="O93" s="6"/>
      <c r="P93" s="6"/>
      <c r="Q93" s="9" t="s">
        <v>440</v>
      </c>
    </row>
    <row r="94">
      <c r="A94" s="16">
        <v>25.0</v>
      </c>
      <c r="B94" s="16" t="s">
        <v>441</v>
      </c>
      <c r="C94" s="6" t="s">
        <v>442</v>
      </c>
      <c r="D94" s="6"/>
      <c r="E94" s="6" t="s">
        <v>443</v>
      </c>
      <c r="F94" s="6" t="str">
        <f t="array" ref="F94">TEXTJOIN("",FALSE,IF(NOT(ISBLANK(C94)), IF(E:E=C94,C:C &amp; "; ",""), ""))</f>
        <v/>
      </c>
      <c r="G94" s="7" t="s">
        <v>444</v>
      </c>
      <c r="H94" s="11" t="s">
        <v>445</v>
      </c>
      <c r="I94" s="7" t="s">
        <v>446</v>
      </c>
      <c r="J94" s="23" t="s">
        <v>22</v>
      </c>
      <c r="K94" s="23" t="s">
        <v>35</v>
      </c>
      <c r="L94" s="23" t="s">
        <v>35</v>
      </c>
      <c r="M94" s="23" t="s">
        <v>35</v>
      </c>
      <c r="N94" s="24" t="s">
        <v>447</v>
      </c>
      <c r="O94" s="6" t="s">
        <v>37</v>
      </c>
      <c r="P94" s="6" t="s">
        <v>38</v>
      </c>
      <c r="Q94" s="9" t="s">
        <v>196</v>
      </c>
    </row>
    <row r="95">
      <c r="A95" s="16">
        <v>25.0</v>
      </c>
      <c r="B95" s="16" t="s">
        <v>441</v>
      </c>
      <c r="C95" s="6" t="s">
        <v>443</v>
      </c>
      <c r="D95" s="6"/>
      <c r="E95" s="6" t="s">
        <v>448</v>
      </c>
      <c r="F95" s="6" t="str">
        <f t="array" ref="F95">TEXTJOIN("",FALSE,IF(NOT(ISBLANK(C95)), IF(E:E=C95,C:C &amp; "; ",""), ""))</f>
        <v>Rectangular Window; </v>
      </c>
      <c r="G95" s="6" t="s">
        <v>449</v>
      </c>
      <c r="H95" s="28" t="s">
        <v>450</v>
      </c>
      <c r="I95" s="9" t="s">
        <v>451</v>
      </c>
      <c r="J95" s="23" t="s">
        <v>22</v>
      </c>
      <c r="K95" s="23" t="s">
        <v>452</v>
      </c>
      <c r="L95" s="23" t="s">
        <v>35</v>
      </c>
      <c r="M95" s="23" t="s">
        <v>453</v>
      </c>
      <c r="N95" s="17" t="s">
        <v>454</v>
      </c>
      <c r="O95" s="6" t="s">
        <v>455</v>
      </c>
      <c r="P95" s="6" t="s">
        <v>38</v>
      </c>
      <c r="Q95" s="9" t="s">
        <v>196</v>
      </c>
    </row>
    <row r="96">
      <c r="A96" s="16">
        <v>25.0</v>
      </c>
      <c r="B96" s="16" t="s">
        <v>441</v>
      </c>
      <c r="C96" s="6" t="s">
        <v>448</v>
      </c>
      <c r="D96" s="6"/>
      <c r="E96" s="6"/>
      <c r="F96" s="6" t="str">
        <f t="array" ref="F96">TEXTJOIN("",FALSE,IF(NOT(ISBLANK(C96)), IF(E:E=C96,C:C &amp; "; ",""), ""))</f>
        <v>Convex Polygonal Window; </v>
      </c>
      <c r="G96" s="6" t="s">
        <v>456</v>
      </c>
      <c r="H96" s="28" t="s">
        <v>450</v>
      </c>
      <c r="I96" s="7" t="s">
        <v>457</v>
      </c>
      <c r="J96" s="23" t="s">
        <v>22</v>
      </c>
      <c r="K96" s="23" t="s">
        <v>452</v>
      </c>
      <c r="L96" s="23" t="s">
        <v>35</v>
      </c>
      <c r="M96" s="23" t="s">
        <v>458</v>
      </c>
      <c r="N96" s="25" t="s">
        <v>459</v>
      </c>
      <c r="O96" s="6" t="s">
        <v>455</v>
      </c>
      <c r="P96" s="6" t="s">
        <v>38</v>
      </c>
      <c r="Q96" s="9" t="s">
        <v>196</v>
      </c>
    </row>
    <row r="97">
      <c r="A97" s="48">
        <v>26.0</v>
      </c>
      <c r="B97" s="16" t="s">
        <v>460</v>
      </c>
      <c r="C97" s="16" t="s">
        <v>460</v>
      </c>
      <c r="D97" s="6"/>
      <c r="E97" s="6"/>
      <c r="F97" s="6" t="str">
        <f t="array" ref="F97">TEXTJOIN("",FALSE,IF(NOT(ISBLANK(C97)), IF(E:E=C97,C:C &amp; "; ",""), ""))</f>
        <v/>
      </c>
      <c r="G97" s="6" t="s">
        <v>461</v>
      </c>
      <c r="H97" s="11" t="s">
        <v>462</v>
      </c>
      <c r="I97" s="7" t="s">
        <v>463</v>
      </c>
      <c r="J97" s="23" t="s">
        <v>22</v>
      </c>
      <c r="K97" s="23"/>
      <c r="L97" s="23"/>
      <c r="M97" s="23"/>
      <c r="N97" s="7"/>
      <c r="O97" s="6"/>
      <c r="P97" s="6"/>
      <c r="Q97" s="9" t="s">
        <v>23</v>
      </c>
    </row>
    <row r="98">
      <c r="A98" s="16">
        <v>27.0</v>
      </c>
      <c r="B98" s="16" t="s">
        <v>464</v>
      </c>
      <c r="C98" s="16" t="s">
        <v>464</v>
      </c>
      <c r="D98" s="6"/>
      <c r="E98" s="6"/>
      <c r="F98" s="6" t="str">
        <f t="array" ref="F98">TEXTJOIN("",FALSE,IF(NOT(ISBLANK(C98)), IF(E:E=C98,C:C &amp; "; ",""), ""))</f>
        <v/>
      </c>
      <c r="G98" s="6" t="s">
        <v>465</v>
      </c>
      <c r="H98" s="11" t="s">
        <v>466</v>
      </c>
      <c r="I98" s="7" t="s">
        <v>467</v>
      </c>
      <c r="J98" s="23" t="s">
        <v>22</v>
      </c>
      <c r="K98" s="23" t="s">
        <v>468</v>
      </c>
      <c r="L98" s="23" t="s">
        <v>35</v>
      </c>
      <c r="M98" s="23" t="s">
        <v>26</v>
      </c>
      <c r="N98" s="17" t="s">
        <v>469</v>
      </c>
      <c r="O98" s="6" t="s">
        <v>37</v>
      </c>
      <c r="P98" s="6" t="s">
        <v>38</v>
      </c>
      <c r="Q98" s="9" t="s">
        <v>144</v>
      </c>
    </row>
    <row r="99">
      <c r="A99" s="16">
        <v>28.0</v>
      </c>
      <c r="B99" s="16" t="s">
        <v>470</v>
      </c>
      <c r="C99" s="6" t="s">
        <v>471</v>
      </c>
      <c r="D99" s="6"/>
      <c r="E99" s="6" t="s">
        <v>472</v>
      </c>
      <c r="F99" s="6" t="str">
        <f t="array" ref="F99">TEXTJOIN("",FALSE,IF(NOT(ISBLANK(C99)), IF(E:E=C99,C:C &amp; "; ",""), ""))</f>
        <v>Planar Bipartite Graph Perfect Matching; </v>
      </c>
      <c r="G99" s="7" t="s">
        <v>473</v>
      </c>
      <c r="H99" s="11" t="s">
        <v>474</v>
      </c>
      <c r="I99" s="7" t="s">
        <v>91</v>
      </c>
      <c r="J99" s="23" t="s">
        <v>81</v>
      </c>
      <c r="K99" s="23" t="s">
        <v>245</v>
      </c>
      <c r="L99" s="23" t="s">
        <v>268</v>
      </c>
      <c r="M99" s="23"/>
      <c r="N99" s="17"/>
      <c r="O99" s="6"/>
      <c r="P99" s="6"/>
      <c r="Q99" s="9" t="s">
        <v>23</v>
      </c>
    </row>
    <row r="100">
      <c r="A100" s="16">
        <v>28.0</v>
      </c>
      <c r="B100" s="16" t="s">
        <v>470</v>
      </c>
      <c r="C100" s="6" t="s">
        <v>472</v>
      </c>
      <c r="D100" s="6"/>
      <c r="E100" s="6"/>
      <c r="F100" s="6" t="str">
        <f t="array" ref="F100">TEXTJOIN("",FALSE,IF(NOT(ISBLANK(C100)), IF(E:E=C100,C:C &amp; "; ",""), ""))</f>
        <v>Bipartite Graph MCM; </v>
      </c>
      <c r="G100" s="6" t="s">
        <v>475</v>
      </c>
      <c r="H100" s="11" t="s">
        <v>476</v>
      </c>
      <c r="I100" s="7" t="s">
        <v>91</v>
      </c>
      <c r="J100" s="23" t="s">
        <v>81</v>
      </c>
      <c r="K100" s="23" t="s">
        <v>245</v>
      </c>
      <c r="L100" s="23" t="s">
        <v>268</v>
      </c>
      <c r="M100" s="23"/>
      <c r="N100" s="17"/>
      <c r="O100" s="6"/>
      <c r="P100" s="6"/>
      <c r="Q100" s="9" t="s">
        <v>23</v>
      </c>
    </row>
    <row r="101">
      <c r="A101" s="16">
        <v>28.0</v>
      </c>
      <c r="B101" s="16" t="s">
        <v>470</v>
      </c>
      <c r="C101" s="6" t="s">
        <v>477</v>
      </c>
      <c r="D101" s="6"/>
      <c r="E101" s="6" t="s">
        <v>471</v>
      </c>
      <c r="F101" s="6" t="str">
        <f t="array" ref="F101">TEXTJOIN("",FALSE,IF(NOT(ISBLANK(C101)), IF(E:E=C101,C:C &amp; "; ",""), ""))</f>
        <v/>
      </c>
      <c r="G101" s="6" t="s">
        <v>478</v>
      </c>
      <c r="H101" s="11" t="s">
        <v>479</v>
      </c>
      <c r="I101" s="7" t="s">
        <v>91</v>
      </c>
      <c r="J101" s="23" t="s">
        <v>81</v>
      </c>
      <c r="K101" s="23" t="s">
        <v>245</v>
      </c>
      <c r="L101" s="23" t="s">
        <v>268</v>
      </c>
      <c r="M101" s="23"/>
      <c r="N101" s="17"/>
      <c r="O101" s="6"/>
      <c r="P101" s="6"/>
      <c r="Q101" s="9"/>
    </row>
    <row r="102">
      <c r="A102" s="16">
        <v>29.0</v>
      </c>
      <c r="B102" s="16" t="s">
        <v>480</v>
      </c>
      <c r="C102" s="16" t="s">
        <v>480</v>
      </c>
      <c r="D102" s="6"/>
      <c r="E102" s="6"/>
      <c r="F102" s="6" t="str">
        <f t="array" ref="F102">TEXTJOIN("",FALSE,IF(NOT(ISBLANK(C102)), IF(E:E=C102,C:C &amp; "; ",""), ""))</f>
        <v/>
      </c>
      <c r="G102" s="7" t="s">
        <v>481</v>
      </c>
      <c r="H102" s="11" t="s">
        <v>482</v>
      </c>
      <c r="I102" s="7" t="s">
        <v>483</v>
      </c>
      <c r="J102" s="23" t="s">
        <v>22</v>
      </c>
      <c r="K102" s="23" t="s">
        <v>35</v>
      </c>
      <c r="L102" s="23" t="s">
        <v>484</v>
      </c>
      <c r="M102" s="23"/>
      <c r="N102" s="17"/>
      <c r="O102" s="6"/>
      <c r="P102" s="6"/>
      <c r="Q102" s="9" t="s">
        <v>485</v>
      </c>
    </row>
    <row r="103">
      <c r="A103" s="16">
        <v>30.0</v>
      </c>
      <c r="B103" s="16" t="s">
        <v>486</v>
      </c>
      <c r="C103" s="6" t="s">
        <v>486</v>
      </c>
      <c r="D103" s="6"/>
      <c r="E103" s="6"/>
      <c r="F103" s="6" t="str">
        <f t="array" ref="F103">TEXTJOIN("",FALSE,IF(NOT(ISBLANK(C103)), IF(E:E=C103,C:C &amp; "; ",""), ""))</f>
        <v/>
      </c>
      <c r="G103" s="6" t="s">
        <v>487</v>
      </c>
      <c r="H103" s="12" t="s">
        <v>488</v>
      </c>
      <c r="I103" s="6" t="s">
        <v>489</v>
      </c>
      <c r="J103" s="6" t="s">
        <v>22</v>
      </c>
      <c r="K103" s="13"/>
      <c r="L103" s="13"/>
      <c r="M103" s="13"/>
      <c r="N103" s="13"/>
      <c r="O103" s="13"/>
      <c r="P103" s="13"/>
      <c r="Q103" s="9" t="s">
        <v>490</v>
      </c>
    </row>
    <row r="104">
      <c r="A104" s="48">
        <v>31.0</v>
      </c>
      <c r="B104" s="16" t="s">
        <v>491</v>
      </c>
      <c r="C104" s="16" t="s">
        <v>492</v>
      </c>
      <c r="D104" s="6" t="s">
        <v>493</v>
      </c>
      <c r="E104" s="6"/>
      <c r="F104" s="6" t="str">
        <f t="array" ref="F104">TEXTJOIN("",FALSE,IF(NOT(ISBLANK(C104)), IF(E:E=C104,C:C &amp; "; ",""), ""))</f>
        <v/>
      </c>
      <c r="G104" s="7" t="s">
        <v>494</v>
      </c>
      <c r="H104" s="12" t="s">
        <v>495</v>
      </c>
      <c r="I104" s="6" t="s">
        <v>496</v>
      </c>
      <c r="J104" s="6" t="s">
        <v>114</v>
      </c>
      <c r="K104" s="6" t="s">
        <v>115</v>
      </c>
      <c r="L104" s="6" t="s">
        <v>35</v>
      </c>
      <c r="M104" s="13"/>
      <c r="N104" s="13"/>
      <c r="O104" s="13"/>
      <c r="P104" s="13"/>
      <c r="Q104" s="9" t="s">
        <v>144</v>
      </c>
    </row>
    <row r="105">
      <c r="A105" s="48">
        <v>31.0</v>
      </c>
      <c r="B105" s="16" t="s">
        <v>491</v>
      </c>
      <c r="C105" s="16" t="s">
        <v>497</v>
      </c>
      <c r="D105" s="6"/>
      <c r="E105" s="6"/>
      <c r="F105" s="6"/>
      <c r="G105" s="7" t="s">
        <v>498</v>
      </c>
      <c r="H105" s="12" t="s">
        <v>495</v>
      </c>
      <c r="I105" s="6" t="s">
        <v>496</v>
      </c>
      <c r="J105" s="6" t="s">
        <v>114</v>
      </c>
      <c r="K105" s="6" t="s">
        <v>115</v>
      </c>
      <c r="L105" s="6" t="s">
        <v>35</v>
      </c>
      <c r="M105" s="13"/>
      <c r="N105" s="13"/>
      <c r="O105" s="13"/>
      <c r="P105" s="13"/>
      <c r="Q105" s="9"/>
    </row>
    <row r="106">
      <c r="A106" s="16">
        <v>32.0</v>
      </c>
      <c r="B106" s="16" t="s">
        <v>499</v>
      </c>
      <c r="C106" s="6" t="s">
        <v>499</v>
      </c>
      <c r="D106" s="7" t="s">
        <v>500</v>
      </c>
      <c r="E106" s="7"/>
      <c r="F106" s="6" t="str">
        <f t="array" ref="F106">TEXTJOIN("",FALSE,IF(NOT(ISBLANK(C106)), IF(E:E=C106,C:C &amp; "; ",""), ""))</f>
        <v/>
      </c>
      <c r="G106" s="7" t="s">
        <v>501</v>
      </c>
      <c r="H106" s="12" t="s">
        <v>502</v>
      </c>
      <c r="I106" s="6" t="s">
        <v>503</v>
      </c>
      <c r="J106" s="16" t="s">
        <v>504</v>
      </c>
      <c r="K106" s="16"/>
      <c r="L106" s="16"/>
      <c r="M106" s="16" t="s">
        <v>505</v>
      </c>
      <c r="N106" s="45" t="s">
        <v>506</v>
      </c>
      <c r="O106" s="6" t="s">
        <v>507</v>
      </c>
      <c r="P106" s="18" t="s">
        <v>508</v>
      </c>
      <c r="Q106" s="9" t="s">
        <v>23</v>
      </c>
    </row>
    <row r="107">
      <c r="A107" s="16">
        <v>33.0</v>
      </c>
      <c r="B107" s="16" t="s">
        <v>509</v>
      </c>
      <c r="C107" s="6" t="s">
        <v>510</v>
      </c>
      <c r="D107" s="7"/>
      <c r="E107" s="7"/>
      <c r="F107" s="6" t="str">
        <f t="array" ref="F107">TEXTJOIN("",FALSE,IF(NOT(ISBLANK(C107)), IF(E:E=C107,C:C &amp; "; ",""), ""))</f>
        <v/>
      </c>
      <c r="G107" s="7" t="s">
        <v>511</v>
      </c>
      <c r="H107" s="12" t="s">
        <v>512</v>
      </c>
      <c r="I107" s="6" t="s">
        <v>513</v>
      </c>
      <c r="J107" s="16" t="s">
        <v>22</v>
      </c>
      <c r="K107" s="16" t="s">
        <v>35</v>
      </c>
      <c r="L107" s="16" t="s">
        <v>35</v>
      </c>
      <c r="M107" s="16" t="s">
        <v>35</v>
      </c>
      <c r="N107" s="49" t="s">
        <v>514</v>
      </c>
      <c r="O107" s="6" t="s">
        <v>37</v>
      </c>
      <c r="P107" s="6" t="s">
        <v>38</v>
      </c>
      <c r="Q107" s="9" t="s">
        <v>144</v>
      </c>
    </row>
    <row r="108">
      <c r="A108" s="16">
        <v>33.0</v>
      </c>
      <c r="B108" s="16" t="s">
        <v>509</v>
      </c>
      <c r="C108" s="6" t="s">
        <v>515</v>
      </c>
      <c r="D108" s="7"/>
      <c r="E108" s="7"/>
      <c r="F108" s="6" t="str">
        <f t="array" ref="F108">TEXTJOIN("",FALSE,IF(NOT(ISBLANK(C108)), IF(E:E=C108,C:C &amp; "; ",""), ""))</f>
        <v/>
      </c>
      <c r="G108" s="7" t="s">
        <v>516</v>
      </c>
      <c r="H108" s="12" t="s">
        <v>517</v>
      </c>
      <c r="I108" s="6" t="s">
        <v>513</v>
      </c>
      <c r="J108" s="16" t="s">
        <v>22</v>
      </c>
      <c r="K108" s="16" t="s">
        <v>35</v>
      </c>
      <c r="L108" s="16" t="s">
        <v>35</v>
      </c>
      <c r="M108" s="16" t="s">
        <v>35</v>
      </c>
      <c r="N108" s="49" t="s">
        <v>518</v>
      </c>
      <c r="O108" s="6" t="s">
        <v>37</v>
      </c>
      <c r="P108" s="6" t="s">
        <v>38</v>
      </c>
      <c r="Q108" s="9" t="s">
        <v>144</v>
      </c>
    </row>
    <row r="109">
      <c r="A109" s="48">
        <v>34.0</v>
      </c>
      <c r="B109" s="16" t="s">
        <v>519</v>
      </c>
      <c r="C109" s="16" t="s">
        <v>519</v>
      </c>
      <c r="D109" s="7"/>
      <c r="E109" s="7"/>
      <c r="F109" s="6" t="str">
        <f t="array" ref="F109">TEXTJOIN("",FALSE,IF(NOT(ISBLANK(C109)), IF(E:E=C109,C:C &amp; "; ",""), ""))</f>
        <v/>
      </c>
      <c r="G109" s="50" t="s">
        <v>520</v>
      </c>
      <c r="H109" s="12" t="s">
        <v>521</v>
      </c>
      <c r="I109" s="6" t="s">
        <v>170</v>
      </c>
      <c r="J109" s="16" t="s">
        <v>22</v>
      </c>
      <c r="K109" s="16"/>
      <c r="L109" s="16"/>
      <c r="M109" s="16"/>
      <c r="N109" s="51"/>
      <c r="O109" s="6"/>
      <c r="P109" s="6"/>
      <c r="Q109" s="9" t="s">
        <v>144</v>
      </c>
    </row>
    <row r="110">
      <c r="A110" s="48">
        <v>35.0</v>
      </c>
      <c r="B110" s="16" t="s">
        <v>522</v>
      </c>
      <c r="C110" s="16" t="s">
        <v>522</v>
      </c>
      <c r="D110" s="7"/>
      <c r="E110" s="7"/>
      <c r="F110" s="6" t="str">
        <f t="array" ref="F110">TEXTJOIN("",FALSE,IF(NOT(ISBLANK(C110)), IF(E:E=C110,C:C &amp; "; ",""), ""))</f>
        <v/>
      </c>
      <c r="G110" s="7" t="s">
        <v>523</v>
      </c>
      <c r="H110" s="12" t="s">
        <v>524</v>
      </c>
      <c r="I110" s="6" t="s">
        <v>525</v>
      </c>
      <c r="J110" s="16" t="s">
        <v>22</v>
      </c>
      <c r="K110" s="16" t="s">
        <v>526</v>
      </c>
      <c r="L110" s="16" t="s">
        <v>526</v>
      </c>
      <c r="M110" s="16"/>
      <c r="N110" s="51"/>
      <c r="O110" s="6"/>
      <c r="P110" s="6"/>
      <c r="Q110" s="9" t="s">
        <v>144</v>
      </c>
    </row>
    <row r="111">
      <c r="A111" s="16">
        <v>36.0</v>
      </c>
      <c r="B111" s="16" t="s">
        <v>527</v>
      </c>
      <c r="C111" s="16" t="s">
        <v>527</v>
      </c>
      <c r="D111" s="7"/>
      <c r="E111" s="7"/>
      <c r="F111" s="6" t="str">
        <f t="array" ref="F111">TEXTJOIN("",FALSE,IF(NOT(ISBLANK(C111)), IF(E:E=C111,C:C &amp; "; ",""), ""))</f>
        <v/>
      </c>
      <c r="G111" s="7" t="s">
        <v>528</v>
      </c>
      <c r="H111" s="12" t="s">
        <v>529</v>
      </c>
      <c r="I111" s="6" t="s">
        <v>530</v>
      </c>
      <c r="J111" s="16" t="s">
        <v>398</v>
      </c>
      <c r="K111" s="16" t="s">
        <v>399</v>
      </c>
      <c r="L111" s="16" t="s">
        <v>35</v>
      </c>
      <c r="M111" s="34" t="s">
        <v>531</v>
      </c>
      <c r="N111" s="26" t="s">
        <v>532</v>
      </c>
      <c r="O111" s="34" t="s">
        <v>37</v>
      </c>
      <c r="P111" s="34" t="s">
        <v>38</v>
      </c>
      <c r="Q111" s="9" t="s">
        <v>23</v>
      </c>
    </row>
    <row r="112">
      <c r="A112" s="16">
        <v>37.0</v>
      </c>
      <c r="B112" s="16" t="s">
        <v>533</v>
      </c>
      <c r="C112" s="16" t="s">
        <v>533</v>
      </c>
      <c r="D112" s="7"/>
      <c r="E112" s="7"/>
      <c r="F112" s="6" t="str">
        <f t="array" ref="F112">TEXTJOIN("",FALSE,IF(NOT(ISBLANK(C112)), IF(E:E=C112,C:C &amp; "; ",""), ""))</f>
        <v/>
      </c>
      <c r="G112" s="7" t="s">
        <v>534</v>
      </c>
      <c r="H112" s="33" t="s">
        <v>535</v>
      </c>
      <c r="I112" s="6" t="s">
        <v>513</v>
      </c>
      <c r="J112" s="16" t="s">
        <v>22</v>
      </c>
      <c r="K112" s="16" t="s">
        <v>35</v>
      </c>
      <c r="L112" s="16" t="s">
        <v>536</v>
      </c>
      <c r="M112" s="16" t="s">
        <v>537</v>
      </c>
      <c r="N112" s="49" t="s">
        <v>538</v>
      </c>
      <c r="O112" s="6" t="s">
        <v>539</v>
      </c>
      <c r="P112" s="6" t="s">
        <v>38</v>
      </c>
      <c r="Q112" s="9" t="s">
        <v>144</v>
      </c>
      <c r="R112" s="32" t="s">
        <v>540</v>
      </c>
      <c r="S112" s="9" t="s">
        <v>541</v>
      </c>
      <c r="T112" s="32" t="s">
        <v>542</v>
      </c>
      <c r="U112" s="9" t="s">
        <v>543</v>
      </c>
    </row>
    <row r="113">
      <c r="A113" s="16">
        <v>38.0</v>
      </c>
      <c r="B113" s="16" t="s">
        <v>544</v>
      </c>
      <c r="C113" s="16" t="s">
        <v>545</v>
      </c>
      <c r="D113" s="7" t="s">
        <v>546</v>
      </c>
      <c r="E113" s="7"/>
      <c r="F113" s="6" t="str">
        <f t="array" ref="F113">TEXTJOIN("",FALSE,IF(NOT(ISBLANK(C113)), IF(E:E=C113,C:C &amp; "; ",""), ""))</f>
        <v>Approximate OBST; Huffman Encoding; Alphabetic Tree Problem; </v>
      </c>
      <c r="G113" s="7" t="s">
        <v>547</v>
      </c>
      <c r="H113" s="12" t="s">
        <v>548</v>
      </c>
      <c r="I113" s="6" t="s">
        <v>513</v>
      </c>
      <c r="J113" s="16" t="s">
        <v>22</v>
      </c>
      <c r="K113" s="16"/>
      <c r="L113" s="16"/>
      <c r="M113" s="16"/>
      <c r="N113" s="51"/>
      <c r="O113" s="6"/>
      <c r="P113" s="6"/>
      <c r="Q113" s="9" t="s">
        <v>23</v>
      </c>
      <c r="R113" s="9"/>
      <c r="S113" s="9"/>
      <c r="T113" s="9"/>
      <c r="U113" s="9"/>
    </row>
    <row r="114">
      <c r="A114" s="16">
        <v>38.0</v>
      </c>
      <c r="B114" s="16" t="s">
        <v>544</v>
      </c>
      <c r="C114" s="16" t="s">
        <v>549</v>
      </c>
      <c r="D114" s="7"/>
      <c r="E114" s="16" t="s">
        <v>545</v>
      </c>
      <c r="F114" s="6" t="str">
        <f t="array" ref="F114">TEXTJOIN("",FALSE,IF(NOT(ISBLANK(C114)), IF(E:E=C114,C:C &amp; "; ",""), ""))</f>
        <v/>
      </c>
      <c r="G114" s="7" t="s">
        <v>550</v>
      </c>
      <c r="H114" s="12" t="s">
        <v>548</v>
      </c>
      <c r="I114" s="6" t="s">
        <v>513</v>
      </c>
      <c r="J114" s="16" t="s">
        <v>22</v>
      </c>
      <c r="K114" s="16"/>
      <c r="L114" s="16"/>
      <c r="M114" s="16"/>
      <c r="N114" s="51"/>
      <c r="O114" s="6"/>
      <c r="P114" s="6"/>
      <c r="Q114" s="9" t="s">
        <v>23</v>
      </c>
      <c r="R114" s="9"/>
      <c r="S114" s="9"/>
      <c r="T114" s="9"/>
      <c r="U114" s="9"/>
    </row>
    <row r="115">
      <c r="A115" s="16">
        <v>38.0</v>
      </c>
      <c r="B115" s="16" t="s">
        <v>544</v>
      </c>
      <c r="C115" s="16" t="s">
        <v>551</v>
      </c>
      <c r="D115" s="7" t="s">
        <v>552</v>
      </c>
      <c r="E115" s="16" t="s">
        <v>545</v>
      </c>
      <c r="F115" s="6"/>
      <c r="G115" s="7" t="s">
        <v>553</v>
      </c>
      <c r="H115" s="12" t="s">
        <v>548</v>
      </c>
      <c r="I115" s="6" t="s">
        <v>513</v>
      </c>
      <c r="J115" s="16" t="s">
        <v>22</v>
      </c>
      <c r="K115" s="16"/>
      <c r="L115" s="16"/>
      <c r="M115" s="16"/>
      <c r="N115" s="51"/>
      <c r="O115" s="6"/>
      <c r="P115" s="6"/>
      <c r="Q115" s="9" t="s">
        <v>23</v>
      </c>
      <c r="R115" s="9"/>
      <c r="S115" s="9"/>
      <c r="T115" s="9"/>
      <c r="U115" s="9"/>
    </row>
    <row r="116">
      <c r="A116" s="16">
        <v>38.0</v>
      </c>
      <c r="B116" s="16" t="s">
        <v>544</v>
      </c>
      <c r="C116" s="16" t="s">
        <v>554</v>
      </c>
      <c r="D116" s="7"/>
      <c r="E116" s="16" t="s">
        <v>545</v>
      </c>
      <c r="F116" s="6"/>
      <c r="G116" s="7" t="s">
        <v>555</v>
      </c>
      <c r="H116" s="12" t="s">
        <v>548</v>
      </c>
      <c r="I116" s="6" t="s">
        <v>513</v>
      </c>
      <c r="J116" s="16" t="s">
        <v>22</v>
      </c>
      <c r="K116" s="16"/>
      <c r="L116" s="16"/>
      <c r="M116" s="16"/>
      <c r="N116" s="51"/>
      <c r="O116" s="6"/>
      <c r="P116" s="6"/>
      <c r="Q116" s="9" t="s">
        <v>23</v>
      </c>
      <c r="R116" s="9"/>
      <c r="S116" s="9"/>
      <c r="T116" s="9"/>
      <c r="U116" s="9"/>
    </row>
    <row r="117">
      <c r="A117" s="16">
        <v>39.0</v>
      </c>
      <c r="B117" s="16" t="s">
        <v>556</v>
      </c>
      <c r="C117" s="6" t="s">
        <v>557</v>
      </c>
      <c r="D117" s="7"/>
      <c r="E117" s="7" t="s">
        <v>558</v>
      </c>
      <c r="F117" s="6" t="str">
        <f t="array" ref="F117">TEXTJOIN("",FALSE,IF(NOT(ISBLANK(C117)), IF(E:E=C117,C:C &amp; "; ",""), ""))</f>
        <v/>
      </c>
      <c r="G117" s="7" t="s">
        <v>559</v>
      </c>
      <c r="H117" s="12" t="s">
        <v>560</v>
      </c>
      <c r="I117" s="6" t="s">
        <v>561</v>
      </c>
      <c r="J117" s="16" t="s">
        <v>398</v>
      </c>
      <c r="K117" s="16" t="s">
        <v>399</v>
      </c>
      <c r="L117" s="16" t="s">
        <v>562</v>
      </c>
      <c r="M117" s="16"/>
      <c r="N117" s="51"/>
      <c r="O117" s="6"/>
      <c r="P117" s="6"/>
      <c r="Q117" s="9" t="s">
        <v>411</v>
      </c>
      <c r="R117" s="32" t="s">
        <v>563</v>
      </c>
      <c r="S117" s="9" t="s">
        <v>564</v>
      </c>
      <c r="T117" s="9"/>
      <c r="U117" s="9"/>
    </row>
    <row r="118">
      <c r="A118" s="48">
        <v>39.0</v>
      </c>
      <c r="B118" s="16" t="s">
        <v>556</v>
      </c>
      <c r="C118" s="6" t="s">
        <v>565</v>
      </c>
      <c r="D118" s="7"/>
      <c r="E118" s="7"/>
      <c r="F118" s="6" t="str">
        <f t="array" ref="F118">TEXTJOIN("",FALSE,IF(NOT(ISBLANK(C118)), IF(E:E=C118,C:C &amp; "; ",""), ""))</f>
        <v>2-Player; </v>
      </c>
      <c r="G118" s="7" t="s">
        <v>566</v>
      </c>
      <c r="H118" s="12" t="s">
        <v>560</v>
      </c>
      <c r="I118" s="6" t="s">
        <v>567</v>
      </c>
      <c r="J118" s="16" t="s">
        <v>22</v>
      </c>
      <c r="K118" s="16"/>
      <c r="L118" s="16"/>
      <c r="M118" s="16"/>
      <c r="N118" s="51"/>
      <c r="O118" s="6"/>
      <c r="P118" s="6"/>
      <c r="Q118" s="9" t="s">
        <v>411</v>
      </c>
      <c r="R118" s="9"/>
      <c r="S118" s="9"/>
      <c r="T118" s="9"/>
      <c r="U118" s="9"/>
    </row>
    <row r="119">
      <c r="A119" s="16">
        <v>40.0</v>
      </c>
      <c r="B119" s="16" t="s">
        <v>568</v>
      </c>
      <c r="C119" s="6" t="s">
        <v>568</v>
      </c>
      <c r="D119" s="7"/>
      <c r="E119" s="7"/>
      <c r="F119" s="6" t="str">
        <f t="array" ref="F119">TEXTJOIN("",FALSE,IF(NOT(ISBLANK(C119)), IF(E:E=C119,C:C &amp; "; ",""), ""))</f>
        <v>Bipartite Maximum-Weight Matching; </v>
      </c>
      <c r="G119" s="7" t="s">
        <v>569</v>
      </c>
      <c r="H119" s="12" t="s">
        <v>570</v>
      </c>
      <c r="I119" s="6" t="s">
        <v>571</v>
      </c>
      <c r="J119" s="16" t="s">
        <v>22</v>
      </c>
      <c r="K119" s="16" t="s">
        <v>572</v>
      </c>
      <c r="L119" s="16" t="s">
        <v>35</v>
      </c>
      <c r="M119" s="16"/>
      <c r="N119" s="46"/>
      <c r="O119" s="6"/>
      <c r="P119" s="6"/>
      <c r="Q119" s="9" t="s">
        <v>23</v>
      </c>
    </row>
    <row r="120">
      <c r="A120" s="16">
        <v>40.0</v>
      </c>
      <c r="B120" s="16" t="s">
        <v>568</v>
      </c>
      <c r="C120" s="6" t="s">
        <v>573</v>
      </c>
      <c r="D120" s="7"/>
      <c r="E120" s="6" t="s">
        <v>568</v>
      </c>
      <c r="F120" s="6" t="str">
        <f t="array" ref="F120">TEXTJOIN("",FALSE,IF(NOT(ISBLANK(C120)), IF(E:E=C120,C:C &amp; "; ",""), ""))</f>
        <v/>
      </c>
      <c r="G120" s="7" t="s">
        <v>574</v>
      </c>
      <c r="H120" s="32" t="s">
        <v>244</v>
      </c>
      <c r="I120" s="6" t="s">
        <v>571</v>
      </c>
      <c r="J120" s="16" t="s">
        <v>22</v>
      </c>
      <c r="K120" s="16" t="s">
        <v>572</v>
      </c>
      <c r="L120" s="16" t="s">
        <v>35</v>
      </c>
      <c r="M120" s="16"/>
      <c r="N120" s="46"/>
      <c r="O120" s="6"/>
      <c r="P120" s="6"/>
      <c r="Q120" s="9" t="s">
        <v>23</v>
      </c>
      <c r="R120" s="32" t="s">
        <v>575</v>
      </c>
      <c r="S120" s="9" t="s">
        <v>576</v>
      </c>
    </row>
    <row r="121">
      <c r="A121" s="48">
        <v>41.0</v>
      </c>
      <c r="B121" s="16" t="s">
        <v>577</v>
      </c>
      <c r="C121" s="16" t="s">
        <v>577</v>
      </c>
      <c r="D121" s="7"/>
      <c r="E121" s="6"/>
      <c r="F121" s="6" t="str">
        <f t="array" ref="F121">TEXTJOIN("",FALSE,IF(NOT(ISBLANK(C121)), IF(E:E=C121,C:C &amp; "; ",""), ""))</f>
        <v/>
      </c>
      <c r="G121" s="7" t="s">
        <v>578</v>
      </c>
      <c r="H121" s="12" t="s">
        <v>579</v>
      </c>
      <c r="I121" s="6" t="s">
        <v>91</v>
      </c>
      <c r="J121" s="16" t="s">
        <v>81</v>
      </c>
      <c r="K121" s="16"/>
      <c r="L121" s="16"/>
      <c r="M121" s="16"/>
      <c r="N121" s="46"/>
      <c r="O121" s="6"/>
      <c r="P121" s="6"/>
      <c r="Q121" s="9" t="s">
        <v>23</v>
      </c>
      <c r="R121" s="9"/>
      <c r="S121" s="9"/>
    </row>
    <row r="122">
      <c r="A122" s="48">
        <v>42.0</v>
      </c>
      <c r="B122" s="16" t="s">
        <v>580</v>
      </c>
      <c r="C122" s="16" t="s">
        <v>580</v>
      </c>
      <c r="D122" s="7"/>
      <c r="E122" s="6"/>
      <c r="F122" s="6" t="str">
        <f t="array" ref="F122">TEXTJOIN("",FALSE,IF(NOT(ISBLANK(C122)), IF(E:E=C122,C:C &amp; "; ",""), ""))</f>
        <v/>
      </c>
      <c r="G122" s="7" t="s">
        <v>581</v>
      </c>
      <c r="H122" s="12" t="s">
        <v>582</v>
      </c>
      <c r="I122" s="6" t="s">
        <v>583</v>
      </c>
      <c r="J122" s="16" t="s">
        <v>22</v>
      </c>
      <c r="K122" s="16" t="s">
        <v>584</v>
      </c>
      <c r="L122" s="16" t="s">
        <v>584</v>
      </c>
      <c r="M122" s="16"/>
      <c r="N122" s="46"/>
      <c r="O122" s="6"/>
      <c r="P122" s="6"/>
      <c r="Q122" s="9" t="s">
        <v>585</v>
      </c>
      <c r="R122" s="9"/>
      <c r="S122" s="9"/>
    </row>
    <row r="123">
      <c r="A123" s="16">
        <v>43.0</v>
      </c>
      <c r="B123" s="16" t="s">
        <v>586</v>
      </c>
      <c r="C123" s="16" t="s">
        <v>586</v>
      </c>
      <c r="D123" s="7"/>
      <c r="E123" s="6"/>
      <c r="F123" s="6" t="str">
        <f t="array" ref="F123">TEXTJOIN("",FALSE,IF(NOT(ISBLANK(C123)), IF(E:E=C123,C:C &amp; "; ",""), ""))</f>
        <v/>
      </c>
      <c r="G123" s="7" t="s">
        <v>587</v>
      </c>
      <c r="H123" s="12" t="s">
        <v>588</v>
      </c>
      <c r="I123" s="6" t="s">
        <v>589</v>
      </c>
      <c r="J123" s="16" t="s">
        <v>22</v>
      </c>
      <c r="K123" s="16" t="s">
        <v>34</v>
      </c>
      <c r="L123" s="16" t="s">
        <v>35</v>
      </c>
      <c r="M123" s="16" t="s">
        <v>35</v>
      </c>
      <c r="N123" s="19" t="s">
        <v>590</v>
      </c>
      <c r="O123" s="6" t="s">
        <v>37</v>
      </c>
      <c r="P123" s="6" t="s">
        <v>38</v>
      </c>
      <c r="Q123" s="9" t="s">
        <v>196</v>
      </c>
      <c r="R123" s="9"/>
      <c r="S123" s="9"/>
    </row>
    <row r="124">
      <c r="A124" s="48">
        <v>44.0</v>
      </c>
      <c r="B124" s="16" t="s">
        <v>591</v>
      </c>
      <c r="C124" s="16" t="s">
        <v>592</v>
      </c>
      <c r="D124" s="7"/>
      <c r="E124" s="6"/>
      <c r="F124" s="6" t="str">
        <f t="array" ref="F124">TEXTJOIN("",FALSE,IF(NOT(ISBLANK(C124)), IF(E:E=C124,C:C &amp; "; ",""), ""))</f>
        <v>Polygon Clipping with Convex Clipping Polygon; </v>
      </c>
      <c r="G124" s="7" t="s">
        <v>593</v>
      </c>
      <c r="H124" s="12" t="s">
        <v>594</v>
      </c>
      <c r="I124" s="6"/>
      <c r="J124" s="16" t="s">
        <v>22</v>
      </c>
      <c r="K124" s="16"/>
      <c r="L124" s="16"/>
      <c r="M124" s="16"/>
      <c r="N124" s="44"/>
      <c r="O124" s="6"/>
      <c r="P124" s="6"/>
      <c r="Q124" s="9" t="s">
        <v>196</v>
      </c>
      <c r="R124" s="9"/>
      <c r="S124" s="9"/>
    </row>
    <row r="125">
      <c r="A125" s="48">
        <v>44.0</v>
      </c>
      <c r="B125" s="16" t="s">
        <v>591</v>
      </c>
      <c r="C125" s="16" t="s">
        <v>595</v>
      </c>
      <c r="D125" s="7"/>
      <c r="E125" s="16" t="s">
        <v>592</v>
      </c>
      <c r="F125" s="6"/>
      <c r="G125" s="7" t="s">
        <v>596</v>
      </c>
      <c r="H125" s="52"/>
      <c r="I125" s="6"/>
      <c r="J125" s="16" t="s">
        <v>22</v>
      </c>
      <c r="K125" s="16"/>
      <c r="L125" s="16"/>
      <c r="M125" s="16"/>
      <c r="N125" s="44"/>
      <c r="O125" s="6"/>
      <c r="P125" s="6"/>
      <c r="Q125" s="9"/>
      <c r="R125" s="9"/>
      <c r="S125" s="9"/>
    </row>
    <row r="126">
      <c r="A126" s="16">
        <v>45.0</v>
      </c>
      <c r="B126" s="16" t="s">
        <v>597</v>
      </c>
      <c r="C126" s="6" t="s">
        <v>598</v>
      </c>
      <c r="D126" s="7"/>
      <c r="E126" s="7"/>
      <c r="F126" s="6" t="str">
        <f t="array" ref="F126">TEXTJOIN("",FALSE,IF(NOT(ISBLANK(C126)), IF(E:E=C126,C:C &amp; "; ",""), ""))</f>
        <v/>
      </c>
      <c r="G126" s="7" t="s">
        <v>599</v>
      </c>
      <c r="H126" s="12" t="s">
        <v>600</v>
      </c>
      <c r="I126" s="6" t="s">
        <v>601</v>
      </c>
      <c r="J126" s="16" t="s">
        <v>22</v>
      </c>
      <c r="K126" s="16"/>
      <c r="L126" s="16"/>
      <c r="M126" s="16"/>
      <c r="N126" s="46"/>
      <c r="O126" s="6" t="s">
        <v>602</v>
      </c>
      <c r="P126" s="6" t="s">
        <v>38</v>
      </c>
      <c r="Q126" s="9" t="s">
        <v>196</v>
      </c>
    </row>
    <row r="127">
      <c r="A127" s="48">
        <v>46.0</v>
      </c>
      <c r="B127" s="16" t="s">
        <v>603</v>
      </c>
      <c r="C127" s="16" t="s">
        <v>603</v>
      </c>
      <c r="D127" s="7"/>
      <c r="E127" s="7"/>
      <c r="F127" s="6" t="str">
        <f t="array" ref="F127">TEXTJOIN("",FALSE,IF(NOT(ISBLANK(C127)), IF(E:E=C127,C:C &amp; "; ",""), ""))</f>
        <v/>
      </c>
      <c r="G127" s="7" t="s">
        <v>604</v>
      </c>
      <c r="H127" s="12" t="s">
        <v>605</v>
      </c>
      <c r="I127" s="6" t="s">
        <v>606</v>
      </c>
      <c r="J127" s="16" t="s">
        <v>22</v>
      </c>
      <c r="K127" s="16"/>
      <c r="L127" s="16"/>
      <c r="M127" s="16"/>
      <c r="N127" s="46"/>
      <c r="O127" s="6"/>
      <c r="P127" s="6"/>
      <c r="Q127" s="9" t="s">
        <v>196</v>
      </c>
    </row>
    <row r="128">
      <c r="A128" s="16">
        <v>47.0</v>
      </c>
      <c r="B128" s="16" t="s">
        <v>607</v>
      </c>
      <c r="C128" s="6" t="s">
        <v>608</v>
      </c>
      <c r="D128" s="7"/>
      <c r="E128" s="6" t="s">
        <v>609</v>
      </c>
      <c r="F128" s="6" t="str">
        <f t="array" ref="F128">TEXTJOIN("",FALSE,IF(NOT(ISBLANK(C128)), IF(E:E=C128,C:C &amp; "; ",""), ""))</f>
        <v/>
      </c>
      <c r="G128" s="7" t="s">
        <v>610</v>
      </c>
      <c r="H128" s="12" t="s">
        <v>611</v>
      </c>
      <c r="I128" s="6" t="s">
        <v>496</v>
      </c>
      <c r="J128" s="16" t="s">
        <v>114</v>
      </c>
      <c r="K128" s="16" t="s">
        <v>115</v>
      </c>
      <c r="L128" s="16" t="s">
        <v>35</v>
      </c>
      <c r="M128" s="16"/>
      <c r="N128" s="46"/>
      <c r="O128" s="6"/>
      <c r="P128" s="6"/>
      <c r="Q128" s="9" t="s">
        <v>144</v>
      </c>
    </row>
    <row r="129">
      <c r="A129" s="16">
        <v>47.0</v>
      </c>
      <c r="B129" s="16" t="s">
        <v>607</v>
      </c>
      <c r="C129" s="6" t="s">
        <v>609</v>
      </c>
      <c r="D129" s="7"/>
      <c r="E129" s="6" t="s">
        <v>612</v>
      </c>
      <c r="F129" s="6" t="str">
        <f t="array" ref="F129">TEXTJOIN("",FALSE,IF(NOT(ISBLANK(C129)), IF(E:E=C129,C:C &amp; "; ",""), ""))</f>
        <v>All Eigenvalues; </v>
      </c>
      <c r="G129" s="7" t="s">
        <v>613</v>
      </c>
      <c r="H129" s="12" t="s">
        <v>611</v>
      </c>
      <c r="I129" s="6" t="s">
        <v>496</v>
      </c>
      <c r="J129" s="16" t="s">
        <v>114</v>
      </c>
      <c r="K129" s="16" t="s">
        <v>115</v>
      </c>
      <c r="L129" s="16" t="s">
        <v>35</v>
      </c>
      <c r="M129" s="16"/>
      <c r="N129" s="46"/>
      <c r="O129" s="6"/>
      <c r="P129" s="6"/>
      <c r="Q129" s="9" t="s">
        <v>144</v>
      </c>
    </row>
    <row r="130">
      <c r="A130" s="16">
        <v>47.0</v>
      </c>
      <c r="B130" s="16" t="s">
        <v>607</v>
      </c>
      <c r="C130" s="6" t="s">
        <v>614</v>
      </c>
      <c r="D130" s="7"/>
      <c r="E130" s="6" t="s">
        <v>612</v>
      </c>
      <c r="F130" s="6" t="str">
        <f t="array" ref="F130">TEXTJOIN("",FALSE,IF(NOT(ISBLANK(C130)), IF(E:E=C130,C:C &amp; "; ",""), ""))</f>
        <v/>
      </c>
      <c r="G130" s="7" t="s">
        <v>615</v>
      </c>
      <c r="H130" s="12" t="s">
        <v>611</v>
      </c>
      <c r="I130" s="6" t="s">
        <v>496</v>
      </c>
      <c r="J130" s="16" t="s">
        <v>114</v>
      </c>
      <c r="K130" s="16" t="s">
        <v>115</v>
      </c>
      <c r="L130" s="16" t="s">
        <v>115</v>
      </c>
      <c r="M130" s="16"/>
      <c r="N130" s="46"/>
      <c r="O130" s="6"/>
      <c r="P130" s="6"/>
      <c r="Q130" s="9" t="s">
        <v>144</v>
      </c>
    </row>
    <row r="131">
      <c r="A131" s="16">
        <v>47.0</v>
      </c>
      <c r="B131" s="16" t="s">
        <v>607</v>
      </c>
      <c r="C131" s="6" t="s">
        <v>612</v>
      </c>
      <c r="D131" s="7"/>
      <c r="E131" s="6"/>
      <c r="F131" s="6" t="str">
        <f t="array" ref="F131">TEXTJOIN("",FALSE,IF(NOT(ISBLANK(C131)), IF(E:E=C131,C:C &amp; "; ",""), ""))</f>
        <v>Any Eigenvalue; All Eigenpairs; Eigenpair with the Largest Eigenvalue; Eigenpair closest to mu; </v>
      </c>
      <c r="G131" s="7" t="s">
        <v>616</v>
      </c>
      <c r="H131" s="12" t="s">
        <v>611</v>
      </c>
      <c r="I131" s="6" t="s">
        <v>496</v>
      </c>
      <c r="J131" s="16" t="s">
        <v>114</v>
      </c>
      <c r="K131" s="16" t="s">
        <v>115</v>
      </c>
      <c r="L131" s="16" t="s">
        <v>35</v>
      </c>
      <c r="M131" s="16"/>
      <c r="N131" s="46"/>
      <c r="O131" s="6"/>
      <c r="P131" s="6"/>
      <c r="Q131" s="9" t="s">
        <v>144</v>
      </c>
    </row>
    <row r="132">
      <c r="A132" s="16">
        <v>47.0</v>
      </c>
      <c r="B132" s="16" t="s">
        <v>607</v>
      </c>
      <c r="C132" s="6" t="s">
        <v>617</v>
      </c>
      <c r="D132" s="7"/>
      <c r="E132" s="6" t="s">
        <v>612</v>
      </c>
      <c r="F132" s="6" t="str">
        <f t="array" ref="F132">TEXTJOIN("",FALSE,IF(NOT(ISBLANK(C132)), IF(E:E=C132,C:C &amp; "; ",""), ""))</f>
        <v/>
      </c>
      <c r="G132" s="7" t="s">
        <v>618</v>
      </c>
      <c r="H132" s="12" t="s">
        <v>611</v>
      </c>
      <c r="I132" s="6" t="s">
        <v>496</v>
      </c>
      <c r="J132" s="16" t="s">
        <v>114</v>
      </c>
      <c r="K132" s="16" t="s">
        <v>115</v>
      </c>
      <c r="L132" s="16" t="s">
        <v>35</v>
      </c>
      <c r="M132" s="16"/>
      <c r="N132" s="46"/>
      <c r="O132" s="6"/>
      <c r="P132" s="6"/>
      <c r="Q132" s="9" t="s">
        <v>144</v>
      </c>
    </row>
    <row r="133">
      <c r="A133" s="16">
        <v>47.0</v>
      </c>
      <c r="B133" s="16" t="s">
        <v>607</v>
      </c>
      <c r="C133" s="7" t="s">
        <v>619</v>
      </c>
      <c r="D133" s="7"/>
      <c r="E133" s="6" t="s">
        <v>612</v>
      </c>
      <c r="F133" s="6" t="str">
        <f t="array" ref="F133">TEXTJOIN("",FALSE,IF(NOT(ISBLANK(C133)), IF(E:E=C133,C:C &amp; "; ",""), ""))</f>
        <v/>
      </c>
      <c r="G133" s="7" t="s">
        <v>620</v>
      </c>
      <c r="H133" s="12" t="s">
        <v>611</v>
      </c>
      <c r="I133" s="6" t="s">
        <v>496</v>
      </c>
      <c r="J133" s="16" t="s">
        <v>114</v>
      </c>
      <c r="K133" s="16" t="s">
        <v>115</v>
      </c>
      <c r="L133" s="16" t="s">
        <v>35</v>
      </c>
      <c r="M133" s="16"/>
      <c r="N133" s="46"/>
      <c r="O133" s="6"/>
      <c r="P133" s="6"/>
      <c r="Q133" s="9" t="s">
        <v>144</v>
      </c>
    </row>
    <row r="134">
      <c r="A134" s="16">
        <v>48.0</v>
      </c>
      <c r="B134" s="16" t="s">
        <v>621</v>
      </c>
      <c r="C134" s="16" t="s">
        <v>622</v>
      </c>
      <c r="D134" s="7"/>
      <c r="E134" s="7"/>
      <c r="F134" s="6" t="str">
        <f t="array" ref="F134">TEXTJOIN("",FALSE,IF(NOT(ISBLANK(C134)), IF(E:E=C134,C:C &amp; "; ",""), ""))</f>
        <v/>
      </c>
      <c r="G134" s="7" t="s">
        <v>623</v>
      </c>
      <c r="H134" s="12" t="s">
        <v>624</v>
      </c>
      <c r="I134" s="6" t="s">
        <v>625</v>
      </c>
      <c r="J134" s="16" t="s">
        <v>626</v>
      </c>
      <c r="K134" s="16"/>
      <c r="L134" s="16"/>
      <c r="M134" s="16"/>
      <c r="N134" s="46"/>
      <c r="O134" s="6"/>
      <c r="P134" s="6"/>
      <c r="Q134" s="9" t="s">
        <v>144</v>
      </c>
    </row>
    <row r="135">
      <c r="A135" s="16">
        <v>48.0</v>
      </c>
      <c r="B135" s="16" t="s">
        <v>621</v>
      </c>
      <c r="C135" s="7" t="s">
        <v>627</v>
      </c>
      <c r="D135" s="7"/>
      <c r="E135" s="7"/>
      <c r="F135" s="6" t="str">
        <f t="array" ref="F135">TEXTJOIN("",FALSE,IF(NOT(ISBLANK(C135)), IF(E:E=C135,C:C &amp; "; ",""), ""))</f>
        <v/>
      </c>
      <c r="G135" s="7" t="s">
        <v>628</v>
      </c>
      <c r="H135" s="12" t="s">
        <v>624</v>
      </c>
      <c r="I135" s="6" t="s">
        <v>625</v>
      </c>
      <c r="J135" s="16" t="s">
        <v>626</v>
      </c>
      <c r="K135" s="16"/>
      <c r="L135" s="16"/>
      <c r="M135" s="16"/>
      <c r="N135" s="46"/>
      <c r="O135" s="6"/>
      <c r="P135" s="6"/>
      <c r="Q135" s="9" t="s">
        <v>144</v>
      </c>
    </row>
    <row r="136">
      <c r="A136" s="16">
        <v>49.0</v>
      </c>
      <c r="B136" s="16" t="s">
        <v>629</v>
      </c>
      <c r="C136" s="6" t="s">
        <v>630</v>
      </c>
      <c r="D136" s="7" t="s">
        <v>631</v>
      </c>
      <c r="E136" s="7"/>
      <c r="F136" s="6" t="str">
        <f t="array" ref="F136">TEXTJOIN("",FALSE,IF(NOT(ISBLANK(C136)), IF(E:E=C136,C:C &amp; "; ",""), ""))</f>
        <v>k Approximate Nearest Neighbors Search; </v>
      </c>
      <c r="G136" s="7" t="s">
        <v>632</v>
      </c>
      <c r="H136" s="12" t="s">
        <v>633</v>
      </c>
      <c r="I136" s="6" t="s">
        <v>634</v>
      </c>
      <c r="J136" s="16" t="s">
        <v>22</v>
      </c>
      <c r="K136" s="16" t="s">
        <v>35</v>
      </c>
      <c r="L136" s="16" t="s">
        <v>192</v>
      </c>
      <c r="M136" s="16"/>
      <c r="N136" s="46"/>
      <c r="O136" s="6"/>
      <c r="P136" s="6"/>
      <c r="Q136" s="9" t="s">
        <v>23</v>
      </c>
    </row>
    <row r="137">
      <c r="A137" s="16">
        <v>49.0</v>
      </c>
      <c r="B137" s="16" t="s">
        <v>629</v>
      </c>
      <c r="C137" s="6" t="s">
        <v>635</v>
      </c>
      <c r="D137" s="7" t="s">
        <v>636</v>
      </c>
      <c r="E137" s="6" t="s">
        <v>630</v>
      </c>
      <c r="F137" s="6" t="str">
        <f t="array" ref="F137">TEXTJOIN("",FALSE,IF(NOT(ISBLANK(C137)), IF(E:E=C137,C:C &amp; "; ",""), ""))</f>
        <v>k-ANNS for a dense 3D map of geometric points; </v>
      </c>
      <c r="G137" s="7" t="s">
        <v>637</v>
      </c>
      <c r="H137" s="12" t="s">
        <v>638</v>
      </c>
      <c r="I137" s="6" t="s">
        <v>634</v>
      </c>
      <c r="J137" s="16" t="s">
        <v>22</v>
      </c>
      <c r="K137" s="16" t="s">
        <v>35</v>
      </c>
      <c r="L137" s="16" t="s">
        <v>192</v>
      </c>
      <c r="M137" s="16"/>
      <c r="N137" s="46"/>
      <c r="O137" s="6"/>
      <c r="P137" s="6"/>
      <c r="Q137" s="9" t="s">
        <v>23</v>
      </c>
    </row>
    <row r="138">
      <c r="A138" s="16">
        <v>49.0</v>
      </c>
      <c r="B138" s="16" t="s">
        <v>629</v>
      </c>
      <c r="C138" s="53" t="s">
        <v>639</v>
      </c>
      <c r="D138" s="7"/>
      <c r="E138" s="6" t="s">
        <v>635</v>
      </c>
      <c r="F138" s="6" t="str">
        <f t="array" ref="F138">TEXTJOIN("",FALSE,IF(NOT(ISBLANK(C138)), IF(E:E=C138,C:C &amp; "; ",""), ""))</f>
        <v/>
      </c>
      <c r="G138" s="7" t="s">
        <v>640</v>
      </c>
      <c r="H138" s="12" t="s">
        <v>638</v>
      </c>
      <c r="I138" s="6" t="s">
        <v>634</v>
      </c>
      <c r="J138" s="16" t="s">
        <v>22</v>
      </c>
      <c r="K138" s="16" t="s">
        <v>35</v>
      </c>
      <c r="L138" s="16" t="s">
        <v>192</v>
      </c>
      <c r="M138" s="16"/>
      <c r="N138" s="46"/>
      <c r="O138" s="6"/>
      <c r="P138" s="6"/>
      <c r="Q138" s="9" t="s">
        <v>23</v>
      </c>
    </row>
    <row r="139">
      <c r="A139" s="16">
        <v>50.0</v>
      </c>
      <c r="B139" s="16" t="s">
        <v>641</v>
      </c>
      <c r="C139" s="16" t="s">
        <v>641</v>
      </c>
      <c r="D139" s="16"/>
      <c r="E139" s="6"/>
      <c r="F139" s="6" t="str">
        <f t="array" ref="F139">TEXTJOIN("",FALSE,IF(NOT(ISBLANK(C139)), IF(E:E=C139,C:C &amp; "; ",""), ""))</f>
        <v/>
      </c>
      <c r="G139" s="6" t="s">
        <v>642</v>
      </c>
      <c r="H139" s="12" t="s">
        <v>643</v>
      </c>
      <c r="I139" s="6" t="s">
        <v>644</v>
      </c>
      <c r="J139" s="16" t="s">
        <v>22</v>
      </c>
      <c r="K139" s="16"/>
      <c r="L139" s="16"/>
      <c r="M139" s="16"/>
      <c r="N139" s="46"/>
      <c r="O139" s="6"/>
      <c r="P139" s="6"/>
      <c r="Q139" s="9" t="s">
        <v>144</v>
      </c>
      <c r="R139" s="9"/>
      <c r="S139" s="9"/>
      <c r="T139" s="9"/>
    </row>
    <row r="140">
      <c r="A140" s="16">
        <v>51.0</v>
      </c>
      <c r="B140" s="16" t="s">
        <v>645</v>
      </c>
      <c r="C140" s="16" t="s">
        <v>645</v>
      </c>
      <c r="D140" s="16"/>
      <c r="E140" s="6"/>
      <c r="F140" s="6" t="str">
        <f t="array" ref="F140">TEXTJOIN("",FALSE,IF(NOT(ISBLANK(C140)), IF(E:E=C140,C:C &amp; "; ",""), ""))</f>
        <v/>
      </c>
      <c r="G140" s="7" t="s">
        <v>646</v>
      </c>
      <c r="H140" s="12" t="s">
        <v>647</v>
      </c>
      <c r="I140" s="6" t="s">
        <v>648</v>
      </c>
      <c r="J140" s="16" t="s">
        <v>22</v>
      </c>
      <c r="K140" s="16" t="s">
        <v>35</v>
      </c>
      <c r="L140" s="16" t="s">
        <v>649</v>
      </c>
      <c r="M140" s="16"/>
      <c r="N140" s="46"/>
      <c r="O140" s="6"/>
      <c r="P140" s="6"/>
      <c r="Q140" s="9" t="s">
        <v>144</v>
      </c>
      <c r="R140" s="9"/>
      <c r="S140" s="9"/>
      <c r="T140" s="9"/>
    </row>
    <row r="141">
      <c r="A141" s="16">
        <v>52.0</v>
      </c>
      <c r="B141" s="16" t="s">
        <v>650</v>
      </c>
      <c r="C141" s="16" t="s">
        <v>650</v>
      </c>
      <c r="D141" s="7"/>
      <c r="E141" s="6"/>
      <c r="F141" s="6" t="str">
        <f t="array" ref="F141">TEXTJOIN("",FALSE,IF(NOT(ISBLANK(C141)), IF(E:E=C141,C:C &amp; "; ",""), ""))</f>
        <v/>
      </c>
      <c r="G141" s="7" t="s">
        <v>651</v>
      </c>
      <c r="H141" s="12" t="s">
        <v>652</v>
      </c>
      <c r="I141" s="6" t="s">
        <v>653</v>
      </c>
      <c r="J141" s="16" t="s">
        <v>654</v>
      </c>
      <c r="K141" s="16" t="s">
        <v>655</v>
      </c>
      <c r="L141" s="16" t="s">
        <v>34</v>
      </c>
      <c r="M141" s="16"/>
      <c r="N141" s="46"/>
      <c r="O141" s="6"/>
      <c r="P141" s="6"/>
      <c r="Q141" s="9" t="s">
        <v>144</v>
      </c>
      <c r="R141" s="32" t="s">
        <v>656</v>
      </c>
      <c r="S141" s="32" t="s">
        <v>657</v>
      </c>
      <c r="T141" s="9" t="s">
        <v>658</v>
      </c>
    </row>
    <row r="142">
      <c r="A142" s="16">
        <v>53.0</v>
      </c>
      <c r="B142" s="16" t="s">
        <v>659</v>
      </c>
      <c r="C142" s="16" t="s">
        <v>660</v>
      </c>
      <c r="D142" s="7"/>
      <c r="E142" s="6"/>
      <c r="F142" s="6" t="str">
        <f t="array" ref="F142">TEXTJOIN("",FALSE,IF(NOT(ISBLANK(C142)), IF(E:E=C142,C:C &amp; "; ",""), ""))</f>
        <v/>
      </c>
      <c r="G142" s="7" t="s">
        <v>661</v>
      </c>
      <c r="H142" s="12" t="s">
        <v>662</v>
      </c>
      <c r="I142" s="6" t="s">
        <v>663</v>
      </c>
      <c r="J142" s="16" t="s">
        <v>22</v>
      </c>
      <c r="K142" s="16" t="s">
        <v>35</v>
      </c>
      <c r="L142" s="16" t="s">
        <v>35</v>
      </c>
      <c r="M142" s="16" t="s">
        <v>35</v>
      </c>
      <c r="N142" s="49" t="s">
        <v>664</v>
      </c>
      <c r="O142" s="6"/>
      <c r="P142" s="44"/>
      <c r="Q142" s="9" t="s">
        <v>490</v>
      </c>
      <c r="R142" s="9"/>
      <c r="S142" s="9"/>
      <c r="T142" s="9"/>
    </row>
    <row r="143">
      <c r="A143" s="16">
        <v>53.0</v>
      </c>
      <c r="B143" s="16" t="s">
        <v>659</v>
      </c>
      <c r="C143" s="16" t="s">
        <v>665</v>
      </c>
      <c r="D143" s="7"/>
      <c r="E143" s="6"/>
      <c r="F143" s="6" t="str">
        <f t="array" ref="F143">TEXTJOIN("",FALSE,IF(NOT(ISBLANK(C143)), IF(E:E=C143,C:C &amp; "; ",""), ""))</f>
        <v/>
      </c>
      <c r="G143" s="7" t="s">
        <v>666</v>
      </c>
      <c r="H143" s="12" t="s">
        <v>662</v>
      </c>
      <c r="I143" s="6" t="s">
        <v>663</v>
      </c>
      <c r="J143" s="16" t="s">
        <v>22</v>
      </c>
      <c r="K143" s="16" t="s">
        <v>35</v>
      </c>
      <c r="L143" s="16" t="s">
        <v>35</v>
      </c>
      <c r="M143" s="16"/>
      <c r="N143" s="51"/>
      <c r="O143" s="6" t="s">
        <v>667</v>
      </c>
      <c r="P143" s="19" t="s">
        <v>668</v>
      </c>
      <c r="Q143" s="9" t="s">
        <v>490</v>
      </c>
      <c r="R143" s="9"/>
      <c r="S143" s="9"/>
      <c r="T143" s="9"/>
    </row>
    <row r="144">
      <c r="A144" s="16">
        <v>54.0</v>
      </c>
      <c r="B144" s="16" t="s">
        <v>669</v>
      </c>
      <c r="C144" s="16" t="s">
        <v>669</v>
      </c>
      <c r="D144" s="7"/>
      <c r="E144" s="6"/>
      <c r="F144" s="6" t="str">
        <f t="array" ref="F144">TEXTJOIN("",FALSE,IF(NOT(ISBLANK(C144)), IF(E:E=C144,C:C &amp; "; ",""), ""))</f>
        <v/>
      </c>
      <c r="G144" s="7" t="s">
        <v>670</v>
      </c>
      <c r="H144" s="12" t="s">
        <v>671</v>
      </c>
      <c r="I144" s="6" t="s">
        <v>672</v>
      </c>
      <c r="J144" s="16" t="s">
        <v>22</v>
      </c>
      <c r="K144" s="16" t="s">
        <v>35</v>
      </c>
      <c r="L144" s="16" t="s">
        <v>35</v>
      </c>
      <c r="M144" s="16" t="s">
        <v>673</v>
      </c>
      <c r="N144" s="49" t="s">
        <v>674</v>
      </c>
      <c r="O144" s="6" t="s">
        <v>675</v>
      </c>
      <c r="P144" s="19" t="s">
        <v>676</v>
      </c>
      <c r="Q144" s="9" t="s">
        <v>23</v>
      </c>
      <c r="R144" s="9"/>
      <c r="S144" s="9"/>
      <c r="T144" s="9"/>
    </row>
    <row r="145">
      <c r="A145" s="16">
        <v>55.0</v>
      </c>
      <c r="B145" s="16" t="s">
        <v>677</v>
      </c>
      <c r="C145" s="16" t="s">
        <v>677</v>
      </c>
      <c r="D145" s="7"/>
      <c r="E145" s="6"/>
      <c r="F145" s="6" t="str">
        <f t="array" ref="F145">TEXTJOIN("",FALSE,IF(NOT(ISBLANK(C145)), IF(E:E=C145,C:C &amp; "; ",""), ""))</f>
        <v/>
      </c>
      <c r="G145" s="7" t="s">
        <v>678</v>
      </c>
      <c r="H145" s="12" t="s">
        <v>679</v>
      </c>
      <c r="I145" s="6" t="s">
        <v>680</v>
      </c>
      <c r="J145" s="16" t="s">
        <v>22</v>
      </c>
      <c r="K145" s="16" t="s">
        <v>35</v>
      </c>
      <c r="L145" s="16" t="s">
        <v>34</v>
      </c>
      <c r="M145" s="16" t="s">
        <v>35</v>
      </c>
      <c r="N145" s="51" t="s">
        <v>681</v>
      </c>
      <c r="O145" s="6" t="s">
        <v>37</v>
      </c>
      <c r="P145" s="44" t="s">
        <v>38</v>
      </c>
      <c r="Q145" s="9" t="s">
        <v>144</v>
      </c>
      <c r="R145" s="9"/>
      <c r="S145" s="9"/>
      <c r="T145" s="9"/>
    </row>
    <row r="146">
      <c r="A146" s="16">
        <v>56.0</v>
      </c>
      <c r="B146" s="16" t="s">
        <v>682</v>
      </c>
      <c r="C146" s="16" t="s">
        <v>682</v>
      </c>
      <c r="D146" s="7"/>
      <c r="E146" s="7"/>
      <c r="F146" s="6" t="str">
        <f t="array" ref="F146">TEXTJOIN("",FALSE,IF(NOT(ISBLANK(C146)), IF(E:E=C146,C:C &amp; "; ",""), ""))</f>
        <v/>
      </c>
      <c r="G146" s="7" t="s">
        <v>683</v>
      </c>
      <c r="H146" s="12" t="s">
        <v>684</v>
      </c>
      <c r="I146" s="6" t="s">
        <v>91</v>
      </c>
      <c r="J146" s="16" t="s">
        <v>81</v>
      </c>
      <c r="K146" s="16" t="s">
        <v>245</v>
      </c>
      <c r="L146" s="16" t="s">
        <v>268</v>
      </c>
      <c r="M146" s="16"/>
      <c r="N146" s="46"/>
      <c r="O146" s="6"/>
      <c r="P146" s="46"/>
      <c r="Q146" s="9" t="s">
        <v>23</v>
      </c>
    </row>
    <row r="147">
      <c r="A147" s="16">
        <v>57.0</v>
      </c>
      <c r="B147" s="16" t="s">
        <v>685</v>
      </c>
      <c r="C147" s="16" t="s">
        <v>685</v>
      </c>
      <c r="D147" s="7"/>
      <c r="E147" s="7"/>
      <c r="F147" s="6" t="str">
        <f t="array" ref="F147">TEXTJOIN("",FALSE,IF(NOT(ISBLANK(C147)), IF(E:E=C147,C:C &amp; "; ",""), ""))</f>
        <v>Acyclic DFA Minimization; Cyclic Nontrivial SCCs DFA Minimization; </v>
      </c>
      <c r="G147" s="7" t="s">
        <v>686</v>
      </c>
      <c r="H147" s="12" t="s">
        <v>687</v>
      </c>
      <c r="I147" s="6" t="s">
        <v>688</v>
      </c>
      <c r="J147" s="16" t="s">
        <v>22</v>
      </c>
      <c r="K147" s="16" t="s">
        <v>689</v>
      </c>
      <c r="L147" s="16"/>
      <c r="M147" s="16"/>
      <c r="N147" s="46"/>
      <c r="O147" s="6"/>
      <c r="P147" s="46"/>
      <c r="Q147" s="9" t="s">
        <v>23</v>
      </c>
    </row>
    <row r="148">
      <c r="A148" s="16">
        <v>57.0</v>
      </c>
      <c r="B148" s="16" t="s">
        <v>685</v>
      </c>
      <c r="C148" s="16" t="s">
        <v>690</v>
      </c>
      <c r="D148" s="7"/>
      <c r="E148" s="16" t="s">
        <v>685</v>
      </c>
      <c r="F148" s="6" t="str">
        <f t="array" ref="F148">TEXTJOIN("",FALSE,IF(NOT(ISBLANK(C148)), IF(E:E=C148,C:C &amp; "; ",""), ""))</f>
        <v/>
      </c>
      <c r="G148" s="7" t="s">
        <v>691</v>
      </c>
      <c r="H148" s="12" t="s">
        <v>687</v>
      </c>
      <c r="I148" s="6" t="s">
        <v>688</v>
      </c>
      <c r="J148" s="16" t="s">
        <v>22</v>
      </c>
      <c r="K148" s="16" t="s">
        <v>689</v>
      </c>
      <c r="L148" s="16"/>
      <c r="M148" s="16"/>
      <c r="N148" s="46"/>
      <c r="O148" s="6"/>
      <c r="P148" s="46"/>
      <c r="Q148" s="9" t="s">
        <v>23</v>
      </c>
    </row>
    <row r="149">
      <c r="A149" s="16">
        <v>57.0</v>
      </c>
      <c r="B149" s="16" t="s">
        <v>685</v>
      </c>
      <c r="C149" s="7" t="s">
        <v>692</v>
      </c>
      <c r="D149" s="7"/>
      <c r="E149" s="16" t="s">
        <v>685</v>
      </c>
      <c r="F149" s="6" t="str">
        <f t="array" ref="F149">TEXTJOIN("",FALSE,IF(NOT(ISBLANK(C149)), IF(E:E=C149,C:C &amp; "; ",""), ""))</f>
        <v/>
      </c>
      <c r="G149" s="7" t="s">
        <v>693</v>
      </c>
      <c r="H149" s="12" t="s">
        <v>687</v>
      </c>
      <c r="I149" s="6" t="s">
        <v>688</v>
      </c>
      <c r="J149" s="16" t="s">
        <v>22</v>
      </c>
      <c r="K149" s="16" t="s">
        <v>689</v>
      </c>
      <c r="L149" s="16"/>
      <c r="M149" s="16"/>
      <c r="N149" s="46"/>
      <c r="O149" s="6"/>
      <c r="P149" s="46"/>
      <c r="Q149" s="9" t="s">
        <v>23</v>
      </c>
    </row>
    <row r="150">
      <c r="A150" s="16">
        <v>58.0</v>
      </c>
      <c r="B150" s="16" t="s">
        <v>694</v>
      </c>
      <c r="C150" s="16" t="s">
        <v>694</v>
      </c>
      <c r="D150" s="7" t="s">
        <v>695</v>
      </c>
      <c r="E150" s="7"/>
      <c r="F150" s="6" t="str">
        <f t="array" ref="F150">TEXTJOIN("",FALSE,IF(NOT(ISBLANK(C150)), IF(E:E=C150,C:C &amp; "; ",""), ""))</f>
        <v>Off-Line Lowest Common Ancestor; Lowest Common Ancestor with Static Trees; Lowest Common Ancestor with Linking Roots; Lowest Common Ancestor with Linking; Lowest Common Ancestors with Linking and Cutting; </v>
      </c>
      <c r="G150" s="7" t="s">
        <v>696</v>
      </c>
      <c r="H150" s="12" t="s">
        <v>697</v>
      </c>
      <c r="I150" s="6" t="s">
        <v>698</v>
      </c>
      <c r="J150" s="16" t="s">
        <v>22</v>
      </c>
      <c r="K150" s="16" t="s">
        <v>562</v>
      </c>
      <c r="L150" s="16" t="s">
        <v>148</v>
      </c>
      <c r="M150" s="16"/>
      <c r="N150" s="46"/>
      <c r="O150" s="6"/>
      <c r="P150" s="46"/>
      <c r="Q150" s="9" t="s">
        <v>23</v>
      </c>
    </row>
    <row r="151">
      <c r="A151" s="16">
        <v>58.0</v>
      </c>
      <c r="B151" s="16" t="s">
        <v>694</v>
      </c>
      <c r="C151" s="16" t="s">
        <v>699</v>
      </c>
      <c r="D151" s="7"/>
      <c r="E151" s="16" t="s">
        <v>694</v>
      </c>
      <c r="F151" s="6" t="str">
        <f t="array" ref="F151">TEXTJOIN("",FALSE,IF(NOT(ISBLANK(C151)), IF(E:E=C151,C:C &amp; "; ",""), ""))</f>
        <v/>
      </c>
      <c r="G151" s="7" t="s">
        <v>700</v>
      </c>
      <c r="H151" s="12" t="s">
        <v>697</v>
      </c>
      <c r="I151" s="6" t="s">
        <v>698</v>
      </c>
      <c r="J151" s="16" t="s">
        <v>22</v>
      </c>
      <c r="K151" s="16" t="s">
        <v>562</v>
      </c>
      <c r="L151" s="16" t="s">
        <v>148</v>
      </c>
      <c r="M151" s="16"/>
      <c r="N151" s="46"/>
      <c r="O151" s="6"/>
      <c r="P151" s="46"/>
      <c r="Q151" s="9" t="s">
        <v>23</v>
      </c>
    </row>
    <row r="152">
      <c r="A152" s="16">
        <v>58.0</v>
      </c>
      <c r="B152" s="16" t="s">
        <v>694</v>
      </c>
      <c r="C152" s="16" t="s">
        <v>701</v>
      </c>
      <c r="D152" s="7"/>
      <c r="E152" s="16" t="s">
        <v>694</v>
      </c>
      <c r="F152" s="6" t="str">
        <f t="array" ref="F152">TEXTJOIN("",FALSE,IF(NOT(ISBLANK(C152)), IF(E:E=C152,C:C &amp; "; ",""), ""))</f>
        <v/>
      </c>
      <c r="G152" s="7" t="s">
        <v>702</v>
      </c>
      <c r="H152" s="12" t="s">
        <v>697</v>
      </c>
      <c r="I152" s="6" t="s">
        <v>698</v>
      </c>
      <c r="J152" s="16" t="s">
        <v>22</v>
      </c>
      <c r="K152" s="16" t="s">
        <v>562</v>
      </c>
      <c r="L152" s="16" t="s">
        <v>148</v>
      </c>
      <c r="M152" s="16"/>
      <c r="N152" s="46"/>
      <c r="O152" s="6"/>
      <c r="P152" s="46"/>
      <c r="Q152" s="9" t="s">
        <v>23</v>
      </c>
    </row>
    <row r="153">
      <c r="A153" s="16">
        <v>58.0</v>
      </c>
      <c r="B153" s="16" t="s">
        <v>694</v>
      </c>
      <c r="C153" s="16" t="s">
        <v>703</v>
      </c>
      <c r="D153" s="7"/>
      <c r="E153" s="16" t="s">
        <v>694</v>
      </c>
      <c r="F153" s="6" t="str">
        <f t="array" ref="F153">TEXTJOIN("",FALSE,IF(NOT(ISBLANK(C153)), IF(E:E=C153,C:C &amp; "; ",""), ""))</f>
        <v/>
      </c>
      <c r="G153" s="7" t="s">
        <v>704</v>
      </c>
      <c r="H153" s="12" t="s">
        <v>697</v>
      </c>
      <c r="I153" s="6" t="s">
        <v>698</v>
      </c>
      <c r="J153" s="16" t="s">
        <v>22</v>
      </c>
      <c r="K153" s="16" t="s">
        <v>562</v>
      </c>
      <c r="L153" s="16" t="s">
        <v>148</v>
      </c>
      <c r="M153" s="16"/>
      <c r="N153" s="46"/>
      <c r="O153" s="6"/>
      <c r="P153" s="46"/>
      <c r="Q153" s="9" t="s">
        <v>23</v>
      </c>
    </row>
    <row r="154">
      <c r="A154" s="16">
        <v>58.0</v>
      </c>
      <c r="B154" s="16" t="s">
        <v>694</v>
      </c>
      <c r="C154" s="16" t="s">
        <v>705</v>
      </c>
      <c r="D154" s="7"/>
      <c r="E154" s="16" t="s">
        <v>694</v>
      </c>
      <c r="F154" s="6" t="str">
        <f t="array" ref="F154">TEXTJOIN("",FALSE,IF(NOT(ISBLANK(C154)), IF(E:E=C154,C:C &amp; "; ",""), ""))</f>
        <v/>
      </c>
      <c r="G154" s="7" t="s">
        <v>706</v>
      </c>
      <c r="H154" s="12" t="s">
        <v>697</v>
      </c>
      <c r="I154" s="6" t="s">
        <v>698</v>
      </c>
      <c r="J154" s="16" t="s">
        <v>22</v>
      </c>
      <c r="K154" s="16" t="s">
        <v>562</v>
      </c>
      <c r="L154" s="16" t="s">
        <v>148</v>
      </c>
      <c r="M154" s="16"/>
      <c r="N154" s="46"/>
      <c r="O154" s="6"/>
      <c r="P154" s="46"/>
      <c r="Q154" s="9" t="s">
        <v>23</v>
      </c>
    </row>
    <row r="155">
      <c r="A155" s="16">
        <v>58.0</v>
      </c>
      <c r="B155" s="16" t="s">
        <v>694</v>
      </c>
      <c r="C155" s="16" t="s">
        <v>707</v>
      </c>
      <c r="D155" s="7"/>
      <c r="E155" s="16" t="s">
        <v>694</v>
      </c>
      <c r="F155" s="6" t="str">
        <f t="array" ref="F155">TEXTJOIN("",FALSE,IF(NOT(ISBLANK(C155)), IF(E:E=C155,C:C &amp; "; ",""), ""))</f>
        <v/>
      </c>
      <c r="G155" s="7" t="s">
        <v>708</v>
      </c>
      <c r="H155" s="12" t="s">
        <v>697</v>
      </c>
      <c r="I155" s="6" t="s">
        <v>698</v>
      </c>
      <c r="J155" s="16" t="s">
        <v>22</v>
      </c>
      <c r="K155" s="16" t="s">
        <v>562</v>
      </c>
      <c r="L155" s="16" t="s">
        <v>148</v>
      </c>
      <c r="M155" s="16"/>
      <c r="N155" s="46"/>
      <c r="O155" s="6"/>
      <c r="P155" s="46"/>
      <c r="Q155" s="9" t="s">
        <v>23</v>
      </c>
    </row>
    <row r="156">
      <c r="A156" s="16">
        <v>59.0</v>
      </c>
      <c r="B156" s="16" t="s">
        <v>709</v>
      </c>
      <c r="C156" s="16" t="s">
        <v>710</v>
      </c>
      <c r="D156" s="7" t="s">
        <v>711</v>
      </c>
      <c r="E156" s="7"/>
      <c r="F156" s="6" t="str">
        <f t="array" ref="F156">TEXTJOIN("",FALSE,IF(NOT(ISBLANK(C156)), IF(E:E=C156,C:C &amp; "; ",""), ""))</f>
        <v/>
      </c>
      <c r="G156" s="7" t="s">
        <v>712</v>
      </c>
      <c r="H156" s="12" t="s">
        <v>713</v>
      </c>
      <c r="I156" s="6" t="s">
        <v>714</v>
      </c>
      <c r="J156" s="16" t="s">
        <v>81</v>
      </c>
      <c r="K156" s="16" t="s">
        <v>268</v>
      </c>
      <c r="L156" s="16" t="s">
        <v>34</v>
      </c>
      <c r="M156" s="16"/>
      <c r="N156" s="46"/>
      <c r="O156" s="6" t="s">
        <v>715</v>
      </c>
      <c r="P156" s="54" t="s">
        <v>716</v>
      </c>
      <c r="Q156" s="9" t="s">
        <v>23</v>
      </c>
    </row>
    <row r="157">
      <c r="A157" s="16">
        <v>59.0</v>
      </c>
      <c r="B157" s="16" t="s">
        <v>709</v>
      </c>
      <c r="C157" s="16" t="s">
        <v>717</v>
      </c>
      <c r="D157" s="7"/>
      <c r="E157" s="7"/>
      <c r="F157" s="6" t="str">
        <f t="array" ref="F157">TEXTJOIN("",FALSE,IF(NOT(ISBLANK(C157)), IF(E:E=C157,C:C &amp; "; ",""), ""))</f>
        <v/>
      </c>
      <c r="G157" s="7" t="s">
        <v>718</v>
      </c>
      <c r="H157" s="12" t="s">
        <v>713</v>
      </c>
      <c r="I157" s="6" t="s">
        <v>714</v>
      </c>
      <c r="J157" s="16" t="s">
        <v>81</v>
      </c>
      <c r="K157" s="16" t="s">
        <v>268</v>
      </c>
      <c r="L157" s="16" t="s">
        <v>34</v>
      </c>
      <c r="M157" s="16"/>
      <c r="N157" s="46"/>
      <c r="O157" s="6"/>
      <c r="P157" s="46"/>
      <c r="Q157" s="9" t="s">
        <v>23</v>
      </c>
    </row>
    <row r="158">
      <c r="A158" s="16">
        <v>60.0</v>
      </c>
      <c r="B158" s="6" t="s">
        <v>719</v>
      </c>
      <c r="C158" s="16" t="s">
        <v>720</v>
      </c>
      <c r="D158" s="7"/>
      <c r="E158" s="7"/>
      <c r="F158" s="6" t="str">
        <f t="array" ref="F158">TEXTJOIN("",FALSE,IF(NOT(ISBLANK(C158)), IF(E:E=C158,C:C &amp; "; ",""), ""))</f>
        <v/>
      </c>
      <c r="G158" s="7" t="s">
        <v>721</v>
      </c>
      <c r="H158" s="12" t="s">
        <v>722</v>
      </c>
      <c r="I158" s="6" t="s">
        <v>347</v>
      </c>
      <c r="J158" s="16" t="s">
        <v>22</v>
      </c>
      <c r="K158" s="16" t="s">
        <v>562</v>
      </c>
      <c r="L158" s="16" t="s">
        <v>723</v>
      </c>
      <c r="M158" s="16"/>
      <c r="N158" s="46"/>
      <c r="O158" s="6"/>
      <c r="P158" s="46"/>
      <c r="Q158" s="9" t="s">
        <v>23</v>
      </c>
    </row>
    <row r="159">
      <c r="A159" s="16"/>
      <c r="B159" s="6" t="s">
        <v>719</v>
      </c>
      <c r="C159" s="6" t="s">
        <v>724</v>
      </c>
      <c r="D159" s="6"/>
      <c r="E159" s="6"/>
      <c r="F159" s="6" t="str">
        <f t="array" ref="F159">TEXTJOIN("",FALSE,IF(NOT(ISBLANK(C159)), IF(E:E=C159,C:C &amp; "; ",""), ""))</f>
        <v>Exact k-Clique; Min-Weight k-Clique; Max-Weight k-Clique; </v>
      </c>
      <c r="G159" s="6" t="s">
        <v>725</v>
      </c>
      <c r="H159" s="12" t="s">
        <v>726</v>
      </c>
      <c r="I159" s="6" t="s">
        <v>727</v>
      </c>
      <c r="J159" s="16" t="s">
        <v>22</v>
      </c>
      <c r="K159" s="16" t="s">
        <v>562</v>
      </c>
      <c r="L159" s="16" t="s">
        <v>34</v>
      </c>
      <c r="M159" s="16" t="s">
        <v>728</v>
      </c>
      <c r="N159" s="47" t="s">
        <v>729</v>
      </c>
      <c r="O159" s="9" t="s">
        <v>730</v>
      </c>
      <c r="P159" s="6" t="s">
        <v>731</v>
      </c>
      <c r="Q159" s="9" t="s">
        <v>23</v>
      </c>
    </row>
    <row r="160">
      <c r="A160" s="16"/>
      <c r="B160" s="6" t="s">
        <v>719</v>
      </c>
      <c r="C160" s="6" t="s">
        <v>732</v>
      </c>
      <c r="D160" s="6"/>
      <c r="E160" s="6" t="s">
        <v>724</v>
      </c>
      <c r="F160" s="6" t="str">
        <f t="array" ref="F160">TEXTJOIN("",FALSE,IF(NOT(ISBLANK(C160)), IF(E:E=C160,C:C &amp; "; ",""), ""))</f>
        <v/>
      </c>
      <c r="G160" s="6" t="s">
        <v>733</v>
      </c>
      <c r="H160" s="12" t="s">
        <v>726</v>
      </c>
      <c r="I160" s="6" t="s">
        <v>727</v>
      </c>
      <c r="J160" s="6" t="s">
        <v>22</v>
      </c>
      <c r="K160" s="16" t="s">
        <v>562</v>
      </c>
      <c r="L160" s="6" t="s">
        <v>192</v>
      </c>
      <c r="M160" s="13"/>
      <c r="N160" s="13"/>
      <c r="O160" s="9" t="s">
        <v>734</v>
      </c>
      <c r="P160" s="6" t="s">
        <v>735</v>
      </c>
      <c r="Q160" s="9" t="s">
        <v>23</v>
      </c>
    </row>
    <row r="161">
      <c r="A161" s="16"/>
      <c r="B161" s="6" t="s">
        <v>719</v>
      </c>
      <c r="C161" s="6" t="s">
        <v>736</v>
      </c>
      <c r="D161" s="6"/>
      <c r="E161" s="6" t="s">
        <v>724</v>
      </c>
      <c r="F161" s="6" t="str">
        <f t="array" ref="F161">TEXTJOIN("",FALSE,IF(NOT(ISBLANK(C161)), IF(E:E=C161,C:C &amp; "; ",""), ""))</f>
        <v/>
      </c>
      <c r="G161" s="6" t="s">
        <v>737</v>
      </c>
      <c r="H161" s="12" t="s">
        <v>726</v>
      </c>
      <c r="I161" s="6" t="s">
        <v>727</v>
      </c>
      <c r="J161" s="6" t="s">
        <v>22</v>
      </c>
      <c r="K161" s="16" t="s">
        <v>562</v>
      </c>
      <c r="L161" s="6" t="s">
        <v>192</v>
      </c>
      <c r="M161" s="13"/>
      <c r="N161" s="13"/>
      <c r="O161" s="9" t="s">
        <v>734</v>
      </c>
      <c r="P161" s="6" t="s">
        <v>738</v>
      </c>
      <c r="Q161" s="9" t="s">
        <v>23</v>
      </c>
    </row>
    <row r="162">
      <c r="A162" s="16"/>
      <c r="B162" s="6" t="s">
        <v>719</v>
      </c>
      <c r="C162" s="6" t="s">
        <v>739</v>
      </c>
      <c r="D162" s="6"/>
      <c r="E162" s="6" t="s">
        <v>724</v>
      </c>
      <c r="F162" s="6" t="str">
        <f t="array" ref="F162">TEXTJOIN("",FALSE,IF(NOT(ISBLANK(C162)), IF(E:E=C162,C:C &amp; "; ",""), ""))</f>
        <v/>
      </c>
      <c r="G162" s="6" t="s">
        <v>740</v>
      </c>
      <c r="H162" s="12" t="s">
        <v>741</v>
      </c>
      <c r="I162" s="6" t="s">
        <v>727</v>
      </c>
      <c r="J162" s="6" t="s">
        <v>22</v>
      </c>
      <c r="K162" s="16" t="s">
        <v>562</v>
      </c>
      <c r="L162" s="6" t="s">
        <v>192</v>
      </c>
      <c r="M162" s="13"/>
      <c r="N162" s="13"/>
      <c r="O162" s="9" t="s">
        <v>734</v>
      </c>
      <c r="P162" s="6" t="s">
        <v>742</v>
      </c>
      <c r="Q162" s="9" t="s">
        <v>23</v>
      </c>
    </row>
    <row r="163">
      <c r="A163" s="16">
        <v>61.0</v>
      </c>
      <c r="B163" s="16" t="s">
        <v>743</v>
      </c>
      <c r="C163" s="6" t="s">
        <v>744</v>
      </c>
      <c r="D163" s="7" t="s">
        <v>745</v>
      </c>
      <c r="E163" s="7"/>
      <c r="F163" s="6" t="str">
        <f t="array" ref="F163">TEXTJOIN("",FALSE,IF(NOT(ISBLANK(C163)), IF(E:E=C163,C:C &amp; "; ",""), ""))</f>
        <v/>
      </c>
      <c r="G163" s="7" t="s">
        <v>746</v>
      </c>
      <c r="H163" s="12" t="s">
        <v>747</v>
      </c>
      <c r="I163" s="6" t="s">
        <v>748</v>
      </c>
      <c r="J163" s="16" t="s">
        <v>81</v>
      </c>
      <c r="K163" s="16" t="s">
        <v>245</v>
      </c>
      <c r="L163" s="16" t="s">
        <v>268</v>
      </c>
      <c r="M163" s="16" t="s">
        <v>749</v>
      </c>
      <c r="N163" s="45" t="s">
        <v>750</v>
      </c>
      <c r="O163" s="6" t="s">
        <v>751</v>
      </c>
      <c r="P163" s="45" t="s">
        <v>752</v>
      </c>
      <c r="Q163" s="9" t="s">
        <v>23</v>
      </c>
    </row>
    <row r="164">
      <c r="A164" s="16">
        <v>61.0</v>
      </c>
      <c r="B164" s="16" t="s">
        <v>743</v>
      </c>
      <c r="C164" s="6" t="s">
        <v>753</v>
      </c>
      <c r="D164" s="7"/>
      <c r="E164" s="7"/>
      <c r="F164" s="6" t="str">
        <f t="array" ref="F164">TEXTJOIN("",FALSE,IF(NOT(ISBLANK(C164)), IF(E:E=C164,C:C &amp; "; ",""), ""))</f>
        <v/>
      </c>
      <c r="G164" s="7" t="s">
        <v>754</v>
      </c>
      <c r="H164" s="12" t="s">
        <v>747</v>
      </c>
      <c r="I164" s="6" t="s">
        <v>748</v>
      </c>
      <c r="J164" s="16" t="s">
        <v>81</v>
      </c>
      <c r="K164" s="16" t="s">
        <v>245</v>
      </c>
      <c r="L164" s="16" t="s">
        <v>268</v>
      </c>
      <c r="M164" s="16"/>
      <c r="N164" s="46"/>
      <c r="O164" s="6" t="s">
        <v>751</v>
      </c>
      <c r="P164" s="18" t="s">
        <v>747</v>
      </c>
      <c r="Q164" s="9" t="s">
        <v>23</v>
      </c>
    </row>
    <row r="165">
      <c r="A165" s="16">
        <v>61.0</v>
      </c>
      <c r="B165" s="16" t="s">
        <v>743</v>
      </c>
      <c r="C165" s="6" t="s">
        <v>755</v>
      </c>
      <c r="D165" s="7"/>
      <c r="E165" s="7"/>
      <c r="F165" s="6"/>
      <c r="G165" s="55" t="s">
        <v>756</v>
      </c>
      <c r="H165" s="12" t="s">
        <v>757</v>
      </c>
      <c r="I165" s="6" t="s">
        <v>748</v>
      </c>
      <c r="J165" s="16" t="s">
        <v>81</v>
      </c>
      <c r="K165" s="16" t="s">
        <v>245</v>
      </c>
      <c r="L165" s="16" t="s">
        <v>268</v>
      </c>
      <c r="M165" s="16"/>
      <c r="N165" s="46"/>
      <c r="O165" s="6"/>
      <c r="P165" s="6"/>
      <c r="Q165" s="9" t="s">
        <v>23</v>
      </c>
    </row>
    <row r="166">
      <c r="A166" s="16">
        <v>62.0</v>
      </c>
      <c r="B166" s="9" t="s">
        <v>758</v>
      </c>
      <c r="C166" s="16" t="s">
        <v>759</v>
      </c>
      <c r="D166" s="16" t="s">
        <v>760</v>
      </c>
      <c r="E166" s="7"/>
      <c r="F166" s="6" t="str">
        <f t="array" ref="F166">TEXTJOIN("",FALSE,IF(NOT(ISBLANK(C166)), IF(E:E=C166,C:C &amp; "; ",""), ""))</f>
        <v/>
      </c>
      <c r="G166" s="7" t="s">
        <v>761</v>
      </c>
      <c r="H166" s="12" t="s">
        <v>762</v>
      </c>
      <c r="I166" s="6" t="s">
        <v>763</v>
      </c>
      <c r="J166" s="16" t="s">
        <v>22</v>
      </c>
      <c r="K166" s="16"/>
      <c r="L166" s="16"/>
      <c r="M166" s="16"/>
      <c r="N166" s="46"/>
      <c r="O166" s="6"/>
      <c r="P166" s="6"/>
      <c r="Q166" s="9" t="s">
        <v>144</v>
      </c>
      <c r="R166" s="20" t="s">
        <v>764</v>
      </c>
    </row>
    <row r="167">
      <c r="A167" s="16">
        <v>63.0</v>
      </c>
      <c r="B167" s="9" t="s">
        <v>758</v>
      </c>
      <c r="C167" s="16" t="s">
        <v>765</v>
      </c>
      <c r="D167" s="16" t="s">
        <v>766</v>
      </c>
      <c r="E167" s="7"/>
      <c r="F167" s="6" t="str">
        <f t="array" ref="F167">TEXTJOIN("",FALSE,IF(NOT(ISBLANK(C167)), IF(E:E=C167,C:C &amp; "; ",""), ""))</f>
        <v/>
      </c>
      <c r="G167" s="7" t="s">
        <v>767</v>
      </c>
      <c r="H167" s="12" t="s">
        <v>762</v>
      </c>
      <c r="I167" s="6" t="s">
        <v>763</v>
      </c>
      <c r="J167" s="16" t="s">
        <v>22</v>
      </c>
      <c r="K167" s="16"/>
      <c r="L167" s="16"/>
      <c r="M167" s="16"/>
      <c r="N167" s="46"/>
      <c r="O167" s="6"/>
      <c r="P167" s="6"/>
      <c r="Q167" s="9" t="s">
        <v>144</v>
      </c>
    </row>
    <row r="168">
      <c r="A168" s="16">
        <v>64.0</v>
      </c>
      <c r="B168" s="16" t="s">
        <v>768</v>
      </c>
      <c r="C168" s="16" t="s">
        <v>768</v>
      </c>
      <c r="D168" s="7"/>
      <c r="E168" s="7"/>
      <c r="F168" s="6" t="str">
        <f t="array" ref="F168">TEXTJOIN("",FALSE,IF(NOT(ISBLANK(C168)), IF(E:E=C168,C:C &amp; "; ",""), ""))</f>
        <v/>
      </c>
      <c r="G168" s="7" t="s">
        <v>769</v>
      </c>
      <c r="H168" s="12" t="s">
        <v>770</v>
      </c>
      <c r="I168" s="6" t="s">
        <v>672</v>
      </c>
      <c r="J168" s="16" t="s">
        <v>22</v>
      </c>
      <c r="K168" s="16"/>
      <c r="L168" s="16"/>
      <c r="M168" s="16"/>
      <c r="N168" s="46"/>
      <c r="O168" s="6"/>
      <c r="P168" s="6"/>
      <c r="Q168" s="9" t="s">
        <v>23</v>
      </c>
    </row>
    <row r="169">
      <c r="A169" s="16">
        <v>65.0</v>
      </c>
      <c r="B169" s="16" t="s">
        <v>771</v>
      </c>
      <c r="C169" s="16" t="s">
        <v>771</v>
      </c>
      <c r="D169" s="7"/>
      <c r="E169" s="7"/>
      <c r="F169" s="6" t="str">
        <f t="array" ref="F169">TEXTJOIN("",FALSE,IF(NOT(ISBLANK(C169)), IF(E:E=C169,C:C &amp; "; ",""), ""))</f>
        <v/>
      </c>
      <c r="G169" s="7" t="s">
        <v>772</v>
      </c>
      <c r="H169" s="12" t="s">
        <v>773</v>
      </c>
      <c r="I169" s="6" t="s">
        <v>774</v>
      </c>
      <c r="J169" s="16" t="s">
        <v>22</v>
      </c>
      <c r="K169" s="16"/>
      <c r="L169" s="16"/>
      <c r="M169" s="16"/>
      <c r="N169" s="46"/>
      <c r="O169" s="6"/>
      <c r="P169" s="6"/>
      <c r="Q169" s="9" t="s">
        <v>433</v>
      </c>
    </row>
    <row r="170">
      <c r="A170" s="16">
        <v>66.0</v>
      </c>
      <c r="B170" s="16" t="s">
        <v>775</v>
      </c>
      <c r="C170" s="6" t="s">
        <v>776</v>
      </c>
      <c r="D170" s="7"/>
      <c r="E170" s="7"/>
      <c r="F170" s="6" t="str">
        <f t="array" ref="F170">TEXTJOIN("",FALSE,IF(NOT(ISBLANK(C170)), IF(E:E=C170,C:C &amp; "; ",""), ""))</f>
        <v/>
      </c>
      <c r="G170" s="7" t="s">
        <v>777</v>
      </c>
      <c r="H170" s="12" t="s">
        <v>778</v>
      </c>
      <c r="I170" s="6" t="s">
        <v>779</v>
      </c>
      <c r="J170" s="16" t="s">
        <v>22</v>
      </c>
      <c r="K170" s="16" t="s">
        <v>35</v>
      </c>
      <c r="L170" s="16" t="s">
        <v>34</v>
      </c>
      <c r="M170" s="16" t="s">
        <v>780</v>
      </c>
      <c r="N170" s="45" t="s">
        <v>781</v>
      </c>
      <c r="O170" s="6" t="s">
        <v>782</v>
      </c>
      <c r="P170" s="45" t="s">
        <v>783</v>
      </c>
      <c r="Q170" s="9" t="s">
        <v>23</v>
      </c>
    </row>
    <row r="171">
      <c r="A171" s="16">
        <v>67.0</v>
      </c>
      <c r="B171" s="16" t="s">
        <v>784</v>
      </c>
      <c r="C171" s="16" t="s">
        <v>785</v>
      </c>
      <c r="D171" s="7"/>
      <c r="E171" s="7"/>
      <c r="F171" s="6" t="str">
        <f t="array" ref="F171">TEXTJOIN("",FALSE,IF(NOT(ISBLANK(C171)), IF(E:E=C171,C:C &amp; "; ",""), ""))</f>
        <v/>
      </c>
      <c r="G171" s="7" t="s">
        <v>786</v>
      </c>
      <c r="H171" s="12" t="s">
        <v>787</v>
      </c>
      <c r="I171" s="6" t="s">
        <v>788</v>
      </c>
      <c r="J171" s="16" t="s">
        <v>22</v>
      </c>
      <c r="K171" s="16"/>
      <c r="L171" s="16"/>
      <c r="M171" s="34" t="s">
        <v>789</v>
      </c>
      <c r="N171" s="26" t="s">
        <v>790</v>
      </c>
      <c r="O171" s="6"/>
      <c r="P171" s="46"/>
      <c r="Q171" s="9" t="s">
        <v>440</v>
      </c>
    </row>
    <row r="172">
      <c r="A172" s="16">
        <v>70.0</v>
      </c>
      <c r="B172" s="16" t="s">
        <v>784</v>
      </c>
      <c r="C172" s="16" t="s">
        <v>791</v>
      </c>
      <c r="D172" s="7"/>
      <c r="E172" s="7"/>
      <c r="F172" s="6" t="str">
        <f t="array" ref="F172">TEXTJOIN("",FALSE,IF(NOT(ISBLANK(C172)), IF(E:E=C172,C:C &amp; "; ",""), ""))</f>
        <v/>
      </c>
      <c r="G172" s="7" t="s">
        <v>792</v>
      </c>
      <c r="H172" s="12" t="s">
        <v>787</v>
      </c>
      <c r="I172" s="6" t="s">
        <v>788</v>
      </c>
      <c r="J172" s="16" t="s">
        <v>22</v>
      </c>
      <c r="K172" s="16"/>
      <c r="L172" s="16"/>
      <c r="M172" s="34" t="s">
        <v>793</v>
      </c>
      <c r="N172" s="26" t="s">
        <v>794</v>
      </c>
      <c r="O172" s="6"/>
      <c r="P172" s="46"/>
      <c r="Q172" s="9" t="s">
        <v>440</v>
      </c>
    </row>
    <row r="173">
      <c r="A173" s="16">
        <v>68.0</v>
      </c>
      <c r="B173" s="16" t="s">
        <v>795</v>
      </c>
      <c r="C173" s="16" t="s">
        <v>795</v>
      </c>
      <c r="D173" s="7" t="s">
        <v>796</v>
      </c>
      <c r="E173" s="7"/>
      <c r="F173" s="6" t="str">
        <f t="array" ref="F173">TEXTJOIN("",FALSE,IF(NOT(ISBLANK(C173)), IF(E:E=C173,C:C &amp; "; ",""), ""))</f>
        <v/>
      </c>
      <c r="G173" s="7" t="s">
        <v>797</v>
      </c>
      <c r="H173" s="12" t="s">
        <v>798</v>
      </c>
      <c r="I173" s="6" t="s">
        <v>799</v>
      </c>
      <c r="J173" s="16" t="s">
        <v>22</v>
      </c>
      <c r="K173" s="16" t="s">
        <v>35</v>
      </c>
      <c r="L173" s="16"/>
      <c r="M173" s="34" t="s">
        <v>789</v>
      </c>
      <c r="N173" s="56"/>
      <c r="O173" s="6"/>
      <c r="P173" s="46"/>
      <c r="Q173" s="9" t="s">
        <v>440</v>
      </c>
    </row>
    <row r="174">
      <c r="A174" s="16">
        <v>68.0</v>
      </c>
      <c r="B174" s="16" t="s">
        <v>795</v>
      </c>
      <c r="C174" s="16" t="s">
        <v>800</v>
      </c>
      <c r="D174" s="7" t="s">
        <v>801</v>
      </c>
      <c r="E174" s="7"/>
      <c r="F174" s="6" t="str">
        <f t="array" ref="F174">TEXTJOIN("",FALSE,IF(NOT(ISBLANK(C174)), IF(E:E=C174,C:C &amp; "; ",""), ""))</f>
        <v/>
      </c>
      <c r="G174" s="7" t="s">
        <v>802</v>
      </c>
      <c r="H174" s="12" t="s">
        <v>798</v>
      </c>
      <c r="I174" s="6" t="s">
        <v>799</v>
      </c>
      <c r="J174" s="16" t="s">
        <v>22</v>
      </c>
      <c r="K174" s="16" t="s">
        <v>35</v>
      </c>
      <c r="L174" s="16" t="s">
        <v>34</v>
      </c>
      <c r="M174" s="34"/>
      <c r="N174" s="56"/>
      <c r="O174" s="6" t="s">
        <v>58</v>
      </c>
      <c r="P174" s="45" t="s">
        <v>803</v>
      </c>
      <c r="Q174" s="9" t="s">
        <v>440</v>
      </c>
    </row>
    <row r="175">
      <c r="A175" s="16">
        <v>69.0</v>
      </c>
      <c r="B175" s="16" t="s">
        <v>804</v>
      </c>
      <c r="C175" s="16" t="s">
        <v>804</v>
      </c>
      <c r="D175" s="7" t="s">
        <v>805</v>
      </c>
      <c r="E175" s="7"/>
      <c r="F175" s="6" t="str">
        <f t="array" ref="F175">TEXTJOIN("",FALSE,IF(NOT(ISBLANK(C175)), IF(E:E=C175,C:C &amp; "; ",""), ""))</f>
        <v>4NF Decomposition for Functional and Multivalued Dependency Sets; 4NF Decomposition for Conflict-Free Dependency Sets; </v>
      </c>
      <c r="G175" s="7" t="s">
        <v>806</v>
      </c>
      <c r="H175" s="12" t="s">
        <v>807</v>
      </c>
      <c r="I175" s="6" t="s">
        <v>799</v>
      </c>
      <c r="J175" s="16" t="s">
        <v>22</v>
      </c>
      <c r="K175" s="16" t="s">
        <v>35</v>
      </c>
      <c r="L175" s="16"/>
      <c r="M175" s="16"/>
      <c r="N175" s="46"/>
      <c r="O175" s="6"/>
      <c r="P175" s="46"/>
      <c r="Q175" s="9" t="s">
        <v>440</v>
      </c>
    </row>
    <row r="176">
      <c r="A176" s="16">
        <v>69.0</v>
      </c>
      <c r="B176" s="16" t="s">
        <v>804</v>
      </c>
      <c r="C176" s="16" t="s">
        <v>808</v>
      </c>
      <c r="D176" s="7"/>
      <c r="E176" s="16" t="s">
        <v>804</v>
      </c>
      <c r="F176" s="6" t="str">
        <f t="array" ref="F176">TEXTJOIN("",FALSE,IF(NOT(ISBLANK(C176)), IF(E:E=C176,C:C &amp; "; ",""), ""))</f>
        <v/>
      </c>
      <c r="G176" s="7" t="s">
        <v>809</v>
      </c>
      <c r="H176" s="12" t="s">
        <v>810</v>
      </c>
      <c r="I176" s="6" t="s">
        <v>799</v>
      </c>
      <c r="J176" s="16" t="s">
        <v>22</v>
      </c>
      <c r="K176" s="16" t="s">
        <v>35</v>
      </c>
      <c r="L176" s="16"/>
      <c r="M176" s="16"/>
      <c r="N176" s="46"/>
      <c r="O176" s="6"/>
      <c r="P176" s="46"/>
      <c r="Q176" s="9"/>
    </row>
    <row r="177">
      <c r="A177" s="16">
        <v>69.0</v>
      </c>
      <c r="B177" s="16" t="s">
        <v>804</v>
      </c>
      <c r="C177" s="16" t="s">
        <v>811</v>
      </c>
      <c r="D177" s="7"/>
      <c r="E177" s="16" t="s">
        <v>804</v>
      </c>
      <c r="F177" s="6" t="str">
        <f t="array" ref="F177">TEXTJOIN("",FALSE,IF(NOT(ISBLANK(C177)), IF(E:E=C177,C:C &amp; "; ",""), ""))</f>
        <v/>
      </c>
      <c r="G177" s="7" t="s">
        <v>812</v>
      </c>
      <c r="H177" s="12" t="s">
        <v>810</v>
      </c>
      <c r="I177" s="6" t="s">
        <v>799</v>
      </c>
      <c r="J177" s="16" t="s">
        <v>22</v>
      </c>
      <c r="K177" s="16" t="s">
        <v>35</v>
      </c>
      <c r="L177" s="16"/>
      <c r="M177" s="16"/>
      <c r="N177" s="46"/>
      <c r="O177" s="6"/>
      <c r="P177" s="46"/>
      <c r="Q177" s="9"/>
    </row>
    <row r="178">
      <c r="A178" s="16">
        <v>71.0</v>
      </c>
      <c r="B178" s="16" t="s">
        <v>813</v>
      </c>
      <c r="C178" s="16" t="s">
        <v>813</v>
      </c>
      <c r="D178" s="7"/>
      <c r="E178" s="7"/>
      <c r="F178" s="6" t="str">
        <f t="array" ref="F178">TEXTJOIN("",FALSE,IF(NOT(ISBLANK(C178)), IF(E:E=C178,C:C &amp; "; ",""), ""))</f>
        <v/>
      </c>
      <c r="G178" s="7" t="s">
        <v>814</v>
      </c>
      <c r="H178" s="12" t="s">
        <v>815</v>
      </c>
      <c r="I178" s="6" t="s">
        <v>816</v>
      </c>
      <c r="J178" s="16" t="s">
        <v>22</v>
      </c>
      <c r="K178" s="16" t="s">
        <v>35</v>
      </c>
      <c r="L178" s="16" t="s">
        <v>817</v>
      </c>
      <c r="M178" s="16"/>
      <c r="N178" s="46"/>
      <c r="O178" s="6"/>
      <c r="P178" s="46"/>
      <c r="Q178" s="9" t="s">
        <v>490</v>
      </c>
    </row>
    <row r="179">
      <c r="A179" s="16">
        <v>72.0</v>
      </c>
      <c r="B179" s="16" t="s">
        <v>818</v>
      </c>
      <c r="C179" s="16" t="s">
        <v>818</v>
      </c>
      <c r="D179" s="7" t="s">
        <v>819</v>
      </c>
      <c r="E179" s="7"/>
      <c r="F179" s="6" t="str">
        <f t="array" ref="F179">TEXTJOIN("",FALSE,IF(NOT(ISBLANK(C179)), IF(E:E=C179,C:C &amp; "; ",""), ""))</f>
        <v>The Vertex Cover Problem, Degrees Bounded By 3; </v>
      </c>
      <c r="G179" s="7" t="s">
        <v>820</v>
      </c>
      <c r="H179" s="12" t="s">
        <v>821</v>
      </c>
      <c r="I179" s="6" t="s">
        <v>822</v>
      </c>
      <c r="J179" s="16" t="s">
        <v>22</v>
      </c>
      <c r="K179" s="16" t="s">
        <v>823</v>
      </c>
      <c r="L179" s="16" t="s">
        <v>192</v>
      </c>
      <c r="M179" s="16"/>
      <c r="N179" s="46"/>
      <c r="O179" s="6"/>
      <c r="P179" s="46"/>
      <c r="Q179" s="9" t="s">
        <v>23</v>
      </c>
    </row>
    <row r="180">
      <c r="A180" s="16">
        <v>72.0</v>
      </c>
      <c r="B180" s="16" t="s">
        <v>818</v>
      </c>
      <c r="C180" s="16" t="s">
        <v>824</v>
      </c>
      <c r="D180" s="7" t="s">
        <v>825</v>
      </c>
      <c r="E180" s="16" t="s">
        <v>818</v>
      </c>
      <c r="F180" s="6" t="str">
        <f t="array" ref="F180">TEXTJOIN("",FALSE,IF(NOT(ISBLANK(C180)), IF(E:E=C180,C:C &amp; "; ",""), ""))</f>
        <v/>
      </c>
      <c r="G180" s="7" t="s">
        <v>826</v>
      </c>
      <c r="H180" s="33" t="s">
        <v>827</v>
      </c>
      <c r="I180" s="6" t="s">
        <v>822</v>
      </c>
      <c r="J180" s="16" t="s">
        <v>22</v>
      </c>
      <c r="K180" s="16" t="s">
        <v>823</v>
      </c>
      <c r="L180" s="16" t="s">
        <v>192</v>
      </c>
      <c r="M180" s="16"/>
      <c r="N180" s="46"/>
      <c r="O180" s="6"/>
      <c r="P180" s="46"/>
      <c r="Q180" s="9" t="s">
        <v>23</v>
      </c>
    </row>
    <row r="181">
      <c r="A181" s="6">
        <v>73.0</v>
      </c>
      <c r="B181" s="6" t="s">
        <v>828</v>
      </c>
      <c r="C181" s="6" t="s">
        <v>829</v>
      </c>
      <c r="D181" s="13"/>
      <c r="E181" s="13"/>
      <c r="F181" s="6" t="str">
        <f t="array" ref="F181">TEXTJOIN("",FALSE,IF(NOT(ISBLANK(C181)), IF(E:E=C181,C:C &amp; "; ",""), ""))</f>
        <v/>
      </c>
      <c r="G181" s="6" t="s">
        <v>830</v>
      </c>
      <c r="H181" s="12" t="s">
        <v>831</v>
      </c>
      <c r="I181" s="6" t="s">
        <v>832</v>
      </c>
      <c r="J181" s="6" t="s">
        <v>22</v>
      </c>
      <c r="K181" s="6" t="s">
        <v>833</v>
      </c>
      <c r="L181" s="6" t="s">
        <v>35</v>
      </c>
      <c r="M181" s="39" t="s">
        <v>834</v>
      </c>
      <c r="N181" s="25" t="s">
        <v>835</v>
      </c>
      <c r="O181" s="13"/>
      <c r="P181" s="13"/>
    </row>
    <row r="182">
      <c r="A182" s="6">
        <v>73.0</v>
      </c>
      <c r="B182" s="6" t="s">
        <v>828</v>
      </c>
      <c r="C182" s="6" t="s">
        <v>836</v>
      </c>
      <c r="D182" s="13"/>
      <c r="E182" s="13"/>
      <c r="F182" s="6" t="str">
        <f t="array" ref="F182">TEXTJOIN("",FALSE,IF(NOT(ISBLANK(C182)), IF(E:E=C182,C:C &amp; "; ",""), ""))</f>
        <v/>
      </c>
      <c r="G182" s="6" t="s">
        <v>837</v>
      </c>
      <c r="H182" s="12" t="s">
        <v>831</v>
      </c>
      <c r="I182" s="6" t="s">
        <v>832</v>
      </c>
      <c r="J182" s="6" t="s">
        <v>22</v>
      </c>
      <c r="K182" s="6" t="s">
        <v>833</v>
      </c>
      <c r="L182" s="6" t="s">
        <v>34</v>
      </c>
      <c r="M182" s="39" t="s">
        <v>838</v>
      </c>
      <c r="N182" s="17" t="s">
        <v>839</v>
      </c>
      <c r="O182" s="13"/>
      <c r="P182" s="13"/>
    </row>
    <row r="183">
      <c r="A183" s="16">
        <v>74.0</v>
      </c>
      <c r="B183" s="16" t="s">
        <v>840</v>
      </c>
      <c r="C183" s="16" t="s">
        <v>840</v>
      </c>
      <c r="D183" s="7" t="s">
        <v>841</v>
      </c>
      <c r="E183" s="7"/>
      <c r="F183" s="6" t="str">
        <f t="array" ref="F183">TEXTJOIN("",FALSE,IF(NOT(ISBLANK(C183)), IF(E:E=C183,C:C &amp; "; ",""), ""))</f>
        <v/>
      </c>
      <c r="G183" s="7" t="s">
        <v>842</v>
      </c>
      <c r="H183" s="12" t="s">
        <v>843</v>
      </c>
      <c r="I183" s="6" t="s">
        <v>844</v>
      </c>
      <c r="J183" s="16" t="s">
        <v>22</v>
      </c>
      <c r="K183" s="16" t="s">
        <v>35</v>
      </c>
      <c r="L183" s="16" t="s">
        <v>35</v>
      </c>
      <c r="M183" s="16"/>
      <c r="N183" s="46"/>
      <c r="O183" s="6"/>
      <c r="P183" s="46"/>
      <c r="Q183" s="9" t="s">
        <v>23</v>
      </c>
    </row>
    <row r="184">
      <c r="A184" s="16">
        <v>75.0</v>
      </c>
      <c r="B184" s="9" t="s">
        <v>845</v>
      </c>
      <c r="C184" s="16" t="s">
        <v>846</v>
      </c>
      <c r="D184" s="7"/>
      <c r="E184" s="7"/>
      <c r="F184" s="6" t="str">
        <f t="array" ref="F184">TEXTJOIN("",FALSE,IF(NOT(ISBLANK(C184)), IF(E:E=C184,C:C &amp; "; ",""), ""))</f>
        <v/>
      </c>
      <c r="G184" s="7" t="s">
        <v>847</v>
      </c>
      <c r="H184" s="12" t="s">
        <v>848</v>
      </c>
      <c r="I184" s="6" t="s">
        <v>849</v>
      </c>
      <c r="J184" s="16" t="s">
        <v>22</v>
      </c>
      <c r="K184" s="16" t="s">
        <v>35</v>
      </c>
      <c r="L184" s="16" t="s">
        <v>35</v>
      </c>
      <c r="M184" s="16"/>
      <c r="N184" s="46"/>
      <c r="O184" s="6"/>
      <c r="P184" s="46"/>
      <c r="Q184" s="9" t="s">
        <v>196</v>
      </c>
    </row>
    <row r="185">
      <c r="A185" s="16">
        <v>75.0</v>
      </c>
      <c r="B185" s="9" t="s">
        <v>845</v>
      </c>
      <c r="C185" s="16" t="s">
        <v>850</v>
      </c>
      <c r="D185" s="7"/>
      <c r="E185" s="7"/>
      <c r="F185" s="6" t="str">
        <f t="array" ref="F185">TEXTJOIN("",FALSE,IF(NOT(ISBLANK(C185)), IF(E:E=C185,C:C &amp; "; ",""), ""))</f>
        <v/>
      </c>
      <c r="G185" s="7" t="s">
        <v>851</v>
      </c>
      <c r="H185" s="12" t="s">
        <v>848</v>
      </c>
      <c r="I185" s="6" t="s">
        <v>849</v>
      </c>
      <c r="J185" s="16" t="s">
        <v>22</v>
      </c>
      <c r="K185" s="16" t="s">
        <v>35</v>
      </c>
      <c r="L185" s="16" t="s">
        <v>35</v>
      </c>
      <c r="M185" s="16"/>
      <c r="N185" s="46"/>
      <c r="O185" s="6"/>
      <c r="P185" s="46"/>
      <c r="Q185" s="9" t="s">
        <v>196</v>
      </c>
    </row>
    <row r="186">
      <c r="A186" s="16">
        <v>76.0</v>
      </c>
      <c r="B186" s="16" t="s">
        <v>852</v>
      </c>
      <c r="C186" s="16" t="s">
        <v>852</v>
      </c>
      <c r="D186" s="7"/>
      <c r="E186" s="7"/>
      <c r="F186" s="6" t="str">
        <f t="array" ref="F186">TEXTJOIN("",FALSE,IF(NOT(ISBLANK(C186)), IF(E:E=C186,C:C &amp; "; ",""), ""))</f>
        <v/>
      </c>
      <c r="G186" s="7" t="s">
        <v>853</v>
      </c>
      <c r="H186" s="12" t="s">
        <v>854</v>
      </c>
      <c r="I186" s="6" t="s">
        <v>855</v>
      </c>
      <c r="J186" s="16" t="s">
        <v>22</v>
      </c>
      <c r="K186" s="16"/>
      <c r="L186" s="16"/>
      <c r="M186" s="34" t="s">
        <v>115</v>
      </c>
      <c r="N186" s="26" t="s">
        <v>856</v>
      </c>
      <c r="O186" s="6"/>
      <c r="P186" s="46"/>
      <c r="Q186" s="9" t="s">
        <v>144</v>
      </c>
    </row>
    <row r="187">
      <c r="A187" s="16">
        <v>77.0</v>
      </c>
      <c r="B187" s="16" t="s">
        <v>857</v>
      </c>
      <c r="C187" s="16" t="s">
        <v>857</v>
      </c>
      <c r="D187" s="7"/>
      <c r="E187" s="7"/>
      <c r="F187" s="6" t="str">
        <f t="array" ref="F187">TEXTJOIN("",FALSE,IF(NOT(ISBLANK(C187)), IF(E:E=C187,C:C &amp; "; ",""), ""))</f>
        <v/>
      </c>
      <c r="G187" s="7" t="s">
        <v>858</v>
      </c>
      <c r="H187" s="12" t="s">
        <v>859</v>
      </c>
      <c r="I187" s="6" t="s">
        <v>860</v>
      </c>
      <c r="J187" s="16" t="s">
        <v>22</v>
      </c>
      <c r="K187" s="16"/>
      <c r="L187" s="16"/>
      <c r="M187" s="16"/>
      <c r="N187" s="46"/>
      <c r="O187" s="6"/>
      <c r="P187" s="46"/>
      <c r="Q187" s="9" t="s">
        <v>485</v>
      </c>
    </row>
    <row r="188">
      <c r="A188" s="16">
        <v>78.0</v>
      </c>
      <c r="B188" s="16" t="s">
        <v>861</v>
      </c>
      <c r="C188" s="16" t="s">
        <v>862</v>
      </c>
      <c r="D188" s="16" t="s">
        <v>863</v>
      </c>
      <c r="E188" s="6" t="s">
        <v>864</v>
      </c>
      <c r="F188" s="6" t="str">
        <f t="array" ref="F188">TEXTJOIN("",FALSE,IF(NOT(ISBLANK(C188)), IF(E:E=C188,C:C &amp; "; ",""), ""))</f>
        <v>Almost Stable Marriage Problem; Boolean d-Attribute Stable Matching; Stable Matching Verification; Stable Pair Checking; </v>
      </c>
      <c r="G188" s="6" t="s">
        <v>865</v>
      </c>
      <c r="H188" s="37" t="s">
        <v>866</v>
      </c>
      <c r="I188" s="16" t="s">
        <v>867</v>
      </c>
      <c r="J188" s="6" t="s">
        <v>22</v>
      </c>
      <c r="K188" s="6" t="s">
        <v>35</v>
      </c>
      <c r="L188" s="6" t="s">
        <v>35</v>
      </c>
      <c r="M188" s="39" t="s">
        <v>115</v>
      </c>
      <c r="N188" s="28" t="s">
        <v>868</v>
      </c>
      <c r="O188" s="13"/>
      <c r="P188" s="13"/>
      <c r="Q188" s="9" t="s">
        <v>23</v>
      </c>
    </row>
    <row r="189">
      <c r="A189" s="16">
        <v>78.0</v>
      </c>
      <c r="B189" s="16" t="s">
        <v>861</v>
      </c>
      <c r="C189" s="16" t="s">
        <v>869</v>
      </c>
      <c r="D189" s="16"/>
      <c r="E189" s="16" t="s">
        <v>862</v>
      </c>
      <c r="F189" s="6" t="str">
        <f t="array" ref="F189">TEXTJOIN("",FALSE,IF(NOT(ISBLANK(C189)), IF(E:E=C189,C:C &amp; "; ",""), ""))</f>
        <v/>
      </c>
      <c r="G189" s="6" t="s">
        <v>870</v>
      </c>
      <c r="H189" s="37" t="s">
        <v>871</v>
      </c>
      <c r="I189" s="16" t="s">
        <v>867</v>
      </c>
      <c r="J189" s="6" t="s">
        <v>22</v>
      </c>
      <c r="K189" s="6" t="s">
        <v>35</v>
      </c>
      <c r="L189" s="6" t="s">
        <v>35</v>
      </c>
      <c r="M189" s="13"/>
      <c r="N189" s="13"/>
      <c r="O189" s="13"/>
      <c r="P189" s="13"/>
      <c r="Q189" s="9" t="s">
        <v>23</v>
      </c>
    </row>
    <row r="190">
      <c r="A190" s="16">
        <v>78.0</v>
      </c>
      <c r="B190" s="16" t="s">
        <v>861</v>
      </c>
      <c r="C190" s="6" t="s">
        <v>864</v>
      </c>
      <c r="D190" s="16" t="s">
        <v>872</v>
      </c>
      <c r="E190" s="39"/>
      <c r="F190" s="6" t="str">
        <f t="array" ref="F190">TEXTJOIN("",FALSE,IF(NOT(ISBLANK(C190)), IF(E:E=C190,C:C &amp; "; ",""), ""))</f>
        <v>Stable Marriage Problem; </v>
      </c>
      <c r="G190" s="6" t="s">
        <v>873</v>
      </c>
      <c r="H190" s="57" t="s">
        <v>874</v>
      </c>
      <c r="I190" s="16" t="s">
        <v>875</v>
      </c>
      <c r="J190" s="6" t="s">
        <v>22</v>
      </c>
      <c r="K190" s="6" t="s">
        <v>35</v>
      </c>
      <c r="L190" s="6" t="s">
        <v>35</v>
      </c>
      <c r="M190" s="13"/>
      <c r="N190" s="13"/>
      <c r="O190" s="13"/>
      <c r="P190" s="13"/>
      <c r="Q190" s="9" t="s">
        <v>23</v>
      </c>
    </row>
    <row r="191">
      <c r="A191" s="16">
        <v>78.0</v>
      </c>
      <c r="B191" s="16" t="s">
        <v>861</v>
      </c>
      <c r="C191" s="6" t="s">
        <v>876</v>
      </c>
      <c r="D191" s="13"/>
      <c r="E191" s="16" t="s">
        <v>862</v>
      </c>
      <c r="F191" s="6" t="str">
        <f t="array" ref="F191">TEXTJOIN("",FALSE,IF(NOT(ISBLANK(C191)), IF(E:E=C191,C:C &amp; "; ",""), ""))</f>
        <v/>
      </c>
      <c r="G191" s="6" t="s">
        <v>877</v>
      </c>
      <c r="H191" s="12" t="s">
        <v>878</v>
      </c>
      <c r="I191" s="16" t="s">
        <v>879</v>
      </c>
      <c r="J191" s="6" t="s">
        <v>22</v>
      </c>
      <c r="K191" s="6" t="s">
        <v>880</v>
      </c>
      <c r="L191" s="6" t="s">
        <v>35</v>
      </c>
      <c r="M191" s="13"/>
      <c r="N191" s="13"/>
      <c r="O191" s="13"/>
      <c r="P191" s="13"/>
      <c r="Q191" s="9" t="s">
        <v>23</v>
      </c>
    </row>
    <row r="192">
      <c r="A192" s="16">
        <v>78.0</v>
      </c>
      <c r="B192" s="16" t="s">
        <v>861</v>
      </c>
      <c r="C192" s="6" t="s">
        <v>881</v>
      </c>
      <c r="D192" s="13"/>
      <c r="E192" s="16" t="s">
        <v>862</v>
      </c>
      <c r="F192" s="6" t="str">
        <f t="array" ref="F192">TEXTJOIN("",FALSE,IF(NOT(ISBLANK(C192)), IF(E:E=C192,C:C &amp; "; ",""), ""))</f>
        <v/>
      </c>
      <c r="G192" s="6" t="s">
        <v>882</v>
      </c>
      <c r="H192" s="12" t="s">
        <v>878</v>
      </c>
      <c r="I192" s="16" t="s">
        <v>867</v>
      </c>
      <c r="J192" s="6" t="s">
        <v>22</v>
      </c>
      <c r="K192" s="6" t="s">
        <v>35</v>
      </c>
      <c r="L192" s="6" t="s">
        <v>34</v>
      </c>
      <c r="M192" s="13"/>
      <c r="N192" s="13"/>
      <c r="O192" s="13"/>
      <c r="P192" s="13"/>
      <c r="Q192" s="9" t="s">
        <v>23</v>
      </c>
    </row>
    <row r="193">
      <c r="A193" s="16">
        <v>78.0</v>
      </c>
      <c r="B193" s="16" t="s">
        <v>861</v>
      </c>
      <c r="C193" s="6" t="s">
        <v>883</v>
      </c>
      <c r="D193" s="13"/>
      <c r="E193" s="16" t="s">
        <v>862</v>
      </c>
      <c r="F193" s="6" t="str">
        <f t="array" ref="F193">TEXTJOIN("",FALSE,IF(NOT(ISBLANK(C193)), IF(E:E=C193,C:C &amp; "; ",""), ""))</f>
        <v/>
      </c>
      <c r="G193" s="6" t="s">
        <v>884</v>
      </c>
      <c r="H193" s="12" t="s">
        <v>878</v>
      </c>
      <c r="I193" s="16" t="s">
        <v>875</v>
      </c>
      <c r="J193" s="6" t="s">
        <v>22</v>
      </c>
      <c r="K193" s="6" t="s">
        <v>35</v>
      </c>
      <c r="L193" s="6" t="s">
        <v>34</v>
      </c>
      <c r="M193" s="13"/>
      <c r="N193" s="13"/>
      <c r="O193" s="13"/>
      <c r="P193" s="13"/>
      <c r="Q193" s="9" t="s">
        <v>23</v>
      </c>
    </row>
    <row r="194">
      <c r="A194" s="16">
        <v>79.0</v>
      </c>
      <c r="B194" s="16" t="s">
        <v>885</v>
      </c>
      <c r="C194" s="16" t="s">
        <v>886</v>
      </c>
      <c r="D194" s="7"/>
      <c r="E194" s="7"/>
      <c r="F194" s="6" t="str">
        <f t="array" ref="F194">TEXTJOIN("",FALSE,IF(NOT(ISBLANK(C194)), IF(E:E=C194,C:C &amp; "; ",""), ""))</f>
        <v/>
      </c>
      <c r="G194" s="7" t="s">
        <v>887</v>
      </c>
      <c r="H194" s="33" t="s">
        <v>888</v>
      </c>
      <c r="I194" s="6" t="s">
        <v>347</v>
      </c>
      <c r="J194" s="16" t="s">
        <v>22</v>
      </c>
      <c r="K194" s="16" t="s">
        <v>823</v>
      </c>
      <c r="L194" s="16"/>
      <c r="M194" s="16"/>
      <c r="N194" s="46"/>
      <c r="O194" s="6"/>
      <c r="P194" s="46"/>
      <c r="Q194" s="9" t="s">
        <v>23</v>
      </c>
    </row>
    <row r="195">
      <c r="A195" s="6">
        <v>80.0</v>
      </c>
      <c r="B195" s="6" t="s">
        <v>889</v>
      </c>
      <c r="C195" s="6" t="s">
        <v>890</v>
      </c>
      <c r="D195" s="6"/>
      <c r="E195" s="6"/>
      <c r="F195" s="6" t="str">
        <f t="array" ref="F195">TEXTJOIN("",FALSE,IF(NOT(ISBLANK(C195)), IF(E:E=C195,C:C &amp; "; ",""), ""))</f>
        <v>1D Maximum Subarray; 2D Maximum Subarray; Maximum Square Subarray; </v>
      </c>
      <c r="G195" s="6" t="s">
        <v>891</v>
      </c>
      <c r="H195" s="12" t="s">
        <v>741</v>
      </c>
      <c r="I195" s="6" t="s">
        <v>892</v>
      </c>
      <c r="J195" s="6" t="s">
        <v>893</v>
      </c>
      <c r="K195" s="6" t="s">
        <v>894</v>
      </c>
      <c r="L195" s="6" t="s">
        <v>407</v>
      </c>
      <c r="M195" s="6"/>
      <c r="N195" s="6"/>
      <c r="O195" s="6"/>
      <c r="P195" s="6"/>
      <c r="Q195" s="9" t="s">
        <v>23</v>
      </c>
    </row>
    <row r="196">
      <c r="A196" s="6">
        <v>80.0</v>
      </c>
      <c r="B196" s="6" t="s">
        <v>889</v>
      </c>
      <c r="C196" s="6" t="s">
        <v>895</v>
      </c>
      <c r="D196" s="6" t="s">
        <v>896</v>
      </c>
      <c r="E196" s="6" t="s">
        <v>890</v>
      </c>
      <c r="F196" s="6" t="str">
        <f t="array" ref="F196">TEXTJOIN("",FALSE,IF(NOT(ISBLANK(C196)), IF(E:E=C196,C:C &amp; "; ",""), ""))</f>
        <v/>
      </c>
      <c r="G196" s="6" t="s">
        <v>897</v>
      </c>
      <c r="H196" s="12" t="s">
        <v>741</v>
      </c>
      <c r="I196" s="6" t="s">
        <v>898</v>
      </c>
      <c r="J196" s="6" t="s">
        <v>22</v>
      </c>
      <c r="K196" s="6" t="s">
        <v>35</v>
      </c>
      <c r="L196" s="6" t="s">
        <v>34</v>
      </c>
      <c r="M196" s="6" t="s">
        <v>35</v>
      </c>
      <c r="N196" s="6" t="s">
        <v>899</v>
      </c>
      <c r="O196" s="6" t="s">
        <v>35</v>
      </c>
      <c r="P196" s="6" t="s">
        <v>900</v>
      </c>
      <c r="Q196" s="9" t="s">
        <v>23</v>
      </c>
    </row>
    <row r="197">
      <c r="A197" s="6">
        <v>80.0</v>
      </c>
      <c r="B197" s="6" t="s">
        <v>889</v>
      </c>
      <c r="C197" s="6" t="s">
        <v>901</v>
      </c>
      <c r="D197" s="6"/>
      <c r="E197" s="6" t="s">
        <v>890</v>
      </c>
      <c r="F197" s="6" t="str">
        <f t="array" ref="F197">TEXTJOIN("",FALSE,IF(NOT(ISBLANK(C197)), IF(E:E=C197,C:C &amp; "; ",""), ""))</f>
        <v/>
      </c>
      <c r="G197" s="6" t="s">
        <v>902</v>
      </c>
      <c r="H197" s="12" t="s">
        <v>741</v>
      </c>
      <c r="I197" s="6" t="s">
        <v>903</v>
      </c>
      <c r="J197" s="16" t="s">
        <v>114</v>
      </c>
      <c r="K197" s="16" t="s">
        <v>115</v>
      </c>
      <c r="L197" s="16" t="s">
        <v>34</v>
      </c>
      <c r="M197" s="16" t="s">
        <v>904</v>
      </c>
      <c r="N197" s="25" t="s">
        <v>905</v>
      </c>
      <c r="O197" s="6" t="s">
        <v>906</v>
      </c>
      <c r="P197" s="6" t="s">
        <v>907</v>
      </c>
      <c r="Q197" s="9" t="s">
        <v>23</v>
      </c>
    </row>
    <row r="198">
      <c r="A198" s="6">
        <v>80.0</v>
      </c>
      <c r="B198" s="6" t="s">
        <v>889</v>
      </c>
      <c r="C198" s="6" t="s">
        <v>908</v>
      </c>
      <c r="D198" s="13"/>
      <c r="E198" s="6" t="s">
        <v>890</v>
      </c>
      <c r="F198" s="6" t="str">
        <f t="array" ref="F198">TEXTJOIN("",FALSE,IF(NOT(ISBLANK(C198)), IF(E:E=C198,C:C &amp; "; ",""), ""))</f>
        <v/>
      </c>
      <c r="G198" s="6" t="s">
        <v>909</v>
      </c>
      <c r="H198" s="12" t="s">
        <v>741</v>
      </c>
      <c r="I198" s="6" t="s">
        <v>903</v>
      </c>
      <c r="J198" s="6" t="s">
        <v>114</v>
      </c>
      <c r="K198" s="6" t="s">
        <v>115</v>
      </c>
      <c r="L198" s="6" t="s">
        <v>34</v>
      </c>
      <c r="M198" s="13"/>
      <c r="N198" s="13"/>
      <c r="O198" s="13"/>
      <c r="P198" s="13"/>
      <c r="Q198" s="9" t="s">
        <v>23</v>
      </c>
    </row>
    <row r="199">
      <c r="A199" s="16">
        <v>81.0</v>
      </c>
      <c r="B199" s="16" t="s">
        <v>910</v>
      </c>
      <c r="C199" s="16" t="s">
        <v>910</v>
      </c>
      <c r="D199" s="7"/>
      <c r="E199" s="7"/>
      <c r="F199" s="6" t="str">
        <f t="array" ref="F199">TEXTJOIN("",FALSE,IF(NOT(ISBLANK(C199)), IF(E:E=C199,C:C &amp; "; ",""), ""))</f>
        <v/>
      </c>
      <c r="G199" s="7" t="s">
        <v>911</v>
      </c>
      <c r="H199" s="12" t="s">
        <v>912</v>
      </c>
      <c r="I199" s="6" t="s">
        <v>913</v>
      </c>
      <c r="J199" s="16" t="s">
        <v>22</v>
      </c>
      <c r="K199" s="16" t="s">
        <v>35</v>
      </c>
      <c r="L199" s="16"/>
      <c r="M199" s="16"/>
      <c r="N199" s="46"/>
      <c r="O199" s="6"/>
      <c r="P199" s="46"/>
      <c r="Q199" s="9" t="s">
        <v>23</v>
      </c>
    </row>
    <row r="200">
      <c r="A200" s="16">
        <v>82.0</v>
      </c>
      <c r="B200" s="16" t="s">
        <v>914</v>
      </c>
      <c r="C200" s="16" t="s">
        <v>914</v>
      </c>
      <c r="D200" s="7"/>
      <c r="E200" s="7"/>
      <c r="F200" s="6" t="str">
        <f t="array" ref="F200">TEXTJOIN("",FALSE,IF(NOT(ISBLANK(C200)), IF(E:E=C200,C:C &amp; "; ",""), ""))</f>
        <v/>
      </c>
      <c r="G200" s="7" t="s">
        <v>915</v>
      </c>
      <c r="H200" s="12" t="s">
        <v>916</v>
      </c>
      <c r="I200" s="6"/>
      <c r="J200" s="16" t="s">
        <v>22</v>
      </c>
      <c r="K200" s="16"/>
      <c r="L200" s="16"/>
      <c r="M200" s="16"/>
      <c r="N200" s="46"/>
      <c r="O200" s="6"/>
      <c r="P200" s="46"/>
      <c r="Q200" s="9" t="s">
        <v>196</v>
      </c>
    </row>
    <row r="201">
      <c r="A201" s="16">
        <v>83.0</v>
      </c>
      <c r="B201" s="16" t="s">
        <v>917</v>
      </c>
      <c r="C201" s="16" t="s">
        <v>917</v>
      </c>
      <c r="D201" s="7" t="s">
        <v>918</v>
      </c>
      <c r="E201" s="7"/>
      <c r="F201" s="6" t="str">
        <f t="array" ref="F201">TEXTJOIN("",FALSE,IF(NOT(ISBLANK(C201)), IF(E:E=C201,C:C &amp; "; ",""), ""))</f>
        <v/>
      </c>
      <c r="G201" s="7" t="s">
        <v>919</v>
      </c>
      <c r="H201" s="12" t="s">
        <v>920</v>
      </c>
      <c r="I201" s="6" t="s">
        <v>921</v>
      </c>
      <c r="J201" s="16" t="s">
        <v>22</v>
      </c>
      <c r="K201" s="16"/>
      <c r="L201" s="16"/>
      <c r="M201" s="16"/>
      <c r="N201" s="46"/>
      <c r="O201" s="6"/>
      <c r="P201" s="46"/>
      <c r="Q201" s="9" t="s">
        <v>23</v>
      </c>
    </row>
    <row r="202">
      <c r="A202" s="16">
        <v>84.0</v>
      </c>
      <c r="B202" s="16" t="s">
        <v>922</v>
      </c>
      <c r="C202" s="16" t="s">
        <v>922</v>
      </c>
      <c r="D202" s="7"/>
      <c r="E202" s="7"/>
      <c r="F202" s="6" t="str">
        <f t="array" ref="F202">TEXTJOIN("",FALSE,IF(NOT(ISBLANK(C202)), IF(E:E=C202,C:C &amp; "; ",""), ""))</f>
        <v/>
      </c>
      <c r="G202" s="7" t="s">
        <v>923</v>
      </c>
      <c r="H202" s="12" t="s">
        <v>924</v>
      </c>
      <c r="I202" s="6" t="s">
        <v>925</v>
      </c>
      <c r="J202" s="16" t="s">
        <v>22</v>
      </c>
      <c r="K202" s="16" t="s">
        <v>584</v>
      </c>
      <c r="L202" s="16" t="s">
        <v>926</v>
      </c>
      <c r="M202" s="16"/>
      <c r="N202" s="46"/>
      <c r="O202" s="6"/>
      <c r="P202" s="46"/>
      <c r="Q202" s="9" t="s">
        <v>23</v>
      </c>
    </row>
    <row r="203">
      <c r="A203" s="16">
        <v>85.0</v>
      </c>
      <c r="B203" s="16" t="s">
        <v>927</v>
      </c>
      <c r="C203" s="16" t="s">
        <v>927</v>
      </c>
      <c r="D203" s="7"/>
      <c r="E203" s="7"/>
      <c r="F203" s="6" t="str">
        <f t="array" ref="F203">TEXTJOIN("",FALSE,IF(NOT(ISBLANK(C203)), IF(E:E=C203,C:C &amp; "; ",""), ""))</f>
        <v/>
      </c>
      <c r="G203" s="7" t="s">
        <v>928</v>
      </c>
      <c r="H203" s="12" t="s">
        <v>929</v>
      </c>
      <c r="I203" s="6" t="s">
        <v>930</v>
      </c>
      <c r="J203" s="16" t="s">
        <v>22</v>
      </c>
      <c r="K203" s="16" t="s">
        <v>584</v>
      </c>
      <c r="L203" s="16"/>
      <c r="M203" s="16"/>
      <c r="N203" s="46"/>
      <c r="O203" s="6"/>
      <c r="P203" s="46"/>
      <c r="Q203" s="9" t="s">
        <v>23</v>
      </c>
    </row>
    <row r="204">
      <c r="A204" s="16">
        <v>85.0</v>
      </c>
      <c r="B204" s="16" t="s">
        <v>927</v>
      </c>
      <c r="C204" s="16" t="s">
        <v>931</v>
      </c>
      <c r="D204" s="7"/>
      <c r="E204" s="7"/>
      <c r="F204" s="6" t="str">
        <f t="array" ref="F204">TEXTJOIN("",FALSE,IF(NOT(ISBLANK(C204)), IF(E:E=C204,C:C &amp; "; ",""), ""))</f>
        <v/>
      </c>
      <c r="G204" s="7" t="s">
        <v>932</v>
      </c>
      <c r="H204" s="12" t="s">
        <v>933</v>
      </c>
      <c r="I204" s="6" t="s">
        <v>930</v>
      </c>
      <c r="J204" s="16" t="s">
        <v>22</v>
      </c>
      <c r="K204" s="16" t="s">
        <v>584</v>
      </c>
      <c r="L204" s="16"/>
      <c r="M204" s="16"/>
      <c r="N204" s="46"/>
      <c r="O204" s="6"/>
      <c r="P204" s="46"/>
      <c r="Q204" s="9"/>
    </row>
    <row r="205">
      <c r="A205" s="16">
        <v>86.0</v>
      </c>
      <c r="B205" s="16" t="s">
        <v>934</v>
      </c>
      <c r="C205" s="6" t="s">
        <v>935</v>
      </c>
      <c r="D205" s="7"/>
      <c r="E205" s="7"/>
      <c r="F205" s="6" t="str">
        <f t="array" ref="F205">TEXTJOIN("",FALSE,IF(NOT(ISBLANK(C205)), IF(E:E=C205,C:C &amp; "; ",""), ""))</f>
        <v>Graph Isomorphism, Bounded Number of Vertices of Each Color; Graph Isomorphism, Trivalent Graphs; Graph Isomorphism, Bounded Vertex Valences; Largest Common Subtree; </v>
      </c>
      <c r="G205" s="7" t="s">
        <v>936</v>
      </c>
      <c r="H205" s="12" t="s">
        <v>937</v>
      </c>
      <c r="I205" s="6" t="s">
        <v>938</v>
      </c>
      <c r="J205" s="16" t="s">
        <v>22</v>
      </c>
      <c r="K205" s="16" t="s">
        <v>584</v>
      </c>
      <c r="L205" s="16" t="s">
        <v>939</v>
      </c>
      <c r="M205" s="16"/>
      <c r="N205" s="46"/>
      <c r="O205" s="6"/>
      <c r="P205" s="46"/>
      <c r="Q205" s="9" t="s">
        <v>23</v>
      </c>
    </row>
    <row r="206">
      <c r="A206" s="16">
        <v>86.0</v>
      </c>
      <c r="B206" s="16" t="s">
        <v>934</v>
      </c>
      <c r="C206" s="6" t="s">
        <v>940</v>
      </c>
      <c r="D206" s="7"/>
      <c r="E206" s="6" t="s">
        <v>935</v>
      </c>
      <c r="F206" s="6" t="str">
        <f t="array" ref="F206">TEXTJOIN("",FALSE,IF(NOT(ISBLANK(C206)), IF(E:E=C206,C:C &amp; "; ",""), ""))</f>
        <v/>
      </c>
      <c r="G206" s="7" t="s">
        <v>941</v>
      </c>
      <c r="H206" s="12" t="s">
        <v>942</v>
      </c>
      <c r="I206" s="6" t="s">
        <v>938</v>
      </c>
      <c r="J206" s="16" t="s">
        <v>22</v>
      </c>
      <c r="K206" s="16" t="s">
        <v>584</v>
      </c>
      <c r="L206" s="16" t="s">
        <v>939</v>
      </c>
      <c r="M206" s="16"/>
      <c r="N206" s="46"/>
      <c r="O206" s="6"/>
      <c r="P206" s="46"/>
      <c r="Q206" s="9"/>
    </row>
    <row r="207">
      <c r="A207" s="16">
        <v>86.0</v>
      </c>
      <c r="B207" s="16" t="s">
        <v>934</v>
      </c>
      <c r="C207" s="7" t="s">
        <v>943</v>
      </c>
      <c r="D207" s="7"/>
      <c r="E207" s="6" t="s">
        <v>935</v>
      </c>
      <c r="F207" s="6" t="str">
        <f t="array" ref="F207">TEXTJOIN("",FALSE,IF(NOT(ISBLANK(C207)), IF(E:E=C207,C:C &amp; "; ",""), ""))</f>
        <v/>
      </c>
      <c r="G207" s="7" t="s">
        <v>944</v>
      </c>
      <c r="H207" s="12" t="s">
        <v>942</v>
      </c>
      <c r="I207" s="6" t="s">
        <v>938</v>
      </c>
      <c r="J207" s="16" t="s">
        <v>22</v>
      </c>
      <c r="K207" s="16" t="s">
        <v>584</v>
      </c>
      <c r="L207" s="16" t="s">
        <v>939</v>
      </c>
      <c r="M207" s="16"/>
      <c r="N207" s="46"/>
      <c r="O207" s="6"/>
      <c r="P207" s="46"/>
      <c r="Q207" s="9"/>
    </row>
    <row r="208">
      <c r="A208" s="16">
        <v>86.0</v>
      </c>
      <c r="B208" s="16" t="s">
        <v>934</v>
      </c>
      <c r="C208" s="7" t="s">
        <v>945</v>
      </c>
      <c r="D208" s="7"/>
      <c r="E208" s="6" t="s">
        <v>935</v>
      </c>
      <c r="F208" s="6" t="str">
        <f t="array" ref="F208">TEXTJOIN("",FALSE,IF(NOT(ISBLANK(C208)), IF(E:E=C208,C:C &amp; "; ",""), ""))</f>
        <v/>
      </c>
      <c r="G208" s="7" t="s">
        <v>946</v>
      </c>
      <c r="H208" s="12" t="s">
        <v>942</v>
      </c>
      <c r="I208" s="6" t="s">
        <v>938</v>
      </c>
      <c r="J208" s="16" t="s">
        <v>22</v>
      </c>
      <c r="K208" s="16" t="s">
        <v>584</v>
      </c>
      <c r="L208" s="16" t="s">
        <v>939</v>
      </c>
      <c r="M208" s="16"/>
      <c r="N208" s="46"/>
      <c r="O208" s="6"/>
      <c r="P208" s="46"/>
      <c r="Q208" s="9"/>
    </row>
    <row r="209">
      <c r="A209" s="16">
        <v>86.0</v>
      </c>
      <c r="B209" s="16" t="s">
        <v>934</v>
      </c>
      <c r="C209" s="6" t="s">
        <v>947</v>
      </c>
      <c r="D209" s="7" t="s">
        <v>948</v>
      </c>
      <c r="E209" s="6" t="s">
        <v>935</v>
      </c>
      <c r="F209" s="6" t="str">
        <f t="array" ref="F209">TEXTJOIN("",FALSE,IF(NOT(ISBLANK(C209)), IF(E:E=C209,C:C &amp; "; ",""), ""))</f>
        <v>Subtree Isomorphism; </v>
      </c>
      <c r="G209" s="7" t="s">
        <v>949</v>
      </c>
      <c r="H209" s="12" t="s">
        <v>950</v>
      </c>
      <c r="I209" s="6" t="s">
        <v>951</v>
      </c>
      <c r="J209" s="16" t="s">
        <v>22</v>
      </c>
      <c r="K209" s="16" t="s">
        <v>584</v>
      </c>
      <c r="L209" s="16" t="s">
        <v>584</v>
      </c>
      <c r="M209" s="16"/>
      <c r="N209" s="46"/>
      <c r="O209" s="6"/>
      <c r="P209" s="46"/>
      <c r="Q209" s="9" t="s">
        <v>23</v>
      </c>
    </row>
    <row r="210">
      <c r="A210" s="16">
        <v>86.0</v>
      </c>
      <c r="B210" s="16" t="s">
        <v>934</v>
      </c>
      <c r="C210" s="6" t="s">
        <v>952</v>
      </c>
      <c r="D210" s="7"/>
      <c r="E210" s="6" t="s">
        <v>947</v>
      </c>
      <c r="F210" s="6" t="str">
        <f t="array" ref="F210">TEXTJOIN("",FALSE,IF(NOT(ISBLANK(C210)), IF(E:E=C210,C:C &amp; "; ",""), ""))</f>
        <v/>
      </c>
      <c r="G210" s="7" t="s">
        <v>953</v>
      </c>
      <c r="H210" s="12" t="s">
        <v>954</v>
      </c>
      <c r="I210" s="6" t="s">
        <v>938</v>
      </c>
      <c r="J210" s="16" t="s">
        <v>22</v>
      </c>
      <c r="K210" s="16" t="s">
        <v>584</v>
      </c>
      <c r="L210" s="16" t="s">
        <v>939</v>
      </c>
      <c r="M210" s="16"/>
      <c r="N210" s="46"/>
      <c r="O210" s="6"/>
      <c r="P210" s="46"/>
      <c r="Q210" s="9" t="s">
        <v>23</v>
      </c>
    </row>
    <row r="211">
      <c r="A211" s="35">
        <v>87.0</v>
      </c>
      <c r="B211" s="16" t="s">
        <v>955</v>
      </c>
      <c r="C211" s="16" t="s">
        <v>956</v>
      </c>
      <c r="D211" s="6"/>
      <c r="E211" s="6"/>
      <c r="F211" s="6" t="str">
        <f t="array" ref="F211">TEXTJOIN("",FALSE,IF(NOT(ISBLANK(C211)), IF(E:E=C211,C:C &amp; "; ",""), ""))</f>
        <v>DAG Realization Problem; </v>
      </c>
      <c r="G211" s="6" t="s">
        <v>957</v>
      </c>
      <c r="H211" s="12" t="s">
        <v>958</v>
      </c>
      <c r="I211" s="6" t="s">
        <v>959</v>
      </c>
      <c r="J211" s="6" t="s">
        <v>22</v>
      </c>
      <c r="K211" s="6" t="s">
        <v>584</v>
      </c>
      <c r="L211" s="6" t="s">
        <v>939</v>
      </c>
      <c r="M211" s="6" t="s">
        <v>960</v>
      </c>
      <c r="N211" s="45" t="s">
        <v>961</v>
      </c>
      <c r="O211" s="13"/>
      <c r="P211" s="13"/>
      <c r="Q211" s="9" t="s">
        <v>23</v>
      </c>
    </row>
    <row r="212">
      <c r="A212" s="35">
        <v>87.0</v>
      </c>
      <c r="B212" s="16" t="s">
        <v>955</v>
      </c>
      <c r="C212" s="16" t="s">
        <v>962</v>
      </c>
      <c r="D212" s="6"/>
      <c r="E212" s="16" t="s">
        <v>956</v>
      </c>
      <c r="F212" s="6" t="str">
        <f t="array" ref="F212">TEXTJOIN("",FALSE,IF(NOT(ISBLANK(C212)), IF(E:E=C212,C:C &amp; "; ",""), ""))</f>
        <v/>
      </c>
      <c r="G212" s="6" t="s">
        <v>963</v>
      </c>
      <c r="H212" s="12" t="s">
        <v>958</v>
      </c>
      <c r="I212" s="6" t="s">
        <v>959</v>
      </c>
      <c r="J212" s="6" t="s">
        <v>22</v>
      </c>
      <c r="K212" s="6" t="s">
        <v>584</v>
      </c>
      <c r="L212" s="6" t="s">
        <v>939</v>
      </c>
      <c r="M212" s="6"/>
      <c r="N212" s="46"/>
      <c r="O212" s="6" t="s">
        <v>667</v>
      </c>
      <c r="P212" s="18" t="s">
        <v>964</v>
      </c>
      <c r="Q212" s="9" t="s">
        <v>23</v>
      </c>
    </row>
    <row r="213">
      <c r="A213" s="16">
        <v>88.0</v>
      </c>
      <c r="B213" s="16" t="s">
        <v>965</v>
      </c>
      <c r="C213" s="16" t="s">
        <v>965</v>
      </c>
      <c r="D213" s="6" t="s">
        <v>966</v>
      </c>
      <c r="E213" s="6"/>
      <c r="F213" s="6" t="str">
        <f t="array" ref="F213">TEXTJOIN("",FALSE,IF(NOT(ISBLANK(C213)), IF(E:E=C213,C:C &amp; "; ",""), ""))</f>
        <v/>
      </c>
      <c r="G213" s="6" t="s">
        <v>967</v>
      </c>
      <c r="H213" s="12" t="s">
        <v>968</v>
      </c>
      <c r="I213" s="6" t="s">
        <v>969</v>
      </c>
      <c r="J213" s="6" t="s">
        <v>22</v>
      </c>
      <c r="K213" s="6" t="s">
        <v>584</v>
      </c>
      <c r="L213" s="6" t="s">
        <v>584</v>
      </c>
      <c r="M213" s="6"/>
      <c r="N213" s="46"/>
      <c r="O213" s="13"/>
      <c r="P213" s="13"/>
      <c r="Q213" s="9" t="s">
        <v>440</v>
      </c>
    </row>
    <row r="214">
      <c r="A214" s="35">
        <v>89.0</v>
      </c>
      <c r="B214" s="16" t="s">
        <v>970</v>
      </c>
      <c r="C214" s="16" t="s">
        <v>970</v>
      </c>
      <c r="D214" s="6"/>
      <c r="E214" s="6"/>
      <c r="F214" s="6" t="str">
        <f t="array" ref="F214">TEXTJOIN("",FALSE,IF(NOT(ISBLANK(C214)), IF(E:E=C214,C:C &amp; "; ",""), ""))</f>
        <v/>
      </c>
      <c r="G214" s="6" t="s">
        <v>971</v>
      </c>
      <c r="H214" s="12" t="s">
        <v>972</v>
      </c>
      <c r="I214" s="6" t="s">
        <v>672</v>
      </c>
      <c r="J214" s="6" t="s">
        <v>22</v>
      </c>
      <c r="K214" s="6" t="s">
        <v>584</v>
      </c>
      <c r="L214" s="6" t="s">
        <v>584</v>
      </c>
      <c r="M214" s="6"/>
      <c r="N214" s="46"/>
      <c r="O214" s="13"/>
      <c r="P214" s="13"/>
      <c r="Q214" s="9" t="s">
        <v>144</v>
      </c>
    </row>
    <row r="215">
      <c r="A215" s="16">
        <v>90.0</v>
      </c>
      <c r="B215" s="16" t="s">
        <v>973</v>
      </c>
      <c r="C215" s="16" t="s">
        <v>973</v>
      </c>
      <c r="D215" s="6"/>
      <c r="E215" s="6"/>
      <c r="F215" s="6" t="str">
        <f t="array" ref="F215">TEXTJOIN("",FALSE,IF(NOT(ISBLANK(C215)), IF(E:E=C215,C:C &amp; "; ",""), ""))</f>
        <v/>
      </c>
      <c r="G215" s="6" t="s">
        <v>974</v>
      </c>
      <c r="H215" s="12" t="s">
        <v>975</v>
      </c>
      <c r="I215" s="6"/>
      <c r="J215" s="6" t="s">
        <v>22</v>
      </c>
      <c r="K215" s="6"/>
      <c r="L215" s="6"/>
      <c r="M215" s="6"/>
      <c r="N215" s="46"/>
      <c r="O215" s="13"/>
      <c r="P215" s="13"/>
      <c r="Q215" s="9" t="s">
        <v>196</v>
      </c>
    </row>
    <row r="216">
      <c r="A216" s="35">
        <v>91.0</v>
      </c>
      <c r="B216" s="35" t="s">
        <v>976</v>
      </c>
      <c r="C216" s="35" t="s">
        <v>976</v>
      </c>
      <c r="D216" s="6"/>
      <c r="E216" s="6"/>
      <c r="F216" s="6" t="str">
        <f t="array" ref="F216">TEXTJOIN("",FALSE,IF(NOT(ISBLANK(C216)), IF(E:E=C216,C:C &amp; "; ",""), ""))</f>
        <v/>
      </c>
      <c r="G216" s="6" t="s">
        <v>977</v>
      </c>
      <c r="H216" s="12" t="s">
        <v>978</v>
      </c>
      <c r="I216" s="6" t="s">
        <v>648</v>
      </c>
      <c r="J216" s="6" t="s">
        <v>22</v>
      </c>
      <c r="K216" s="6"/>
      <c r="L216" s="6"/>
      <c r="M216" s="6"/>
      <c r="N216" s="46"/>
      <c r="O216" s="13"/>
      <c r="P216" s="13"/>
      <c r="Q216" s="9" t="s">
        <v>979</v>
      </c>
    </row>
    <row r="217">
      <c r="A217" s="16">
        <v>92.0</v>
      </c>
      <c r="B217" s="35" t="s">
        <v>980</v>
      </c>
      <c r="C217" s="35" t="s">
        <v>981</v>
      </c>
      <c r="D217" s="6"/>
      <c r="E217" s="6"/>
      <c r="F217" s="6" t="str">
        <f t="array" ref="F217">TEXTJOIN("",FALSE,IF(NOT(ISBLANK(C217)), IF(E:E=C217,C:C &amp; "; ",""), ""))</f>
        <v/>
      </c>
      <c r="G217" s="6" t="s">
        <v>982</v>
      </c>
      <c r="H217" s="12" t="s">
        <v>983</v>
      </c>
      <c r="I217" s="6" t="s">
        <v>496</v>
      </c>
      <c r="J217" s="6" t="s">
        <v>114</v>
      </c>
      <c r="K217" s="6"/>
      <c r="L217" s="6"/>
      <c r="M217" s="6"/>
      <c r="N217" s="46"/>
      <c r="O217" s="13"/>
      <c r="P217" s="13"/>
    </row>
    <row r="218">
      <c r="A218" s="35">
        <v>93.0</v>
      </c>
      <c r="B218" s="35" t="s">
        <v>984</v>
      </c>
      <c r="C218" s="35" t="s">
        <v>985</v>
      </c>
      <c r="D218" s="6"/>
      <c r="E218" s="6"/>
      <c r="F218" s="6" t="str">
        <f t="array" ref="F218">TEXTJOIN("",FALSE,IF(NOT(ISBLANK(C218)), IF(E:E=C218,C:C &amp; "; ",""), ""))</f>
        <v/>
      </c>
      <c r="G218" s="6" t="s">
        <v>986</v>
      </c>
      <c r="H218" s="12" t="s">
        <v>987</v>
      </c>
      <c r="I218" s="6"/>
      <c r="J218" s="6" t="s">
        <v>22</v>
      </c>
      <c r="K218" s="6"/>
      <c r="L218" s="6"/>
      <c r="M218" s="6"/>
      <c r="N218" s="46"/>
      <c r="O218" s="13"/>
      <c r="P218" s="13"/>
      <c r="Q218" s="9" t="s">
        <v>196</v>
      </c>
    </row>
    <row r="219">
      <c r="A219" s="16">
        <v>94.0</v>
      </c>
      <c r="B219" s="35" t="s">
        <v>984</v>
      </c>
      <c r="C219" s="35" t="s">
        <v>988</v>
      </c>
      <c r="D219" s="6"/>
      <c r="E219" s="6"/>
      <c r="F219" s="6" t="str">
        <f t="array" ref="F219">TEXTJOIN("",FALSE,IF(NOT(ISBLANK(C219)), IF(E:E=C219,C:C &amp; "; ",""), ""))</f>
        <v/>
      </c>
      <c r="G219" s="6" t="s">
        <v>989</v>
      </c>
      <c r="H219" s="12" t="s">
        <v>990</v>
      </c>
      <c r="I219" s="6"/>
      <c r="J219" s="6" t="s">
        <v>22</v>
      </c>
      <c r="K219" s="6"/>
      <c r="L219" s="6"/>
      <c r="M219" s="6"/>
      <c r="N219" s="46"/>
      <c r="O219" s="13"/>
      <c r="P219" s="13"/>
      <c r="Q219" s="9" t="s">
        <v>196</v>
      </c>
    </row>
    <row r="220">
      <c r="A220" s="35">
        <v>95.0</v>
      </c>
      <c r="B220" s="35" t="s">
        <v>991</v>
      </c>
      <c r="C220" s="6" t="s">
        <v>991</v>
      </c>
      <c r="D220" s="6"/>
      <c r="E220" s="6"/>
      <c r="F220" s="6" t="str">
        <f t="array" ref="F220">TEXTJOIN("",FALSE,IF(NOT(ISBLANK(C220)), IF(E:E=C220,C:C &amp; "; ",""), ""))</f>
        <v/>
      </c>
      <c r="G220" s="6" t="s">
        <v>992</v>
      </c>
      <c r="H220" s="12" t="s">
        <v>993</v>
      </c>
      <c r="I220" s="6"/>
      <c r="J220" s="6" t="s">
        <v>22</v>
      </c>
      <c r="K220" s="6"/>
      <c r="L220" s="6"/>
      <c r="M220" s="6"/>
      <c r="N220" s="46"/>
      <c r="O220" s="13"/>
      <c r="P220" s="13"/>
      <c r="Q220" s="9" t="s">
        <v>196</v>
      </c>
    </row>
    <row r="221">
      <c r="A221" s="35">
        <v>96.0</v>
      </c>
      <c r="B221" s="35" t="s">
        <v>994</v>
      </c>
      <c r="C221" s="35" t="s">
        <v>994</v>
      </c>
      <c r="D221" s="6"/>
      <c r="E221" s="6"/>
      <c r="F221" s="6" t="str">
        <f t="array" ref="F221">TEXTJOIN("",FALSE,IF(NOT(ISBLANK(C221)), IF(E:E=C221,C:C &amp; "; ",""), ""))</f>
        <v/>
      </c>
      <c r="G221" s="6" t="s">
        <v>995</v>
      </c>
      <c r="H221" s="12" t="s">
        <v>996</v>
      </c>
      <c r="I221" s="6" t="s">
        <v>997</v>
      </c>
      <c r="J221" s="6" t="s">
        <v>22</v>
      </c>
      <c r="K221" s="6"/>
      <c r="L221" s="6"/>
      <c r="M221" s="6"/>
      <c r="N221" s="46"/>
      <c r="O221" s="13"/>
      <c r="P221" s="13"/>
      <c r="Q221" s="9" t="s">
        <v>979</v>
      </c>
    </row>
    <row r="222">
      <c r="A222" s="35">
        <v>97.0</v>
      </c>
      <c r="B222" s="35" t="s">
        <v>998</v>
      </c>
      <c r="C222" s="35" t="s">
        <v>998</v>
      </c>
      <c r="D222" s="6"/>
      <c r="E222" s="6"/>
      <c r="F222" s="6" t="str">
        <f t="array" ref="F222">TEXTJOIN("",FALSE,IF(NOT(ISBLANK(C222)), IF(E:E=C222,C:C &amp; "; ",""), ""))</f>
        <v/>
      </c>
      <c r="G222" s="6" t="s">
        <v>999</v>
      </c>
      <c r="H222" s="12" t="s">
        <v>1000</v>
      </c>
      <c r="I222" s="6" t="s">
        <v>1001</v>
      </c>
      <c r="J222" s="6" t="s">
        <v>22</v>
      </c>
      <c r="K222" s="6"/>
      <c r="L222" s="6"/>
      <c r="M222" s="6"/>
      <c r="N222" s="46"/>
      <c r="O222" s="13"/>
      <c r="P222" s="13"/>
      <c r="Q222" s="9" t="s">
        <v>411</v>
      </c>
    </row>
    <row r="223">
      <c r="A223" s="35">
        <v>98.0</v>
      </c>
      <c r="B223" s="35" t="s">
        <v>1002</v>
      </c>
      <c r="C223" s="6" t="s">
        <v>1003</v>
      </c>
      <c r="D223" s="6"/>
      <c r="E223" s="6" t="s">
        <v>1004</v>
      </c>
      <c r="F223" s="6" t="str">
        <f t="array" ref="F223">TEXTJOIN("",FALSE,IF(NOT(ISBLANK(C223)), IF(E:E=C223,C:C &amp; "; ",""), ""))</f>
        <v/>
      </c>
      <c r="G223" s="6" t="s">
        <v>1005</v>
      </c>
      <c r="H223" s="12" t="s">
        <v>1006</v>
      </c>
      <c r="I223" s="6" t="s">
        <v>1007</v>
      </c>
      <c r="J223" s="6" t="s">
        <v>22</v>
      </c>
      <c r="K223" s="6"/>
      <c r="L223" s="6"/>
      <c r="M223" s="6"/>
      <c r="N223" s="46"/>
      <c r="O223" s="9" t="s">
        <v>1008</v>
      </c>
      <c r="P223" s="45" t="s">
        <v>1009</v>
      </c>
      <c r="Q223" s="9" t="s">
        <v>23</v>
      </c>
    </row>
    <row r="224">
      <c r="A224" s="35">
        <v>98.0</v>
      </c>
      <c r="B224" s="35" t="s">
        <v>1002</v>
      </c>
      <c r="C224" s="6" t="s">
        <v>1004</v>
      </c>
      <c r="D224" s="6"/>
      <c r="E224" s="6"/>
      <c r="F224" s="6" t="str">
        <f t="array" ref="F224">TEXTJOIN("",FALSE,IF(NOT(ISBLANK(C224)), IF(E:E=C224,C:C &amp; "; ",""), ""))</f>
        <v>Unweighted Set-Covering; </v>
      </c>
      <c r="G224" s="6" t="s">
        <v>1010</v>
      </c>
      <c r="H224" s="12" t="s">
        <v>1011</v>
      </c>
      <c r="I224" s="6" t="s">
        <v>1007</v>
      </c>
      <c r="J224" s="6" t="s">
        <v>22</v>
      </c>
      <c r="K224" s="6"/>
      <c r="L224" s="6"/>
      <c r="M224" s="6"/>
      <c r="N224" s="46"/>
      <c r="O224" s="9" t="s">
        <v>1008</v>
      </c>
      <c r="P224" s="45" t="s">
        <v>1009</v>
      </c>
      <c r="Q224" s="9" t="s">
        <v>23</v>
      </c>
    </row>
    <row r="225">
      <c r="A225" s="35">
        <v>99.0</v>
      </c>
      <c r="B225" s="35" t="s">
        <v>1012</v>
      </c>
      <c r="C225" s="35" t="s">
        <v>1012</v>
      </c>
      <c r="D225" s="6"/>
      <c r="E225" s="6"/>
      <c r="F225" s="6" t="str">
        <f t="array" ref="F225">TEXTJOIN("",FALSE,IF(NOT(ISBLANK(C225)), IF(E:E=C225,C:C &amp; "; ",""), ""))</f>
        <v/>
      </c>
      <c r="G225" s="6" t="s">
        <v>1013</v>
      </c>
      <c r="H225" s="33" t="s">
        <v>1014</v>
      </c>
      <c r="I225" s="6" t="s">
        <v>1015</v>
      </c>
      <c r="J225" s="6" t="s">
        <v>398</v>
      </c>
      <c r="K225" s="6" t="s">
        <v>399</v>
      </c>
      <c r="L225" s="6"/>
      <c r="M225" s="6"/>
      <c r="N225" s="46"/>
      <c r="O225" s="9" t="s">
        <v>1016</v>
      </c>
      <c r="P225" s="54" t="s">
        <v>1017</v>
      </c>
      <c r="Q225" s="9" t="s">
        <v>433</v>
      </c>
    </row>
    <row r="226">
      <c r="A226" s="35">
        <v>100.0</v>
      </c>
      <c r="B226" s="35" t="s">
        <v>1018</v>
      </c>
      <c r="C226" s="35" t="s">
        <v>1018</v>
      </c>
      <c r="D226" s="6"/>
      <c r="E226" s="6"/>
      <c r="F226" s="6" t="str">
        <f t="array" ref="F226">TEXTJOIN("",FALSE,IF(NOT(ISBLANK(C226)), IF(E:E=C226,C:C &amp; "; ",""), ""))</f>
        <v/>
      </c>
      <c r="G226" s="6" t="s">
        <v>1019</v>
      </c>
      <c r="H226" s="12" t="s">
        <v>1020</v>
      </c>
      <c r="I226" s="6" t="s">
        <v>347</v>
      </c>
      <c r="J226" s="6" t="s">
        <v>22</v>
      </c>
      <c r="K226" s="6" t="s">
        <v>823</v>
      </c>
      <c r="L226" s="6"/>
      <c r="M226" s="6"/>
      <c r="N226" s="46"/>
      <c r="O226" s="9"/>
      <c r="P226" s="54"/>
      <c r="Q226" s="9" t="s">
        <v>433</v>
      </c>
    </row>
    <row r="227">
      <c r="A227" s="35">
        <v>101.0</v>
      </c>
      <c r="B227" s="35" t="s">
        <v>1021</v>
      </c>
      <c r="C227" s="35" t="s">
        <v>1022</v>
      </c>
      <c r="D227" s="6"/>
      <c r="E227" s="6"/>
      <c r="F227" s="6" t="str">
        <f t="array" ref="F227">TEXTJOIN("",FALSE,IF(NOT(ISBLANK(C227)), IF(E:E=C227,C:C &amp; "; ",""), ""))</f>
        <v/>
      </c>
      <c r="G227" s="6" t="s">
        <v>1023</v>
      </c>
      <c r="H227" s="12" t="s">
        <v>1024</v>
      </c>
      <c r="I227" s="6" t="s">
        <v>1025</v>
      </c>
      <c r="J227" s="6" t="s">
        <v>22</v>
      </c>
      <c r="K227" s="6"/>
      <c r="L227" s="6"/>
      <c r="M227" s="6"/>
      <c r="N227" s="46"/>
      <c r="O227" s="9"/>
      <c r="P227" s="54"/>
      <c r="Q227" s="9" t="s">
        <v>23</v>
      </c>
      <c r="R227" s="32" t="s">
        <v>1026</v>
      </c>
      <c r="S227" s="32" t="s">
        <v>1027</v>
      </c>
    </row>
    <row r="228">
      <c r="A228" s="35">
        <v>102.0</v>
      </c>
      <c r="B228" s="35" t="s">
        <v>1028</v>
      </c>
      <c r="C228" s="35" t="s">
        <v>1028</v>
      </c>
      <c r="D228" s="6"/>
      <c r="E228" s="6"/>
      <c r="F228" s="6" t="str">
        <f t="array" ref="F228">TEXTJOIN("",FALSE,IF(NOT(ISBLANK(C228)), IF(E:E=C228,C:C &amp; "; ",""), ""))</f>
        <v/>
      </c>
      <c r="G228" s="6" t="s">
        <v>1029</v>
      </c>
      <c r="H228" s="12" t="s">
        <v>1030</v>
      </c>
      <c r="I228" s="6"/>
      <c r="J228" s="6" t="s">
        <v>22</v>
      </c>
      <c r="K228" s="6"/>
      <c r="L228" s="6"/>
      <c r="M228" s="6"/>
      <c r="N228" s="46"/>
      <c r="O228" s="9"/>
      <c r="P228" s="54"/>
      <c r="Q228" s="9" t="s">
        <v>196</v>
      </c>
    </row>
    <row r="229">
      <c r="A229" s="35">
        <v>103.1</v>
      </c>
      <c r="B229" s="35" t="s">
        <v>1031</v>
      </c>
      <c r="C229" s="35" t="s">
        <v>1031</v>
      </c>
      <c r="D229" s="6"/>
      <c r="E229" s="6"/>
      <c r="F229" s="6" t="str">
        <f t="array" ref="F229">TEXTJOIN("",FALSE,IF(NOT(ISBLANK(C229)), IF(E:E=C229,C:C &amp; "; ",""), ""))</f>
        <v/>
      </c>
      <c r="G229" s="6" t="s">
        <v>1032</v>
      </c>
      <c r="H229" s="12" t="s">
        <v>1033</v>
      </c>
      <c r="I229" s="6" t="s">
        <v>1034</v>
      </c>
      <c r="J229" s="6" t="s">
        <v>22</v>
      </c>
      <c r="K229" s="6"/>
      <c r="L229" s="6"/>
      <c r="M229" s="6"/>
      <c r="N229" s="46"/>
      <c r="O229" s="9"/>
      <c r="P229" s="46"/>
      <c r="Q229" s="9" t="s">
        <v>196</v>
      </c>
    </row>
    <row r="230">
      <c r="A230" s="35">
        <v>103.2</v>
      </c>
      <c r="B230" s="35" t="s">
        <v>1035</v>
      </c>
      <c r="C230" s="35" t="s">
        <v>1035</v>
      </c>
      <c r="D230" s="6"/>
      <c r="E230" s="6"/>
      <c r="F230" s="6" t="str">
        <f t="array" ref="F230">TEXTJOIN("",FALSE,IF(NOT(ISBLANK(C230)), IF(E:E=C230,C:C &amp; "; ",""), ""))</f>
        <v/>
      </c>
      <c r="G230" s="6" t="s">
        <v>1036</v>
      </c>
      <c r="H230" s="12" t="s">
        <v>1037</v>
      </c>
      <c r="I230" s="6" t="s">
        <v>1038</v>
      </c>
      <c r="J230" s="6" t="s">
        <v>22</v>
      </c>
      <c r="K230" s="6"/>
      <c r="L230" s="6"/>
      <c r="M230" s="6"/>
      <c r="N230" s="46"/>
      <c r="O230" s="9"/>
      <c r="P230" s="46"/>
      <c r="Q230" s="9" t="s">
        <v>490</v>
      </c>
    </row>
    <row r="231">
      <c r="A231" s="6">
        <v>104.0</v>
      </c>
      <c r="B231" s="35" t="s">
        <v>1039</v>
      </c>
      <c r="C231" s="35" t="s">
        <v>1039</v>
      </c>
      <c r="D231" s="6" t="s">
        <v>1040</v>
      </c>
      <c r="E231" s="6"/>
      <c r="F231" s="6" t="str">
        <f t="array" ref="F231">TEXTJOIN("",FALSE,IF(NOT(ISBLANK(C231)), IF(E:E=C231,C:C &amp; "; ",""), ""))</f>
        <v/>
      </c>
      <c r="G231" s="35" t="s">
        <v>1041</v>
      </c>
      <c r="H231" s="12" t="s">
        <v>1042</v>
      </c>
      <c r="I231" s="6" t="s">
        <v>1043</v>
      </c>
      <c r="J231" s="6" t="s">
        <v>22</v>
      </c>
      <c r="K231" s="13"/>
      <c r="L231" s="13"/>
      <c r="M231" s="13"/>
      <c r="N231" s="13"/>
      <c r="O231" s="13"/>
      <c r="P231" s="13"/>
      <c r="Q231" s="9" t="s">
        <v>433</v>
      </c>
    </row>
    <row r="232">
      <c r="A232" s="35">
        <v>105.0</v>
      </c>
      <c r="B232" s="35" t="s">
        <v>1044</v>
      </c>
      <c r="C232" s="35" t="s">
        <v>1045</v>
      </c>
      <c r="D232" s="6"/>
      <c r="E232" s="6"/>
      <c r="F232" s="6" t="str">
        <f t="array" ref="F232">TEXTJOIN("",FALSE,IF(NOT(ISBLANK(C232)), IF(E:E=C232,C:C &amp; "; ",""), ""))</f>
        <v/>
      </c>
      <c r="G232" s="6" t="s">
        <v>1046</v>
      </c>
      <c r="H232" s="12" t="s">
        <v>1047</v>
      </c>
      <c r="I232" s="6"/>
      <c r="J232" s="6" t="s">
        <v>22</v>
      </c>
      <c r="K232" s="13"/>
      <c r="L232" s="13"/>
      <c r="M232" s="13"/>
      <c r="N232" s="13"/>
      <c r="O232" s="13"/>
      <c r="P232" s="13"/>
      <c r="Q232" s="9" t="s">
        <v>196</v>
      </c>
    </row>
    <row r="233">
      <c r="A233" s="6">
        <v>106.0</v>
      </c>
      <c r="B233" s="35" t="s">
        <v>1044</v>
      </c>
      <c r="C233" s="35" t="s">
        <v>1048</v>
      </c>
      <c r="D233" s="6"/>
      <c r="E233" s="6"/>
      <c r="F233" s="6" t="str">
        <f t="array" ref="F233">TEXTJOIN("",FALSE,IF(NOT(ISBLANK(C233)), IF(E:E=C233,C:C &amp; "; ",""), ""))</f>
        <v/>
      </c>
      <c r="G233" s="6" t="s">
        <v>1049</v>
      </c>
      <c r="H233" s="12" t="s">
        <v>1047</v>
      </c>
      <c r="I233" s="6"/>
      <c r="J233" s="6" t="s">
        <v>22</v>
      </c>
      <c r="K233" s="13"/>
      <c r="L233" s="13"/>
      <c r="M233" s="13"/>
      <c r="N233" s="13"/>
      <c r="O233" s="13"/>
      <c r="P233" s="13"/>
      <c r="Q233" s="9" t="s">
        <v>196</v>
      </c>
    </row>
    <row r="234">
      <c r="A234" s="35">
        <v>107.0</v>
      </c>
      <c r="B234" s="35" t="s">
        <v>1050</v>
      </c>
      <c r="C234" s="35" t="s">
        <v>1050</v>
      </c>
      <c r="D234" s="6"/>
      <c r="E234" s="6"/>
      <c r="F234" s="6" t="str">
        <f t="array" ref="F234">TEXTJOIN("",FALSE,IF(NOT(ISBLANK(C234)), IF(E:E=C234,C:C &amp; "; ",""), ""))</f>
        <v/>
      </c>
      <c r="G234" s="6" t="s">
        <v>1051</v>
      </c>
      <c r="H234" s="12" t="s">
        <v>1052</v>
      </c>
      <c r="I234" s="6" t="s">
        <v>1053</v>
      </c>
      <c r="J234" s="6" t="s">
        <v>22</v>
      </c>
      <c r="K234" s="13"/>
      <c r="L234" s="13"/>
      <c r="M234" s="13"/>
      <c r="N234" s="13"/>
      <c r="O234" s="13"/>
      <c r="P234" s="13"/>
      <c r="Q234" s="9" t="s">
        <v>196</v>
      </c>
    </row>
    <row r="235">
      <c r="A235" s="6">
        <v>108.0</v>
      </c>
      <c r="B235" s="35" t="s">
        <v>1054</v>
      </c>
      <c r="C235" s="35" t="s">
        <v>1054</v>
      </c>
      <c r="D235" s="6"/>
      <c r="E235" s="6"/>
      <c r="F235" s="6" t="str">
        <f t="array" ref="F235">TEXTJOIN("",FALSE,IF(NOT(ISBLANK(C235)), IF(E:E=C235,C:C &amp; "; ",""), ""))</f>
        <v/>
      </c>
      <c r="G235" s="6" t="s">
        <v>1055</v>
      </c>
      <c r="H235" s="12" t="s">
        <v>1056</v>
      </c>
      <c r="I235" s="6"/>
      <c r="J235" s="6" t="s">
        <v>22</v>
      </c>
      <c r="K235" s="13"/>
      <c r="L235" s="13"/>
      <c r="M235" s="13"/>
      <c r="N235" s="13"/>
      <c r="O235" s="13"/>
      <c r="P235" s="13"/>
      <c r="Q235" s="9" t="s">
        <v>196</v>
      </c>
    </row>
    <row r="236">
      <c r="A236" s="6">
        <v>109.0</v>
      </c>
      <c r="B236" s="35" t="s">
        <v>1057</v>
      </c>
      <c r="C236" s="35" t="s">
        <v>1057</v>
      </c>
      <c r="D236" s="6"/>
      <c r="E236" s="6"/>
      <c r="F236" s="6" t="str">
        <f t="array" ref="F236">TEXTJOIN("",FALSE,IF(NOT(ISBLANK(C236)), IF(E:E=C236,C:C &amp; "; ",""), ""))</f>
        <v/>
      </c>
      <c r="G236" s="6" t="s">
        <v>1058</v>
      </c>
      <c r="H236" s="12" t="s">
        <v>1059</v>
      </c>
      <c r="I236" s="6"/>
      <c r="J236" s="6" t="s">
        <v>22</v>
      </c>
      <c r="K236" s="13"/>
      <c r="L236" s="13"/>
      <c r="M236" s="13"/>
      <c r="N236" s="13"/>
      <c r="O236" s="13"/>
      <c r="P236" s="13"/>
      <c r="Q236" s="9" t="s">
        <v>196</v>
      </c>
    </row>
    <row r="237">
      <c r="A237" s="6">
        <v>110.0</v>
      </c>
      <c r="B237" s="35" t="s">
        <v>1060</v>
      </c>
      <c r="C237" s="35" t="s">
        <v>1060</v>
      </c>
      <c r="D237" s="6"/>
      <c r="E237" s="6"/>
      <c r="F237" s="6" t="str">
        <f t="array" ref="F237">TEXTJOIN("",FALSE,IF(NOT(ISBLANK(C237)), IF(E:E=C237,C:C &amp; "; ",""), ""))</f>
        <v/>
      </c>
      <c r="G237" s="6" t="s">
        <v>1061</v>
      </c>
      <c r="H237" s="12" t="s">
        <v>1062</v>
      </c>
      <c r="I237" s="6" t="s">
        <v>1063</v>
      </c>
      <c r="J237" s="6" t="s">
        <v>22</v>
      </c>
      <c r="K237" s="13"/>
      <c r="L237" s="13"/>
      <c r="M237" s="13"/>
      <c r="N237" s="13"/>
      <c r="O237" s="13"/>
      <c r="P237" s="13"/>
      <c r="Q237" s="9" t="s">
        <v>490</v>
      </c>
    </row>
    <row r="238">
      <c r="A238" s="6">
        <v>111.0</v>
      </c>
      <c r="B238" s="35" t="s">
        <v>1064</v>
      </c>
      <c r="C238" s="6" t="s">
        <v>1064</v>
      </c>
      <c r="D238" s="6" t="s">
        <v>1065</v>
      </c>
      <c r="E238" s="6"/>
      <c r="F238" s="6" t="str">
        <f t="array" ref="F238">TEXTJOIN("",FALSE,IF(NOT(ISBLANK(C238)), IF(E:E=C238,C:C &amp; "; ",""), ""))</f>
        <v/>
      </c>
      <c r="G238" s="6" t="s">
        <v>1066</v>
      </c>
      <c r="H238" s="12" t="s">
        <v>1067</v>
      </c>
      <c r="I238" s="6"/>
      <c r="J238" s="13"/>
      <c r="K238" s="13"/>
      <c r="L238" s="13"/>
      <c r="M238" s="13"/>
      <c r="N238" s="13"/>
      <c r="O238" s="13"/>
      <c r="P238" s="13"/>
      <c r="Q238" s="9" t="s">
        <v>411</v>
      </c>
    </row>
    <row r="239">
      <c r="A239" s="6">
        <v>112.0</v>
      </c>
      <c r="B239" s="35" t="s">
        <v>1068</v>
      </c>
      <c r="C239" s="35" t="s">
        <v>1068</v>
      </c>
      <c r="D239" s="6"/>
      <c r="E239" s="6"/>
      <c r="F239" s="6" t="str">
        <f t="array" ref="F239">TEXTJOIN("",FALSE,IF(NOT(ISBLANK(C239)), IF(E:E=C239,C:C &amp; "; ",""), ""))</f>
        <v/>
      </c>
      <c r="G239" s="6" t="s">
        <v>1069</v>
      </c>
      <c r="H239" s="12" t="s">
        <v>1070</v>
      </c>
      <c r="I239" s="6"/>
      <c r="J239" s="6" t="s">
        <v>22</v>
      </c>
      <c r="K239" s="13"/>
      <c r="L239" s="13"/>
      <c r="M239" s="13"/>
      <c r="N239" s="13"/>
      <c r="O239" s="13"/>
      <c r="P239" s="13"/>
      <c r="Q239" s="9" t="s">
        <v>196</v>
      </c>
    </row>
    <row r="240">
      <c r="A240" s="6">
        <v>113.0</v>
      </c>
      <c r="B240" s="35" t="s">
        <v>1044</v>
      </c>
      <c r="C240" s="6" t="s">
        <v>1071</v>
      </c>
      <c r="D240" s="6" t="s">
        <v>1072</v>
      </c>
      <c r="E240" s="6"/>
      <c r="F240" s="6" t="str">
        <f t="array" ref="F240">TEXTJOIN("",FALSE,IF(NOT(ISBLANK(C240)), IF(E:E=C240,C:C &amp; "; ",""), ""))</f>
        <v/>
      </c>
      <c r="G240" s="6" t="s">
        <v>1073</v>
      </c>
      <c r="H240" s="12" t="s">
        <v>1074</v>
      </c>
      <c r="I240" s="6"/>
      <c r="J240" s="6" t="s">
        <v>22</v>
      </c>
      <c r="K240" s="13"/>
      <c r="L240" s="13"/>
      <c r="M240" s="13"/>
      <c r="N240" s="13"/>
      <c r="O240" s="13"/>
      <c r="P240" s="13"/>
      <c r="Q240" s="9" t="s">
        <v>411</v>
      </c>
    </row>
    <row r="241">
      <c r="A241" s="6">
        <v>114.0</v>
      </c>
      <c r="B241" s="35" t="s">
        <v>1075</v>
      </c>
      <c r="C241" s="35" t="s">
        <v>1075</v>
      </c>
      <c r="D241" s="6" t="s">
        <v>1076</v>
      </c>
      <c r="E241" s="6"/>
      <c r="F241" s="6" t="str">
        <f t="array" ref="F241">TEXTJOIN("",FALSE,IF(NOT(ISBLANK(C241)), IF(E:E=C241,C:C &amp; "; ",""), ""))</f>
        <v/>
      </c>
      <c r="G241" s="6" t="s">
        <v>1077</v>
      </c>
      <c r="H241" s="12" t="s">
        <v>1078</v>
      </c>
      <c r="I241" s="6"/>
      <c r="J241" s="6" t="s">
        <v>22</v>
      </c>
      <c r="K241" s="13"/>
      <c r="L241" s="13"/>
      <c r="M241" s="13"/>
      <c r="N241" s="13"/>
      <c r="O241" s="13"/>
      <c r="P241" s="13"/>
      <c r="Q241" s="9" t="s">
        <v>411</v>
      </c>
    </row>
    <row r="242">
      <c r="A242" s="6">
        <v>115.0</v>
      </c>
      <c r="B242" s="6" t="s">
        <v>1079</v>
      </c>
      <c r="C242" s="6" t="s">
        <v>1079</v>
      </c>
      <c r="D242" s="6"/>
      <c r="E242" s="6"/>
      <c r="F242" s="6" t="str">
        <f t="array" ref="F242">TEXTJOIN("",FALSE,IF(NOT(ISBLANK(C242)), IF(E:E=C242,C:C &amp; "; ",""), ""))</f>
        <v/>
      </c>
      <c r="G242" s="6" t="s">
        <v>1080</v>
      </c>
      <c r="H242" s="12" t="s">
        <v>1081</v>
      </c>
      <c r="I242" s="6"/>
      <c r="J242" s="6" t="s">
        <v>22</v>
      </c>
      <c r="K242" s="13"/>
      <c r="L242" s="13"/>
      <c r="M242" s="13"/>
      <c r="N242" s="13"/>
      <c r="O242" s="13"/>
      <c r="P242" s="13"/>
      <c r="Q242" s="9" t="s">
        <v>411</v>
      </c>
    </row>
    <row r="243">
      <c r="A243" s="6">
        <v>116.0</v>
      </c>
      <c r="B243" s="35" t="s">
        <v>1082</v>
      </c>
      <c r="C243" s="35" t="s">
        <v>1082</v>
      </c>
      <c r="D243" s="6"/>
      <c r="E243" s="6"/>
      <c r="F243" s="6" t="str">
        <f t="array" ref="F243">TEXTJOIN("",FALSE,IF(NOT(ISBLANK(C243)), IF(E:E=C243,C:C &amp; "; ",""), ""))</f>
        <v/>
      </c>
      <c r="G243" s="6" t="s">
        <v>1083</v>
      </c>
      <c r="H243" s="12" t="s">
        <v>1084</v>
      </c>
      <c r="I243" s="6" t="s">
        <v>1085</v>
      </c>
      <c r="J243" s="6" t="s">
        <v>22</v>
      </c>
      <c r="K243" s="13"/>
      <c r="L243" s="13"/>
      <c r="M243" s="13"/>
      <c r="N243" s="13"/>
      <c r="O243" s="13"/>
      <c r="P243" s="13"/>
      <c r="Q243" s="9" t="s">
        <v>433</v>
      </c>
    </row>
    <row r="244">
      <c r="A244" s="6">
        <v>117.0</v>
      </c>
      <c r="B244" s="35" t="s">
        <v>1086</v>
      </c>
      <c r="C244" s="9" t="s">
        <v>1086</v>
      </c>
      <c r="D244" s="6" t="s">
        <v>1087</v>
      </c>
      <c r="E244" s="6"/>
      <c r="F244" s="6" t="str">
        <f t="array" ref="F244">TEXTJOIN("",FALSE,IF(NOT(ISBLANK(C244)), IF(E:E=C244,C:C &amp; "; ",""), ""))</f>
        <v/>
      </c>
      <c r="G244" s="6" t="s">
        <v>1088</v>
      </c>
      <c r="H244" s="12" t="s">
        <v>1089</v>
      </c>
      <c r="I244" s="6" t="s">
        <v>347</v>
      </c>
      <c r="J244" s="6" t="s">
        <v>22</v>
      </c>
      <c r="K244" s="13"/>
      <c r="L244" s="13"/>
      <c r="M244" s="13"/>
      <c r="N244" s="13"/>
      <c r="O244" s="13"/>
      <c r="P244" s="13"/>
      <c r="Q244" s="9" t="s">
        <v>23</v>
      </c>
    </row>
    <row r="245">
      <c r="A245" s="6">
        <v>118.0</v>
      </c>
      <c r="B245" s="35" t="s">
        <v>1090</v>
      </c>
      <c r="C245" s="35" t="s">
        <v>1091</v>
      </c>
      <c r="D245" s="6"/>
      <c r="E245" s="6"/>
      <c r="F245" s="6" t="str">
        <f t="array" ref="F245">TEXTJOIN("",FALSE,IF(NOT(ISBLANK(C245)), IF(E:E=C245,C:C &amp; "; ",""), ""))</f>
        <v/>
      </c>
      <c r="G245" s="6" t="s">
        <v>1092</v>
      </c>
      <c r="H245" s="12" t="s">
        <v>1093</v>
      </c>
      <c r="I245" s="6" t="s">
        <v>1094</v>
      </c>
      <c r="J245" s="6" t="s">
        <v>22</v>
      </c>
      <c r="K245" s="6" t="s">
        <v>1095</v>
      </c>
      <c r="L245" s="6" t="s">
        <v>35</v>
      </c>
      <c r="M245" s="6" t="s">
        <v>1096</v>
      </c>
      <c r="N245" s="18" t="s">
        <v>1093</v>
      </c>
      <c r="O245" s="6" t="s">
        <v>716</v>
      </c>
      <c r="P245" s="18" t="s">
        <v>1093</v>
      </c>
      <c r="Q245" s="9" t="s">
        <v>23</v>
      </c>
    </row>
    <row r="246">
      <c r="A246" s="6">
        <v>118.0</v>
      </c>
      <c r="B246" s="6" t="s">
        <v>1090</v>
      </c>
      <c r="C246" s="6" t="s">
        <v>1097</v>
      </c>
      <c r="D246" s="13"/>
      <c r="E246" s="13"/>
      <c r="F246" s="6" t="str">
        <f t="array" ref="F246">TEXTJOIN("",FALSE,IF(NOT(ISBLANK(C246)), IF(E:E=C246,C:C &amp; "; ",""), ""))</f>
        <v/>
      </c>
      <c r="G246" s="6" t="s">
        <v>1098</v>
      </c>
      <c r="H246" s="12" t="s">
        <v>1099</v>
      </c>
      <c r="I246" s="6" t="s">
        <v>1100</v>
      </c>
      <c r="J246" s="6" t="s">
        <v>22</v>
      </c>
      <c r="K246" s="6" t="s">
        <v>1095</v>
      </c>
      <c r="L246" s="6" t="s">
        <v>34</v>
      </c>
      <c r="M246" s="13"/>
      <c r="N246" s="13"/>
      <c r="O246" s="13"/>
      <c r="P246" s="13"/>
      <c r="Q246" s="9" t="s">
        <v>23</v>
      </c>
    </row>
    <row r="247">
      <c r="A247" s="6">
        <v>119.0</v>
      </c>
      <c r="B247" s="35" t="s">
        <v>1101</v>
      </c>
      <c r="C247" s="35" t="s">
        <v>1101</v>
      </c>
      <c r="D247" s="6"/>
      <c r="E247" s="6"/>
      <c r="F247" s="6" t="str">
        <f t="array" ref="F247">TEXTJOIN("",FALSE,IF(NOT(ISBLANK(C247)), IF(E:E=C247,C:C &amp; "; ",""), ""))</f>
        <v/>
      </c>
      <c r="G247" s="6" t="s">
        <v>1102</v>
      </c>
      <c r="H247" s="12" t="s">
        <v>1103</v>
      </c>
      <c r="I247" s="6" t="s">
        <v>496</v>
      </c>
      <c r="J247" s="6" t="s">
        <v>114</v>
      </c>
      <c r="K247" s="6" t="s">
        <v>115</v>
      </c>
      <c r="L247" s="6" t="s">
        <v>34</v>
      </c>
      <c r="M247" s="6"/>
      <c r="N247" s="46"/>
      <c r="O247" s="13"/>
      <c r="P247" s="13"/>
      <c r="Q247" s="9" t="s">
        <v>144</v>
      </c>
    </row>
    <row r="248">
      <c r="A248" s="6">
        <v>120.0</v>
      </c>
      <c r="B248" s="6" t="s">
        <v>1104</v>
      </c>
      <c r="C248" s="58" t="s">
        <v>1105</v>
      </c>
      <c r="D248" s="6"/>
      <c r="E248" s="6"/>
      <c r="F248" s="6" t="str">
        <f t="array" ref="F248">TEXTJOIN("",FALSE,IF(NOT(ISBLANK(C248)), IF(E:E=C248,C:C &amp; "; ",""), ""))</f>
        <v>Integer Relation Among Integers; </v>
      </c>
      <c r="G248" s="6" t="s">
        <v>1106</v>
      </c>
      <c r="H248" s="12" t="s">
        <v>1107</v>
      </c>
      <c r="I248" s="6" t="s">
        <v>1108</v>
      </c>
      <c r="J248" s="6" t="s">
        <v>22</v>
      </c>
      <c r="K248" s="6" t="s">
        <v>35</v>
      </c>
      <c r="L248" s="6" t="s">
        <v>35</v>
      </c>
      <c r="M248" s="6" t="s">
        <v>834</v>
      </c>
      <c r="N248" s="45" t="s">
        <v>1109</v>
      </c>
      <c r="O248" s="13"/>
      <c r="P248" s="13"/>
      <c r="Q248" s="9" t="s">
        <v>144</v>
      </c>
    </row>
    <row r="249">
      <c r="A249" s="6">
        <v>120.0</v>
      </c>
      <c r="B249" s="6" t="s">
        <v>1104</v>
      </c>
      <c r="C249" s="6" t="s">
        <v>1110</v>
      </c>
      <c r="D249" s="6"/>
      <c r="E249" s="58" t="s">
        <v>1105</v>
      </c>
      <c r="F249" s="6" t="str">
        <f t="array" ref="F249">TEXTJOIN("",FALSE,IF(NOT(ISBLANK(C249)), IF(E:E=C249,C:C &amp; "; ",""), ""))</f>
        <v/>
      </c>
      <c r="G249" s="6" t="s">
        <v>1111</v>
      </c>
      <c r="H249" s="12" t="s">
        <v>1107</v>
      </c>
      <c r="I249" s="6" t="s">
        <v>1108</v>
      </c>
      <c r="J249" s="6" t="s">
        <v>22</v>
      </c>
      <c r="K249" s="6" t="s">
        <v>35</v>
      </c>
      <c r="L249" s="6" t="s">
        <v>35</v>
      </c>
      <c r="M249" s="13"/>
      <c r="N249" s="13"/>
      <c r="O249" s="13"/>
      <c r="P249" s="13"/>
      <c r="Q249" s="9" t="s">
        <v>144</v>
      </c>
    </row>
    <row r="250">
      <c r="A250" s="6">
        <v>122.0</v>
      </c>
      <c r="B250" s="59" t="s">
        <v>1112</v>
      </c>
      <c r="C250" s="6" t="s">
        <v>1113</v>
      </c>
      <c r="D250" s="6" t="s">
        <v>1114</v>
      </c>
      <c r="E250" s="46"/>
      <c r="F250" s="6" t="str">
        <f t="array" ref="F250">TEXTJOIN("",FALSE,IF(NOT(ISBLANK(C250)), IF(E:E=C250,C:C &amp; "; ",""), ""))</f>
        <v/>
      </c>
      <c r="G250" s="6" t="s">
        <v>1115</v>
      </c>
      <c r="H250" s="12" t="s">
        <v>1116</v>
      </c>
      <c r="I250" s="6" t="s">
        <v>1117</v>
      </c>
      <c r="J250" s="6" t="s">
        <v>654</v>
      </c>
      <c r="K250" s="6" t="s">
        <v>1118</v>
      </c>
      <c r="L250" s="6" t="s">
        <v>1119</v>
      </c>
      <c r="M250" s="13"/>
      <c r="N250" s="13"/>
      <c r="O250" s="13"/>
      <c r="P250" s="13"/>
      <c r="Q250" s="9" t="s">
        <v>23</v>
      </c>
    </row>
    <row r="251">
      <c r="A251" s="6">
        <v>123.0</v>
      </c>
      <c r="B251" s="6" t="s">
        <v>1120</v>
      </c>
      <c r="C251" s="6" t="s">
        <v>1121</v>
      </c>
      <c r="D251" s="6"/>
      <c r="E251" s="46"/>
      <c r="F251" s="6" t="str">
        <f t="array" ref="F251">TEXTJOIN("",FALSE,IF(NOT(ISBLANK(C251)), IF(E:E=C251,C:C &amp; "; ",""), ""))</f>
        <v/>
      </c>
      <c r="G251" s="6" t="s">
        <v>1122</v>
      </c>
      <c r="H251" s="12" t="s">
        <v>1123</v>
      </c>
      <c r="I251" s="6" t="s">
        <v>1124</v>
      </c>
      <c r="J251" s="6" t="s">
        <v>22</v>
      </c>
      <c r="K251" s="6"/>
      <c r="L251" s="6"/>
      <c r="M251" s="13"/>
      <c r="N251" s="13"/>
      <c r="O251" s="13"/>
      <c r="P251" s="13"/>
      <c r="Q251" s="9" t="s">
        <v>979</v>
      </c>
    </row>
    <row r="252">
      <c r="A252" s="35">
        <v>124.0</v>
      </c>
      <c r="B252" s="35" t="s">
        <v>1125</v>
      </c>
      <c r="C252" s="35" t="s">
        <v>1125</v>
      </c>
      <c r="D252" s="6"/>
      <c r="E252" s="6"/>
      <c r="F252" s="6" t="str">
        <f t="array" ref="F252">TEXTJOIN("",FALSE,IF(NOT(ISBLANK(C252)), IF(E:E=C252,C:C &amp; "; ",""), ""))</f>
        <v/>
      </c>
      <c r="G252" s="6" t="s">
        <v>1126</v>
      </c>
      <c r="H252" s="12" t="s">
        <v>1127</v>
      </c>
      <c r="I252" s="6" t="s">
        <v>1128</v>
      </c>
      <c r="J252" s="35" t="s">
        <v>22</v>
      </c>
      <c r="K252" s="35"/>
      <c r="L252" s="35"/>
      <c r="M252" s="35" t="s">
        <v>115</v>
      </c>
      <c r="N252" s="6" t="s">
        <v>1129</v>
      </c>
      <c r="O252" s="13"/>
      <c r="P252" s="13"/>
      <c r="Q252" s="9" t="s">
        <v>23</v>
      </c>
    </row>
    <row r="253">
      <c r="A253" s="35">
        <v>125.0</v>
      </c>
      <c r="B253" s="50" t="s">
        <v>1130</v>
      </c>
      <c r="C253" s="50" t="s">
        <v>1130</v>
      </c>
      <c r="D253" s="6"/>
      <c r="E253" s="6"/>
      <c r="F253" s="6" t="str">
        <f t="array" ref="F253">TEXTJOIN("",FALSE,IF(NOT(ISBLANK(C253)), IF(E:E=C253,C:C &amp; "; ",""), ""))</f>
        <v/>
      </c>
      <c r="G253" s="6" t="s">
        <v>1131</v>
      </c>
      <c r="H253" s="12" t="s">
        <v>1132</v>
      </c>
      <c r="I253" s="6" t="s">
        <v>1133</v>
      </c>
      <c r="J253" s="6" t="s">
        <v>22</v>
      </c>
      <c r="K253" s="6" t="s">
        <v>35</v>
      </c>
      <c r="L253" s="6" t="s">
        <v>35</v>
      </c>
      <c r="M253" s="6"/>
      <c r="N253" s="6"/>
      <c r="O253" s="13"/>
      <c r="P253" s="13"/>
      <c r="Q253" s="9" t="s">
        <v>23</v>
      </c>
    </row>
    <row r="254">
      <c r="A254" s="35">
        <v>126.0</v>
      </c>
      <c r="B254" s="35" t="s">
        <v>1134</v>
      </c>
      <c r="C254" s="35" t="s">
        <v>1134</v>
      </c>
      <c r="D254" s="6"/>
      <c r="E254" s="6"/>
      <c r="F254" s="6" t="str">
        <f t="array" ref="F254">TEXTJOIN("",FALSE,IF(NOT(ISBLANK(C254)), IF(E:E=C254,C:C &amp; "; ",""), ""))</f>
        <v/>
      </c>
      <c r="G254" s="6" t="s">
        <v>1135</v>
      </c>
      <c r="H254" s="12" t="s">
        <v>1132</v>
      </c>
      <c r="I254" s="6" t="s">
        <v>1133</v>
      </c>
      <c r="J254" s="6" t="s">
        <v>22</v>
      </c>
      <c r="K254" s="6" t="s">
        <v>35</v>
      </c>
      <c r="L254" s="6" t="s">
        <v>35</v>
      </c>
      <c r="M254" s="6"/>
      <c r="N254" s="6"/>
      <c r="O254" s="13"/>
      <c r="P254" s="13"/>
      <c r="Q254" s="9" t="s">
        <v>23</v>
      </c>
    </row>
    <row r="255">
      <c r="A255" s="35">
        <v>127.0</v>
      </c>
      <c r="B255" s="35" t="s">
        <v>1136</v>
      </c>
      <c r="C255" s="35" t="s">
        <v>1136</v>
      </c>
      <c r="D255" s="6"/>
      <c r="E255" s="6"/>
      <c r="F255" s="6" t="str">
        <f t="array" ref="F255">TEXTJOIN("",FALSE,IF(NOT(ISBLANK(C255)), IF(E:E=C255,C:C &amp; "; ",""), ""))</f>
        <v/>
      </c>
      <c r="G255" s="6" t="s">
        <v>1137</v>
      </c>
      <c r="H255" s="12" t="s">
        <v>1132</v>
      </c>
      <c r="I255" s="6" t="s">
        <v>1133</v>
      </c>
      <c r="J255" s="6" t="s">
        <v>22</v>
      </c>
      <c r="K255" s="6" t="s">
        <v>35</v>
      </c>
      <c r="L255" s="6" t="s">
        <v>35</v>
      </c>
      <c r="M255" s="6"/>
      <c r="N255" s="6"/>
      <c r="O255" s="13"/>
      <c r="P255" s="13"/>
      <c r="Q255" s="9" t="s">
        <v>23</v>
      </c>
    </row>
    <row r="256">
      <c r="A256" s="35">
        <v>128.0</v>
      </c>
      <c r="B256" s="35" t="s">
        <v>1138</v>
      </c>
      <c r="C256" s="35" t="s">
        <v>1138</v>
      </c>
      <c r="D256" s="6"/>
      <c r="E256" s="6"/>
      <c r="F256" s="6" t="str">
        <f t="array" ref="F256">TEXTJOIN("",FALSE,IF(NOT(ISBLANK(C256)), IF(E:E=C256,C:C &amp; "; ",""), ""))</f>
        <v/>
      </c>
      <c r="G256" s="6" t="s">
        <v>1139</v>
      </c>
      <c r="H256" s="12" t="s">
        <v>1132</v>
      </c>
      <c r="I256" s="6" t="s">
        <v>1133</v>
      </c>
      <c r="J256" s="6" t="s">
        <v>22</v>
      </c>
      <c r="K256" s="6" t="s">
        <v>35</v>
      </c>
      <c r="L256" s="6" t="s">
        <v>34</v>
      </c>
      <c r="M256" s="6"/>
      <c r="N256" s="6"/>
      <c r="O256" s="13"/>
      <c r="P256" s="13"/>
      <c r="Q256" s="9" t="s">
        <v>23</v>
      </c>
    </row>
    <row r="257">
      <c r="A257" s="35">
        <v>129.0</v>
      </c>
      <c r="B257" s="35" t="s">
        <v>1140</v>
      </c>
      <c r="C257" s="35" t="s">
        <v>1141</v>
      </c>
      <c r="D257" s="6"/>
      <c r="E257" s="6"/>
      <c r="F257" s="6" t="str">
        <f t="array" ref="F257">TEXTJOIN("",FALSE,IF(NOT(ISBLANK(C257)), IF(E:E=C257,C:C &amp; "; ",""), ""))</f>
        <v/>
      </c>
      <c r="G257" s="6" t="s">
        <v>1142</v>
      </c>
      <c r="H257" s="12" t="s">
        <v>1143</v>
      </c>
      <c r="I257" s="6" t="s">
        <v>347</v>
      </c>
      <c r="J257" s="6" t="s">
        <v>22</v>
      </c>
      <c r="K257" s="6" t="s">
        <v>1095</v>
      </c>
      <c r="L257" s="6" t="s">
        <v>115</v>
      </c>
      <c r="M257" s="6" t="s">
        <v>1144</v>
      </c>
      <c r="N257" s="19" t="s">
        <v>1143</v>
      </c>
      <c r="O257" s="6" t="s">
        <v>70</v>
      </c>
      <c r="P257" s="6" t="s">
        <v>1145</v>
      </c>
      <c r="Q257" s="9" t="s">
        <v>23</v>
      </c>
    </row>
    <row r="258">
      <c r="A258" s="35">
        <v>130.0</v>
      </c>
      <c r="B258" s="35" t="s">
        <v>1146</v>
      </c>
      <c r="C258" s="35" t="s">
        <v>1146</v>
      </c>
      <c r="D258" s="6"/>
      <c r="E258" s="6"/>
      <c r="F258" s="6" t="str">
        <f t="array" ref="F258">TEXTJOIN("",FALSE,IF(NOT(ISBLANK(C258)), IF(E:E=C258,C:C &amp; "; ",""), ""))</f>
        <v/>
      </c>
      <c r="G258" s="6" t="s">
        <v>1147</v>
      </c>
      <c r="H258" s="12" t="s">
        <v>1148</v>
      </c>
      <c r="I258" s="6" t="s">
        <v>1149</v>
      </c>
      <c r="J258" s="6" t="s">
        <v>22</v>
      </c>
      <c r="K258" s="6" t="s">
        <v>35</v>
      </c>
      <c r="L258" s="6"/>
      <c r="M258" s="6" t="s">
        <v>1150</v>
      </c>
      <c r="N258" s="6" t="s">
        <v>1129</v>
      </c>
      <c r="O258" s="13"/>
      <c r="P258" s="13"/>
      <c r="Q258" s="9" t="s">
        <v>23</v>
      </c>
    </row>
    <row r="259">
      <c r="A259" s="35">
        <v>131.0</v>
      </c>
      <c r="B259" s="35" t="s">
        <v>1151</v>
      </c>
      <c r="C259" s="6" t="s">
        <v>1151</v>
      </c>
      <c r="D259" s="6"/>
      <c r="E259" s="6"/>
      <c r="F259" s="6" t="str">
        <f t="array" ref="F259">TEXTJOIN("",FALSE,IF(NOT(ISBLANK(C259)), IF(E:E=C259,C:C &amp; "; ",""), ""))</f>
        <v/>
      </c>
      <c r="G259" s="6" t="s">
        <v>1152</v>
      </c>
      <c r="H259" s="12" t="s">
        <v>1153</v>
      </c>
      <c r="I259" s="6" t="s">
        <v>672</v>
      </c>
      <c r="J259" s="6" t="s">
        <v>22</v>
      </c>
      <c r="K259" s="6"/>
      <c r="L259" s="6"/>
      <c r="M259" s="6" t="s">
        <v>1154</v>
      </c>
      <c r="N259" s="18" t="s">
        <v>1153</v>
      </c>
      <c r="O259" s="13"/>
      <c r="P259" s="13"/>
      <c r="Q259" s="9" t="s">
        <v>23</v>
      </c>
      <c r="R259" s="32" t="s">
        <v>1155</v>
      </c>
      <c r="S259" s="9" t="s">
        <v>1156</v>
      </c>
    </row>
    <row r="260">
      <c r="A260" s="35">
        <v>132.0</v>
      </c>
      <c r="B260" s="35" t="s">
        <v>1157</v>
      </c>
      <c r="C260" s="6" t="s">
        <v>1158</v>
      </c>
      <c r="D260" s="6"/>
      <c r="E260" s="6"/>
      <c r="F260" s="6" t="str">
        <f t="array" ref="F260">TEXTJOIN("",FALSE,IF(NOT(ISBLANK(C260)), IF(E:E=C260,C:C &amp; "; ",""), ""))</f>
        <v/>
      </c>
      <c r="G260" s="6" t="s">
        <v>1159</v>
      </c>
      <c r="H260" s="12" t="s">
        <v>1160</v>
      </c>
      <c r="I260" s="6" t="s">
        <v>1161</v>
      </c>
      <c r="J260" s="6" t="s">
        <v>114</v>
      </c>
      <c r="K260" s="6"/>
      <c r="L260" s="6"/>
      <c r="M260" s="60" t="s">
        <v>789</v>
      </c>
      <c r="N260" s="18" t="s">
        <v>1162</v>
      </c>
      <c r="O260" s="13"/>
      <c r="P260" s="13"/>
      <c r="Q260" s="9" t="s">
        <v>23</v>
      </c>
    </row>
    <row r="261">
      <c r="A261" s="35">
        <v>132.0</v>
      </c>
      <c r="B261" s="35" t="s">
        <v>1157</v>
      </c>
      <c r="C261" s="6" t="s">
        <v>1163</v>
      </c>
      <c r="D261" s="6"/>
      <c r="E261" s="6"/>
      <c r="F261" s="6" t="str">
        <f t="array" ref="F261">TEXTJOIN("",FALSE,IF(NOT(ISBLANK(C261)), IF(E:E=C261,C:C &amp; "; ",""), ""))</f>
        <v/>
      </c>
      <c r="G261" s="6" t="s">
        <v>1164</v>
      </c>
      <c r="H261" s="12" t="s">
        <v>1160</v>
      </c>
      <c r="I261" s="6" t="s">
        <v>1161</v>
      </c>
      <c r="J261" s="6" t="s">
        <v>114</v>
      </c>
      <c r="K261" s="6"/>
      <c r="L261" s="6"/>
      <c r="M261" s="60" t="s">
        <v>789</v>
      </c>
      <c r="N261" s="18" t="s">
        <v>1162</v>
      </c>
      <c r="O261" s="13"/>
      <c r="P261" s="13"/>
      <c r="Q261" s="9" t="s">
        <v>23</v>
      </c>
    </row>
    <row r="262">
      <c r="A262" s="35">
        <v>132.0</v>
      </c>
      <c r="B262" s="35" t="s">
        <v>1157</v>
      </c>
      <c r="C262" s="6" t="s">
        <v>1165</v>
      </c>
      <c r="D262" s="6"/>
      <c r="E262" s="6"/>
      <c r="F262" s="6" t="str">
        <f t="array" ref="F262">TEXTJOIN("",FALSE,IF(NOT(ISBLANK(C262)), IF(E:E=C262,C:C &amp; "; ",""), ""))</f>
        <v/>
      </c>
      <c r="G262" s="6" t="s">
        <v>1166</v>
      </c>
      <c r="H262" s="12" t="s">
        <v>1160</v>
      </c>
      <c r="I262" s="6" t="s">
        <v>1167</v>
      </c>
      <c r="J262" s="6" t="s">
        <v>114</v>
      </c>
      <c r="K262" s="6"/>
      <c r="L262" s="6"/>
      <c r="M262" s="6"/>
      <c r="N262" s="6"/>
      <c r="O262" s="13"/>
      <c r="P262" s="13"/>
      <c r="Q262" s="9" t="s">
        <v>23</v>
      </c>
    </row>
    <row r="263">
      <c r="A263" s="35">
        <v>133.0</v>
      </c>
      <c r="B263" s="35" t="s">
        <v>1168</v>
      </c>
      <c r="C263" s="6" t="s">
        <v>1169</v>
      </c>
      <c r="D263" s="6"/>
      <c r="E263" s="6"/>
      <c r="F263" s="6" t="str">
        <f t="array" ref="F263">TEXTJOIN("",FALSE,IF(NOT(ISBLANK(C263)), IF(E:E=C263,C:C &amp; "; ",""), ""))</f>
        <v/>
      </c>
      <c r="G263" s="6" t="s">
        <v>1170</v>
      </c>
      <c r="H263" s="12" t="s">
        <v>1171</v>
      </c>
      <c r="I263" s="6" t="s">
        <v>1172</v>
      </c>
      <c r="J263" s="6" t="s">
        <v>22</v>
      </c>
      <c r="K263" s="6"/>
      <c r="L263" s="6"/>
      <c r="M263" s="61" t="s">
        <v>1173</v>
      </c>
      <c r="N263" s="12" t="s">
        <v>1171</v>
      </c>
      <c r="O263" s="13"/>
      <c r="P263" s="13"/>
      <c r="Q263" s="9" t="s">
        <v>23</v>
      </c>
    </row>
    <row r="264">
      <c r="A264" s="35">
        <v>133.0</v>
      </c>
      <c r="B264" s="35" t="s">
        <v>1168</v>
      </c>
      <c r="C264" s="6" t="s">
        <v>1174</v>
      </c>
      <c r="D264" s="6"/>
      <c r="E264" s="6"/>
      <c r="F264" s="6" t="str">
        <f t="array" ref="F264">TEXTJOIN("",FALSE,IF(NOT(ISBLANK(C264)), IF(E:E=C264,C:C &amp; "; ",""), ""))</f>
        <v/>
      </c>
      <c r="G264" s="6" t="s">
        <v>1175</v>
      </c>
      <c r="H264" s="12" t="s">
        <v>1171</v>
      </c>
      <c r="I264" s="6" t="s">
        <v>1172</v>
      </c>
      <c r="J264" s="6" t="s">
        <v>22</v>
      </c>
      <c r="K264" s="6"/>
      <c r="L264" s="6"/>
      <c r="M264" s="61" t="s">
        <v>1173</v>
      </c>
      <c r="N264" s="12" t="s">
        <v>1171</v>
      </c>
      <c r="O264" s="13"/>
      <c r="P264" s="13"/>
      <c r="Q264" s="9" t="s">
        <v>23</v>
      </c>
    </row>
    <row r="265">
      <c r="A265" s="35">
        <v>133.0</v>
      </c>
      <c r="B265" s="35" t="s">
        <v>1168</v>
      </c>
      <c r="C265" s="6" t="s">
        <v>1176</v>
      </c>
      <c r="D265" s="6"/>
      <c r="E265" s="6"/>
      <c r="F265" s="6" t="str">
        <f t="array" ref="F265">TEXTJOIN("",FALSE,IF(NOT(ISBLANK(C265)), IF(E:E=C265,C:C &amp; "; ",""), ""))</f>
        <v/>
      </c>
      <c r="G265" s="6" t="s">
        <v>1177</v>
      </c>
      <c r="H265" s="12" t="s">
        <v>1171</v>
      </c>
      <c r="I265" s="6" t="s">
        <v>1172</v>
      </c>
      <c r="J265" s="6" t="s">
        <v>22</v>
      </c>
      <c r="K265" s="6"/>
      <c r="L265" s="6"/>
      <c r="M265" s="61" t="s">
        <v>789</v>
      </c>
      <c r="N265" s="12" t="s">
        <v>1171</v>
      </c>
      <c r="O265" s="13"/>
      <c r="P265" s="13"/>
      <c r="Q265" s="9" t="s">
        <v>23</v>
      </c>
    </row>
    <row r="266">
      <c r="A266" s="35">
        <v>134.0</v>
      </c>
      <c r="B266" s="35" t="s">
        <v>1178</v>
      </c>
      <c r="C266" s="35" t="s">
        <v>1178</v>
      </c>
      <c r="D266" s="6"/>
      <c r="E266" s="6"/>
      <c r="F266" s="6" t="str">
        <f t="array" ref="F266">TEXTJOIN("",FALSE,IF(NOT(ISBLANK(C266)), IF(E:E=C266,C:C &amp; "; ",""), ""))</f>
        <v/>
      </c>
      <c r="G266" s="6" t="s">
        <v>1179</v>
      </c>
      <c r="H266" s="12" t="s">
        <v>1180</v>
      </c>
      <c r="I266" s="6" t="s">
        <v>1181</v>
      </c>
      <c r="J266" s="6" t="s">
        <v>22</v>
      </c>
      <c r="K266" s="6"/>
      <c r="L266" s="6"/>
      <c r="M266" s="6" t="s">
        <v>115</v>
      </c>
      <c r="N266" s="6" t="s">
        <v>1182</v>
      </c>
      <c r="O266" s="13"/>
      <c r="P266" s="13"/>
      <c r="Q266" s="9" t="s">
        <v>23</v>
      </c>
    </row>
    <row r="267">
      <c r="A267" s="35">
        <v>135.0</v>
      </c>
      <c r="B267" s="35" t="s">
        <v>1183</v>
      </c>
      <c r="C267" s="6" t="s">
        <v>1183</v>
      </c>
      <c r="D267" s="6"/>
      <c r="E267" s="6"/>
      <c r="F267" s="6" t="str">
        <f t="array" ref="F267">TEXTJOIN("",FALSE,IF(NOT(ISBLANK(C267)), IF(E:E=C267,C:C &amp; "; ",""), ""))</f>
        <v/>
      </c>
      <c r="G267" s="6" t="s">
        <v>1184</v>
      </c>
      <c r="H267" s="12" t="s">
        <v>1185</v>
      </c>
      <c r="I267" s="6" t="s">
        <v>1186</v>
      </c>
      <c r="J267" s="6" t="s">
        <v>22</v>
      </c>
      <c r="K267" s="6"/>
      <c r="L267" s="6"/>
      <c r="M267" s="6"/>
      <c r="N267" s="6"/>
      <c r="O267" s="13"/>
      <c r="P267" s="13"/>
      <c r="Q267" s="9" t="s">
        <v>23</v>
      </c>
    </row>
    <row r="268">
      <c r="A268" s="35">
        <v>136.0</v>
      </c>
      <c r="B268" s="35" t="s">
        <v>1187</v>
      </c>
      <c r="C268" s="35" t="s">
        <v>1187</v>
      </c>
      <c r="D268" s="6" t="s">
        <v>1188</v>
      </c>
      <c r="E268" s="6"/>
      <c r="F268" s="6" t="str">
        <f t="array" ref="F268">TEXTJOIN("",FALSE,IF(NOT(ISBLANK(C268)), IF(E:E=C268,C:C &amp; "; ",""), ""))</f>
        <v/>
      </c>
      <c r="G268" s="6" t="s">
        <v>1189</v>
      </c>
      <c r="H268" s="12" t="s">
        <v>1190</v>
      </c>
      <c r="I268" s="6" t="s">
        <v>1191</v>
      </c>
      <c r="J268" s="6" t="s">
        <v>22</v>
      </c>
      <c r="K268" s="6"/>
      <c r="L268" s="6"/>
      <c r="M268" s="6" t="s">
        <v>35</v>
      </c>
      <c r="N268" s="18" t="s">
        <v>1192</v>
      </c>
      <c r="O268" s="13"/>
      <c r="P268" s="13"/>
      <c r="Q268" s="9" t="s">
        <v>979</v>
      </c>
    </row>
    <row r="269">
      <c r="A269" s="35">
        <v>137.0</v>
      </c>
      <c r="B269" s="35" t="s">
        <v>1193</v>
      </c>
      <c r="C269" s="35" t="s">
        <v>1194</v>
      </c>
      <c r="D269" s="6"/>
      <c r="E269" s="6"/>
      <c r="F269" s="6" t="str">
        <f t="array" ref="F269">TEXTJOIN("",FALSE,IF(NOT(ISBLANK(C269)), IF(E:E=C269,C:C &amp; "; ",""), ""))</f>
        <v/>
      </c>
      <c r="G269" s="6" t="s">
        <v>1195</v>
      </c>
      <c r="H269" s="12" t="s">
        <v>1196</v>
      </c>
      <c r="I269" s="6"/>
      <c r="J269" s="6" t="s">
        <v>22</v>
      </c>
      <c r="K269" s="6"/>
      <c r="L269" s="6"/>
      <c r="M269" s="6"/>
      <c r="N269" s="6"/>
      <c r="O269" s="13"/>
      <c r="P269" s="13"/>
      <c r="Q269" s="9" t="s">
        <v>144</v>
      </c>
    </row>
    <row r="270">
      <c r="A270" s="35">
        <v>137.0</v>
      </c>
      <c r="B270" s="35" t="s">
        <v>1193</v>
      </c>
      <c r="C270" s="35" t="s">
        <v>1197</v>
      </c>
      <c r="D270" s="6"/>
      <c r="E270" s="6"/>
      <c r="F270" s="6" t="str">
        <f t="array" ref="F270">TEXTJOIN("",FALSE,IF(NOT(ISBLANK(C270)), IF(E:E=C270,C:C &amp; "; ",""), ""))</f>
        <v/>
      </c>
      <c r="G270" s="6" t="s">
        <v>1198</v>
      </c>
      <c r="H270" s="12" t="s">
        <v>1196</v>
      </c>
      <c r="I270" s="6"/>
      <c r="J270" s="6" t="s">
        <v>22</v>
      </c>
      <c r="K270" s="6"/>
      <c r="L270" s="6"/>
      <c r="M270" s="6"/>
      <c r="N270" s="6"/>
      <c r="O270" s="13"/>
      <c r="P270" s="13"/>
      <c r="Q270" s="9" t="s">
        <v>144</v>
      </c>
    </row>
    <row r="271">
      <c r="A271" s="35">
        <v>138.0</v>
      </c>
      <c r="B271" s="35" t="s">
        <v>1199</v>
      </c>
      <c r="C271" s="6" t="s">
        <v>1200</v>
      </c>
      <c r="D271" s="6"/>
      <c r="E271" s="6"/>
      <c r="F271" s="6" t="str">
        <f t="array" ref="F271">TEXTJOIN("",FALSE,IF(NOT(ISBLANK(C271)), IF(E:E=C271,C:C &amp; "; ",""), ""))</f>
        <v/>
      </c>
      <c r="G271" s="6" t="s">
        <v>1201</v>
      </c>
      <c r="H271" s="12" t="s">
        <v>1202</v>
      </c>
      <c r="I271" s="6" t="s">
        <v>1203</v>
      </c>
      <c r="J271" s="6" t="s">
        <v>22</v>
      </c>
      <c r="K271" s="6"/>
      <c r="L271" s="6"/>
      <c r="M271" s="6"/>
      <c r="N271" s="6"/>
      <c r="O271" s="13"/>
      <c r="P271" s="13"/>
      <c r="Q271" s="9" t="s">
        <v>485</v>
      </c>
    </row>
    <row r="272">
      <c r="A272" s="35">
        <v>138.0</v>
      </c>
      <c r="B272" s="35" t="s">
        <v>1199</v>
      </c>
      <c r="C272" s="6" t="s">
        <v>1204</v>
      </c>
      <c r="D272" s="6"/>
      <c r="E272" s="6"/>
      <c r="F272" s="6" t="str">
        <f t="array" ref="F272">TEXTJOIN("",FALSE,IF(NOT(ISBLANK(C272)), IF(E:E=C272,C:C &amp; "; ",""), ""))</f>
        <v/>
      </c>
      <c r="G272" s="6" t="s">
        <v>1205</v>
      </c>
      <c r="H272" s="12" t="s">
        <v>1202</v>
      </c>
      <c r="I272" s="6" t="s">
        <v>1203</v>
      </c>
      <c r="J272" s="6" t="s">
        <v>22</v>
      </c>
      <c r="K272" s="6"/>
      <c r="L272" s="6"/>
      <c r="M272" s="6"/>
      <c r="N272" s="6"/>
      <c r="O272" s="13"/>
      <c r="P272" s="13"/>
      <c r="Q272" s="9" t="s">
        <v>485</v>
      </c>
    </row>
    <row r="273">
      <c r="A273" s="35">
        <v>139.0</v>
      </c>
      <c r="B273" s="35" t="s">
        <v>1206</v>
      </c>
      <c r="C273" s="35" t="s">
        <v>1206</v>
      </c>
      <c r="D273" s="6"/>
      <c r="E273" s="6"/>
      <c r="F273" s="6" t="str">
        <f t="array" ref="F273">TEXTJOIN("",FALSE,IF(NOT(ISBLANK(C273)), IF(E:E=C273,C:C &amp; "; ",""), ""))</f>
        <v/>
      </c>
      <c r="G273" s="62" t="s">
        <v>1207</v>
      </c>
      <c r="H273" s="12" t="s">
        <v>1208</v>
      </c>
      <c r="I273" s="6" t="s">
        <v>1209</v>
      </c>
      <c r="J273" s="6" t="s">
        <v>22</v>
      </c>
      <c r="K273" s="6"/>
      <c r="L273" s="6"/>
      <c r="M273" s="6"/>
      <c r="N273" s="6"/>
      <c r="O273" s="13"/>
      <c r="P273" s="13"/>
      <c r="Q273" s="9" t="s">
        <v>485</v>
      </c>
    </row>
    <row r="274">
      <c r="A274" s="35">
        <v>140.0</v>
      </c>
      <c r="B274" s="35" t="s">
        <v>1210</v>
      </c>
      <c r="C274" s="35" t="s">
        <v>1210</v>
      </c>
      <c r="D274" s="6"/>
      <c r="E274" s="6"/>
      <c r="F274" s="6" t="str">
        <f t="array" ref="F274">TEXTJOIN("",FALSE,IF(NOT(ISBLANK(C274)), IF(E:E=C274,C:C &amp; "; ",""), ""))</f>
        <v/>
      </c>
      <c r="G274" s="6" t="s">
        <v>1211</v>
      </c>
      <c r="H274" s="12" t="s">
        <v>1212</v>
      </c>
      <c r="I274" s="6" t="s">
        <v>1213</v>
      </c>
      <c r="J274" s="6" t="s">
        <v>626</v>
      </c>
      <c r="K274" s="6"/>
      <c r="L274" s="6"/>
      <c r="M274" s="6"/>
      <c r="N274" s="6"/>
      <c r="O274" s="13"/>
      <c r="P274" s="13"/>
      <c r="Q274" s="9" t="s">
        <v>144</v>
      </c>
    </row>
    <row r="275">
      <c r="A275" s="35">
        <v>141.0</v>
      </c>
      <c r="B275" s="35" t="s">
        <v>1214</v>
      </c>
      <c r="C275" s="35" t="s">
        <v>1214</v>
      </c>
      <c r="D275" s="6"/>
      <c r="E275" s="6"/>
      <c r="F275" s="6" t="str">
        <f t="array" ref="F275">TEXTJOIN("",FALSE,IF(NOT(ISBLANK(C275)), IF(E:E=C275,C:C &amp; "; ",""), ""))</f>
        <v/>
      </c>
      <c r="G275" s="6" t="s">
        <v>1215</v>
      </c>
      <c r="H275" s="12" t="s">
        <v>1216</v>
      </c>
      <c r="I275" s="6" t="s">
        <v>1217</v>
      </c>
      <c r="J275" s="6" t="s">
        <v>22</v>
      </c>
      <c r="K275" s="6"/>
      <c r="L275" s="6"/>
      <c r="M275" s="6"/>
      <c r="N275" s="6"/>
      <c r="O275" s="13"/>
      <c r="P275" s="13"/>
      <c r="Q275" s="9" t="s">
        <v>485</v>
      </c>
    </row>
    <row r="276">
      <c r="A276" s="35">
        <v>142.0</v>
      </c>
      <c r="B276" s="35" t="s">
        <v>1218</v>
      </c>
      <c r="C276" s="35" t="s">
        <v>1218</v>
      </c>
      <c r="D276" s="6"/>
      <c r="E276" s="6"/>
      <c r="F276" s="6" t="str">
        <f t="array" ref="F276">TEXTJOIN("",FALSE,IF(NOT(ISBLANK(C276)), IF(E:E=C276,C:C &amp; "; ",""), ""))</f>
        <v/>
      </c>
      <c r="G276" s="6" t="s">
        <v>1219</v>
      </c>
      <c r="H276" s="12" t="s">
        <v>1220</v>
      </c>
      <c r="I276" s="6" t="s">
        <v>1221</v>
      </c>
      <c r="J276" s="6" t="s">
        <v>22</v>
      </c>
      <c r="K276" s="6"/>
      <c r="L276" s="6"/>
      <c r="M276" s="6"/>
      <c r="N276" s="6"/>
      <c r="O276" s="13"/>
      <c r="P276" s="13"/>
      <c r="Q276" s="9" t="s">
        <v>144</v>
      </c>
    </row>
    <row r="277">
      <c r="A277" s="35">
        <v>143.0</v>
      </c>
      <c r="B277" s="35" t="s">
        <v>1222</v>
      </c>
      <c r="C277" s="35" t="s">
        <v>1222</v>
      </c>
      <c r="D277" s="6" t="s">
        <v>1223</v>
      </c>
      <c r="E277" s="6"/>
      <c r="F277" s="6" t="str">
        <f t="array" ref="F277">TEXTJOIN("",FALSE,IF(NOT(ISBLANK(C277)), IF(E:E=C277,C:C &amp; "; ",""), ""))</f>
        <v/>
      </c>
      <c r="G277" s="6" t="s">
        <v>1224</v>
      </c>
      <c r="H277" s="12" t="s">
        <v>1225</v>
      </c>
      <c r="I277" s="6" t="s">
        <v>1226</v>
      </c>
      <c r="J277" s="6" t="s">
        <v>22</v>
      </c>
      <c r="K277" s="6"/>
      <c r="L277" s="6"/>
      <c r="M277" s="6"/>
      <c r="N277" s="6"/>
      <c r="O277" s="13"/>
      <c r="P277" s="13"/>
      <c r="Q277" s="9" t="s">
        <v>979</v>
      </c>
    </row>
    <row r="278">
      <c r="A278" s="35">
        <v>145.0</v>
      </c>
      <c r="B278" s="35" t="s">
        <v>1227</v>
      </c>
      <c r="C278" s="35" t="s">
        <v>1228</v>
      </c>
      <c r="D278" s="6"/>
      <c r="E278" s="6"/>
      <c r="F278" s="6" t="str">
        <f t="array" ref="F278">TEXTJOIN("",FALSE,IF(NOT(ISBLANK(C278)), IF(E:E=C278,C:C &amp; "; ",""), ""))</f>
        <v/>
      </c>
      <c r="G278" s="6" t="s">
        <v>1229</v>
      </c>
      <c r="H278" s="12" t="s">
        <v>1230</v>
      </c>
      <c r="I278" s="6" t="s">
        <v>1231</v>
      </c>
      <c r="J278" s="6" t="s">
        <v>22</v>
      </c>
      <c r="K278" s="6"/>
      <c r="L278" s="6"/>
      <c r="M278" s="6"/>
      <c r="N278" s="6"/>
      <c r="O278" s="13"/>
      <c r="P278" s="13"/>
      <c r="Q278" s="9" t="s">
        <v>490</v>
      </c>
    </row>
    <row r="279">
      <c r="A279" s="35">
        <v>145.0</v>
      </c>
      <c r="B279" s="35" t="s">
        <v>1227</v>
      </c>
      <c r="C279" s="35" t="s">
        <v>1232</v>
      </c>
      <c r="D279" s="6"/>
      <c r="E279" s="6"/>
      <c r="F279" s="6" t="str">
        <f t="array" ref="F279">TEXTJOIN("",FALSE,IF(NOT(ISBLANK(C279)), IF(E:E=C279,C:C &amp; "; ",""), ""))</f>
        <v/>
      </c>
      <c r="G279" s="6" t="s">
        <v>1233</v>
      </c>
      <c r="H279" s="12" t="s">
        <v>1230</v>
      </c>
      <c r="I279" s="6" t="s">
        <v>1231</v>
      </c>
      <c r="J279" s="6" t="s">
        <v>22</v>
      </c>
      <c r="K279" s="6"/>
      <c r="L279" s="6"/>
      <c r="M279" s="6"/>
      <c r="N279" s="6"/>
      <c r="O279" s="13"/>
      <c r="P279" s="13"/>
      <c r="Q279" s="9" t="s">
        <v>490</v>
      </c>
    </row>
    <row r="280">
      <c r="A280" s="35">
        <v>145.0</v>
      </c>
      <c r="B280" s="35" t="s">
        <v>1227</v>
      </c>
      <c r="C280" s="35" t="s">
        <v>1234</v>
      </c>
      <c r="D280" s="35" t="s">
        <v>1235</v>
      </c>
      <c r="E280" s="6"/>
      <c r="F280" s="6" t="str">
        <f t="array" ref="F280">TEXTJOIN("",FALSE,IF(NOT(ISBLANK(C280)), IF(E:E=C280,C:C &amp; "; ",""), ""))</f>
        <v/>
      </c>
      <c r="G280" s="6" t="s">
        <v>1236</v>
      </c>
      <c r="H280" s="12" t="s">
        <v>1230</v>
      </c>
      <c r="I280" s="6" t="s">
        <v>1231</v>
      </c>
      <c r="J280" s="6" t="s">
        <v>22</v>
      </c>
      <c r="K280" s="6"/>
      <c r="L280" s="6"/>
      <c r="M280" s="6"/>
      <c r="N280" s="6"/>
      <c r="O280" s="13"/>
      <c r="P280" s="13"/>
      <c r="Q280" s="9" t="s">
        <v>490</v>
      </c>
    </row>
    <row r="281">
      <c r="A281" s="35">
        <v>147.0</v>
      </c>
      <c r="B281" s="35" t="s">
        <v>1237</v>
      </c>
      <c r="C281" s="6" t="s">
        <v>1237</v>
      </c>
      <c r="D281" s="6"/>
      <c r="E281" s="6"/>
      <c r="F281" s="6" t="str">
        <f t="array" ref="F281">TEXTJOIN("",FALSE,IF(NOT(ISBLANK(C281)), IF(E:E=C281,C:C &amp; "; ",""), ""))</f>
        <v>Dining Philosophers Problem; </v>
      </c>
      <c r="G281" s="6" t="s">
        <v>1238</v>
      </c>
      <c r="H281" s="12" t="s">
        <v>1239</v>
      </c>
      <c r="I281" s="6" t="s">
        <v>1240</v>
      </c>
      <c r="J281" s="6" t="s">
        <v>22</v>
      </c>
      <c r="K281" s="6"/>
      <c r="L281" s="6"/>
      <c r="M281" s="6"/>
      <c r="N281" s="6"/>
      <c r="O281" s="13"/>
      <c r="P281" s="13"/>
      <c r="Q281" s="9" t="s">
        <v>490</v>
      </c>
    </row>
    <row r="282">
      <c r="A282" s="35">
        <v>146.0</v>
      </c>
      <c r="B282" s="6" t="s">
        <v>1237</v>
      </c>
      <c r="C282" s="6" t="s">
        <v>1241</v>
      </c>
      <c r="D282" s="6"/>
      <c r="E282" s="6" t="s">
        <v>1237</v>
      </c>
      <c r="F282" s="6" t="str">
        <f t="array" ref="F282">TEXTJOIN("",FALSE,IF(NOT(ISBLANK(C282)), IF(E:E=C282,C:C &amp; "; ",""), ""))</f>
        <v/>
      </c>
      <c r="G282" s="6" t="s">
        <v>1242</v>
      </c>
      <c r="H282" s="12" t="s">
        <v>1243</v>
      </c>
      <c r="I282" s="6" t="s">
        <v>1244</v>
      </c>
      <c r="J282" s="6" t="s">
        <v>22</v>
      </c>
      <c r="K282" s="6"/>
      <c r="L282" s="6"/>
      <c r="M282" s="6"/>
      <c r="N282" s="6"/>
      <c r="O282" s="13"/>
      <c r="P282" s="13"/>
      <c r="Q282" s="9" t="s">
        <v>490</v>
      </c>
    </row>
    <row r="283">
      <c r="A283" s="35">
        <v>148.0</v>
      </c>
      <c r="B283" s="35" t="s">
        <v>1245</v>
      </c>
      <c r="C283" s="35" t="s">
        <v>1246</v>
      </c>
      <c r="D283" s="6"/>
      <c r="E283" s="6"/>
      <c r="F283" s="6" t="str">
        <f t="array" ref="F283">TEXTJOIN("",FALSE,IF(NOT(ISBLANK(C283)), IF(E:E=C283,C:C &amp; "; ",""), ""))</f>
        <v/>
      </c>
      <c r="G283" s="6" t="s">
        <v>1247</v>
      </c>
      <c r="H283" s="12" t="s">
        <v>1248</v>
      </c>
      <c r="I283" s="6" t="s">
        <v>1249</v>
      </c>
      <c r="J283" s="6" t="s">
        <v>22</v>
      </c>
      <c r="K283" s="6"/>
      <c r="L283" s="6"/>
      <c r="M283" s="6"/>
      <c r="N283" s="6"/>
      <c r="O283" s="13"/>
      <c r="P283" s="13"/>
      <c r="Q283" s="9" t="s">
        <v>490</v>
      </c>
    </row>
    <row r="284">
      <c r="A284" s="35">
        <v>148.0</v>
      </c>
      <c r="B284" s="35" t="s">
        <v>1245</v>
      </c>
      <c r="C284" s="35" t="s">
        <v>1250</v>
      </c>
      <c r="D284" s="6"/>
      <c r="E284" s="6"/>
      <c r="F284" s="6" t="str">
        <f t="array" ref="F284">TEXTJOIN("",FALSE,IF(NOT(ISBLANK(C284)), IF(E:E=C284,C:C &amp; "; ",""), ""))</f>
        <v/>
      </c>
      <c r="G284" s="6" t="s">
        <v>1247</v>
      </c>
      <c r="H284" s="12" t="s">
        <v>1248</v>
      </c>
      <c r="I284" s="6" t="s">
        <v>1249</v>
      </c>
      <c r="J284" s="6" t="s">
        <v>22</v>
      </c>
      <c r="K284" s="6"/>
      <c r="L284" s="6"/>
      <c r="M284" s="6"/>
      <c r="N284" s="6"/>
      <c r="O284" s="13"/>
      <c r="P284" s="13"/>
      <c r="Q284" s="9" t="s">
        <v>490</v>
      </c>
    </row>
    <row r="285">
      <c r="A285" s="35">
        <v>149.0</v>
      </c>
      <c r="B285" s="35" t="s">
        <v>1251</v>
      </c>
      <c r="C285" s="6" t="s">
        <v>1252</v>
      </c>
      <c r="D285" s="6"/>
      <c r="E285" s="6"/>
      <c r="F285" s="6" t="str">
        <f t="array" ref="F285">TEXTJOIN("",FALSE,IF(NOT(ISBLANK(C285)), IF(E:E=C285,C:C &amp; "; ",""), ""))</f>
        <v/>
      </c>
      <c r="G285" s="6" t="s">
        <v>1253</v>
      </c>
      <c r="H285" s="12" t="s">
        <v>1254</v>
      </c>
      <c r="I285" s="6" t="s">
        <v>1255</v>
      </c>
      <c r="J285" s="6" t="s">
        <v>22</v>
      </c>
      <c r="K285" s="6"/>
      <c r="L285" s="6"/>
      <c r="M285" s="6" t="s">
        <v>35</v>
      </c>
      <c r="N285" s="18" t="s">
        <v>1256</v>
      </c>
      <c r="O285" s="13"/>
      <c r="P285" s="13"/>
      <c r="Q285" s="9" t="s">
        <v>490</v>
      </c>
    </row>
    <row r="286">
      <c r="A286" s="35">
        <v>149.0</v>
      </c>
      <c r="B286" s="35" t="s">
        <v>1251</v>
      </c>
      <c r="C286" s="6" t="s">
        <v>1257</v>
      </c>
      <c r="D286" s="6"/>
      <c r="E286" s="6"/>
      <c r="F286" s="6" t="str">
        <f t="array" ref="F286">TEXTJOIN("",FALSE,IF(NOT(ISBLANK(C286)), IF(E:E=C286,C:C &amp; "; ",""), ""))</f>
        <v/>
      </c>
      <c r="G286" s="6" t="s">
        <v>1258</v>
      </c>
      <c r="H286" s="12" t="s">
        <v>1254</v>
      </c>
      <c r="I286" s="6" t="s">
        <v>1255</v>
      </c>
      <c r="J286" s="6" t="s">
        <v>22</v>
      </c>
      <c r="K286" s="6"/>
      <c r="L286" s="6"/>
      <c r="M286" s="6"/>
      <c r="N286" s="6"/>
      <c r="O286" s="13"/>
      <c r="P286" s="13"/>
      <c r="Q286" s="9" t="s">
        <v>490</v>
      </c>
    </row>
    <row r="287">
      <c r="A287" s="35">
        <v>153.0</v>
      </c>
      <c r="B287" s="35" t="s">
        <v>1021</v>
      </c>
      <c r="C287" s="35" t="s">
        <v>1021</v>
      </c>
      <c r="D287" s="6"/>
      <c r="E287" s="6"/>
      <c r="F287" s="6" t="str">
        <f t="array" ref="F287">TEXTJOIN("",FALSE,IF(NOT(ISBLANK(C287)), IF(E:E=C287,C:C &amp; "; ",""), ""))</f>
        <v/>
      </c>
      <c r="G287" s="6" t="s">
        <v>1259</v>
      </c>
      <c r="H287" s="12" t="s">
        <v>1260</v>
      </c>
      <c r="I287" s="6" t="s">
        <v>1025</v>
      </c>
      <c r="J287" s="6" t="s">
        <v>22</v>
      </c>
      <c r="K287" s="6"/>
      <c r="L287" s="6"/>
      <c r="M287" s="6"/>
      <c r="N287" s="6"/>
      <c r="O287" s="13"/>
      <c r="P287" s="13"/>
      <c r="Q287" s="9" t="s">
        <v>23</v>
      </c>
      <c r="R287" s="32" t="s">
        <v>1026</v>
      </c>
    </row>
    <row r="288">
      <c r="A288" s="16"/>
      <c r="B288" s="16" t="s">
        <v>1261</v>
      </c>
      <c r="C288" s="16" t="s">
        <v>1262</v>
      </c>
      <c r="D288" s="7"/>
      <c r="E288" s="7"/>
      <c r="F288" s="6" t="str">
        <f t="array" ref="F288">TEXTJOIN("",FALSE,IF(NOT(ISBLANK(C288)), IF(E:E=C288,C:C &amp; "; ",""), ""))</f>
        <v>2-Graph Coloring; 3-Graph Coloring; 4-Graph Coloring; 5-Graph Coloring; #k-Graph Coloring; </v>
      </c>
      <c r="G288" s="7" t="s">
        <v>1263</v>
      </c>
      <c r="H288" s="12" t="s">
        <v>1264</v>
      </c>
      <c r="I288" s="6" t="s">
        <v>1265</v>
      </c>
      <c r="J288" s="16" t="s">
        <v>22</v>
      </c>
      <c r="K288" s="16"/>
      <c r="L288" s="16"/>
      <c r="M288" s="16" t="s">
        <v>1266</v>
      </c>
      <c r="N288" s="17" t="s">
        <v>1267</v>
      </c>
      <c r="O288" s="6" t="s">
        <v>1268</v>
      </c>
      <c r="P288" s="6" t="s">
        <v>58</v>
      </c>
      <c r="Q288" s="9" t="s">
        <v>23</v>
      </c>
    </row>
    <row r="289">
      <c r="A289" s="16"/>
      <c r="B289" s="16" t="s">
        <v>1261</v>
      </c>
      <c r="C289" s="16" t="s">
        <v>1269</v>
      </c>
      <c r="D289" s="7"/>
      <c r="E289" s="7"/>
      <c r="F289" s="6" t="str">
        <f t="array" ref="F289">TEXTJOIN("",FALSE,IF(NOT(ISBLANK(C289)), IF(E:E=C289,C:C &amp; "; ",""), ""))</f>
        <v/>
      </c>
      <c r="G289" s="7" t="s">
        <v>1270</v>
      </c>
      <c r="H289" s="12" t="s">
        <v>1264</v>
      </c>
      <c r="I289" s="6" t="s">
        <v>347</v>
      </c>
      <c r="J289" s="16" t="s">
        <v>22</v>
      </c>
      <c r="K289" s="16"/>
      <c r="L289" s="16"/>
      <c r="M289" s="16" t="s">
        <v>1266</v>
      </c>
      <c r="N289" s="17" t="s">
        <v>1267</v>
      </c>
      <c r="O289" s="6" t="s">
        <v>1268</v>
      </c>
      <c r="P289" s="6" t="s">
        <v>58</v>
      </c>
      <c r="Q289" s="9" t="s">
        <v>23</v>
      </c>
      <c r="R289" s="19" t="s">
        <v>1271</v>
      </c>
    </row>
    <row r="290">
      <c r="A290" s="16"/>
      <c r="B290" s="16" t="s">
        <v>1261</v>
      </c>
      <c r="C290" s="16" t="s">
        <v>1272</v>
      </c>
      <c r="D290" s="16"/>
      <c r="E290" s="16" t="s">
        <v>1262</v>
      </c>
      <c r="F290" s="6" t="str">
        <f t="array" ref="F290">TEXTJOIN("",FALSE,IF(NOT(ISBLANK(C290)), IF(E:E=C290,C:C &amp; "; ",""), ""))</f>
        <v/>
      </c>
      <c r="G290" s="7" t="s">
        <v>1273</v>
      </c>
      <c r="H290" s="12" t="s">
        <v>1264</v>
      </c>
      <c r="I290" s="6" t="s">
        <v>347</v>
      </c>
      <c r="J290" s="16" t="s">
        <v>22</v>
      </c>
      <c r="K290" s="16"/>
      <c r="L290" s="16"/>
      <c r="M290" s="6" t="s">
        <v>562</v>
      </c>
      <c r="N290" s="36" t="s">
        <v>1274</v>
      </c>
      <c r="O290" s="6" t="s">
        <v>1275</v>
      </c>
      <c r="P290" s="6" t="s">
        <v>38</v>
      </c>
      <c r="Q290" s="9" t="s">
        <v>23</v>
      </c>
    </row>
    <row r="291">
      <c r="A291" s="16">
        <v>7.0</v>
      </c>
      <c r="B291" s="16" t="s">
        <v>1261</v>
      </c>
      <c r="C291" s="16" t="s">
        <v>1276</v>
      </c>
      <c r="D291" s="16"/>
      <c r="E291" s="16" t="s">
        <v>1262</v>
      </c>
      <c r="F291" s="6" t="str">
        <f t="array" ref="F291">TEXTJOIN("",FALSE,IF(NOT(ISBLANK(C291)), IF(E:E=C291,C:C &amp; "; ",""), ""))</f>
        <v/>
      </c>
      <c r="G291" s="7" t="s">
        <v>1277</v>
      </c>
      <c r="H291" s="12" t="s">
        <v>1264</v>
      </c>
      <c r="I291" s="6" t="s">
        <v>347</v>
      </c>
      <c r="J291" s="16" t="s">
        <v>22</v>
      </c>
      <c r="K291" s="16"/>
      <c r="L291" s="16"/>
      <c r="M291" s="39" t="s">
        <v>1278</v>
      </c>
      <c r="N291" s="28" t="s">
        <v>1279</v>
      </c>
      <c r="O291" s="6" t="s">
        <v>1268</v>
      </c>
      <c r="P291" s="6" t="s">
        <v>58</v>
      </c>
      <c r="Q291" s="9" t="s">
        <v>23</v>
      </c>
    </row>
    <row r="292">
      <c r="A292" s="16">
        <v>8.0</v>
      </c>
      <c r="B292" s="16" t="s">
        <v>1261</v>
      </c>
      <c r="C292" s="16" t="s">
        <v>1280</v>
      </c>
      <c r="D292" s="16"/>
      <c r="E292" s="16" t="s">
        <v>1262</v>
      </c>
      <c r="F292" s="6" t="str">
        <f t="array" ref="F292">TEXTJOIN("",FALSE,IF(NOT(ISBLANK(C292)), IF(E:E=C292,C:C &amp; "; ",""), ""))</f>
        <v/>
      </c>
      <c r="G292" s="7" t="s">
        <v>1281</v>
      </c>
      <c r="H292" s="12" t="s">
        <v>1264</v>
      </c>
      <c r="I292" s="6" t="s">
        <v>347</v>
      </c>
      <c r="J292" s="16" t="s">
        <v>22</v>
      </c>
      <c r="K292" s="16"/>
      <c r="L292" s="16"/>
      <c r="M292" s="39" t="s">
        <v>1282</v>
      </c>
      <c r="N292" s="17" t="s">
        <v>1283</v>
      </c>
      <c r="O292" s="6" t="s">
        <v>1268</v>
      </c>
      <c r="P292" s="6" t="s">
        <v>58</v>
      </c>
      <c r="Q292" s="9" t="s">
        <v>23</v>
      </c>
    </row>
    <row r="293">
      <c r="A293" s="16"/>
      <c r="B293" s="16" t="s">
        <v>1261</v>
      </c>
      <c r="C293" s="16" t="s">
        <v>1284</v>
      </c>
      <c r="D293" s="16"/>
      <c r="E293" s="16" t="s">
        <v>1262</v>
      </c>
      <c r="F293" s="6" t="str">
        <f t="array" ref="F293">TEXTJOIN("",FALSE,IF(NOT(ISBLANK(C293)), IF(E:E=C293,C:C &amp; "; ",""), ""))</f>
        <v/>
      </c>
      <c r="G293" s="7" t="s">
        <v>1285</v>
      </c>
      <c r="H293" s="12" t="s">
        <v>1264</v>
      </c>
      <c r="I293" s="6" t="s">
        <v>347</v>
      </c>
      <c r="J293" s="16" t="s">
        <v>22</v>
      </c>
      <c r="K293" s="16"/>
      <c r="L293" s="16"/>
      <c r="M293" s="16" t="s">
        <v>1286</v>
      </c>
      <c r="N293" s="17" t="s">
        <v>1287</v>
      </c>
      <c r="O293" s="6" t="s">
        <v>1268</v>
      </c>
      <c r="P293" s="6" t="s">
        <v>58</v>
      </c>
      <c r="Q293" s="9" t="s">
        <v>23</v>
      </c>
    </row>
    <row r="294">
      <c r="A294" s="16"/>
      <c r="B294" s="16" t="s">
        <v>1261</v>
      </c>
      <c r="C294" s="16" t="s">
        <v>1288</v>
      </c>
      <c r="D294" s="16" t="s">
        <v>1289</v>
      </c>
      <c r="E294" s="16" t="s">
        <v>1262</v>
      </c>
      <c r="F294" s="6" t="str">
        <f t="array" ref="F294">TEXTJOIN("",FALSE,IF(NOT(ISBLANK(C294)), IF(E:E=C294,C:C &amp; "; ",""), ""))</f>
        <v>#2-Graph Coloring; #3-Graph Coloring; #4-Graph Coloring; #5-Graph Coloring; </v>
      </c>
      <c r="G294" s="7" t="s">
        <v>1290</v>
      </c>
      <c r="H294" s="12" t="s">
        <v>1291</v>
      </c>
      <c r="I294" s="6" t="s">
        <v>1265</v>
      </c>
      <c r="J294" s="16" t="s">
        <v>22</v>
      </c>
      <c r="K294" s="16"/>
      <c r="L294" s="16"/>
      <c r="M294" s="16" t="s">
        <v>1266</v>
      </c>
      <c r="N294" s="17" t="s">
        <v>1267</v>
      </c>
      <c r="O294" s="6" t="s">
        <v>1268</v>
      </c>
      <c r="P294" s="6" t="s">
        <v>1292</v>
      </c>
      <c r="Q294" s="9" t="s">
        <v>23</v>
      </c>
    </row>
    <row r="295">
      <c r="A295" s="16"/>
      <c r="B295" s="16" t="s">
        <v>1261</v>
      </c>
      <c r="C295" s="16" t="s">
        <v>1293</v>
      </c>
      <c r="D295" s="16"/>
      <c r="E295" s="16" t="s">
        <v>1288</v>
      </c>
      <c r="F295" s="6" t="str">
        <f t="array" ref="F295">TEXTJOIN("",FALSE,IF(NOT(ISBLANK(C295)), IF(E:E=C295,C:C &amp; "; ",""), ""))</f>
        <v/>
      </c>
      <c r="G295" s="7" t="s">
        <v>1294</v>
      </c>
      <c r="H295" s="12" t="s">
        <v>1291</v>
      </c>
      <c r="I295" s="6" t="s">
        <v>347</v>
      </c>
      <c r="J295" s="16" t="s">
        <v>22</v>
      </c>
      <c r="K295" s="16"/>
      <c r="L295" s="16"/>
      <c r="M295" s="6" t="s">
        <v>562</v>
      </c>
      <c r="N295" s="36" t="s">
        <v>1274</v>
      </c>
      <c r="O295" s="6" t="s">
        <v>1275</v>
      </c>
      <c r="P295" s="6" t="s">
        <v>38</v>
      </c>
      <c r="Q295" s="9" t="s">
        <v>23</v>
      </c>
    </row>
    <row r="296">
      <c r="A296" s="16"/>
      <c r="B296" s="16" t="s">
        <v>1261</v>
      </c>
      <c r="C296" s="16" t="s">
        <v>1295</v>
      </c>
      <c r="D296" s="16"/>
      <c r="E296" s="16" t="s">
        <v>1288</v>
      </c>
      <c r="F296" s="6" t="str">
        <f t="array" ref="F296">TEXTJOIN("",FALSE,IF(NOT(ISBLANK(C296)), IF(E:E=C296,C:C &amp; "; ",""), ""))</f>
        <v/>
      </c>
      <c r="G296" s="7" t="s">
        <v>1296</v>
      </c>
      <c r="H296" s="12" t="s">
        <v>1291</v>
      </c>
      <c r="I296" s="6" t="s">
        <v>347</v>
      </c>
      <c r="J296" s="16" t="s">
        <v>22</v>
      </c>
      <c r="K296" s="16"/>
      <c r="L296" s="16"/>
      <c r="M296" s="16" t="s">
        <v>1297</v>
      </c>
      <c r="N296" s="17" t="s">
        <v>1283</v>
      </c>
      <c r="O296" s="6" t="s">
        <v>1268</v>
      </c>
      <c r="P296" s="6" t="s">
        <v>1292</v>
      </c>
      <c r="Q296" s="9" t="s">
        <v>23</v>
      </c>
    </row>
    <row r="297">
      <c r="A297" s="16"/>
      <c r="B297" s="16" t="s">
        <v>1261</v>
      </c>
      <c r="C297" s="16" t="s">
        <v>1298</v>
      </c>
      <c r="D297" s="16"/>
      <c r="E297" s="16" t="s">
        <v>1288</v>
      </c>
      <c r="F297" s="6" t="str">
        <f t="array" ref="F297">TEXTJOIN("",FALSE,IF(NOT(ISBLANK(C297)), IF(E:E=C297,C:C &amp; "; ",""), ""))</f>
        <v/>
      </c>
      <c r="G297" s="7" t="s">
        <v>1299</v>
      </c>
      <c r="H297" s="12" t="s">
        <v>1291</v>
      </c>
      <c r="I297" s="6" t="s">
        <v>347</v>
      </c>
      <c r="J297" s="16" t="s">
        <v>22</v>
      </c>
      <c r="K297" s="16"/>
      <c r="L297" s="16"/>
      <c r="M297" s="16" t="s">
        <v>1300</v>
      </c>
      <c r="N297" s="17" t="s">
        <v>1283</v>
      </c>
      <c r="O297" s="6" t="s">
        <v>1268</v>
      </c>
      <c r="P297" s="6" t="s">
        <v>1292</v>
      </c>
      <c r="Q297" s="9" t="s">
        <v>23</v>
      </c>
    </row>
    <row r="298">
      <c r="A298" s="16"/>
      <c r="B298" s="16" t="s">
        <v>1261</v>
      </c>
      <c r="C298" s="16" t="s">
        <v>1301</v>
      </c>
      <c r="D298" s="16"/>
      <c r="E298" s="16" t="s">
        <v>1288</v>
      </c>
      <c r="F298" s="6" t="str">
        <f t="array" ref="F298">TEXTJOIN("",FALSE,IF(NOT(ISBLANK(C298)), IF(E:E=C298,C:C &amp; "; ",""), ""))</f>
        <v/>
      </c>
      <c r="G298" s="7" t="s">
        <v>1302</v>
      </c>
      <c r="H298" s="12" t="s">
        <v>1291</v>
      </c>
      <c r="I298" s="6" t="s">
        <v>347</v>
      </c>
      <c r="J298" s="16" t="s">
        <v>22</v>
      </c>
      <c r="K298" s="16"/>
      <c r="L298" s="16"/>
      <c r="M298" s="16" t="s">
        <v>1266</v>
      </c>
      <c r="N298" s="17" t="s">
        <v>1267</v>
      </c>
      <c r="O298" s="6" t="s">
        <v>1268</v>
      </c>
      <c r="P298" s="6" t="s">
        <v>1292</v>
      </c>
      <c r="Q298" s="9" t="s">
        <v>23</v>
      </c>
    </row>
    <row r="299">
      <c r="A299" s="6"/>
      <c r="B299" s="6" t="s">
        <v>1303</v>
      </c>
      <c r="C299" s="6" t="s">
        <v>1304</v>
      </c>
      <c r="D299" s="6" t="s">
        <v>1303</v>
      </c>
      <c r="E299" s="6"/>
      <c r="F299" s="6" t="str">
        <f t="array" ref="F299">TEXTJOIN("",FALSE,IF(NOT(ISBLANK(C299)), IF(E:E=C299,C:C &amp; "; ",""), ""))</f>
        <v>Conjunctive Normal Form SAT; Disjunctive Normal Form SAT; </v>
      </c>
      <c r="G299" s="6" t="s">
        <v>1305</v>
      </c>
      <c r="H299" s="12" t="s">
        <v>1306</v>
      </c>
      <c r="I299" s="6" t="s">
        <v>1307</v>
      </c>
      <c r="J299" s="6" t="s">
        <v>22</v>
      </c>
      <c r="K299" s="13"/>
      <c r="L299" s="13"/>
      <c r="M299" s="13"/>
      <c r="N299" s="13"/>
      <c r="O299" s="6" t="s">
        <v>1308</v>
      </c>
      <c r="P299" s="6" t="s">
        <v>1309</v>
      </c>
    </row>
    <row r="300">
      <c r="A300" s="6"/>
      <c r="B300" s="6" t="s">
        <v>1303</v>
      </c>
      <c r="C300" s="6" t="s">
        <v>1310</v>
      </c>
      <c r="D300" s="6" t="s">
        <v>1311</v>
      </c>
      <c r="E300" s="6" t="s">
        <v>1304</v>
      </c>
      <c r="F300" s="6" t="str">
        <f t="array" ref="F300">TEXTJOIN("",FALSE,IF(NOT(ISBLANK(C300)), IF(E:E=C300,C:C &amp; "; ",""), ""))</f>
        <v>All-Equal-SAT; k-SAT; XOR-SAT; Horn SAT; MaxSAT; </v>
      </c>
      <c r="G300" s="6" t="s">
        <v>1312</v>
      </c>
      <c r="H300" s="12" t="s">
        <v>1313</v>
      </c>
      <c r="I300" s="6" t="s">
        <v>1307</v>
      </c>
      <c r="J300" s="6" t="s">
        <v>22</v>
      </c>
      <c r="K300" s="13"/>
      <c r="L300" s="13"/>
      <c r="M300" s="13"/>
      <c r="N300" s="13"/>
      <c r="O300" s="6" t="s">
        <v>1308</v>
      </c>
      <c r="P300" s="6" t="s">
        <v>1309</v>
      </c>
    </row>
    <row r="301">
      <c r="A301" s="6"/>
      <c r="B301" s="6" t="s">
        <v>1303</v>
      </c>
      <c r="C301" s="6" t="s">
        <v>1314</v>
      </c>
      <c r="D301" s="6" t="s">
        <v>1315</v>
      </c>
      <c r="E301" s="6" t="s">
        <v>1304</v>
      </c>
      <c r="F301" s="6" t="str">
        <f t="array" ref="F301">TEXTJOIN("",FALSE,IF(NOT(ISBLANK(C301)), IF(E:E=C301,C:C &amp; "; ",""), ""))</f>
        <v/>
      </c>
      <c r="G301" s="6" t="s">
        <v>1316</v>
      </c>
      <c r="H301" s="12" t="s">
        <v>1317</v>
      </c>
      <c r="I301" s="6" t="s">
        <v>1307</v>
      </c>
      <c r="J301" s="6" t="s">
        <v>22</v>
      </c>
      <c r="K301" s="6"/>
      <c r="L301" s="6"/>
      <c r="M301" s="6" t="s">
        <v>1318</v>
      </c>
      <c r="N301" s="6" t="s">
        <v>1319</v>
      </c>
      <c r="O301" s="13"/>
      <c r="P301" s="13"/>
    </row>
    <row r="302">
      <c r="A302" s="6"/>
      <c r="B302" s="6" t="s">
        <v>1303</v>
      </c>
      <c r="C302" s="6" t="s">
        <v>1320</v>
      </c>
      <c r="D302" s="6"/>
      <c r="E302" s="6" t="s">
        <v>1321</v>
      </c>
      <c r="F302" s="6" t="str">
        <f t="array" ref="F302">TEXTJOIN("",FALSE,IF(NOT(ISBLANK(C302)), IF(E:E=C302,C:C &amp; "; ",""), ""))</f>
        <v>Monotone 1-in-3SAT; Monotone Not-Exactly-1-in-3SAT; </v>
      </c>
      <c r="G302" s="6" t="s">
        <v>1322</v>
      </c>
      <c r="H302" s="12" t="s">
        <v>1323</v>
      </c>
      <c r="I302" s="6" t="s">
        <v>1307</v>
      </c>
      <c r="J302" s="6" t="s">
        <v>22</v>
      </c>
      <c r="K302" s="13"/>
      <c r="L302" s="13"/>
      <c r="M302" s="13"/>
      <c r="N302" s="13"/>
      <c r="O302" s="6" t="s">
        <v>1308</v>
      </c>
      <c r="P302" s="63" t="s">
        <v>1324</v>
      </c>
    </row>
    <row r="303">
      <c r="A303" s="6"/>
      <c r="B303" s="6" t="s">
        <v>1303</v>
      </c>
      <c r="C303" s="6" t="s">
        <v>1325</v>
      </c>
      <c r="D303" s="6"/>
      <c r="E303" s="6" t="s">
        <v>1320</v>
      </c>
      <c r="F303" s="6" t="str">
        <f t="array" ref="F303">TEXTJOIN("",FALSE,IF(NOT(ISBLANK(C303)), IF(E:E=C303,C:C &amp; "; ",""), ""))</f>
        <v/>
      </c>
      <c r="G303" s="6" t="s">
        <v>1326</v>
      </c>
      <c r="H303" s="12" t="s">
        <v>1327</v>
      </c>
      <c r="I303" s="6" t="s">
        <v>1307</v>
      </c>
      <c r="J303" s="6" t="s">
        <v>22</v>
      </c>
      <c r="K303" s="13"/>
      <c r="L303" s="13"/>
      <c r="M303" s="13"/>
      <c r="N303" s="13"/>
      <c r="O303" s="6" t="s">
        <v>1308</v>
      </c>
      <c r="P303" s="9"/>
    </row>
    <row r="304">
      <c r="A304" s="6"/>
      <c r="B304" s="6" t="s">
        <v>1303</v>
      </c>
      <c r="C304" s="6" t="s">
        <v>1328</v>
      </c>
      <c r="D304" s="6"/>
      <c r="E304" s="6" t="s">
        <v>1320</v>
      </c>
      <c r="F304" s="6" t="str">
        <f t="array" ref="F304">TEXTJOIN("",FALSE,IF(NOT(ISBLANK(C304)), IF(E:E=C304,C:C &amp; "; ",""), ""))</f>
        <v/>
      </c>
      <c r="G304" s="6" t="s">
        <v>1329</v>
      </c>
      <c r="H304" s="12" t="s">
        <v>1330</v>
      </c>
      <c r="I304" s="6" t="s">
        <v>1307</v>
      </c>
      <c r="J304" s="6" t="s">
        <v>22</v>
      </c>
      <c r="K304" s="6"/>
      <c r="L304" s="6"/>
      <c r="M304" s="6" t="s">
        <v>1318</v>
      </c>
      <c r="N304" s="45" t="s">
        <v>1324</v>
      </c>
      <c r="O304" s="6"/>
      <c r="P304" s="9"/>
    </row>
    <row r="305">
      <c r="A305" s="6"/>
      <c r="B305" s="6" t="s">
        <v>1303</v>
      </c>
      <c r="C305" s="6" t="s">
        <v>1331</v>
      </c>
      <c r="D305" s="6"/>
      <c r="E305" s="6" t="s">
        <v>1310</v>
      </c>
      <c r="F305" s="6" t="str">
        <f t="array" ref="F305">TEXTJOIN("",FALSE,IF(NOT(ISBLANK(C305)), IF(E:E=C305,C:C &amp; "; ",""), ""))</f>
        <v/>
      </c>
      <c r="G305" s="6" t="s">
        <v>1332</v>
      </c>
      <c r="H305" s="12" t="s">
        <v>1323</v>
      </c>
      <c r="I305" s="6" t="s">
        <v>1307</v>
      </c>
      <c r="J305" s="6" t="s">
        <v>22</v>
      </c>
      <c r="K305" s="13"/>
      <c r="L305" s="13"/>
      <c r="M305" s="13"/>
      <c r="N305" s="13"/>
      <c r="O305" s="13"/>
      <c r="P305" s="13"/>
    </row>
    <row r="306">
      <c r="A306" s="6"/>
      <c r="B306" s="6" t="s">
        <v>1303</v>
      </c>
      <c r="C306" s="6" t="s">
        <v>1333</v>
      </c>
      <c r="D306" s="6"/>
      <c r="E306" s="6" t="s">
        <v>1321</v>
      </c>
      <c r="F306" s="6" t="str">
        <f t="array" ref="F306">TEXTJOIN("",FALSE,IF(NOT(ISBLANK(C306)), IF(E:E=C306,C:C &amp; "; ",""), ""))</f>
        <v>Monotone Not-All-Equal 3-SAT (Monotone NAE 3SAT); </v>
      </c>
      <c r="G306" s="6" t="s">
        <v>1334</v>
      </c>
      <c r="H306" s="12" t="s">
        <v>1323</v>
      </c>
      <c r="I306" s="6" t="s">
        <v>1307</v>
      </c>
      <c r="J306" s="6" t="s">
        <v>22</v>
      </c>
      <c r="K306" s="13"/>
      <c r="L306" s="13"/>
      <c r="M306" s="13"/>
      <c r="N306" s="13"/>
      <c r="O306" s="6" t="s">
        <v>1308</v>
      </c>
      <c r="P306" s="45" t="s">
        <v>1324</v>
      </c>
    </row>
    <row r="307">
      <c r="A307" s="6"/>
      <c r="B307" s="6" t="s">
        <v>1303</v>
      </c>
      <c r="C307" s="6" t="s">
        <v>1335</v>
      </c>
      <c r="D307" s="6"/>
      <c r="E307" s="6" t="s">
        <v>1333</v>
      </c>
      <c r="F307" s="6" t="str">
        <f t="array" ref="F307">TEXTJOIN("",FALSE,IF(NOT(ISBLANK(C307)), IF(E:E=C307,C:C &amp; "; ",""), ""))</f>
        <v/>
      </c>
      <c r="G307" s="6" t="s">
        <v>1336</v>
      </c>
      <c r="H307" s="12" t="s">
        <v>1337</v>
      </c>
      <c r="I307" s="6" t="s">
        <v>1307</v>
      </c>
      <c r="J307" s="6" t="s">
        <v>22</v>
      </c>
      <c r="K307" s="13"/>
      <c r="L307" s="13"/>
      <c r="M307" s="13"/>
      <c r="N307" s="13"/>
      <c r="O307" s="6" t="s">
        <v>1308</v>
      </c>
      <c r="P307" s="45" t="s">
        <v>1324</v>
      </c>
    </row>
    <row r="308">
      <c r="A308" s="6"/>
      <c r="B308" s="6" t="s">
        <v>1303</v>
      </c>
      <c r="C308" s="6" t="s">
        <v>1338</v>
      </c>
      <c r="D308" s="6"/>
      <c r="E308" s="6" t="s">
        <v>1310</v>
      </c>
      <c r="F308" s="6" t="str">
        <f t="array" ref="F308">TEXTJOIN("",FALSE,IF(NOT(ISBLANK(C308)), IF(E:E=C308,C:C &amp; "; ",""), ""))</f>
        <v>2SAT; 3SAT; 4SAT; </v>
      </c>
      <c r="G308" s="6" t="s">
        <v>1339</v>
      </c>
      <c r="H308" s="12" t="s">
        <v>1340</v>
      </c>
      <c r="I308" s="6" t="s">
        <v>1341</v>
      </c>
      <c r="J308" s="6" t="s">
        <v>22</v>
      </c>
      <c r="K308" s="6"/>
      <c r="L308" s="6"/>
      <c r="M308" s="6" t="s">
        <v>1342</v>
      </c>
      <c r="N308" s="45" t="s">
        <v>1343</v>
      </c>
      <c r="O308" s="6" t="s">
        <v>1344</v>
      </c>
      <c r="P308" s="6" t="s">
        <v>1345</v>
      </c>
    </row>
    <row r="309">
      <c r="A309" s="6"/>
      <c r="B309" s="6" t="s">
        <v>1303</v>
      </c>
      <c r="C309" s="6" t="s">
        <v>1346</v>
      </c>
      <c r="D309" s="6" t="s">
        <v>1347</v>
      </c>
      <c r="E309" s="6" t="s">
        <v>1338</v>
      </c>
      <c r="F309" s="6" t="str">
        <f t="array" ref="F309">TEXTJOIN("",FALSE,IF(NOT(ISBLANK(C309)), IF(E:E=C309,C:C &amp; "; ",""), ""))</f>
        <v/>
      </c>
      <c r="G309" s="6" t="s">
        <v>1348</v>
      </c>
      <c r="H309" s="12" t="s">
        <v>1340</v>
      </c>
      <c r="I309" s="6" t="s">
        <v>1307</v>
      </c>
      <c r="J309" s="6" t="s">
        <v>22</v>
      </c>
      <c r="K309" s="6"/>
      <c r="L309" s="6"/>
      <c r="M309" s="6" t="s">
        <v>61</v>
      </c>
      <c r="N309" s="6" t="s">
        <v>1349</v>
      </c>
      <c r="O309" s="13"/>
      <c r="P309" s="13"/>
    </row>
    <row r="310">
      <c r="A310" s="6"/>
      <c r="B310" s="6" t="s">
        <v>1303</v>
      </c>
      <c r="C310" s="6" t="s">
        <v>1321</v>
      </c>
      <c r="D310" s="6" t="s">
        <v>1350</v>
      </c>
      <c r="E310" s="6" t="s">
        <v>1338</v>
      </c>
      <c r="F310" s="6" t="str">
        <f t="array" ref="F310">TEXTJOIN("",FALSE,IF(NOT(ISBLANK(C310)), IF(E:E=C310,C:C &amp; "; ",""), ""))</f>
        <v>1-in-3SAT; Not-All-Equal 3-SAT (NAE 3SAT); 3SAT-5; Monotone 3SAT; </v>
      </c>
      <c r="G310" s="6" t="s">
        <v>1351</v>
      </c>
      <c r="H310" s="12" t="s">
        <v>1340</v>
      </c>
      <c r="I310" s="6" t="s">
        <v>1307</v>
      </c>
      <c r="J310" s="6" t="s">
        <v>22</v>
      </c>
      <c r="K310" s="6"/>
      <c r="L310" s="6"/>
      <c r="M310" s="6" t="s">
        <v>1352</v>
      </c>
      <c r="N310" s="45" t="s">
        <v>1353</v>
      </c>
      <c r="O310" s="6" t="s">
        <v>1344</v>
      </c>
      <c r="P310" s="6" t="s">
        <v>1345</v>
      </c>
    </row>
    <row r="311">
      <c r="A311" s="6"/>
      <c r="B311" s="6" t="s">
        <v>1303</v>
      </c>
      <c r="C311" s="6" t="s">
        <v>1354</v>
      </c>
      <c r="D311" s="6" t="s">
        <v>1355</v>
      </c>
      <c r="E311" s="6" t="s">
        <v>1321</v>
      </c>
      <c r="F311" s="6" t="str">
        <f t="array" ref="F311">TEXTJOIN("",FALSE,IF(NOT(ISBLANK(C311)), IF(E:E=C311,C:C &amp; "; ",""), ""))</f>
        <v/>
      </c>
      <c r="G311" s="6" t="s">
        <v>1356</v>
      </c>
      <c r="H311" s="12" t="s">
        <v>1357</v>
      </c>
      <c r="I311" s="6" t="s">
        <v>1307</v>
      </c>
      <c r="J311" s="6" t="s">
        <v>22</v>
      </c>
      <c r="K311" s="13"/>
      <c r="L311" s="13"/>
      <c r="M311" s="13"/>
      <c r="O311" s="6" t="s">
        <v>1308</v>
      </c>
      <c r="P311" s="45" t="s">
        <v>1358</v>
      </c>
    </row>
    <row r="312">
      <c r="A312" s="6"/>
      <c r="B312" s="6" t="s">
        <v>1303</v>
      </c>
      <c r="C312" s="6" t="s">
        <v>1359</v>
      </c>
      <c r="D312" s="6" t="s">
        <v>1360</v>
      </c>
      <c r="E312" s="6" t="s">
        <v>1338</v>
      </c>
      <c r="F312" s="6" t="str">
        <f t="array" ref="F312">TEXTJOIN("",FALSE,IF(NOT(ISBLANK(C312)), IF(E:E=C312,C:C &amp; "; ",""), ""))</f>
        <v/>
      </c>
      <c r="G312" s="6" t="s">
        <v>1361</v>
      </c>
      <c r="H312" s="12" t="s">
        <v>1340</v>
      </c>
      <c r="I312" s="6" t="s">
        <v>1307</v>
      </c>
      <c r="J312" s="6" t="s">
        <v>22</v>
      </c>
      <c r="K312" s="6"/>
      <c r="L312" s="6"/>
      <c r="M312" s="6" t="s">
        <v>1362</v>
      </c>
      <c r="N312" s="45" t="s">
        <v>1353</v>
      </c>
      <c r="O312" s="6" t="s">
        <v>1344</v>
      </c>
      <c r="P312" s="6" t="s">
        <v>1345</v>
      </c>
    </row>
    <row r="313">
      <c r="A313" s="6"/>
      <c r="B313" s="6" t="s">
        <v>1303</v>
      </c>
      <c r="C313" s="6" t="s">
        <v>1363</v>
      </c>
      <c r="D313" s="6"/>
      <c r="E313" s="6" t="s">
        <v>1321</v>
      </c>
      <c r="F313" s="6" t="str">
        <f t="array" ref="F313">TEXTJOIN("",FALSE,IF(NOT(ISBLANK(C313)), IF(E:E=C313,C:C &amp; "; ",""), ""))</f>
        <v/>
      </c>
      <c r="G313" s="6" t="s">
        <v>1364</v>
      </c>
      <c r="H313" s="12" t="s">
        <v>1365</v>
      </c>
      <c r="I313" s="6" t="s">
        <v>1307</v>
      </c>
      <c r="J313" s="6" t="s">
        <v>22</v>
      </c>
      <c r="K313" s="13"/>
      <c r="L313" s="13"/>
      <c r="M313" s="13"/>
      <c r="N313" s="13"/>
      <c r="O313" s="6" t="s">
        <v>1308</v>
      </c>
      <c r="P313" s="9" t="s">
        <v>1366</v>
      </c>
    </row>
    <row r="314">
      <c r="A314" s="6"/>
      <c r="B314" s="6" t="s">
        <v>1303</v>
      </c>
      <c r="C314" s="6" t="s">
        <v>1367</v>
      </c>
      <c r="D314" s="6"/>
      <c r="E314" s="6" t="s">
        <v>1310</v>
      </c>
      <c r="F314" s="6" t="str">
        <f t="array" ref="F314">TEXTJOIN("",FALSE,IF(NOT(ISBLANK(C314)), IF(E:E=C314,C:C &amp; "; ",""), ""))</f>
        <v/>
      </c>
      <c r="G314" s="6" t="s">
        <v>1368</v>
      </c>
      <c r="H314" s="12" t="s">
        <v>1369</v>
      </c>
      <c r="I314" s="6" t="s">
        <v>1307</v>
      </c>
      <c r="J314" s="6" t="s">
        <v>22</v>
      </c>
      <c r="K314" s="6"/>
      <c r="L314" s="6"/>
      <c r="M314" s="6" t="s">
        <v>834</v>
      </c>
      <c r="N314" s="45" t="s">
        <v>1370</v>
      </c>
      <c r="O314" s="13"/>
      <c r="P314" s="13"/>
    </row>
    <row r="315">
      <c r="A315" s="6"/>
      <c r="B315" s="6" t="s">
        <v>1303</v>
      </c>
      <c r="C315" s="6" t="s">
        <v>1371</v>
      </c>
      <c r="D315" s="6"/>
      <c r="E315" s="6" t="s">
        <v>1310</v>
      </c>
      <c r="F315" s="6" t="str">
        <f t="array" ref="F315">TEXTJOIN("",FALSE,IF(NOT(ISBLANK(C315)), IF(E:E=C315,C:C &amp; "; ",""), ""))</f>
        <v>Dual-Horn SAT; Renamable Horn; </v>
      </c>
      <c r="G315" s="6" t="s">
        <v>1372</v>
      </c>
      <c r="H315" s="12" t="s">
        <v>1373</v>
      </c>
      <c r="I315" s="6" t="s">
        <v>1307</v>
      </c>
      <c r="J315" s="6" t="s">
        <v>22</v>
      </c>
      <c r="K315" s="6"/>
      <c r="L315" s="6"/>
      <c r="M315" s="6" t="s">
        <v>1318</v>
      </c>
      <c r="N315" s="45" t="s">
        <v>1374</v>
      </c>
      <c r="O315" s="13"/>
      <c r="P315" s="13"/>
    </row>
    <row r="316">
      <c r="A316" s="6"/>
      <c r="B316" s="6" t="s">
        <v>1303</v>
      </c>
      <c r="C316" s="6" t="s">
        <v>1375</v>
      </c>
      <c r="D316" s="6"/>
      <c r="E316" s="6" t="s">
        <v>1371</v>
      </c>
      <c r="F316" s="6" t="str">
        <f t="array" ref="F316">TEXTJOIN("",FALSE,IF(NOT(ISBLANK(C316)), IF(E:E=C316,C:C &amp; "; ",""), ""))</f>
        <v/>
      </c>
      <c r="G316" s="6" t="s">
        <v>1376</v>
      </c>
      <c r="H316" s="12" t="s">
        <v>1377</v>
      </c>
      <c r="I316" s="6" t="s">
        <v>1307</v>
      </c>
      <c r="J316" s="6" t="s">
        <v>22</v>
      </c>
      <c r="K316" s="6"/>
      <c r="L316" s="6"/>
      <c r="M316" s="6" t="s">
        <v>1318</v>
      </c>
      <c r="N316" s="45" t="s">
        <v>1324</v>
      </c>
      <c r="O316" s="13"/>
      <c r="P316" s="13"/>
    </row>
    <row r="317">
      <c r="A317" s="6"/>
      <c r="B317" s="6" t="s">
        <v>1303</v>
      </c>
      <c r="C317" s="6" t="s">
        <v>1378</v>
      </c>
      <c r="D317" s="6"/>
      <c r="E317" s="6" t="s">
        <v>1371</v>
      </c>
      <c r="F317" s="6" t="str">
        <f t="array" ref="F317">TEXTJOIN("",FALSE,IF(NOT(ISBLANK(C317)), IF(E:E=C317,C:C &amp; "; ",""), ""))</f>
        <v/>
      </c>
      <c r="G317" s="6" t="s">
        <v>1379</v>
      </c>
      <c r="H317" s="12" t="s">
        <v>1380</v>
      </c>
      <c r="I317" s="6" t="s">
        <v>1381</v>
      </c>
      <c r="J317" s="6" t="s">
        <v>22</v>
      </c>
      <c r="K317" s="6"/>
      <c r="L317" s="6"/>
      <c r="M317" s="6" t="s">
        <v>1382</v>
      </c>
      <c r="N317" s="45" t="s">
        <v>1383</v>
      </c>
      <c r="O317" s="13"/>
      <c r="P317" s="13"/>
    </row>
    <row r="318">
      <c r="A318" s="6"/>
      <c r="B318" s="6" t="s">
        <v>1303</v>
      </c>
      <c r="C318" s="6" t="s">
        <v>1384</v>
      </c>
      <c r="D318" s="64" t="s">
        <v>1385</v>
      </c>
      <c r="E318" s="6" t="s">
        <v>1310</v>
      </c>
      <c r="F318" s="6" t="str">
        <f t="array" ref="F318">TEXTJOIN("",FALSE,IF(NOT(ISBLANK(C318)), IF(E:E=C318,C:C &amp; "; ",""), ""))</f>
        <v/>
      </c>
      <c r="G318" s="6" t="s">
        <v>1386</v>
      </c>
      <c r="H318" s="12" t="s">
        <v>1306</v>
      </c>
      <c r="I318" s="6" t="s">
        <v>1307</v>
      </c>
      <c r="J318" s="6" t="s">
        <v>22</v>
      </c>
      <c r="K318" s="6"/>
      <c r="L318" s="6"/>
      <c r="M318" s="6"/>
      <c r="N318" s="46"/>
      <c r="O318" s="13"/>
      <c r="P318" s="13"/>
    </row>
    <row r="319">
      <c r="A319" s="65"/>
      <c r="B319" s="7" t="s">
        <v>1387</v>
      </c>
      <c r="C319" s="6" t="s">
        <v>1388</v>
      </c>
      <c r="D319" s="6" t="s">
        <v>1389</v>
      </c>
      <c r="E319" s="6" t="s">
        <v>1390</v>
      </c>
      <c r="F319" s="6" t="str">
        <f t="array" ref="F319">TEXTJOIN("",FALSE,IF(NOT(ISBLANK(C319)), IF(E:E=C319,C:C &amp; "; ",""), ""))</f>
        <v>Unbalanced OV; </v>
      </c>
      <c r="G319" s="6" t="s">
        <v>1391</v>
      </c>
      <c r="H319" s="66" t="s">
        <v>1392</v>
      </c>
      <c r="I319" s="67" t="s">
        <v>1393</v>
      </c>
      <c r="J319" s="6"/>
      <c r="K319" s="6"/>
      <c r="L319" s="6"/>
      <c r="M319" s="6" t="s">
        <v>1394</v>
      </c>
      <c r="N319" s="47" t="s">
        <v>1395</v>
      </c>
      <c r="O319" s="6" t="s">
        <v>1396</v>
      </c>
      <c r="P319" s="6" t="s">
        <v>1397</v>
      </c>
    </row>
    <row r="320">
      <c r="A320" s="6"/>
      <c r="B320" s="6" t="s">
        <v>1387</v>
      </c>
      <c r="C320" s="6" t="s">
        <v>1390</v>
      </c>
      <c r="D320" s="6"/>
      <c r="E320" s="6"/>
      <c r="F320" s="6" t="str">
        <f t="array" ref="F320">TEXTJOIN("",FALSE,IF(NOT(ISBLANK(C320)), IF(E:E=C320,C:C &amp; "; ",""), ""))</f>
        <v>OV; 3-OV; </v>
      </c>
      <c r="G320" s="6" t="s">
        <v>1398</v>
      </c>
      <c r="H320" s="68" t="s">
        <v>1399</v>
      </c>
      <c r="I320" s="67" t="s">
        <v>1400</v>
      </c>
      <c r="J320" s="6"/>
      <c r="K320" s="6"/>
      <c r="L320" s="6"/>
      <c r="M320" s="6" t="s">
        <v>1401</v>
      </c>
      <c r="N320" s="47" t="s">
        <v>1395</v>
      </c>
      <c r="O320" s="6" t="s">
        <v>1402</v>
      </c>
      <c r="P320" s="6" t="s">
        <v>1403</v>
      </c>
    </row>
    <row r="321">
      <c r="A321" s="65"/>
      <c r="B321" s="7" t="s">
        <v>1387</v>
      </c>
      <c r="C321" s="6" t="s">
        <v>1404</v>
      </c>
      <c r="D321" s="6"/>
      <c r="E321" s="6" t="s">
        <v>1390</v>
      </c>
      <c r="F321" s="6" t="str">
        <f t="array" ref="F321">TEXTJOIN("",FALSE,IF(NOT(ISBLANK(C321)), IF(E:E=C321,C:C &amp; "; ",""), ""))</f>
        <v/>
      </c>
      <c r="G321" s="6" t="s">
        <v>1405</v>
      </c>
      <c r="H321" s="68" t="s">
        <v>1399</v>
      </c>
      <c r="I321" s="67" t="s">
        <v>1406</v>
      </c>
      <c r="J321" s="6"/>
      <c r="K321" s="6"/>
      <c r="L321" s="6"/>
      <c r="M321" s="6" t="s">
        <v>1407</v>
      </c>
      <c r="N321" s="47" t="s">
        <v>1395</v>
      </c>
      <c r="O321" s="6" t="s">
        <v>1408</v>
      </c>
      <c r="P321" s="6" t="s">
        <v>1409</v>
      </c>
    </row>
    <row r="322">
      <c r="A322" s="6"/>
      <c r="B322" s="6" t="s">
        <v>1387</v>
      </c>
      <c r="C322" s="6" t="s">
        <v>1410</v>
      </c>
      <c r="D322" s="6" t="s">
        <v>1411</v>
      </c>
      <c r="E322" s="6" t="s">
        <v>1388</v>
      </c>
      <c r="F322" s="6" t="str">
        <f t="array" ref="F322">TEXTJOIN("",FALSE,IF(NOT(ISBLANK(C322)), IF(E:E=C322,C:C &amp; "; ",""), ""))</f>
        <v/>
      </c>
      <c r="G322" s="6" t="s">
        <v>1412</v>
      </c>
      <c r="H322" s="12" t="s">
        <v>1413</v>
      </c>
      <c r="I322" s="6" t="s">
        <v>1414</v>
      </c>
      <c r="J322" s="13"/>
      <c r="K322" s="13"/>
      <c r="L322" s="13"/>
      <c r="M322" s="13"/>
      <c r="N322" s="13"/>
      <c r="O322" s="6" t="s">
        <v>1415</v>
      </c>
      <c r="P322" s="6" t="s">
        <v>1416</v>
      </c>
    </row>
    <row r="323">
      <c r="A323" s="6"/>
      <c r="B323" s="6" t="s">
        <v>1417</v>
      </c>
      <c r="C323" s="6" t="s">
        <v>1418</v>
      </c>
      <c r="D323" s="6"/>
      <c r="E323" s="6"/>
      <c r="F323" s="6" t="str">
        <f t="array" ref="F323">TEXTJOIN("",FALSE,IF(NOT(ISBLANK(C323)), IF(E:E=C323,C:C &amp; "; ",""), ""))</f>
        <v/>
      </c>
      <c r="G323" s="6" t="s">
        <v>1419</v>
      </c>
      <c r="H323" s="68" t="s">
        <v>1420</v>
      </c>
      <c r="I323" s="67" t="s">
        <v>91</v>
      </c>
      <c r="J323" s="6" t="s">
        <v>81</v>
      </c>
      <c r="K323" s="13"/>
      <c r="L323" s="13"/>
      <c r="M323" s="13"/>
      <c r="N323" s="13"/>
      <c r="O323" s="13"/>
      <c r="P323" s="13"/>
    </row>
    <row r="324">
      <c r="A324" s="6"/>
      <c r="B324" s="6" t="s">
        <v>1417</v>
      </c>
      <c r="C324" s="6" t="s">
        <v>1421</v>
      </c>
      <c r="D324" s="6"/>
      <c r="E324" s="6" t="s">
        <v>1422</v>
      </c>
      <c r="F324" s="6" t="str">
        <f t="array" ref="F324">TEXTJOIN("",FALSE,IF(NOT(ISBLANK(C324)), IF(E:E=C324,C:C &amp; "; ",""), ""))</f>
        <v/>
      </c>
      <c r="G324" s="6" t="s">
        <v>1423</v>
      </c>
      <c r="H324" s="68" t="s">
        <v>1420</v>
      </c>
      <c r="I324" s="67" t="s">
        <v>91</v>
      </c>
      <c r="J324" s="6" t="s">
        <v>81</v>
      </c>
      <c r="K324" s="13"/>
      <c r="L324" s="13"/>
      <c r="M324" s="13"/>
      <c r="N324" s="13"/>
      <c r="O324" s="13"/>
      <c r="P324" s="13"/>
    </row>
    <row r="325">
      <c r="A325" s="6"/>
      <c r="B325" s="6" t="s">
        <v>1417</v>
      </c>
      <c r="C325" s="6" t="s">
        <v>1424</v>
      </c>
      <c r="D325" s="6"/>
      <c r="E325" s="6" t="s">
        <v>1422</v>
      </c>
      <c r="F325" s="6" t="str">
        <f t="array" ref="F325">TEXTJOIN("",FALSE,IF(NOT(ISBLANK(C325)), IF(E:E=C325,C:C &amp; "; ",""), ""))</f>
        <v>Approximate Diameter; Decremental Diameter; </v>
      </c>
      <c r="G325" s="6" t="s">
        <v>1425</v>
      </c>
      <c r="H325" s="68" t="s">
        <v>1420</v>
      </c>
      <c r="I325" s="67" t="s">
        <v>91</v>
      </c>
      <c r="J325" s="6" t="s">
        <v>81</v>
      </c>
      <c r="K325" s="13"/>
      <c r="L325" s="13"/>
      <c r="M325" s="13"/>
      <c r="N325" s="13"/>
      <c r="O325" s="13"/>
      <c r="P325" s="13"/>
      <c r="R325" s="9" t="s">
        <v>1426</v>
      </c>
    </row>
    <row r="326">
      <c r="A326" s="6"/>
      <c r="B326" s="6" t="s">
        <v>1417</v>
      </c>
      <c r="C326" s="7" t="s">
        <v>1427</v>
      </c>
      <c r="D326" s="7" t="s">
        <v>1428</v>
      </c>
      <c r="E326" s="7" t="s">
        <v>1429</v>
      </c>
      <c r="F326" s="6" t="str">
        <f t="array" ref="F326">TEXTJOIN("",FALSE,IF(NOT(ISBLANK(C326)), IF(E:E=C326,C:C &amp; "; ",""), ""))</f>
        <v/>
      </c>
      <c r="G326" s="6" t="s">
        <v>1430</v>
      </c>
      <c r="H326" s="12" t="s">
        <v>1431</v>
      </c>
      <c r="I326" s="6" t="s">
        <v>1432</v>
      </c>
      <c r="J326" s="6" t="s">
        <v>22</v>
      </c>
      <c r="K326" s="13"/>
      <c r="L326" s="13"/>
      <c r="M326" s="13"/>
      <c r="N326" s="13"/>
      <c r="O326" s="13"/>
      <c r="P326" s="13"/>
    </row>
    <row r="327">
      <c r="A327" s="6"/>
      <c r="B327" s="6" t="s">
        <v>1417</v>
      </c>
      <c r="C327" s="7" t="s">
        <v>1433</v>
      </c>
      <c r="D327" s="13"/>
      <c r="E327" s="7" t="s">
        <v>1429</v>
      </c>
      <c r="F327" s="6" t="str">
        <f t="array" ref="F327">TEXTJOIN("",FALSE,IF(NOT(ISBLANK(C327)), IF(E:E=C327,C:C &amp; "; ",""), ""))</f>
        <v/>
      </c>
      <c r="G327" s="6" t="s">
        <v>1434</v>
      </c>
      <c r="H327" s="12" t="s">
        <v>1431</v>
      </c>
      <c r="I327" s="6" t="s">
        <v>1432</v>
      </c>
      <c r="J327" s="6" t="s">
        <v>22</v>
      </c>
      <c r="K327" s="13"/>
      <c r="L327" s="13"/>
      <c r="M327" s="13"/>
      <c r="N327" s="13"/>
      <c r="O327" s="13"/>
      <c r="P327" s="13"/>
    </row>
    <row r="328">
      <c r="A328" s="6"/>
      <c r="B328" s="6" t="s">
        <v>1417</v>
      </c>
      <c r="C328" s="7" t="s">
        <v>1429</v>
      </c>
      <c r="D328" s="13"/>
      <c r="E328" s="6" t="s">
        <v>1424</v>
      </c>
      <c r="F328" s="6" t="str">
        <f t="array" ref="F328">TEXTJOIN("",FALSE,IF(NOT(ISBLANK(C328)), IF(E:E=C328,C:C &amp; "; ",""), ""))</f>
        <v>Diameter 2 vs 3; Diameter 3 vs 7; </v>
      </c>
      <c r="G328" s="6" t="s">
        <v>1435</v>
      </c>
      <c r="H328" s="12" t="s">
        <v>1431</v>
      </c>
      <c r="I328" s="6" t="s">
        <v>1432</v>
      </c>
      <c r="J328" s="6" t="s">
        <v>22</v>
      </c>
      <c r="K328" s="13"/>
      <c r="L328" s="13"/>
      <c r="M328" s="13"/>
      <c r="N328" s="13"/>
      <c r="O328" s="13"/>
      <c r="P328" s="13"/>
    </row>
    <row r="329">
      <c r="A329" s="6"/>
      <c r="B329" s="6" t="s">
        <v>1417</v>
      </c>
      <c r="C329" s="6" t="s">
        <v>1436</v>
      </c>
      <c r="D329" s="13"/>
      <c r="E329" s="6" t="s">
        <v>1424</v>
      </c>
      <c r="F329" s="6" t="str">
        <f t="array" ref="F329">TEXTJOIN("",FALSE,IF(NOT(ISBLANK(C329)), IF(E:E=C329,C:C &amp; "; ",""), ""))</f>
        <v>1-sensitive decremental diameter; constant sensitivity (4/3)-approximate incremental diameter; </v>
      </c>
      <c r="G329" s="6" t="s">
        <v>1437</v>
      </c>
      <c r="H329" s="12" t="s">
        <v>330</v>
      </c>
      <c r="I329" s="6" t="s">
        <v>1432</v>
      </c>
      <c r="J329" s="6" t="s">
        <v>22</v>
      </c>
      <c r="K329" s="13"/>
      <c r="L329" s="13"/>
      <c r="M329" s="13"/>
      <c r="N329" s="13"/>
      <c r="O329" s="13"/>
      <c r="P329" s="13"/>
    </row>
    <row r="330">
      <c r="A330" s="6"/>
      <c r="B330" s="6" t="s">
        <v>1417</v>
      </c>
      <c r="C330" s="6" t="s">
        <v>1438</v>
      </c>
      <c r="D330" s="13"/>
      <c r="E330" s="6" t="s">
        <v>1439</v>
      </c>
      <c r="F330" s="6" t="str">
        <f t="array" ref="F330">TEXTJOIN("",FALSE,IF(NOT(ISBLANK(C330)), IF(E:E=C330,C:C &amp; "; ",""), ""))</f>
        <v/>
      </c>
      <c r="G330" s="6" t="s">
        <v>1440</v>
      </c>
      <c r="H330" s="12" t="s">
        <v>330</v>
      </c>
      <c r="I330" s="6" t="s">
        <v>1432</v>
      </c>
      <c r="J330" s="6" t="s">
        <v>22</v>
      </c>
      <c r="K330" s="13"/>
      <c r="L330" s="13"/>
      <c r="M330" s="13"/>
      <c r="N330" s="13"/>
      <c r="O330" s="13"/>
      <c r="P330" s="13"/>
    </row>
    <row r="331">
      <c r="A331" s="6"/>
      <c r="B331" s="6" t="s">
        <v>1417</v>
      </c>
      <c r="C331" s="6" t="s">
        <v>1439</v>
      </c>
      <c r="D331" s="13"/>
      <c r="E331" s="6" t="s">
        <v>1436</v>
      </c>
      <c r="F331" s="6" t="str">
        <f t="array" ref="F331">TEXTJOIN("",FALSE,IF(NOT(ISBLANK(C331)), IF(E:E=C331,C:C &amp; "; ",""), ""))</f>
        <v>1-sensitive (4/3)-approximate decremental diameter; </v>
      </c>
      <c r="G331" s="6" t="s">
        <v>1441</v>
      </c>
      <c r="H331" s="12" t="s">
        <v>330</v>
      </c>
      <c r="I331" s="6" t="s">
        <v>1432</v>
      </c>
      <c r="J331" s="6" t="s">
        <v>22</v>
      </c>
      <c r="K331" s="13"/>
      <c r="L331" s="13"/>
      <c r="M331" s="13"/>
      <c r="N331" s="13"/>
      <c r="O331" s="13"/>
      <c r="P331" s="13"/>
    </row>
    <row r="332">
      <c r="A332" s="6"/>
      <c r="B332" s="6" t="s">
        <v>1417</v>
      </c>
      <c r="C332" s="6" t="s">
        <v>1442</v>
      </c>
      <c r="D332" s="13"/>
      <c r="E332" s="6" t="s">
        <v>1436</v>
      </c>
      <c r="F332" s="6" t="str">
        <f t="array" ref="F332">TEXTJOIN("",FALSE,IF(NOT(ISBLANK(C332)), IF(E:E=C332,C:C &amp; "; ",""), ""))</f>
        <v/>
      </c>
      <c r="G332" s="6" t="s">
        <v>1443</v>
      </c>
      <c r="H332" s="12" t="s">
        <v>330</v>
      </c>
      <c r="I332" s="6" t="s">
        <v>1432</v>
      </c>
      <c r="J332" s="6" t="s">
        <v>22</v>
      </c>
      <c r="K332" s="13"/>
      <c r="L332" s="13"/>
      <c r="M332" s="13"/>
      <c r="N332" s="13"/>
      <c r="O332" s="13"/>
      <c r="P332" s="13"/>
    </row>
    <row r="333">
      <c r="A333" s="6"/>
      <c r="B333" s="6" t="s">
        <v>1417</v>
      </c>
      <c r="C333" s="6" t="s">
        <v>1444</v>
      </c>
      <c r="D333" s="13"/>
      <c r="E333" s="7" t="s">
        <v>1422</v>
      </c>
      <c r="F333" s="6" t="str">
        <f t="array" ref="F333">TEXTJOIN("",FALSE,IF(NOT(ISBLANK(C333)), IF(E:E=C333,C:C &amp; "; ",""), ""))</f>
        <v/>
      </c>
      <c r="G333" s="6" t="s">
        <v>1445</v>
      </c>
      <c r="H333" s="12" t="s">
        <v>330</v>
      </c>
      <c r="I333" s="6" t="s">
        <v>1432</v>
      </c>
      <c r="J333" s="6" t="s">
        <v>22</v>
      </c>
      <c r="K333" s="13"/>
      <c r="L333" s="13"/>
      <c r="M333" s="13"/>
      <c r="N333" s="13"/>
      <c r="O333" s="13"/>
      <c r="P333" s="13"/>
    </row>
    <row r="334">
      <c r="A334" s="6"/>
      <c r="B334" s="6" t="s">
        <v>1446</v>
      </c>
      <c r="C334" s="7" t="s">
        <v>1422</v>
      </c>
      <c r="D334" s="6"/>
      <c r="E334" s="6"/>
      <c r="F334" s="6" t="str">
        <f t="array" ref="F334">TEXTJOIN("",FALSE,IF(NOT(ISBLANK(C334)), IF(E:E=C334,C:C &amp; "; ",""), ""))</f>
        <v>Radius; Diameter; 1-sensitive (4/3)-approximate decremental eccentricity; </v>
      </c>
      <c r="G334" s="6" t="s">
        <v>1447</v>
      </c>
      <c r="H334" s="12" t="s">
        <v>1420</v>
      </c>
      <c r="I334" s="6" t="s">
        <v>1432</v>
      </c>
      <c r="J334" s="6" t="s">
        <v>22</v>
      </c>
      <c r="K334" s="13"/>
      <c r="L334" s="13"/>
      <c r="M334" s="13"/>
      <c r="N334" s="13"/>
      <c r="O334" s="13"/>
      <c r="P334" s="13"/>
    </row>
    <row r="335">
      <c r="A335" s="6"/>
      <c r="B335" s="6" t="s">
        <v>1446</v>
      </c>
      <c r="C335" s="6" t="s">
        <v>1448</v>
      </c>
      <c r="D335" s="6"/>
      <c r="E335" s="6"/>
      <c r="F335" s="6" t="str">
        <f t="array" ref="F335">TEXTJOIN("",FALSE,IF(NOT(ISBLANK(C335)), IF(E:E=C335,C:C &amp; "; ",""), ""))</f>
        <v/>
      </c>
      <c r="G335" s="6" t="s">
        <v>1449</v>
      </c>
      <c r="H335" s="12" t="s">
        <v>1450</v>
      </c>
      <c r="I335" s="6" t="s">
        <v>1432</v>
      </c>
      <c r="J335" s="6" t="s">
        <v>22</v>
      </c>
      <c r="K335" s="13"/>
      <c r="L335" s="13"/>
      <c r="M335" s="13"/>
      <c r="N335" s="13"/>
      <c r="O335" s="13"/>
      <c r="P335" s="13"/>
    </row>
    <row r="336">
      <c r="A336" s="6"/>
      <c r="B336" s="6" t="s">
        <v>1446</v>
      </c>
      <c r="C336" s="6" t="s">
        <v>1451</v>
      </c>
      <c r="D336" s="6" t="s">
        <v>1452</v>
      </c>
      <c r="E336" s="6"/>
      <c r="F336" s="6" t="str">
        <f t="array" ref="F336">TEXTJOIN("",FALSE,IF(NOT(ISBLANK(C336)), IF(E:E=C336,C:C &amp; "; ",""), ""))</f>
        <v>Approximate Betweenness Centrality; Positive Betweenness Centrality; </v>
      </c>
      <c r="G336" s="6" t="s">
        <v>1453</v>
      </c>
      <c r="H336" s="12" t="s">
        <v>1454</v>
      </c>
      <c r="I336" s="6" t="s">
        <v>1432</v>
      </c>
      <c r="J336" s="6" t="s">
        <v>22</v>
      </c>
      <c r="K336" s="13"/>
      <c r="L336" s="13"/>
      <c r="M336" s="13"/>
      <c r="N336" s="13"/>
      <c r="O336" s="13"/>
      <c r="P336" s="13"/>
    </row>
    <row r="337">
      <c r="A337" s="6"/>
      <c r="B337" s="6" t="s">
        <v>1446</v>
      </c>
      <c r="C337" s="6" t="s">
        <v>1455</v>
      </c>
      <c r="D337" s="6"/>
      <c r="E337" s="6" t="s">
        <v>1451</v>
      </c>
      <c r="F337" s="6" t="str">
        <f t="array" ref="F337">TEXTJOIN("",FALSE,IF(NOT(ISBLANK(C337)), IF(E:E=C337,C:C &amp; "; ",""), ""))</f>
        <v/>
      </c>
      <c r="G337" s="6" t="s">
        <v>1456</v>
      </c>
      <c r="H337" s="12" t="s">
        <v>1450</v>
      </c>
      <c r="I337" s="6" t="s">
        <v>1432</v>
      </c>
      <c r="J337" s="6" t="s">
        <v>22</v>
      </c>
      <c r="K337" s="13"/>
      <c r="L337" s="13"/>
      <c r="M337" s="13"/>
      <c r="N337" s="13"/>
      <c r="O337" s="13"/>
      <c r="P337" s="13"/>
    </row>
    <row r="338">
      <c r="A338" s="6"/>
      <c r="B338" s="6" t="s">
        <v>1446</v>
      </c>
      <c r="C338" s="6" t="s">
        <v>1457</v>
      </c>
      <c r="D338" s="13"/>
      <c r="E338" s="6" t="s">
        <v>1451</v>
      </c>
      <c r="F338" s="6" t="str">
        <f t="array" ref="F338">TEXTJOIN("",FALSE,IF(NOT(ISBLANK(C338)), IF(E:E=C338,C:C &amp; "; ",""), ""))</f>
        <v>Directed All-Nodes Positive Betweenness Centrality; Undirected All-Nodes Positive Betweenness Centrality; </v>
      </c>
      <c r="G338" s="6" t="s">
        <v>1458</v>
      </c>
      <c r="H338" s="12" t="s">
        <v>1454</v>
      </c>
      <c r="I338" s="6" t="s">
        <v>1432</v>
      </c>
      <c r="J338" s="6" t="s">
        <v>22</v>
      </c>
      <c r="K338" s="13"/>
      <c r="L338" s="13"/>
      <c r="M338" s="13"/>
      <c r="N338" s="13"/>
      <c r="O338" s="13"/>
      <c r="P338" s="13"/>
    </row>
    <row r="339">
      <c r="A339" s="6"/>
      <c r="B339" s="6" t="s">
        <v>1446</v>
      </c>
      <c r="C339" s="6" t="s">
        <v>1459</v>
      </c>
      <c r="D339" s="6"/>
      <c r="E339" s="6" t="s">
        <v>1457</v>
      </c>
      <c r="F339" s="6" t="str">
        <f t="array" ref="F339">TEXTJOIN("",FALSE,IF(NOT(ISBLANK(C339)), IF(E:E=C339,C:C &amp; "; ",""), ""))</f>
        <v/>
      </c>
      <c r="G339" s="6" t="s">
        <v>1460</v>
      </c>
      <c r="H339" s="12" t="s">
        <v>1454</v>
      </c>
      <c r="I339" s="6" t="s">
        <v>1432</v>
      </c>
      <c r="J339" s="6" t="s">
        <v>22</v>
      </c>
      <c r="K339" s="13"/>
      <c r="L339" s="13"/>
      <c r="M339" s="13"/>
      <c r="N339" s="13"/>
      <c r="O339" s="13"/>
      <c r="P339" s="13"/>
    </row>
    <row r="340">
      <c r="A340" s="6"/>
      <c r="B340" s="6" t="s">
        <v>1446</v>
      </c>
      <c r="C340" s="6" t="s">
        <v>1461</v>
      </c>
      <c r="D340" s="6"/>
      <c r="E340" s="6" t="s">
        <v>1457</v>
      </c>
      <c r="F340" s="6" t="str">
        <f t="array" ref="F340">TEXTJOIN("",FALSE,IF(NOT(ISBLANK(C340)), IF(E:E=C340,C:C &amp; "; ",""), ""))</f>
        <v/>
      </c>
      <c r="G340" s="6" t="s">
        <v>1462</v>
      </c>
      <c r="H340" s="12" t="s">
        <v>1454</v>
      </c>
      <c r="I340" s="6" t="s">
        <v>1432</v>
      </c>
      <c r="J340" s="6" t="s">
        <v>22</v>
      </c>
      <c r="K340" s="6"/>
      <c r="L340" s="6"/>
      <c r="M340" s="6"/>
      <c r="N340" s="52"/>
      <c r="O340" s="13"/>
      <c r="P340" s="13"/>
    </row>
    <row r="341">
      <c r="A341" s="6"/>
      <c r="B341" s="6" t="s">
        <v>1446</v>
      </c>
      <c r="C341" s="6" t="s">
        <v>1463</v>
      </c>
      <c r="D341" s="6"/>
      <c r="E341" s="6"/>
      <c r="F341" s="6" t="str">
        <f t="array" ref="F341">TEXTJOIN("",FALSE,IF(NOT(ISBLANK(C341)), IF(E:E=C341,C:C &amp; "; ",""), ""))</f>
        <v>Directed All-Nodes Reach Centrality; Undirected All-Nodes Reach Centrality; Approximate Reach Centrality; </v>
      </c>
      <c r="G341" s="6" t="s">
        <v>1464</v>
      </c>
      <c r="H341" s="12" t="s">
        <v>1465</v>
      </c>
      <c r="I341" s="6" t="s">
        <v>1432</v>
      </c>
      <c r="J341" s="6" t="s">
        <v>22</v>
      </c>
      <c r="K341" s="13"/>
      <c r="L341" s="13"/>
      <c r="M341" s="13"/>
      <c r="N341" s="13"/>
      <c r="O341" s="13"/>
      <c r="P341" s="13"/>
    </row>
    <row r="342">
      <c r="A342" s="6"/>
      <c r="B342" s="6" t="s">
        <v>1446</v>
      </c>
      <c r="C342" s="6" t="s">
        <v>1466</v>
      </c>
      <c r="D342" s="13"/>
      <c r="E342" s="6" t="s">
        <v>1463</v>
      </c>
      <c r="F342" s="6" t="str">
        <f t="array" ref="F342">TEXTJOIN("",FALSE,IF(NOT(ISBLANK(C342)), IF(E:E=C342,C:C &amp; "; ",""), ""))</f>
        <v/>
      </c>
      <c r="G342" s="6" t="s">
        <v>1467</v>
      </c>
      <c r="H342" s="12" t="s">
        <v>1465</v>
      </c>
      <c r="I342" s="6" t="s">
        <v>1432</v>
      </c>
      <c r="J342" s="6" t="s">
        <v>22</v>
      </c>
      <c r="K342" s="13"/>
      <c r="L342" s="13"/>
      <c r="M342" s="13"/>
      <c r="N342" s="13"/>
      <c r="O342" s="13"/>
      <c r="P342" s="13"/>
    </row>
    <row r="343">
      <c r="A343" s="6"/>
      <c r="B343" s="6" t="s">
        <v>1446</v>
      </c>
      <c r="C343" s="6" t="s">
        <v>1468</v>
      </c>
      <c r="D343" s="13"/>
      <c r="E343" s="6" t="s">
        <v>1463</v>
      </c>
      <c r="F343" s="6" t="str">
        <f t="array" ref="F343">TEXTJOIN("",FALSE,IF(NOT(ISBLANK(C343)), IF(E:E=C343,C:C &amp; "; ",""), ""))</f>
        <v/>
      </c>
      <c r="G343" s="6" t="s">
        <v>1469</v>
      </c>
      <c r="H343" s="12" t="s">
        <v>1465</v>
      </c>
      <c r="I343" s="6" t="s">
        <v>1432</v>
      </c>
      <c r="J343" s="6" t="s">
        <v>22</v>
      </c>
      <c r="K343" s="13"/>
      <c r="L343" s="13"/>
      <c r="M343" s="13"/>
      <c r="N343" s="13"/>
      <c r="O343" s="13"/>
      <c r="P343" s="13"/>
    </row>
    <row r="344">
      <c r="A344" s="6"/>
      <c r="B344" s="6" t="s">
        <v>1446</v>
      </c>
      <c r="C344" s="6" t="s">
        <v>1470</v>
      </c>
      <c r="D344" s="13"/>
      <c r="E344" s="6" t="s">
        <v>1463</v>
      </c>
      <c r="F344" s="6" t="str">
        <f t="array" ref="F344">TEXTJOIN("",FALSE,IF(NOT(ISBLANK(C344)), IF(E:E=C344,C:C &amp; "; ",""), ""))</f>
        <v/>
      </c>
      <c r="G344" s="6" t="s">
        <v>1471</v>
      </c>
      <c r="H344" s="12" t="s">
        <v>1465</v>
      </c>
      <c r="I344" s="6" t="s">
        <v>1432</v>
      </c>
      <c r="J344" s="6" t="s">
        <v>22</v>
      </c>
      <c r="K344" s="13"/>
      <c r="L344" s="13"/>
      <c r="M344" s="13"/>
      <c r="N344" s="13"/>
      <c r="O344" s="13"/>
      <c r="P344" s="13"/>
    </row>
    <row r="345">
      <c r="A345" s="6"/>
      <c r="B345" s="6" t="s">
        <v>1472</v>
      </c>
      <c r="C345" s="6" t="s">
        <v>1473</v>
      </c>
      <c r="D345" s="6"/>
      <c r="E345" s="6" t="s">
        <v>1474</v>
      </c>
      <c r="F345" s="6" t="str">
        <f t="array" ref="F345">TEXTJOIN("",FALSE,IF(NOT(ISBLANK(C345)), IF(E:E=C345,C:C &amp; "; ",""), ""))</f>
        <v>Negative Triangle Search; </v>
      </c>
      <c r="G345" s="6" t="s">
        <v>1475</v>
      </c>
      <c r="H345" s="33" t="s">
        <v>125</v>
      </c>
      <c r="I345" s="6" t="s">
        <v>1432</v>
      </c>
      <c r="J345" s="6" t="s">
        <v>22</v>
      </c>
      <c r="K345" s="13"/>
      <c r="L345" s="13"/>
      <c r="M345" s="13"/>
      <c r="N345" s="13"/>
      <c r="O345" s="13"/>
      <c r="P345" s="13"/>
    </row>
    <row r="346">
      <c r="A346" s="6"/>
      <c r="B346" s="6" t="s">
        <v>1472</v>
      </c>
      <c r="C346" s="6" t="s">
        <v>1476</v>
      </c>
      <c r="D346" s="6"/>
      <c r="E346" s="6" t="s">
        <v>1473</v>
      </c>
      <c r="F346" s="6" t="str">
        <f t="array" ref="F346">TEXTJOIN("",FALSE,IF(NOT(ISBLANK(C346)), IF(E:E=C346,C:C &amp; "; ",""), ""))</f>
        <v>Negative Triangle Listing; </v>
      </c>
      <c r="G346" s="6" t="s">
        <v>1477</v>
      </c>
      <c r="H346" s="12" t="s">
        <v>125</v>
      </c>
      <c r="I346" s="6" t="s">
        <v>1432</v>
      </c>
      <c r="J346" s="6" t="s">
        <v>22</v>
      </c>
      <c r="K346" s="13"/>
      <c r="L346" s="13"/>
      <c r="M346" s="13"/>
      <c r="N346" s="13"/>
      <c r="O346" s="13"/>
      <c r="P346" s="13"/>
    </row>
    <row r="347">
      <c r="A347" s="6"/>
      <c r="B347" s="6" t="s">
        <v>1472</v>
      </c>
      <c r="C347" s="6" t="s">
        <v>1478</v>
      </c>
      <c r="D347" s="6"/>
      <c r="E347" s="6" t="s">
        <v>1476</v>
      </c>
      <c r="F347" s="6" t="str">
        <f t="array" ref="F347">TEXTJOIN("",FALSE,IF(NOT(ISBLANK(C347)), IF(E:E=C347,C:C &amp; "; ",""), ""))</f>
        <v/>
      </c>
      <c r="G347" s="6" t="s">
        <v>1479</v>
      </c>
      <c r="H347" s="12" t="s">
        <v>125</v>
      </c>
      <c r="I347" s="6" t="s">
        <v>1432</v>
      </c>
      <c r="J347" s="6" t="s">
        <v>22</v>
      </c>
      <c r="K347" s="13"/>
      <c r="L347" s="13"/>
      <c r="M347" s="13"/>
      <c r="N347" s="13"/>
      <c r="O347" s="13"/>
      <c r="P347" s="13"/>
    </row>
    <row r="348">
      <c r="A348" s="6"/>
      <c r="B348" s="6" t="s">
        <v>1472</v>
      </c>
      <c r="C348" s="6" t="s">
        <v>1480</v>
      </c>
      <c r="D348" s="6"/>
      <c r="E348" s="6" t="s">
        <v>1474</v>
      </c>
      <c r="F348" s="6" t="str">
        <f t="array" ref="F348">TEXTJOIN("",FALSE,IF(NOT(ISBLANK(C348)), IF(E:E=C348,C:C &amp; "; ",""), ""))</f>
        <v/>
      </c>
      <c r="G348" s="6" t="s">
        <v>1481</v>
      </c>
      <c r="H348" s="33" t="s">
        <v>125</v>
      </c>
      <c r="I348" s="6" t="s">
        <v>1432</v>
      </c>
      <c r="J348" s="6" t="s">
        <v>22</v>
      </c>
      <c r="K348" s="13"/>
      <c r="L348" s="13"/>
      <c r="M348" s="13"/>
      <c r="N348" s="13"/>
      <c r="O348" s="13"/>
      <c r="P348" s="13"/>
    </row>
    <row r="349">
      <c r="A349" s="6"/>
      <c r="B349" s="6" t="s">
        <v>1472</v>
      </c>
      <c r="C349" s="6" t="s">
        <v>1482</v>
      </c>
      <c r="D349" s="6"/>
      <c r="E349" s="6" t="s">
        <v>1474</v>
      </c>
      <c r="F349" s="6" t="str">
        <f t="array" ref="F349">TEXTJOIN("",FALSE,IF(NOT(ISBLANK(C349)), IF(E:E=C349,C:C &amp; "; ",""), ""))</f>
        <v/>
      </c>
      <c r="G349" s="6" t="s">
        <v>1483</v>
      </c>
      <c r="H349" s="33" t="s">
        <v>125</v>
      </c>
      <c r="I349" s="6" t="s">
        <v>1432</v>
      </c>
      <c r="J349" s="6" t="s">
        <v>22</v>
      </c>
      <c r="K349" s="13"/>
      <c r="L349" s="13"/>
      <c r="M349" s="13"/>
      <c r="N349" s="13"/>
      <c r="O349" s="13"/>
      <c r="P349" s="13"/>
    </row>
    <row r="350">
      <c r="A350" s="6"/>
      <c r="B350" s="6" t="s">
        <v>1472</v>
      </c>
      <c r="C350" s="6" t="s">
        <v>1484</v>
      </c>
      <c r="D350" s="6"/>
      <c r="E350" s="6" t="s">
        <v>1474</v>
      </c>
      <c r="F350" s="6" t="str">
        <f t="array" ref="F350">TEXTJOIN("",FALSE,IF(NOT(ISBLANK(C350)), IF(E:E=C350,C:C &amp; "; ",""), ""))</f>
        <v/>
      </c>
      <c r="G350" s="6" t="s">
        <v>1485</v>
      </c>
      <c r="H350" s="33" t="s">
        <v>125</v>
      </c>
      <c r="I350" s="6" t="s">
        <v>1432</v>
      </c>
      <c r="J350" s="6" t="s">
        <v>22</v>
      </c>
      <c r="K350" s="13"/>
      <c r="L350" s="13"/>
      <c r="M350" s="13"/>
      <c r="N350" s="13"/>
      <c r="O350" s="13"/>
      <c r="P350" s="13"/>
    </row>
    <row r="351">
      <c r="A351" s="6"/>
      <c r="B351" s="6" t="s">
        <v>1472</v>
      </c>
      <c r="C351" s="6" t="s">
        <v>1474</v>
      </c>
      <c r="D351" s="6"/>
      <c r="E351" s="6"/>
      <c r="F351" s="6" t="str">
        <f t="array" ref="F351">TEXTJOIN("",FALSE,IF(NOT(ISBLANK(C351)), IF(E:E=C351,C:C &amp; "; ",""), ""))</f>
        <v>Negative Triangle Detection; Nondecreasing Triangle; Minimum Triangle; Triangle in Unweighted Graph; Triangle Collection*; </v>
      </c>
      <c r="G351" s="6" t="s">
        <v>1486</v>
      </c>
      <c r="H351" s="33" t="s">
        <v>125</v>
      </c>
      <c r="I351" s="6" t="s">
        <v>1432</v>
      </c>
      <c r="J351" s="6" t="s">
        <v>22</v>
      </c>
      <c r="K351" s="13"/>
      <c r="L351" s="13"/>
      <c r="M351" s="13"/>
      <c r="N351" s="13"/>
      <c r="O351" s="13"/>
      <c r="P351" s="13"/>
    </row>
    <row r="352">
      <c r="A352" s="6"/>
      <c r="B352" s="6" t="s">
        <v>1472</v>
      </c>
      <c r="C352" s="6" t="s">
        <v>1487</v>
      </c>
      <c r="D352" s="44" t="s">
        <v>1488</v>
      </c>
      <c r="E352" s="6" t="s">
        <v>1474</v>
      </c>
      <c r="F352" s="6" t="str">
        <f t="array" ref="F352">TEXTJOIN("",FALSE,IF(NOT(ISBLANK(C352)), IF(E:E=C352,C:C &amp; "; ",""), ""))</f>
        <v/>
      </c>
      <c r="G352" s="44" t="s">
        <v>1489</v>
      </c>
      <c r="H352" s="33" t="s">
        <v>1490</v>
      </c>
      <c r="I352" s="6" t="s">
        <v>1432</v>
      </c>
      <c r="J352" s="6" t="s">
        <v>22</v>
      </c>
      <c r="K352" s="13"/>
      <c r="L352" s="13"/>
      <c r="M352" s="13"/>
      <c r="N352" s="13"/>
      <c r="O352" s="13"/>
      <c r="P352" s="13"/>
    </row>
    <row r="353">
      <c r="A353" s="6"/>
      <c r="B353" s="6" t="s">
        <v>1491</v>
      </c>
      <c r="C353" s="6" t="s">
        <v>1491</v>
      </c>
      <c r="D353" s="44"/>
      <c r="E353" s="44"/>
      <c r="F353" s="6" t="str">
        <f t="array" ref="F353">TEXTJOIN("",FALSE,IF(NOT(ISBLANK(C353)), IF(E:E=C353,C:C &amp; "; ",""), ""))</f>
        <v/>
      </c>
      <c r="G353" s="44" t="s">
        <v>1492</v>
      </c>
      <c r="H353" s="33" t="s">
        <v>125</v>
      </c>
      <c r="I353" s="6" t="s">
        <v>1493</v>
      </c>
      <c r="J353" s="6" t="s">
        <v>114</v>
      </c>
      <c r="K353" s="13"/>
      <c r="L353" s="13"/>
      <c r="M353" s="13"/>
      <c r="N353" s="13"/>
      <c r="O353" s="13"/>
      <c r="P353" s="13"/>
    </row>
    <row r="354">
      <c r="A354" s="6"/>
      <c r="B354" s="6" t="s">
        <v>1494</v>
      </c>
      <c r="C354" s="6" t="s">
        <v>1494</v>
      </c>
      <c r="D354" s="13"/>
      <c r="E354" s="13"/>
      <c r="F354" s="6" t="str">
        <f t="array" ref="F354">TEXTJOIN("",FALSE,IF(NOT(ISBLANK(C354)), IF(E:E=C354,C:C &amp; "; ",""), ""))</f>
        <v/>
      </c>
      <c r="G354" s="6" t="s">
        <v>1495</v>
      </c>
      <c r="H354" s="12" t="s">
        <v>1496</v>
      </c>
      <c r="I354" s="6" t="s">
        <v>1497</v>
      </c>
      <c r="J354" s="6" t="s">
        <v>1498</v>
      </c>
      <c r="K354" s="13"/>
      <c r="L354" s="13"/>
      <c r="M354" s="13"/>
      <c r="N354" s="13"/>
      <c r="O354" s="13"/>
      <c r="P354" s="13"/>
    </row>
    <row r="355">
      <c r="A355" s="7"/>
      <c r="B355" s="7" t="s">
        <v>1499</v>
      </c>
      <c r="C355" s="7" t="s">
        <v>1499</v>
      </c>
      <c r="D355" s="6" t="s">
        <v>1500</v>
      </c>
      <c r="E355" s="13"/>
      <c r="F355" s="6" t="str">
        <f t="array" ref="F355">TEXTJOIN("",FALSE,IF(NOT(ISBLANK(C355)), IF(E:E=C355,C:C &amp; "; ",""), ""))</f>
        <v/>
      </c>
      <c r="G355" s="6" t="s">
        <v>1501</v>
      </c>
      <c r="H355" s="12" t="s">
        <v>1413</v>
      </c>
      <c r="I355" s="6" t="s">
        <v>1497</v>
      </c>
      <c r="J355" s="6" t="s">
        <v>1498</v>
      </c>
      <c r="K355" s="13"/>
      <c r="L355" s="13"/>
      <c r="M355" s="13"/>
      <c r="N355" s="13"/>
      <c r="O355" s="13"/>
      <c r="P355" s="13"/>
    </row>
    <row r="356">
      <c r="A356" s="6"/>
      <c r="B356" s="6" t="s">
        <v>1502</v>
      </c>
      <c r="C356" s="6" t="s">
        <v>1502</v>
      </c>
      <c r="D356" s="6"/>
      <c r="E356" s="6"/>
      <c r="F356" s="6" t="str">
        <f t="array" ref="F356">TEXTJOIN("",FALSE,IF(NOT(ISBLANK(C356)), IF(E:E=C356,C:C &amp; "; ",""), ""))</f>
        <v/>
      </c>
      <c r="G356" s="6" t="s">
        <v>1503</v>
      </c>
      <c r="H356" s="12" t="s">
        <v>1504</v>
      </c>
      <c r="I356" s="6" t="s">
        <v>1505</v>
      </c>
      <c r="J356" s="6" t="s">
        <v>1506</v>
      </c>
      <c r="K356" s="13"/>
      <c r="L356" s="13"/>
      <c r="M356" s="13"/>
      <c r="N356" s="13"/>
      <c r="O356" s="6" t="s">
        <v>1507</v>
      </c>
      <c r="P356" s="6" t="s">
        <v>1508</v>
      </c>
    </row>
    <row r="357">
      <c r="A357" s="6"/>
      <c r="B357" s="6" t="s">
        <v>1509</v>
      </c>
      <c r="C357" s="7" t="s">
        <v>1510</v>
      </c>
      <c r="D357" s="6"/>
      <c r="E357" s="6"/>
      <c r="F357" s="6" t="str">
        <f t="array" ref="F357">TEXTJOIN("",FALSE,IF(NOT(ISBLANK(C357)), IF(E:E=C357,C:C &amp; "; ",""), ""))</f>
        <v/>
      </c>
      <c r="G357" s="6" t="s">
        <v>1511</v>
      </c>
      <c r="H357" s="11" t="s">
        <v>1512</v>
      </c>
      <c r="I357" s="6" t="s">
        <v>672</v>
      </c>
      <c r="J357" s="6" t="s">
        <v>22</v>
      </c>
      <c r="K357" s="13"/>
      <c r="L357" s="13"/>
      <c r="M357" s="13"/>
      <c r="N357" s="13"/>
      <c r="O357" s="13"/>
      <c r="P357" s="13"/>
    </row>
    <row r="358">
      <c r="A358" s="6"/>
      <c r="B358" s="6" t="s">
        <v>1509</v>
      </c>
      <c r="C358" s="7" t="s">
        <v>1513</v>
      </c>
      <c r="D358" s="6"/>
      <c r="E358" s="6"/>
      <c r="F358" s="6" t="str">
        <f t="array" ref="F358">TEXTJOIN("",FALSE,IF(NOT(ISBLANK(C358)), IF(E:E=C358,C:C &amp; "; ",""), ""))</f>
        <v/>
      </c>
      <c r="G358" s="6" t="s">
        <v>1514</v>
      </c>
      <c r="H358" s="11" t="s">
        <v>1512</v>
      </c>
      <c r="I358" s="6" t="s">
        <v>446</v>
      </c>
      <c r="J358" s="6" t="s">
        <v>22</v>
      </c>
      <c r="K358" s="13"/>
      <c r="L358" s="13"/>
      <c r="M358" s="13"/>
      <c r="N358" s="13"/>
      <c r="O358" s="13"/>
      <c r="P358" s="13"/>
    </row>
    <row r="359">
      <c r="A359" s="6"/>
      <c r="B359" s="6" t="s">
        <v>1515</v>
      </c>
      <c r="C359" s="7" t="s">
        <v>1516</v>
      </c>
      <c r="D359" s="6"/>
      <c r="E359" s="6"/>
      <c r="F359" s="6" t="str">
        <f t="array" ref="F359">TEXTJOIN("",FALSE,IF(NOT(ISBLANK(C359)), IF(E:E=C359,C:C &amp; "; ",""), ""))</f>
        <v/>
      </c>
      <c r="G359" s="6" t="s">
        <v>1517</v>
      </c>
      <c r="H359" s="11" t="s">
        <v>1512</v>
      </c>
      <c r="I359" s="6" t="s">
        <v>1518</v>
      </c>
      <c r="J359" s="6" t="s">
        <v>22</v>
      </c>
      <c r="K359" s="13"/>
      <c r="L359" s="13"/>
      <c r="M359" s="13"/>
      <c r="N359" s="13"/>
      <c r="O359" s="13"/>
      <c r="P359" s="13"/>
    </row>
    <row r="360">
      <c r="A360" s="6"/>
      <c r="B360" s="6" t="s">
        <v>1515</v>
      </c>
      <c r="C360" s="7" t="s">
        <v>1519</v>
      </c>
      <c r="D360" s="6"/>
      <c r="E360" s="6"/>
      <c r="F360" s="6" t="str">
        <f t="array" ref="F360">TEXTJOIN("",FALSE,IF(NOT(ISBLANK(C360)), IF(E:E=C360,C:C &amp; "; ",""), ""))</f>
        <v/>
      </c>
      <c r="G360" s="6" t="s">
        <v>1520</v>
      </c>
      <c r="H360" s="11" t="s">
        <v>1512</v>
      </c>
      <c r="I360" s="6" t="s">
        <v>1518</v>
      </c>
      <c r="J360" s="6" t="s">
        <v>22</v>
      </c>
      <c r="K360" s="13"/>
      <c r="L360" s="13"/>
      <c r="M360" s="13"/>
      <c r="N360" s="13"/>
      <c r="O360" s="13"/>
      <c r="P360" s="13"/>
    </row>
    <row r="361">
      <c r="A361" s="6"/>
      <c r="B361" s="6" t="s">
        <v>1521</v>
      </c>
      <c r="C361" s="7" t="s">
        <v>1522</v>
      </c>
      <c r="D361" s="6"/>
      <c r="E361" s="6"/>
      <c r="F361" s="6" t="str">
        <f t="array" ref="F361">TEXTJOIN("",FALSE,IF(NOT(ISBLANK(C361)), IF(E:E=C361,C:C &amp; "; ",""), ""))</f>
        <v/>
      </c>
      <c r="G361" s="6" t="s">
        <v>1523</v>
      </c>
      <c r="H361" s="11" t="s">
        <v>1512</v>
      </c>
      <c r="I361" s="6" t="s">
        <v>1524</v>
      </c>
      <c r="J361" s="6" t="s">
        <v>22</v>
      </c>
      <c r="K361" s="13"/>
      <c r="L361" s="13"/>
      <c r="M361" s="13"/>
      <c r="N361" s="13"/>
      <c r="O361" s="13"/>
      <c r="P361" s="13"/>
    </row>
    <row r="362">
      <c r="A362" s="6"/>
      <c r="B362" s="6" t="s">
        <v>1521</v>
      </c>
      <c r="C362" s="7" t="s">
        <v>1525</v>
      </c>
      <c r="D362" s="6"/>
      <c r="E362" s="6"/>
      <c r="F362" s="6" t="str">
        <f t="array" ref="F362">TEXTJOIN("",FALSE,IF(NOT(ISBLANK(C362)), IF(E:E=C362,C:C &amp; "; ",""), ""))</f>
        <v/>
      </c>
      <c r="G362" s="6" t="s">
        <v>1526</v>
      </c>
      <c r="H362" s="11" t="s">
        <v>1512</v>
      </c>
      <c r="I362" s="6" t="s">
        <v>1527</v>
      </c>
      <c r="J362" s="6" t="s">
        <v>22</v>
      </c>
      <c r="K362" s="13"/>
      <c r="L362" s="13"/>
      <c r="M362" s="13"/>
      <c r="N362" s="13"/>
      <c r="O362" s="13"/>
      <c r="P362" s="13"/>
    </row>
    <row r="363">
      <c r="A363" s="6"/>
      <c r="B363" s="6" t="s">
        <v>1521</v>
      </c>
      <c r="C363" s="7" t="s">
        <v>1528</v>
      </c>
      <c r="D363" s="6"/>
      <c r="E363" s="6"/>
      <c r="F363" s="6" t="str">
        <f t="array" ref="F363">TEXTJOIN("",FALSE,IF(NOT(ISBLANK(C363)), IF(E:E=C363,C:C &amp; "; ",""), ""))</f>
        <v/>
      </c>
      <c r="G363" s="6" t="s">
        <v>1529</v>
      </c>
      <c r="H363" s="11" t="s">
        <v>1512</v>
      </c>
      <c r="I363" s="6" t="s">
        <v>1527</v>
      </c>
      <c r="J363" s="6" t="s">
        <v>22</v>
      </c>
      <c r="K363" s="13"/>
      <c r="L363" s="13"/>
      <c r="M363" s="13"/>
      <c r="N363" s="13"/>
      <c r="O363" s="13"/>
      <c r="P363" s="13"/>
    </row>
    <row r="364">
      <c r="A364" s="6"/>
      <c r="B364" s="6" t="s">
        <v>1521</v>
      </c>
      <c r="C364" s="7" t="s">
        <v>1530</v>
      </c>
      <c r="D364" s="6"/>
      <c r="E364" s="6"/>
      <c r="F364" s="6" t="str">
        <f t="array" ref="F364">TEXTJOIN("",FALSE,IF(NOT(ISBLANK(C364)), IF(E:E=C364,C:C &amp; "; ",""), ""))</f>
        <v/>
      </c>
      <c r="G364" s="6" t="s">
        <v>1531</v>
      </c>
      <c r="H364" s="11" t="s">
        <v>1512</v>
      </c>
      <c r="I364" s="6" t="s">
        <v>1527</v>
      </c>
      <c r="J364" s="6" t="s">
        <v>22</v>
      </c>
      <c r="K364" s="13"/>
      <c r="L364" s="13"/>
      <c r="M364" s="13"/>
      <c r="N364" s="13"/>
      <c r="O364" s="13"/>
      <c r="P364" s="13"/>
    </row>
    <row r="365">
      <c r="A365" s="6"/>
      <c r="B365" s="6" t="s">
        <v>1521</v>
      </c>
      <c r="C365" s="7" t="s">
        <v>1532</v>
      </c>
      <c r="D365" s="6"/>
      <c r="E365" s="6"/>
      <c r="F365" s="6" t="str">
        <f t="array" ref="F365">TEXTJOIN("",FALSE,IF(NOT(ISBLANK(C365)), IF(E:E=C365,C:C &amp; "; ",""), ""))</f>
        <v/>
      </c>
      <c r="G365" s="6" t="s">
        <v>1533</v>
      </c>
      <c r="H365" s="11" t="s">
        <v>1512</v>
      </c>
      <c r="I365" s="6" t="s">
        <v>1534</v>
      </c>
      <c r="J365" s="6" t="s">
        <v>22</v>
      </c>
      <c r="K365" s="13"/>
      <c r="L365" s="13"/>
      <c r="M365" s="13"/>
      <c r="N365" s="13"/>
      <c r="O365" s="13"/>
      <c r="P365" s="13"/>
    </row>
    <row r="366">
      <c r="A366" s="6"/>
      <c r="B366" s="6" t="s">
        <v>1521</v>
      </c>
      <c r="C366" s="6" t="s">
        <v>1535</v>
      </c>
      <c r="D366" s="6"/>
      <c r="E366" s="6"/>
      <c r="F366" s="6" t="str">
        <f t="array" ref="F366">TEXTJOIN("",FALSE,IF(NOT(ISBLANK(C366)), IF(E:E=C366,C:C &amp; "; ",""), ""))</f>
        <v/>
      </c>
      <c r="G366" s="6" t="s">
        <v>1536</v>
      </c>
      <c r="H366" s="12" t="s">
        <v>741</v>
      </c>
      <c r="I366" s="6" t="s">
        <v>1537</v>
      </c>
      <c r="J366" s="6" t="s">
        <v>22</v>
      </c>
      <c r="K366" s="6"/>
      <c r="L366" s="6"/>
      <c r="M366" s="6" t="s">
        <v>894</v>
      </c>
      <c r="N366" s="19" t="s">
        <v>1538</v>
      </c>
      <c r="O366" s="6" t="s">
        <v>1539</v>
      </c>
      <c r="P366" s="18" t="s">
        <v>741</v>
      </c>
    </row>
    <row r="367">
      <c r="A367" s="6"/>
      <c r="B367" s="6" t="s">
        <v>1521</v>
      </c>
      <c r="C367" s="6" t="s">
        <v>1540</v>
      </c>
      <c r="D367" s="6"/>
      <c r="E367" s="6"/>
      <c r="F367" s="6" t="str">
        <f t="array" ref="F367">TEXTJOIN("",FALSE,IF(NOT(ISBLANK(C367)), IF(E:E=C367,C:C &amp; "; ",""), ""))</f>
        <v/>
      </c>
      <c r="G367" s="6" t="s">
        <v>1541</v>
      </c>
      <c r="H367" s="12" t="s">
        <v>741</v>
      </c>
      <c r="I367" s="6" t="s">
        <v>1542</v>
      </c>
      <c r="J367" s="6" t="s">
        <v>22</v>
      </c>
      <c r="K367" s="6"/>
      <c r="L367" s="6"/>
      <c r="M367" s="6" t="s">
        <v>1543</v>
      </c>
      <c r="N367" s="19" t="s">
        <v>1544</v>
      </c>
      <c r="O367" s="6" t="s">
        <v>1545</v>
      </c>
      <c r="P367" s="18" t="s">
        <v>741</v>
      </c>
    </row>
    <row r="368">
      <c r="A368" s="6"/>
      <c r="B368" s="6" t="s">
        <v>1546</v>
      </c>
      <c r="C368" s="7" t="s">
        <v>1547</v>
      </c>
      <c r="D368" s="6"/>
      <c r="E368" s="6"/>
      <c r="F368" s="6" t="str">
        <f t="array" ref="F368">TEXTJOIN("",FALSE,IF(NOT(ISBLANK(C368)), IF(E:E=C368,C:C &amp; "; ",""), ""))</f>
        <v/>
      </c>
      <c r="G368" s="6" t="s">
        <v>1548</v>
      </c>
      <c r="H368" s="11" t="s">
        <v>1512</v>
      </c>
      <c r="I368" s="6" t="s">
        <v>1549</v>
      </c>
      <c r="J368" s="6" t="s">
        <v>22</v>
      </c>
      <c r="K368" s="13"/>
      <c r="L368" s="13"/>
      <c r="M368" s="13"/>
      <c r="N368" s="13"/>
      <c r="O368" s="13"/>
      <c r="P368" s="13"/>
    </row>
    <row r="369">
      <c r="A369" s="6"/>
      <c r="B369" s="6" t="s">
        <v>1546</v>
      </c>
      <c r="C369" s="7" t="s">
        <v>1550</v>
      </c>
      <c r="D369" s="6"/>
      <c r="E369" s="6"/>
      <c r="F369" s="6" t="str">
        <f t="array" ref="F369">TEXTJOIN("",FALSE,IF(NOT(ISBLANK(C369)), IF(E:E=C369,C:C &amp; "; ",""), ""))</f>
        <v/>
      </c>
      <c r="G369" s="6" t="s">
        <v>1551</v>
      </c>
      <c r="H369" s="11" t="s">
        <v>1512</v>
      </c>
      <c r="I369" s="6" t="s">
        <v>1552</v>
      </c>
      <c r="J369" s="6" t="s">
        <v>22</v>
      </c>
      <c r="K369" s="13"/>
      <c r="L369" s="13"/>
      <c r="M369" s="13"/>
      <c r="N369" s="13"/>
      <c r="O369" s="13"/>
      <c r="P369" s="13"/>
    </row>
    <row r="370">
      <c r="A370" s="6"/>
      <c r="B370" s="6" t="s">
        <v>1546</v>
      </c>
      <c r="C370" s="7" t="s">
        <v>1553</v>
      </c>
      <c r="D370" s="6"/>
      <c r="E370" s="6"/>
      <c r="F370" s="6" t="str">
        <f t="array" ref="F370">TEXTJOIN("",FALSE,IF(NOT(ISBLANK(C370)), IF(E:E=C370,C:C &amp; "; ",""), ""))</f>
        <v/>
      </c>
      <c r="G370" s="6" t="s">
        <v>1554</v>
      </c>
      <c r="H370" s="11" t="s">
        <v>1512</v>
      </c>
      <c r="I370" s="6" t="s">
        <v>1555</v>
      </c>
      <c r="J370" s="6" t="s">
        <v>22</v>
      </c>
      <c r="K370" s="13"/>
      <c r="L370" s="13"/>
      <c r="M370" s="13"/>
      <c r="N370" s="13"/>
      <c r="O370" s="13"/>
      <c r="P370" s="13"/>
    </row>
    <row r="371">
      <c r="A371" s="6"/>
      <c r="B371" s="6" t="s">
        <v>1556</v>
      </c>
      <c r="C371" s="7" t="s">
        <v>1557</v>
      </c>
      <c r="D371" s="6"/>
      <c r="E371" s="6"/>
      <c r="F371" s="6" t="str">
        <f t="array" ref="F371">TEXTJOIN("",FALSE,IF(NOT(ISBLANK(C371)), IF(E:E=C371,C:C &amp; "; ",""), ""))</f>
        <v/>
      </c>
      <c r="G371" s="6" t="s">
        <v>1558</v>
      </c>
      <c r="H371" s="11" t="s">
        <v>1512</v>
      </c>
      <c r="I371" s="6" t="s">
        <v>1559</v>
      </c>
      <c r="J371" s="6" t="s">
        <v>22</v>
      </c>
      <c r="K371" s="6"/>
      <c r="L371" s="6"/>
      <c r="M371" s="6" t="s">
        <v>115</v>
      </c>
      <c r="N371" s="18" t="s">
        <v>1560</v>
      </c>
      <c r="O371" s="13"/>
      <c r="P371" s="13"/>
    </row>
    <row r="372">
      <c r="A372" s="6"/>
      <c r="B372" s="6" t="s">
        <v>1556</v>
      </c>
      <c r="C372" s="7" t="s">
        <v>1561</v>
      </c>
      <c r="D372" s="6"/>
      <c r="E372" s="6"/>
      <c r="F372" s="6" t="str">
        <f t="array" ref="F372">TEXTJOIN("",FALSE,IF(NOT(ISBLANK(C372)), IF(E:E=C372,C:C &amp; "; ",""), ""))</f>
        <v/>
      </c>
      <c r="G372" s="6" t="s">
        <v>1562</v>
      </c>
      <c r="H372" s="11" t="s">
        <v>1512</v>
      </c>
      <c r="I372" s="6" t="s">
        <v>1563</v>
      </c>
      <c r="J372" s="6" t="s">
        <v>22</v>
      </c>
      <c r="K372" s="6"/>
      <c r="L372" s="6"/>
      <c r="M372" s="6" t="s">
        <v>1564</v>
      </c>
      <c r="N372" s="6" t="s">
        <v>1565</v>
      </c>
      <c r="O372" s="13"/>
      <c r="P372" s="13"/>
    </row>
    <row r="373">
      <c r="A373" s="6"/>
      <c r="B373" s="6" t="s">
        <v>1566</v>
      </c>
      <c r="C373" s="6" t="s">
        <v>1566</v>
      </c>
      <c r="D373" s="6" t="s">
        <v>1567</v>
      </c>
      <c r="E373" s="6"/>
      <c r="F373" s="6" t="str">
        <f t="array" ref="F373">TEXTJOIN("",FALSE,IF(NOT(ISBLANK(C373)), IF(E:E=C373,C:C &amp; "; ",""), ""))</f>
        <v/>
      </c>
      <c r="G373" s="6" t="s">
        <v>1568</v>
      </c>
      <c r="H373" s="11" t="s">
        <v>1512</v>
      </c>
      <c r="I373" s="6" t="s">
        <v>672</v>
      </c>
      <c r="J373" s="6" t="s">
        <v>22</v>
      </c>
      <c r="K373" s="13"/>
      <c r="L373" s="13"/>
      <c r="M373" s="13"/>
      <c r="N373" s="13"/>
      <c r="O373" s="13"/>
      <c r="P373" s="13"/>
    </row>
    <row r="374">
      <c r="A374" s="9"/>
      <c r="B374" s="6" t="s">
        <v>1569</v>
      </c>
      <c r="C374" s="6" t="s">
        <v>1569</v>
      </c>
      <c r="D374" s="6"/>
      <c r="E374" s="6"/>
      <c r="F374" s="6" t="str">
        <f t="array" ref="F374">TEXTJOIN("",FALSE,IF(NOT(ISBLANK(C374)), IF(E:E=C374,C:C &amp; "; ",""), ""))</f>
        <v>Multiple Local Alignment; </v>
      </c>
      <c r="G374" s="6" t="s">
        <v>1570</v>
      </c>
      <c r="H374" s="12" t="s">
        <v>74</v>
      </c>
      <c r="I374" s="6" t="s">
        <v>1571</v>
      </c>
      <c r="J374" s="6" t="s">
        <v>22</v>
      </c>
      <c r="K374" s="13"/>
      <c r="L374" s="13"/>
      <c r="M374" s="13"/>
      <c r="N374" s="13"/>
      <c r="O374" s="13"/>
      <c r="P374" s="13"/>
    </row>
    <row r="375">
      <c r="A375" s="9"/>
      <c r="B375" s="6" t="s">
        <v>1569</v>
      </c>
      <c r="C375" s="6" t="s">
        <v>1572</v>
      </c>
      <c r="D375" s="6"/>
      <c r="E375" s="6" t="s">
        <v>1569</v>
      </c>
      <c r="F375" s="6" t="str">
        <f t="array" ref="F375">TEXTJOIN("",FALSE,IF(NOT(ISBLANK(C375)), IF(E:E=C375,C:C &amp; "; ",""), ""))</f>
        <v/>
      </c>
      <c r="G375" s="6" t="s">
        <v>1573</v>
      </c>
      <c r="H375" s="12" t="s">
        <v>74</v>
      </c>
      <c r="I375" s="6" t="s">
        <v>1574</v>
      </c>
      <c r="J375" s="6" t="s">
        <v>1575</v>
      </c>
      <c r="K375" s="13"/>
      <c r="L375" s="13"/>
      <c r="M375" s="13"/>
      <c r="N375" s="13"/>
      <c r="O375" s="13"/>
      <c r="P375" s="13"/>
    </row>
    <row r="376">
      <c r="A376" s="6"/>
      <c r="B376" s="6" t="s">
        <v>1576</v>
      </c>
      <c r="C376" s="6" t="s">
        <v>1577</v>
      </c>
      <c r="D376" s="13"/>
      <c r="E376" s="13"/>
      <c r="F376" s="6" t="str">
        <f t="array" ref="F376">TEXTJOIN("",FALSE,IF(NOT(ISBLANK(C376)), IF(E:E=C376,C:C &amp; "; ",""), ""))</f>
        <v>All Pairs Minimum Witness; </v>
      </c>
      <c r="G376" s="6" t="s">
        <v>1578</v>
      </c>
      <c r="H376" s="12" t="s">
        <v>125</v>
      </c>
      <c r="I376" s="6" t="s">
        <v>347</v>
      </c>
      <c r="J376" s="6" t="s">
        <v>22</v>
      </c>
      <c r="K376" s="13"/>
      <c r="L376" s="13"/>
      <c r="M376" s="13"/>
      <c r="N376" s="13"/>
      <c r="O376" s="13"/>
      <c r="P376" s="13"/>
    </row>
    <row r="377">
      <c r="A377" s="6"/>
      <c r="B377" s="6" t="s">
        <v>1576</v>
      </c>
      <c r="C377" s="6" t="s">
        <v>1579</v>
      </c>
      <c r="D377" s="6" t="s">
        <v>1580</v>
      </c>
      <c r="E377" s="6" t="s">
        <v>1577</v>
      </c>
      <c r="F377" s="6" t="str">
        <f t="array" ref="F377">TEXTJOIN("",FALSE,IF(NOT(ISBLANK(C377)), IF(E:E=C377,C:C &amp; "; ",""), ""))</f>
        <v/>
      </c>
      <c r="G377" s="6" t="s">
        <v>1581</v>
      </c>
      <c r="H377" s="12" t="s">
        <v>125</v>
      </c>
      <c r="I377" s="6" t="s">
        <v>347</v>
      </c>
      <c r="J377" s="6" t="s">
        <v>22</v>
      </c>
      <c r="K377" s="13"/>
      <c r="L377" s="13"/>
      <c r="M377" s="13"/>
      <c r="N377" s="13"/>
      <c r="O377" s="13"/>
      <c r="P377" s="13"/>
    </row>
    <row r="378">
      <c r="A378" s="6"/>
      <c r="B378" s="6" t="s">
        <v>1582</v>
      </c>
      <c r="C378" s="6" t="s">
        <v>1582</v>
      </c>
      <c r="D378" s="13"/>
      <c r="E378" s="13"/>
      <c r="F378" s="6" t="str">
        <f t="array" ref="F378">TEXTJOIN("",FALSE,IF(NOT(ISBLANK(C378)), IF(E:E=C378,C:C &amp; "; ",""), ""))</f>
        <v/>
      </c>
      <c r="G378" s="6" t="s">
        <v>1583</v>
      </c>
      <c r="H378" s="33" t="s">
        <v>125</v>
      </c>
      <c r="I378" s="6" t="s">
        <v>347</v>
      </c>
      <c r="J378" s="6" t="s">
        <v>22</v>
      </c>
      <c r="K378" s="13"/>
      <c r="L378" s="13"/>
      <c r="M378" s="13"/>
      <c r="N378" s="13"/>
      <c r="O378" s="13"/>
      <c r="P378" s="13"/>
    </row>
    <row r="379">
      <c r="A379" s="6"/>
      <c r="B379" s="6" t="s">
        <v>1584</v>
      </c>
      <c r="C379" s="6" t="s">
        <v>1584</v>
      </c>
      <c r="D379" s="6"/>
      <c r="E379" s="6"/>
      <c r="F379" s="6" t="str">
        <f t="array" ref="F379">TEXTJOIN("",FALSE,IF(NOT(ISBLANK(C379)), IF(E:E=C379,C:C &amp; "; ",""), ""))</f>
        <v/>
      </c>
      <c r="G379" s="6" t="s">
        <v>1585</v>
      </c>
      <c r="H379" s="12" t="s">
        <v>125</v>
      </c>
      <c r="I379" s="6" t="s">
        <v>347</v>
      </c>
      <c r="J379" s="6" t="s">
        <v>22</v>
      </c>
      <c r="K379" s="13"/>
      <c r="L379" s="13"/>
      <c r="M379" s="13"/>
      <c r="N379" s="13"/>
      <c r="O379" s="13"/>
      <c r="P379" s="13"/>
    </row>
    <row r="380">
      <c r="A380" s="6"/>
      <c r="B380" s="6" t="s">
        <v>1586</v>
      </c>
      <c r="C380" s="6" t="s">
        <v>1587</v>
      </c>
      <c r="D380" s="6" t="s">
        <v>1588</v>
      </c>
      <c r="E380" s="13"/>
      <c r="F380" s="6" t="str">
        <f t="array" ref="F380">TEXTJOIN("",FALSE,IF(NOT(ISBLANK(C380)), IF(E:E=C380,C:C &amp; "; ",""), ""))</f>
        <v>Shortest k-Cycle; </v>
      </c>
      <c r="G380" s="6" t="s">
        <v>1589</v>
      </c>
      <c r="H380" s="12" t="s">
        <v>125</v>
      </c>
      <c r="I380" s="6" t="s">
        <v>347</v>
      </c>
      <c r="J380" s="6" t="s">
        <v>22</v>
      </c>
      <c r="K380" s="13"/>
      <c r="L380" s="13"/>
      <c r="M380" s="13"/>
      <c r="N380" s="13"/>
      <c r="O380" s="13"/>
      <c r="P380" s="13"/>
    </row>
    <row r="381">
      <c r="A381" s="6"/>
      <c r="B381" s="6" t="s">
        <v>1586</v>
      </c>
      <c r="C381" s="6" t="s">
        <v>1590</v>
      </c>
      <c r="D381" s="6" t="s">
        <v>1591</v>
      </c>
      <c r="E381" s="6" t="s">
        <v>1587</v>
      </c>
      <c r="F381" s="6" t="str">
        <f t="array" ref="F381">TEXTJOIN("",FALSE,IF(NOT(ISBLANK(C381)), IF(E:E=C381,C:C &amp; "; ",""), ""))</f>
        <v/>
      </c>
      <c r="G381" s="6" t="s">
        <v>1592</v>
      </c>
      <c r="H381" s="12" t="s">
        <v>1099</v>
      </c>
      <c r="I381" s="6" t="s">
        <v>1593</v>
      </c>
      <c r="J381" s="13"/>
      <c r="K381" s="13"/>
      <c r="L381" s="13"/>
      <c r="M381" s="13"/>
      <c r="N381" s="13"/>
      <c r="O381" s="13"/>
      <c r="P381" s="13"/>
    </row>
    <row r="382">
      <c r="A382" s="6"/>
      <c r="B382" s="6" t="s">
        <v>1594</v>
      </c>
      <c r="C382" s="6" t="s">
        <v>1595</v>
      </c>
      <c r="D382" s="6" t="s">
        <v>1596</v>
      </c>
      <c r="E382" s="13"/>
      <c r="F382" s="6" t="str">
        <f t="array" ref="F382">TEXTJOIN("",FALSE,IF(NOT(ISBLANK(C382)), IF(E:E=C382,C:C &amp; "; ",""), ""))</f>
        <v/>
      </c>
      <c r="G382" s="14" t="s">
        <v>1597</v>
      </c>
      <c r="H382" s="33" t="s">
        <v>1598</v>
      </c>
      <c r="I382" s="6" t="s">
        <v>1599</v>
      </c>
      <c r="J382" s="23"/>
      <c r="K382" s="23"/>
      <c r="L382" s="23"/>
      <c r="M382" s="23" t="s">
        <v>1600</v>
      </c>
      <c r="N382" s="24" t="s">
        <v>1601</v>
      </c>
      <c r="O382" s="9" t="s">
        <v>1602</v>
      </c>
      <c r="P382" s="6" t="s">
        <v>1603</v>
      </c>
    </row>
    <row r="383">
      <c r="A383" s="6"/>
      <c r="B383" s="6" t="s">
        <v>1594</v>
      </c>
      <c r="C383" s="6" t="s">
        <v>1604</v>
      </c>
      <c r="D383" s="6" t="s">
        <v>1605</v>
      </c>
      <c r="E383" s="6"/>
      <c r="F383" s="6" t="str">
        <f t="array" ref="F383">TEXTJOIN("",FALSE,IF(NOT(ISBLANK(C383)), IF(E:E=C383,C:C &amp; "; ",""), ""))</f>
        <v/>
      </c>
      <c r="G383" s="6" t="s">
        <v>1606</v>
      </c>
      <c r="H383" s="33" t="s">
        <v>1598</v>
      </c>
      <c r="I383" s="6" t="s">
        <v>1607</v>
      </c>
      <c r="J383" s="13"/>
      <c r="K383" s="13"/>
      <c r="L383" s="13"/>
      <c r="M383" s="13"/>
      <c r="N383" s="13"/>
      <c r="O383" s="6" t="s">
        <v>1608</v>
      </c>
      <c r="P383" s="18" t="s">
        <v>1609</v>
      </c>
    </row>
    <row r="384">
      <c r="A384" s="6"/>
      <c r="B384" s="6" t="s">
        <v>1610</v>
      </c>
      <c r="C384" s="69" t="s">
        <v>1611</v>
      </c>
      <c r="D384" s="69"/>
      <c r="E384" s="69"/>
      <c r="F384" s="6" t="str">
        <f t="array" ref="F384">TEXTJOIN("",FALSE,IF(NOT(ISBLANK(C384)), IF(E:E=C384,C:C &amp; "; ",""), ""))</f>
        <v>sensitive incremental #SSR; </v>
      </c>
      <c r="G384" s="69" t="s">
        <v>1612</v>
      </c>
      <c r="H384" s="12" t="s">
        <v>244</v>
      </c>
      <c r="I384" s="6" t="s">
        <v>347</v>
      </c>
      <c r="J384" s="6" t="s">
        <v>22</v>
      </c>
      <c r="K384" s="13"/>
      <c r="L384" s="13"/>
      <c r="M384" s="13"/>
      <c r="N384" s="13"/>
      <c r="O384" s="13"/>
      <c r="P384" s="13"/>
    </row>
    <row r="385">
      <c r="A385" s="6"/>
      <c r="B385" s="6" t="s">
        <v>1610</v>
      </c>
      <c r="C385" s="6" t="s">
        <v>1613</v>
      </c>
      <c r="D385" s="69"/>
      <c r="E385" s="69" t="s">
        <v>1611</v>
      </c>
      <c r="F385" s="6" t="str">
        <f t="array" ref="F385">TEXTJOIN("",FALSE,IF(NOT(ISBLANK(C385)), IF(E:E=C385,C:C &amp; "; ",""), ""))</f>
        <v/>
      </c>
      <c r="G385" s="35" t="s">
        <v>1614</v>
      </c>
      <c r="H385" s="12" t="s">
        <v>330</v>
      </c>
      <c r="I385" s="6" t="s">
        <v>1615</v>
      </c>
      <c r="J385" s="6" t="s">
        <v>22</v>
      </c>
      <c r="K385" s="13"/>
      <c r="L385" s="13"/>
      <c r="M385" s="13"/>
      <c r="N385" s="13"/>
      <c r="O385" s="13"/>
      <c r="P385" s="13"/>
    </row>
    <row r="386">
      <c r="A386" s="6"/>
      <c r="B386" s="6" t="s">
        <v>1610</v>
      </c>
      <c r="C386" s="6" t="s">
        <v>1616</v>
      </c>
      <c r="D386" s="6"/>
      <c r="E386" s="6"/>
      <c r="F386" s="6" t="str">
        <f t="array" ref="F386">TEXTJOIN("",FALSE,IF(NOT(ISBLANK(C386)), IF(E:E=C386,C:C &amp; "; ",""), ""))</f>
        <v>constant sensitivity incremental ST-Reach; 1-sensitive incremental ss-reach; 2-sensitive incremental st-reach; ap-reach; </v>
      </c>
      <c r="G386" s="6" t="s">
        <v>1617</v>
      </c>
      <c r="H386" s="12" t="s">
        <v>330</v>
      </c>
      <c r="I386" s="6" t="s">
        <v>347</v>
      </c>
      <c r="J386" s="6" t="s">
        <v>22</v>
      </c>
      <c r="K386" s="13"/>
      <c r="L386" s="13"/>
      <c r="M386" s="13"/>
      <c r="N386" s="13"/>
      <c r="O386" s="13"/>
      <c r="P386" s="13"/>
    </row>
    <row r="387">
      <c r="A387" s="6"/>
      <c r="B387" s="6" t="s">
        <v>1610</v>
      </c>
      <c r="C387" s="6" t="s">
        <v>1618</v>
      </c>
      <c r="D387" s="6"/>
      <c r="E387" s="6"/>
      <c r="F387" s="6" t="str">
        <f t="array" ref="F387">TEXTJOIN("",FALSE,IF(NOT(ISBLANK(C387)), IF(E:E=C387,C:C &amp; "; ",""), ""))</f>
        <v>constant sensitivity incremental ST-Reach; 1-sensitive incremental ss-reach; 2-sensitive incremental st-reach; ap-reach; </v>
      </c>
      <c r="G387" s="6" t="s">
        <v>1619</v>
      </c>
      <c r="H387" s="12" t="s">
        <v>330</v>
      </c>
      <c r="I387" s="6" t="s">
        <v>347</v>
      </c>
      <c r="J387" s="6" t="s">
        <v>22</v>
      </c>
      <c r="K387" s="13"/>
      <c r="L387" s="13"/>
      <c r="M387" s="13"/>
      <c r="N387" s="13"/>
      <c r="O387" s="13"/>
      <c r="P387" s="13"/>
    </row>
    <row r="388">
      <c r="A388" s="6"/>
      <c r="B388" s="6" t="s">
        <v>1610</v>
      </c>
      <c r="C388" s="6" t="s">
        <v>1620</v>
      </c>
      <c r="D388" s="13"/>
      <c r="E388" s="6" t="s">
        <v>1616</v>
      </c>
      <c r="F388" s="6" t="str">
        <f t="array" ref="F388">TEXTJOIN("",FALSE,IF(NOT(ISBLANK(C388)), IF(E:E=C388,C:C &amp; "; ",""), ""))</f>
        <v/>
      </c>
      <c r="G388" s="6" t="s">
        <v>1621</v>
      </c>
      <c r="H388" s="12" t="s">
        <v>330</v>
      </c>
      <c r="I388" s="6" t="s">
        <v>347</v>
      </c>
      <c r="J388" s="6" t="s">
        <v>22</v>
      </c>
      <c r="K388" s="13"/>
      <c r="L388" s="13"/>
      <c r="M388" s="13"/>
      <c r="N388" s="13"/>
      <c r="O388" s="13"/>
      <c r="P388" s="13"/>
    </row>
    <row r="389">
      <c r="A389" s="6"/>
      <c r="B389" s="6" t="s">
        <v>1610</v>
      </c>
      <c r="C389" s="6" t="s">
        <v>1622</v>
      </c>
      <c r="D389" s="13"/>
      <c r="E389" s="6" t="s">
        <v>1618</v>
      </c>
      <c r="F389" s="6" t="str">
        <f t="array" ref="F389">TEXTJOIN("",FALSE,IF(NOT(ISBLANK(C389)), IF(E:E=C389,C:C &amp; "; ",""), ""))</f>
        <v/>
      </c>
      <c r="G389" s="6" t="s">
        <v>1623</v>
      </c>
      <c r="H389" s="12" t="s">
        <v>330</v>
      </c>
      <c r="I389" s="6" t="s">
        <v>347</v>
      </c>
      <c r="J389" s="6" t="s">
        <v>22</v>
      </c>
      <c r="K389" s="13"/>
      <c r="L389" s="13"/>
      <c r="M389" s="13"/>
      <c r="N389" s="13"/>
      <c r="O389" s="13"/>
      <c r="P389" s="13"/>
    </row>
    <row r="390">
      <c r="A390" s="6"/>
      <c r="B390" s="6" t="s">
        <v>1610</v>
      </c>
      <c r="C390" s="6" t="s">
        <v>1624</v>
      </c>
      <c r="D390" s="13"/>
      <c r="E390" s="6" t="s">
        <v>1618</v>
      </c>
      <c r="F390" s="6" t="str">
        <f t="array" ref="F390">TEXTJOIN("",FALSE,IF(NOT(ISBLANK(C390)), IF(E:E=C390,C:C &amp; "; ",""), ""))</f>
        <v/>
      </c>
      <c r="G390" s="6" t="s">
        <v>1625</v>
      </c>
      <c r="H390" s="12" t="s">
        <v>330</v>
      </c>
      <c r="I390" s="6" t="s">
        <v>347</v>
      </c>
      <c r="J390" s="6" t="s">
        <v>22</v>
      </c>
      <c r="K390" s="13"/>
      <c r="L390" s="13"/>
      <c r="M390" s="13"/>
      <c r="N390" s="13"/>
      <c r="O390" s="13"/>
      <c r="P390" s="13"/>
    </row>
    <row r="391">
      <c r="A391" s="6"/>
      <c r="B391" s="6" t="s">
        <v>1610</v>
      </c>
      <c r="C391" s="6" t="s">
        <v>1626</v>
      </c>
      <c r="D391" s="13"/>
      <c r="E391" s="6" t="s">
        <v>1618</v>
      </c>
      <c r="F391" s="6" t="str">
        <f t="array" ref="F391">TEXTJOIN("",FALSE,IF(NOT(ISBLANK(C391)), IF(E:E=C391,C:C &amp; "; ",""), ""))</f>
        <v/>
      </c>
      <c r="G391" s="6" t="s">
        <v>1627</v>
      </c>
      <c r="H391" s="12" t="s">
        <v>330</v>
      </c>
      <c r="I391" s="6" t="s">
        <v>347</v>
      </c>
      <c r="J391" s="6" t="s">
        <v>22</v>
      </c>
      <c r="K391" s="13"/>
      <c r="L391" s="13"/>
      <c r="M391" s="13"/>
      <c r="N391" s="13"/>
      <c r="O391" s="13"/>
      <c r="P391" s="13"/>
    </row>
    <row r="392">
      <c r="A392" s="9"/>
      <c r="B392" s="6" t="s">
        <v>1628</v>
      </c>
      <c r="C392" s="6" t="s">
        <v>1628</v>
      </c>
      <c r="D392" s="13"/>
      <c r="E392" s="13"/>
      <c r="F392" s="6" t="str">
        <f t="array" ref="F392">TEXTJOIN("",FALSE,IF(NOT(ISBLANK(C392)), IF(E:E=C392,C:C &amp; "; ",""), ""))</f>
        <v/>
      </c>
      <c r="G392" s="6" t="s">
        <v>1629</v>
      </c>
      <c r="H392" s="12" t="s">
        <v>1630</v>
      </c>
      <c r="I392" s="6" t="s">
        <v>1631</v>
      </c>
      <c r="J392" s="6" t="s">
        <v>22</v>
      </c>
      <c r="K392" s="13"/>
      <c r="L392" s="13"/>
      <c r="M392" s="13"/>
      <c r="N392" s="13"/>
      <c r="O392" s="13"/>
      <c r="P392" s="13"/>
    </row>
    <row r="393">
      <c r="A393" s="6"/>
      <c r="B393" s="6" t="s">
        <v>1632</v>
      </c>
      <c r="C393" s="6" t="s">
        <v>1632</v>
      </c>
      <c r="D393" s="6" t="s">
        <v>1633</v>
      </c>
      <c r="E393" s="13"/>
      <c r="F393" s="6" t="str">
        <f t="array" ref="F393">TEXTJOIN("",FALSE,IF(NOT(ISBLANK(C393)), IF(E:E=C393,C:C &amp; "; ",""), ""))</f>
        <v/>
      </c>
      <c r="G393" s="6" t="s">
        <v>1634</v>
      </c>
      <c r="H393" s="12" t="s">
        <v>1635</v>
      </c>
      <c r="I393" s="13"/>
      <c r="J393" s="13"/>
      <c r="K393" s="13"/>
      <c r="L393" s="13"/>
      <c r="M393" s="13"/>
      <c r="N393" s="13"/>
      <c r="O393" s="13"/>
      <c r="P393" s="13"/>
    </row>
    <row r="394">
      <c r="A394" s="6"/>
      <c r="B394" s="6" t="s">
        <v>1636</v>
      </c>
      <c r="C394" s="6" t="s">
        <v>1637</v>
      </c>
      <c r="D394" s="13"/>
      <c r="E394" s="13"/>
      <c r="F394" s="6" t="str">
        <f t="array" ref="F394">TEXTJOIN("",FALSE,IF(NOT(ISBLANK(C394)), IF(E:E=C394,C:C &amp; "; ",""), ""))</f>
        <v>Disjunctive Reachability Queries in MDPs; Conjunctive Reachability Queries in MDPs; </v>
      </c>
      <c r="G394" s="6" t="s">
        <v>1638</v>
      </c>
      <c r="H394" s="12" t="s">
        <v>1639</v>
      </c>
      <c r="I394" s="6" t="s">
        <v>1640</v>
      </c>
      <c r="J394" s="6" t="s">
        <v>22</v>
      </c>
      <c r="K394" s="13"/>
      <c r="L394" s="13"/>
      <c r="M394" s="13"/>
      <c r="N394" s="13"/>
      <c r="O394" s="13"/>
      <c r="P394" s="13"/>
    </row>
    <row r="395">
      <c r="A395" s="6"/>
      <c r="B395" s="6" t="s">
        <v>1636</v>
      </c>
      <c r="C395" s="6" t="s">
        <v>1641</v>
      </c>
      <c r="D395" s="13"/>
      <c r="E395" s="6" t="s">
        <v>1637</v>
      </c>
      <c r="F395" s="6" t="str">
        <f t="array" ref="F395">TEXTJOIN("",FALSE,IF(NOT(ISBLANK(C395)), IF(E:E=C395,C:C &amp; "; ",""), ""))</f>
        <v/>
      </c>
      <c r="G395" s="6" t="s">
        <v>1642</v>
      </c>
      <c r="H395" s="12" t="s">
        <v>1639</v>
      </c>
      <c r="I395" s="6" t="s">
        <v>1640</v>
      </c>
      <c r="J395" s="6" t="s">
        <v>22</v>
      </c>
      <c r="K395" s="13"/>
      <c r="L395" s="13"/>
      <c r="M395" s="13"/>
      <c r="N395" s="13"/>
      <c r="O395" s="13"/>
      <c r="P395" s="13"/>
    </row>
    <row r="396">
      <c r="A396" s="6"/>
      <c r="B396" s="6" t="s">
        <v>1636</v>
      </c>
      <c r="C396" s="6" t="s">
        <v>1643</v>
      </c>
      <c r="D396" s="6" t="s">
        <v>1644</v>
      </c>
      <c r="E396" s="6" t="s">
        <v>1637</v>
      </c>
      <c r="F396" s="6" t="str">
        <f t="array" ref="F396">TEXTJOIN("",FALSE,IF(NOT(ISBLANK(C396)), IF(E:E=C396,C:C &amp; "; ",""), ""))</f>
        <v/>
      </c>
      <c r="G396" s="6" t="s">
        <v>1645</v>
      </c>
      <c r="H396" s="12" t="s">
        <v>1639</v>
      </c>
      <c r="I396" s="6" t="s">
        <v>1640</v>
      </c>
      <c r="J396" s="6" t="s">
        <v>22</v>
      </c>
      <c r="K396" s="13"/>
      <c r="L396" s="13"/>
      <c r="M396" s="13"/>
      <c r="N396" s="13"/>
      <c r="O396" s="13"/>
      <c r="P396" s="13"/>
    </row>
    <row r="397">
      <c r="A397" s="6"/>
      <c r="B397" s="6" t="s">
        <v>1636</v>
      </c>
      <c r="C397" s="6" t="s">
        <v>1646</v>
      </c>
      <c r="D397" s="13"/>
      <c r="E397" s="6" t="s">
        <v>1647</v>
      </c>
      <c r="F397" s="6" t="str">
        <f t="array" ref="F397">TEXTJOIN("",FALSE,IF(NOT(ISBLANK(C397)), IF(E:E=C397,C:C &amp; "; ",""), ""))</f>
        <v>Disjunctive Safety Queries in MDPs; Conjunctive Safety Queries in MDPs; </v>
      </c>
      <c r="G397" s="6" t="s">
        <v>1648</v>
      </c>
      <c r="H397" s="12" t="s">
        <v>1639</v>
      </c>
      <c r="I397" s="6" t="s">
        <v>1640</v>
      </c>
      <c r="J397" s="6" t="s">
        <v>22</v>
      </c>
      <c r="K397" s="13"/>
      <c r="L397" s="13"/>
      <c r="M397" s="13"/>
      <c r="N397" s="13"/>
      <c r="O397" s="13"/>
      <c r="P397" s="13"/>
    </row>
    <row r="398">
      <c r="A398" s="6"/>
      <c r="B398" s="6" t="s">
        <v>1636</v>
      </c>
      <c r="C398" s="6" t="s">
        <v>1649</v>
      </c>
      <c r="D398" s="13"/>
      <c r="E398" s="6" t="s">
        <v>1646</v>
      </c>
      <c r="F398" s="6" t="str">
        <f t="array" ref="F398">TEXTJOIN("",FALSE,IF(NOT(ISBLANK(C398)), IF(E:E=C398,C:C &amp; "; ",""), ""))</f>
        <v/>
      </c>
      <c r="G398" s="6" t="s">
        <v>1650</v>
      </c>
      <c r="H398" s="12" t="s">
        <v>1639</v>
      </c>
      <c r="I398" s="6" t="s">
        <v>1640</v>
      </c>
      <c r="J398" s="6" t="s">
        <v>22</v>
      </c>
      <c r="K398" s="13"/>
      <c r="L398" s="13"/>
      <c r="M398" s="13"/>
      <c r="N398" s="13"/>
      <c r="O398" s="13"/>
      <c r="P398" s="13"/>
    </row>
    <row r="399">
      <c r="A399" s="6"/>
      <c r="B399" s="6" t="s">
        <v>1636</v>
      </c>
      <c r="C399" s="6" t="s">
        <v>1651</v>
      </c>
      <c r="D399" s="13"/>
      <c r="E399" s="6" t="s">
        <v>1646</v>
      </c>
      <c r="F399" s="6" t="str">
        <f t="array" ref="F399">TEXTJOIN("",FALSE,IF(NOT(ISBLANK(C399)), IF(E:E=C399,C:C &amp; "; ",""), ""))</f>
        <v/>
      </c>
      <c r="G399" s="6" t="s">
        <v>1652</v>
      </c>
      <c r="H399" s="12" t="s">
        <v>1639</v>
      </c>
      <c r="I399" s="6" t="s">
        <v>1640</v>
      </c>
      <c r="J399" s="6" t="s">
        <v>22</v>
      </c>
      <c r="K399" s="13"/>
      <c r="L399" s="13"/>
      <c r="M399" s="13"/>
      <c r="N399" s="13"/>
      <c r="O399" s="13"/>
      <c r="P399" s="13"/>
    </row>
    <row r="400">
      <c r="A400" s="6"/>
      <c r="B400" s="6" t="s">
        <v>1636</v>
      </c>
      <c r="C400" s="6" t="s">
        <v>1647</v>
      </c>
      <c r="D400" s="13"/>
      <c r="E400" s="6"/>
      <c r="F400" s="6" t="str">
        <f t="array" ref="F400">TEXTJOIN("",FALSE,IF(NOT(ISBLANK(C400)), IF(E:E=C400,C:C &amp; "; ",""), ""))</f>
        <v>Safety in MDPs; Disjunctive Queries of Safety in Graphs; </v>
      </c>
      <c r="G400" s="6" t="s">
        <v>1653</v>
      </c>
      <c r="H400" s="12" t="s">
        <v>1639</v>
      </c>
      <c r="I400" s="6" t="s">
        <v>1640</v>
      </c>
      <c r="J400" s="6" t="s">
        <v>22</v>
      </c>
      <c r="K400" s="13"/>
      <c r="L400" s="13"/>
      <c r="M400" s="13"/>
      <c r="N400" s="13"/>
      <c r="O400" s="13"/>
      <c r="P400" s="13"/>
    </row>
    <row r="401">
      <c r="A401" s="6"/>
      <c r="B401" s="6" t="s">
        <v>1636</v>
      </c>
      <c r="C401" s="6" t="s">
        <v>1654</v>
      </c>
      <c r="D401" s="13"/>
      <c r="E401" s="6" t="s">
        <v>1647</v>
      </c>
      <c r="F401" s="6" t="str">
        <f t="array" ref="F401">TEXTJOIN("",FALSE,IF(NOT(ISBLANK(C401)), IF(E:E=C401,C:C &amp; "; ",""), ""))</f>
        <v/>
      </c>
      <c r="G401" s="6" t="s">
        <v>1655</v>
      </c>
      <c r="H401" s="12" t="s">
        <v>1639</v>
      </c>
      <c r="I401" s="6" t="s">
        <v>1640</v>
      </c>
      <c r="J401" s="6" t="s">
        <v>22</v>
      </c>
      <c r="K401" s="13"/>
      <c r="L401" s="13"/>
      <c r="M401" s="13"/>
      <c r="N401" s="13"/>
      <c r="O401" s="13"/>
      <c r="P401" s="13"/>
    </row>
    <row r="402">
      <c r="A402" s="9"/>
      <c r="B402" s="6" t="s">
        <v>1636</v>
      </c>
      <c r="C402" s="6" t="s">
        <v>1656</v>
      </c>
      <c r="D402" s="13"/>
      <c r="E402" s="13"/>
      <c r="F402" s="6" t="str">
        <f t="array" ref="F402">TEXTJOIN("",FALSE,IF(NOT(ISBLANK(C402)), IF(E:E=C402,C:C &amp; "; ",""), ""))</f>
        <v/>
      </c>
      <c r="G402" s="6" t="s">
        <v>1657</v>
      </c>
      <c r="H402" s="12" t="s">
        <v>1639</v>
      </c>
      <c r="I402" s="6" t="s">
        <v>1640</v>
      </c>
      <c r="J402" s="6" t="s">
        <v>22</v>
      </c>
      <c r="K402" s="13"/>
      <c r="L402" s="13"/>
      <c r="M402" s="13"/>
      <c r="N402" s="13"/>
      <c r="O402" s="13"/>
      <c r="P402" s="13"/>
    </row>
    <row r="403">
      <c r="A403" s="9"/>
      <c r="B403" s="6" t="s">
        <v>1636</v>
      </c>
      <c r="C403" s="6" t="s">
        <v>1658</v>
      </c>
      <c r="D403" s="6" t="s">
        <v>1659</v>
      </c>
      <c r="E403" s="13"/>
      <c r="F403" s="6" t="str">
        <f t="array" ref="F403">TEXTJOIN("",FALSE,IF(NOT(ISBLANK(C403)), IF(E:E=C403,C:C &amp; "; ",""), ""))</f>
        <v/>
      </c>
      <c r="G403" s="6" t="s">
        <v>1660</v>
      </c>
      <c r="H403" s="12" t="s">
        <v>1639</v>
      </c>
      <c r="I403" s="6" t="s">
        <v>1640</v>
      </c>
      <c r="J403" s="6" t="s">
        <v>22</v>
      </c>
      <c r="K403" s="13"/>
      <c r="L403" s="13"/>
      <c r="M403" s="13"/>
      <c r="N403" s="13"/>
      <c r="O403" s="13"/>
      <c r="P403" s="13"/>
    </row>
    <row r="404">
      <c r="A404" s="65"/>
      <c r="B404" s="7" t="s">
        <v>1661</v>
      </c>
      <c r="C404" s="7" t="s">
        <v>1662</v>
      </c>
      <c r="D404" s="13"/>
      <c r="E404" s="13"/>
      <c r="F404" s="6" t="str">
        <f t="array" ref="F404">TEXTJOIN("",FALSE,IF(NOT(ISBLANK(C404)), IF(E:E=C404,C:C &amp; "; ",""), ""))</f>
        <v/>
      </c>
      <c r="G404" s="6" t="s">
        <v>1663</v>
      </c>
      <c r="H404" s="70" t="s">
        <v>1664</v>
      </c>
      <c r="I404" s="6" t="s">
        <v>1665</v>
      </c>
      <c r="J404" s="6" t="s">
        <v>22</v>
      </c>
      <c r="K404" s="13"/>
      <c r="L404" s="13"/>
      <c r="M404" s="13"/>
      <c r="N404" s="13"/>
      <c r="O404" s="6" t="s">
        <v>1666</v>
      </c>
      <c r="P404" s="70" t="s">
        <v>1664</v>
      </c>
    </row>
    <row r="405">
      <c r="A405" s="65"/>
      <c r="B405" s="7" t="s">
        <v>1661</v>
      </c>
      <c r="C405" s="7" t="s">
        <v>1667</v>
      </c>
      <c r="D405" s="13"/>
      <c r="E405" s="13"/>
      <c r="F405" s="6" t="str">
        <f t="array" ref="F405">TEXTJOIN("",FALSE,IF(NOT(ISBLANK(C405)), IF(E:E=C405,C:C &amp; "; ",""), ""))</f>
        <v/>
      </c>
      <c r="G405" s="6" t="s">
        <v>1668</v>
      </c>
      <c r="H405" s="70" t="s">
        <v>1664</v>
      </c>
      <c r="I405" s="6" t="s">
        <v>1665</v>
      </c>
      <c r="J405" s="6" t="s">
        <v>22</v>
      </c>
      <c r="K405" s="13"/>
      <c r="L405" s="13"/>
      <c r="M405" s="13"/>
      <c r="N405" s="13"/>
      <c r="O405" s="6" t="s">
        <v>1669</v>
      </c>
      <c r="P405" s="70" t="s">
        <v>1664</v>
      </c>
    </row>
    <row r="406">
      <c r="A406" s="6"/>
      <c r="B406" s="6" t="s">
        <v>1670</v>
      </c>
      <c r="C406" s="6" t="s">
        <v>1670</v>
      </c>
      <c r="D406" s="6" t="s">
        <v>1671</v>
      </c>
      <c r="E406" s="13"/>
      <c r="F406" s="6" t="str">
        <f t="array" ref="F406">TEXTJOIN("",FALSE,IF(NOT(ISBLANK(C406)), IF(E:E=C406,C:C &amp; "; ",""), ""))</f>
        <v/>
      </c>
      <c r="G406" s="6" t="s">
        <v>1672</v>
      </c>
      <c r="H406" s="12" t="s">
        <v>1673</v>
      </c>
      <c r="I406" s="6" t="s">
        <v>1674</v>
      </c>
      <c r="J406" s="6" t="s">
        <v>22</v>
      </c>
      <c r="K406" s="13"/>
      <c r="L406" s="13"/>
      <c r="M406" s="13"/>
      <c r="N406" s="13"/>
      <c r="O406" s="13"/>
      <c r="P406" s="13"/>
    </row>
    <row r="407">
      <c r="A407" s="6"/>
      <c r="B407" s="6" t="s">
        <v>1675</v>
      </c>
      <c r="C407" s="6" t="s">
        <v>1676</v>
      </c>
      <c r="D407" s="13"/>
      <c r="E407" s="13"/>
      <c r="F407" s="6" t="str">
        <f t="array" ref="F407">TEXTJOIN("",FALSE,IF(NOT(ISBLANK(C407)), IF(E:E=C407,C:C &amp; "; ",""), ""))</f>
        <v/>
      </c>
      <c r="G407" s="6" t="s">
        <v>1677</v>
      </c>
      <c r="H407" s="12" t="s">
        <v>1673</v>
      </c>
      <c r="I407" s="13"/>
      <c r="J407" s="13"/>
      <c r="K407" s="13"/>
      <c r="L407" s="13"/>
      <c r="M407" s="13"/>
      <c r="N407" s="13"/>
      <c r="O407" s="13"/>
      <c r="P407" s="13"/>
    </row>
    <row r="408">
      <c r="A408" s="16"/>
      <c r="B408" s="16" t="s">
        <v>1678</v>
      </c>
      <c r="C408" s="6" t="s">
        <v>1678</v>
      </c>
      <c r="D408" s="7"/>
      <c r="E408" s="6" t="s">
        <v>1679</v>
      </c>
      <c r="F408" s="6" t="str">
        <f t="array" ref="F408">TEXTJOIN("",FALSE,IF(NOT(ISBLANK(C408)), IF(E:E=C408,C:C &amp; "; ",""), ""))</f>
        <v>3SUM'; All-Integers 3SUM; </v>
      </c>
      <c r="G408" s="7" t="s">
        <v>1680</v>
      </c>
      <c r="H408" s="12" t="s">
        <v>1512</v>
      </c>
      <c r="I408" s="6" t="s">
        <v>1681</v>
      </c>
      <c r="J408" s="16" t="s">
        <v>22</v>
      </c>
      <c r="K408" s="16"/>
      <c r="L408" s="16"/>
      <c r="M408" s="16" t="s">
        <v>1682</v>
      </c>
      <c r="N408" s="47" t="s">
        <v>1683</v>
      </c>
      <c r="O408" s="71" t="s">
        <v>1684</v>
      </c>
      <c r="P408" s="45" t="s">
        <v>1685</v>
      </c>
    </row>
    <row r="409">
      <c r="A409" s="16"/>
      <c r="B409" s="16" t="s">
        <v>1678</v>
      </c>
      <c r="C409" s="6" t="s">
        <v>1679</v>
      </c>
      <c r="D409" s="7"/>
      <c r="E409" s="7"/>
      <c r="F409" s="6" t="str">
        <f t="array" ref="F409">TEXTJOIN("",FALSE,IF(NOT(ISBLANK(C409)), IF(E:E=C409,C:C &amp; "; ",""), ""))</f>
        <v>3SUM; </v>
      </c>
      <c r="G409" s="7" t="s">
        <v>1686</v>
      </c>
      <c r="H409" s="12" t="s">
        <v>1687</v>
      </c>
      <c r="I409" s="6" t="s">
        <v>1688</v>
      </c>
      <c r="J409" s="16" t="s">
        <v>22</v>
      </c>
      <c r="K409" s="16"/>
      <c r="L409" s="16"/>
      <c r="M409" s="16" t="s">
        <v>1689</v>
      </c>
      <c r="N409" s="47" t="s">
        <v>1687</v>
      </c>
      <c r="O409" s="71" t="s">
        <v>1684</v>
      </c>
      <c r="P409" s="45" t="s">
        <v>1685</v>
      </c>
    </row>
    <row r="410">
      <c r="A410" s="16"/>
      <c r="B410" s="16" t="s">
        <v>1678</v>
      </c>
      <c r="C410" s="6" t="s">
        <v>1690</v>
      </c>
      <c r="D410" s="7"/>
      <c r="E410" s="6" t="s">
        <v>1678</v>
      </c>
      <c r="F410" s="6" t="str">
        <f t="array" ref="F410">TEXTJOIN("",FALSE,IF(NOT(ISBLANK(C410)), IF(E:E=C410,C:C &amp; "; ",""), ""))</f>
        <v/>
      </c>
      <c r="G410" s="7" t="s">
        <v>1691</v>
      </c>
      <c r="H410" s="12" t="s">
        <v>1512</v>
      </c>
      <c r="I410" s="6" t="s">
        <v>1692</v>
      </c>
      <c r="J410" s="16" t="s">
        <v>22</v>
      </c>
      <c r="K410" s="16"/>
      <c r="L410" s="16"/>
      <c r="M410" s="16"/>
      <c r="N410" s="46"/>
      <c r="O410" s="6"/>
      <c r="P410" s="46"/>
    </row>
    <row r="411">
      <c r="A411" s="16"/>
      <c r="B411" s="16" t="s">
        <v>1678</v>
      </c>
      <c r="C411" s="6" t="s">
        <v>1693</v>
      </c>
      <c r="D411" s="7"/>
      <c r="E411" s="6" t="s">
        <v>1678</v>
      </c>
      <c r="F411" s="6" t="str">
        <f t="array" ref="F411">TEXTJOIN("",FALSE,IF(NOT(ISBLANK(C411)), IF(E:E=C411,C:C &amp; "; ",""), ""))</f>
        <v/>
      </c>
      <c r="G411" s="7" t="s">
        <v>1694</v>
      </c>
      <c r="H411" s="12" t="s">
        <v>125</v>
      </c>
      <c r="I411" s="6" t="s">
        <v>1692</v>
      </c>
      <c r="J411" s="16" t="s">
        <v>22</v>
      </c>
      <c r="K411" s="16"/>
      <c r="L411" s="16"/>
      <c r="M411" s="16"/>
      <c r="N411" s="46"/>
      <c r="O411" s="6"/>
      <c r="P411" s="46"/>
    </row>
    <row r="412">
      <c r="A412" s="13"/>
      <c r="B412" s="13"/>
      <c r="C412" s="13"/>
      <c r="D412" s="13"/>
      <c r="E412" s="13"/>
      <c r="F412" s="6" t="str">
        <f t="array" ref="F412">TEXTJOIN("",FALSE,IF(NOT(ISBLANK(C412)), IF(E:E=C412,C:C &amp; "; ",""), ""))</f>
        <v/>
      </c>
      <c r="G412" s="13"/>
      <c r="H412" s="72"/>
      <c r="I412" s="13"/>
      <c r="J412" s="13"/>
      <c r="K412" s="13"/>
      <c r="L412" s="13"/>
      <c r="M412" s="13"/>
      <c r="N412" s="13"/>
      <c r="O412" s="13"/>
      <c r="P412" s="13"/>
    </row>
    <row r="413">
      <c r="A413" s="13"/>
      <c r="B413" s="13"/>
      <c r="C413" s="13"/>
      <c r="D413" s="13"/>
      <c r="E413" s="13"/>
      <c r="F413" s="6" t="str">
        <f t="array" ref="F413">TEXTJOIN("",FALSE,IF(NOT(ISBLANK(C413)), IF(E:E=C413,C:C &amp; "; ",""), ""))</f>
        <v/>
      </c>
      <c r="G413" s="13"/>
      <c r="H413" s="72"/>
      <c r="I413" s="13"/>
      <c r="J413" s="13"/>
      <c r="K413" s="13"/>
      <c r="L413" s="13"/>
      <c r="M413" s="13"/>
      <c r="N413" s="13"/>
      <c r="O413" s="13"/>
      <c r="P413" s="13"/>
    </row>
    <row r="414">
      <c r="A414" s="13"/>
      <c r="B414" s="13"/>
      <c r="C414" s="13"/>
      <c r="D414" s="73"/>
      <c r="E414" s="13"/>
      <c r="F414" s="6" t="str">
        <f t="array" ref="F414">TEXTJOIN("",FALSE,IF(NOT(ISBLANK(C414)), IF(E:E=C414,C:C &amp; "; ",""), ""))</f>
        <v/>
      </c>
      <c r="G414" s="13"/>
      <c r="H414" s="72"/>
      <c r="I414" s="13"/>
      <c r="J414" s="13"/>
      <c r="K414" s="13"/>
      <c r="L414" s="13"/>
      <c r="M414" s="13"/>
      <c r="N414" s="13"/>
      <c r="O414" s="13"/>
      <c r="P414" s="13"/>
    </row>
    <row r="415">
      <c r="A415" s="13"/>
      <c r="B415" s="13"/>
      <c r="C415" s="13"/>
      <c r="D415" s="13"/>
      <c r="E415" s="13"/>
      <c r="F415" s="6" t="str">
        <f t="array" ref="F415">TEXTJOIN("",FALSE,IF(NOT(ISBLANK(C415)), IF(E:E=C415,C:C &amp; "; ",""), ""))</f>
        <v/>
      </c>
      <c r="G415" s="13"/>
      <c r="H415" s="72"/>
      <c r="I415" s="13"/>
      <c r="J415" s="13"/>
      <c r="K415" s="13"/>
      <c r="L415" s="13"/>
      <c r="M415" s="13"/>
      <c r="N415" s="13"/>
      <c r="O415" s="13"/>
      <c r="P415" s="13"/>
    </row>
    <row r="416">
      <c r="A416" s="13"/>
      <c r="B416" s="13"/>
      <c r="C416" s="13"/>
      <c r="D416" s="13"/>
      <c r="E416" s="13"/>
      <c r="F416" s="6" t="str">
        <f t="array" ref="F416">TEXTJOIN("",FALSE,IF(NOT(ISBLANK(C416)), IF(E:E=C416,C:C &amp; "; ",""), ""))</f>
        <v/>
      </c>
      <c r="G416" s="13"/>
      <c r="H416" s="72"/>
      <c r="I416" s="13"/>
      <c r="J416" s="13"/>
      <c r="K416" s="13"/>
      <c r="L416" s="13"/>
      <c r="M416" s="13"/>
      <c r="N416" s="13"/>
      <c r="O416" s="13"/>
      <c r="P416" s="13"/>
    </row>
    <row r="417">
      <c r="A417" s="13"/>
      <c r="B417" s="13"/>
      <c r="C417" s="13"/>
      <c r="D417" s="13"/>
      <c r="E417" s="13"/>
      <c r="F417" s="6" t="str">
        <f t="array" ref="F417">TEXTJOIN("",FALSE,IF(NOT(ISBLANK(C417)), IF(E:E=C417,C:C &amp; "; ",""), ""))</f>
        <v/>
      </c>
      <c r="G417" s="13"/>
      <c r="H417" s="72"/>
      <c r="I417" s="13"/>
      <c r="J417" s="13"/>
      <c r="K417" s="13"/>
      <c r="L417" s="13"/>
      <c r="M417" s="13"/>
      <c r="N417" s="13"/>
      <c r="O417" s="13"/>
      <c r="P417" s="13"/>
    </row>
    <row r="418">
      <c r="A418" s="13"/>
      <c r="B418" s="13"/>
      <c r="C418" s="13"/>
      <c r="D418" s="13"/>
      <c r="E418" s="13"/>
      <c r="F418" s="6" t="str">
        <f t="array" ref="F418">TEXTJOIN("",FALSE,IF(NOT(ISBLANK(C418)), IF(E:E=C418,C:C &amp; "; ",""), ""))</f>
        <v/>
      </c>
      <c r="G418" s="13"/>
      <c r="H418" s="72"/>
      <c r="I418" s="13"/>
      <c r="J418" s="13"/>
      <c r="K418" s="13"/>
      <c r="L418" s="13"/>
      <c r="M418" s="13"/>
      <c r="N418" s="13"/>
      <c r="O418" s="13"/>
      <c r="P418" s="13"/>
    </row>
    <row r="419">
      <c r="A419" s="13"/>
      <c r="B419" s="13"/>
      <c r="C419" s="13"/>
      <c r="D419" s="13"/>
      <c r="E419" s="13"/>
      <c r="F419" s="6" t="str">
        <f t="array" ref="F419">TEXTJOIN("",FALSE,IF(NOT(ISBLANK(C419)), IF(E:E=C419,C:C &amp; "; ",""), ""))</f>
        <v/>
      </c>
      <c r="G419" s="13"/>
      <c r="H419" s="72"/>
      <c r="I419" s="13"/>
      <c r="J419" s="13"/>
      <c r="K419" s="13"/>
      <c r="L419" s="13"/>
      <c r="M419" s="13"/>
      <c r="N419" s="13"/>
      <c r="O419" s="13"/>
      <c r="P419" s="13"/>
    </row>
    <row r="420">
      <c r="A420" s="13"/>
      <c r="B420" s="13"/>
      <c r="C420" s="13"/>
      <c r="D420" s="13"/>
      <c r="E420" s="13"/>
      <c r="F420" s="6" t="str">
        <f t="array" ref="F420">TEXTJOIN("",FALSE,IF(NOT(ISBLANK(C420)), IF(E:E=C420,C:C &amp; "; ",""), ""))</f>
        <v/>
      </c>
      <c r="G420" s="13"/>
      <c r="H420" s="72"/>
      <c r="I420" s="13"/>
      <c r="J420" s="13"/>
      <c r="K420" s="13"/>
      <c r="L420" s="13"/>
      <c r="M420" s="13"/>
      <c r="N420" s="13"/>
      <c r="O420" s="13"/>
      <c r="P420" s="13"/>
    </row>
    <row r="421">
      <c r="A421" s="13"/>
      <c r="B421" s="13"/>
      <c r="C421" s="13"/>
      <c r="D421" s="13"/>
      <c r="E421" s="13"/>
      <c r="F421" s="6" t="str">
        <f t="array" ref="F421">TEXTJOIN("",FALSE,IF(NOT(ISBLANK(C421)), IF(E:E=C421,C:C &amp; "; ",""), ""))</f>
        <v/>
      </c>
      <c r="G421" s="13"/>
      <c r="H421" s="72"/>
      <c r="I421" s="13"/>
      <c r="J421" s="13"/>
      <c r="K421" s="13"/>
      <c r="L421" s="13"/>
      <c r="M421" s="13"/>
      <c r="N421" s="13"/>
      <c r="O421" s="13"/>
      <c r="P421" s="13"/>
    </row>
    <row r="422">
      <c r="A422" s="13"/>
      <c r="B422" s="13"/>
      <c r="C422" s="13"/>
      <c r="D422" s="13"/>
      <c r="E422" s="13"/>
      <c r="F422" s="6" t="str">
        <f t="array" ref="F422">TEXTJOIN("",FALSE,IF(NOT(ISBLANK(C422)), IF(E:E=C422,C:C &amp; "; ",""), ""))</f>
        <v/>
      </c>
      <c r="G422" s="13"/>
      <c r="H422" s="72"/>
      <c r="I422" s="13"/>
      <c r="J422" s="13"/>
      <c r="K422" s="13"/>
      <c r="L422" s="13"/>
      <c r="M422" s="13"/>
      <c r="N422" s="13"/>
      <c r="O422" s="13"/>
      <c r="P422" s="13"/>
    </row>
    <row r="423">
      <c r="A423" s="13"/>
      <c r="B423" s="13"/>
      <c r="C423" s="13"/>
      <c r="D423" s="13"/>
      <c r="E423" s="13"/>
      <c r="F423" s="6" t="str">
        <f t="array" ref="F423">TEXTJOIN("",FALSE,IF(NOT(ISBLANK(C423)), IF(E:E=C423,C:C &amp; "; ",""), ""))</f>
        <v/>
      </c>
      <c r="G423" s="13"/>
      <c r="H423" s="72"/>
      <c r="I423" s="13"/>
      <c r="J423" s="13"/>
      <c r="K423" s="13"/>
      <c r="L423" s="13"/>
      <c r="M423" s="13"/>
      <c r="N423" s="13"/>
      <c r="O423" s="13"/>
      <c r="P423" s="13"/>
    </row>
    <row r="424">
      <c r="A424" s="13"/>
      <c r="B424" s="13"/>
      <c r="C424" s="13"/>
      <c r="D424" s="13"/>
      <c r="E424" s="13"/>
      <c r="F424" s="6" t="str">
        <f t="array" ref="F424">TEXTJOIN("",FALSE,IF(NOT(ISBLANK(C424)), IF(E:E=C424,C:C &amp; "; ",""), ""))</f>
        <v/>
      </c>
      <c r="G424" s="13"/>
      <c r="H424" s="72"/>
      <c r="I424" s="13"/>
      <c r="J424" s="13"/>
      <c r="K424" s="13"/>
      <c r="L424" s="13"/>
      <c r="M424" s="13"/>
      <c r="N424" s="13"/>
      <c r="O424" s="13"/>
      <c r="P424" s="13"/>
    </row>
    <row r="425">
      <c r="A425" s="13"/>
      <c r="B425" s="13"/>
      <c r="C425" s="13"/>
      <c r="D425" s="13"/>
      <c r="E425" s="13"/>
      <c r="F425" s="6" t="str">
        <f t="array" ref="F425">TEXTJOIN("",FALSE,IF(NOT(ISBLANK(C425)), IF(E:E=C425,C:C &amp; "; ",""), ""))</f>
        <v/>
      </c>
      <c r="G425" s="13"/>
      <c r="H425" s="72"/>
      <c r="I425" s="13"/>
      <c r="J425" s="13"/>
      <c r="K425" s="13"/>
      <c r="L425" s="13"/>
      <c r="M425" s="13"/>
      <c r="N425" s="13"/>
      <c r="O425" s="13"/>
      <c r="P425" s="13"/>
    </row>
    <row r="426">
      <c r="A426" s="13"/>
      <c r="B426" s="13"/>
      <c r="C426" s="13"/>
      <c r="D426" s="13"/>
      <c r="E426" s="13"/>
      <c r="F426" s="6" t="str">
        <f t="array" ref="F426">TEXTJOIN("",FALSE,IF(NOT(ISBLANK(C426)), IF(E:E=C426,C:C &amp; "; ",""), ""))</f>
        <v/>
      </c>
      <c r="G426" s="13"/>
      <c r="H426" s="72"/>
      <c r="I426" s="13"/>
      <c r="J426" s="13"/>
      <c r="K426" s="13"/>
      <c r="L426" s="13"/>
      <c r="M426" s="13"/>
      <c r="N426" s="13"/>
      <c r="O426" s="13"/>
      <c r="P426" s="13"/>
    </row>
    <row r="427">
      <c r="A427" s="13"/>
      <c r="B427" s="13"/>
      <c r="C427" s="13"/>
      <c r="D427" s="13"/>
      <c r="E427" s="13"/>
      <c r="F427" s="6" t="str">
        <f t="array" ref="F427">TEXTJOIN("",FALSE,IF(NOT(ISBLANK(C427)), IF(E:E=C427,C:C &amp; "; ",""), ""))</f>
        <v/>
      </c>
      <c r="G427" s="13"/>
      <c r="H427" s="72"/>
      <c r="I427" s="13"/>
      <c r="J427" s="13"/>
      <c r="K427" s="13"/>
      <c r="L427" s="13"/>
      <c r="M427" s="13"/>
      <c r="N427" s="13"/>
      <c r="O427" s="13"/>
      <c r="P427" s="13"/>
    </row>
    <row r="428">
      <c r="A428" s="13"/>
      <c r="B428" s="13"/>
      <c r="C428" s="13"/>
      <c r="D428" s="13"/>
      <c r="E428" s="13"/>
      <c r="F428" s="6" t="str">
        <f t="array" ref="F428">TEXTJOIN("",FALSE,IF(NOT(ISBLANK(C428)), IF(E:E=C428,C:C &amp; "; ",""), ""))</f>
        <v/>
      </c>
      <c r="G428" s="13"/>
      <c r="H428" s="72"/>
      <c r="I428" s="13"/>
      <c r="J428" s="13"/>
      <c r="K428" s="13"/>
      <c r="L428" s="13"/>
      <c r="M428" s="13"/>
      <c r="N428" s="13"/>
      <c r="O428" s="13"/>
      <c r="P428" s="13"/>
    </row>
    <row r="429">
      <c r="A429" s="13"/>
      <c r="B429" s="13"/>
      <c r="C429" s="13"/>
      <c r="D429" s="13"/>
      <c r="E429" s="13"/>
      <c r="F429" s="6" t="str">
        <f t="array" ref="F429">TEXTJOIN("",FALSE,IF(NOT(ISBLANK(C429)), IF(E:E=C429,C:C &amp; "; ",""), ""))</f>
        <v/>
      </c>
      <c r="G429" s="13"/>
      <c r="H429" s="72"/>
      <c r="I429" s="13"/>
      <c r="J429" s="13"/>
      <c r="K429" s="13"/>
      <c r="L429" s="13"/>
      <c r="M429" s="13"/>
      <c r="N429" s="13"/>
      <c r="O429" s="13"/>
      <c r="P429" s="13"/>
    </row>
    <row r="430">
      <c r="A430" s="13"/>
      <c r="B430" s="13"/>
      <c r="C430" s="13"/>
      <c r="D430" s="13"/>
      <c r="E430" s="13"/>
      <c r="F430" s="6" t="str">
        <f t="array" ref="F430">TEXTJOIN("",FALSE,IF(NOT(ISBLANK(C430)), IF(E:E=C430,C:C &amp; "; ",""), ""))</f>
        <v/>
      </c>
      <c r="G430" s="13"/>
      <c r="H430" s="72"/>
      <c r="I430" s="13"/>
      <c r="J430" s="13"/>
      <c r="K430" s="13"/>
      <c r="L430" s="13"/>
      <c r="M430" s="13"/>
      <c r="N430" s="13"/>
      <c r="O430" s="13"/>
      <c r="P430" s="13"/>
    </row>
    <row r="431">
      <c r="A431" s="13"/>
      <c r="B431" s="13"/>
      <c r="C431" s="13"/>
      <c r="D431" s="13"/>
      <c r="E431" s="13"/>
      <c r="F431" s="6" t="str">
        <f t="array" ref="F431">TEXTJOIN("",FALSE,IF(NOT(ISBLANK(C431)), IF(E:E=C431,C:C &amp; "; ",""), ""))</f>
        <v/>
      </c>
      <c r="G431" s="13"/>
      <c r="H431" s="72"/>
      <c r="I431" s="13"/>
      <c r="J431" s="13"/>
      <c r="K431" s="13"/>
      <c r="L431" s="13"/>
      <c r="M431" s="13"/>
      <c r="N431" s="13"/>
      <c r="O431" s="13"/>
      <c r="P431" s="13"/>
    </row>
    <row r="432">
      <c r="A432" s="13"/>
      <c r="B432" s="13"/>
      <c r="C432" s="13"/>
      <c r="D432" s="13"/>
      <c r="E432" s="13"/>
      <c r="F432" s="6" t="str">
        <f t="array" ref="F432">TEXTJOIN("",FALSE,IF(NOT(ISBLANK(C432)), IF(E:E=C432,C:C &amp; "; ",""), ""))</f>
        <v/>
      </c>
      <c r="G432" s="13"/>
      <c r="H432" s="72"/>
      <c r="I432" s="13"/>
      <c r="J432" s="13"/>
      <c r="K432" s="13"/>
      <c r="L432" s="13"/>
      <c r="M432" s="13"/>
      <c r="N432" s="13"/>
      <c r="O432" s="13"/>
      <c r="P432" s="13"/>
    </row>
    <row r="433">
      <c r="A433" s="13"/>
      <c r="B433" s="13"/>
      <c r="C433" s="13"/>
      <c r="D433" s="13"/>
      <c r="E433" s="13"/>
      <c r="F433" s="6" t="str">
        <f t="array" ref="F433">TEXTJOIN("",FALSE,IF(NOT(ISBLANK(C433)), IF(E:E=C433,C:C &amp; "; ",""), ""))</f>
        <v/>
      </c>
      <c r="G433" s="13"/>
      <c r="H433" s="72"/>
      <c r="I433" s="13"/>
      <c r="J433" s="13"/>
      <c r="K433" s="13"/>
      <c r="L433" s="13"/>
      <c r="M433" s="13"/>
      <c r="N433" s="13"/>
      <c r="O433" s="13"/>
      <c r="P433" s="13"/>
    </row>
    <row r="434">
      <c r="A434" s="13"/>
      <c r="B434" s="13"/>
      <c r="C434" s="13"/>
      <c r="D434" s="13"/>
      <c r="E434" s="13"/>
      <c r="F434" s="6" t="str">
        <f t="array" ref="F434">TEXTJOIN("",FALSE,IF(NOT(ISBLANK(C434)), IF(E:E=C434,C:C &amp; "; ",""), ""))</f>
        <v/>
      </c>
      <c r="G434" s="13"/>
      <c r="H434" s="72"/>
      <c r="I434" s="13"/>
      <c r="J434" s="13"/>
      <c r="K434" s="13"/>
      <c r="L434" s="13"/>
      <c r="M434" s="13"/>
      <c r="N434" s="13"/>
      <c r="O434" s="13"/>
      <c r="P434" s="13"/>
    </row>
    <row r="435">
      <c r="A435" s="13"/>
      <c r="B435" s="13"/>
      <c r="C435" s="13"/>
      <c r="D435" s="13"/>
      <c r="E435" s="13"/>
      <c r="F435" s="6" t="str">
        <f t="array" ref="F435">TEXTJOIN("",FALSE,IF(NOT(ISBLANK(C435)), IF(E:E=C435,C:C &amp; "; ",""), ""))</f>
        <v/>
      </c>
      <c r="G435" s="13"/>
      <c r="H435" s="72"/>
      <c r="I435" s="13"/>
      <c r="J435" s="13"/>
      <c r="K435" s="13"/>
      <c r="L435" s="13"/>
      <c r="M435" s="13"/>
      <c r="N435" s="13"/>
      <c r="O435" s="13"/>
      <c r="P435" s="13"/>
    </row>
    <row r="436">
      <c r="A436" s="13"/>
      <c r="B436" s="13"/>
      <c r="C436" s="13"/>
      <c r="D436" s="13"/>
      <c r="E436" s="13"/>
      <c r="F436" s="6" t="str">
        <f t="array" ref="F436">TEXTJOIN("",FALSE,IF(NOT(ISBLANK(C436)), IF(E:E=C436,C:C &amp; "; ",""), ""))</f>
        <v/>
      </c>
      <c r="G436" s="13"/>
      <c r="H436" s="72"/>
      <c r="I436" s="13"/>
      <c r="J436" s="13"/>
      <c r="K436" s="13"/>
      <c r="L436" s="13"/>
      <c r="M436" s="13"/>
      <c r="N436" s="13"/>
      <c r="O436" s="13"/>
      <c r="P436" s="13"/>
    </row>
    <row r="437">
      <c r="A437" s="13"/>
      <c r="B437" s="13"/>
      <c r="C437" s="13"/>
      <c r="D437" s="13"/>
      <c r="E437" s="13"/>
      <c r="F437" s="6" t="str">
        <f t="array" ref="F437">TEXTJOIN("",FALSE,IF(NOT(ISBLANK(C437)), IF(E:E=C437,C:C &amp; "; ",""), ""))</f>
        <v/>
      </c>
      <c r="G437" s="13"/>
      <c r="H437" s="72"/>
      <c r="I437" s="13"/>
      <c r="J437" s="13"/>
      <c r="K437" s="13"/>
      <c r="L437" s="13"/>
      <c r="M437" s="13"/>
      <c r="N437" s="13"/>
      <c r="O437" s="13"/>
      <c r="P437" s="13"/>
    </row>
    <row r="438">
      <c r="A438" s="13"/>
      <c r="B438" s="13"/>
      <c r="C438" s="13"/>
      <c r="D438" s="13"/>
      <c r="E438" s="13"/>
      <c r="F438" s="6" t="str">
        <f t="array" ref="F438">TEXTJOIN("",FALSE,IF(NOT(ISBLANK(C438)), IF(E:E=C438,C:C &amp; "; ",""), ""))</f>
        <v/>
      </c>
      <c r="G438" s="13"/>
      <c r="H438" s="72"/>
      <c r="I438" s="13"/>
      <c r="J438" s="13"/>
      <c r="K438" s="13"/>
      <c r="L438" s="13"/>
      <c r="M438" s="13"/>
      <c r="N438" s="13"/>
      <c r="O438" s="13"/>
      <c r="P438" s="13"/>
    </row>
    <row r="439">
      <c r="A439" s="13"/>
      <c r="B439" s="13"/>
      <c r="C439" s="13"/>
      <c r="D439" s="13"/>
      <c r="E439" s="13"/>
      <c r="F439" s="6" t="str">
        <f t="array" ref="F439">TEXTJOIN("",FALSE,IF(NOT(ISBLANK(C439)), IF(E:E=C439,C:C &amp; "; ",""), ""))</f>
        <v/>
      </c>
      <c r="G439" s="13"/>
      <c r="H439" s="72"/>
      <c r="I439" s="13"/>
      <c r="J439" s="13"/>
      <c r="K439" s="13"/>
      <c r="L439" s="13"/>
      <c r="M439" s="13"/>
      <c r="N439" s="13"/>
      <c r="O439" s="13"/>
      <c r="P439" s="13"/>
    </row>
    <row r="440">
      <c r="A440" s="13"/>
      <c r="B440" s="13"/>
      <c r="C440" s="13"/>
      <c r="D440" s="13"/>
      <c r="E440" s="13"/>
      <c r="F440" s="6" t="str">
        <f t="array" ref="F440">TEXTJOIN("",FALSE,IF(NOT(ISBLANK(C440)), IF(E:E=C440,C:C &amp; "; ",""), ""))</f>
        <v/>
      </c>
      <c r="G440" s="13"/>
      <c r="H440" s="72"/>
      <c r="I440" s="13"/>
      <c r="J440" s="13"/>
      <c r="K440" s="13"/>
      <c r="L440" s="13"/>
      <c r="M440" s="13"/>
      <c r="N440" s="13"/>
      <c r="O440" s="13"/>
      <c r="P440" s="13"/>
    </row>
    <row r="441">
      <c r="A441" s="13"/>
      <c r="B441" s="13"/>
      <c r="C441" s="13"/>
      <c r="D441" s="13"/>
      <c r="E441" s="13"/>
      <c r="F441" s="6" t="str">
        <f t="array" ref="F441">TEXTJOIN("",FALSE,IF(NOT(ISBLANK(C441)), IF(E:E=C441,C:C &amp; "; ",""), ""))</f>
        <v/>
      </c>
      <c r="G441" s="13"/>
      <c r="H441" s="72"/>
      <c r="I441" s="13"/>
      <c r="J441" s="13"/>
      <c r="K441" s="13"/>
      <c r="L441" s="13"/>
      <c r="M441" s="13"/>
      <c r="N441" s="13"/>
      <c r="O441" s="13"/>
      <c r="P441" s="13"/>
    </row>
    <row r="442">
      <c r="A442" s="13"/>
      <c r="B442" s="13"/>
      <c r="C442" s="13"/>
      <c r="D442" s="13"/>
      <c r="E442" s="13"/>
      <c r="F442" s="6" t="str">
        <f t="array" ref="F442">TEXTJOIN("",FALSE,IF(NOT(ISBLANK(C442)), IF(E:E=C442,C:C &amp; "; ",""), ""))</f>
        <v/>
      </c>
      <c r="G442" s="13"/>
      <c r="H442" s="72"/>
      <c r="I442" s="13"/>
      <c r="J442" s="13"/>
      <c r="K442" s="13"/>
      <c r="L442" s="13"/>
      <c r="M442" s="13"/>
      <c r="N442" s="13"/>
      <c r="O442" s="13"/>
      <c r="P442" s="13"/>
    </row>
    <row r="443">
      <c r="A443" s="13"/>
      <c r="B443" s="13"/>
      <c r="C443" s="13"/>
      <c r="D443" s="13"/>
      <c r="E443" s="13"/>
      <c r="F443" s="6" t="str">
        <f t="array" ref="F443">TEXTJOIN("",FALSE,IF(NOT(ISBLANK(C443)), IF(E:E=C443,C:C &amp; "; ",""), ""))</f>
        <v/>
      </c>
      <c r="G443" s="13"/>
      <c r="H443" s="72"/>
      <c r="I443" s="13"/>
      <c r="J443" s="13"/>
      <c r="K443" s="13"/>
      <c r="L443" s="13"/>
      <c r="M443" s="13"/>
      <c r="N443" s="13"/>
      <c r="O443" s="13"/>
      <c r="P443" s="13"/>
    </row>
    <row r="444">
      <c r="A444" s="13"/>
      <c r="B444" s="13"/>
      <c r="C444" s="13"/>
      <c r="D444" s="13"/>
      <c r="E444" s="13"/>
      <c r="F444" s="6" t="str">
        <f t="array" ref="F444">TEXTJOIN("",FALSE,IF(NOT(ISBLANK(C444)), IF(E:E=C444,C:C &amp; "; ",""), ""))</f>
        <v/>
      </c>
      <c r="G444" s="13"/>
      <c r="H444" s="72"/>
      <c r="I444" s="13"/>
      <c r="J444" s="13"/>
      <c r="K444" s="13"/>
      <c r="L444" s="13"/>
      <c r="M444" s="13"/>
      <c r="N444" s="13"/>
      <c r="O444" s="13"/>
      <c r="P444" s="13"/>
    </row>
    <row r="445">
      <c r="A445" s="13"/>
      <c r="B445" s="13"/>
      <c r="C445" s="13"/>
      <c r="D445" s="13"/>
      <c r="E445" s="13"/>
      <c r="F445" s="6" t="str">
        <f t="array" ref="F445">TEXTJOIN("",FALSE,IF(NOT(ISBLANK(C445)), IF(E:E=C445,C:C &amp; "; ",""), ""))</f>
        <v/>
      </c>
      <c r="G445" s="13"/>
      <c r="H445" s="72"/>
      <c r="I445" s="13"/>
      <c r="J445" s="13"/>
      <c r="K445" s="13"/>
      <c r="L445" s="13"/>
      <c r="M445" s="13"/>
      <c r="N445" s="13"/>
      <c r="O445" s="13"/>
      <c r="P445" s="13"/>
    </row>
    <row r="446">
      <c r="A446" s="13"/>
      <c r="B446" s="13"/>
      <c r="C446" s="13"/>
      <c r="D446" s="13"/>
      <c r="E446" s="13"/>
      <c r="F446" s="6" t="str">
        <f t="array" ref="F446">TEXTJOIN("",FALSE,IF(NOT(ISBLANK(C446)), IF(E:E=C446,C:C &amp; "; ",""), ""))</f>
        <v/>
      </c>
      <c r="G446" s="13"/>
      <c r="H446" s="72"/>
      <c r="I446" s="13"/>
      <c r="J446" s="13"/>
      <c r="K446" s="13"/>
      <c r="L446" s="13"/>
      <c r="M446" s="13"/>
      <c r="N446" s="13"/>
      <c r="O446" s="13"/>
      <c r="P446" s="13"/>
    </row>
    <row r="447">
      <c r="A447" s="13"/>
      <c r="B447" s="13"/>
      <c r="C447" s="13"/>
      <c r="D447" s="13"/>
      <c r="E447" s="13"/>
      <c r="F447" s="6" t="str">
        <f t="array" ref="F447">TEXTJOIN("",FALSE,IF(NOT(ISBLANK(C447)), IF(E:E=C447,C:C &amp; "; ",""), ""))</f>
        <v/>
      </c>
      <c r="G447" s="13"/>
      <c r="H447" s="72"/>
      <c r="I447" s="13"/>
      <c r="J447" s="13"/>
      <c r="K447" s="13"/>
      <c r="L447" s="13"/>
      <c r="M447" s="13"/>
      <c r="N447" s="13"/>
      <c r="O447" s="13"/>
      <c r="P447" s="13"/>
    </row>
    <row r="448">
      <c r="A448" s="13"/>
      <c r="B448" s="13"/>
      <c r="C448" s="13"/>
      <c r="D448" s="13"/>
      <c r="E448" s="13"/>
      <c r="F448" s="13"/>
      <c r="G448" s="13"/>
      <c r="H448" s="72"/>
      <c r="I448" s="13"/>
      <c r="J448" s="13"/>
      <c r="K448" s="13"/>
      <c r="L448" s="13"/>
      <c r="M448" s="13"/>
      <c r="N448" s="13"/>
      <c r="O448" s="13"/>
      <c r="P448" s="13"/>
    </row>
    <row r="449">
      <c r="A449" s="13"/>
      <c r="B449" s="13"/>
      <c r="C449" s="13"/>
      <c r="D449" s="13"/>
      <c r="E449" s="13"/>
      <c r="F449" s="13"/>
      <c r="G449" s="13"/>
      <c r="H449" s="72"/>
      <c r="I449" s="13"/>
      <c r="J449" s="13"/>
      <c r="K449" s="13"/>
      <c r="L449" s="13"/>
      <c r="M449" s="13"/>
      <c r="N449" s="13"/>
      <c r="O449" s="13"/>
      <c r="P449" s="13"/>
    </row>
    <row r="450">
      <c r="A450" s="13"/>
      <c r="B450" s="13"/>
      <c r="C450" s="13"/>
      <c r="D450" s="13"/>
      <c r="E450" s="13"/>
      <c r="F450" s="13"/>
      <c r="G450" s="13"/>
      <c r="H450" s="72"/>
      <c r="I450" s="13"/>
      <c r="J450" s="13"/>
      <c r="K450" s="13"/>
      <c r="L450" s="13"/>
      <c r="M450" s="13"/>
      <c r="N450" s="13"/>
      <c r="O450" s="13"/>
      <c r="P450" s="13"/>
    </row>
    <row r="451">
      <c r="A451" s="13"/>
      <c r="B451" s="13"/>
      <c r="C451" s="13"/>
      <c r="D451" s="13"/>
      <c r="E451" s="13"/>
      <c r="F451" s="13"/>
      <c r="G451" s="13"/>
      <c r="H451" s="72"/>
      <c r="I451" s="13"/>
      <c r="J451" s="13"/>
      <c r="K451" s="13"/>
      <c r="L451" s="13"/>
      <c r="M451" s="13"/>
      <c r="N451" s="13"/>
      <c r="O451" s="13"/>
      <c r="P451" s="13"/>
    </row>
    <row r="452">
      <c r="A452" s="13"/>
      <c r="B452" s="13"/>
      <c r="C452" s="13"/>
      <c r="D452" s="13"/>
      <c r="E452" s="13"/>
      <c r="F452" s="13"/>
      <c r="G452" s="13"/>
      <c r="H452" s="72"/>
      <c r="I452" s="13"/>
      <c r="J452" s="13"/>
      <c r="K452" s="13"/>
      <c r="L452" s="13"/>
      <c r="M452" s="13"/>
      <c r="N452" s="13"/>
      <c r="O452" s="13"/>
      <c r="P452" s="13"/>
    </row>
    <row r="453">
      <c r="A453" s="13"/>
      <c r="B453" s="13"/>
      <c r="C453" s="13"/>
      <c r="D453" s="13"/>
      <c r="E453" s="13"/>
      <c r="F453" s="13"/>
      <c r="G453" s="13"/>
      <c r="H453" s="72"/>
      <c r="I453" s="13"/>
      <c r="J453" s="13"/>
      <c r="K453" s="13"/>
      <c r="L453" s="13"/>
      <c r="M453" s="13"/>
      <c r="N453" s="13"/>
      <c r="O453" s="13"/>
      <c r="P453" s="13"/>
    </row>
    <row r="454">
      <c r="A454" s="13"/>
      <c r="B454" s="13"/>
      <c r="C454" s="13"/>
      <c r="D454" s="13"/>
      <c r="E454" s="13"/>
      <c r="F454" s="13"/>
      <c r="G454" s="13"/>
      <c r="H454" s="72"/>
      <c r="I454" s="13"/>
      <c r="J454" s="13"/>
      <c r="K454" s="13"/>
      <c r="L454" s="13"/>
      <c r="M454" s="13"/>
      <c r="N454" s="13"/>
      <c r="O454" s="13"/>
      <c r="P454" s="13"/>
    </row>
    <row r="455">
      <c r="A455" s="13"/>
      <c r="B455" s="13"/>
      <c r="C455" s="13"/>
      <c r="D455" s="13"/>
      <c r="E455" s="13"/>
      <c r="F455" s="13"/>
      <c r="G455" s="13"/>
      <c r="H455" s="72"/>
      <c r="I455" s="13"/>
      <c r="J455" s="13"/>
      <c r="K455" s="13"/>
      <c r="L455" s="13"/>
      <c r="M455" s="13"/>
      <c r="N455" s="13"/>
      <c r="O455" s="13"/>
      <c r="P455" s="13"/>
    </row>
    <row r="456">
      <c r="A456" s="13"/>
      <c r="B456" s="13"/>
      <c r="C456" s="13"/>
      <c r="D456" s="13"/>
      <c r="E456" s="13"/>
      <c r="F456" s="13"/>
      <c r="G456" s="13"/>
      <c r="H456" s="72"/>
      <c r="I456" s="13"/>
      <c r="J456" s="13"/>
      <c r="K456" s="13"/>
      <c r="L456" s="13"/>
      <c r="M456" s="13"/>
      <c r="N456" s="13"/>
      <c r="O456" s="13"/>
      <c r="P456" s="13"/>
    </row>
    <row r="457">
      <c r="A457" s="13"/>
      <c r="B457" s="13"/>
      <c r="C457" s="13"/>
      <c r="D457" s="13"/>
      <c r="E457" s="13"/>
      <c r="F457" s="13"/>
      <c r="G457" s="13"/>
      <c r="H457" s="72"/>
      <c r="I457" s="13"/>
      <c r="J457" s="13"/>
      <c r="K457" s="13"/>
      <c r="L457" s="13"/>
      <c r="M457" s="13"/>
      <c r="N457" s="13"/>
      <c r="O457" s="13"/>
      <c r="P457" s="13"/>
    </row>
    <row r="458">
      <c r="A458" s="13"/>
      <c r="B458" s="13"/>
      <c r="C458" s="13"/>
      <c r="D458" s="13"/>
      <c r="E458" s="13"/>
      <c r="F458" s="13"/>
      <c r="G458" s="13"/>
      <c r="H458" s="72"/>
      <c r="I458" s="13"/>
      <c r="J458" s="13"/>
      <c r="K458" s="13"/>
      <c r="L458" s="13"/>
      <c r="M458" s="13"/>
      <c r="N458" s="13"/>
      <c r="O458" s="13"/>
      <c r="P458" s="13"/>
    </row>
    <row r="459">
      <c r="A459" s="13"/>
      <c r="B459" s="13"/>
      <c r="C459" s="13"/>
      <c r="D459" s="13"/>
      <c r="E459" s="13"/>
      <c r="F459" s="13"/>
      <c r="G459" s="13"/>
      <c r="H459" s="72"/>
      <c r="I459" s="13"/>
      <c r="J459" s="13"/>
      <c r="K459" s="13"/>
      <c r="L459" s="13"/>
      <c r="M459" s="13"/>
      <c r="N459" s="13"/>
      <c r="O459" s="13"/>
      <c r="P459" s="13"/>
    </row>
    <row r="460">
      <c r="A460" s="13"/>
      <c r="B460" s="13"/>
      <c r="C460" s="13"/>
      <c r="D460" s="13"/>
      <c r="E460" s="13"/>
      <c r="F460" s="13"/>
      <c r="G460" s="13"/>
      <c r="H460" s="72"/>
      <c r="I460" s="13"/>
      <c r="J460" s="13"/>
      <c r="K460" s="13"/>
      <c r="L460" s="13"/>
      <c r="M460" s="13"/>
      <c r="N460" s="13"/>
      <c r="O460" s="13"/>
      <c r="P460" s="13"/>
    </row>
    <row r="461">
      <c r="A461" s="13"/>
      <c r="B461" s="13"/>
      <c r="C461" s="13"/>
      <c r="D461" s="13"/>
      <c r="E461" s="13"/>
      <c r="F461" s="13"/>
      <c r="G461" s="13"/>
      <c r="H461" s="72"/>
      <c r="I461" s="13"/>
      <c r="J461" s="13"/>
      <c r="K461" s="13"/>
      <c r="L461" s="13"/>
      <c r="M461" s="13"/>
      <c r="N461" s="13"/>
      <c r="O461" s="13"/>
      <c r="P461" s="13"/>
    </row>
    <row r="462">
      <c r="A462" s="13"/>
      <c r="B462" s="13"/>
      <c r="C462" s="13"/>
      <c r="D462" s="13"/>
      <c r="E462" s="13"/>
      <c r="F462" s="13"/>
      <c r="G462" s="13"/>
      <c r="H462" s="72"/>
      <c r="I462" s="13"/>
      <c r="J462" s="13"/>
      <c r="K462" s="13"/>
      <c r="L462" s="13"/>
      <c r="M462" s="13"/>
      <c r="N462" s="13"/>
      <c r="O462" s="13"/>
      <c r="P462" s="13"/>
    </row>
    <row r="463">
      <c r="A463" s="13"/>
      <c r="B463" s="13"/>
      <c r="C463" s="13"/>
      <c r="D463" s="13"/>
      <c r="E463" s="13"/>
      <c r="F463" s="13"/>
      <c r="G463" s="13"/>
      <c r="H463" s="72"/>
      <c r="I463" s="13"/>
      <c r="J463" s="13"/>
      <c r="K463" s="13"/>
      <c r="L463" s="13"/>
      <c r="M463" s="13"/>
      <c r="N463" s="13"/>
      <c r="O463" s="13"/>
      <c r="P463" s="13"/>
    </row>
    <row r="464">
      <c r="A464" s="13"/>
      <c r="B464" s="13"/>
      <c r="C464" s="13"/>
      <c r="D464" s="13"/>
      <c r="E464" s="13"/>
      <c r="F464" s="13"/>
      <c r="G464" s="13"/>
      <c r="H464" s="72"/>
      <c r="I464" s="13"/>
      <c r="J464" s="13"/>
      <c r="K464" s="13"/>
      <c r="L464" s="13"/>
      <c r="M464" s="13"/>
      <c r="N464" s="13"/>
      <c r="O464" s="13"/>
      <c r="P464" s="13"/>
    </row>
    <row r="465">
      <c r="A465" s="13"/>
      <c r="B465" s="13"/>
      <c r="C465" s="13"/>
      <c r="D465" s="13"/>
      <c r="E465" s="13"/>
      <c r="F465" s="13"/>
      <c r="G465" s="13"/>
      <c r="H465" s="72"/>
      <c r="I465" s="13"/>
      <c r="J465" s="13"/>
      <c r="K465" s="13"/>
      <c r="L465" s="13"/>
      <c r="M465" s="13"/>
      <c r="N465" s="13"/>
      <c r="O465" s="13"/>
      <c r="P465" s="13"/>
    </row>
    <row r="466">
      <c r="A466" s="13"/>
      <c r="B466" s="13"/>
      <c r="C466" s="13"/>
      <c r="D466" s="13"/>
      <c r="E466" s="13"/>
      <c r="F466" s="13"/>
      <c r="G466" s="13"/>
      <c r="H466" s="72"/>
      <c r="I466" s="13"/>
      <c r="J466" s="13"/>
      <c r="K466" s="13"/>
      <c r="L466" s="13"/>
      <c r="M466" s="13"/>
      <c r="N466" s="13"/>
      <c r="O466" s="13"/>
      <c r="P466" s="13"/>
    </row>
    <row r="467">
      <c r="A467" s="13"/>
      <c r="B467" s="13"/>
      <c r="C467" s="13"/>
      <c r="D467" s="13"/>
      <c r="E467" s="13"/>
      <c r="F467" s="13"/>
      <c r="G467" s="13"/>
      <c r="H467" s="72"/>
      <c r="I467" s="13"/>
      <c r="J467" s="13"/>
      <c r="K467" s="13"/>
      <c r="L467" s="13"/>
      <c r="M467" s="13"/>
      <c r="N467" s="13"/>
      <c r="O467" s="13"/>
      <c r="P467" s="13"/>
    </row>
    <row r="468">
      <c r="A468" s="13"/>
      <c r="B468" s="13"/>
      <c r="C468" s="13"/>
      <c r="D468" s="13"/>
      <c r="E468" s="13"/>
      <c r="F468" s="13"/>
      <c r="G468" s="13"/>
      <c r="H468" s="72"/>
      <c r="I468" s="13"/>
      <c r="J468" s="13"/>
      <c r="K468" s="13"/>
      <c r="L468" s="13"/>
      <c r="M468" s="13"/>
      <c r="N468" s="13"/>
      <c r="O468" s="13"/>
      <c r="P468" s="13"/>
    </row>
    <row r="469">
      <c r="A469" s="13"/>
      <c r="B469" s="13"/>
      <c r="C469" s="13"/>
      <c r="D469" s="13"/>
      <c r="E469" s="13"/>
      <c r="F469" s="13"/>
      <c r="G469" s="13"/>
      <c r="H469" s="72"/>
      <c r="I469" s="13"/>
      <c r="J469" s="13"/>
      <c r="K469" s="13"/>
      <c r="L469" s="13"/>
      <c r="M469" s="13"/>
      <c r="N469" s="13"/>
      <c r="O469" s="13"/>
      <c r="P469" s="13"/>
    </row>
    <row r="470">
      <c r="A470" s="13"/>
      <c r="B470" s="13"/>
      <c r="C470" s="13"/>
      <c r="D470" s="13"/>
      <c r="E470" s="13"/>
      <c r="F470" s="13"/>
      <c r="G470" s="13"/>
      <c r="H470" s="72"/>
      <c r="I470" s="13"/>
      <c r="J470" s="13"/>
      <c r="K470" s="13"/>
      <c r="L470" s="13"/>
      <c r="M470" s="13"/>
      <c r="N470" s="13"/>
      <c r="O470" s="13"/>
      <c r="P470" s="13"/>
    </row>
    <row r="471">
      <c r="A471" s="13"/>
      <c r="B471" s="13"/>
      <c r="C471" s="13"/>
      <c r="D471" s="13"/>
      <c r="E471" s="13"/>
      <c r="F471" s="13"/>
      <c r="G471" s="13"/>
      <c r="H471" s="72"/>
      <c r="I471" s="13"/>
      <c r="J471" s="13"/>
      <c r="K471" s="13"/>
      <c r="L471" s="13"/>
      <c r="M471" s="13"/>
      <c r="N471" s="13"/>
      <c r="O471" s="13"/>
      <c r="P471" s="13"/>
    </row>
    <row r="472">
      <c r="A472" s="13"/>
      <c r="B472" s="13"/>
      <c r="C472" s="13"/>
      <c r="D472" s="13"/>
      <c r="E472" s="13"/>
      <c r="F472" s="13"/>
      <c r="G472" s="13"/>
      <c r="H472" s="72"/>
      <c r="I472" s="13"/>
      <c r="J472" s="13"/>
      <c r="K472" s="13"/>
      <c r="L472" s="13"/>
      <c r="M472" s="13"/>
      <c r="N472" s="13"/>
      <c r="O472" s="13"/>
      <c r="P472" s="13"/>
    </row>
    <row r="473">
      <c r="A473" s="13"/>
      <c r="B473" s="13"/>
      <c r="C473" s="13"/>
      <c r="D473" s="13"/>
      <c r="E473" s="13"/>
      <c r="F473" s="13"/>
      <c r="G473" s="13"/>
      <c r="H473" s="72"/>
      <c r="I473" s="13"/>
      <c r="J473" s="13"/>
      <c r="K473" s="13"/>
      <c r="L473" s="13"/>
      <c r="M473" s="13"/>
      <c r="N473" s="13"/>
      <c r="O473" s="13"/>
      <c r="P473" s="13"/>
    </row>
    <row r="474">
      <c r="A474" s="13"/>
      <c r="B474" s="13"/>
      <c r="C474" s="13"/>
      <c r="D474" s="13"/>
      <c r="E474" s="13"/>
      <c r="F474" s="13"/>
      <c r="G474" s="13"/>
      <c r="H474" s="72"/>
      <c r="I474" s="13"/>
      <c r="J474" s="13"/>
      <c r="K474" s="13"/>
      <c r="L474" s="13"/>
      <c r="M474" s="13"/>
      <c r="N474" s="13"/>
      <c r="O474" s="13"/>
      <c r="P474" s="13"/>
    </row>
    <row r="475">
      <c r="A475" s="13"/>
      <c r="B475" s="13"/>
      <c r="C475" s="13"/>
      <c r="D475" s="13"/>
      <c r="E475" s="13"/>
      <c r="F475" s="13"/>
      <c r="G475" s="13"/>
      <c r="H475" s="72"/>
      <c r="I475" s="13"/>
      <c r="J475" s="13"/>
      <c r="K475" s="13"/>
      <c r="L475" s="13"/>
      <c r="M475" s="13"/>
      <c r="N475" s="13"/>
      <c r="O475" s="13"/>
      <c r="P475" s="13"/>
    </row>
    <row r="476">
      <c r="A476" s="13"/>
      <c r="B476" s="13"/>
      <c r="C476" s="13"/>
      <c r="D476" s="13"/>
      <c r="E476" s="13"/>
      <c r="F476" s="13"/>
      <c r="G476" s="13"/>
      <c r="H476" s="72"/>
      <c r="I476" s="13"/>
      <c r="J476" s="13"/>
      <c r="K476" s="13"/>
      <c r="L476" s="13"/>
      <c r="M476" s="13"/>
      <c r="N476" s="13"/>
      <c r="O476" s="13"/>
      <c r="P476" s="13"/>
    </row>
    <row r="477">
      <c r="A477" s="13"/>
      <c r="B477" s="13"/>
      <c r="C477" s="13"/>
      <c r="D477" s="13"/>
      <c r="E477" s="13"/>
      <c r="F477" s="13"/>
      <c r="G477" s="13"/>
      <c r="H477" s="72"/>
      <c r="I477" s="13"/>
      <c r="J477" s="13"/>
      <c r="K477" s="13"/>
      <c r="L477" s="13"/>
      <c r="M477" s="13"/>
      <c r="N477" s="13"/>
      <c r="O477" s="13"/>
      <c r="P477" s="13"/>
    </row>
    <row r="478">
      <c r="A478" s="13"/>
      <c r="B478" s="13"/>
      <c r="C478" s="13"/>
      <c r="D478" s="13"/>
      <c r="E478" s="13"/>
      <c r="F478" s="13"/>
      <c r="G478" s="13"/>
      <c r="H478" s="72"/>
      <c r="I478" s="13"/>
      <c r="J478" s="13"/>
      <c r="K478" s="13"/>
      <c r="L478" s="13"/>
      <c r="M478" s="13"/>
      <c r="N478" s="13"/>
      <c r="O478" s="13"/>
      <c r="P478" s="13"/>
    </row>
    <row r="479">
      <c r="A479" s="13"/>
      <c r="B479" s="13"/>
      <c r="C479" s="13"/>
      <c r="D479" s="13"/>
      <c r="E479" s="13"/>
      <c r="F479" s="13"/>
      <c r="G479" s="13"/>
      <c r="H479" s="72"/>
      <c r="I479" s="13"/>
      <c r="J479" s="13"/>
      <c r="K479" s="13"/>
      <c r="L479" s="13"/>
      <c r="M479" s="13"/>
      <c r="N479" s="13"/>
      <c r="O479" s="13"/>
      <c r="P479" s="13"/>
    </row>
    <row r="480">
      <c r="A480" s="13"/>
      <c r="B480" s="13"/>
      <c r="C480" s="13"/>
      <c r="D480" s="13"/>
      <c r="E480" s="13"/>
      <c r="F480" s="13"/>
      <c r="G480" s="13"/>
      <c r="H480" s="72"/>
      <c r="I480" s="13"/>
      <c r="J480" s="13"/>
      <c r="K480" s="13"/>
      <c r="L480" s="13"/>
      <c r="M480" s="13"/>
      <c r="N480" s="13"/>
      <c r="O480" s="13"/>
      <c r="P480" s="13"/>
    </row>
    <row r="481">
      <c r="A481" s="13"/>
      <c r="B481" s="13"/>
      <c r="C481" s="13"/>
      <c r="D481" s="13"/>
      <c r="E481" s="13"/>
      <c r="F481" s="13"/>
      <c r="G481" s="13"/>
      <c r="H481" s="72"/>
      <c r="I481" s="13"/>
      <c r="J481" s="13"/>
      <c r="K481" s="13"/>
      <c r="L481" s="13"/>
      <c r="M481" s="13"/>
      <c r="N481" s="13"/>
      <c r="O481" s="13"/>
      <c r="P481" s="13"/>
    </row>
    <row r="482">
      <c r="A482" s="13"/>
      <c r="B482" s="13"/>
      <c r="C482" s="13"/>
      <c r="D482" s="13"/>
      <c r="E482" s="13"/>
      <c r="F482" s="13"/>
      <c r="G482" s="13"/>
      <c r="H482" s="72"/>
      <c r="I482" s="13"/>
      <c r="J482" s="13"/>
      <c r="K482" s="13"/>
      <c r="L482" s="13"/>
      <c r="M482" s="13"/>
      <c r="N482" s="13"/>
      <c r="O482" s="13"/>
      <c r="P482" s="13"/>
    </row>
    <row r="483">
      <c r="A483" s="13"/>
      <c r="B483" s="13"/>
      <c r="C483" s="13"/>
      <c r="D483" s="13"/>
      <c r="E483" s="13"/>
      <c r="F483" s="13"/>
      <c r="G483" s="13"/>
      <c r="H483" s="72"/>
      <c r="I483" s="13"/>
      <c r="J483" s="13"/>
      <c r="K483" s="13"/>
      <c r="L483" s="13"/>
      <c r="M483" s="13"/>
      <c r="N483" s="13"/>
      <c r="O483" s="13"/>
      <c r="P483" s="13"/>
    </row>
    <row r="484">
      <c r="A484" s="13"/>
      <c r="B484" s="13"/>
      <c r="C484" s="13"/>
      <c r="D484" s="13"/>
      <c r="E484" s="13"/>
      <c r="F484" s="13"/>
      <c r="G484" s="13"/>
      <c r="H484" s="72"/>
      <c r="I484" s="13"/>
      <c r="J484" s="13"/>
      <c r="K484" s="13"/>
      <c r="L484" s="13"/>
      <c r="M484" s="13"/>
      <c r="N484" s="13"/>
      <c r="O484" s="13"/>
      <c r="P484" s="13"/>
    </row>
    <row r="485">
      <c r="A485" s="13"/>
      <c r="B485" s="13"/>
      <c r="C485" s="13"/>
      <c r="D485" s="13"/>
      <c r="E485" s="13"/>
      <c r="F485" s="13"/>
      <c r="G485" s="13"/>
      <c r="H485" s="72"/>
      <c r="I485" s="13"/>
      <c r="J485" s="13"/>
      <c r="K485" s="13"/>
      <c r="L485" s="13"/>
      <c r="M485" s="13"/>
      <c r="N485" s="13"/>
      <c r="O485" s="13"/>
      <c r="P485" s="13"/>
    </row>
    <row r="486">
      <c r="A486" s="13"/>
      <c r="B486" s="13"/>
      <c r="C486" s="13"/>
      <c r="D486" s="13"/>
      <c r="E486" s="13"/>
      <c r="F486" s="13"/>
      <c r="G486" s="13"/>
      <c r="H486" s="72"/>
      <c r="I486" s="13"/>
      <c r="J486" s="13"/>
      <c r="K486" s="13"/>
      <c r="L486" s="13"/>
      <c r="M486" s="13"/>
      <c r="N486" s="13"/>
      <c r="O486" s="13"/>
      <c r="P486" s="13"/>
    </row>
    <row r="487">
      <c r="A487" s="13"/>
      <c r="B487" s="13"/>
      <c r="C487" s="13"/>
      <c r="D487" s="13"/>
      <c r="E487" s="13"/>
      <c r="F487" s="13"/>
      <c r="G487" s="13"/>
      <c r="H487" s="72"/>
      <c r="I487" s="13"/>
      <c r="J487" s="13"/>
      <c r="K487" s="13"/>
      <c r="L487" s="13"/>
      <c r="M487" s="13"/>
      <c r="N487" s="13"/>
      <c r="O487" s="13"/>
      <c r="P487" s="13"/>
    </row>
    <row r="488">
      <c r="A488" s="13"/>
      <c r="B488" s="13"/>
      <c r="C488" s="13"/>
      <c r="D488" s="13"/>
      <c r="E488" s="13"/>
      <c r="F488" s="13"/>
      <c r="G488" s="13"/>
      <c r="H488" s="72"/>
      <c r="I488" s="13"/>
      <c r="J488" s="13"/>
      <c r="K488" s="13"/>
      <c r="L488" s="13"/>
      <c r="M488" s="13"/>
      <c r="N488" s="13"/>
      <c r="O488" s="13"/>
      <c r="P488" s="13"/>
    </row>
    <row r="489">
      <c r="A489" s="13"/>
      <c r="B489" s="13"/>
      <c r="C489" s="13"/>
      <c r="D489" s="13"/>
      <c r="E489" s="13"/>
      <c r="F489" s="13"/>
      <c r="G489" s="13"/>
      <c r="H489" s="72"/>
      <c r="I489" s="13"/>
      <c r="J489" s="13"/>
      <c r="K489" s="13"/>
      <c r="L489" s="13"/>
      <c r="M489" s="13"/>
      <c r="N489" s="13"/>
      <c r="O489" s="13"/>
      <c r="P489" s="13"/>
    </row>
    <row r="490">
      <c r="A490" s="13"/>
      <c r="B490" s="13"/>
      <c r="C490" s="13"/>
      <c r="D490" s="13"/>
      <c r="E490" s="13"/>
      <c r="F490" s="13"/>
      <c r="G490" s="13"/>
      <c r="H490" s="72"/>
      <c r="I490" s="13"/>
      <c r="J490" s="13"/>
      <c r="K490" s="13"/>
      <c r="L490" s="13"/>
      <c r="M490" s="13"/>
      <c r="N490" s="13"/>
      <c r="O490" s="13"/>
      <c r="P490" s="13"/>
    </row>
    <row r="491">
      <c r="A491" s="13"/>
      <c r="B491" s="13"/>
      <c r="C491" s="13"/>
      <c r="D491" s="13"/>
      <c r="E491" s="13"/>
      <c r="F491" s="13"/>
      <c r="G491" s="13"/>
      <c r="H491" s="72"/>
      <c r="I491" s="13"/>
      <c r="J491" s="13"/>
      <c r="K491" s="13"/>
      <c r="L491" s="13"/>
      <c r="M491" s="13"/>
      <c r="N491" s="13"/>
      <c r="O491" s="13"/>
      <c r="P491" s="13"/>
    </row>
    <row r="492">
      <c r="A492" s="13"/>
      <c r="B492" s="13"/>
      <c r="C492" s="13"/>
      <c r="D492" s="13"/>
      <c r="E492" s="13"/>
      <c r="F492" s="13"/>
      <c r="G492" s="13"/>
      <c r="H492" s="72"/>
      <c r="I492" s="13"/>
      <c r="J492" s="13"/>
      <c r="K492" s="13"/>
      <c r="L492" s="13"/>
      <c r="M492" s="13"/>
      <c r="N492" s="13"/>
      <c r="O492" s="13"/>
      <c r="P492" s="13"/>
    </row>
    <row r="493">
      <c r="A493" s="13"/>
      <c r="B493" s="13"/>
      <c r="C493" s="13"/>
      <c r="D493" s="13"/>
      <c r="E493" s="13"/>
      <c r="F493" s="13"/>
      <c r="G493" s="13"/>
      <c r="H493" s="72"/>
      <c r="I493" s="13"/>
      <c r="J493" s="13"/>
      <c r="K493" s="13"/>
      <c r="L493" s="13"/>
      <c r="M493" s="13"/>
      <c r="N493" s="13"/>
      <c r="O493" s="13"/>
      <c r="P493" s="13"/>
    </row>
    <row r="494">
      <c r="A494" s="13"/>
      <c r="B494" s="13"/>
      <c r="C494" s="13"/>
      <c r="D494" s="13"/>
      <c r="E494" s="13"/>
      <c r="F494" s="13"/>
      <c r="G494" s="13"/>
      <c r="H494" s="72"/>
      <c r="I494" s="13"/>
      <c r="J494" s="13"/>
      <c r="K494" s="13"/>
      <c r="L494" s="13"/>
      <c r="M494" s="13"/>
      <c r="N494" s="13"/>
      <c r="O494" s="13"/>
      <c r="P494" s="13"/>
    </row>
    <row r="495">
      <c r="A495" s="13"/>
      <c r="B495" s="13"/>
      <c r="C495" s="13"/>
      <c r="D495" s="13"/>
      <c r="E495" s="13"/>
      <c r="F495" s="13"/>
      <c r="G495" s="13"/>
      <c r="H495" s="72"/>
      <c r="I495" s="13"/>
      <c r="J495" s="13"/>
      <c r="K495" s="13"/>
      <c r="L495" s="13"/>
      <c r="M495" s="13"/>
      <c r="N495" s="13"/>
      <c r="O495" s="13"/>
      <c r="P495" s="13"/>
    </row>
    <row r="496">
      <c r="A496" s="13"/>
      <c r="B496" s="13"/>
      <c r="C496" s="13"/>
      <c r="D496" s="13"/>
      <c r="E496" s="13"/>
      <c r="F496" s="13"/>
      <c r="G496" s="13"/>
      <c r="H496" s="72"/>
      <c r="I496" s="13"/>
      <c r="J496" s="13"/>
      <c r="K496" s="13"/>
      <c r="L496" s="13"/>
      <c r="M496" s="13"/>
      <c r="N496" s="13"/>
      <c r="O496" s="13"/>
      <c r="P496" s="13"/>
    </row>
    <row r="497">
      <c r="A497" s="13"/>
      <c r="B497" s="13"/>
      <c r="C497" s="13"/>
      <c r="D497" s="13"/>
      <c r="E497" s="13"/>
      <c r="F497" s="13"/>
      <c r="G497" s="13"/>
      <c r="H497" s="72"/>
      <c r="I497" s="13"/>
      <c r="J497" s="13"/>
      <c r="K497" s="13"/>
      <c r="L497" s="13"/>
      <c r="M497" s="13"/>
      <c r="N497" s="13"/>
      <c r="O497" s="13"/>
      <c r="P497" s="13"/>
    </row>
    <row r="498">
      <c r="A498" s="13"/>
      <c r="B498" s="13"/>
      <c r="C498" s="13"/>
      <c r="D498" s="13"/>
      <c r="E498" s="13"/>
      <c r="F498" s="13"/>
      <c r="G498" s="13"/>
      <c r="H498" s="72"/>
      <c r="I498" s="13"/>
      <c r="J498" s="13"/>
      <c r="K498" s="13"/>
      <c r="L498" s="13"/>
      <c r="M498" s="13"/>
      <c r="N498" s="13"/>
      <c r="O498" s="13"/>
      <c r="P498" s="13"/>
    </row>
    <row r="499">
      <c r="A499" s="13"/>
      <c r="B499" s="13"/>
      <c r="C499" s="13"/>
      <c r="D499" s="13"/>
      <c r="E499" s="13"/>
      <c r="F499" s="13"/>
      <c r="G499" s="13"/>
      <c r="H499" s="72"/>
      <c r="I499" s="13"/>
      <c r="J499" s="13"/>
      <c r="K499" s="13"/>
      <c r="L499" s="13"/>
      <c r="M499" s="13"/>
      <c r="N499" s="13"/>
      <c r="O499" s="13"/>
      <c r="P499" s="13"/>
    </row>
    <row r="500">
      <c r="A500" s="13"/>
      <c r="B500" s="13"/>
      <c r="C500" s="13"/>
      <c r="D500" s="13"/>
      <c r="E500" s="13"/>
      <c r="F500" s="13"/>
      <c r="G500" s="13"/>
      <c r="H500" s="72"/>
      <c r="I500" s="13"/>
      <c r="J500" s="13"/>
      <c r="K500" s="13"/>
      <c r="L500" s="13"/>
      <c r="M500" s="13"/>
      <c r="N500" s="13"/>
      <c r="O500" s="13"/>
      <c r="P500" s="13"/>
    </row>
    <row r="501">
      <c r="A501" s="13"/>
      <c r="B501" s="13"/>
      <c r="C501" s="13"/>
      <c r="D501" s="13"/>
      <c r="E501" s="13"/>
      <c r="F501" s="13"/>
      <c r="G501" s="13"/>
      <c r="H501" s="72"/>
      <c r="I501" s="13"/>
      <c r="J501" s="13"/>
      <c r="K501" s="13"/>
      <c r="L501" s="13"/>
      <c r="M501" s="13"/>
      <c r="N501" s="13"/>
      <c r="O501" s="13"/>
      <c r="P501" s="13"/>
    </row>
    <row r="502">
      <c r="A502" s="13"/>
      <c r="B502" s="13"/>
      <c r="C502" s="13"/>
      <c r="D502" s="13"/>
      <c r="E502" s="13"/>
      <c r="F502" s="13"/>
      <c r="G502" s="13"/>
      <c r="H502" s="72"/>
      <c r="I502" s="13"/>
      <c r="J502" s="13"/>
      <c r="K502" s="13"/>
      <c r="L502" s="13"/>
      <c r="M502" s="13"/>
      <c r="N502" s="13"/>
      <c r="O502" s="13"/>
      <c r="P502" s="13"/>
    </row>
    <row r="503">
      <c r="A503" s="13"/>
      <c r="B503" s="13"/>
      <c r="C503" s="13"/>
      <c r="D503" s="13"/>
      <c r="E503" s="13"/>
      <c r="F503" s="13"/>
      <c r="G503" s="13"/>
      <c r="H503" s="72"/>
      <c r="I503" s="13"/>
      <c r="J503" s="13"/>
      <c r="K503" s="13"/>
      <c r="L503" s="13"/>
      <c r="M503" s="13"/>
      <c r="N503" s="13"/>
      <c r="O503" s="13"/>
      <c r="P503" s="13"/>
    </row>
    <row r="504">
      <c r="A504" s="13"/>
      <c r="B504" s="13"/>
      <c r="C504" s="13"/>
      <c r="D504" s="13"/>
      <c r="E504" s="13"/>
      <c r="F504" s="13"/>
      <c r="G504" s="13"/>
      <c r="H504" s="72"/>
      <c r="I504" s="13"/>
      <c r="J504" s="13"/>
      <c r="K504" s="13"/>
      <c r="L504" s="13"/>
      <c r="M504" s="13"/>
      <c r="N504" s="13"/>
      <c r="O504" s="13"/>
      <c r="P504" s="13"/>
    </row>
    <row r="505">
      <c r="A505" s="13"/>
      <c r="B505" s="13"/>
      <c r="C505" s="13"/>
      <c r="D505" s="13"/>
      <c r="E505" s="13"/>
      <c r="F505" s="13"/>
      <c r="G505" s="13"/>
      <c r="H505" s="72"/>
      <c r="I505" s="13"/>
      <c r="J505" s="13"/>
      <c r="K505" s="13"/>
      <c r="L505" s="13"/>
      <c r="M505" s="13"/>
      <c r="N505" s="13"/>
      <c r="O505" s="13"/>
      <c r="P505" s="13"/>
    </row>
    <row r="506">
      <c r="A506" s="13"/>
      <c r="B506" s="13"/>
      <c r="C506" s="13"/>
      <c r="D506" s="13"/>
      <c r="E506" s="13"/>
      <c r="F506" s="13"/>
      <c r="G506" s="13"/>
      <c r="H506" s="72"/>
      <c r="I506" s="13"/>
      <c r="J506" s="13"/>
      <c r="K506" s="13"/>
      <c r="L506" s="13"/>
      <c r="M506" s="13"/>
      <c r="N506" s="13"/>
      <c r="O506" s="13"/>
      <c r="P506" s="13"/>
    </row>
    <row r="507">
      <c r="A507" s="13"/>
      <c r="B507" s="13"/>
      <c r="C507" s="13"/>
      <c r="D507" s="13"/>
      <c r="E507" s="13"/>
      <c r="F507" s="13"/>
      <c r="G507" s="13"/>
      <c r="H507" s="72"/>
      <c r="I507" s="13"/>
      <c r="J507" s="13"/>
      <c r="K507" s="13"/>
      <c r="L507" s="13"/>
      <c r="M507" s="13"/>
      <c r="N507" s="13"/>
      <c r="O507" s="13"/>
      <c r="P507" s="13"/>
    </row>
    <row r="508">
      <c r="A508" s="13"/>
      <c r="B508" s="13"/>
      <c r="C508" s="13"/>
      <c r="D508" s="13"/>
      <c r="E508" s="13"/>
      <c r="F508" s="13"/>
      <c r="G508" s="13"/>
      <c r="H508" s="72"/>
      <c r="I508" s="13"/>
      <c r="J508" s="13"/>
      <c r="K508" s="13"/>
      <c r="L508" s="13"/>
      <c r="M508" s="13"/>
      <c r="N508" s="13"/>
      <c r="O508" s="13"/>
      <c r="P508" s="13"/>
    </row>
    <row r="509">
      <c r="A509" s="13"/>
      <c r="B509" s="13"/>
      <c r="C509" s="13"/>
      <c r="D509" s="13"/>
      <c r="E509" s="13"/>
      <c r="F509" s="13"/>
      <c r="G509" s="13"/>
      <c r="H509" s="72"/>
      <c r="I509" s="13"/>
      <c r="J509" s="13"/>
      <c r="K509" s="13"/>
      <c r="L509" s="13"/>
      <c r="M509" s="13"/>
      <c r="N509" s="13"/>
      <c r="O509" s="13"/>
      <c r="P509" s="13"/>
    </row>
    <row r="510">
      <c r="A510" s="13"/>
      <c r="B510" s="13"/>
      <c r="C510" s="13"/>
      <c r="D510" s="13"/>
      <c r="E510" s="13"/>
      <c r="F510" s="13"/>
      <c r="G510" s="13"/>
      <c r="H510" s="72"/>
      <c r="I510" s="13"/>
      <c r="J510" s="13"/>
      <c r="K510" s="13"/>
      <c r="L510" s="13"/>
      <c r="M510" s="13"/>
      <c r="N510" s="13"/>
      <c r="O510" s="13"/>
      <c r="P510" s="13"/>
    </row>
    <row r="511">
      <c r="A511" s="13"/>
      <c r="B511" s="13"/>
      <c r="C511" s="13"/>
      <c r="D511" s="13"/>
      <c r="E511" s="13"/>
      <c r="F511" s="13"/>
      <c r="G511" s="13"/>
      <c r="H511" s="72"/>
      <c r="I511" s="13"/>
      <c r="J511" s="13"/>
      <c r="K511" s="13"/>
      <c r="L511" s="13"/>
      <c r="M511" s="13"/>
      <c r="N511" s="13"/>
      <c r="O511" s="13"/>
      <c r="P511" s="13"/>
    </row>
    <row r="512">
      <c r="A512" s="13"/>
      <c r="B512" s="13"/>
      <c r="C512" s="13"/>
      <c r="D512" s="13"/>
      <c r="E512" s="13"/>
      <c r="F512" s="13"/>
      <c r="G512" s="13"/>
      <c r="H512" s="72"/>
      <c r="I512" s="13"/>
      <c r="J512" s="13"/>
      <c r="K512" s="13"/>
      <c r="L512" s="13"/>
      <c r="M512" s="13"/>
      <c r="N512" s="13"/>
      <c r="O512" s="13"/>
      <c r="P512" s="13"/>
    </row>
    <row r="513">
      <c r="A513" s="13"/>
      <c r="B513" s="13"/>
      <c r="C513" s="13"/>
      <c r="D513" s="13"/>
      <c r="E513" s="13"/>
      <c r="F513" s="13"/>
      <c r="G513" s="13"/>
      <c r="H513" s="72"/>
      <c r="I513" s="13"/>
      <c r="J513" s="13"/>
      <c r="K513" s="13"/>
      <c r="L513" s="13"/>
      <c r="M513" s="13"/>
      <c r="N513" s="13"/>
      <c r="O513" s="13"/>
      <c r="P513" s="13"/>
    </row>
    <row r="514">
      <c r="A514" s="13"/>
      <c r="B514" s="13"/>
      <c r="C514" s="13"/>
      <c r="D514" s="13"/>
      <c r="E514" s="13"/>
      <c r="F514" s="13"/>
      <c r="G514" s="13"/>
      <c r="H514" s="72"/>
      <c r="I514" s="13"/>
      <c r="J514" s="13"/>
      <c r="K514" s="13"/>
      <c r="L514" s="13"/>
      <c r="M514" s="13"/>
      <c r="N514" s="13"/>
      <c r="O514" s="13"/>
      <c r="P514" s="13"/>
    </row>
    <row r="515">
      <c r="A515" s="13"/>
      <c r="B515" s="13"/>
      <c r="C515" s="13"/>
      <c r="D515" s="13"/>
      <c r="E515" s="13"/>
      <c r="F515" s="13"/>
      <c r="G515" s="13"/>
      <c r="H515" s="72"/>
      <c r="I515" s="13"/>
      <c r="J515" s="13"/>
      <c r="K515" s="13"/>
      <c r="L515" s="13"/>
      <c r="M515" s="13"/>
      <c r="N515" s="13"/>
      <c r="O515" s="13"/>
      <c r="P515" s="13"/>
    </row>
    <row r="516">
      <c r="A516" s="13"/>
      <c r="B516" s="13"/>
      <c r="C516" s="13"/>
      <c r="D516" s="13"/>
      <c r="E516" s="13"/>
      <c r="F516" s="13"/>
      <c r="G516" s="13"/>
      <c r="H516" s="72"/>
      <c r="I516" s="13"/>
      <c r="J516" s="13"/>
      <c r="K516" s="13"/>
      <c r="L516" s="13"/>
      <c r="M516" s="13"/>
      <c r="N516" s="13"/>
      <c r="O516" s="13"/>
      <c r="P516" s="13"/>
    </row>
    <row r="517">
      <c r="A517" s="13"/>
      <c r="B517" s="13"/>
      <c r="C517" s="13"/>
      <c r="D517" s="13"/>
      <c r="E517" s="13"/>
      <c r="F517" s="13"/>
      <c r="G517" s="13"/>
      <c r="H517" s="72"/>
      <c r="I517" s="13"/>
      <c r="J517" s="13"/>
      <c r="K517" s="13"/>
      <c r="L517" s="13"/>
      <c r="M517" s="13"/>
      <c r="N517" s="13"/>
      <c r="O517" s="13"/>
      <c r="P517" s="13"/>
    </row>
    <row r="518">
      <c r="A518" s="13"/>
      <c r="B518" s="13"/>
      <c r="C518" s="13"/>
      <c r="D518" s="13"/>
      <c r="E518" s="13"/>
      <c r="F518" s="13"/>
      <c r="G518" s="13"/>
      <c r="H518" s="72"/>
      <c r="I518" s="13"/>
      <c r="J518" s="13"/>
      <c r="K518" s="13"/>
      <c r="L518" s="13"/>
      <c r="M518" s="13"/>
      <c r="N518" s="13"/>
      <c r="O518" s="13"/>
      <c r="P518" s="13"/>
    </row>
    <row r="519">
      <c r="A519" s="13"/>
      <c r="B519" s="13"/>
      <c r="C519" s="13"/>
      <c r="D519" s="13"/>
      <c r="E519" s="13"/>
      <c r="F519" s="13"/>
      <c r="G519" s="13"/>
      <c r="H519" s="72"/>
      <c r="I519" s="13"/>
      <c r="J519" s="13"/>
      <c r="K519" s="13"/>
      <c r="L519" s="13"/>
      <c r="M519" s="13"/>
      <c r="N519" s="13"/>
      <c r="O519" s="13"/>
      <c r="P519" s="13"/>
    </row>
    <row r="520">
      <c r="A520" s="13"/>
      <c r="B520" s="13"/>
      <c r="C520" s="13"/>
      <c r="D520" s="13"/>
      <c r="E520" s="13"/>
      <c r="F520" s="13"/>
      <c r="G520" s="13"/>
      <c r="H520" s="72"/>
      <c r="I520" s="13"/>
      <c r="J520" s="13"/>
      <c r="K520" s="13"/>
      <c r="L520" s="13"/>
      <c r="M520" s="13"/>
      <c r="N520" s="13"/>
      <c r="O520" s="13"/>
      <c r="P520" s="13"/>
    </row>
    <row r="521">
      <c r="A521" s="13"/>
      <c r="B521" s="13"/>
      <c r="C521" s="13"/>
      <c r="D521" s="13"/>
      <c r="E521" s="13"/>
      <c r="F521" s="13"/>
      <c r="G521" s="13"/>
      <c r="H521" s="72"/>
      <c r="I521" s="13"/>
      <c r="J521" s="13"/>
      <c r="K521" s="13"/>
      <c r="L521" s="13"/>
      <c r="M521" s="13"/>
      <c r="N521" s="13"/>
      <c r="O521" s="13"/>
      <c r="P521" s="13"/>
    </row>
    <row r="522">
      <c r="A522" s="13"/>
      <c r="B522" s="13"/>
      <c r="C522" s="13"/>
      <c r="D522" s="13"/>
      <c r="E522" s="13"/>
      <c r="F522" s="13"/>
      <c r="G522" s="13"/>
      <c r="H522" s="72"/>
      <c r="I522" s="13"/>
      <c r="J522" s="13"/>
      <c r="K522" s="13"/>
      <c r="L522" s="13"/>
      <c r="M522" s="13"/>
      <c r="N522" s="13"/>
      <c r="O522" s="13"/>
      <c r="P522" s="13"/>
    </row>
    <row r="523">
      <c r="A523" s="13"/>
      <c r="B523" s="13"/>
      <c r="C523" s="13"/>
      <c r="D523" s="13"/>
      <c r="E523" s="13"/>
      <c r="F523" s="13"/>
      <c r="G523" s="13"/>
      <c r="H523" s="72"/>
      <c r="I523" s="13"/>
      <c r="J523" s="13"/>
      <c r="K523" s="13"/>
      <c r="L523" s="13"/>
      <c r="M523" s="13"/>
      <c r="N523" s="13"/>
      <c r="O523" s="13"/>
      <c r="P523" s="13"/>
    </row>
    <row r="524">
      <c r="A524" s="13"/>
      <c r="B524" s="13"/>
      <c r="C524" s="13"/>
      <c r="D524" s="13"/>
      <c r="E524" s="13"/>
      <c r="F524" s="13"/>
      <c r="G524" s="13"/>
      <c r="H524" s="72"/>
      <c r="I524" s="13"/>
      <c r="J524" s="13"/>
      <c r="K524" s="13"/>
      <c r="L524" s="13"/>
      <c r="M524" s="13"/>
      <c r="N524" s="13"/>
      <c r="O524" s="13"/>
      <c r="P524" s="13"/>
    </row>
    <row r="525">
      <c r="A525" s="13"/>
      <c r="B525" s="13"/>
      <c r="C525" s="13"/>
      <c r="D525" s="13"/>
      <c r="E525" s="13"/>
      <c r="F525" s="13"/>
      <c r="G525" s="13"/>
      <c r="H525" s="72"/>
      <c r="I525" s="13"/>
      <c r="J525" s="13"/>
      <c r="K525" s="13"/>
      <c r="L525" s="13"/>
      <c r="M525" s="13"/>
      <c r="N525" s="13"/>
      <c r="O525" s="13"/>
      <c r="P525" s="13"/>
    </row>
    <row r="526">
      <c r="A526" s="13"/>
      <c r="B526" s="13"/>
      <c r="C526" s="13"/>
      <c r="D526" s="13"/>
      <c r="E526" s="13"/>
      <c r="F526" s="13"/>
      <c r="G526" s="13"/>
      <c r="H526" s="72"/>
      <c r="I526" s="13"/>
      <c r="J526" s="13"/>
      <c r="K526" s="13"/>
      <c r="L526" s="13"/>
      <c r="M526" s="13"/>
      <c r="N526" s="13"/>
      <c r="O526" s="13"/>
      <c r="P526" s="13"/>
    </row>
    <row r="527">
      <c r="A527" s="13"/>
      <c r="B527" s="13"/>
      <c r="C527" s="13"/>
      <c r="D527" s="13"/>
      <c r="E527" s="13"/>
      <c r="F527" s="13"/>
      <c r="G527" s="13"/>
      <c r="H527" s="72"/>
      <c r="I527" s="13"/>
      <c r="J527" s="13"/>
      <c r="K527" s="13"/>
      <c r="L527" s="13"/>
      <c r="M527" s="13"/>
      <c r="N527" s="13"/>
      <c r="O527" s="13"/>
      <c r="P527" s="13"/>
    </row>
    <row r="528">
      <c r="A528" s="13"/>
      <c r="B528" s="13"/>
      <c r="C528" s="13"/>
      <c r="D528" s="13"/>
      <c r="E528" s="13"/>
      <c r="F528" s="13"/>
      <c r="G528" s="13"/>
      <c r="H528" s="72"/>
      <c r="I528" s="13"/>
      <c r="J528" s="13"/>
      <c r="K528" s="13"/>
      <c r="L528" s="13"/>
      <c r="M528" s="13"/>
      <c r="N528" s="13"/>
      <c r="O528" s="13"/>
      <c r="P528" s="13"/>
    </row>
    <row r="529">
      <c r="A529" s="13"/>
      <c r="B529" s="13"/>
      <c r="C529" s="13"/>
      <c r="D529" s="13"/>
      <c r="E529" s="13"/>
      <c r="F529" s="13"/>
      <c r="G529" s="13"/>
      <c r="H529" s="72"/>
      <c r="I529" s="13"/>
      <c r="J529" s="13"/>
      <c r="K529" s="13"/>
      <c r="L529" s="13"/>
      <c r="M529" s="13"/>
      <c r="N529" s="13"/>
      <c r="O529" s="13"/>
      <c r="P529" s="13"/>
    </row>
    <row r="530">
      <c r="A530" s="13"/>
      <c r="B530" s="13"/>
      <c r="C530" s="13"/>
      <c r="D530" s="13"/>
      <c r="E530" s="13"/>
      <c r="F530" s="13"/>
      <c r="G530" s="13"/>
      <c r="H530" s="72"/>
      <c r="I530" s="13"/>
      <c r="J530" s="13"/>
      <c r="K530" s="13"/>
      <c r="L530" s="13"/>
      <c r="M530" s="13"/>
      <c r="N530" s="13"/>
      <c r="O530" s="13"/>
      <c r="P530" s="13"/>
    </row>
    <row r="531">
      <c r="A531" s="13"/>
      <c r="B531" s="13"/>
      <c r="C531" s="13"/>
      <c r="D531" s="13"/>
      <c r="E531" s="13"/>
      <c r="F531" s="13"/>
      <c r="G531" s="13"/>
      <c r="H531" s="72"/>
      <c r="I531" s="13"/>
      <c r="J531" s="13"/>
      <c r="K531" s="13"/>
      <c r="L531" s="13"/>
      <c r="M531" s="13"/>
      <c r="N531" s="13"/>
      <c r="O531" s="13"/>
      <c r="P531" s="13"/>
    </row>
    <row r="532">
      <c r="A532" s="13"/>
      <c r="B532" s="13"/>
      <c r="C532" s="13"/>
      <c r="D532" s="13"/>
      <c r="E532" s="13"/>
      <c r="F532" s="13"/>
      <c r="G532" s="13"/>
      <c r="H532" s="72"/>
      <c r="I532" s="13"/>
      <c r="J532" s="13"/>
      <c r="K532" s="13"/>
      <c r="L532" s="13"/>
      <c r="M532" s="13"/>
      <c r="N532" s="13"/>
      <c r="O532" s="13"/>
      <c r="P532" s="13"/>
    </row>
    <row r="533">
      <c r="A533" s="13"/>
      <c r="B533" s="13"/>
      <c r="C533" s="13"/>
      <c r="D533" s="13"/>
      <c r="E533" s="13"/>
      <c r="F533" s="13"/>
      <c r="G533" s="13"/>
      <c r="H533" s="72"/>
      <c r="I533" s="13"/>
      <c r="J533" s="13"/>
      <c r="K533" s="13"/>
      <c r="L533" s="13"/>
      <c r="M533" s="13"/>
      <c r="N533" s="13"/>
      <c r="O533" s="13"/>
      <c r="P533" s="13"/>
    </row>
    <row r="534">
      <c r="A534" s="13"/>
      <c r="B534" s="13"/>
      <c r="C534" s="13"/>
      <c r="D534" s="13"/>
      <c r="E534" s="13"/>
      <c r="F534" s="13"/>
      <c r="G534" s="13"/>
      <c r="H534" s="72"/>
      <c r="I534" s="13"/>
      <c r="J534" s="13"/>
      <c r="K534" s="13"/>
      <c r="L534" s="13"/>
      <c r="M534" s="13"/>
      <c r="N534" s="13"/>
      <c r="O534" s="13"/>
      <c r="P534" s="13"/>
    </row>
    <row r="535">
      <c r="A535" s="13"/>
      <c r="B535" s="13"/>
      <c r="C535" s="13"/>
      <c r="D535" s="13"/>
      <c r="E535" s="13"/>
      <c r="F535" s="13"/>
      <c r="G535" s="13"/>
      <c r="H535" s="72"/>
      <c r="I535" s="13"/>
      <c r="J535" s="13"/>
      <c r="K535" s="13"/>
      <c r="L535" s="13"/>
      <c r="M535" s="13"/>
      <c r="N535" s="13"/>
      <c r="O535" s="13"/>
      <c r="P535" s="13"/>
    </row>
    <row r="536">
      <c r="A536" s="13"/>
      <c r="B536" s="13"/>
      <c r="C536" s="13"/>
      <c r="D536" s="13"/>
      <c r="E536" s="13"/>
      <c r="F536" s="13"/>
      <c r="G536" s="13"/>
      <c r="H536" s="72"/>
      <c r="I536" s="13"/>
      <c r="J536" s="13"/>
      <c r="K536" s="13"/>
      <c r="L536" s="13"/>
      <c r="M536" s="13"/>
      <c r="N536" s="13"/>
      <c r="O536" s="13"/>
      <c r="P536" s="13"/>
    </row>
    <row r="537">
      <c r="A537" s="13"/>
      <c r="B537" s="13"/>
      <c r="C537" s="13"/>
      <c r="D537" s="13"/>
      <c r="E537" s="13"/>
      <c r="F537" s="13"/>
      <c r="G537" s="13"/>
      <c r="H537" s="72"/>
      <c r="I537" s="13"/>
      <c r="J537" s="13"/>
      <c r="K537" s="13"/>
      <c r="L537" s="13"/>
      <c r="M537" s="13"/>
      <c r="N537" s="13"/>
      <c r="O537" s="13"/>
      <c r="P537" s="13"/>
    </row>
    <row r="538">
      <c r="A538" s="13"/>
      <c r="B538" s="13"/>
      <c r="C538" s="13"/>
      <c r="D538" s="13"/>
      <c r="E538" s="13"/>
      <c r="F538" s="13"/>
      <c r="G538" s="13"/>
      <c r="H538" s="72"/>
      <c r="I538" s="13"/>
      <c r="J538" s="13"/>
      <c r="K538" s="13"/>
      <c r="L538" s="13"/>
      <c r="M538" s="13"/>
      <c r="N538" s="13"/>
      <c r="O538" s="13"/>
      <c r="P538" s="13"/>
    </row>
    <row r="539">
      <c r="A539" s="13"/>
      <c r="B539" s="13"/>
      <c r="C539" s="13"/>
      <c r="D539" s="13"/>
      <c r="E539" s="13"/>
      <c r="F539" s="13"/>
      <c r="G539" s="13"/>
      <c r="H539" s="72"/>
      <c r="I539" s="13"/>
      <c r="J539" s="13"/>
      <c r="K539" s="13"/>
      <c r="L539" s="13"/>
      <c r="M539" s="13"/>
      <c r="N539" s="13"/>
      <c r="O539" s="13"/>
      <c r="P539" s="13"/>
    </row>
    <row r="540">
      <c r="A540" s="13"/>
      <c r="B540" s="13"/>
      <c r="C540" s="13"/>
      <c r="D540" s="13"/>
      <c r="E540" s="13"/>
      <c r="F540" s="13"/>
      <c r="G540" s="13"/>
      <c r="H540" s="72"/>
      <c r="I540" s="13"/>
      <c r="J540" s="13"/>
      <c r="K540" s="13"/>
      <c r="L540" s="13"/>
      <c r="M540" s="13"/>
      <c r="N540" s="13"/>
      <c r="O540" s="13"/>
      <c r="P540" s="13"/>
    </row>
    <row r="541">
      <c r="A541" s="13"/>
      <c r="B541" s="13"/>
      <c r="C541" s="13"/>
      <c r="D541" s="13"/>
      <c r="E541" s="13"/>
      <c r="F541" s="13"/>
      <c r="G541" s="13"/>
      <c r="H541" s="72"/>
      <c r="I541" s="13"/>
      <c r="J541" s="13"/>
      <c r="K541" s="13"/>
      <c r="L541" s="13"/>
      <c r="M541" s="13"/>
      <c r="N541" s="13"/>
      <c r="O541" s="13"/>
      <c r="P541" s="13"/>
    </row>
    <row r="542">
      <c r="A542" s="13"/>
      <c r="B542" s="13"/>
      <c r="C542" s="13"/>
      <c r="D542" s="13"/>
      <c r="E542" s="13"/>
      <c r="F542" s="13"/>
      <c r="G542" s="13"/>
      <c r="H542" s="72"/>
      <c r="I542" s="13"/>
      <c r="J542" s="13"/>
      <c r="K542" s="13"/>
      <c r="L542" s="13"/>
      <c r="M542" s="13"/>
      <c r="N542" s="13"/>
      <c r="O542" s="13"/>
      <c r="P542" s="13"/>
    </row>
    <row r="543">
      <c r="A543" s="13"/>
      <c r="B543" s="13"/>
      <c r="C543" s="13"/>
      <c r="D543" s="13"/>
      <c r="E543" s="13"/>
      <c r="F543" s="13"/>
      <c r="G543" s="13"/>
      <c r="H543" s="72"/>
      <c r="I543" s="13"/>
      <c r="J543" s="13"/>
      <c r="K543" s="13"/>
      <c r="L543" s="13"/>
      <c r="M543" s="13"/>
      <c r="N543" s="13"/>
      <c r="O543" s="13"/>
      <c r="P543" s="13"/>
    </row>
    <row r="544">
      <c r="A544" s="13"/>
      <c r="B544" s="13"/>
      <c r="C544" s="13"/>
      <c r="D544" s="13"/>
      <c r="E544" s="13"/>
      <c r="F544" s="13"/>
      <c r="G544" s="13"/>
      <c r="H544" s="72"/>
      <c r="I544" s="13"/>
      <c r="J544" s="13"/>
      <c r="K544" s="13"/>
      <c r="L544" s="13"/>
      <c r="M544" s="13"/>
      <c r="N544" s="13"/>
      <c r="O544" s="13"/>
      <c r="P544" s="13"/>
    </row>
    <row r="545">
      <c r="A545" s="13"/>
      <c r="B545" s="13"/>
      <c r="C545" s="13"/>
      <c r="D545" s="13"/>
      <c r="E545" s="13"/>
      <c r="F545" s="13"/>
      <c r="G545" s="13"/>
      <c r="H545" s="72"/>
      <c r="I545" s="13"/>
      <c r="J545" s="13"/>
      <c r="K545" s="13"/>
      <c r="L545" s="13"/>
      <c r="M545" s="13"/>
      <c r="N545" s="13"/>
      <c r="O545" s="13"/>
      <c r="P545" s="13"/>
    </row>
    <row r="546">
      <c r="A546" s="13"/>
      <c r="B546" s="13"/>
      <c r="C546" s="13"/>
      <c r="D546" s="13"/>
      <c r="E546" s="13"/>
      <c r="F546" s="13"/>
      <c r="G546" s="13"/>
      <c r="H546" s="72"/>
      <c r="I546" s="13"/>
      <c r="J546" s="13"/>
      <c r="K546" s="13"/>
      <c r="L546" s="13"/>
      <c r="M546" s="13"/>
      <c r="N546" s="13"/>
      <c r="O546" s="13"/>
      <c r="P546" s="13"/>
    </row>
    <row r="547">
      <c r="A547" s="13"/>
      <c r="B547" s="13"/>
      <c r="C547" s="13"/>
      <c r="D547" s="13"/>
      <c r="E547" s="13"/>
      <c r="F547" s="13"/>
      <c r="G547" s="13"/>
      <c r="H547" s="72"/>
      <c r="I547" s="13"/>
      <c r="J547" s="13"/>
      <c r="K547" s="13"/>
      <c r="L547" s="13"/>
      <c r="M547" s="13"/>
      <c r="N547" s="13"/>
      <c r="O547" s="13"/>
      <c r="P547" s="13"/>
    </row>
    <row r="548">
      <c r="A548" s="13"/>
      <c r="B548" s="13"/>
      <c r="C548" s="13"/>
      <c r="D548" s="13"/>
      <c r="E548" s="13"/>
      <c r="F548" s="13"/>
      <c r="G548" s="13"/>
      <c r="H548" s="72"/>
      <c r="I548" s="13"/>
      <c r="J548" s="13"/>
      <c r="K548" s="13"/>
      <c r="L548" s="13"/>
      <c r="M548" s="13"/>
      <c r="N548" s="13"/>
      <c r="O548" s="13"/>
      <c r="P548" s="13"/>
    </row>
    <row r="549">
      <c r="A549" s="13"/>
      <c r="B549" s="13"/>
      <c r="C549" s="13"/>
      <c r="D549" s="13"/>
      <c r="E549" s="13"/>
      <c r="F549" s="13"/>
      <c r="G549" s="13"/>
      <c r="H549" s="72"/>
      <c r="I549" s="13"/>
      <c r="J549" s="13"/>
      <c r="K549" s="13"/>
      <c r="L549" s="13"/>
      <c r="M549" s="13"/>
      <c r="N549" s="13"/>
      <c r="O549" s="13"/>
      <c r="P549" s="13"/>
    </row>
    <row r="550">
      <c r="A550" s="13"/>
      <c r="B550" s="13"/>
      <c r="C550" s="13"/>
      <c r="D550" s="13"/>
      <c r="E550" s="13"/>
      <c r="F550" s="13"/>
      <c r="G550" s="13"/>
      <c r="H550" s="72"/>
      <c r="I550" s="13"/>
      <c r="J550" s="13"/>
      <c r="K550" s="13"/>
      <c r="L550" s="13"/>
      <c r="M550" s="13"/>
      <c r="N550" s="13"/>
      <c r="O550" s="13"/>
      <c r="P550" s="13"/>
    </row>
    <row r="551">
      <c r="A551" s="13"/>
      <c r="B551" s="13"/>
      <c r="C551" s="13"/>
      <c r="D551" s="13"/>
      <c r="E551" s="13"/>
      <c r="F551" s="13"/>
      <c r="G551" s="13"/>
      <c r="H551" s="72"/>
      <c r="I551" s="13"/>
      <c r="J551" s="13"/>
      <c r="K551" s="13"/>
      <c r="L551" s="13"/>
      <c r="M551" s="13"/>
      <c r="N551" s="13"/>
      <c r="O551" s="13"/>
      <c r="P551" s="13"/>
    </row>
    <row r="552">
      <c r="A552" s="13"/>
      <c r="B552" s="13"/>
      <c r="C552" s="13"/>
      <c r="D552" s="13"/>
      <c r="E552" s="13"/>
      <c r="F552" s="13"/>
      <c r="G552" s="13"/>
      <c r="H552" s="72"/>
      <c r="I552" s="13"/>
      <c r="J552" s="13"/>
      <c r="K552" s="13"/>
      <c r="L552" s="13"/>
      <c r="M552" s="13"/>
      <c r="N552" s="13"/>
      <c r="O552" s="13"/>
      <c r="P552" s="13"/>
    </row>
    <row r="553">
      <c r="A553" s="13"/>
      <c r="B553" s="13"/>
      <c r="C553" s="13"/>
      <c r="D553" s="13"/>
      <c r="E553" s="13"/>
      <c r="F553" s="13"/>
      <c r="G553" s="13"/>
      <c r="H553" s="72"/>
      <c r="I553" s="13"/>
      <c r="J553" s="13"/>
      <c r="K553" s="13"/>
      <c r="L553" s="13"/>
      <c r="M553" s="13"/>
      <c r="N553" s="13"/>
      <c r="O553" s="13"/>
      <c r="P553" s="13"/>
    </row>
    <row r="554">
      <c r="A554" s="13"/>
      <c r="B554" s="13"/>
      <c r="C554" s="13"/>
      <c r="D554" s="13"/>
      <c r="E554" s="13"/>
      <c r="F554" s="13"/>
      <c r="G554" s="13"/>
      <c r="H554" s="72"/>
      <c r="I554" s="13"/>
      <c r="J554" s="13"/>
      <c r="K554" s="13"/>
      <c r="L554" s="13"/>
      <c r="M554" s="13"/>
      <c r="N554" s="13"/>
      <c r="O554" s="13"/>
      <c r="P554" s="13"/>
    </row>
    <row r="555">
      <c r="A555" s="13"/>
      <c r="B555" s="13"/>
      <c r="C555" s="13"/>
      <c r="D555" s="13"/>
      <c r="E555" s="13"/>
      <c r="F555" s="13"/>
      <c r="G555" s="13"/>
      <c r="H555" s="72"/>
      <c r="I555" s="13"/>
      <c r="J555" s="13"/>
      <c r="K555" s="13"/>
      <c r="L555" s="13"/>
      <c r="M555" s="13"/>
      <c r="N555" s="13"/>
      <c r="O555" s="13"/>
      <c r="P555" s="13"/>
    </row>
    <row r="556">
      <c r="A556" s="13"/>
      <c r="B556" s="13"/>
      <c r="C556" s="13"/>
      <c r="D556" s="13"/>
      <c r="E556" s="13"/>
      <c r="F556" s="13"/>
      <c r="G556" s="13"/>
      <c r="H556" s="72"/>
      <c r="I556" s="13"/>
      <c r="J556" s="13"/>
      <c r="K556" s="13"/>
      <c r="L556" s="13"/>
      <c r="M556" s="13"/>
      <c r="N556" s="13"/>
      <c r="O556" s="13"/>
      <c r="P556" s="13"/>
    </row>
    <row r="557">
      <c r="A557" s="13"/>
      <c r="B557" s="13"/>
      <c r="C557" s="13"/>
      <c r="D557" s="13"/>
      <c r="E557" s="13"/>
      <c r="F557" s="13"/>
      <c r="G557" s="13"/>
      <c r="H557" s="72"/>
      <c r="I557" s="13"/>
      <c r="J557" s="13"/>
      <c r="K557" s="13"/>
      <c r="L557" s="13"/>
      <c r="M557" s="13"/>
      <c r="N557" s="13"/>
      <c r="O557" s="13"/>
      <c r="P557" s="13"/>
    </row>
    <row r="558">
      <c r="A558" s="13"/>
      <c r="B558" s="13"/>
      <c r="C558" s="13"/>
      <c r="D558" s="13"/>
      <c r="E558" s="13"/>
      <c r="F558" s="13"/>
      <c r="G558" s="13"/>
      <c r="H558" s="72"/>
      <c r="I558" s="13"/>
      <c r="J558" s="13"/>
      <c r="K558" s="13"/>
      <c r="L558" s="13"/>
      <c r="M558" s="13"/>
      <c r="N558" s="13"/>
      <c r="O558" s="13"/>
      <c r="P558" s="13"/>
    </row>
    <row r="559">
      <c r="A559" s="13"/>
      <c r="B559" s="13"/>
      <c r="C559" s="13"/>
      <c r="D559" s="13"/>
      <c r="E559" s="13"/>
      <c r="F559" s="13"/>
      <c r="G559" s="13"/>
      <c r="H559" s="72"/>
      <c r="I559" s="13"/>
      <c r="J559" s="13"/>
      <c r="K559" s="13"/>
      <c r="L559" s="13"/>
      <c r="M559" s="13"/>
      <c r="N559" s="13"/>
      <c r="O559" s="13"/>
      <c r="P559" s="13"/>
    </row>
    <row r="560">
      <c r="A560" s="13"/>
      <c r="B560" s="13"/>
      <c r="C560" s="13"/>
      <c r="D560" s="13"/>
      <c r="E560" s="13"/>
      <c r="F560" s="13"/>
      <c r="G560" s="13"/>
      <c r="H560" s="72"/>
      <c r="I560" s="13"/>
      <c r="J560" s="13"/>
      <c r="K560" s="13"/>
      <c r="L560" s="13"/>
      <c r="M560" s="13"/>
      <c r="N560" s="13"/>
      <c r="O560" s="13"/>
      <c r="P560" s="13"/>
    </row>
    <row r="561">
      <c r="A561" s="13"/>
      <c r="B561" s="13"/>
      <c r="C561" s="13"/>
      <c r="D561" s="13"/>
      <c r="E561" s="13"/>
      <c r="F561" s="13"/>
      <c r="G561" s="13"/>
      <c r="H561" s="72"/>
      <c r="I561" s="13"/>
      <c r="J561" s="13"/>
      <c r="K561" s="13"/>
      <c r="L561" s="13"/>
      <c r="M561" s="13"/>
      <c r="N561" s="13"/>
      <c r="O561" s="13"/>
      <c r="P561" s="13"/>
    </row>
    <row r="562">
      <c r="A562" s="13"/>
      <c r="B562" s="13"/>
      <c r="C562" s="13"/>
      <c r="D562" s="13"/>
      <c r="E562" s="13"/>
      <c r="F562" s="13"/>
      <c r="G562" s="13"/>
      <c r="H562" s="72"/>
      <c r="I562" s="13"/>
      <c r="J562" s="13"/>
      <c r="K562" s="13"/>
      <c r="L562" s="13"/>
      <c r="M562" s="13"/>
      <c r="N562" s="13"/>
      <c r="O562" s="13"/>
      <c r="P562" s="13"/>
    </row>
    <row r="563">
      <c r="A563" s="13"/>
      <c r="B563" s="13"/>
      <c r="C563" s="13"/>
      <c r="D563" s="13"/>
      <c r="E563" s="13"/>
      <c r="F563" s="13"/>
      <c r="G563" s="13"/>
      <c r="H563" s="72"/>
      <c r="I563" s="13"/>
      <c r="J563" s="13"/>
      <c r="K563" s="13"/>
      <c r="L563" s="13"/>
      <c r="M563" s="13"/>
      <c r="N563" s="13"/>
      <c r="O563" s="13"/>
      <c r="P563" s="13"/>
    </row>
    <row r="564">
      <c r="A564" s="13"/>
      <c r="B564" s="13"/>
      <c r="C564" s="13"/>
      <c r="D564" s="13"/>
      <c r="E564" s="13"/>
      <c r="F564" s="13"/>
      <c r="G564" s="13"/>
      <c r="H564" s="72"/>
      <c r="I564" s="13"/>
      <c r="J564" s="13"/>
      <c r="K564" s="13"/>
      <c r="L564" s="13"/>
      <c r="M564" s="13"/>
      <c r="N564" s="13"/>
      <c r="O564" s="13"/>
      <c r="P564" s="13"/>
    </row>
    <row r="565">
      <c r="A565" s="13"/>
      <c r="B565" s="13"/>
      <c r="C565" s="13"/>
      <c r="D565" s="13"/>
      <c r="E565" s="13"/>
      <c r="F565" s="13"/>
      <c r="G565" s="13"/>
      <c r="H565" s="72"/>
      <c r="I565" s="13"/>
      <c r="J565" s="13"/>
      <c r="K565" s="13"/>
      <c r="L565" s="13"/>
      <c r="M565" s="13"/>
      <c r="N565" s="13"/>
      <c r="O565" s="13"/>
      <c r="P565" s="13"/>
    </row>
    <row r="566">
      <c r="A566" s="13"/>
      <c r="B566" s="13"/>
      <c r="C566" s="13"/>
      <c r="D566" s="13"/>
      <c r="E566" s="13"/>
      <c r="F566" s="13"/>
      <c r="G566" s="13"/>
      <c r="H566" s="72"/>
      <c r="I566" s="13"/>
      <c r="J566" s="13"/>
      <c r="K566" s="13"/>
      <c r="L566" s="13"/>
      <c r="M566" s="13"/>
      <c r="N566" s="13"/>
      <c r="O566" s="13"/>
      <c r="P566" s="13"/>
    </row>
    <row r="567">
      <c r="A567" s="13"/>
      <c r="B567" s="13"/>
      <c r="C567" s="13"/>
      <c r="D567" s="13"/>
      <c r="E567" s="13"/>
      <c r="F567" s="13"/>
      <c r="G567" s="13"/>
      <c r="H567" s="72"/>
      <c r="I567" s="13"/>
      <c r="J567" s="13"/>
      <c r="K567" s="13"/>
      <c r="L567" s="13"/>
      <c r="M567" s="13"/>
      <c r="N567" s="13"/>
      <c r="O567" s="13"/>
      <c r="P567" s="13"/>
    </row>
    <row r="568">
      <c r="A568" s="13"/>
      <c r="B568" s="13"/>
      <c r="C568" s="13"/>
      <c r="D568" s="13"/>
      <c r="E568" s="13"/>
      <c r="F568" s="13"/>
      <c r="G568" s="13"/>
      <c r="H568" s="72"/>
      <c r="I568" s="13"/>
      <c r="J568" s="13"/>
      <c r="K568" s="13"/>
      <c r="L568" s="13"/>
      <c r="M568" s="13"/>
      <c r="N568" s="13"/>
      <c r="O568" s="13"/>
      <c r="P568" s="13"/>
    </row>
    <row r="569">
      <c r="A569" s="13"/>
      <c r="B569" s="13"/>
      <c r="C569" s="13"/>
      <c r="D569" s="13"/>
      <c r="E569" s="13"/>
      <c r="F569" s="13"/>
      <c r="G569" s="13"/>
      <c r="H569" s="72"/>
      <c r="I569" s="13"/>
      <c r="J569" s="13"/>
      <c r="K569" s="13"/>
      <c r="L569" s="13"/>
      <c r="M569" s="13"/>
      <c r="N569" s="13"/>
      <c r="O569" s="13"/>
      <c r="P569" s="13"/>
    </row>
    <row r="570">
      <c r="A570" s="13"/>
      <c r="B570" s="13"/>
      <c r="C570" s="13"/>
      <c r="D570" s="13"/>
      <c r="E570" s="13"/>
      <c r="F570" s="13"/>
      <c r="G570" s="13"/>
      <c r="H570" s="72"/>
      <c r="I570" s="13"/>
      <c r="J570" s="13"/>
      <c r="K570" s="13"/>
      <c r="L570" s="13"/>
      <c r="M570" s="13"/>
      <c r="N570" s="13"/>
      <c r="O570" s="13"/>
      <c r="P570" s="13"/>
    </row>
    <row r="571">
      <c r="A571" s="13"/>
      <c r="B571" s="13"/>
      <c r="C571" s="13"/>
      <c r="D571" s="13"/>
      <c r="E571" s="13"/>
      <c r="F571" s="13"/>
      <c r="G571" s="13"/>
      <c r="H571" s="72"/>
      <c r="I571" s="13"/>
      <c r="J571" s="13"/>
      <c r="K571" s="13"/>
      <c r="L571" s="13"/>
      <c r="M571" s="13"/>
      <c r="N571" s="13"/>
      <c r="O571" s="13"/>
      <c r="P571" s="13"/>
    </row>
    <row r="572">
      <c r="A572" s="13"/>
      <c r="B572" s="13"/>
      <c r="C572" s="13"/>
      <c r="D572" s="13"/>
      <c r="E572" s="13"/>
      <c r="F572" s="13"/>
      <c r="G572" s="13"/>
      <c r="H572" s="72"/>
      <c r="I572" s="13"/>
      <c r="J572" s="13"/>
      <c r="K572" s="13"/>
      <c r="L572" s="13"/>
      <c r="M572" s="13"/>
      <c r="N572" s="13"/>
      <c r="O572" s="13"/>
      <c r="P572" s="13"/>
    </row>
    <row r="573">
      <c r="A573" s="13"/>
      <c r="B573" s="13"/>
      <c r="C573" s="13"/>
      <c r="D573" s="13"/>
      <c r="E573" s="13"/>
      <c r="F573" s="13"/>
      <c r="G573" s="13"/>
      <c r="H573" s="72"/>
      <c r="I573" s="13"/>
      <c r="J573" s="13"/>
      <c r="K573" s="13"/>
      <c r="L573" s="13"/>
      <c r="M573" s="13"/>
      <c r="N573" s="13"/>
      <c r="O573" s="13"/>
      <c r="P573" s="13"/>
    </row>
    <row r="574">
      <c r="A574" s="13"/>
      <c r="B574" s="13"/>
      <c r="C574" s="13"/>
      <c r="D574" s="13"/>
      <c r="E574" s="13"/>
      <c r="F574" s="13"/>
      <c r="G574" s="13"/>
      <c r="H574" s="72"/>
      <c r="I574" s="13"/>
      <c r="J574" s="13"/>
      <c r="K574" s="13"/>
      <c r="L574" s="13"/>
      <c r="M574" s="13"/>
      <c r="N574" s="13"/>
      <c r="O574" s="13"/>
      <c r="P574" s="13"/>
    </row>
    <row r="575">
      <c r="A575" s="13"/>
      <c r="B575" s="13"/>
      <c r="C575" s="13"/>
      <c r="D575" s="13"/>
      <c r="E575" s="13"/>
      <c r="F575" s="13"/>
      <c r="G575" s="13"/>
      <c r="H575" s="72"/>
      <c r="I575" s="13"/>
      <c r="J575" s="13"/>
      <c r="K575" s="13"/>
      <c r="L575" s="13"/>
      <c r="M575" s="13"/>
      <c r="N575" s="13"/>
      <c r="O575" s="13"/>
      <c r="P575" s="13"/>
    </row>
    <row r="576">
      <c r="A576" s="13"/>
      <c r="B576" s="13"/>
      <c r="C576" s="13"/>
      <c r="D576" s="13"/>
      <c r="E576" s="13"/>
      <c r="F576" s="13"/>
      <c r="G576" s="13"/>
      <c r="H576" s="72"/>
      <c r="I576" s="13"/>
      <c r="J576" s="13"/>
      <c r="K576" s="13"/>
      <c r="L576" s="13"/>
      <c r="M576" s="13"/>
      <c r="N576" s="13"/>
      <c r="O576" s="13"/>
      <c r="P576" s="13"/>
    </row>
    <row r="577">
      <c r="A577" s="13"/>
      <c r="B577" s="13"/>
      <c r="C577" s="13"/>
      <c r="D577" s="13"/>
      <c r="E577" s="13"/>
      <c r="F577" s="13"/>
      <c r="G577" s="13"/>
      <c r="H577" s="72"/>
      <c r="I577" s="13"/>
      <c r="J577" s="13"/>
      <c r="K577" s="13"/>
      <c r="L577" s="13"/>
      <c r="M577" s="13"/>
      <c r="N577" s="13"/>
      <c r="O577" s="13"/>
      <c r="P577" s="13"/>
    </row>
    <row r="578">
      <c r="A578" s="13"/>
      <c r="B578" s="13"/>
      <c r="C578" s="13"/>
      <c r="D578" s="13"/>
      <c r="E578" s="13"/>
      <c r="F578" s="13"/>
      <c r="G578" s="13"/>
      <c r="H578" s="72"/>
      <c r="I578" s="13"/>
      <c r="J578" s="13"/>
      <c r="K578" s="13"/>
      <c r="L578" s="13"/>
      <c r="M578" s="13"/>
      <c r="N578" s="13"/>
      <c r="O578" s="13"/>
      <c r="P578" s="13"/>
    </row>
    <row r="579">
      <c r="A579" s="13"/>
      <c r="B579" s="13"/>
      <c r="C579" s="13"/>
      <c r="D579" s="13"/>
      <c r="E579" s="13"/>
      <c r="F579" s="13"/>
      <c r="G579" s="13"/>
      <c r="H579" s="72"/>
      <c r="I579" s="13"/>
      <c r="J579" s="13"/>
      <c r="K579" s="13"/>
      <c r="L579" s="13"/>
      <c r="M579" s="13"/>
      <c r="N579" s="13"/>
      <c r="O579" s="13"/>
      <c r="P579" s="13"/>
    </row>
    <row r="580">
      <c r="A580" s="13"/>
      <c r="B580" s="13"/>
      <c r="C580" s="13"/>
      <c r="D580" s="13"/>
      <c r="E580" s="13"/>
      <c r="F580" s="13"/>
      <c r="G580" s="13"/>
      <c r="H580" s="72"/>
      <c r="I580" s="13"/>
      <c r="J580" s="13"/>
      <c r="K580" s="13"/>
      <c r="L580" s="13"/>
      <c r="M580" s="13"/>
      <c r="N580" s="13"/>
      <c r="O580" s="13"/>
      <c r="P580" s="13"/>
    </row>
    <row r="581">
      <c r="A581" s="13"/>
      <c r="B581" s="13"/>
      <c r="C581" s="13"/>
      <c r="D581" s="13"/>
      <c r="E581" s="13"/>
      <c r="F581" s="13"/>
      <c r="G581" s="13"/>
      <c r="H581" s="72"/>
      <c r="I581" s="13"/>
      <c r="J581" s="13"/>
      <c r="K581" s="13"/>
      <c r="L581" s="13"/>
      <c r="M581" s="13"/>
      <c r="N581" s="13"/>
      <c r="O581" s="13"/>
      <c r="P581" s="13"/>
    </row>
    <row r="582">
      <c r="A582" s="13"/>
      <c r="B582" s="13"/>
      <c r="C582" s="13"/>
      <c r="D582" s="13"/>
      <c r="E582" s="13"/>
      <c r="F582" s="13"/>
      <c r="G582" s="13"/>
      <c r="H582" s="72"/>
      <c r="I582" s="13"/>
      <c r="J582" s="13"/>
      <c r="K582" s="13"/>
      <c r="L582" s="13"/>
      <c r="M582" s="13"/>
      <c r="N582" s="13"/>
      <c r="O582" s="13"/>
      <c r="P582" s="13"/>
    </row>
    <row r="583">
      <c r="A583" s="13"/>
      <c r="B583" s="13"/>
      <c r="C583" s="13"/>
      <c r="D583" s="13"/>
      <c r="E583" s="13"/>
      <c r="F583" s="13"/>
      <c r="G583" s="13"/>
      <c r="H583" s="72"/>
      <c r="I583" s="13"/>
      <c r="J583" s="13"/>
      <c r="K583" s="13"/>
      <c r="L583" s="13"/>
      <c r="M583" s="13"/>
      <c r="N583" s="13"/>
      <c r="O583" s="13"/>
      <c r="P583" s="13"/>
    </row>
    <row r="584">
      <c r="A584" s="13"/>
      <c r="B584" s="13"/>
      <c r="C584" s="13"/>
      <c r="D584" s="13"/>
      <c r="E584" s="13"/>
      <c r="F584" s="13"/>
      <c r="G584" s="13"/>
      <c r="H584" s="72"/>
      <c r="I584" s="13"/>
      <c r="J584" s="13"/>
      <c r="K584" s="13"/>
      <c r="L584" s="13"/>
      <c r="M584" s="13"/>
      <c r="N584" s="13"/>
      <c r="O584" s="13"/>
      <c r="P584" s="13"/>
    </row>
    <row r="585">
      <c r="A585" s="13"/>
      <c r="B585" s="13"/>
      <c r="C585" s="13"/>
      <c r="D585" s="13"/>
      <c r="E585" s="13"/>
      <c r="F585" s="13"/>
      <c r="G585" s="13"/>
      <c r="H585" s="72"/>
      <c r="I585" s="13"/>
      <c r="J585" s="13"/>
      <c r="K585" s="13"/>
      <c r="L585" s="13"/>
      <c r="M585" s="13"/>
      <c r="N585" s="13"/>
      <c r="O585" s="13"/>
      <c r="P585" s="13"/>
    </row>
    <row r="586">
      <c r="A586" s="13"/>
      <c r="B586" s="13"/>
      <c r="C586" s="13"/>
      <c r="D586" s="13"/>
      <c r="E586" s="13"/>
      <c r="F586" s="13"/>
      <c r="G586" s="13"/>
      <c r="H586" s="72"/>
      <c r="I586" s="13"/>
      <c r="J586" s="13"/>
      <c r="K586" s="13"/>
      <c r="L586" s="13"/>
      <c r="M586" s="13"/>
      <c r="N586" s="13"/>
      <c r="O586" s="13"/>
      <c r="P586" s="13"/>
    </row>
    <row r="587">
      <c r="A587" s="13"/>
      <c r="B587" s="13"/>
      <c r="C587" s="13"/>
      <c r="D587" s="13"/>
      <c r="E587" s="13"/>
      <c r="F587" s="13"/>
      <c r="G587" s="13"/>
      <c r="H587" s="72"/>
      <c r="I587" s="13"/>
      <c r="J587" s="13"/>
      <c r="K587" s="13"/>
      <c r="L587" s="13"/>
      <c r="M587" s="13"/>
      <c r="N587" s="13"/>
      <c r="O587" s="13"/>
      <c r="P587" s="13"/>
    </row>
    <row r="588">
      <c r="A588" s="13"/>
      <c r="B588" s="13"/>
      <c r="C588" s="13"/>
      <c r="D588" s="13"/>
      <c r="E588" s="13"/>
      <c r="F588" s="13"/>
      <c r="G588" s="13"/>
      <c r="H588" s="72"/>
      <c r="I588" s="13"/>
      <c r="J588" s="13"/>
      <c r="K588" s="13"/>
      <c r="L588" s="13"/>
      <c r="M588" s="13"/>
      <c r="N588" s="13"/>
      <c r="O588" s="13"/>
      <c r="P588" s="13"/>
    </row>
    <row r="589">
      <c r="A589" s="13"/>
      <c r="B589" s="13"/>
      <c r="C589" s="13"/>
      <c r="D589" s="13"/>
      <c r="E589" s="13"/>
      <c r="F589" s="13"/>
      <c r="G589" s="13"/>
      <c r="H589" s="72"/>
      <c r="I589" s="13"/>
      <c r="J589" s="13"/>
      <c r="K589" s="13"/>
      <c r="L589" s="13"/>
      <c r="M589" s="13"/>
      <c r="N589" s="13"/>
      <c r="O589" s="13"/>
      <c r="P589" s="13"/>
    </row>
    <row r="590">
      <c r="A590" s="13"/>
      <c r="B590" s="13"/>
      <c r="C590" s="13"/>
      <c r="D590" s="13"/>
      <c r="E590" s="13"/>
      <c r="F590" s="13"/>
      <c r="G590" s="13"/>
      <c r="H590" s="72"/>
      <c r="I590" s="13"/>
      <c r="J590" s="13"/>
      <c r="K590" s="13"/>
      <c r="L590" s="13"/>
      <c r="M590" s="13"/>
      <c r="N590" s="13"/>
      <c r="O590" s="13"/>
      <c r="P590" s="13"/>
    </row>
    <row r="591">
      <c r="A591" s="13"/>
      <c r="B591" s="13"/>
      <c r="C591" s="13"/>
      <c r="D591" s="13"/>
      <c r="E591" s="13"/>
      <c r="F591" s="13"/>
      <c r="G591" s="13"/>
      <c r="H591" s="72"/>
      <c r="I591" s="13"/>
      <c r="J591" s="13"/>
      <c r="K591" s="13"/>
      <c r="L591" s="13"/>
      <c r="M591" s="13"/>
      <c r="N591" s="13"/>
      <c r="O591" s="13"/>
      <c r="P591" s="13"/>
    </row>
    <row r="592">
      <c r="A592" s="13"/>
      <c r="B592" s="13"/>
      <c r="C592" s="13"/>
      <c r="D592" s="13"/>
      <c r="E592" s="13"/>
      <c r="F592" s="13"/>
      <c r="G592" s="13"/>
      <c r="H592" s="72"/>
      <c r="I592" s="13"/>
      <c r="J592" s="13"/>
      <c r="K592" s="13"/>
      <c r="L592" s="13"/>
      <c r="M592" s="13"/>
      <c r="N592" s="13"/>
      <c r="O592" s="13"/>
      <c r="P592" s="13"/>
    </row>
    <row r="593">
      <c r="A593" s="13"/>
      <c r="B593" s="13"/>
      <c r="C593" s="13"/>
      <c r="D593" s="13"/>
      <c r="E593" s="13"/>
      <c r="F593" s="13"/>
      <c r="G593" s="13"/>
      <c r="H593" s="72"/>
      <c r="I593" s="13"/>
      <c r="J593" s="13"/>
      <c r="K593" s="13"/>
      <c r="L593" s="13"/>
      <c r="M593" s="13"/>
      <c r="N593" s="13"/>
      <c r="O593" s="13"/>
      <c r="P593" s="13"/>
    </row>
    <row r="594">
      <c r="A594" s="13"/>
      <c r="B594" s="13"/>
      <c r="C594" s="13"/>
      <c r="D594" s="13"/>
      <c r="E594" s="13"/>
      <c r="F594" s="13"/>
      <c r="G594" s="13"/>
      <c r="H594" s="72"/>
      <c r="I594" s="13"/>
      <c r="J594" s="13"/>
      <c r="K594" s="13"/>
      <c r="L594" s="13"/>
      <c r="M594" s="13"/>
      <c r="N594" s="13"/>
      <c r="O594" s="13"/>
      <c r="P594" s="13"/>
    </row>
    <row r="595">
      <c r="A595" s="13"/>
      <c r="B595" s="13"/>
      <c r="C595" s="13"/>
      <c r="D595" s="13"/>
      <c r="E595" s="13"/>
      <c r="F595" s="13"/>
      <c r="G595" s="13"/>
      <c r="H595" s="72"/>
      <c r="I595" s="13"/>
      <c r="J595" s="13"/>
      <c r="K595" s="13"/>
      <c r="L595" s="13"/>
      <c r="M595" s="13"/>
      <c r="N595" s="13"/>
      <c r="O595" s="13"/>
      <c r="P595" s="13"/>
    </row>
    <row r="596">
      <c r="A596" s="13"/>
      <c r="B596" s="13"/>
      <c r="C596" s="13"/>
      <c r="D596" s="13"/>
      <c r="E596" s="13"/>
      <c r="F596" s="13"/>
      <c r="G596" s="13"/>
      <c r="H596" s="72"/>
      <c r="I596" s="13"/>
      <c r="J596" s="13"/>
      <c r="K596" s="13"/>
      <c r="L596" s="13"/>
      <c r="M596" s="13"/>
      <c r="N596" s="13"/>
      <c r="O596" s="13"/>
      <c r="P596" s="13"/>
    </row>
    <row r="597">
      <c r="A597" s="13"/>
      <c r="B597" s="13"/>
      <c r="C597" s="13"/>
      <c r="D597" s="13"/>
      <c r="E597" s="13"/>
      <c r="F597" s="13"/>
      <c r="G597" s="13"/>
      <c r="H597" s="72"/>
      <c r="I597" s="13"/>
      <c r="J597" s="13"/>
      <c r="K597" s="13"/>
      <c r="L597" s="13"/>
      <c r="M597" s="13"/>
      <c r="N597" s="13"/>
      <c r="O597" s="13"/>
      <c r="P597" s="13"/>
    </row>
    <row r="598">
      <c r="A598" s="13"/>
      <c r="B598" s="13"/>
      <c r="C598" s="13"/>
      <c r="D598" s="13"/>
      <c r="E598" s="13"/>
      <c r="F598" s="13"/>
      <c r="G598" s="13"/>
      <c r="H598" s="72"/>
      <c r="I598" s="13"/>
      <c r="J598" s="13"/>
      <c r="K598" s="13"/>
      <c r="L598" s="13"/>
      <c r="M598" s="13"/>
      <c r="N598" s="13"/>
      <c r="O598" s="13"/>
      <c r="P598" s="13"/>
    </row>
    <row r="599">
      <c r="A599" s="13"/>
      <c r="B599" s="13"/>
      <c r="C599" s="13"/>
      <c r="D599" s="13"/>
      <c r="E599" s="13"/>
      <c r="F599" s="13"/>
      <c r="G599" s="13"/>
      <c r="H599" s="72"/>
      <c r="I599" s="13"/>
      <c r="J599" s="13"/>
      <c r="K599" s="13"/>
      <c r="L599" s="13"/>
      <c r="M599" s="13"/>
      <c r="N599" s="13"/>
      <c r="O599" s="13"/>
      <c r="P599" s="13"/>
    </row>
    <row r="600">
      <c r="A600" s="13"/>
      <c r="B600" s="13"/>
      <c r="C600" s="13"/>
      <c r="D600" s="13"/>
      <c r="E600" s="13"/>
      <c r="F600" s="13"/>
      <c r="G600" s="13"/>
      <c r="H600" s="72"/>
      <c r="I600" s="13"/>
      <c r="J600" s="13"/>
      <c r="K600" s="13"/>
      <c r="L600" s="13"/>
      <c r="M600" s="13"/>
      <c r="N600" s="13"/>
      <c r="O600" s="13"/>
      <c r="P600" s="13"/>
    </row>
    <row r="601">
      <c r="A601" s="13"/>
      <c r="B601" s="13"/>
      <c r="C601" s="13"/>
      <c r="D601" s="13"/>
      <c r="E601" s="13"/>
      <c r="F601" s="13"/>
      <c r="G601" s="13"/>
      <c r="H601" s="72"/>
      <c r="I601" s="13"/>
      <c r="J601" s="13"/>
      <c r="K601" s="13"/>
      <c r="L601" s="13"/>
      <c r="M601" s="13"/>
      <c r="N601" s="13"/>
      <c r="O601" s="13"/>
      <c r="P601" s="13"/>
    </row>
    <row r="602">
      <c r="A602" s="13"/>
      <c r="B602" s="13"/>
      <c r="C602" s="13"/>
      <c r="D602" s="13"/>
      <c r="E602" s="13"/>
      <c r="F602" s="13"/>
      <c r="G602" s="13"/>
      <c r="H602" s="72"/>
      <c r="I602" s="13"/>
      <c r="J602" s="13"/>
      <c r="K602" s="13"/>
      <c r="L602" s="13"/>
      <c r="M602" s="13"/>
      <c r="N602" s="13"/>
      <c r="O602" s="13"/>
      <c r="P602" s="13"/>
    </row>
    <row r="603">
      <c r="A603" s="13"/>
      <c r="B603" s="13"/>
      <c r="C603" s="13"/>
      <c r="D603" s="13"/>
      <c r="E603" s="13"/>
      <c r="F603" s="13"/>
      <c r="G603" s="13"/>
      <c r="H603" s="72"/>
      <c r="I603" s="13"/>
      <c r="J603" s="13"/>
      <c r="K603" s="13"/>
      <c r="L603" s="13"/>
      <c r="M603" s="13"/>
      <c r="N603" s="13"/>
      <c r="O603" s="13"/>
      <c r="P603" s="13"/>
    </row>
    <row r="604">
      <c r="A604" s="13"/>
      <c r="B604" s="13"/>
      <c r="C604" s="13"/>
      <c r="D604" s="13"/>
      <c r="E604" s="13"/>
      <c r="F604" s="13"/>
      <c r="G604" s="13"/>
      <c r="H604" s="72"/>
      <c r="I604" s="13"/>
      <c r="J604" s="13"/>
      <c r="K604" s="13"/>
      <c r="L604" s="13"/>
      <c r="M604" s="13"/>
      <c r="N604" s="13"/>
      <c r="O604" s="13"/>
      <c r="P604" s="13"/>
    </row>
    <row r="605">
      <c r="A605" s="13"/>
      <c r="B605" s="13"/>
      <c r="C605" s="13"/>
      <c r="D605" s="13"/>
      <c r="E605" s="13"/>
      <c r="F605" s="13"/>
      <c r="G605" s="13"/>
      <c r="H605" s="72"/>
      <c r="I605" s="13"/>
      <c r="J605" s="13"/>
      <c r="K605" s="13"/>
      <c r="L605" s="13"/>
      <c r="M605" s="13"/>
      <c r="N605" s="13"/>
      <c r="O605" s="13"/>
      <c r="P605" s="13"/>
    </row>
    <row r="606">
      <c r="A606" s="13"/>
      <c r="B606" s="13"/>
      <c r="C606" s="13"/>
      <c r="D606" s="13"/>
      <c r="E606" s="13"/>
      <c r="F606" s="13"/>
      <c r="G606" s="13"/>
      <c r="H606" s="72"/>
      <c r="I606" s="13"/>
      <c r="J606" s="13"/>
      <c r="K606" s="13"/>
      <c r="L606" s="13"/>
      <c r="M606" s="13"/>
      <c r="N606" s="13"/>
      <c r="O606" s="13"/>
      <c r="P606" s="13"/>
    </row>
    <row r="607">
      <c r="A607" s="13"/>
      <c r="B607" s="13"/>
      <c r="C607" s="13"/>
      <c r="D607" s="13"/>
      <c r="E607" s="13"/>
      <c r="F607" s="13"/>
      <c r="G607" s="13"/>
      <c r="H607" s="72"/>
      <c r="I607" s="13"/>
      <c r="J607" s="13"/>
      <c r="K607" s="13"/>
      <c r="L607" s="13"/>
      <c r="M607" s="13"/>
      <c r="N607" s="13"/>
      <c r="O607" s="13"/>
      <c r="P607" s="13"/>
    </row>
    <row r="608">
      <c r="A608" s="13"/>
      <c r="B608" s="13"/>
      <c r="C608" s="13"/>
      <c r="D608" s="13"/>
      <c r="E608" s="13"/>
      <c r="F608" s="13"/>
      <c r="G608" s="13"/>
      <c r="H608" s="72"/>
      <c r="I608" s="13"/>
      <c r="J608" s="13"/>
      <c r="K608" s="13"/>
      <c r="L608" s="13"/>
      <c r="M608" s="13"/>
      <c r="N608" s="13"/>
      <c r="O608" s="13"/>
      <c r="P608" s="13"/>
    </row>
    <row r="609">
      <c r="A609" s="13"/>
      <c r="B609" s="13"/>
      <c r="C609" s="13"/>
      <c r="D609" s="13"/>
      <c r="E609" s="13"/>
      <c r="F609" s="13"/>
      <c r="G609" s="13"/>
      <c r="H609" s="72"/>
      <c r="I609" s="13"/>
      <c r="J609" s="13"/>
      <c r="K609" s="13"/>
      <c r="L609" s="13"/>
      <c r="M609" s="13"/>
      <c r="N609" s="13"/>
      <c r="O609" s="13"/>
      <c r="P609" s="13"/>
    </row>
    <row r="610">
      <c r="A610" s="13"/>
      <c r="B610" s="13"/>
      <c r="C610" s="13"/>
      <c r="D610" s="13"/>
      <c r="E610" s="13"/>
      <c r="F610" s="13"/>
      <c r="G610" s="13"/>
      <c r="H610" s="72"/>
      <c r="I610" s="13"/>
      <c r="J610" s="13"/>
      <c r="K610" s="13"/>
      <c r="L610" s="13"/>
      <c r="M610" s="13"/>
      <c r="N610" s="13"/>
      <c r="O610" s="13"/>
      <c r="P610" s="13"/>
    </row>
    <row r="611">
      <c r="A611" s="13"/>
      <c r="B611" s="13"/>
      <c r="C611" s="13"/>
      <c r="D611" s="13"/>
      <c r="E611" s="13"/>
      <c r="F611" s="13"/>
      <c r="G611" s="13"/>
      <c r="H611" s="72"/>
      <c r="I611" s="13"/>
      <c r="J611" s="13"/>
      <c r="K611" s="13"/>
      <c r="L611" s="13"/>
      <c r="M611" s="13"/>
      <c r="N611" s="13"/>
      <c r="O611" s="13"/>
      <c r="P611" s="13"/>
    </row>
    <row r="612">
      <c r="A612" s="13"/>
      <c r="B612" s="13"/>
      <c r="C612" s="13"/>
      <c r="D612" s="13"/>
      <c r="E612" s="13"/>
      <c r="F612" s="13"/>
      <c r="G612" s="13"/>
      <c r="H612" s="72"/>
      <c r="I612" s="13"/>
      <c r="J612" s="13"/>
      <c r="K612" s="13"/>
      <c r="L612" s="13"/>
      <c r="M612" s="13"/>
      <c r="N612" s="13"/>
      <c r="O612" s="13"/>
      <c r="P612" s="13"/>
    </row>
    <row r="613">
      <c r="A613" s="13"/>
      <c r="B613" s="13"/>
      <c r="C613" s="13"/>
      <c r="D613" s="13"/>
      <c r="E613" s="13"/>
      <c r="F613" s="13"/>
      <c r="G613" s="13"/>
      <c r="H613" s="72"/>
      <c r="I613" s="13"/>
      <c r="J613" s="13"/>
      <c r="K613" s="13"/>
      <c r="L613" s="13"/>
      <c r="M613" s="13"/>
      <c r="N613" s="13"/>
      <c r="O613" s="13"/>
      <c r="P613" s="13"/>
    </row>
    <row r="614">
      <c r="A614" s="13"/>
      <c r="B614" s="13"/>
      <c r="C614" s="13"/>
      <c r="D614" s="13"/>
      <c r="E614" s="13"/>
      <c r="F614" s="13"/>
      <c r="G614" s="13"/>
      <c r="H614" s="72"/>
      <c r="I614" s="13"/>
      <c r="J614" s="13"/>
      <c r="K614" s="13"/>
      <c r="L614" s="13"/>
      <c r="M614" s="13"/>
      <c r="N614" s="13"/>
      <c r="O614" s="13"/>
      <c r="P614" s="13"/>
    </row>
    <row r="615">
      <c r="A615" s="13"/>
      <c r="B615" s="13"/>
      <c r="C615" s="13"/>
      <c r="D615" s="13"/>
      <c r="E615" s="13"/>
      <c r="F615" s="13"/>
      <c r="G615" s="13"/>
      <c r="H615" s="72"/>
      <c r="I615" s="13"/>
      <c r="J615" s="13"/>
      <c r="K615" s="13"/>
      <c r="L615" s="13"/>
      <c r="M615" s="13"/>
      <c r="N615" s="13"/>
      <c r="O615" s="13"/>
      <c r="P615" s="13"/>
    </row>
    <row r="616">
      <c r="A616" s="13"/>
      <c r="B616" s="13"/>
      <c r="C616" s="13"/>
      <c r="D616" s="13"/>
      <c r="E616" s="13"/>
      <c r="F616" s="13"/>
      <c r="G616" s="13"/>
      <c r="H616" s="72"/>
      <c r="I616" s="13"/>
      <c r="J616" s="13"/>
      <c r="K616" s="13"/>
      <c r="L616" s="13"/>
      <c r="M616" s="13"/>
      <c r="N616" s="13"/>
      <c r="O616" s="13"/>
      <c r="P616" s="13"/>
    </row>
    <row r="617">
      <c r="A617" s="13"/>
      <c r="B617" s="13"/>
      <c r="C617" s="13"/>
      <c r="D617" s="13"/>
      <c r="E617" s="13"/>
      <c r="F617" s="13"/>
      <c r="G617" s="13"/>
      <c r="H617" s="72"/>
      <c r="I617" s="13"/>
      <c r="J617" s="13"/>
      <c r="K617" s="13"/>
      <c r="L617" s="13"/>
      <c r="M617" s="13"/>
      <c r="N617" s="13"/>
      <c r="O617" s="13"/>
      <c r="P617" s="13"/>
    </row>
    <row r="618">
      <c r="A618" s="13"/>
      <c r="B618" s="13"/>
      <c r="C618" s="13"/>
      <c r="D618" s="13"/>
      <c r="E618" s="13"/>
      <c r="F618" s="13"/>
      <c r="G618" s="13"/>
      <c r="H618" s="72"/>
      <c r="I618" s="13"/>
      <c r="J618" s="13"/>
      <c r="K618" s="13"/>
      <c r="L618" s="13"/>
      <c r="M618" s="13"/>
      <c r="N618" s="13"/>
      <c r="O618" s="13"/>
      <c r="P618" s="13"/>
    </row>
    <row r="619">
      <c r="A619" s="13"/>
      <c r="B619" s="13"/>
      <c r="C619" s="13"/>
      <c r="D619" s="13"/>
      <c r="E619" s="13"/>
      <c r="F619" s="13"/>
      <c r="G619" s="13"/>
      <c r="H619" s="72"/>
      <c r="I619" s="13"/>
      <c r="J619" s="13"/>
      <c r="K619" s="13"/>
      <c r="L619" s="13"/>
      <c r="M619" s="13"/>
      <c r="N619" s="13"/>
      <c r="O619" s="13"/>
      <c r="P619" s="13"/>
    </row>
    <row r="620">
      <c r="A620" s="13"/>
      <c r="B620" s="13"/>
      <c r="C620" s="13"/>
      <c r="D620" s="13"/>
      <c r="E620" s="13"/>
      <c r="F620" s="13"/>
      <c r="G620" s="13"/>
      <c r="H620" s="72"/>
      <c r="I620" s="13"/>
      <c r="J620" s="13"/>
      <c r="K620" s="13"/>
      <c r="L620" s="13"/>
      <c r="M620" s="13"/>
      <c r="N620" s="13"/>
      <c r="O620" s="13"/>
      <c r="P620" s="13"/>
    </row>
    <row r="621">
      <c r="A621" s="13"/>
      <c r="B621" s="13"/>
      <c r="C621" s="13"/>
      <c r="D621" s="13"/>
      <c r="E621" s="13"/>
      <c r="F621" s="13"/>
      <c r="G621" s="13"/>
      <c r="H621" s="72"/>
      <c r="I621" s="13"/>
      <c r="J621" s="13"/>
      <c r="K621" s="13"/>
      <c r="L621" s="13"/>
      <c r="M621" s="13"/>
      <c r="N621" s="13"/>
      <c r="O621" s="13"/>
      <c r="P621" s="13"/>
    </row>
    <row r="622">
      <c r="A622" s="13"/>
      <c r="B622" s="13"/>
      <c r="C622" s="13"/>
      <c r="D622" s="13"/>
      <c r="E622" s="13"/>
      <c r="F622" s="13"/>
      <c r="G622" s="13"/>
      <c r="H622" s="72"/>
      <c r="I622" s="13"/>
      <c r="J622" s="13"/>
      <c r="K622" s="13"/>
      <c r="L622" s="13"/>
      <c r="M622" s="13"/>
      <c r="N622" s="13"/>
      <c r="O622" s="13"/>
      <c r="P622" s="13"/>
    </row>
    <row r="623">
      <c r="A623" s="13"/>
      <c r="B623" s="13"/>
      <c r="C623" s="13"/>
      <c r="D623" s="13"/>
      <c r="E623" s="13"/>
      <c r="F623" s="13"/>
      <c r="G623" s="13"/>
      <c r="H623" s="72"/>
      <c r="I623" s="13"/>
      <c r="J623" s="13"/>
      <c r="K623" s="13"/>
      <c r="L623" s="13"/>
      <c r="M623" s="13"/>
      <c r="N623" s="13"/>
      <c r="O623" s="13"/>
      <c r="P623" s="13"/>
    </row>
    <row r="624">
      <c r="A624" s="13"/>
      <c r="B624" s="13"/>
      <c r="C624" s="13"/>
      <c r="D624" s="13"/>
      <c r="E624" s="13"/>
      <c r="F624" s="13"/>
      <c r="G624" s="13"/>
      <c r="H624" s="72"/>
      <c r="I624" s="13"/>
      <c r="J624" s="13"/>
      <c r="K624" s="13"/>
      <c r="L624" s="13"/>
      <c r="M624" s="13"/>
      <c r="N624" s="13"/>
      <c r="O624" s="13"/>
      <c r="P624" s="13"/>
    </row>
    <row r="625">
      <c r="A625" s="13"/>
      <c r="B625" s="13"/>
      <c r="C625" s="13"/>
      <c r="D625" s="13"/>
      <c r="E625" s="13"/>
      <c r="F625" s="13"/>
      <c r="G625" s="13"/>
      <c r="H625" s="72"/>
      <c r="I625" s="13"/>
      <c r="J625" s="13"/>
      <c r="K625" s="13"/>
      <c r="L625" s="13"/>
      <c r="M625" s="13"/>
      <c r="N625" s="13"/>
      <c r="O625" s="13"/>
      <c r="P625" s="13"/>
    </row>
    <row r="626">
      <c r="A626" s="13"/>
      <c r="B626" s="13"/>
      <c r="C626" s="13"/>
      <c r="D626" s="13"/>
      <c r="E626" s="13"/>
      <c r="F626" s="13"/>
      <c r="G626" s="13"/>
      <c r="H626" s="72"/>
      <c r="I626" s="13"/>
      <c r="J626" s="13"/>
      <c r="K626" s="13"/>
      <c r="L626" s="13"/>
      <c r="M626" s="13"/>
      <c r="N626" s="13"/>
      <c r="O626" s="13"/>
      <c r="P626" s="13"/>
    </row>
    <row r="627">
      <c r="A627" s="13"/>
      <c r="B627" s="13"/>
      <c r="C627" s="13"/>
      <c r="D627" s="13"/>
      <c r="E627" s="13"/>
      <c r="F627" s="13"/>
      <c r="G627" s="13"/>
      <c r="H627" s="72"/>
      <c r="I627" s="13"/>
      <c r="J627" s="13"/>
      <c r="K627" s="13"/>
      <c r="L627" s="13"/>
      <c r="M627" s="13"/>
      <c r="N627" s="13"/>
      <c r="O627" s="13"/>
      <c r="P627" s="13"/>
    </row>
    <row r="628">
      <c r="A628" s="13"/>
      <c r="B628" s="13"/>
      <c r="C628" s="13"/>
      <c r="D628" s="13"/>
      <c r="E628" s="13"/>
      <c r="F628" s="13"/>
      <c r="G628" s="13"/>
      <c r="H628" s="72"/>
      <c r="I628" s="13"/>
      <c r="J628" s="13"/>
      <c r="K628" s="13"/>
      <c r="L628" s="13"/>
      <c r="M628" s="13"/>
      <c r="N628" s="13"/>
      <c r="O628" s="13"/>
      <c r="P628" s="13"/>
    </row>
    <row r="629">
      <c r="A629" s="13"/>
      <c r="B629" s="13"/>
      <c r="C629" s="13"/>
      <c r="D629" s="13"/>
      <c r="E629" s="13"/>
      <c r="F629" s="13"/>
      <c r="G629" s="13"/>
      <c r="H629" s="72"/>
      <c r="I629" s="13"/>
      <c r="J629" s="13"/>
      <c r="K629" s="13"/>
      <c r="L629" s="13"/>
      <c r="M629" s="13"/>
      <c r="N629" s="13"/>
      <c r="O629" s="13"/>
      <c r="P629" s="13"/>
    </row>
    <row r="630">
      <c r="A630" s="13"/>
      <c r="B630" s="13"/>
      <c r="C630" s="13"/>
      <c r="D630" s="13"/>
      <c r="E630" s="13"/>
      <c r="F630" s="13"/>
      <c r="G630" s="13"/>
      <c r="H630" s="72"/>
      <c r="I630" s="13"/>
      <c r="J630" s="13"/>
      <c r="K630" s="13"/>
      <c r="L630" s="13"/>
      <c r="M630" s="13"/>
      <c r="N630" s="13"/>
      <c r="O630" s="13"/>
      <c r="P630" s="13"/>
    </row>
    <row r="631">
      <c r="A631" s="13"/>
      <c r="B631" s="13"/>
      <c r="C631" s="13"/>
      <c r="D631" s="13"/>
      <c r="E631" s="13"/>
      <c r="F631" s="13"/>
      <c r="G631" s="13"/>
      <c r="H631" s="72"/>
      <c r="I631" s="13"/>
      <c r="J631" s="13"/>
      <c r="K631" s="13"/>
      <c r="L631" s="13"/>
      <c r="M631" s="13"/>
      <c r="N631" s="13"/>
      <c r="O631" s="13"/>
      <c r="P631" s="13"/>
    </row>
    <row r="632">
      <c r="A632" s="13"/>
      <c r="B632" s="13"/>
      <c r="C632" s="13"/>
      <c r="D632" s="13"/>
      <c r="E632" s="13"/>
      <c r="F632" s="13"/>
      <c r="G632" s="13"/>
      <c r="H632" s="72"/>
      <c r="I632" s="13"/>
      <c r="J632" s="13"/>
      <c r="K632" s="13"/>
      <c r="L632" s="13"/>
      <c r="M632" s="13"/>
      <c r="N632" s="13"/>
      <c r="O632" s="13"/>
      <c r="P632" s="13"/>
    </row>
    <row r="633">
      <c r="A633" s="13"/>
      <c r="B633" s="13"/>
      <c r="C633" s="13"/>
      <c r="D633" s="13"/>
      <c r="E633" s="13"/>
      <c r="F633" s="13"/>
      <c r="G633" s="13"/>
      <c r="H633" s="72"/>
      <c r="I633" s="13"/>
      <c r="J633" s="13"/>
      <c r="K633" s="13"/>
      <c r="L633" s="13"/>
      <c r="M633" s="13"/>
      <c r="N633" s="13"/>
      <c r="O633" s="13"/>
      <c r="P633" s="13"/>
    </row>
    <row r="634">
      <c r="A634" s="13"/>
      <c r="B634" s="13"/>
      <c r="C634" s="13"/>
      <c r="D634" s="13"/>
      <c r="E634" s="13"/>
      <c r="F634" s="13"/>
      <c r="G634" s="13"/>
      <c r="H634" s="72"/>
      <c r="I634" s="13"/>
      <c r="J634" s="13"/>
      <c r="K634" s="13"/>
      <c r="L634" s="13"/>
      <c r="M634" s="13"/>
      <c r="N634" s="13"/>
      <c r="O634" s="13"/>
      <c r="P634" s="13"/>
    </row>
    <row r="635">
      <c r="A635" s="13"/>
      <c r="B635" s="13"/>
      <c r="C635" s="13"/>
      <c r="D635" s="13"/>
      <c r="E635" s="13"/>
      <c r="F635" s="13"/>
      <c r="G635" s="13"/>
      <c r="H635" s="72"/>
      <c r="I635" s="13"/>
      <c r="J635" s="13"/>
      <c r="K635" s="13"/>
      <c r="L635" s="13"/>
      <c r="M635" s="13"/>
      <c r="N635" s="13"/>
      <c r="O635" s="13"/>
      <c r="P635" s="13"/>
    </row>
    <row r="636">
      <c r="A636" s="13"/>
      <c r="B636" s="13"/>
      <c r="C636" s="13"/>
      <c r="D636" s="13"/>
      <c r="E636" s="13"/>
      <c r="F636" s="13"/>
      <c r="G636" s="13"/>
      <c r="H636" s="72"/>
      <c r="I636" s="13"/>
      <c r="J636" s="13"/>
      <c r="K636" s="13"/>
      <c r="L636" s="13"/>
      <c r="M636" s="13"/>
      <c r="N636" s="13"/>
      <c r="O636" s="13"/>
      <c r="P636" s="13"/>
    </row>
    <row r="637">
      <c r="A637" s="13"/>
      <c r="B637" s="13"/>
      <c r="C637" s="13"/>
      <c r="D637" s="13"/>
      <c r="E637" s="13"/>
      <c r="F637" s="13"/>
      <c r="G637" s="13"/>
      <c r="H637" s="72"/>
      <c r="I637" s="13"/>
      <c r="J637" s="13"/>
      <c r="K637" s="13"/>
      <c r="L637" s="13"/>
      <c r="M637" s="13"/>
      <c r="N637" s="13"/>
      <c r="O637" s="13"/>
      <c r="P637" s="13"/>
    </row>
    <row r="638">
      <c r="A638" s="13"/>
      <c r="B638" s="13"/>
      <c r="C638" s="13"/>
      <c r="D638" s="13"/>
      <c r="E638" s="13"/>
      <c r="F638" s="13"/>
      <c r="G638" s="13"/>
      <c r="H638" s="72"/>
      <c r="I638" s="13"/>
      <c r="J638" s="13"/>
      <c r="K638" s="13"/>
      <c r="L638" s="13"/>
      <c r="M638" s="13"/>
      <c r="N638" s="13"/>
      <c r="O638" s="13"/>
      <c r="P638" s="13"/>
    </row>
    <row r="639">
      <c r="A639" s="13"/>
      <c r="B639" s="13"/>
      <c r="C639" s="13"/>
      <c r="D639" s="13"/>
      <c r="E639" s="13"/>
      <c r="F639" s="13"/>
      <c r="G639" s="13"/>
      <c r="H639" s="72"/>
      <c r="I639" s="13"/>
      <c r="J639" s="13"/>
      <c r="K639" s="13"/>
      <c r="L639" s="13"/>
      <c r="M639" s="13"/>
      <c r="N639" s="13"/>
      <c r="O639" s="13"/>
      <c r="P639" s="13"/>
    </row>
    <row r="640">
      <c r="A640" s="13"/>
      <c r="B640" s="13"/>
      <c r="C640" s="13"/>
      <c r="D640" s="13"/>
      <c r="E640" s="13"/>
      <c r="F640" s="13"/>
      <c r="G640" s="13"/>
      <c r="H640" s="72"/>
      <c r="I640" s="13"/>
      <c r="J640" s="13"/>
      <c r="K640" s="13"/>
      <c r="L640" s="13"/>
      <c r="M640" s="13"/>
      <c r="N640" s="13"/>
      <c r="O640" s="13"/>
      <c r="P640" s="13"/>
    </row>
    <row r="641">
      <c r="A641" s="13"/>
      <c r="B641" s="13"/>
      <c r="C641" s="13"/>
      <c r="D641" s="13"/>
      <c r="E641" s="13"/>
      <c r="F641" s="13"/>
      <c r="G641" s="13"/>
      <c r="H641" s="72"/>
      <c r="I641" s="13"/>
      <c r="J641" s="13"/>
      <c r="K641" s="13"/>
      <c r="L641" s="13"/>
      <c r="M641" s="13"/>
      <c r="N641" s="13"/>
      <c r="O641" s="13"/>
      <c r="P641" s="13"/>
    </row>
    <row r="642">
      <c r="A642" s="13"/>
      <c r="B642" s="13"/>
      <c r="C642" s="13"/>
      <c r="D642" s="13"/>
      <c r="E642" s="13"/>
      <c r="F642" s="13"/>
      <c r="G642" s="13"/>
      <c r="H642" s="72"/>
      <c r="I642" s="13"/>
      <c r="J642" s="13"/>
      <c r="K642" s="13"/>
      <c r="L642" s="13"/>
      <c r="M642" s="13"/>
      <c r="N642" s="13"/>
      <c r="O642" s="13"/>
      <c r="P642" s="13"/>
    </row>
    <row r="643">
      <c r="A643" s="13"/>
      <c r="B643" s="13"/>
      <c r="C643" s="13"/>
      <c r="D643" s="13"/>
      <c r="E643" s="13"/>
      <c r="F643" s="13"/>
      <c r="G643" s="13"/>
      <c r="H643" s="72"/>
      <c r="I643" s="13"/>
      <c r="J643" s="13"/>
      <c r="K643" s="13"/>
      <c r="L643" s="13"/>
      <c r="M643" s="13"/>
      <c r="N643" s="13"/>
      <c r="O643" s="13"/>
      <c r="P643" s="13"/>
    </row>
    <row r="644">
      <c r="A644" s="13"/>
      <c r="B644" s="13"/>
      <c r="C644" s="13"/>
      <c r="D644" s="13"/>
      <c r="E644" s="13"/>
      <c r="F644" s="13"/>
      <c r="G644" s="13"/>
      <c r="H644" s="72"/>
      <c r="I644" s="13"/>
      <c r="J644" s="13"/>
      <c r="K644" s="13"/>
      <c r="L644" s="13"/>
      <c r="M644" s="13"/>
      <c r="N644" s="13"/>
      <c r="O644" s="13"/>
      <c r="P644" s="13"/>
    </row>
    <row r="645">
      <c r="A645" s="13"/>
      <c r="B645" s="13"/>
      <c r="C645" s="13"/>
      <c r="D645" s="13"/>
      <c r="E645" s="13"/>
      <c r="F645" s="13"/>
      <c r="G645" s="13"/>
      <c r="H645" s="72"/>
      <c r="I645" s="13"/>
      <c r="J645" s="13"/>
      <c r="K645" s="13"/>
      <c r="L645" s="13"/>
      <c r="M645" s="13"/>
      <c r="N645" s="13"/>
      <c r="O645" s="13"/>
      <c r="P645" s="13"/>
    </row>
    <row r="646">
      <c r="A646" s="13"/>
      <c r="B646" s="13"/>
      <c r="C646" s="13"/>
      <c r="D646" s="13"/>
      <c r="E646" s="13"/>
      <c r="F646" s="13"/>
      <c r="G646" s="13"/>
      <c r="H646" s="72"/>
      <c r="I646" s="13"/>
      <c r="J646" s="13"/>
      <c r="K646" s="13"/>
      <c r="L646" s="13"/>
      <c r="M646" s="13"/>
      <c r="N646" s="13"/>
      <c r="O646" s="13"/>
      <c r="P646" s="13"/>
    </row>
    <row r="647">
      <c r="A647" s="13"/>
      <c r="B647" s="13"/>
      <c r="C647" s="13"/>
      <c r="D647" s="13"/>
      <c r="E647" s="13"/>
      <c r="F647" s="13"/>
      <c r="G647" s="13"/>
      <c r="H647" s="72"/>
      <c r="I647" s="13"/>
      <c r="J647" s="13"/>
      <c r="K647" s="13"/>
      <c r="L647" s="13"/>
      <c r="M647" s="13"/>
      <c r="N647" s="13"/>
      <c r="O647" s="13"/>
      <c r="P647" s="13"/>
    </row>
    <row r="648">
      <c r="A648" s="13"/>
      <c r="B648" s="13"/>
      <c r="C648" s="13"/>
      <c r="D648" s="13"/>
      <c r="E648" s="13"/>
      <c r="F648" s="13"/>
      <c r="G648" s="13"/>
      <c r="H648" s="72"/>
      <c r="I648" s="13"/>
      <c r="J648" s="13"/>
      <c r="K648" s="13"/>
      <c r="L648" s="13"/>
      <c r="M648" s="13"/>
      <c r="N648" s="13"/>
      <c r="O648" s="13"/>
      <c r="P648" s="13"/>
    </row>
    <row r="649">
      <c r="A649" s="13"/>
      <c r="B649" s="13"/>
      <c r="C649" s="13"/>
      <c r="D649" s="13"/>
      <c r="E649" s="13"/>
      <c r="F649" s="13"/>
      <c r="G649" s="13"/>
      <c r="H649" s="72"/>
      <c r="I649" s="13"/>
      <c r="J649" s="13"/>
      <c r="K649" s="13"/>
      <c r="L649" s="13"/>
      <c r="M649" s="13"/>
      <c r="N649" s="13"/>
      <c r="O649" s="13"/>
      <c r="P649" s="13"/>
    </row>
    <row r="650">
      <c r="A650" s="13"/>
      <c r="B650" s="13"/>
      <c r="C650" s="13"/>
      <c r="D650" s="13"/>
      <c r="E650" s="13"/>
      <c r="F650" s="13"/>
      <c r="G650" s="13"/>
      <c r="H650" s="72"/>
      <c r="I650" s="13"/>
      <c r="J650" s="13"/>
      <c r="K650" s="13"/>
      <c r="L650" s="13"/>
      <c r="M650" s="13"/>
      <c r="N650" s="13"/>
      <c r="O650" s="13"/>
      <c r="P650" s="13"/>
    </row>
    <row r="651">
      <c r="A651" s="13"/>
      <c r="B651" s="13"/>
      <c r="C651" s="13"/>
      <c r="D651" s="13"/>
      <c r="E651" s="13"/>
      <c r="F651" s="13"/>
      <c r="G651" s="13"/>
      <c r="H651" s="72"/>
      <c r="I651" s="13"/>
      <c r="J651" s="13"/>
      <c r="K651" s="13"/>
      <c r="L651" s="13"/>
      <c r="M651" s="13"/>
      <c r="N651" s="13"/>
      <c r="O651" s="13"/>
      <c r="P651" s="13"/>
    </row>
    <row r="652">
      <c r="A652" s="13"/>
      <c r="B652" s="13"/>
      <c r="C652" s="13"/>
      <c r="D652" s="13"/>
      <c r="E652" s="13"/>
      <c r="F652" s="13"/>
      <c r="G652" s="13"/>
      <c r="H652" s="72"/>
      <c r="I652" s="13"/>
      <c r="J652" s="13"/>
      <c r="K652" s="13"/>
      <c r="L652" s="13"/>
      <c r="M652" s="13"/>
      <c r="N652" s="13"/>
      <c r="O652" s="13"/>
      <c r="P652" s="13"/>
    </row>
    <row r="653">
      <c r="A653" s="13"/>
      <c r="B653" s="13"/>
      <c r="C653" s="13"/>
      <c r="D653" s="13"/>
      <c r="E653" s="13"/>
      <c r="F653" s="13"/>
      <c r="G653" s="13"/>
      <c r="H653" s="72"/>
      <c r="I653" s="13"/>
      <c r="J653" s="13"/>
      <c r="K653" s="13"/>
      <c r="L653" s="13"/>
      <c r="M653" s="13"/>
      <c r="N653" s="13"/>
      <c r="O653" s="13"/>
      <c r="P653" s="13"/>
    </row>
    <row r="654">
      <c r="A654" s="13"/>
      <c r="B654" s="13"/>
      <c r="C654" s="13"/>
      <c r="D654" s="13"/>
      <c r="E654" s="13"/>
      <c r="F654" s="13"/>
      <c r="G654" s="13"/>
      <c r="H654" s="72"/>
      <c r="I654" s="13"/>
      <c r="J654" s="13"/>
      <c r="K654" s="13"/>
      <c r="L654" s="13"/>
      <c r="M654" s="13"/>
      <c r="N654" s="13"/>
      <c r="O654" s="13"/>
      <c r="P654" s="13"/>
    </row>
    <row r="655">
      <c r="A655" s="13"/>
      <c r="B655" s="13"/>
      <c r="C655" s="13"/>
      <c r="D655" s="13"/>
      <c r="E655" s="13"/>
      <c r="F655" s="13"/>
      <c r="G655" s="13"/>
      <c r="H655" s="72"/>
      <c r="I655" s="13"/>
      <c r="J655" s="13"/>
      <c r="K655" s="13"/>
      <c r="L655" s="13"/>
      <c r="M655" s="13"/>
      <c r="N655" s="13"/>
      <c r="O655" s="13"/>
      <c r="P655" s="13"/>
    </row>
    <row r="656">
      <c r="A656" s="13"/>
      <c r="B656" s="13"/>
      <c r="C656" s="13"/>
      <c r="D656" s="13"/>
      <c r="E656" s="13"/>
      <c r="F656" s="13"/>
      <c r="G656" s="13"/>
      <c r="H656" s="72"/>
      <c r="I656" s="13"/>
      <c r="J656" s="13"/>
      <c r="K656" s="13"/>
      <c r="L656" s="13"/>
      <c r="M656" s="13"/>
      <c r="N656" s="13"/>
      <c r="O656" s="13"/>
      <c r="P656" s="13"/>
    </row>
    <row r="657">
      <c r="A657" s="13"/>
      <c r="B657" s="13"/>
      <c r="C657" s="13"/>
      <c r="D657" s="13"/>
      <c r="E657" s="13"/>
      <c r="F657" s="13"/>
      <c r="G657" s="13"/>
      <c r="H657" s="72"/>
      <c r="I657" s="13"/>
      <c r="J657" s="13"/>
      <c r="K657" s="13"/>
      <c r="L657" s="13"/>
      <c r="M657" s="13"/>
      <c r="N657" s="13"/>
      <c r="O657" s="13"/>
      <c r="P657" s="13"/>
    </row>
    <row r="658">
      <c r="A658" s="13"/>
      <c r="B658" s="13"/>
      <c r="C658" s="13"/>
      <c r="D658" s="13"/>
      <c r="E658" s="13"/>
      <c r="F658" s="13"/>
      <c r="G658" s="13"/>
      <c r="H658" s="72"/>
      <c r="I658" s="13"/>
      <c r="J658" s="13"/>
      <c r="K658" s="13"/>
      <c r="L658" s="13"/>
      <c r="M658" s="13"/>
      <c r="N658" s="13"/>
      <c r="O658" s="13"/>
      <c r="P658" s="13"/>
    </row>
    <row r="659">
      <c r="A659" s="13"/>
      <c r="B659" s="13"/>
      <c r="C659" s="13"/>
      <c r="D659" s="13"/>
      <c r="E659" s="13"/>
      <c r="F659" s="13"/>
      <c r="G659" s="13"/>
      <c r="H659" s="72"/>
      <c r="I659" s="13"/>
      <c r="J659" s="13"/>
      <c r="K659" s="13"/>
      <c r="L659" s="13"/>
      <c r="M659" s="13"/>
      <c r="N659" s="13"/>
      <c r="O659" s="13"/>
      <c r="P659" s="13"/>
    </row>
    <row r="660">
      <c r="A660" s="13"/>
      <c r="B660" s="13"/>
      <c r="C660" s="13"/>
      <c r="D660" s="13"/>
      <c r="E660" s="13"/>
      <c r="F660" s="13"/>
      <c r="G660" s="13"/>
      <c r="H660" s="72"/>
      <c r="I660" s="13"/>
      <c r="J660" s="13"/>
      <c r="K660" s="13"/>
      <c r="L660" s="13"/>
      <c r="M660" s="13"/>
      <c r="N660" s="13"/>
      <c r="O660" s="13"/>
      <c r="P660" s="13"/>
    </row>
    <row r="661">
      <c r="A661" s="13"/>
      <c r="B661" s="13"/>
      <c r="C661" s="13"/>
      <c r="D661" s="13"/>
      <c r="E661" s="13"/>
      <c r="F661" s="13"/>
      <c r="G661" s="13"/>
      <c r="H661" s="72"/>
      <c r="I661" s="13"/>
      <c r="J661" s="13"/>
      <c r="K661" s="13"/>
      <c r="L661" s="13"/>
      <c r="M661" s="13"/>
      <c r="N661" s="13"/>
      <c r="O661" s="13"/>
      <c r="P661" s="13"/>
    </row>
    <row r="662">
      <c r="A662" s="13"/>
      <c r="B662" s="13"/>
      <c r="C662" s="13"/>
      <c r="D662" s="13"/>
      <c r="E662" s="13"/>
      <c r="F662" s="13"/>
      <c r="G662" s="13"/>
      <c r="H662" s="72"/>
      <c r="I662" s="13"/>
      <c r="J662" s="13"/>
      <c r="K662" s="13"/>
      <c r="L662" s="13"/>
      <c r="M662" s="13"/>
      <c r="N662" s="13"/>
      <c r="O662" s="13"/>
      <c r="P662" s="13"/>
    </row>
    <row r="663">
      <c r="A663" s="13"/>
      <c r="B663" s="13"/>
      <c r="C663" s="13"/>
      <c r="D663" s="13"/>
      <c r="E663" s="13"/>
      <c r="F663" s="13"/>
      <c r="G663" s="13"/>
      <c r="H663" s="72"/>
      <c r="I663" s="13"/>
      <c r="J663" s="13"/>
      <c r="K663" s="13"/>
      <c r="L663" s="13"/>
      <c r="M663" s="13"/>
      <c r="N663" s="13"/>
      <c r="O663" s="13"/>
      <c r="P663" s="13"/>
    </row>
    <row r="664">
      <c r="A664" s="13"/>
      <c r="B664" s="13"/>
      <c r="C664" s="13"/>
      <c r="D664" s="13"/>
      <c r="E664" s="13"/>
      <c r="F664" s="13"/>
      <c r="G664" s="13"/>
      <c r="H664" s="72"/>
      <c r="I664" s="13"/>
      <c r="J664" s="13"/>
      <c r="K664" s="13"/>
      <c r="L664" s="13"/>
      <c r="M664" s="13"/>
      <c r="N664" s="13"/>
      <c r="O664" s="13"/>
      <c r="P664" s="13"/>
    </row>
    <row r="665">
      <c r="A665" s="13"/>
      <c r="B665" s="13"/>
      <c r="C665" s="13"/>
      <c r="D665" s="13"/>
      <c r="E665" s="13"/>
      <c r="F665" s="13"/>
      <c r="G665" s="13"/>
      <c r="H665" s="72"/>
      <c r="I665" s="13"/>
      <c r="J665" s="13"/>
      <c r="K665" s="13"/>
      <c r="L665" s="13"/>
      <c r="M665" s="13"/>
      <c r="N665" s="13"/>
      <c r="O665" s="13"/>
      <c r="P665" s="13"/>
    </row>
    <row r="666">
      <c r="A666" s="13"/>
      <c r="B666" s="13"/>
      <c r="C666" s="13"/>
      <c r="D666" s="13"/>
      <c r="E666" s="13"/>
      <c r="F666" s="13"/>
      <c r="G666" s="13"/>
      <c r="H666" s="72"/>
      <c r="I666" s="13"/>
      <c r="J666" s="13"/>
      <c r="K666" s="13"/>
      <c r="L666" s="13"/>
      <c r="M666" s="13"/>
      <c r="N666" s="13"/>
      <c r="O666" s="13"/>
      <c r="P666" s="13"/>
    </row>
    <row r="667">
      <c r="A667" s="13"/>
      <c r="B667" s="13"/>
      <c r="C667" s="13"/>
      <c r="D667" s="13"/>
      <c r="E667" s="13"/>
      <c r="F667" s="13"/>
      <c r="G667" s="13"/>
      <c r="H667" s="72"/>
      <c r="I667" s="13"/>
      <c r="J667" s="13"/>
      <c r="K667" s="13"/>
      <c r="L667" s="13"/>
      <c r="M667" s="13"/>
      <c r="N667" s="13"/>
      <c r="O667" s="13"/>
      <c r="P667" s="13"/>
    </row>
    <row r="668">
      <c r="A668" s="13"/>
      <c r="B668" s="13"/>
      <c r="C668" s="13"/>
      <c r="D668" s="13"/>
      <c r="E668" s="13"/>
      <c r="F668" s="13"/>
      <c r="G668" s="13"/>
      <c r="H668" s="72"/>
      <c r="I668" s="13"/>
      <c r="J668" s="13"/>
      <c r="K668" s="13"/>
      <c r="L668" s="13"/>
      <c r="M668" s="13"/>
      <c r="N668" s="13"/>
      <c r="O668" s="13"/>
      <c r="P668" s="13"/>
    </row>
    <row r="669">
      <c r="A669" s="13"/>
      <c r="B669" s="13"/>
      <c r="C669" s="13"/>
      <c r="D669" s="13"/>
      <c r="E669" s="13"/>
      <c r="F669" s="13"/>
      <c r="G669" s="13"/>
      <c r="H669" s="72"/>
      <c r="I669" s="13"/>
      <c r="J669" s="13"/>
      <c r="K669" s="13"/>
      <c r="L669" s="13"/>
      <c r="M669" s="13"/>
      <c r="N669" s="13"/>
      <c r="O669" s="13"/>
      <c r="P669" s="13"/>
    </row>
    <row r="670">
      <c r="A670" s="13"/>
      <c r="B670" s="13"/>
      <c r="C670" s="13"/>
      <c r="D670" s="13"/>
      <c r="E670" s="13"/>
      <c r="F670" s="13"/>
      <c r="G670" s="13"/>
      <c r="H670" s="72"/>
      <c r="I670" s="13"/>
      <c r="J670" s="13"/>
      <c r="K670" s="13"/>
      <c r="L670" s="13"/>
      <c r="M670" s="13"/>
      <c r="N670" s="13"/>
      <c r="O670" s="13"/>
      <c r="P670" s="13"/>
    </row>
    <row r="671">
      <c r="A671" s="13"/>
      <c r="B671" s="13"/>
      <c r="C671" s="13"/>
      <c r="D671" s="13"/>
      <c r="E671" s="13"/>
      <c r="F671" s="13"/>
      <c r="G671" s="13"/>
      <c r="H671" s="72"/>
      <c r="I671" s="13"/>
      <c r="J671" s="13"/>
      <c r="K671" s="13"/>
      <c r="L671" s="13"/>
      <c r="M671" s="13"/>
      <c r="N671" s="13"/>
      <c r="O671" s="13"/>
      <c r="P671" s="13"/>
    </row>
    <row r="672">
      <c r="A672" s="13"/>
      <c r="B672" s="13"/>
      <c r="C672" s="13"/>
      <c r="D672" s="13"/>
      <c r="E672" s="13"/>
      <c r="F672" s="13"/>
      <c r="G672" s="13"/>
      <c r="H672" s="72"/>
      <c r="I672" s="13"/>
      <c r="J672" s="13"/>
      <c r="K672" s="13"/>
      <c r="L672" s="13"/>
      <c r="M672" s="13"/>
      <c r="N672" s="13"/>
      <c r="O672" s="13"/>
      <c r="P672" s="13"/>
    </row>
    <row r="673">
      <c r="A673" s="13"/>
      <c r="B673" s="13"/>
      <c r="C673" s="13"/>
      <c r="D673" s="13"/>
      <c r="E673" s="13"/>
      <c r="F673" s="13"/>
      <c r="G673" s="13"/>
      <c r="H673" s="72"/>
      <c r="I673" s="13"/>
      <c r="J673" s="13"/>
      <c r="K673" s="13"/>
      <c r="L673" s="13"/>
      <c r="M673" s="13"/>
      <c r="N673" s="13"/>
      <c r="O673" s="13"/>
      <c r="P673" s="13"/>
    </row>
    <row r="674">
      <c r="A674" s="13"/>
      <c r="B674" s="13"/>
      <c r="C674" s="13"/>
      <c r="D674" s="13"/>
      <c r="E674" s="13"/>
      <c r="F674" s="13"/>
      <c r="G674" s="13"/>
      <c r="H674" s="72"/>
      <c r="I674" s="13"/>
      <c r="J674" s="13"/>
      <c r="K674" s="13"/>
      <c r="L674" s="13"/>
      <c r="M674" s="13"/>
      <c r="N674" s="13"/>
      <c r="O674" s="13"/>
      <c r="P674" s="13"/>
    </row>
    <row r="675">
      <c r="A675" s="13"/>
      <c r="B675" s="13"/>
      <c r="C675" s="13"/>
      <c r="D675" s="13"/>
      <c r="E675" s="13"/>
      <c r="F675" s="13"/>
      <c r="G675" s="13"/>
      <c r="H675" s="72"/>
      <c r="I675" s="13"/>
      <c r="J675" s="13"/>
      <c r="K675" s="13"/>
      <c r="L675" s="13"/>
      <c r="M675" s="13"/>
      <c r="N675" s="13"/>
      <c r="O675" s="13"/>
      <c r="P675" s="13"/>
    </row>
    <row r="676">
      <c r="A676" s="13"/>
      <c r="B676" s="13"/>
      <c r="C676" s="13"/>
      <c r="D676" s="13"/>
      <c r="E676" s="13"/>
      <c r="F676" s="13"/>
      <c r="G676" s="13"/>
      <c r="H676" s="72"/>
      <c r="I676" s="13"/>
      <c r="J676" s="13"/>
      <c r="K676" s="13"/>
      <c r="L676" s="13"/>
      <c r="M676" s="13"/>
      <c r="N676" s="13"/>
      <c r="O676" s="13"/>
      <c r="P676" s="13"/>
    </row>
    <row r="677">
      <c r="A677" s="13"/>
      <c r="B677" s="13"/>
      <c r="C677" s="13"/>
      <c r="D677" s="13"/>
      <c r="E677" s="13"/>
      <c r="F677" s="13"/>
      <c r="G677" s="13"/>
      <c r="H677" s="72"/>
      <c r="I677" s="13"/>
      <c r="J677" s="13"/>
      <c r="K677" s="13"/>
      <c r="L677" s="13"/>
      <c r="M677" s="13"/>
      <c r="N677" s="13"/>
      <c r="O677" s="13"/>
      <c r="P677" s="13"/>
    </row>
    <row r="678">
      <c r="A678" s="13"/>
      <c r="B678" s="13"/>
      <c r="C678" s="13"/>
      <c r="D678" s="13"/>
      <c r="E678" s="13"/>
      <c r="F678" s="13"/>
      <c r="G678" s="13"/>
      <c r="H678" s="72"/>
      <c r="I678" s="13"/>
      <c r="J678" s="13"/>
      <c r="K678" s="13"/>
      <c r="L678" s="13"/>
      <c r="M678" s="13"/>
      <c r="N678" s="13"/>
      <c r="O678" s="13"/>
      <c r="P678" s="13"/>
    </row>
    <row r="679">
      <c r="A679" s="13"/>
      <c r="B679" s="13"/>
      <c r="C679" s="13"/>
      <c r="D679" s="13"/>
      <c r="E679" s="13"/>
      <c r="F679" s="13"/>
      <c r="G679" s="13"/>
      <c r="H679" s="72"/>
      <c r="I679" s="13"/>
      <c r="J679" s="13"/>
      <c r="K679" s="13"/>
      <c r="L679" s="13"/>
      <c r="M679" s="13"/>
      <c r="N679" s="13"/>
      <c r="O679" s="13"/>
      <c r="P679" s="13"/>
    </row>
    <row r="680">
      <c r="A680" s="13"/>
      <c r="B680" s="13"/>
      <c r="C680" s="13"/>
      <c r="D680" s="13"/>
      <c r="E680" s="13"/>
      <c r="F680" s="13"/>
      <c r="G680" s="13"/>
      <c r="H680" s="72"/>
      <c r="I680" s="13"/>
      <c r="J680" s="13"/>
      <c r="K680" s="13"/>
      <c r="L680" s="13"/>
      <c r="M680" s="13"/>
      <c r="N680" s="13"/>
      <c r="O680" s="13"/>
      <c r="P680" s="13"/>
    </row>
    <row r="681">
      <c r="A681" s="13"/>
      <c r="B681" s="13"/>
      <c r="C681" s="13"/>
      <c r="D681" s="13"/>
      <c r="E681" s="13"/>
      <c r="F681" s="13"/>
      <c r="G681" s="13"/>
      <c r="H681" s="72"/>
      <c r="I681" s="13"/>
      <c r="J681" s="13"/>
      <c r="K681" s="13"/>
      <c r="L681" s="13"/>
      <c r="M681" s="13"/>
      <c r="N681" s="13"/>
      <c r="O681" s="13"/>
      <c r="P681" s="13"/>
    </row>
    <row r="682">
      <c r="A682" s="13"/>
      <c r="B682" s="13"/>
      <c r="C682" s="13"/>
      <c r="D682" s="13"/>
      <c r="E682" s="13"/>
      <c r="F682" s="13"/>
      <c r="G682" s="13"/>
      <c r="H682" s="72"/>
      <c r="I682" s="13"/>
      <c r="J682" s="13"/>
      <c r="K682" s="13"/>
      <c r="L682" s="13"/>
      <c r="M682" s="13"/>
      <c r="N682" s="13"/>
      <c r="O682" s="13"/>
      <c r="P682" s="13"/>
    </row>
    <row r="683">
      <c r="A683" s="13"/>
      <c r="B683" s="13"/>
      <c r="C683" s="13"/>
      <c r="D683" s="13"/>
      <c r="E683" s="13"/>
      <c r="F683" s="13"/>
      <c r="G683" s="13"/>
      <c r="H683" s="72"/>
      <c r="I683" s="13"/>
      <c r="J683" s="13"/>
      <c r="K683" s="13"/>
      <c r="L683" s="13"/>
      <c r="M683" s="13"/>
      <c r="N683" s="13"/>
      <c r="O683" s="13"/>
      <c r="P683" s="13"/>
    </row>
    <row r="684">
      <c r="A684" s="13"/>
      <c r="B684" s="13"/>
      <c r="C684" s="13"/>
      <c r="D684" s="13"/>
      <c r="E684" s="13"/>
      <c r="F684" s="13"/>
      <c r="G684" s="13"/>
      <c r="H684" s="72"/>
      <c r="I684" s="13"/>
      <c r="J684" s="13"/>
      <c r="K684" s="13"/>
      <c r="L684" s="13"/>
      <c r="M684" s="13"/>
      <c r="N684" s="13"/>
      <c r="O684" s="13"/>
      <c r="P684" s="13"/>
    </row>
    <row r="685">
      <c r="A685" s="13"/>
      <c r="B685" s="13"/>
      <c r="C685" s="13"/>
      <c r="D685" s="13"/>
      <c r="E685" s="13"/>
      <c r="F685" s="13"/>
      <c r="G685" s="13"/>
      <c r="H685" s="72"/>
      <c r="I685" s="13"/>
      <c r="J685" s="13"/>
      <c r="K685" s="13"/>
      <c r="L685" s="13"/>
      <c r="M685" s="13"/>
      <c r="N685" s="13"/>
      <c r="O685" s="13"/>
      <c r="P685" s="13"/>
    </row>
    <row r="686">
      <c r="A686" s="13"/>
      <c r="B686" s="13"/>
      <c r="C686" s="13"/>
      <c r="D686" s="13"/>
      <c r="E686" s="13"/>
      <c r="F686" s="13"/>
      <c r="G686" s="13"/>
      <c r="H686" s="72"/>
      <c r="I686" s="13"/>
      <c r="J686" s="13"/>
      <c r="K686" s="13"/>
      <c r="L686" s="13"/>
      <c r="M686" s="13"/>
      <c r="N686" s="13"/>
      <c r="O686" s="13"/>
      <c r="P686" s="13"/>
    </row>
    <row r="687">
      <c r="A687" s="13"/>
      <c r="B687" s="13"/>
      <c r="C687" s="13"/>
      <c r="D687" s="13"/>
      <c r="E687" s="13"/>
      <c r="F687" s="13"/>
      <c r="G687" s="13"/>
      <c r="H687" s="72"/>
      <c r="I687" s="13"/>
      <c r="J687" s="13"/>
      <c r="K687" s="13"/>
      <c r="L687" s="13"/>
      <c r="M687" s="13"/>
      <c r="N687" s="13"/>
      <c r="O687" s="13"/>
      <c r="P687" s="13"/>
    </row>
    <row r="688">
      <c r="A688" s="13"/>
      <c r="B688" s="13"/>
      <c r="C688" s="13"/>
      <c r="D688" s="13"/>
      <c r="E688" s="13"/>
      <c r="F688" s="13"/>
      <c r="G688" s="13"/>
      <c r="H688" s="72"/>
      <c r="I688" s="13"/>
      <c r="J688" s="13"/>
      <c r="K688" s="13"/>
      <c r="L688" s="13"/>
      <c r="M688" s="13"/>
      <c r="N688" s="13"/>
      <c r="O688" s="13"/>
      <c r="P688" s="13"/>
    </row>
    <row r="689">
      <c r="A689" s="13"/>
      <c r="B689" s="13"/>
      <c r="C689" s="13"/>
      <c r="D689" s="13"/>
      <c r="E689" s="13"/>
      <c r="F689" s="13"/>
      <c r="G689" s="13"/>
      <c r="H689" s="72"/>
      <c r="I689" s="13"/>
      <c r="J689" s="13"/>
      <c r="K689" s="13"/>
      <c r="L689" s="13"/>
      <c r="M689" s="13"/>
      <c r="N689" s="13"/>
      <c r="O689" s="13"/>
      <c r="P689" s="13"/>
    </row>
    <row r="690">
      <c r="A690" s="13"/>
      <c r="B690" s="13"/>
      <c r="C690" s="13"/>
      <c r="D690" s="13"/>
      <c r="E690" s="13"/>
      <c r="F690" s="13"/>
      <c r="G690" s="13"/>
      <c r="H690" s="72"/>
      <c r="I690" s="13"/>
      <c r="J690" s="13"/>
      <c r="K690" s="13"/>
      <c r="L690" s="13"/>
      <c r="M690" s="13"/>
      <c r="N690" s="13"/>
      <c r="O690" s="13"/>
      <c r="P690" s="13"/>
    </row>
    <row r="691">
      <c r="A691" s="13"/>
      <c r="B691" s="13"/>
      <c r="C691" s="13"/>
      <c r="D691" s="13"/>
      <c r="E691" s="13"/>
      <c r="F691" s="13"/>
      <c r="G691" s="13"/>
      <c r="H691" s="72"/>
      <c r="I691" s="13"/>
      <c r="J691" s="13"/>
      <c r="K691" s="13"/>
      <c r="L691" s="13"/>
      <c r="M691" s="13"/>
      <c r="N691" s="13"/>
      <c r="O691" s="13"/>
      <c r="P691" s="13"/>
    </row>
    <row r="692">
      <c r="A692" s="13"/>
      <c r="B692" s="13"/>
      <c r="C692" s="13"/>
      <c r="D692" s="13"/>
      <c r="E692" s="13"/>
      <c r="F692" s="13"/>
      <c r="G692" s="13"/>
      <c r="H692" s="72"/>
      <c r="I692" s="13"/>
      <c r="J692" s="13"/>
      <c r="K692" s="13"/>
      <c r="L692" s="13"/>
      <c r="M692" s="13"/>
      <c r="N692" s="13"/>
      <c r="O692" s="13"/>
      <c r="P692" s="13"/>
    </row>
    <row r="693">
      <c r="A693" s="13"/>
      <c r="B693" s="13"/>
      <c r="C693" s="13"/>
      <c r="D693" s="13"/>
      <c r="E693" s="13"/>
      <c r="F693" s="13"/>
      <c r="G693" s="13"/>
      <c r="H693" s="72"/>
      <c r="I693" s="13"/>
      <c r="J693" s="13"/>
      <c r="K693" s="13"/>
      <c r="L693" s="13"/>
      <c r="M693" s="13"/>
      <c r="N693" s="13"/>
      <c r="O693" s="13"/>
      <c r="P693" s="13"/>
    </row>
    <row r="694">
      <c r="A694" s="13"/>
      <c r="B694" s="13"/>
      <c r="C694" s="13"/>
      <c r="D694" s="13"/>
      <c r="E694" s="13"/>
      <c r="F694" s="13"/>
      <c r="G694" s="13"/>
      <c r="H694" s="72"/>
      <c r="I694" s="13"/>
      <c r="J694" s="13"/>
      <c r="K694" s="13"/>
      <c r="L694" s="13"/>
      <c r="M694" s="13"/>
      <c r="N694" s="13"/>
      <c r="O694" s="13"/>
      <c r="P694" s="13"/>
    </row>
    <row r="695">
      <c r="A695" s="13"/>
      <c r="B695" s="13"/>
      <c r="C695" s="13"/>
      <c r="D695" s="13"/>
      <c r="E695" s="13"/>
      <c r="F695" s="13"/>
      <c r="G695" s="13"/>
      <c r="H695" s="72"/>
      <c r="I695" s="13"/>
      <c r="J695" s="13"/>
      <c r="K695" s="13"/>
      <c r="L695" s="13"/>
      <c r="M695" s="13"/>
      <c r="N695" s="13"/>
      <c r="O695" s="13"/>
      <c r="P695" s="13"/>
    </row>
    <row r="696">
      <c r="A696" s="13"/>
      <c r="B696" s="13"/>
      <c r="C696" s="13"/>
      <c r="D696" s="13"/>
      <c r="E696" s="13"/>
      <c r="F696" s="13"/>
      <c r="G696" s="13"/>
      <c r="H696" s="72"/>
      <c r="I696" s="13"/>
      <c r="J696" s="13"/>
      <c r="K696" s="13"/>
      <c r="L696" s="13"/>
      <c r="M696" s="13"/>
      <c r="N696" s="13"/>
      <c r="O696" s="13"/>
      <c r="P696" s="13"/>
    </row>
    <row r="697">
      <c r="A697" s="13"/>
      <c r="B697" s="13"/>
      <c r="C697" s="13"/>
      <c r="D697" s="13"/>
      <c r="E697" s="13"/>
      <c r="F697" s="13"/>
      <c r="G697" s="13"/>
      <c r="H697" s="72"/>
      <c r="I697" s="13"/>
      <c r="J697" s="13"/>
      <c r="K697" s="13"/>
      <c r="L697" s="13"/>
      <c r="M697" s="13"/>
      <c r="N697" s="13"/>
      <c r="O697" s="13"/>
      <c r="P697" s="13"/>
    </row>
    <row r="698">
      <c r="A698" s="13"/>
      <c r="B698" s="13"/>
      <c r="C698" s="13"/>
      <c r="D698" s="13"/>
      <c r="E698" s="13"/>
      <c r="F698" s="13"/>
      <c r="G698" s="13"/>
      <c r="H698" s="72"/>
      <c r="I698" s="13"/>
      <c r="J698" s="13"/>
      <c r="K698" s="13"/>
      <c r="L698" s="13"/>
      <c r="M698" s="13"/>
      <c r="N698" s="13"/>
      <c r="O698" s="13"/>
      <c r="P698" s="13"/>
    </row>
    <row r="699">
      <c r="A699" s="13"/>
      <c r="B699" s="13"/>
      <c r="C699" s="13"/>
      <c r="D699" s="13"/>
      <c r="E699" s="13"/>
      <c r="F699" s="13"/>
      <c r="G699" s="13"/>
      <c r="H699" s="72"/>
      <c r="I699" s="13"/>
      <c r="J699" s="13"/>
      <c r="K699" s="13"/>
      <c r="L699" s="13"/>
      <c r="M699" s="13"/>
      <c r="N699" s="13"/>
      <c r="O699" s="13"/>
      <c r="P699" s="13"/>
    </row>
    <row r="700">
      <c r="A700" s="13"/>
      <c r="B700" s="13"/>
      <c r="C700" s="13"/>
      <c r="D700" s="13"/>
      <c r="E700" s="13"/>
      <c r="F700" s="13"/>
      <c r="G700" s="13"/>
      <c r="H700" s="72"/>
      <c r="I700" s="13"/>
      <c r="J700" s="13"/>
      <c r="K700" s="13"/>
      <c r="L700" s="13"/>
      <c r="M700" s="13"/>
      <c r="N700" s="13"/>
      <c r="O700" s="13"/>
      <c r="P700" s="13"/>
    </row>
    <row r="701">
      <c r="A701" s="13"/>
      <c r="B701" s="13"/>
      <c r="C701" s="13"/>
      <c r="D701" s="13"/>
      <c r="E701" s="13"/>
      <c r="F701" s="13"/>
      <c r="G701" s="13"/>
      <c r="H701" s="72"/>
      <c r="I701" s="13"/>
      <c r="J701" s="13"/>
      <c r="K701" s="13"/>
      <c r="L701" s="13"/>
      <c r="M701" s="13"/>
      <c r="N701" s="13"/>
      <c r="O701" s="13"/>
      <c r="P701" s="13"/>
    </row>
    <row r="702">
      <c r="A702" s="13"/>
      <c r="B702" s="13"/>
      <c r="C702" s="13"/>
      <c r="D702" s="13"/>
      <c r="E702" s="13"/>
      <c r="F702" s="13"/>
      <c r="G702" s="13"/>
      <c r="H702" s="72"/>
      <c r="I702" s="13"/>
      <c r="J702" s="13"/>
      <c r="K702" s="13"/>
      <c r="L702" s="13"/>
      <c r="M702" s="13"/>
      <c r="N702" s="13"/>
      <c r="O702" s="13"/>
      <c r="P702" s="13"/>
    </row>
    <row r="703">
      <c r="A703" s="13"/>
      <c r="B703" s="13"/>
      <c r="C703" s="13"/>
      <c r="D703" s="13"/>
      <c r="E703" s="13"/>
      <c r="F703" s="13"/>
      <c r="G703" s="13"/>
      <c r="H703" s="72"/>
      <c r="I703" s="13"/>
      <c r="J703" s="13"/>
      <c r="K703" s="13"/>
      <c r="L703" s="13"/>
      <c r="M703" s="13"/>
      <c r="N703" s="13"/>
      <c r="O703" s="13"/>
      <c r="P703" s="13"/>
    </row>
    <row r="704">
      <c r="A704" s="13"/>
      <c r="B704" s="13"/>
      <c r="C704" s="13"/>
      <c r="D704" s="13"/>
      <c r="E704" s="13"/>
      <c r="F704" s="13"/>
      <c r="G704" s="13"/>
      <c r="H704" s="72"/>
      <c r="I704" s="13"/>
      <c r="J704" s="13"/>
      <c r="K704" s="13"/>
      <c r="L704" s="13"/>
      <c r="M704" s="13"/>
      <c r="N704" s="13"/>
      <c r="O704" s="13"/>
      <c r="P704" s="13"/>
    </row>
    <row r="705">
      <c r="A705" s="13"/>
      <c r="B705" s="13"/>
      <c r="C705" s="13"/>
      <c r="D705" s="13"/>
      <c r="E705" s="13"/>
      <c r="F705" s="13"/>
      <c r="G705" s="13"/>
      <c r="H705" s="72"/>
      <c r="I705" s="13"/>
      <c r="J705" s="13"/>
      <c r="K705" s="13"/>
      <c r="L705" s="13"/>
      <c r="M705" s="13"/>
      <c r="N705" s="13"/>
      <c r="O705" s="13"/>
      <c r="P705" s="13"/>
    </row>
    <row r="706">
      <c r="A706" s="13"/>
      <c r="B706" s="13"/>
      <c r="C706" s="13"/>
      <c r="D706" s="13"/>
      <c r="E706" s="13"/>
      <c r="F706" s="13"/>
      <c r="G706" s="13"/>
      <c r="H706" s="72"/>
      <c r="I706" s="13"/>
      <c r="J706" s="13"/>
      <c r="K706" s="13"/>
      <c r="L706" s="13"/>
      <c r="M706" s="13"/>
      <c r="N706" s="13"/>
      <c r="O706" s="13"/>
      <c r="P706" s="13"/>
    </row>
    <row r="707">
      <c r="A707" s="13"/>
      <c r="B707" s="13"/>
      <c r="C707" s="13"/>
      <c r="D707" s="13"/>
      <c r="E707" s="13"/>
      <c r="F707" s="13"/>
      <c r="G707" s="13"/>
      <c r="H707" s="72"/>
      <c r="I707" s="13"/>
      <c r="J707" s="13"/>
      <c r="K707" s="13"/>
      <c r="L707" s="13"/>
      <c r="M707" s="13"/>
      <c r="N707" s="13"/>
      <c r="O707" s="13"/>
      <c r="P707" s="13"/>
    </row>
    <row r="708">
      <c r="A708" s="13"/>
      <c r="B708" s="13"/>
      <c r="C708" s="13"/>
      <c r="D708" s="13"/>
      <c r="E708" s="13"/>
      <c r="F708" s="13"/>
      <c r="G708" s="13"/>
      <c r="H708" s="72"/>
      <c r="I708" s="13"/>
      <c r="J708" s="13"/>
      <c r="K708" s="13"/>
      <c r="L708" s="13"/>
      <c r="M708" s="13"/>
      <c r="N708" s="13"/>
      <c r="O708" s="13"/>
      <c r="P708" s="13"/>
    </row>
    <row r="709">
      <c r="A709" s="13"/>
      <c r="B709" s="13"/>
      <c r="C709" s="13"/>
      <c r="D709" s="13"/>
      <c r="E709" s="13"/>
      <c r="F709" s="13"/>
      <c r="G709" s="13"/>
      <c r="H709" s="72"/>
      <c r="I709" s="13"/>
      <c r="J709" s="13"/>
      <c r="K709" s="13"/>
      <c r="L709" s="13"/>
      <c r="M709" s="13"/>
      <c r="N709" s="13"/>
      <c r="O709" s="13"/>
      <c r="P709" s="13"/>
    </row>
    <row r="710">
      <c r="A710" s="13"/>
      <c r="B710" s="13"/>
      <c r="C710" s="13"/>
      <c r="D710" s="13"/>
      <c r="E710" s="13"/>
      <c r="F710" s="13"/>
      <c r="G710" s="13"/>
      <c r="H710" s="72"/>
      <c r="I710" s="13"/>
      <c r="J710" s="13"/>
      <c r="K710" s="13"/>
      <c r="L710" s="13"/>
      <c r="M710" s="13"/>
      <c r="N710" s="13"/>
      <c r="O710" s="13"/>
      <c r="P710" s="13"/>
    </row>
    <row r="711">
      <c r="A711" s="13"/>
      <c r="B711" s="13"/>
      <c r="C711" s="13"/>
      <c r="D711" s="13"/>
      <c r="E711" s="13"/>
      <c r="F711" s="13"/>
      <c r="G711" s="13"/>
      <c r="H711" s="72"/>
      <c r="I711" s="13"/>
      <c r="J711" s="13"/>
      <c r="K711" s="13"/>
      <c r="L711" s="13"/>
      <c r="M711" s="13"/>
      <c r="N711" s="13"/>
      <c r="O711" s="13"/>
      <c r="P711" s="13"/>
    </row>
    <row r="712">
      <c r="A712" s="13"/>
      <c r="B712" s="13"/>
      <c r="C712" s="13"/>
      <c r="D712" s="13"/>
      <c r="E712" s="13"/>
      <c r="F712" s="13"/>
      <c r="G712" s="13"/>
      <c r="H712" s="72"/>
      <c r="I712" s="13"/>
      <c r="J712" s="13"/>
      <c r="K712" s="13"/>
      <c r="L712" s="13"/>
      <c r="M712" s="13"/>
      <c r="N712" s="13"/>
      <c r="O712" s="13"/>
      <c r="P712" s="13"/>
    </row>
    <row r="713">
      <c r="A713" s="13"/>
      <c r="B713" s="13"/>
      <c r="C713" s="13"/>
      <c r="D713" s="13"/>
      <c r="E713" s="13"/>
      <c r="F713" s="13"/>
      <c r="G713" s="13"/>
      <c r="H713" s="72"/>
      <c r="I713" s="13"/>
      <c r="J713" s="13"/>
      <c r="K713" s="13"/>
      <c r="L713" s="13"/>
      <c r="M713" s="13"/>
      <c r="N713" s="13"/>
      <c r="O713" s="13"/>
      <c r="P713" s="13"/>
    </row>
    <row r="714">
      <c r="A714" s="13"/>
      <c r="B714" s="13"/>
      <c r="C714" s="13"/>
      <c r="D714" s="13"/>
      <c r="E714" s="13"/>
      <c r="F714" s="13"/>
      <c r="G714" s="13"/>
      <c r="H714" s="72"/>
      <c r="I714" s="13"/>
      <c r="J714" s="13"/>
      <c r="K714" s="13"/>
      <c r="L714" s="13"/>
      <c r="M714" s="13"/>
      <c r="N714" s="13"/>
      <c r="O714" s="13"/>
      <c r="P714" s="13"/>
    </row>
    <row r="715">
      <c r="A715" s="13"/>
      <c r="B715" s="13"/>
      <c r="C715" s="13"/>
      <c r="D715" s="13"/>
      <c r="E715" s="13"/>
      <c r="F715" s="13"/>
      <c r="G715" s="13"/>
      <c r="H715" s="72"/>
      <c r="I715" s="13"/>
      <c r="J715" s="13"/>
      <c r="K715" s="13"/>
      <c r="L715" s="13"/>
      <c r="M715" s="13"/>
      <c r="N715" s="13"/>
      <c r="O715" s="13"/>
      <c r="P715" s="13"/>
    </row>
    <row r="716">
      <c r="A716" s="13"/>
      <c r="B716" s="13"/>
      <c r="C716" s="13"/>
      <c r="D716" s="13"/>
      <c r="E716" s="13"/>
      <c r="F716" s="13"/>
      <c r="G716" s="13"/>
      <c r="H716" s="72"/>
      <c r="I716" s="13"/>
      <c r="J716" s="13"/>
      <c r="K716" s="13"/>
      <c r="L716" s="13"/>
      <c r="M716" s="13"/>
      <c r="N716" s="13"/>
      <c r="O716" s="13"/>
      <c r="P716" s="13"/>
    </row>
    <row r="717">
      <c r="A717" s="13"/>
      <c r="B717" s="13"/>
      <c r="C717" s="13"/>
      <c r="D717" s="13"/>
      <c r="E717" s="13"/>
      <c r="F717" s="13"/>
      <c r="G717" s="13"/>
      <c r="H717" s="72"/>
      <c r="I717" s="13"/>
      <c r="J717" s="13"/>
      <c r="K717" s="13"/>
      <c r="L717" s="13"/>
      <c r="M717" s="13"/>
      <c r="N717" s="13"/>
      <c r="O717" s="13"/>
      <c r="P717" s="13"/>
    </row>
    <row r="718">
      <c r="A718" s="13"/>
      <c r="B718" s="13"/>
      <c r="C718" s="13"/>
      <c r="D718" s="13"/>
      <c r="E718" s="13"/>
      <c r="F718" s="13"/>
      <c r="G718" s="13"/>
      <c r="H718" s="72"/>
      <c r="I718" s="13"/>
      <c r="J718" s="13"/>
      <c r="K718" s="13"/>
      <c r="L718" s="13"/>
      <c r="M718" s="13"/>
      <c r="N718" s="13"/>
      <c r="O718" s="13"/>
      <c r="P718" s="13"/>
    </row>
    <row r="719">
      <c r="A719" s="13"/>
      <c r="B719" s="13"/>
      <c r="C719" s="13"/>
      <c r="D719" s="13"/>
      <c r="E719" s="13"/>
      <c r="F719" s="13"/>
      <c r="G719" s="13"/>
      <c r="H719" s="72"/>
      <c r="I719" s="13"/>
      <c r="J719" s="13"/>
      <c r="K719" s="13"/>
      <c r="L719" s="13"/>
      <c r="M719" s="13"/>
      <c r="N719" s="13"/>
      <c r="O719" s="13"/>
      <c r="P719" s="13"/>
    </row>
    <row r="720">
      <c r="A720" s="13"/>
      <c r="B720" s="13"/>
      <c r="C720" s="13"/>
      <c r="D720" s="13"/>
      <c r="E720" s="13"/>
      <c r="F720" s="13"/>
      <c r="G720" s="13"/>
      <c r="H720" s="72"/>
      <c r="I720" s="13"/>
      <c r="J720" s="13"/>
      <c r="K720" s="13"/>
      <c r="L720" s="13"/>
      <c r="M720" s="13"/>
      <c r="N720" s="13"/>
      <c r="O720" s="13"/>
      <c r="P720" s="13"/>
    </row>
    <row r="721">
      <c r="A721" s="13"/>
      <c r="B721" s="13"/>
      <c r="C721" s="13"/>
      <c r="D721" s="13"/>
      <c r="E721" s="13"/>
      <c r="F721" s="13"/>
      <c r="G721" s="13"/>
      <c r="H721" s="72"/>
      <c r="I721" s="13"/>
      <c r="J721" s="13"/>
      <c r="K721" s="13"/>
      <c r="L721" s="13"/>
      <c r="M721" s="13"/>
      <c r="N721" s="13"/>
      <c r="O721" s="13"/>
      <c r="P721" s="13"/>
    </row>
    <row r="722">
      <c r="A722" s="13"/>
      <c r="B722" s="13"/>
      <c r="C722" s="13"/>
      <c r="D722" s="13"/>
      <c r="E722" s="13"/>
      <c r="F722" s="13"/>
      <c r="G722" s="13"/>
      <c r="H722" s="72"/>
      <c r="I722" s="13"/>
      <c r="J722" s="13"/>
      <c r="K722" s="13"/>
      <c r="L722" s="13"/>
      <c r="M722" s="13"/>
      <c r="N722" s="13"/>
      <c r="O722" s="13"/>
      <c r="P722" s="13"/>
    </row>
    <row r="723">
      <c r="A723" s="13"/>
      <c r="B723" s="13"/>
      <c r="C723" s="13"/>
      <c r="D723" s="13"/>
      <c r="E723" s="13"/>
      <c r="F723" s="13"/>
      <c r="G723" s="13"/>
      <c r="H723" s="72"/>
      <c r="I723" s="13"/>
      <c r="J723" s="13"/>
      <c r="K723" s="13"/>
      <c r="L723" s="13"/>
      <c r="M723" s="13"/>
      <c r="N723" s="13"/>
      <c r="O723" s="13"/>
      <c r="P723" s="13"/>
    </row>
    <row r="724">
      <c r="A724" s="13"/>
      <c r="B724" s="13"/>
      <c r="C724" s="13"/>
      <c r="D724" s="13"/>
      <c r="E724" s="13"/>
      <c r="F724" s="13"/>
      <c r="G724" s="13"/>
      <c r="H724" s="72"/>
      <c r="I724" s="13"/>
      <c r="J724" s="13"/>
      <c r="K724" s="13"/>
      <c r="L724" s="13"/>
      <c r="M724" s="13"/>
      <c r="N724" s="13"/>
      <c r="O724" s="13"/>
      <c r="P724" s="13"/>
    </row>
    <row r="725">
      <c r="A725" s="13"/>
      <c r="B725" s="13"/>
      <c r="C725" s="13"/>
      <c r="D725" s="13"/>
      <c r="E725" s="13"/>
      <c r="F725" s="13"/>
      <c r="G725" s="13"/>
      <c r="H725" s="72"/>
      <c r="I725" s="13"/>
      <c r="J725" s="13"/>
      <c r="K725" s="13"/>
      <c r="L725" s="13"/>
      <c r="M725" s="13"/>
      <c r="N725" s="13"/>
      <c r="O725" s="13"/>
      <c r="P725" s="13"/>
    </row>
    <row r="726">
      <c r="A726" s="13"/>
      <c r="B726" s="13"/>
      <c r="C726" s="13"/>
      <c r="D726" s="13"/>
      <c r="E726" s="13"/>
      <c r="F726" s="13"/>
      <c r="G726" s="13"/>
      <c r="H726" s="72"/>
      <c r="I726" s="13"/>
      <c r="J726" s="13"/>
      <c r="K726" s="13"/>
      <c r="L726" s="13"/>
      <c r="M726" s="13"/>
      <c r="N726" s="13"/>
      <c r="O726" s="13"/>
      <c r="P726" s="13"/>
    </row>
    <row r="727">
      <c r="A727" s="13"/>
      <c r="B727" s="13"/>
      <c r="C727" s="13"/>
      <c r="D727" s="13"/>
      <c r="E727" s="13"/>
      <c r="F727" s="13"/>
      <c r="G727" s="13"/>
      <c r="H727" s="72"/>
      <c r="I727" s="13"/>
      <c r="J727" s="13"/>
      <c r="K727" s="13"/>
      <c r="L727" s="13"/>
      <c r="M727" s="13"/>
      <c r="N727" s="13"/>
      <c r="O727" s="13"/>
      <c r="P727" s="13"/>
    </row>
    <row r="728">
      <c r="A728" s="13"/>
      <c r="B728" s="13"/>
      <c r="C728" s="13"/>
      <c r="D728" s="13"/>
      <c r="E728" s="13"/>
      <c r="F728" s="13"/>
      <c r="G728" s="13"/>
      <c r="H728" s="72"/>
      <c r="I728" s="13"/>
      <c r="J728" s="13"/>
      <c r="K728" s="13"/>
      <c r="L728" s="13"/>
      <c r="M728" s="13"/>
      <c r="N728" s="13"/>
      <c r="O728" s="13"/>
      <c r="P728" s="13"/>
    </row>
    <row r="729">
      <c r="A729" s="13"/>
      <c r="B729" s="13"/>
      <c r="C729" s="13"/>
      <c r="D729" s="13"/>
      <c r="E729" s="13"/>
      <c r="F729" s="13"/>
      <c r="G729" s="13"/>
      <c r="H729" s="72"/>
      <c r="I729" s="13"/>
      <c r="J729" s="13"/>
      <c r="K729" s="13"/>
      <c r="L729" s="13"/>
      <c r="M729" s="13"/>
      <c r="N729" s="13"/>
      <c r="O729" s="13"/>
      <c r="P729" s="13"/>
    </row>
    <row r="730">
      <c r="A730" s="13"/>
      <c r="B730" s="13"/>
      <c r="C730" s="13"/>
      <c r="D730" s="13"/>
      <c r="E730" s="13"/>
      <c r="F730" s="13"/>
      <c r="G730" s="13"/>
      <c r="H730" s="72"/>
      <c r="I730" s="13"/>
      <c r="J730" s="13"/>
      <c r="K730" s="13"/>
      <c r="L730" s="13"/>
      <c r="M730" s="13"/>
      <c r="N730" s="13"/>
      <c r="O730" s="13"/>
      <c r="P730" s="13"/>
    </row>
    <row r="731">
      <c r="A731" s="13"/>
      <c r="B731" s="13"/>
      <c r="C731" s="13"/>
      <c r="D731" s="13"/>
      <c r="E731" s="13"/>
      <c r="F731" s="13"/>
      <c r="G731" s="13"/>
      <c r="H731" s="72"/>
      <c r="I731" s="13"/>
      <c r="J731" s="13"/>
      <c r="K731" s="13"/>
      <c r="L731" s="13"/>
      <c r="M731" s="13"/>
      <c r="N731" s="13"/>
      <c r="O731" s="13"/>
      <c r="P731" s="13"/>
    </row>
    <row r="732">
      <c r="A732" s="13"/>
      <c r="B732" s="13"/>
      <c r="C732" s="13"/>
      <c r="D732" s="13"/>
      <c r="E732" s="13"/>
      <c r="F732" s="13"/>
      <c r="G732" s="13"/>
      <c r="H732" s="72"/>
      <c r="I732" s="13"/>
      <c r="J732" s="13"/>
      <c r="K732" s="13"/>
      <c r="L732" s="13"/>
      <c r="M732" s="13"/>
      <c r="N732" s="13"/>
      <c r="O732" s="13"/>
      <c r="P732" s="13"/>
    </row>
    <row r="733">
      <c r="A733" s="13"/>
      <c r="B733" s="13"/>
      <c r="C733" s="13"/>
      <c r="D733" s="13"/>
      <c r="E733" s="13"/>
      <c r="F733" s="13"/>
      <c r="G733" s="13"/>
      <c r="H733" s="72"/>
      <c r="I733" s="13"/>
      <c r="J733" s="13"/>
      <c r="K733" s="13"/>
      <c r="L733" s="13"/>
      <c r="M733" s="13"/>
      <c r="N733" s="13"/>
      <c r="O733" s="13"/>
      <c r="P733" s="13"/>
    </row>
    <row r="734">
      <c r="A734" s="13"/>
      <c r="B734" s="13"/>
      <c r="C734" s="13"/>
      <c r="D734" s="13"/>
      <c r="E734" s="13"/>
      <c r="F734" s="13"/>
      <c r="G734" s="13"/>
      <c r="H734" s="72"/>
      <c r="I734" s="13"/>
      <c r="J734" s="13"/>
      <c r="K734" s="13"/>
      <c r="L734" s="13"/>
      <c r="M734" s="13"/>
      <c r="N734" s="13"/>
      <c r="O734" s="13"/>
      <c r="P734" s="13"/>
    </row>
    <row r="735">
      <c r="A735" s="13"/>
      <c r="B735" s="13"/>
      <c r="C735" s="13"/>
      <c r="D735" s="13"/>
      <c r="E735" s="13"/>
      <c r="F735" s="13"/>
      <c r="G735" s="13"/>
      <c r="H735" s="72"/>
      <c r="I735" s="13"/>
      <c r="J735" s="13"/>
      <c r="K735" s="13"/>
      <c r="L735" s="13"/>
      <c r="M735" s="13"/>
      <c r="N735" s="13"/>
      <c r="O735" s="13"/>
      <c r="P735" s="13"/>
    </row>
    <row r="736">
      <c r="A736" s="13"/>
      <c r="B736" s="13"/>
      <c r="C736" s="13"/>
      <c r="D736" s="13"/>
      <c r="E736" s="13"/>
      <c r="F736" s="13"/>
      <c r="G736" s="13"/>
      <c r="H736" s="72"/>
      <c r="I736" s="13"/>
      <c r="J736" s="13"/>
      <c r="K736" s="13"/>
      <c r="L736" s="13"/>
      <c r="M736" s="13"/>
      <c r="N736" s="13"/>
      <c r="O736" s="13"/>
      <c r="P736" s="13"/>
    </row>
    <row r="737">
      <c r="A737" s="13"/>
      <c r="B737" s="13"/>
      <c r="C737" s="13"/>
      <c r="D737" s="13"/>
      <c r="E737" s="13"/>
      <c r="F737" s="13"/>
      <c r="G737" s="13"/>
      <c r="H737" s="72"/>
      <c r="I737" s="13"/>
      <c r="J737" s="13"/>
      <c r="K737" s="13"/>
      <c r="L737" s="13"/>
      <c r="M737" s="13"/>
      <c r="N737" s="13"/>
      <c r="O737" s="13"/>
      <c r="P737" s="13"/>
    </row>
    <row r="738">
      <c r="A738" s="13"/>
      <c r="B738" s="13"/>
      <c r="C738" s="13"/>
      <c r="D738" s="13"/>
      <c r="E738" s="13"/>
      <c r="F738" s="13"/>
      <c r="G738" s="13"/>
      <c r="H738" s="72"/>
      <c r="I738" s="13"/>
      <c r="J738" s="13"/>
      <c r="K738" s="13"/>
      <c r="L738" s="13"/>
      <c r="M738" s="13"/>
      <c r="N738" s="13"/>
      <c r="O738" s="13"/>
      <c r="P738" s="13"/>
    </row>
    <row r="739">
      <c r="A739" s="13"/>
      <c r="B739" s="13"/>
      <c r="C739" s="13"/>
      <c r="D739" s="13"/>
      <c r="E739" s="13"/>
      <c r="F739" s="13"/>
      <c r="G739" s="13"/>
      <c r="H739" s="72"/>
      <c r="I739" s="13"/>
      <c r="J739" s="13"/>
      <c r="K739" s="13"/>
      <c r="L739" s="13"/>
      <c r="M739" s="13"/>
      <c r="N739" s="13"/>
      <c r="O739" s="13"/>
      <c r="P739" s="13"/>
    </row>
    <row r="740">
      <c r="A740" s="13"/>
      <c r="B740" s="13"/>
      <c r="C740" s="13"/>
      <c r="D740" s="13"/>
      <c r="E740" s="13"/>
      <c r="F740" s="13"/>
      <c r="G740" s="13"/>
      <c r="H740" s="72"/>
      <c r="I740" s="13"/>
      <c r="J740" s="13"/>
      <c r="K740" s="13"/>
      <c r="L740" s="13"/>
      <c r="M740" s="13"/>
      <c r="N740" s="13"/>
      <c r="O740" s="13"/>
      <c r="P740" s="13"/>
    </row>
    <row r="741">
      <c r="A741" s="13"/>
      <c r="B741" s="13"/>
      <c r="C741" s="13"/>
      <c r="D741" s="13"/>
      <c r="E741" s="13"/>
      <c r="F741" s="13"/>
      <c r="G741" s="13"/>
      <c r="H741" s="72"/>
      <c r="I741" s="13"/>
      <c r="J741" s="13"/>
      <c r="K741" s="13"/>
      <c r="L741" s="13"/>
      <c r="M741" s="13"/>
      <c r="N741" s="13"/>
      <c r="O741" s="13"/>
      <c r="P741" s="13"/>
    </row>
    <row r="742">
      <c r="A742" s="13"/>
      <c r="B742" s="13"/>
      <c r="C742" s="13"/>
      <c r="D742" s="13"/>
      <c r="E742" s="13"/>
      <c r="F742" s="13"/>
      <c r="G742" s="13"/>
      <c r="H742" s="72"/>
      <c r="I742" s="13"/>
      <c r="J742" s="13"/>
      <c r="K742" s="13"/>
      <c r="L742" s="13"/>
      <c r="M742" s="13"/>
      <c r="N742" s="13"/>
      <c r="O742" s="13"/>
      <c r="P742" s="13"/>
    </row>
    <row r="743">
      <c r="A743" s="13"/>
      <c r="B743" s="13"/>
      <c r="C743" s="13"/>
      <c r="D743" s="13"/>
      <c r="E743" s="13"/>
      <c r="F743" s="13"/>
      <c r="G743" s="13"/>
      <c r="H743" s="72"/>
      <c r="I743" s="13"/>
      <c r="J743" s="13"/>
      <c r="K743" s="13"/>
      <c r="L743" s="13"/>
      <c r="M743" s="13"/>
      <c r="N743" s="13"/>
      <c r="O743" s="13"/>
      <c r="P743" s="13"/>
    </row>
    <row r="744">
      <c r="A744" s="13"/>
      <c r="B744" s="13"/>
      <c r="C744" s="13"/>
      <c r="D744" s="13"/>
      <c r="E744" s="13"/>
      <c r="F744" s="13"/>
      <c r="G744" s="13"/>
      <c r="H744" s="72"/>
      <c r="I744" s="13"/>
      <c r="J744" s="13"/>
      <c r="K744" s="13"/>
      <c r="L744" s="13"/>
      <c r="M744" s="13"/>
      <c r="N744" s="13"/>
      <c r="O744" s="13"/>
      <c r="P744" s="13"/>
    </row>
    <row r="745">
      <c r="A745" s="13"/>
      <c r="B745" s="13"/>
      <c r="C745" s="13"/>
      <c r="D745" s="13"/>
      <c r="E745" s="13"/>
      <c r="F745" s="13"/>
      <c r="G745" s="13"/>
      <c r="H745" s="72"/>
      <c r="I745" s="13"/>
      <c r="J745" s="13"/>
      <c r="K745" s="13"/>
      <c r="L745" s="13"/>
      <c r="M745" s="13"/>
      <c r="N745" s="13"/>
      <c r="O745" s="13"/>
      <c r="P745" s="13"/>
    </row>
    <row r="746">
      <c r="A746" s="13"/>
      <c r="B746" s="13"/>
      <c r="C746" s="13"/>
      <c r="D746" s="13"/>
      <c r="E746" s="13"/>
      <c r="F746" s="13"/>
      <c r="G746" s="13"/>
      <c r="H746" s="72"/>
      <c r="I746" s="13"/>
      <c r="J746" s="13"/>
      <c r="K746" s="13"/>
      <c r="L746" s="13"/>
      <c r="M746" s="13"/>
      <c r="N746" s="13"/>
      <c r="O746" s="13"/>
      <c r="P746" s="13"/>
    </row>
    <row r="747">
      <c r="A747" s="13"/>
      <c r="B747" s="13"/>
      <c r="C747" s="13"/>
      <c r="D747" s="13"/>
      <c r="E747" s="13"/>
      <c r="F747" s="13"/>
      <c r="G747" s="13"/>
      <c r="H747" s="72"/>
      <c r="I747" s="13"/>
      <c r="J747" s="13"/>
      <c r="K747" s="13"/>
      <c r="L747" s="13"/>
      <c r="M747" s="13"/>
      <c r="N747" s="13"/>
      <c r="O747" s="13"/>
      <c r="P747" s="13"/>
    </row>
    <row r="748">
      <c r="A748" s="13"/>
      <c r="B748" s="13"/>
      <c r="C748" s="13"/>
      <c r="D748" s="13"/>
      <c r="E748" s="13"/>
      <c r="F748" s="13"/>
      <c r="G748" s="13"/>
      <c r="H748" s="72"/>
      <c r="I748" s="13"/>
      <c r="J748" s="13"/>
      <c r="K748" s="13"/>
      <c r="L748" s="13"/>
      <c r="M748" s="13"/>
      <c r="N748" s="13"/>
      <c r="O748" s="13"/>
      <c r="P748" s="13"/>
    </row>
    <row r="749">
      <c r="A749" s="13"/>
      <c r="B749" s="13"/>
      <c r="C749" s="13"/>
      <c r="D749" s="13"/>
      <c r="E749" s="13"/>
      <c r="F749" s="13"/>
      <c r="G749" s="13"/>
      <c r="H749" s="72"/>
      <c r="I749" s="13"/>
      <c r="J749" s="13"/>
      <c r="K749" s="13"/>
      <c r="L749" s="13"/>
      <c r="M749" s="13"/>
      <c r="N749" s="13"/>
      <c r="O749" s="13"/>
      <c r="P749" s="13"/>
    </row>
    <row r="750">
      <c r="A750" s="13"/>
      <c r="B750" s="13"/>
      <c r="C750" s="13"/>
      <c r="D750" s="13"/>
      <c r="E750" s="13"/>
      <c r="F750" s="13"/>
      <c r="G750" s="13"/>
      <c r="H750" s="72"/>
      <c r="I750" s="13"/>
      <c r="J750" s="13"/>
      <c r="K750" s="13"/>
      <c r="L750" s="13"/>
      <c r="M750" s="13"/>
      <c r="N750" s="13"/>
      <c r="O750" s="13"/>
      <c r="P750" s="13"/>
    </row>
    <row r="751">
      <c r="A751" s="13"/>
      <c r="B751" s="13"/>
      <c r="C751" s="13"/>
      <c r="D751" s="13"/>
      <c r="E751" s="13"/>
      <c r="F751" s="13"/>
      <c r="G751" s="13"/>
      <c r="H751" s="72"/>
      <c r="I751" s="13"/>
      <c r="J751" s="13"/>
      <c r="K751" s="13"/>
      <c r="L751" s="13"/>
      <c r="M751" s="13"/>
      <c r="N751" s="13"/>
      <c r="O751" s="13"/>
      <c r="P751" s="13"/>
    </row>
    <row r="752">
      <c r="A752" s="13"/>
      <c r="B752" s="13"/>
      <c r="C752" s="13"/>
      <c r="D752" s="13"/>
      <c r="E752" s="13"/>
      <c r="F752" s="13"/>
      <c r="G752" s="13"/>
      <c r="H752" s="72"/>
      <c r="I752" s="13"/>
      <c r="J752" s="13"/>
      <c r="K752" s="13"/>
      <c r="L752" s="13"/>
      <c r="M752" s="13"/>
      <c r="N752" s="13"/>
      <c r="O752" s="13"/>
      <c r="P752" s="13"/>
    </row>
    <row r="753">
      <c r="A753" s="13"/>
      <c r="B753" s="13"/>
      <c r="C753" s="13"/>
      <c r="D753" s="13"/>
      <c r="E753" s="13"/>
      <c r="F753" s="13"/>
      <c r="G753" s="13"/>
      <c r="H753" s="72"/>
      <c r="I753" s="13"/>
      <c r="J753" s="13"/>
      <c r="K753" s="13"/>
      <c r="L753" s="13"/>
      <c r="M753" s="13"/>
      <c r="N753" s="13"/>
      <c r="O753" s="13"/>
      <c r="P753" s="13"/>
    </row>
    <row r="754">
      <c r="A754" s="13"/>
      <c r="B754" s="13"/>
      <c r="C754" s="13"/>
      <c r="D754" s="13"/>
      <c r="E754" s="13"/>
      <c r="F754" s="13"/>
      <c r="G754" s="13"/>
      <c r="H754" s="72"/>
      <c r="I754" s="13"/>
      <c r="J754" s="13"/>
      <c r="K754" s="13"/>
      <c r="L754" s="13"/>
      <c r="M754" s="13"/>
      <c r="N754" s="13"/>
      <c r="O754" s="13"/>
      <c r="P754" s="13"/>
    </row>
    <row r="755">
      <c r="A755" s="13"/>
      <c r="B755" s="13"/>
      <c r="C755" s="13"/>
      <c r="D755" s="13"/>
      <c r="E755" s="13"/>
      <c r="F755" s="13"/>
      <c r="G755" s="13"/>
      <c r="H755" s="72"/>
      <c r="I755" s="13"/>
      <c r="J755" s="13"/>
      <c r="K755" s="13"/>
      <c r="L755" s="13"/>
      <c r="M755" s="13"/>
      <c r="N755" s="13"/>
      <c r="O755" s="13"/>
      <c r="P755" s="13"/>
    </row>
    <row r="756">
      <c r="A756" s="13"/>
      <c r="B756" s="13"/>
      <c r="C756" s="13"/>
      <c r="D756" s="13"/>
      <c r="E756" s="13"/>
      <c r="F756" s="13"/>
      <c r="G756" s="13"/>
      <c r="H756" s="72"/>
      <c r="I756" s="13"/>
      <c r="J756" s="13"/>
      <c r="K756" s="13"/>
      <c r="L756" s="13"/>
      <c r="M756" s="13"/>
      <c r="N756" s="13"/>
      <c r="O756" s="13"/>
      <c r="P756" s="13"/>
    </row>
    <row r="757">
      <c r="A757" s="13"/>
      <c r="B757" s="13"/>
      <c r="C757" s="13"/>
      <c r="D757" s="13"/>
      <c r="E757" s="13"/>
      <c r="F757" s="13"/>
      <c r="G757" s="13"/>
      <c r="H757" s="72"/>
      <c r="I757" s="13"/>
      <c r="J757" s="13"/>
      <c r="K757" s="13"/>
      <c r="L757" s="13"/>
      <c r="M757" s="13"/>
      <c r="N757" s="13"/>
      <c r="O757" s="13"/>
      <c r="P757" s="13"/>
    </row>
    <row r="758">
      <c r="A758" s="13"/>
      <c r="B758" s="13"/>
      <c r="C758" s="13"/>
      <c r="D758" s="13"/>
      <c r="E758" s="13"/>
      <c r="F758" s="13"/>
      <c r="G758" s="13"/>
      <c r="H758" s="72"/>
      <c r="I758" s="13"/>
      <c r="J758" s="13"/>
      <c r="K758" s="13"/>
      <c r="L758" s="13"/>
      <c r="M758" s="13"/>
      <c r="N758" s="13"/>
      <c r="O758" s="13"/>
      <c r="P758" s="13"/>
    </row>
    <row r="759">
      <c r="A759" s="13"/>
      <c r="B759" s="13"/>
      <c r="C759" s="13"/>
      <c r="D759" s="13"/>
      <c r="E759" s="13"/>
      <c r="F759" s="13"/>
      <c r="G759" s="13"/>
      <c r="H759" s="72"/>
      <c r="I759" s="13"/>
      <c r="J759" s="13"/>
      <c r="K759" s="13"/>
      <c r="L759" s="13"/>
      <c r="M759" s="13"/>
      <c r="N759" s="13"/>
      <c r="O759" s="13"/>
      <c r="P759" s="13"/>
    </row>
    <row r="760">
      <c r="A760" s="13"/>
      <c r="B760" s="13"/>
      <c r="C760" s="13"/>
      <c r="D760" s="13"/>
      <c r="E760" s="13"/>
      <c r="F760" s="13"/>
      <c r="G760" s="13"/>
      <c r="H760" s="72"/>
      <c r="I760" s="13"/>
      <c r="J760" s="13"/>
      <c r="K760" s="13"/>
      <c r="L760" s="13"/>
      <c r="M760" s="13"/>
      <c r="N760" s="13"/>
      <c r="O760" s="13"/>
      <c r="P760" s="13"/>
    </row>
    <row r="761">
      <c r="A761" s="13"/>
      <c r="B761" s="13"/>
      <c r="C761" s="13"/>
      <c r="D761" s="13"/>
      <c r="E761" s="13"/>
      <c r="F761" s="13"/>
      <c r="G761" s="13"/>
      <c r="H761" s="72"/>
      <c r="I761" s="13"/>
      <c r="J761" s="13"/>
      <c r="K761" s="13"/>
      <c r="L761" s="13"/>
      <c r="M761" s="13"/>
      <c r="N761" s="13"/>
      <c r="O761" s="13"/>
      <c r="P761" s="13"/>
    </row>
    <row r="762">
      <c r="A762" s="13"/>
      <c r="B762" s="13"/>
      <c r="C762" s="13"/>
      <c r="D762" s="13"/>
      <c r="E762" s="13"/>
      <c r="F762" s="13"/>
      <c r="G762" s="13"/>
      <c r="H762" s="72"/>
      <c r="I762" s="13"/>
      <c r="J762" s="13"/>
      <c r="K762" s="13"/>
      <c r="L762" s="13"/>
      <c r="M762" s="13"/>
      <c r="N762" s="13"/>
      <c r="O762" s="13"/>
      <c r="P762" s="13"/>
    </row>
    <row r="763">
      <c r="A763" s="13"/>
      <c r="B763" s="13"/>
      <c r="C763" s="13"/>
      <c r="D763" s="13"/>
      <c r="E763" s="13"/>
      <c r="F763" s="13"/>
      <c r="G763" s="13"/>
      <c r="H763" s="72"/>
      <c r="I763" s="13"/>
      <c r="J763" s="13"/>
      <c r="K763" s="13"/>
      <c r="L763" s="13"/>
      <c r="M763" s="13"/>
      <c r="N763" s="13"/>
      <c r="O763" s="13"/>
      <c r="P763" s="13"/>
    </row>
    <row r="764">
      <c r="A764" s="13"/>
      <c r="B764" s="13"/>
      <c r="C764" s="13"/>
      <c r="D764" s="13"/>
      <c r="E764" s="13"/>
      <c r="F764" s="13"/>
      <c r="G764" s="13"/>
      <c r="H764" s="72"/>
      <c r="I764" s="13"/>
      <c r="J764" s="13"/>
      <c r="K764" s="13"/>
      <c r="L764" s="13"/>
      <c r="M764" s="13"/>
      <c r="N764" s="13"/>
      <c r="O764" s="13"/>
      <c r="P764" s="13"/>
    </row>
    <row r="765">
      <c r="A765" s="13"/>
      <c r="B765" s="13"/>
      <c r="C765" s="13"/>
      <c r="D765" s="13"/>
      <c r="E765" s="13"/>
      <c r="F765" s="13"/>
      <c r="G765" s="13"/>
      <c r="H765" s="72"/>
      <c r="I765" s="13"/>
      <c r="J765" s="13"/>
      <c r="K765" s="13"/>
      <c r="L765" s="13"/>
      <c r="M765" s="13"/>
      <c r="N765" s="13"/>
      <c r="O765" s="13"/>
      <c r="P765" s="13"/>
    </row>
    <row r="766">
      <c r="A766" s="13"/>
      <c r="B766" s="13"/>
      <c r="C766" s="13"/>
      <c r="D766" s="13"/>
      <c r="E766" s="13"/>
      <c r="F766" s="13"/>
      <c r="G766" s="13"/>
      <c r="H766" s="72"/>
      <c r="I766" s="13"/>
      <c r="J766" s="13"/>
      <c r="K766" s="13"/>
      <c r="L766" s="13"/>
      <c r="M766" s="13"/>
      <c r="N766" s="13"/>
      <c r="O766" s="13"/>
      <c r="P766" s="13"/>
    </row>
    <row r="767">
      <c r="A767" s="13"/>
      <c r="B767" s="13"/>
      <c r="C767" s="13"/>
      <c r="D767" s="13"/>
      <c r="E767" s="13"/>
      <c r="F767" s="13"/>
      <c r="G767" s="13"/>
      <c r="H767" s="72"/>
      <c r="I767" s="13"/>
      <c r="J767" s="13"/>
      <c r="K767" s="13"/>
      <c r="L767" s="13"/>
      <c r="M767" s="13"/>
      <c r="N767" s="13"/>
      <c r="O767" s="13"/>
      <c r="P767" s="13"/>
    </row>
    <row r="768">
      <c r="A768" s="13"/>
      <c r="B768" s="13"/>
      <c r="C768" s="13"/>
      <c r="D768" s="13"/>
      <c r="E768" s="13"/>
      <c r="F768" s="13"/>
      <c r="G768" s="13"/>
      <c r="H768" s="72"/>
      <c r="I768" s="13"/>
      <c r="J768" s="13"/>
      <c r="K768" s="13"/>
      <c r="L768" s="13"/>
      <c r="M768" s="13"/>
      <c r="N768" s="13"/>
      <c r="O768" s="13"/>
      <c r="P768" s="13"/>
    </row>
    <row r="769">
      <c r="A769" s="13"/>
      <c r="B769" s="13"/>
      <c r="C769" s="13"/>
      <c r="D769" s="13"/>
      <c r="E769" s="13"/>
      <c r="F769" s="13"/>
      <c r="G769" s="13"/>
      <c r="H769" s="72"/>
      <c r="I769" s="13"/>
      <c r="J769" s="13"/>
      <c r="K769" s="13"/>
      <c r="L769" s="13"/>
      <c r="M769" s="13"/>
      <c r="N769" s="13"/>
      <c r="O769" s="13"/>
      <c r="P769" s="13"/>
    </row>
    <row r="770">
      <c r="A770" s="13"/>
      <c r="B770" s="13"/>
      <c r="C770" s="13"/>
      <c r="D770" s="13"/>
      <c r="E770" s="13"/>
      <c r="F770" s="13"/>
      <c r="G770" s="13"/>
      <c r="H770" s="72"/>
      <c r="I770" s="13"/>
      <c r="J770" s="13"/>
      <c r="K770" s="13"/>
      <c r="L770" s="13"/>
      <c r="M770" s="13"/>
      <c r="N770" s="13"/>
      <c r="O770" s="13"/>
      <c r="P770" s="13"/>
    </row>
    <row r="771">
      <c r="A771" s="13"/>
      <c r="B771" s="13"/>
      <c r="C771" s="13"/>
      <c r="D771" s="13"/>
      <c r="E771" s="13"/>
      <c r="F771" s="13"/>
      <c r="G771" s="13"/>
      <c r="H771" s="72"/>
      <c r="I771" s="13"/>
      <c r="J771" s="13"/>
      <c r="K771" s="13"/>
      <c r="L771" s="13"/>
      <c r="M771" s="13"/>
      <c r="N771" s="13"/>
      <c r="O771" s="13"/>
      <c r="P771" s="13"/>
    </row>
    <row r="772">
      <c r="A772" s="13"/>
      <c r="B772" s="13"/>
      <c r="C772" s="13"/>
      <c r="D772" s="13"/>
      <c r="E772" s="13"/>
      <c r="F772" s="13"/>
      <c r="G772" s="13"/>
      <c r="H772" s="72"/>
      <c r="I772" s="13"/>
      <c r="J772" s="13"/>
      <c r="K772" s="13"/>
      <c r="L772" s="13"/>
      <c r="M772" s="13"/>
      <c r="N772" s="13"/>
      <c r="O772" s="13"/>
      <c r="P772" s="13"/>
    </row>
    <row r="773">
      <c r="A773" s="13"/>
      <c r="B773" s="13"/>
      <c r="C773" s="13"/>
      <c r="D773" s="13"/>
      <c r="E773" s="13"/>
      <c r="F773" s="13"/>
      <c r="G773" s="13"/>
      <c r="H773" s="72"/>
      <c r="I773" s="13"/>
      <c r="J773" s="13"/>
      <c r="K773" s="13"/>
      <c r="L773" s="13"/>
      <c r="M773" s="13"/>
      <c r="N773" s="13"/>
      <c r="O773" s="13"/>
      <c r="P773" s="13"/>
    </row>
    <row r="774">
      <c r="A774" s="13"/>
      <c r="B774" s="13"/>
      <c r="C774" s="13"/>
      <c r="D774" s="13"/>
      <c r="E774" s="13"/>
      <c r="F774" s="13"/>
      <c r="G774" s="13"/>
      <c r="H774" s="72"/>
      <c r="I774" s="13"/>
      <c r="J774" s="13"/>
      <c r="K774" s="13"/>
      <c r="L774" s="13"/>
      <c r="M774" s="13"/>
      <c r="N774" s="13"/>
      <c r="O774" s="13"/>
      <c r="P774" s="13"/>
    </row>
    <row r="775">
      <c r="A775" s="13"/>
      <c r="B775" s="13"/>
      <c r="C775" s="13"/>
      <c r="D775" s="13"/>
      <c r="E775" s="13"/>
      <c r="F775" s="13"/>
      <c r="G775" s="13"/>
      <c r="H775" s="72"/>
      <c r="I775" s="13"/>
      <c r="J775" s="13"/>
      <c r="K775" s="13"/>
      <c r="L775" s="13"/>
      <c r="M775" s="13"/>
      <c r="N775" s="13"/>
      <c r="O775" s="13"/>
      <c r="P775" s="13"/>
    </row>
    <row r="776">
      <c r="A776" s="13"/>
      <c r="B776" s="13"/>
      <c r="C776" s="13"/>
      <c r="D776" s="13"/>
      <c r="E776" s="13"/>
      <c r="F776" s="13"/>
      <c r="G776" s="13"/>
      <c r="H776" s="72"/>
      <c r="I776" s="13"/>
      <c r="J776" s="13"/>
      <c r="K776" s="13"/>
      <c r="L776" s="13"/>
      <c r="M776" s="13"/>
      <c r="N776" s="13"/>
      <c r="O776" s="13"/>
      <c r="P776" s="13"/>
    </row>
    <row r="777">
      <c r="A777" s="13"/>
      <c r="B777" s="13"/>
      <c r="C777" s="13"/>
      <c r="D777" s="13"/>
      <c r="E777" s="13"/>
      <c r="F777" s="13"/>
      <c r="G777" s="13"/>
      <c r="H777" s="72"/>
      <c r="I777" s="13"/>
      <c r="J777" s="13"/>
      <c r="K777" s="13"/>
      <c r="L777" s="13"/>
      <c r="M777" s="13"/>
      <c r="N777" s="13"/>
      <c r="O777" s="13"/>
      <c r="P777" s="13"/>
    </row>
    <row r="778">
      <c r="A778" s="13"/>
      <c r="B778" s="13"/>
      <c r="C778" s="13"/>
      <c r="D778" s="13"/>
      <c r="E778" s="13"/>
      <c r="F778" s="13"/>
      <c r="G778" s="13"/>
      <c r="H778" s="72"/>
      <c r="I778" s="13"/>
      <c r="J778" s="13"/>
      <c r="K778" s="13"/>
      <c r="L778" s="13"/>
      <c r="M778" s="13"/>
      <c r="N778" s="13"/>
      <c r="O778" s="13"/>
      <c r="P778" s="13"/>
    </row>
    <row r="779">
      <c r="A779" s="13"/>
      <c r="B779" s="13"/>
      <c r="C779" s="13"/>
      <c r="D779" s="13"/>
      <c r="E779" s="13"/>
      <c r="F779" s="13"/>
      <c r="G779" s="13"/>
      <c r="H779" s="72"/>
      <c r="I779" s="13"/>
      <c r="J779" s="13"/>
      <c r="K779" s="13"/>
      <c r="L779" s="13"/>
      <c r="M779" s="13"/>
      <c r="N779" s="13"/>
      <c r="O779" s="13"/>
      <c r="P779" s="13"/>
    </row>
    <row r="780">
      <c r="A780" s="13"/>
      <c r="B780" s="13"/>
      <c r="C780" s="13"/>
      <c r="D780" s="13"/>
      <c r="E780" s="13"/>
      <c r="F780" s="13"/>
      <c r="G780" s="13"/>
      <c r="H780" s="72"/>
      <c r="I780" s="13"/>
      <c r="J780" s="13"/>
      <c r="K780" s="13"/>
      <c r="L780" s="13"/>
      <c r="M780" s="13"/>
      <c r="N780" s="13"/>
      <c r="O780" s="13"/>
      <c r="P780" s="13"/>
    </row>
    <row r="781">
      <c r="A781" s="13"/>
      <c r="B781" s="13"/>
      <c r="C781" s="13"/>
      <c r="D781" s="13"/>
      <c r="E781" s="13"/>
      <c r="F781" s="13"/>
      <c r="G781" s="13"/>
      <c r="H781" s="72"/>
      <c r="I781" s="13"/>
      <c r="J781" s="13"/>
      <c r="K781" s="13"/>
      <c r="L781" s="13"/>
      <c r="M781" s="13"/>
      <c r="N781" s="13"/>
      <c r="O781" s="13"/>
      <c r="P781" s="13"/>
    </row>
    <row r="782">
      <c r="A782" s="13"/>
      <c r="B782" s="13"/>
      <c r="C782" s="13"/>
      <c r="D782" s="13"/>
      <c r="E782" s="13"/>
      <c r="F782" s="13"/>
      <c r="G782" s="13"/>
      <c r="H782" s="72"/>
      <c r="I782" s="13"/>
      <c r="J782" s="13"/>
      <c r="K782" s="13"/>
      <c r="L782" s="13"/>
      <c r="M782" s="13"/>
      <c r="N782" s="13"/>
      <c r="O782" s="13"/>
      <c r="P782" s="13"/>
    </row>
    <row r="783">
      <c r="A783" s="13"/>
      <c r="B783" s="13"/>
      <c r="C783" s="13"/>
      <c r="D783" s="13"/>
      <c r="E783" s="13"/>
      <c r="F783" s="13"/>
      <c r="G783" s="13"/>
      <c r="H783" s="72"/>
      <c r="I783" s="13"/>
      <c r="J783" s="13"/>
      <c r="K783" s="13"/>
      <c r="L783" s="13"/>
      <c r="M783" s="13"/>
      <c r="N783" s="13"/>
      <c r="O783" s="13"/>
      <c r="P783" s="13"/>
    </row>
    <row r="784">
      <c r="A784" s="13"/>
      <c r="B784" s="13"/>
      <c r="C784" s="13"/>
      <c r="D784" s="13"/>
      <c r="E784" s="13"/>
      <c r="F784" s="13"/>
      <c r="G784" s="13"/>
      <c r="H784" s="72"/>
      <c r="I784" s="13"/>
      <c r="J784" s="13"/>
      <c r="K784" s="13"/>
      <c r="L784" s="13"/>
      <c r="M784" s="13"/>
      <c r="N784" s="13"/>
      <c r="O784" s="13"/>
      <c r="P784" s="13"/>
    </row>
    <row r="785">
      <c r="A785" s="13"/>
      <c r="B785" s="13"/>
      <c r="C785" s="13"/>
      <c r="D785" s="13"/>
      <c r="E785" s="13"/>
      <c r="F785" s="13"/>
      <c r="G785" s="13"/>
      <c r="H785" s="72"/>
      <c r="I785" s="13"/>
      <c r="J785" s="13"/>
      <c r="K785" s="13"/>
      <c r="L785" s="13"/>
      <c r="M785" s="13"/>
      <c r="N785" s="13"/>
      <c r="O785" s="13"/>
      <c r="P785" s="13"/>
    </row>
    <row r="786">
      <c r="A786" s="13"/>
      <c r="B786" s="13"/>
      <c r="C786" s="13"/>
      <c r="D786" s="13"/>
      <c r="E786" s="13"/>
      <c r="F786" s="13"/>
      <c r="G786" s="13"/>
      <c r="H786" s="72"/>
      <c r="I786" s="13"/>
      <c r="J786" s="13"/>
      <c r="K786" s="13"/>
      <c r="L786" s="13"/>
      <c r="M786" s="13"/>
      <c r="N786" s="13"/>
      <c r="O786" s="13"/>
      <c r="P786" s="13"/>
    </row>
    <row r="787">
      <c r="A787" s="13"/>
      <c r="B787" s="13"/>
      <c r="C787" s="13"/>
      <c r="D787" s="13"/>
      <c r="E787" s="13"/>
      <c r="F787" s="13"/>
      <c r="G787" s="13"/>
      <c r="H787" s="72"/>
      <c r="I787" s="13"/>
      <c r="J787" s="13"/>
      <c r="K787" s="13"/>
      <c r="L787" s="13"/>
      <c r="M787" s="13"/>
      <c r="N787" s="13"/>
      <c r="O787" s="13"/>
      <c r="P787" s="13"/>
    </row>
    <row r="788">
      <c r="A788" s="13"/>
      <c r="B788" s="13"/>
      <c r="C788" s="13"/>
      <c r="D788" s="13"/>
      <c r="E788" s="13"/>
      <c r="F788" s="13"/>
      <c r="G788" s="13"/>
      <c r="H788" s="72"/>
      <c r="I788" s="13"/>
      <c r="J788" s="13"/>
      <c r="K788" s="13"/>
      <c r="L788" s="13"/>
      <c r="M788" s="13"/>
      <c r="N788" s="13"/>
      <c r="O788" s="13"/>
      <c r="P788" s="13"/>
    </row>
    <row r="789">
      <c r="A789" s="13"/>
      <c r="B789" s="13"/>
      <c r="C789" s="13"/>
      <c r="D789" s="13"/>
      <c r="E789" s="13"/>
      <c r="F789" s="13"/>
      <c r="G789" s="13"/>
      <c r="H789" s="72"/>
      <c r="I789" s="13"/>
      <c r="J789" s="13"/>
      <c r="K789" s="13"/>
      <c r="L789" s="13"/>
      <c r="M789" s="13"/>
      <c r="N789" s="13"/>
      <c r="O789" s="13"/>
      <c r="P789" s="13"/>
    </row>
    <row r="790">
      <c r="A790" s="13"/>
      <c r="B790" s="13"/>
      <c r="C790" s="13"/>
      <c r="D790" s="13"/>
      <c r="E790" s="13"/>
      <c r="F790" s="13"/>
      <c r="G790" s="13"/>
      <c r="H790" s="72"/>
      <c r="I790" s="13"/>
      <c r="J790" s="13"/>
      <c r="K790" s="13"/>
      <c r="L790" s="13"/>
      <c r="M790" s="13"/>
      <c r="N790" s="13"/>
      <c r="O790" s="13"/>
      <c r="P790" s="13"/>
    </row>
    <row r="791">
      <c r="A791" s="13"/>
      <c r="B791" s="13"/>
      <c r="C791" s="13"/>
      <c r="D791" s="13"/>
      <c r="E791" s="13"/>
      <c r="F791" s="13"/>
      <c r="G791" s="13"/>
      <c r="H791" s="72"/>
      <c r="I791" s="13"/>
      <c r="J791" s="13"/>
      <c r="K791" s="13"/>
      <c r="L791" s="13"/>
      <c r="M791" s="13"/>
      <c r="N791" s="13"/>
      <c r="O791" s="13"/>
      <c r="P791" s="13"/>
    </row>
    <row r="792">
      <c r="A792" s="13"/>
      <c r="B792" s="13"/>
      <c r="C792" s="13"/>
      <c r="D792" s="13"/>
      <c r="E792" s="13"/>
      <c r="F792" s="13"/>
      <c r="G792" s="13"/>
      <c r="H792" s="72"/>
      <c r="I792" s="13"/>
      <c r="J792" s="13"/>
      <c r="K792" s="13"/>
      <c r="L792" s="13"/>
      <c r="M792" s="13"/>
      <c r="N792" s="13"/>
      <c r="O792" s="13"/>
      <c r="P792" s="13"/>
    </row>
    <row r="793">
      <c r="A793" s="13"/>
      <c r="B793" s="13"/>
      <c r="C793" s="13"/>
      <c r="D793" s="13"/>
      <c r="E793" s="13"/>
      <c r="F793" s="13"/>
      <c r="G793" s="13"/>
      <c r="H793" s="72"/>
      <c r="I793" s="13"/>
      <c r="J793" s="13"/>
      <c r="K793" s="13"/>
      <c r="L793" s="13"/>
      <c r="M793" s="13"/>
      <c r="N793" s="13"/>
      <c r="O793" s="13"/>
      <c r="P793" s="13"/>
    </row>
    <row r="794">
      <c r="A794" s="13"/>
      <c r="B794" s="13"/>
      <c r="C794" s="13"/>
      <c r="D794" s="13"/>
      <c r="E794" s="13"/>
      <c r="F794" s="13"/>
      <c r="G794" s="13"/>
      <c r="H794" s="72"/>
      <c r="I794" s="13"/>
      <c r="J794" s="13"/>
      <c r="K794" s="13"/>
      <c r="L794" s="13"/>
      <c r="M794" s="13"/>
      <c r="N794" s="13"/>
      <c r="O794" s="13"/>
      <c r="P794" s="13"/>
    </row>
    <row r="795">
      <c r="A795" s="13"/>
      <c r="B795" s="13"/>
      <c r="C795" s="13"/>
      <c r="D795" s="13"/>
      <c r="E795" s="13"/>
      <c r="F795" s="13"/>
      <c r="G795" s="13"/>
      <c r="H795" s="72"/>
      <c r="I795" s="13"/>
      <c r="J795" s="13"/>
      <c r="K795" s="13"/>
      <c r="L795" s="13"/>
      <c r="M795" s="13"/>
      <c r="N795" s="13"/>
      <c r="O795" s="13"/>
      <c r="P795" s="13"/>
    </row>
    <row r="796">
      <c r="A796" s="13"/>
      <c r="B796" s="13"/>
      <c r="C796" s="13"/>
      <c r="D796" s="13"/>
      <c r="E796" s="13"/>
      <c r="F796" s="13"/>
      <c r="G796" s="13"/>
      <c r="H796" s="72"/>
      <c r="I796" s="13"/>
      <c r="J796" s="13"/>
      <c r="K796" s="13"/>
      <c r="L796" s="13"/>
      <c r="M796" s="13"/>
      <c r="N796" s="13"/>
      <c r="O796" s="13"/>
      <c r="P796" s="13"/>
    </row>
    <row r="797">
      <c r="A797" s="13"/>
      <c r="B797" s="13"/>
      <c r="C797" s="13"/>
      <c r="D797" s="13"/>
      <c r="E797" s="13"/>
      <c r="F797" s="13"/>
      <c r="G797" s="13"/>
      <c r="H797" s="72"/>
      <c r="I797" s="13"/>
      <c r="J797" s="13"/>
      <c r="K797" s="13"/>
      <c r="L797" s="13"/>
      <c r="M797" s="13"/>
      <c r="N797" s="13"/>
      <c r="O797" s="13"/>
      <c r="P797" s="13"/>
    </row>
    <row r="798">
      <c r="A798" s="13"/>
      <c r="B798" s="13"/>
      <c r="C798" s="13"/>
      <c r="D798" s="13"/>
      <c r="E798" s="13"/>
      <c r="F798" s="13"/>
      <c r="G798" s="13"/>
      <c r="H798" s="72"/>
      <c r="I798" s="13"/>
      <c r="J798" s="13"/>
      <c r="K798" s="13"/>
      <c r="L798" s="13"/>
      <c r="M798" s="13"/>
      <c r="N798" s="13"/>
      <c r="O798" s="13"/>
      <c r="P798" s="13"/>
    </row>
    <row r="799">
      <c r="A799" s="13"/>
      <c r="B799" s="13"/>
      <c r="C799" s="13"/>
      <c r="D799" s="13"/>
      <c r="E799" s="13"/>
      <c r="F799" s="13"/>
      <c r="G799" s="13"/>
      <c r="H799" s="72"/>
      <c r="I799" s="13"/>
      <c r="J799" s="13"/>
      <c r="K799" s="13"/>
      <c r="L799" s="13"/>
      <c r="M799" s="13"/>
      <c r="N799" s="13"/>
      <c r="O799" s="13"/>
      <c r="P799" s="13"/>
    </row>
    <row r="800">
      <c r="A800" s="13"/>
      <c r="B800" s="13"/>
      <c r="C800" s="13"/>
      <c r="D800" s="13"/>
      <c r="E800" s="13"/>
      <c r="F800" s="13"/>
      <c r="G800" s="13"/>
      <c r="H800" s="72"/>
      <c r="I800" s="13"/>
      <c r="J800" s="13"/>
      <c r="K800" s="13"/>
      <c r="L800" s="13"/>
      <c r="M800" s="13"/>
      <c r="N800" s="13"/>
      <c r="O800" s="13"/>
      <c r="P800" s="13"/>
    </row>
    <row r="801">
      <c r="A801" s="13"/>
      <c r="B801" s="13"/>
      <c r="C801" s="13"/>
      <c r="D801" s="13"/>
      <c r="E801" s="13"/>
      <c r="F801" s="13"/>
      <c r="G801" s="13"/>
      <c r="H801" s="72"/>
      <c r="I801" s="13"/>
      <c r="J801" s="13"/>
      <c r="K801" s="13"/>
      <c r="L801" s="13"/>
      <c r="M801" s="13"/>
      <c r="N801" s="13"/>
      <c r="O801" s="13"/>
      <c r="P801" s="13"/>
    </row>
    <row r="802">
      <c r="A802" s="13"/>
      <c r="B802" s="13"/>
      <c r="C802" s="13"/>
      <c r="D802" s="13"/>
      <c r="E802" s="13"/>
      <c r="F802" s="13"/>
      <c r="G802" s="13"/>
      <c r="H802" s="72"/>
      <c r="I802" s="13"/>
      <c r="J802" s="13"/>
      <c r="K802" s="13"/>
      <c r="L802" s="13"/>
      <c r="M802" s="13"/>
      <c r="N802" s="13"/>
      <c r="O802" s="13"/>
      <c r="P802" s="13"/>
    </row>
    <row r="803">
      <c r="A803" s="13"/>
      <c r="B803" s="13"/>
      <c r="C803" s="13"/>
      <c r="D803" s="13"/>
      <c r="E803" s="13"/>
      <c r="F803" s="13"/>
      <c r="G803" s="13"/>
      <c r="H803" s="72"/>
      <c r="I803" s="13"/>
      <c r="J803" s="13"/>
      <c r="K803" s="13"/>
      <c r="L803" s="13"/>
      <c r="M803" s="13"/>
      <c r="N803" s="13"/>
      <c r="O803" s="13"/>
      <c r="P803" s="13"/>
    </row>
    <row r="804">
      <c r="A804" s="13"/>
      <c r="B804" s="13"/>
      <c r="C804" s="13"/>
      <c r="D804" s="13"/>
      <c r="E804" s="13"/>
      <c r="F804" s="13"/>
      <c r="G804" s="13"/>
      <c r="H804" s="72"/>
      <c r="I804" s="13"/>
      <c r="J804" s="13"/>
      <c r="K804" s="13"/>
      <c r="L804" s="13"/>
      <c r="M804" s="13"/>
      <c r="N804" s="13"/>
      <c r="O804" s="13"/>
      <c r="P804" s="13"/>
    </row>
    <row r="805">
      <c r="A805" s="13"/>
      <c r="B805" s="13"/>
      <c r="C805" s="13"/>
      <c r="D805" s="13"/>
      <c r="E805" s="13"/>
      <c r="F805" s="13"/>
      <c r="G805" s="13"/>
      <c r="H805" s="72"/>
      <c r="I805" s="13"/>
      <c r="J805" s="13"/>
      <c r="K805" s="13"/>
      <c r="L805" s="13"/>
      <c r="M805" s="13"/>
      <c r="N805" s="13"/>
      <c r="O805" s="13"/>
      <c r="P805" s="13"/>
    </row>
    <row r="806">
      <c r="A806" s="13"/>
      <c r="B806" s="13"/>
      <c r="C806" s="13"/>
      <c r="D806" s="13"/>
      <c r="E806" s="13"/>
      <c r="F806" s="13"/>
      <c r="G806" s="13"/>
      <c r="H806" s="72"/>
      <c r="I806" s="13"/>
      <c r="J806" s="13"/>
      <c r="K806" s="13"/>
      <c r="L806" s="13"/>
      <c r="M806" s="13"/>
      <c r="N806" s="13"/>
      <c r="O806" s="13"/>
      <c r="P806" s="13"/>
    </row>
    <row r="807">
      <c r="A807" s="13"/>
      <c r="B807" s="13"/>
      <c r="C807" s="13"/>
      <c r="D807" s="13"/>
      <c r="E807" s="13"/>
      <c r="F807" s="13"/>
      <c r="G807" s="13"/>
      <c r="H807" s="72"/>
      <c r="I807" s="13"/>
      <c r="J807" s="13"/>
      <c r="K807" s="13"/>
      <c r="L807" s="13"/>
      <c r="M807" s="13"/>
      <c r="N807" s="13"/>
      <c r="O807" s="13"/>
      <c r="P807" s="13"/>
    </row>
    <row r="808">
      <c r="A808" s="13"/>
      <c r="B808" s="13"/>
      <c r="C808" s="13"/>
      <c r="D808" s="13"/>
      <c r="E808" s="13"/>
      <c r="F808" s="13"/>
      <c r="G808" s="13"/>
      <c r="H808" s="72"/>
      <c r="I808" s="13"/>
      <c r="J808" s="13"/>
      <c r="K808" s="13"/>
      <c r="L808" s="13"/>
      <c r="M808" s="13"/>
      <c r="N808" s="13"/>
      <c r="O808" s="13"/>
      <c r="P808" s="13"/>
    </row>
    <row r="809">
      <c r="A809" s="13"/>
      <c r="B809" s="13"/>
      <c r="C809" s="13"/>
      <c r="D809" s="13"/>
      <c r="E809" s="13"/>
      <c r="F809" s="13"/>
      <c r="G809" s="13"/>
      <c r="H809" s="72"/>
      <c r="I809" s="13"/>
      <c r="J809" s="13"/>
      <c r="K809" s="13"/>
      <c r="L809" s="13"/>
      <c r="M809" s="13"/>
      <c r="N809" s="13"/>
      <c r="O809" s="13"/>
      <c r="P809" s="13"/>
    </row>
    <row r="810">
      <c r="A810" s="13"/>
      <c r="B810" s="13"/>
      <c r="C810" s="13"/>
      <c r="D810" s="13"/>
      <c r="E810" s="13"/>
      <c r="F810" s="13"/>
      <c r="G810" s="13"/>
      <c r="H810" s="72"/>
      <c r="I810" s="13"/>
      <c r="J810" s="13"/>
      <c r="K810" s="13"/>
      <c r="L810" s="13"/>
      <c r="M810" s="13"/>
      <c r="N810" s="13"/>
      <c r="O810" s="13"/>
      <c r="P810" s="13"/>
    </row>
    <row r="811">
      <c r="A811" s="13"/>
      <c r="B811" s="13"/>
      <c r="C811" s="13"/>
      <c r="D811" s="13"/>
      <c r="E811" s="13"/>
      <c r="F811" s="13"/>
      <c r="G811" s="13"/>
      <c r="H811" s="72"/>
      <c r="I811" s="13"/>
      <c r="J811" s="13"/>
      <c r="K811" s="13"/>
      <c r="L811" s="13"/>
      <c r="M811" s="13"/>
      <c r="N811" s="13"/>
      <c r="O811" s="13"/>
      <c r="P811" s="13"/>
    </row>
    <row r="812">
      <c r="A812" s="13"/>
      <c r="B812" s="13"/>
      <c r="C812" s="13"/>
      <c r="D812" s="13"/>
      <c r="E812" s="13"/>
      <c r="F812" s="13"/>
      <c r="G812" s="13"/>
      <c r="H812" s="72"/>
      <c r="I812" s="13"/>
      <c r="J812" s="13"/>
      <c r="K812" s="13"/>
      <c r="L812" s="13"/>
      <c r="M812" s="13"/>
      <c r="N812" s="13"/>
      <c r="O812" s="13"/>
      <c r="P812" s="13"/>
    </row>
    <row r="813">
      <c r="A813" s="13"/>
      <c r="B813" s="13"/>
      <c r="C813" s="13"/>
      <c r="D813" s="13"/>
      <c r="E813" s="13"/>
      <c r="F813" s="13"/>
      <c r="G813" s="13"/>
      <c r="H813" s="72"/>
      <c r="I813" s="13"/>
      <c r="J813" s="13"/>
      <c r="K813" s="13"/>
      <c r="L813" s="13"/>
      <c r="M813" s="13"/>
      <c r="N813" s="13"/>
      <c r="O813" s="13"/>
      <c r="P813" s="13"/>
    </row>
    <row r="814">
      <c r="A814" s="13"/>
      <c r="B814" s="13"/>
      <c r="C814" s="13"/>
      <c r="D814" s="13"/>
      <c r="E814" s="13"/>
      <c r="F814" s="13"/>
      <c r="G814" s="13"/>
      <c r="H814" s="72"/>
      <c r="I814" s="13"/>
      <c r="J814" s="13"/>
      <c r="K814" s="13"/>
      <c r="L814" s="13"/>
      <c r="M814" s="13"/>
      <c r="N814" s="13"/>
      <c r="O814" s="13"/>
      <c r="P814" s="13"/>
    </row>
    <row r="815">
      <c r="A815" s="13"/>
      <c r="B815" s="13"/>
      <c r="C815" s="13"/>
      <c r="D815" s="13"/>
      <c r="E815" s="13"/>
      <c r="F815" s="13"/>
      <c r="G815" s="13"/>
      <c r="H815" s="72"/>
      <c r="I815" s="13"/>
      <c r="J815" s="13"/>
      <c r="K815" s="13"/>
      <c r="L815" s="13"/>
      <c r="M815" s="13"/>
      <c r="N815" s="13"/>
      <c r="O815" s="13"/>
      <c r="P815" s="13"/>
    </row>
    <row r="816">
      <c r="A816" s="13"/>
      <c r="B816" s="13"/>
      <c r="C816" s="13"/>
      <c r="D816" s="13"/>
      <c r="E816" s="13"/>
      <c r="F816" s="13"/>
      <c r="G816" s="13"/>
      <c r="H816" s="72"/>
      <c r="I816" s="13"/>
      <c r="J816" s="13"/>
      <c r="K816" s="13"/>
      <c r="L816" s="13"/>
      <c r="M816" s="13"/>
      <c r="N816" s="13"/>
      <c r="O816" s="13"/>
      <c r="P816" s="13"/>
    </row>
    <row r="817">
      <c r="A817" s="13"/>
      <c r="B817" s="13"/>
      <c r="C817" s="13"/>
      <c r="D817" s="13"/>
      <c r="E817" s="13"/>
      <c r="F817" s="13"/>
      <c r="G817" s="13"/>
      <c r="H817" s="72"/>
      <c r="I817" s="13"/>
      <c r="J817" s="13"/>
      <c r="K817" s="13"/>
      <c r="L817" s="13"/>
      <c r="M817" s="13"/>
      <c r="N817" s="13"/>
      <c r="O817" s="13"/>
      <c r="P817" s="13"/>
    </row>
    <row r="818">
      <c r="A818" s="13"/>
      <c r="B818" s="13"/>
      <c r="C818" s="13"/>
      <c r="D818" s="13"/>
      <c r="E818" s="13"/>
      <c r="F818" s="13"/>
      <c r="G818" s="13"/>
      <c r="H818" s="72"/>
      <c r="I818" s="13"/>
      <c r="J818" s="13"/>
      <c r="K818" s="13"/>
      <c r="L818" s="13"/>
      <c r="M818" s="13"/>
      <c r="N818" s="13"/>
      <c r="O818" s="13"/>
      <c r="P818" s="13"/>
    </row>
    <row r="819">
      <c r="A819" s="13"/>
      <c r="B819" s="13"/>
      <c r="C819" s="13"/>
      <c r="D819" s="13"/>
      <c r="E819" s="13"/>
      <c r="F819" s="13"/>
      <c r="G819" s="13"/>
      <c r="H819" s="72"/>
      <c r="I819" s="13"/>
      <c r="J819" s="13"/>
      <c r="K819" s="13"/>
      <c r="L819" s="13"/>
      <c r="M819" s="13"/>
      <c r="N819" s="13"/>
      <c r="O819" s="13"/>
      <c r="P819" s="13"/>
    </row>
    <row r="820">
      <c r="A820" s="13"/>
      <c r="B820" s="13"/>
      <c r="C820" s="13"/>
      <c r="D820" s="13"/>
      <c r="E820" s="13"/>
      <c r="F820" s="13"/>
      <c r="G820" s="13"/>
      <c r="H820" s="72"/>
      <c r="I820" s="13"/>
      <c r="J820" s="13"/>
      <c r="K820" s="13"/>
      <c r="L820" s="13"/>
      <c r="M820" s="13"/>
      <c r="N820" s="13"/>
      <c r="O820" s="13"/>
      <c r="P820" s="13"/>
    </row>
    <row r="821">
      <c r="A821" s="13"/>
      <c r="B821" s="13"/>
      <c r="C821" s="13"/>
      <c r="D821" s="13"/>
      <c r="E821" s="13"/>
      <c r="F821" s="13"/>
      <c r="G821" s="13"/>
      <c r="H821" s="72"/>
      <c r="I821" s="13"/>
      <c r="J821" s="13"/>
      <c r="K821" s="13"/>
      <c r="L821" s="13"/>
      <c r="M821" s="13"/>
      <c r="N821" s="13"/>
      <c r="O821" s="13"/>
      <c r="P821" s="13"/>
    </row>
    <row r="822">
      <c r="A822" s="13"/>
      <c r="B822" s="13"/>
      <c r="C822" s="13"/>
      <c r="D822" s="13"/>
      <c r="E822" s="13"/>
      <c r="F822" s="13"/>
      <c r="G822" s="13"/>
      <c r="H822" s="72"/>
      <c r="I822" s="13"/>
      <c r="J822" s="13"/>
      <c r="K822" s="13"/>
      <c r="L822" s="13"/>
      <c r="M822" s="13"/>
      <c r="N822" s="13"/>
      <c r="O822" s="13"/>
      <c r="P822" s="13"/>
    </row>
    <row r="823">
      <c r="A823" s="13"/>
      <c r="B823" s="13"/>
      <c r="C823" s="13"/>
      <c r="D823" s="13"/>
      <c r="E823" s="13"/>
      <c r="F823" s="13"/>
      <c r="G823" s="13"/>
      <c r="H823" s="72"/>
      <c r="I823" s="13"/>
      <c r="J823" s="13"/>
      <c r="K823" s="13"/>
      <c r="L823" s="13"/>
      <c r="M823" s="13"/>
      <c r="N823" s="13"/>
      <c r="O823" s="13"/>
      <c r="P823" s="13"/>
    </row>
    <row r="824">
      <c r="A824" s="13"/>
      <c r="B824" s="13"/>
      <c r="C824" s="13"/>
      <c r="D824" s="13"/>
      <c r="E824" s="13"/>
      <c r="F824" s="13"/>
      <c r="G824" s="13"/>
      <c r="H824" s="72"/>
      <c r="I824" s="13"/>
      <c r="J824" s="13"/>
      <c r="K824" s="13"/>
      <c r="L824" s="13"/>
      <c r="M824" s="13"/>
      <c r="N824" s="13"/>
      <c r="O824" s="13"/>
      <c r="P824" s="13"/>
    </row>
    <row r="825">
      <c r="A825" s="13"/>
      <c r="B825" s="13"/>
      <c r="C825" s="13"/>
      <c r="D825" s="13"/>
      <c r="E825" s="13"/>
      <c r="F825" s="13"/>
      <c r="G825" s="13"/>
      <c r="H825" s="72"/>
      <c r="I825" s="13"/>
      <c r="J825" s="13"/>
      <c r="K825" s="13"/>
      <c r="L825" s="13"/>
      <c r="M825" s="13"/>
      <c r="N825" s="13"/>
      <c r="O825" s="13"/>
      <c r="P825" s="13"/>
    </row>
    <row r="826">
      <c r="A826" s="13"/>
      <c r="B826" s="13"/>
      <c r="C826" s="13"/>
      <c r="D826" s="13"/>
      <c r="E826" s="13"/>
      <c r="F826" s="13"/>
      <c r="G826" s="13"/>
      <c r="H826" s="72"/>
      <c r="I826" s="13"/>
      <c r="J826" s="13"/>
      <c r="K826" s="13"/>
      <c r="L826" s="13"/>
      <c r="M826" s="13"/>
      <c r="N826" s="13"/>
      <c r="O826" s="13"/>
      <c r="P826" s="13"/>
    </row>
    <row r="827">
      <c r="A827" s="13"/>
      <c r="B827" s="13"/>
      <c r="C827" s="13"/>
      <c r="D827" s="13"/>
      <c r="E827" s="13"/>
      <c r="F827" s="13"/>
      <c r="G827" s="13"/>
      <c r="H827" s="72"/>
      <c r="I827" s="13"/>
      <c r="J827" s="13"/>
      <c r="K827" s="13"/>
      <c r="L827" s="13"/>
      <c r="M827" s="13"/>
      <c r="N827" s="13"/>
      <c r="O827" s="13"/>
      <c r="P827" s="13"/>
    </row>
    <row r="828">
      <c r="A828" s="13"/>
      <c r="B828" s="13"/>
      <c r="C828" s="13"/>
      <c r="D828" s="13"/>
      <c r="E828" s="13"/>
      <c r="F828" s="13"/>
      <c r="G828" s="13"/>
      <c r="H828" s="72"/>
      <c r="I828" s="13"/>
      <c r="J828" s="13"/>
      <c r="K828" s="13"/>
      <c r="L828" s="13"/>
      <c r="M828" s="13"/>
      <c r="N828" s="13"/>
      <c r="O828" s="13"/>
      <c r="P828" s="13"/>
    </row>
    <row r="829">
      <c r="A829" s="13"/>
      <c r="B829" s="13"/>
      <c r="C829" s="13"/>
      <c r="D829" s="13"/>
      <c r="E829" s="13"/>
      <c r="F829" s="13"/>
      <c r="G829" s="13"/>
      <c r="H829" s="72"/>
      <c r="I829" s="13"/>
      <c r="J829" s="13"/>
      <c r="K829" s="13"/>
      <c r="L829" s="13"/>
      <c r="M829" s="13"/>
      <c r="N829" s="13"/>
      <c r="O829" s="13"/>
      <c r="P829" s="13"/>
    </row>
    <row r="830">
      <c r="A830" s="13"/>
      <c r="B830" s="13"/>
      <c r="C830" s="13"/>
      <c r="D830" s="13"/>
      <c r="E830" s="13"/>
      <c r="F830" s="13"/>
      <c r="G830" s="13"/>
      <c r="H830" s="72"/>
      <c r="I830" s="13"/>
      <c r="J830" s="13"/>
      <c r="K830" s="13"/>
      <c r="L830" s="13"/>
      <c r="M830" s="13"/>
      <c r="N830" s="13"/>
      <c r="O830" s="13"/>
      <c r="P830" s="13"/>
    </row>
    <row r="831">
      <c r="A831" s="13"/>
      <c r="B831" s="13"/>
      <c r="C831" s="13"/>
      <c r="D831" s="13"/>
      <c r="E831" s="13"/>
      <c r="F831" s="13"/>
      <c r="G831" s="13"/>
      <c r="H831" s="72"/>
      <c r="I831" s="13"/>
      <c r="J831" s="13"/>
      <c r="K831" s="13"/>
      <c r="L831" s="13"/>
      <c r="M831" s="13"/>
      <c r="N831" s="13"/>
      <c r="O831" s="13"/>
      <c r="P831" s="13"/>
    </row>
    <row r="832">
      <c r="A832" s="13"/>
      <c r="B832" s="13"/>
      <c r="C832" s="13"/>
      <c r="D832" s="13"/>
      <c r="E832" s="13"/>
      <c r="F832" s="13"/>
      <c r="G832" s="13"/>
      <c r="H832" s="72"/>
      <c r="I832" s="13"/>
      <c r="J832" s="13"/>
      <c r="K832" s="13"/>
      <c r="L832" s="13"/>
      <c r="M832" s="13"/>
      <c r="N832" s="13"/>
      <c r="O832" s="13"/>
      <c r="P832" s="13"/>
    </row>
    <row r="833">
      <c r="A833" s="13"/>
      <c r="B833" s="13"/>
      <c r="C833" s="13"/>
      <c r="D833" s="13"/>
      <c r="E833" s="13"/>
      <c r="F833" s="13"/>
      <c r="G833" s="13"/>
      <c r="H833" s="72"/>
      <c r="I833" s="13"/>
      <c r="J833" s="13"/>
      <c r="K833" s="13"/>
      <c r="L833" s="13"/>
      <c r="M833" s="13"/>
      <c r="N833" s="13"/>
      <c r="O833" s="13"/>
      <c r="P833" s="13"/>
    </row>
    <row r="834">
      <c r="A834" s="13"/>
      <c r="B834" s="13"/>
      <c r="C834" s="13"/>
      <c r="D834" s="13"/>
      <c r="E834" s="13"/>
      <c r="F834" s="13"/>
      <c r="G834" s="13"/>
      <c r="H834" s="72"/>
      <c r="I834" s="13"/>
      <c r="J834" s="13"/>
      <c r="K834" s="13"/>
      <c r="L834" s="13"/>
      <c r="M834" s="13"/>
      <c r="N834" s="13"/>
      <c r="O834" s="13"/>
      <c r="P834" s="13"/>
    </row>
    <row r="835">
      <c r="A835" s="13"/>
      <c r="B835" s="13"/>
      <c r="C835" s="13"/>
      <c r="D835" s="13"/>
      <c r="E835" s="13"/>
      <c r="F835" s="13"/>
      <c r="G835" s="13"/>
      <c r="H835" s="72"/>
      <c r="I835" s="13"/>
      <c r="J835" s="13"/>
      <c r="K835" s="13"/>
      <c r="L835" s="13"/>
      <c r="M835" s="13"/>
      <c r="N835" s="13"/>
      <c r="O835" s="13"/>
      <c r="P835" s="13"/>
    </row>
    <row r="836">
      <c r="A836" s="13"/>
      <c r="B836" s="13"/>
      <c r="C836" s="13"/>
      <c r="D836" s="13"/>
      <c r="E836" s="13"/>
      <c r="F836" s="13"/>
      <c r="G836" s="13"/>
      <c r="H836" s="72"/>
      <c r="I836" s="13"/>
      <c r="J836" s="13"/>
      <c r="K836" s="13"/>
      <c r="L836" s="13"/>
      <c r="M836" s="13"/>
      <c r="N836" s="13"/>
      <c r="O836" s="13"/>
      <c r="P836" s="13"/>
    </row>
    <row r="837">
      <c r="A837" s="13"/>
      <c r="B837" s="13"/>
      <c r="C837" s="13"/>
      <c r="D837" s="13"/>
      <c r="E837" s="13"/>
      <c r="F837" s="13"/>
      <c r="G837" s="13"/>
      <c r="H837" s="72"/>
      <c r="I837" s="13"/>
      <c r="J837" s="13"/>
      <c r="K837" s="13"/>
      <c r="L837" s="13"/>
      <c r="M837" s="13"/>
      <c r="N837" s="13"/>
      <c r="O837" s="13"/>
      <c r="P837" s="13"/>
    </row>
    <row r="838">
      <c r="A838" s="13"/>
      <c r="B838" s="13"/>
      <c r="C838" s="13"/>
      <c r="D838" s="13"/>
      <c r="E838" s="13"/>
      <c r="F838" s="13"/>
      <c r="G838" s="13"/>
      <c r="H838" s="72"/>
      <c r="I838" s="13"/>
      <c r="J838" s="13"/>
      <c r="K838" s="13"/>
      <c r="L838" s="13"/>
      <c r="M838" s="13"/>
      <c r="N838" s="13"/>
      <c r="O838" s="13"/>
      <c r="P838" s="13"/>
    </row>
    <row r="839">
      <c r="A839" s="13"/>
      <c r="B839" s="13"/>
      <c r="C839" s="13"/>
      <c r="D839" s="13"/>
      <c r="E839" s="13"/>
      <c r="F839" s="13"/>
      <c r="G839" s="13"/>
      <c r="H839" s="72"/>
      <c r="I839" s="13"/>
      <c r="J839" s="13"/>
      <c r="K839" s="13"/>
      <c r="L839" s="13"/>
      <c r="M839" s="13"/>
      <c r="N839" s="13"/>
      <c r="O839" s="13"/>
      <c r="P839" s="13"/>
    </row>
    <row r="840">
      <c r="A840" s="13"/>
      <c r="B840" s="13"/>
      <c r="C840" s="13"/>
      <c r="D840" s="13"/>
      <c r="E840" s="13"/>
      <c r="F840" s="13"/>
      <c r="G840" s="13"/>
      <c r="H840" s="72"/>
      <c r="I840" s="13"/>
      <c r="J840" s="13"/>
      <c r="K840" s="13"/>
      <c r="L840" s="13"/>
      <c r="M840" s="13"/>
      <c r="N840" s="13"/>
      <c r="O840" s="13"/>
      <c r="P840" s="13"/>
    </row>
    <row r="841">
      <c r="A841" s="13"/>
      <c r="B841" s="13"/>
      <c r="C841" s="13"/>
      <c r="D841" s="13"/>
      <c r="E841" s="13"/>
      <c r="F841" s="13"/>
      <c r="G841" s="13"/>
      <c r="H841" s="72"/>
      <c r="I841" s="13"/>
      <c r="J841" s="13"/>
      <c r="K841" s="13"/>
      <c r="L841" s="13"/>
      <c r="M841" s="13"/>
      <c r="N841" s="13"/>
      <c r="O841" s="13"/>
      <c r="P841" s="13"/>
    </row>
    <row r="842">
      <c r="A842" s="13"/>
      <c r="B842" s="13"/>
      <c r="C842" s="13"/>
      <c r="D842" s="13"/>
      <c r="E842" s="13"/>
      <c r="F842" s="13"/>
      <c r="G842" s="13"/>
      <c r="H842" s="72"/>
      <c r="I842" s="13"/>
      <c r="J842" s="13"/>
      <c r="K842" s="13"/>
      <c r="L842" s="13"/>
      <c r="M842" s="13"/>
      <c r="N842" s="13"/>
      <c r="O842" s="13"/>
      <c r="P842" s="13"/>
    </row>
    <row r="843">
      <c r="A843" s="13"/>
      <c r="B843" s="13"/>
      <c r="C843" s="13"/>
      <c r="D843" s="13"/>
      <c r="E843" s="13"/>
      <c r="F843" s="13"/>
      <c r="G843" s="13"/>
      <c r="H843" s="72"/>
      <c r="I843" s="13"/>
      <c r="J843" s="13"/>
      <c r="K843" s="13"/>
      <c r="L843" s="13"/>
      <c r="M843" s="13"/>
      <c r="N843" s="13"/>
      <c r="O843" s="13"/>
      <c r="P843" s="13"/>
    </row>
    <row r="844">
      <c r="A844" s="13"/>
      <c r="B844" s="13"/>
      <c r="C844" s="13"/>
      <c r="D844" s="13"/>
      <c r="E844" s="13"/>
      <c r="F844" s="13"/>
      <c r="G844" s="13"/>
      <c r="H844" s="72"/>
      <c r="I844" s="13"/>
      <c r="J844" s="13"/>
      <c r="K844" s="13"/>
      <c r="L844" s="13"/>
      <c r="M844" s="13"/>
      <c r="N844" s="13"/>
      <c r="O844" s="13"/>
      <c r="P844" s="13"/>
    </row>
    <row r="845">
      <c r="A845" s="13"/>
      <c r="B845" s="13"/>
      <c r="C845" s="13"/>
      <c r="D845" s="13"/>
      <c r="E845" s="13"/>
      <c r="F845" s="13"/>
      <c r="G845" s="13"/>
      <c r="H845" s="72"/>
      <c r="I845" s="13"/>
      <c r="J845" s="13"/>
      <c r="K845" s="13"/>
      <c r="L845" s="13"/>
      <c r="M845" s="13"/>
      <c r="N845" s="13"/>
      <c r="O845" s="13"/>
      <c r="P845" s="13"/>
    </row>
    <row r="846">
      <c r="A846" s="13"/>
      <c r="B846" s="13"/>
      <c r="C846" s="13"/>
      <c r="D846" s="13"/>
      <c r="E846" s="13"/>
      <c r="F846" s="13"/>
      <c r="G846" s="13"/>
      <c r="H846" s="72"/>
      <c r="I846" s="13"/>
      <c r="J846" s="13"/>
      <c r="K846" s="13"/>
      <c r="L846" s="13"/>
      <c r="M846" s="13"/>
      <c r="N846" s="13"/>
      <c r="O846" s="13"/>
      <c r="P846" s="13"/>
    </row>
    <row r="847">
      <c r="A847" s="13"/>
      <c r="B847" s="13"/>
      <c r="C847" s="13"/>
      <c r="D847" s="13"/>
      <c r="E847" s="13"/>
      <c r="F847" s="13"/>
      <c r="G847" s="13"/>
      <c r="H847" s="72"/>
      <c r="I847" s="13"/>
      <c r="J847" s="13"/>
      <c r="K847" s="13"/>
      <c r="L847" s="13"/>
      <c r="M847" s="13"/>
      <c r="N847" s="13"/>
      <c r="O847" s="13"/>
      <c r="P847" s="13"/>
    </row>
    <row r="848">
      <c r="A848" s="13"/>
      <c r="B848" s="13"/>
      <c r="C848" s="13"/>
      <c r="D848" s="13"/>
      <c r="E848" s="13"/>
      <c r="F848" s="13"/>
      <c r="G848" s="13"/>
      <c r="H848" s="72"/>
      <c r="I848" s="13"/>
      <c r="J848" s="13"/>
      <c r="K848" s="13"/>
      <c r="L848" s="13"/>
      <c r="M848" s="13"/>
      <c r="N848" s="13"/>
      <c r="O848" s="13"/>
      <c r="P848" s="13"/>
    </row>
    <row r="849">
      <c r="A849" s="13"/>
      <c r="B849" s="13"/>
      <c r="C849" s="13"/>
      <c r="D849" s="13"/>
      <c r="E849" s="13"/>
      <c r="F849" s="13"/>
      <c r="G849" s="13"/>
      <c r="H849" s="72"/>
      <c r="I849" s="13"/>
      <c r="J849" s="13"/>
      <c r="K849" s="13"/>
      <c r="L849" s="13"/>
      <c r="M849" s="13"/>
      <c r="N849" s="13"/>
      <c r="O849" s="13"/>
      <c r="P849" s="13"/>
    </row>
    <row r="850">
      <c r="A850" s="13"/>
      <c r="B850" s="13"/>
      <c r="C850" s="13"/>
      <c r="D850" s="13"/>
      <c r="E850" s="13"/>
      <c r="F850" s="13"/>
      <c r="G850" s="13"/>
      <c r="H850" s="72"/>
      <c r="I850" s="13"/>
      <c r="J850" s="13"/>
      <c r="K850" s="13"/>
      <c r="L850" s="13"/>
      <c r="M850" s="13"/>
      <c r="N850" s="13"/>
      <c r="O850" s="13"/>
      <c r="P850" s="13"/>
    </row>
    <row r="851">
      <c r="A851" s="13"/>
      <c r="B851" s="13"/>
      <c r="C851" s="13"/>
      <c r="D851" s="13"/>
      <c r="E851" s="13"/>
      <c r="F851" s="13"/>
      <c r="G851" s="13"/>
      <c r="H851" s="72"/>
      <c r="I851" s="13"/>
      <c r="J851" s="13"/>
      <c r="K851" s="13"/>
      <c r="L851" s="13"/>
      <c r="M851" s="13"/>
      <c r="N851" s="13"/>
      <c r="O851" s="13"/>
      <c r="P851" s="13"/>
    </row>
    <row r="852">
      <c r="A852" s="13"/>
      <c r="B852" s="13"/>
      <c r="C852" s="13"/>
      <c r="D852" s="13"/>
      <c r="E852" s="13"/>
      <c r="F852" s="13"/>
      <c r="G852" s="13"/>
      <c r="H852" s="72"/>
      <c r="I852" s="13"/>
      <c r="J852" s="13"/>
      <c r="K852" s="13"/>
      <c r="L852" s="13"/>
      <c r="M852" s="13"/>
      <c r="N852" s="13"/>
      <c r="O852" s="13"/>
      <c r="P852" s="13"/>
    </row>
    <row r="853">
      <c r="A853" s="13"/>
      <c r="B853" s="13"/>
      <c r="C853" s="13"/>
      <c r="D853" s="13"/>
      <c r="E853" s="13"/>
      <c r="F853" s="13"/>
      <c r="G853" s="13"/>
      <c r="H853" s="72"/>
      <c r="I853" s="13"/>
      <c r="J853" s="13"/>
      <c r="K853" s="13"/>
      <c r="L853" s="13"/>
      <c r="M853" s="13"/>
      <c r="N853" s="13"/>
      <c r="O853" s="13"/>
      <c r="P853" s="13"/>
    </row>
    <row r="854">
      <c r="A854" s="13"/>
      <c r="B854" s="13"/>
      <c r="C854" s="13"/>
      <c r="D854" s="13"/>
      <c r="E854" s="13"/>
      <c r="F854" s="13"/>
      <c r="G854" s="13"/>
      <c r="H854" s="72"/>
      <c r="I854" s="13"/>
      <c r="J854" s="13"/>
      <c r="K854" s="13"/>
      <c r="L854" s="13"/>
      <c r="M854" s="13"/>
      <c r="N854" s="13"/>
      <c r="O854" s="13"/>
      <c r="P854" s="13"/>
    </row>
    <row r="855">
      <c r="A855" s="13"/>
      <c r="B855" s="13"/>
      <c r="C855" s="13"/>
      <c r="D855" s="13"/>
      <c r="E855" s="13"/>
      <c r="F855" s="13"/>
      <c r="G855" s="13"/>
      <c r="H855" s="72"/>
      <c r="I855" s="13"/>
      <c r="J855" s="13"/>
      <c r="K855" s="13"/>
      <c r="L855" s="13"/>
      <c r="M855" s="13"/>
      <c r="N855" s="13"/>
      <c r="O855" s="13"/>
      <c r="P855" s="13"/>
    </row>
    <row r="856">
      <c r="A856" s="13"/>
      <c r="B856" s="13"/>
      <c r="C856" s="13"/>
      <c r="D856" s="13"/>
      <c r="E856" s="13"/>
      <c r="F856" s="13"/>
      <c r="G856" s="13"/>
      <c r="H856" s="72"/>
      <c r="I856" s="13"/>
      <c r="J856" s="13"/>
      <c r="K856" s="13"/>
      <c r="L856" s="13"/>
      <c r="M856" s="13"/>
      <c r="N856" s="13"/>
      <c r="O856" s="13"/>
      <c r="P856" s="13"/>
    </row>
    <row r="857">
      <c r="A857" s="13"/>
      <c r="B857" s="13"/>
      <c r="C857" s="13"/>
      <c r="D857" s="13"/>
      <c r="E857" s="13"/>
      <c r="F857" s="13"/>
      <c r="G857" s="13"/>
      <c r="H857" s="72"/>
      <c r="I857" s="13"/>
      <c r="J857" s="13"/>
      <c r="K857" s="13"/>
      <c r="L857" s="13"/>
      <c r="M857" s="13"/>
      <c r="N857" s="13"/>
      <c r="O857" s="13"/>
      <c r="P857" s="13"/>
    </row>
    <row r="858">
      <c r="A858" s="13"/>
      <c r="B858" s="13"/>
      <c r="C858" s="13"/>
      <c r="D858" s="13"/>
      <c r="E858" s="13"/>
      <c r="F858" s="13"/>
      <c r="G858" s="13"/>
      <c r="H858" s="72"/>
      <c r="I858" s="13"/>
      <c r="J858" s="13"/>
      <c r="K858" s="13"/>
      <c r="L858" s="13"/>
      <c r="M858" s="13"/>
      <c r="N858" s="13"/>
      <c r="O858" s="13"/>
      <c r="P858" s="13"/>
    </row>
    <row r="859">
      <c r="A859" s="13"/>
      <c r="B859" s="13"/>
      <c r="C859" s="13"/>
      <c r="D859" s="13"/>
      <c r="E859" s="13"/>
      <c r="F859" s="13"/>
      <c r="G859" s="13"/>
      <c r="H859" s="72"/>
      <c r="I859" s="13"/>
      <c r="J859" s="13"/>
      <c r="K859" s="13"/>
      <c r="L859" s="13"/>
      <c r="M859" s="13"/>
      <c r="N859" s="13"/>
      <c r="O859" s="13"/>
      <c r="P859" s="13"/>
    </row>
    <row r="860">
      <c r="A860" s="13"/>
      <c r="B860" s="13"/>
      <c r="C860" s="13"/>
      <c r="D860" s="13"/>
      <c r="E860" s="13"/>
      <c r="F860" s="13"/>
      <c r="G860" s="13"/>
      <c r="H860" s="72"/>
      <c r="I860" s="13"/>
      <c r="J860" s="13"/>
      <c r="K860" s="13"/>
      <c r="L860" s="13"/>
      <c r="M860" s="13"/>
      <c r="N860" s="13"/>
      <c r="O860" s="13"/>
      <c r="P860" s="13"/>
    </row>
    <row r="861">
      <c r="A861" s="13"/>
      <c r="B861" s="13"/>
      <c r="C861" s="13"/>
      <c r="D861" s="13"/>
      <c r="E861" s="13"/>
      <c r="F861" s="13"/>
      <c r="G861" s="13"/>
      <c r="H861" s="72"/>
      <c r="I861" s="13"/>
      <c r="J861" s="13"/>
      <c r="K861" s="13"/>
      <c r="L861" s="13"/>
      <c r="M861" s="13"/>
      <c r="N861" s="13"/>
      <c r="O861" s="13"/>
      <c r="P861" s="13"/>
    </row>
    <row r="862">
      <c r="A862" s="13"/>
      <c r="B862" s="13"/>
      <c r="C862" s="13"/>
      <c r="D862" s="13"/>
      <c r="E862" s="13"/>
      <c r="F862" s="13"/>
      <c r="G862" s="13"/>
      <c r="H862" s="72"/>
      <c r="I862" s="13"/>
      <c r="J862" s="13"/>
      <c r="K862" s="13"/>
      <c r="L862" s="13"/>
      <c r="M862" s="13"/>
      <c r="N862" s="13"/>
      <c r="O862" s="13"/>
      <c r="P862" s="13"/>
    </row>
    <row r="863">
      <c r="A863" s="13"/>
      <c r="B863" s="13"/>
      <c r="C863" s="13"/>
      <c r="D863" s="13"/>
      <c r="E863" s="13"/>
      <c r="F863" s="13"/>
      <c r="G863" s="13"/>
      <c r="H863" s="72"/>
      <c r="I863" s="13"/>
      <c r="J863" s="13"/>
      <c r="K863" s="13"/>
      <c r="L863" s="13"/>
      <c r="M863" s="13"/>
      <c r="N863" s="13"/>
      <c r="O863" s="13"/>
      <c r="P863" s="13"/>
    </row>
    <row r="864">
      <c r="A864" s="13"/>
      <c r="B864" s="13"/>
      <c r="C864" s="13"/>
      <c r="D864" s="13"/>
      <c r="E864" s="13"/>
      <c r="F864" s="13"/>
      <c r="G864" s="13"/>
      <c r="H864" s="72"/>
      <c r="I864" s="13"/>
      <c r="J864" s="13"/>
      <c r="K864" s="13"/>
      <c r="L864" s="13"/>
      <c r="M864" s="13"/>
      <c r="N864" s="13"/>
      <c r="O864" s="13"/>
      <c r="P864" s="13"/>
    </row>
    <row r="865">
      <c r="A865" s="13"/>
      <c r="B865" s="13"/>
      <c r="C865" s="13"/>
      <c r="D865" s="13"/>
      <c r="E865" s="13"/>
      <c r="F865" s="13"/>
      <c r="G865" s="13"/>
      <c r="H865" s="72"/>
      <c r="I865" s="13"/>
      <c r="J865" s="13"/>
      <c r="K865" s="13"/>
      <c r="L865" s="13"/>
      <c r="M865" s="13"/>
      <c r="N865" s="13"/>
      <c r="O865" s="13"/>
      <c r="P865" s="13"/>
    </row>
    <row r="866">
      <c r="A866" s="13"/>
      <c r="B866" s="13"/>
      <c r="C866" s="13"/>
      <c r="D866" s="13"/>
      <c r="E866" s="13"/>
      <c r="F866" s="13"/>
      <c r="G866" s="13"/>
      <c r="H866" s="72"/>
      <c r="I866" s="13"/>
      <c r="J866" s="13"/>
      <c r="K866" s="13"/>
      <c r="L866" s="13"/>
      <c r="M866" s="13"/>
      <c r="N866" s="13"/>
      <c r="O866" s="13"/>
      <c r="P866" s="13"/>
    </row>
    <row r="867">
      <c r="A867" s="13"/>
      <c r="B867" s="13"/>
      <c r="C867" s="13"/>
      <c r="D867" s="13"/>
      <c r="E867" s="13"/>
      <c r="F867" s="13"/>
      <c r="G867" s="13"/>
      <c r="H867" s="72"/>
      <c r="I867" s="13"/>
      <c r="J867" s="13"/>
      <c r="K867" s="13"/>
      <c r="L867" s="13"/>
      <c r="M867" s="13"/>
      <c r="N867" s="13"/>
      <c r="O867" s="13"/>
      <c r="P867" s="13"/>
    </row>
    <row r="868">
      <c r="A868" s="13"/>
      <c r="B868" s="13"/>
      <c r="C868" s="13"/>
      <c r="D868" s="13"/>
      <c r="E868" s="13"/>
      <c r="F868" s="13"/>
      <c r="G868" s="13"/>
      <c r="H868" s="72"/>
      <c r="I868" s="13"/>
      <c r="J868" s="13"/>
      <c r="K868" s="13"/>
      <c r="L868" s="13"/>
      <c r="M868" s="13"/>
      <c r="N868" s="13"/>
      <c r="O868" s="13"/>
      <c r="P868" s="13"/>
    </row>
    <row r="869">
      <c r="A869" s="13"/>
      <c r="B869" s="13"/>
      <c r="C869" s="13"/>
      <c r="D869" s="13"/>
      <c r="E869" s="13"/>
      <c r="F869" s="13"/>
      <c r="G869" s="13"/>
      <c r="H869" s="72"/>
      <c r="I869" s="13"/>
      <c r="J869" s="13"/>
      <c r="K869" s="13"/>
      <c r="L869" s="13"/>
      <c r="M869" s="13"/>
      <c r="N869" s="13"/>
      <c r="O869" s="13"/>
      <c r="P869" s="13"/>
    </row>
    <row r="870">
      <c r="A870" s="13"/>
      <c r="B870" s="13"/>
      <c r="C870" s="13"/>
      <c r="D870" s="13"/>
      <c r="E870" s="13"/>
      <c r="F870" s="13"/>
      <c r="G870" s="13"/>
      <c r="H870" s="72"/>
      <c r="I870" s="13"/>
      <c r="J870" s="13"/>
      <c r="K870" s="13"/>
      <c r="L870" s="13"/>
      <c r="M870" s="13"/>
      <c r="N870" s="13"/>
      <c r="O870" s="13"/>
      <c r="P870" s="13"/>
    </row>
    <row r="871">
      <c r="A871" s="13"/>
      <c r="B871" s="13"/>
      <c r="C871" s="13"/>
      <c r="D871" s="13"/>
      <c r="E871" s="13"/>
      <c r="F871" s="13"/>
      <c r="G871" s="13"/>
      <c r="H871" s="72"/>
      <c r="I871" s="13"/>
      <c r="J871" s="13"/>
      <c r="K871" s="13"/>
      <c r="L871" s="13"/>
      <c r="M871" s="13"/>
      <c r="N871" s="13"/>
      <c r="O871" s="13"/>
      <c r="P871" s="13"/>
    </row>
    <row r="872">
      <c r="A872" s="13"/>
      <c r="B872" s="13"/>
      <c r="C872" s="13"/>
      <c r="D872" s="13"/>
      <c r="E872" s="13"/>
      <c r="F872" s="13"/>
      <c r="G872" s="13"/>
      <c r="H872" s="72"/>
      <c r="I872" s="13"/>
      <c r="J872" s="13"/>
      <c r="K872" s="13"/>
      <c r="L872" s="13"/>
      <c r="M872" s="13"/>
      <c r="N872" s="13"/>
      <c r="O872" s="13"/>
      <c r="P872" s="13"/>
    </row>
    <row r="873">
      <c r="A873" s="13"/>
      <c r="B873" s="13"/>
      <c r="C873" s="13"/>
      <c r="D873" s="13"/>
      <c r="E873" s="13"/>
      <c r="F873" s="13"/>
      <c r="G873" s="13"/>
      <c r="H873" s="72"/>
      <c r="I873" s="13"/>
      <c r="J873" s="13"/>
      <c r="K873" s="13"/>
      <c r="L873" s="13"/>
      <c r="M873" s="13"/>
      <c r="N873" s="13"/>
      <c r="O873" s="13"/>
      <c r="P873" s="13"/>
    </row>
    <row r="874">
      <c r="A874" s="13"/>
      <c r="B874" s="13"/>
      <c r="C874" s="13"/>
      <c r="D874" s="13"/>
      <c r="E874" s="13"/>
      <c r="F874" s="13"/>
      <c r="G874" s="13"/>
      <c r="H874" s="72"/>
      <c r="I874" s="13"/>
      <c r="J874" s="13"/>
      <c r="K874" s="13"/>
      <c r="L874" s="13"/>
      <c r="M874" s="13"/>
      <c r="N874" s="13"/>
      <c r="O874" s="13"/>
      <c r="P874" s="13"/>
    </row>
    <row r="875">
      <c r="A875" s="13"/>
      <c r="B875" s="13"/>
      <c r="C875" s="13"/>
      <c r="D875" s="13"/>
      <c r="E875" s="13"/>
      <c r="F875" s="13"/>
      <c r="G875" s="13"/>
      <c r="H875" s="72"/>
      <c r="I875" s="13"/>
      <c r="J875" s="13"/>
      <c r="K875" s="13"/>
      <c r="L875" s="13"/>
      <c r="M875" s="13"/>
      <c r="N875" s="13"/>
      <c r="O875" s="13"/>
      <c r="P875" s="13"/>
    </row>
    <row r="876">
      <c r="A876" s="13"/>
      <c r="B876" s="13"/>
      <c r="C876" s="13"/>
      <c r="D876" s="13"/>
      <c r="E876" s="13"/>
      <c r="F876" s="13"/>
      <c r="G876" s="13"/>
      <c r="H876" s="72"/>
      <c r="I876" s="13"/>
      <c r="J876" s="13"/>
      <c r="K876" s="13"/>
      <c r="L876" s="13"/>
      <c r="M876" s="13"/>
      <c r="N876" s="13"/>
      <c r="O876" s="13"/>
      <c r="P876" s="13"/>
    </row>
    <row r="877">
      <c r="A877" s="13"/>
      <c r="B877" s="13"/>
      <c r="C877" s="13"/>
      <c r="D877" s="13"/>
      <c r="E877" s="13"/>
      <c r="F877" s="13"/>
      <c r="G877" s="13"/>
      <c r="H877" s="72"/>
      <c r="I877" s="13"/>
      <c r="J877" s="13"/>
      <c r="K877" s="13"/>
      <c r="L877" s="13"/>
      <c r="M877" s="13"/>
      <c r="N877" s="13"/>
      <c r="O877" s="13"/>
      <c r="P877" s="13"/>
    </row>
    <row r="878">
      <c r="A878" s="13"/>
      <c r="B878" s="13"/>
      <c r="C878" s="13"/>
      <c r="D878" s="13"/>
      <c r="E878" s="13"/>
      <c r="F878" s="13"/>
      <c r="G878" s="13"/>
      <c r="H878" s="72"/>
      <c r="I878" s="13"/>
      <c r="J878" s="13"/>
      <c r="K878" s="13"/>
      <c r="L878" s="13"/>
      <c r="M878" s="13"/>
      <c r="N878" s="13"/>
      <c r="O878" s="13"/>
      <c r="P878" s="13"/>
    </row>
    <row r="879">
      <c r="A879" s="13"/>
      <c r="B879" s="13"/>
      <c r="C879" s="13"/>
      <c r="D879" s="13"/>
      <c r="E879" s="13"/>
      <c r="F879" s="13"/>
      <c r="G879" s="13"/>
      <c r="H879" s="72"/>
      <c r="I879" s="13"/>
      <c r="J879" s="13"/>
      <c r="K879" s="13"/>
      <c r="L879" s="13"/>
      <c r="M879" s="13"/>
      <c r="N879" s="13"/>
      <c r="O879" s="13"/>
      <c r="P879" s="13"/>
    </row>
    <row r="880">
      <c r="A880" s="13"/>
      <c r="B880" s="13"/>
      <c r="C880" s="13"/>
      <c r="D880" s="13"/>
      <c r="E880" s="13"/>
      <c r="F880" s="13"/>
      <c r="G880" s="13"/>
      <c r="H880" s="72"/>
      <c r="I880" s="13"/>
      <c r="J880" s="13"/>
      <c r="K880" s="13"/>
      <c r="L880" s="13"/>
      <c r="M880" s="13"/>
      <c r="N880" s="13"/>
      <c r="O880" s="13"/>
      <c r="P880" s="13"/>
    </row>
    <row r="881">
      <c r="A881" s="13"/>
      <c r="B881" s="13"/>
      <c r="C881" s="13"/>
      <c r="D881" s="13"/>
      <c r="E881" s="13"/>
      <c r="F881" s="13"/>
      <c r="G881" s="13"/>
      <c r="H881" s="72"/>
      <c r="I881" s="13"/>
      <c r="J881" s="13"/>
      <c r="K881" s="13"/>
      <c r="L881" s="13"/>
      <c r="M881" s="13"/>
      <c r="N881" s="13"/>
      <c r="O881" s="13"/>
      <c r="P881" s="13"/>
    </row>
    <row r="882">
      <c r="A882" s="13"/>
      <c r="B882" s="13"/>
      <c r="C882" s="13"/>
      <c r="D882" s="13"/>
      <c r="E882" s="13"/>
      <c r="F882" s="13"/>
      <c r="G882" s="13"/>
      <c r="H882" s="72"/>
      <c r="I882" s="13"/>
      <c r="J882" s="13"/>
      <c r="K882" s="13"/>
      <c r="L882" s="13"/>
      <c r="M882" s="13"/>
      <c r="N882" s="13"/>
      <c r="O882" s="13"/>
      <c r="P882" s="13"/>
    </row>
    <row r="883">
      <c r="A883" s="13"/>
      <c r="B883" s="13"/>
      <c r="C883" s="13"/>
      <c r="D883" s="13"/>
      <c r="E883" s="13"/>
      <c r="F883" s="13"/>
      <c r="G883" s="13"/>
      <c r="H883" s="72"/>
      <c r="I883" s="13"/>
      <c r="J883" s="13"/>
      <c r="K883" s="13"/>
      <c r="L883" s="13"/>
      <c r="M883" s="13"/>
      <c r="N883" s="13"/>
      <c r="O883" s="13"/>
      <c r="P883" s="13"/>
    </row>
    <row r="884">
      <c r="A884" s="13"/>
      <c r="B884" s="13"/>
      <c r="C884" s="13"/>
      <c r="D884" s="13"/>
      <c r="E884" s="13"/>
      <c r="F884" s="13"/>
      <c r="G884" s="13"/>
      <c r="H884" s="72"/>
      <c r="I884" s="13"/>
      <c r="J884" s="13"/>
      <c r="K884" s="13"/>
      <c r="L884" s="13"/>
      <c r="M884" s="13"/>
      <c r="N884" s="13"/>
      <c r="O884" s="13"/>
      <c r="P884" s="13"/>
    </row>
    <row r="885">
      <c r="A885" s="13"/>
      <c r="B885" s="13"/>
      <c r="C885" s="13"/>
      <c r="D885" s="13"/>
      <c r="E885" s="13"/>
      <c r="F885" s="13"/>
      <c r="G885" s="13"/>
      <c r="H885" s="72"/>
      <c r="I885" s="13"/>
      <c r="J885" s="13"/>
      <c r="K885" s="13"/>
      <c r="L885" s="13"/>
      <c r="M885" s="13"/>
      <c r="N885" s="13"/>
      <c r="O885" s="13"/>
      <c r="P885" s="13"/>
    </row>
    <row r="886">
      <c r="A886" s="13"/>
      <c r="B886" s="13"/>
      <c r="C886" s="13"/>
      <c r="D886" s="13"/>
      <c r="E886" s="13"/>
      <c r="F886" s="13"/>
      <c r="G886" s="13"/>
      <c r="H886" s="72"/>
      <c r="I886" s="13"/>
      <c r="J886" s="13"/>
      <c r="K886" s="13"/>
      <c r="L886" s="13"/>
      <c r="M886" s="13"/>
      <c r="N886" s="13"/>
      <c r="O886" s="13"/>
      <c r="P886" s="13"/>
    </row>
    <row r="887">
      <c r="A887" s="13"/>
      <c r="B887" s="13"/>
      <c r="C887" s="13"/>
      <c r="D887" s="13"/>
      <c r="E887" s="13"/>
      <c r="F887" s="13"/>
      <c r="G887" s="13"/>
      <c r="H887" s="72"/>
      <c r="I887" s="13"/>
      <c r="J887" s="13"/>
      <c r="K887" s="13"/>
      <c r="L887" s="13"/>
      <c r="M887" s="13"/>
      <c r="N887" s="13"/>
      <c r="O887" s="13"/>
      <c r="P887" s="13"/>
    </row>
    <row r="888">
      <c r="A888" s="13"/>
      <c r="B888" s="13"/>
      <c r="C888" s="13"/>
      <c r="D888" s="13"/>
      <c r="E888" s="13"/>
      <c r="F888" s="13"/>
      <c r="G888" s="13"/>
      <c r="H888" s="72"/>
      <c r="I888" s="13"/>
      <c r="J888" s="13"/>
      <c r="K888" s="13"/>
      <c r="L888" s="13"/>
      <c r="M888" s="13"/>
      <c r="N888" s="13"/>
      <c r="O888" s="13"/>
      <c r="P888" s="13"/>
    </row>
    <row r="889">
      <c r="A889" s="13"/>
      <c r="B889" s="13"/>
      <c r="C889" s="13"/>
      <c r="D889" s="13"/>
      <c r="E889" s="13"/>
      <c r="F889" s="13"/>
      <c r="G889" s="13"/>
      <c r="H889" s="72"/>
      <c r="I889" s="13"/>
      <c r="J889" s="13"/>
      <c r="K889" s="13"/>
      <c r="L889" s="13"/>
      <c r="M889" s="13"/>
      <c r="N889" s="13"/>
      <c r="O889" s="13"/>
      <c r="P889" s="13"/>
    </row>
    <row r="890">
      <c r="A890" s="13"/>
      <c r="B890" s="13"/>
      <c r="C890" s="13"/>
      <c r="D890" s="13"/>
      <c r="E890" s="13"/>
      <c r="F890" s="13"/>
      <c r="G890" s="13"/>
      <c r="H890" s="72"/>
      <c r="I890" s="13"/>
      <c r="J890" s="13"/>
      <c r="K890" s="13"/>
      <c r="L890" s="13"/>
      <c r="M890" s="13"/>
      <c r="N890" s="13"/>
      <c r="O890" s="13"/>
      <c r="P890" s="13"/>
    </row>
    <row r="891">
      <c r="A891" s="13"/>
      <c r="B891" s="13"/>
      <c r="C891" s="13"/>
      <c r="D891" s="13"/>
      <c r="E891" s="13"/>
      <c r="F891" s="13"/>
      <c r="G891" s="13"/>
      <c r="H891" s="72"/>
      <c r="I891" s="13"/>
      <c r="J891" s="13"/>
      <c r="K891" s="13"/>
      <c r="L891" s="13"/>
      <c r="M891" s="13"/>
      <c r="N891" s="13"/>
      <c r="O891" s="13"/>
      <c r="P891" s="13"/>
    </row>
    <row r="892">
      <c r="A892" s="13"/>
      <c r="B892" s="13"/>
      <c r="C892" s="13"/>
      <c r="D892" s="13"/>
      <c r="E892" s="13"/>
      <c r="F892" s="13"/>
      <c r="G892" s="13"/>
      <c r="H892" s="72"/>
      <c r="I892" s="13"/>
      <c r="J892" s="13"/>
      <c r="K892" s="13"/>
      <c r="L892" s="13"/>
      <c r="M892" s="13"/>
      <c r="N892" s="13"/>
      <c r="O892" s="13"/>
      <c r="P892" s="13"/>
    </row>
    <row r="893">
      <c r="A893" s="13"/>
      <c r="B893" s="13"/>
      <c r="C893" s="13"/>
      <c r="D893" s="13"/>
      <c r="E893" s="13"/>
      <c r="F893" s="13"/>
      <c r="G893" s="13"/>
      <c r="H893" s="72"/>
      <c r="I893" s="13"/>
      <c r="J893" s="13"/>
      <c r="K893" s="13"/>
      <c r="L893" s="13"/>
      <c r="M893" s="13"/>
      <c r="N893" s="13"/>
      <c r="O893" s="13"/>
      <c r="P893" s="13"/>
    </row>
    <row r="894">
      <c r="A894" s="13"/>
      <c r="B894" s="13"/>
      <c r="C894" s="13"/>
      <c r="D894" s="13"/>
      <c r="E894" s="13"/>
      <c r="F894" s="13"/>
      <c r="G894" s="13"/>
      <c r="H894" s="72"/>
      <c r="I894" s="13"/>
      <c r="J894" s="13"/>
      <c r="K894" s="13"/>
      <c r="L894" s="13"/>
      <c r="M894" s="13"/>
      <c r="N894" s="13"/>
      <c r="O894" s="13"/>
      <c r="P894" s="13"/>
    </row>
    <row r="895">
      <c r="A895" s="13"/>
      <c r="B895" s="13"/>
      <c r="C895" s="13"/>
      <c r="D895" s="13"/>
      <c r="E895" s="13"/>
      <c r="F895" s="13"/>
      <c r="G895" s="13"/>
      <c r="H895" s="72"/>
      <c r="I895" s="13"/>
      <c r="J895" s="13"/>
      <c r="K895" s="13"/>
      <c r="L895" s="13"/>
      <c r="M895" s="13"/>
      <c r="N895" s="13"/>
      <c r="O895" s="13"/>
      <c r="P895" s="13"/>
    </row>
    <row r="896">
      <c r="A896" s="13"/>
      <c r="B896" s="13"/>
      <c r="C896" s="13"/>
      <c r="D896" s="13"/>
      <c r="E896" s="13"/>
      <c r="F896" s="13"/>
      <c r="G896" s="13"/>
      <c r="H896" s="72"/>
      <c r="I896" s="13"/>
      <c r="J896" s="13"/>
      <c r="K896" s="13"/>
      <c r="L896" s="13"/>
      <c r="M896" s="13"/>
      <c r="N896" s="13"/>
      <c r="O896" s="13"/>
      <c r="P896" s="13"/>
    </row>
    <row r="897">
      <c r="A897" s="13"/>
      <c r="B897" s="13"/>
      <c r="C897" s="13"/>
      <c r="D897" s="13"/>
      <c r="E897" s="13"/>
      <c r="F897" s="13"/>
      <c r="G897" s="13"/>
      <c r="H897" s="72"/>
      <c r="I897" s="13"/>
      <c r="J897" s="13"/>
      <c r="K897" s="13"/>
      <c r="L897" s="13"/>
      <c r="M897" s="13"/>
      <c r="N897" s="13"/>
      <c r="O897" s="13"/>
      <c r="P897" s="13"/>
    </row>
    <row r="898">
      <c r="A898" s="13"/>
      <c r="B898" s="13"/>
      <c r="C898" s="13"/>
      <c r="D898" s="13"/>
      <c r="E898" s="13"/>
      <c r="F898" s="13"/>
      <c r="G898" s="13"/>
      <c r="H898" s="72"/>
      <c r="I898" s="13"/>
      <c r="J898" s="13"/>
      <c r="K898" s="13"/>
      <c r="L898" s="13"/>
      <c r="M898" s="13"/>
      <c r="N898" s="13"/>
      <c r="O898" s="13"/>
      <c r="P898" s="13"/>
    </row>
    <row r="899">
      <c r="A899" s="13"/>
      <c r="B899" s="13"/>
      <c r="C899" s="13"/>
      <c r="D899" s="13"/>
      <c r="E899" s="13"/>
      <c r="F899" s="13"/>
      <c r="G899" s="13"/>
      <c r="H899" s="72"/>
      <c r="I899" s="13"/>
      <c r="J899" s="13"/>
      <c r="K899" s="13"/>
      <c r="L899" s="13"/>
      <c r="M899" s="13"/>
      <c r="N899" s="13"/>
      <c r="O899" s="13"/>
      <c r="P899" s="13"/>
    </row>
    <row r="900">
      <c r="A900" s="13"/>
      <c r="B900" s="13"/>
      <c r="C900" s="13"/>
      <c r="D900" s="13"/>
      <c r="E900" s="13"/>
      <c r="F900" s="13"/>
      <c r="G900" s="13"/>
      <c r="H900" s="72"/>
      <c r="I900" s="13"/>
      <c r="J900" s="13"/>
      <c r="K900" s="13"/>
      <c r="L900" s="13"/>
      <c r="M900" s="13"/>
      <c r="N900" s="13"/>
      <c r="O900" s="13"/>
      <c r="P900" s="13"/>
    </row>
    <row r="901">
      <c r="A901" s="13"/>
      <c r="B901" s="13"/>
      <c r="C901" s="13"/>
      <c r="D901" s="13"/>
      <c r="E901" s="13"/>
      <c r="F901" s="13"/>
      <c r="G901" s="13"/>
      <c r="H901" s="72"/>
      <c r="I901" s="13"/>
      <c r="J901" s="13"/>
      <c r="K901" s="13"/>
      <c r="L901" s="13"/>
      <c r="M901" s="13"/>
      <c r="N901" s="13"/>
      <c r="O901" s="13"/>
      <c r="P901" s="13"/>
    </row>
    <row r="902">
      <c r="A902" s="13"/>
      <c r="B902" s="13"/>
      <c r="C902" s="13"/>
      <c r="D902" s="13"/>
      <c r="E902" s="13"/>
      <c r="F902" s="13"/>
      <c r="G902" s="13"/>
      <c r="H902" s="72"/>
      <c r="I902" s="13"/>
      <c r="J902" s="13"/>
      <c r="K902" s="13"/>
      <c r="L902" s="13"/>
      <c r="M902" s="13"/>
      <c r="N902" s="13"/>
      <c r="O902" s="13"/>
      <c r="P902" s="13"/>
    </row>
    <row r="903">
      <c r="A903" s="13"/>
      <c r="B903" s="13"/>
      <c r="C903" s="13"/>
      <c r="D903" s="13"/>
      <c r="E903" s="13"/>
      <c r="F903" s="13"/>
      <c r="G903" s="13"/>
      <c r="H903" s="72"/>
      <c r="I903" s="13"/>
      <c r="J903" s="13"/>
      <c r="K903" s="13"/>
      <c r="L903" s="13"/>
      <c r="M903" s="13"/>
      <c r="N903" s="13"/>
      <c r="O903" s="13"/>
      <c r="P903" s="13"/>
    </row>
    <row r="904">
      <c r="A904" s="13"/>
      <c r="B904" s="13"/>
      <c r="C904" s="13"/>
      <c r="D904" s="13"/>
      <c r="E904" s="13"/>
      <c r="F904" s="13"/>
      <c r="G904" s="13"/>
      <c r="H904" s="72"/>
      <c r="I904" s="13"/>
      <c r="J904" s="13"/>
      <c r="K904" s="13"/>
      <c r="L904" s="13"/>
      <c r="M904" s="13"/>
      <c r="N904" s="13"/>
      <c r="O904" s="13"/>
      <c r="P904" s="13"/>
    </row>
    <row r="905">
      <c r="A905" s="13"/>
      <c r="B905" s="13"/>
      <c r="C905" s="13"/>
      <c r="D905" s="13"/>
      <c r="E905" s="13"/>
      <c r="F905" s="13"/>
      <c r="G905" s="13"/>
      <c r="H905" s="72"/>
      <c r="I905" s="13"/>
      <c r="J905" s="13"/>
      <c r="K905" s="13"/>
      <c r="L905" s="13"/>
      <c r="M905" s="13"/>
      <c r="N905" s="13"/>
      <c r="O905" s="13"/>
      <c r="P905" s="13"/>
    </row>
    <row r="906">
      <c r="A906" s="13"/>
      <c r="B906" s="13"/>
      <c r="C906" s="13"/>
      <c r="D906" s="13"/>
      <c r="E906" s="13"/>
      <c r="F906" s="13"/>
      <c r="G906" s="13"/>
      <c r="H906" s="72"/>
      <c r="I906" s="13"/>
      <c r="J906" s="13"/>
      <c r="K906" s="13"/>
      <c r="L906" s="13"/>
      <c r="M906" s="13"/>
      <c r="N906" s="13"/>
      <c r="O906" s="13"/>
      <c r="P906" s="13"/>
    </row>
    <row r="907">
      <c r="A907" s="13"/>
      <c r="B907" s="13"/>
      <c r="C907" s="13"/>
      <c r="D907" s="13"/>
      <c r="E907" s="13"/>
      <c r="F907" s="13"/>
      <c r="G907" s="13"/>
      <c r="H907" s="72"/>
      <c r="I907" s="13"/>
      <c r="J907" s="13"/>
      <c r="K907" s="13"/>
      <c r="L907" s="13"/>
      <c r="M907" s="13"/>
      <c r="N907" s="13"/>
      <c r="O907" s="13"/>
      <c r="P907" s="13"/>
    </row>
    <row r="908">
      <c r="A908" s="13"/>
      <c r="B908" s="13"/>
      <c r="C908" s="13"/>
      <c r="D908" s="13"/>
      <c r="E908" s="13"/>
      <c r="F908" s="13"/>
      <c r="G908" s="13"/>
      <c r="H908" s="72"/>
      <c r="I908" s="13"/>
      <c r="J908" s="13"/>
      <c r="K908" s="13"/>
      <c r="L908" s="13"/>
      <c r="M908" s="13"/>
      <c r="N908" s="13"/>
      <c r="O908" s="13"/>
      <c r="P908" s="13"/>
    </row>
    <row r="909">
      <c r="A909" s="13"/>
      <c r="B909" s="13"/>
      <c r="C909" s="13"/>
      <c r="D909" s="13"/>
      <c r="E909" s="13"/>
      <c r="F909" s="13"/>
      <c r="G909" s="13"/>
      <c r="H909" s="72"/>
      <c r="I909" s="13"/>
      <c r="J909" s="13"/>
      <c r="K909" s="13"/>
      <c r="L909" s="13"/>
      <c r="M909" s="13"/>
      <c r="N909" s="13"/>
      <c r="O909" s="13"/>
      <c r="P909" s="13"/>
    </row>
    <row r="910">
      <c r="A910" s="13"/>
      <c r="B910" s="13"/>
      <c r="C910" s="13"/>
      <c r="D910" s="13"/>
      <c r="E910" s="13"/>
      <c r="F910" s="13"/>
      <c r="G910" s="13"/>
      <c r="H910" s="72"/>
      <c r="I910" s="13"/>
      <c r="J910" s="13"/>
      <c r="K910" s="13"/>
      <c r="L910" s="13"/>
      <c r="M910" s="13"/>
      <c r="N910" s="13"/>
      <c r="O910" s="13"/>
      <c r="P910" s="13"/>
    </row>
    <row r="911">
      <c r="A911" s="13"/>
      <c r="B911" s="13"/>
      <c r="C911" s="13"/>
      <c r="D911" s="13"/>
      <c r="E911" s="13"/>
      <c r="F911" s="13"/>
      <c r="G911" s="13"/>
      <c r="H911" s="72"/>
      <c r="I911" s="13"/>
      <c r="J911" s="13"/>
      <c r="K911" s="13"/>
      <c r="L911" s="13"/>
      <c r="M911" s="13"/>
      <c r="N911" s="13"/>
      <c r="O911" s="13"/>
      <c r="P911" s="13"/>
    </row>
    <row r="912">
      <c r="A912" s="13"/>
      <c r="B912" s="13"/>
      <c r="C912" s="13"/>
      <c r="D912" s="13"/>
      <c r="E912" s="13"/>
      <c r="F912" s="13"/>
      <c r="G912" s="13"/>
      <c r="H912" s="72"/>
      <c r="I912" s="13"/>
      <c r="J912" s="13"/>
      <c r="K912" s="13"/>
      <c r="L912" s="13"/>
      <c r="M912" s="13"/>
      <c r="N912" s="13"/>
      <c r="O912" s="13"/>
      <c r="P912" s="13"/>
    </row>
    <row r="913">
      <c r="A913" s="13"/>
      <c r="B913" s="13"/>
      <c r="C913" s="13"/>
      <c r="D913" s="13"/>
      <c r="E913" s="13"/>
      <c r="F913" s="13"/>
      <c r="G913" s="13"/>
      <c r="H913" s="72"/>
      <c r="I913" s="13"/>
      <c r="J913" s="13"/>
      <c r="K913" s="13"/>
      <c r="L913" s="13"/>
      <c r="M913" s="13"/>
      <c r="N913" s="13"/>
      <c r="O913" s="13"/>
      <c r="P913" s="13"/>
    </row>
    <row r="914">
      <c r="A914" s="13"/>
      <c r="B914" s="13"/>
      <c r="C914" s="13"/>
      <c r="D914" s="13"/>
      <c r="E914" s="13"/>
      <c r="F914" s="13"/>
      <c r="G914" s="13"/>
      <c r="H914" s="72"/>
      <c r="I914" s="13"/>
      <c r="J914" s="13"/>
      <c r="K914" s="13"/>
      <c r="L914" s="13"/>
      <c r="M914" s="13"/>
      <c r="N914" s="13"/>
      <c r="O914" s="13"/>
      <c r="P914" s="13"/>
    </row>
    <row r="915">
      <c r="A915" s="13"/>
      <c r="B915" s="13"/>
      <c r="C915" s="13"/>
      <c r="D915" s="13"/>
      <c r="E915" s="13"/>
      <c r="F915" s="13"/>
      <c r="G915" s="13"/>
      <c r="H915" s="72"/>
      <c r="I915" s="13"/>
      <c r="J915" s="13"/>
      <c r="K915" s="13"/>
      <c r="L915" s="13"/>
      <c r="M915" s="13"/>
      <c r="N915" s="13"/>
      <c r="O915" s="13"/>
      <c r="P915" s="13"/>
    </row>
    <row r="916">
      <c r="A916" s="13"/>
      <c r="B916" s="13"/>
      <c r="C916" s="13"/>
      <c r="D916" s="13"/>
      <c r="E916" s="13"/>
      <c r="F916" s="13"/>
      <c r="G916" s="13"/>
      <c r="H916" s="72"/>
      <c r="I916" s="13"/>
      <c r="J916" s="13"/>
      <c r="K916" s="13"/>
      <c r="L916" s="13"/>
      <c r="M916" s="13"/>
      <c r="N916" s="13"/>
      <c r="O916" s="13"/>
      <c r="P916" s="13"/>
    </row>
    <row r="917">
      <c r="A917" s="13"/>
      <c r="B917" s="13"/>
      <c r="C917" s="13"/>
      <c r="D917" s="13"/>
      <c r="E917" s="13"/>
      <c r="F917" s="13"/>
      <c r="G917" s="13"/>
      <c r="H917" s="72"/>
      <c r="I917" s="13"/>
      <c r="J917" s="13"/>
      <c r="K917" s="13"/>
      <c r="L917" s="13"/>
      <c r="M917" s="13"/>
      <c r="N917" s="13"/>
      <c r="O917" s="13"/>
      <c r="P917" s="13"/>
    </row>
    <row r="918">
      <c r="A918" s="13"/>
      <c r="B918" s="13"/>
      <c r="C918" s="13"/>
      <c r="D918" s="13"/>
      <c r="E918" s="13"/>
      <c r="F918" s="13"/>
      <c r="G918" s="13"/>
      <c r="H918" s="72"/>
      <c r="I918" s="13"/>
      <c r="J918" s="13"/>
      <c r="K918" s="13"/>
      <c r="L918" s="13"/>
      <c r="M918" s="13"/>
      <c r="N918" s="13"/>
      <c r="O918" s="13"/>
      <c r="P918" s="13"/>
    </row>
    <row r="919">
      <c r="A919" s="13"/>
      <c r="B919" s="13"/>
      <c r="C919" s="13"/>
      <c r="D919" s="13"/>
      <c r="E919" s="13"/>
      <c r="F919" s="13"/>
      <c r="G919" s="13"/>
      <c r="H919" s="72"/>
      <c r="I919" s="13"/>
      <c r="J919" s="13"/>
      <c r="K919" s="13"/>
      <c r="L919" s="13"/>
      <c r="M919" s="13"/>
      <c r="N919" s="13"/>
      <c r="O919" s="13"/>
      <c r="P919" s="13"/>
    </row>
    <row r="920">
      <c r="A920" s="13"/>
      <c r="B920" s="13"/>
      <c r="C920" s="13"/>
      <c r="D920" s="13"/>
      <c r="E920" s="13"/>
      <c r="F920" s="13"/>
      <c r="G920" s="13"/>
      <c r="H920" s="72"/>
      <c r="I920" s="13"/>
      <c r="J920" s="13"/>
      <c r="K920" s="13"/>
      <c r="L920" s="13"/>
      <c r="M920" s="13"/>
      <c r="N920" s="13"/>
      <c r="O920" s="13"/>
      <c r="P920" s="13"/>
    </row>
    <row r="921">
      <c r="A921" s="13"/>
      <c r="B921" s="13"/>
      <c r="C921" s="13"/>
      <c r="D921" s="13"/>
      <c r="E921" s="13"/>
      <c r="F921" s="13"/>
      <c r="G921" s="13"/>
      <c r="H921" s="72"/>
      <c r="I921" s="13"/>
      <c r="J921" s="13"/>
      <c r="K921" s="13"/>
      <c r="L921" s="13"/>
      <c r="M921" s="13"/>
      <c r="N921" s="13"/>
      <c r="O921" s="13"/>
      <c r="P921" s="13"/>
    </row>
    <row r="922">
      <c r="A922" s="13"/>
      <c r="B922" s="13"/>
      <c r="C922" s="13"/>
      <c r="D922" s="13"/>
      <c r="E922" s="13"/>
      <c r="F922" s="13"/>
      <c r="G922" s="13"/>
      <c r="H922" s="72"/>
      <c r="I922" s="13"/>
      <c r="J922" s="13"/>
      <c r="K922" s="13"/>
      <c r="L922" s="13"/>
      <c r="M922" s="13"/>
      <c r="N922" s="13"/>
      <c r="O922" s="13"/>
      <c r="P922" s="13"/>
    </row>
    <row r="923">
      <c r="A923" s="13"/>
      <c r="B923" s="13"/>
      <c r="C923" s="13"/>
      <c r="D923" s="13"/>
      <c r="E923" s="13"/>
      <c r="F923" s="13"/>
      <c r="G923" s="13"/>
      <c r="H923" s="72"/>
      <c r="I923" s="13"/>
      <c r="J923" s="13"/>
      <c r="K923" s="13"/>
      <c r="L923" s="13"/>
      <c r="M923" s="13"/>
      <c r="N923" s="13"/>
      <c r="O923" s="13"/>
      <c r="P923" s="13"/>
    </row>
    <row r="924">
      <c r="A924" s="13"/>
      <c r="B924" s="13"/>
      <c r="C924" s="13"/>
      <c r="D924" s="13"/>
      <c r="E924" s="13"/>
      <c r="F924" s="13"/>
      <c r="G924" s="13"/>
      <c r="H924" s="72"/>
      <c r="I924" s="13"/>
      <c r="J924" s="13"/>
      <c r="K924" s="13"/>
      <c r="L924" s="13"/>
      <c r="M924" s="13"/>
      <c r="N924" s="13"/>
      <c r="O924" s="13"/>
      <c r="P924" s="13"/>
    </row>
    <row r="925">
      <c r="A925" s="13"/>
      <c r="B925" s="13"/>
      <c r="C925" s="13"/>
      <c r="D925" s="13"/>
      <c r="E925" s="13"/>
      <c r="F925" s="13"/>
      <c r="G925" s="13"/>
      <c r="H925" s="72"/>
      <c r="I925" s="13"/>
      <c r="J925" s="13"/>
      <c r="K925" s="13"/>
      <c r="L925" s="13"/>
      <c r="M925" s="13"/>
      <c r="N925" s="13"/>
      <c r="O925" s="13"/>
      <c r="P925" s="13"/>
    </row>
    <row r="926">
      <c r="A926" s="13"/>
      <c r="B926" s="13"/>
      <c r="C926" s="13"/>
      <c r="D926" s="13"/>
      <c r="E926" s="13"/>
      <c r="F926" s="13"/>
      <c r="G926" s="13"/>
      <c r="H926" s="72"/>
      <c r="I926" s="13"/>
      <c r="J926" s="13"/>
      <c r="K926" s="13"/>
      <c r="L926" s="13"/>
      <c r="M926" s="13"/>
      <c r="N926" s="13"/>
      <c r="O926" s="13"/>
      <c r="P926" s="13"/>
    </row>
    <row r="927">
      <c r="A927" s="13"/>
      <c r="B927" s="13"/>
      <c r="C927" s="13"/>
      <c r="D927" s="13"/>
      <c r="E927" s="13"/>
      <c r="F927" s="13"/>
      <c r="G927" s="13"/>
      <c r="H927" s="72"/>
      <c r="I927" s="13"/>
      <c r="J927" s="13"/>
      <c r="K927" s="13"/>
      <c r="L927" s="13"/>
      <c r="M927" s="13"/>
      <c r="N927" s="13"/>
      <c r="O927" s="13"/>
      <c r="P927" s="13"/>
    </row>
    <row r="928">
      <c r="A928" s="13"/>
      <c r="B928" s="13"/>
      <c r="C928" s="13"/>
      <c r="D928" s="13"/>
      <c r="E928" s="13"/>
      <c r="F928" s="13"/>
      <c r="G928" s="13"/>
      <c r="H928" s="72"/>
      <c r="I928" s="13"/>
      <c r="J928" s="13"/>
      <c r="K928" s="13"/>
      <c r="L928" s="13"/>
      <c r="M928" s="13"/>
      <c r="N928" s="13"/>
      <c r="O928" s="13"/>
      <c r="P928" s="13"/>
    </row>
    <row r="929">
      <c r="A929" s="13"/>
      <c r="B929" s="13"/>
      <c r="C929" s="13"/>
      <c r="D929" s="13"/>
      <c r="E929" s="13"/>
      <c r="F929" s="13"/>
      <c r="G929" s="13"/>
      <c r="H929" s="72"/>
      <c r="I929" s="13"/>
      <c r="J929" s="13"/>
      <c r="K929" s="13"/>
      <c r="L929" s="13"/>
      <c r="M929" s="13"/>
      <c r="N929" s="13"/>
      <c r="O929" s="13"/>
      <c r="P929" s="13"/>
    </row>
    <row r="930">
      <c r="A930" s="13"/>
      <c r="B930" s="13"/>
      <c r="C930" s="13"/>
      <c r="D930" s="13"/>
      <c r="E930" s="13"/>
      <c r="F930" s="13"/>
      <c r="G930" s="13"/>
      <c r="H930" s="72"/>
      <c r="I930" s="13"/>
      <c r="J930" s="13"/>
      <c r="K930" s="13"/>
      <c r="L930" s="13"/>
      <c r="M930" s="13"/>
      <c r="N930" s="13"/>
      <c r="O930" s="13"/>
      <c r="P930" s="13"/>
    </row>
    <row r="931">
      <c r="A931" s="13"/>
      <c r="B931" s="13"/>
      <c r="C931" s="13"/>
      <c r="D931" s="13"/>
      <c r="E931" s="13"/>
      <c r="F931" s="13"/>
      <c r="G931" s="13"/>
      <c r="H931" s="72"/>
      <c r="I931" s="13"/>
      <c r="J931" s="13"/>
      <c r="K931" s="13"/>
      <c r="L931" s="13"/>
      <c r="M931" s="13"/>
      <c r="N931" s="13"/>
      <c r="O931" s="13"/>
      <c r="P931" s="13"/>
    </row>
    <row r="932">
      <c r="A932" s="13"/>
      <c r="B932" s="13"/>
      <c r="C932" s="13"/>
      <c r="D932" s="13"/>
      <c r="E932" s="13"/>
      <c r="F932" s="13"/>
      <c r="G932" s="13"/>
      <c r="H932" s="72"/>
      <c r="I932" s="13"/>
      <c r="J932" s="13"/>
      <c r="K932" s="13"/>
      <c r="L932" s="13"/>
      <c r="M932" s="13"/>
      <c r="N932" s="13"/>
      <c r="O932" s="13"/>
      <c r="P932" s="13"/>
    </row>
    <row r="933">
      <c r="A933" s="13"/>
      <c r="B933" s="13"/>
      <c r="C933" s="13"/>
      <c r="D933" s="13"/>
      <c r="E933" s="13"/>
      <c r="F933" s="13"/>
      <c r="G933" s="13"/>
      <c r="H933" s="72"/>
      <c r="I933" s="13"/>
      <c r="J933" s="13"/>
      <c r="K933" s="13"/>
      <c r="L933" s="13"/>
      <c r="M933" s="13"/>
      <c r="N933" s="13"/>
      <c r="O933" s="13"/>
      <c r="P933" s="13"/>
    </row>
    <row r="934">
      <c r="A934" s="13"/>
      <c r="B934" s="13"/>
      <c r="C934" s="13"/>
      <c r="D934" s="13"/>
      <c r="E934" s="13"/>
      <c r="F934" s="13"/>
      <c r="G934" s="13"/>
      <c r="H934" s="72"/>
      <c r="I934" s="13"/>
      <c r="J934" s="13"/>
      <c r="K934" s="13"/>
      <c r="L934" s="13"/>
      <c r="M934" s="13"/>
      <c r="N934" s="13"/>
      <c r="O934" s="13"/>
      <c r="P934" s="13"/>
    </row>
    <row r="935">
      <c r="A935" s="13"/>
      <c r="B935" s="13"/>
      <c r="C935" s="13"/>
      <c r="D935" s="13"/>
      <c r="E935" s="13"/>
      <c r="F935" s="13"/>
      <c r="G935" s="13"/>
      <c r="H935" s="72"/>
      <c r="I935" s="13"/>
      <c r="J935" s="13"/>
      <c r="K935" s="13"/>
      <c r="L935" s="13"/>
      <c r="M935" s="13"/>
      <c r="N935" s="13"/>
      <c r="O935" s="13"/>
      <c r="P935" s="13"/>
    </row>
    <row r="936">
      <c r="A936" s="13"/>
      <c r="B936" s="13"/>
      <c r="C936" s="13"/>
      <c r="D936" s="13"/>
      <c r="E936" s="13"/>
      <c r="F936" s="13"/>
      <c r="G936" s="13"/>
      <c r="H936" s="72"/>
      <c r="I936" s="13"/>
      <c r="J936" s="13"/>
      <c r="K936" s="13"/>
      <c r="L936" s="13"/>
      <c r="M936" s="13"/>
      <c r="N936" s="13"/>
      <c r="O936" s="13"/>
      <c r="P936" s="13"/>
    </row>
    <row r="937">
      <c r="A937" s="13"/>
      <c r="B937" s="13"/>
      <c r="C937" s="13"/>
      <c r="D937" s="13"/>
      <c r="E937" s="13"/>
      <c r="F937" s="13"/>
      <c r="G937" s="13"/>
      <c r="H937" s="72"/>
      <c r="I937" s="13"/>
      <c r="J937" s="13"/>
      <c r="K937" s="13"/>
      <c r="L937" s="13"/>
      <c r="M937" s="13"/>
      <c r="N937" s="13"/>
      <c r="O937" s="13"/>
      <c r="P937" s="13"/>
    </row>
    <row r="938">
      <c r="A938" s="13"/>
      <c r="B938" s="13"/>
      <c r="C938" s="13"/>
      <c r="D938" s="13"/>
      <c r="E938" s="13"/>
      <c r="F938" s="13"/>
      <c r="G938" s="13"/>
      <c r="H938" s="72"/>
      <c r="I938" s="13"/>
      <c r="J938" s="13"/>
      <c r="K938" s="13"/>
      <c r="L938" s="13"/>
      <c r="M938" s="13"/>
      <c r="N938" s="13"/>
      <c r="O938" s="13"/>
      <c r="P938" s="13"/>
    </row>
    <row r="939">
      <c r="A939" s="13"/>
      <c r="B939" s="13"/>
      <c r="C939" s="13"/>
      <c r="D939" s="13"/>
      <c r="E939" s="13"/>
      <c r="F939" s="13"/>
      <c r="G939" s="13"/>
      <c r="H939" s="72"/>
      <c r="I939" s="13"/>
      <c r="J939" s="13"/>
      <c r="K939" s="13"/>
      <c r="L939" s="13"/>
      <c r="M939" s="13"/>
      <c r="N939" s="13"/>
      <c r="O939" s="13"/>
      <c r="P939" s="13"/>
    </row>
    <row r="940">
      <c r="A940" s="13"/>
      <c r="B940" s="13"/>
      <c r="C940" s="13"/>
      <c r="D940" s="13"/>
      <c r="E940" s="13"/>
      <c r="F940" s="13"/>
      <c r="G940" s="13"/>
      <c r="H940" s="72"/>
      <c r="I940" s="13"/>
      <c r="J940" s="13"/>
      <c r="K940" s="13"/>
      <c r="L940" s="13"/>
      <c r="M940" s="13"/>
      <c r="N940" s="13"/>
      <c r="O940" s="13"/>
      <c r="P940" s="13"/>
    </row>
    <row r="941">
      <c r="A941" s="13"/>
      <c r="B941" s="13"/>
      <c r="C941" s="13"/>
      <c r="D941" s="13"/>
      <c r="E941" s="13"/>
      <c r="F941" s="13"/>
      <c r="G941" s="13"/>
      <c r="H941" s="72"/>
      <c r="I941" s="13"/>
      <c r="J941" s="13"/>
      <c r="K941" s="13"/>
      <c r="L941" s="13"/>
      <c r="M941" s="13"/>
      <c r="N941" s="13"/>
      <c r="O941" s="13"/>
      <c r="P941" s="13"/>
    </row>
    <row r="942">
      <c r="A942" s="13"/>
      <c r="B942" s="13"/>
      <c r="C942" s="13"/>
      <c r="D942" s="13"/>
      <c r="E942" s="13"/>
      <c r="F942" s="13"/>
      <c r="G942" s="13"/>
      <c r="H942" s="72"/>
      <c r="I942" s="13"/>
      <c r="J942" s="13"/>
      <c r="K942" s="13"/>
      <c r="L942" s="13"/>
      <c r="M942" s="13"/>
      <c r="N942" s="13"/>
      <c r="O942" s="13"/>
      <c r="P942" s="13"/>
    </row>
    <row r="943">
      <c r="A943" s="13"/>
      <c r="B943" s="13"/>
      <c r="C943" s="13"/>
      <c r="D943" s="13"/>
      <c r="E943" s="13"/>
      <c r="F943" s="13"/>
      <c r="G943" s="13"/>
      <c r="H943" s="72"/>
      <c r="I943" s="13"/>
      <c r="J943" s="13"/>
      <c r="K943" s="13"/>
      <c r="L943" s="13"/>
      <c r="M943" s="13"/>
      <c r="N943" s="13"/>
      <c r="O943" s="13"/>
      <c r="P943" s="13"/>
    </row>
    <row r="944">
      <c r="A944" s="13"/>
      <c r="B944" s="13"/>
      <c r="C944" s="13"/>
      <c r="D944" s="13"/>
      <c r="E944" s="13"/>
      <c r="F944" s="13"/>
      <c r="G944" s="13"/>
      <c r="H944" s="72"/>
      <c r="I944" s="13"/>
      <c r="J944" s="13"/>
      <c r="K944" s="13"/>
      <c r="L944" s="13"/>
      <c r="M944" s="13"/>
      <c r="N944" s="13"/>
      <c r="O944" s="13"/>
      <c r="P944" s="13"/>
    </row>
    <row r="945">
      <c r="A945" s="13"/>
      <c r="B945" s="13"/>
      <c r="C945" s="13"/>
      <c r="D945" s="13"/>
      <c r="E945" s="13"/>
      <c r="F945" s="13"/>
      <c r="G945" s="13"/>
      <c r="H945" s="72"/>
      <c r="I945" s="13"/>
      <c r="J945" s="13"/>
      <c r="K945" s="13"/>
      <c r="L945" s="13"/>
      <c r="M945" s="13"/>
      <c r="N945" s="13"/>
      <c r="O945" s="13"/>
      <c r="P945" s="13"/>
    </row>
    <row r="946">
      <c r="A946" s="13"/>
      <c r="B946" s="13"/>
      <c r="C946" s="13"/>
      <c r="D946" s="13"/>
      <c r="E946" s="13"/>
      <c r="F946" s="13"/>
      <c r="G946" s="13"/>
      <c r="H946" s="72"/>
      <c r="I946" s="13"/>
      <c r="J946" s="13"/>
      <c r="K946" s="13"/>
      <c r="L946" s="13"/>
      <c r="M946" s="13"/>
      <c r="N946" s="13"/>
      <c r="O946" s="13"/>
      <c r="P946" s="13"/>
    </row>
    <row r="947">
      <c r="A947" s="13"/>
      <c r="B947" s="13"/>
      <c r="C947" s="13"/>
      <c r="D947" s="13"/>
      <c r="E947" s="13"/>
      <c r="F947" s="13"/>
      <c r="G947" s="13"/>
      <c r="H947" s="72"/>
      <c r="I947" s="13"/>
      <c r="J947" s="13"/>
      <c r="K947" s="13"/>
      <c r="L947" s="13"/>
      <c r="M947" s="13"/>
      <c r="N947" s="13"/>
      <c r="O947" s="13"/>
      <c r="P947" s="13"/>
    </row>
    <row r="948">
      <c r="A948" s="13"/>
      <c r="B948" s="13"/>
      <c r="C948" s="13"/>
      <c r="D948" s="13"/>
      <c r="E948" s="13"/>
      <c r="F948" s="13"/>
      <c r="G948" s="13"/>
      <c r="H948" s="72"/>
      <c r="I948" s="13"/>
      <c r="J948" s="13"/>
      <c r="K948" s="13"/>
      <c r="L948" s="13"/>
      <c r="M948" s="13"/>
      <c r="N948" s="13"/>
      <c r="O948" s="13"/>
      <c r="P948" s="13"/>
    </row>
    <row r="949">
      <c r="A949" s="13"/>
      <c r="B949" s="13"/>
      <c r="C949" s="13"/>
      <c r="D949" s="13"/>
      <c r="E949" s="13"/>
      <c r="F949" s="13"/>
      <c r="G949" s="13"/>
      <c r="H949" s="72"/>
      <c r="I949" s="13"/>
      <c r="J949" s="13"/>
      <c r="K949" s="13"/>
      <c r="L949" s="13"/>
      <c r="M949" s="13"/>
      <c r="N949" s="13"/>
      <c r="O949" s="13"/>
      <c r="P949" s="13"/>
    </row>
    <row r="950">
      <c r="A950" s="13"/>
      <c r="B950" s="13"/>
      <c r="C950" s="13"/>
      <c r="D950" s="13"/>
      <c r="E950" s="13"/>
      <c r="F950" s="13"/>
      <c r="G950" s="13"/>
      <c r="H950" s="72"/>
      <c r="I950" s="13"/>
      <c r="J950" s="13"/>
      <c r="K950" s="13"/>
      <c r="L950" s="13"/>
      <c r="M950" s="13"/>
      <c r="N950" s="13"/>
      <c r="O950" s="13"/>
      <c r="P950" s="13"/>
    </row>
    <row r="951">
      <c r="A951" s="13"/>
      <c r="B951" s="13"/>
      <c r="C951" s="13"/>
      <c r="D951" s="13"/>
      <c r="E951" s="13"/>
      <c r="F951" s="13"/>
      <c r="G951" s="13"/>
      <c r="H951" s="72"/>
      <c r="I951" s="13"/>
      <c r="J951" s="13"/>
      <c r="K951" s="13"/>
      <c r="L951" s="13"/>
      <c r="M951" s="13"/>
      <c r="N951" s="13"/>
      <c r="O951" s="13"/>
      <c r="P951" s="13"/>
    </row>
    <row r="952">
      <c r="A952" s="13"/>
      <c r="B952" s="13"/>
      <c r="C952" s="13"/>
      <c r="D952" s="13"/>
      <c r="E952" s="13"/>
      <c r="F952" s="13"/>
      <c r="G952" s="13"/>
      <c r="H952" s="72"/>
      <c r="I952" s="13"/>
      <c r="J952" s="13"/>
      <c r="K952" s="13"/>
      <c r="L952" s="13"/>
      <c r="M952" s="13"/>
      <c r="N952" s="13"/>
      <c r="O952" s="13"/>
      <c r="P952" s="13"/>
    </row>
    <row r="953">
      <c r="A953" s="13"/>
      <c r="B953" s="13"/>
      <c r="C953" s="13"/>
      <c r="D953" s="13"/>
      <c r="E953" s="13"/>
      <c r="F953" s="13"/>
      <c r="G953" s="13"/>
      <c r="H953" s="72"/>
      <c r="I953" s="13"/>
      <c r="J953" s="13"/>
      <c r="K953" s="13"/>
      <c r="L953" s="13"/>
      <c r="M953" s="13"/>
      <c r="N953" s="13"/>
      <c r="O953" s="13"/>
      <c r="P953" s="13"/>
    </row>
    <row r="954">
      <c r="A954" s="13"/>
      <c r="B954" s="13"/>
      <c r="C954" s="13"/>
      <c r="D954" s="13"/>
      <c r="E954" s="13"/>
      <c r="F954" s="13"/>
      <c r="G954" s="13"/>
      <c r="H954" s="72"/>
      <c r="I954" s="13"/>
      <c r="J954" s="13"/>
      <c r="K954" s="13"/>
      <c r="L954" s="13"/>
      <c r="M954" s="13"/>
      <c r="N954" s="13"/>
      <c r="O954" s="13"/>
      <c r="P954" s="13"/>
    </row>
    <row r="955">
      <c r="A955" s="13"/>
      <c r="B955" s="13"/>
      <c r="C955" s="13"/>
      <c r="D955" s="13"/>
      <c r="E955" s="13"/>
      <c r="F955" s="13"/>
      <c r="G955" s="13"/>
      <c r="H955" s="72"/>
      <c r="I955" s="13"/>
      <c r="J955" s="13"/>
      <c r="K955" s="13"/>
      <c r="L955" s="13"/>
      <c r="M955" s="13"/>
      <c r="N955" s="13"/>
      <c r="O955" s="13"/>
      <c r="P955" s="13"/>
    </row>
    <row r="956">
      <c r="A956" s="13"/>
      <c r="B956" s="13"/>
      <c r="C956" s="13"/>
      <c r="D956" s="13"/>
      <c r="E956" s="13"/>
      <c r="F956" s="13"/>
      <c r="G956" s="13"/>
      <c r="H956" s="72"/>
      <c r="I956" s="13"/>
      <c r="J956" s="13"/>
      <c r="K956" s="13"/>
      <c r="L956" s="13"/>
      <c r="M956" s="13"/>
      <c r="N956" s="13"/>
      <c r="O956" s="13"/>
      <c r="P956" s="13"/>
    </row>
    <row r="957">
      <c r="A957" s="13"/>
      <c r="B957" s="13"/>
      <c r="C957" s="13"/>
      <c r="D957" s="13"/>
      <c r="E957" s="13"/>
      <c r="F957" s="13"/>
      <c r="G957" s="13"/>
      <c r="H957" s="72"/>
      <c r="I957" s="13"/>
      <c r="J957" s="13"/>
      <c r="K957" s="13"/>
      <c r="L957" s="13"/>
      <c r="M957" s="13"/>
      <c r="N957" s="13"/>
      <c r="O957" s="13"/>
      <c r="P957" s="13"/>
    </row>
    <row r="958">
      <c r="A958" s="13"/>
      <c r="B958" s="13"/>
      <c r="C958" s="13"/>
      <c r="D958" s="13"/>
      <c r="E958" s="13"/>
      <c r="F958" s="13"/>
      <c r="G958" s="13"/>
      <c r="H958" s="72"/>
      <c r="I958" s="13"/>
      <c r="J958" s="13"/>
      <c r="K958" s="13"/>
      <c r="L958" s="13"/>
      <c r="M958" s="13"/>
      <c r="N958" s="13"/>
      <c r="O958" s="13"/>
      <c r="P958" s="13"/>
    </row>
    <row r="959">
      <c r="A959" s="13"/>
      <c r="B959" s="13"/>
      <c r="C959" s="13"/>
      <c r="D959" s="13"/>
      <c r="E959" s="13"/>
      <c r="F959" s="13"/>
      <c r="G959" s="13"/>
      <c r="H959" s="72"/>
      <c r="I959" s="13"/>
      <c r="J959" s="13"/>
      <c r="K959" s="13"/>
      <c r="L959" s="13"/>
      <c r="M959" s="13"/>
      <c r="N959" s="13"/>
      <c r="O959" s="13"/>
      <c r="P959" s="13"/>
    </row>
    <row r="960">
      <c r="A960" s="13"/>
      <c r="B960" s="13"/>
      <c r="C960" s="13"/>
      <c r="D960" s="13"/>
      <c r="E960" s="13"/>
      <c r="F960" s="13"/>
      <c r="G960" s="13"/>
      <c r="H960" s="72"/>
      <c r="I960" s="13"/>
      <c r="J960" s="13"/>
      <c r="K960" s="13"/>
      <c r="L960" s="13"/>
      <c r="M960" s="13"/>
      <c r="N960" s="13"/>
      <c r="O960" s="13"/>
      <c r="P960" s="13"/>
    </row>
    <row r="961">
      <c r="A961" s="13"/>
      <c r="B961" s="13"/>
      <c r="C961" s="13"/>
      <c r="D961" s="13"/>
      <c r="E961" s="13"/>
      <c r="F961" s="13"/>
      <c r="G961" s="13"/>
      <c r="H961" s="72"/>
      <c r="I961" s="13"/>
      <c r="J961" s="13"/>
      <c r="K961" s="13"/>
      <c r="L961" s="13"/>
      <c r="M961" s="13"/>
      <c r="N961" s="13"/>
      <c r="O961" s="13"/>
      <c r="P961" s="13"/>
    </row>
    <row r="962">
      <c r="A962" s="13"/>
      <c r="B962" s="13"/>
      <c r="C962" s="13"/>
      <c r="D962" s="13"/>
      <c r="E962" s="13"/>
      <c r="F962" s="13"/>
      <c r="G962" s="13"/>
      <c r="H962" s="72"/>
      <c r="I962" s="13"/>
      <c r="J962" s="13"/>
      <c r="K962" s="13"/>
      <c r="L962" s="13"/>
      <c r="M962" s="13"/>
      <c r="N962" s="13"/>
      <c r="O962" s="13"/>
      <c r="P962" s="13"/>
    </row>
    <row r="963">
      <c r="A963" s="13"/>
      <c r="B963" s="13"/>
      <c r="C963" s="13"/>
      <c r="D963" s="13"/>
      <c r="E963" s="13"/>
      <c r="F963" s="13"/>
      <c r="G963" s="13"/>
      <c r="H963" s="72"/>
      <c r="I963" s="13"/>
      <c r="J963" s="13"/>
      <c r="K963" s="13"/>
      <c r="L963" s="13"/>
      <c r="M963" s="13"/>
      <c r="N963" s="13"/>
      <c r="O963" s="13"/>
      <c r="P963" s="13"/>
    </row>
    <row r="964">
      <c r="A964" s="13"/>
      <c r="B964" s="13"/>
      <c r="C964" s="13"/>
      <c r="D964" s="13"/>
      <c r="E964" s="13"/>
      <c r="F964" s="13"/>
      <c r="G964" s="13"/>
      <c r="H964" s="72"/>
      <c r="I964" s="13"/>
      <c r="J964" s="13"/>
      <c r="K964" s="13"/>
      <c r="L964" s="13"/>
      <c r="M964" s="13"/>
      <c r="N964" s="13"/>
      <c r="O964" s="13"/>
      <c r="P964" s="13"/>
    </row>
    <row r="965">
      <c r="A965" s="13"/>
      <c r="B965" s="13"/>
      <c r="C965" s="13"/>
      <c r="D965" s="13"/>
      <c r="E965" s="13"/>
      <c r="F965" s="13"/>
      <c r="G965" s="13"/>
      <c r="H965" s="72"/>
      <c r="I965" s="13"/>
      <c r="J965" s="13"/>
      <c r="K965" s="13"/>
      <c r="L965" s="13"/>
      <c r="M965" s="13"/>
      <c r="N965" s="13"/>
      <c r="O965" s="13"/>
      <c r="P965" s="13"/>
    </row>
    <row r="966">
      <c r="A966" s="13"/>
      <c r="B966" s="13"/>
      <c r="C966" s="13"/>
      <c r="D966" s="13"/>
      <c r="E966" s="13"/>
      <c r="F966" s="13"/>
      <c r="G966" s="13"/>
      <c r="H966" s="72"/>
      <c r="I966" s="13"/>
      <c r="J966" s="13"/>
      <c r="K966" s="13"/>
      <c r="L966" s="13"/>
      <c r="M966" s="13"/>
      <c r="N966" s="13"/>
      <c r="O966" s="13"/>
      <c r="P966" s="13"/>
    </row>
    <row r="967">
      <c r="A967" s="13"/>
      <c r="B967" s="13"/>
      <c r="C967" s="13"/>
      <c r="D967" s="13"/>
      <c r="E967" s="13"/>
      <c r="F967" s="13"/>
      <c r="G967" s="13"/>
      <c r="H967" s="72"/>
      <c r="I967" s="13"/>
      <c r="J967" s="13"/>
      <c r="K967" s="13"/>
      <c r="L967" s="13"/>
      <c r="M967" s="13"/>
      <c r="N967" s="13"/>
      <c r="O967" s="13"/>
      <c r="P967" s="13"/>
    </row>
    <row r="968">
      <c r="A968" s="13"/>
      <c r="B968" s="13"/>
      <c r="C968" s="13"/>
      <c r="D968" s="13"/>
      <c r="E968" s="13"/>
      <c r="F968" s="13"/>
      <c r="G968" s="13"/>
      <c r="H968" s="72"/>
      <c r="I968" s="13"/>
      <c r="J968" s="13"/>
      <c r="K968" s="13"/>
      <c r="L968" s="13"/>
      <c r="M968" s="13"/>
      <c r="N968" s="13"/>
      <c r="O968" s="13"/>
      <c r="P968" s="13"/>
    </row>
    <row r="969">
      <c r="A969" s="13"/>
      <c r="B969" s="13"/>
      <c r="C969" s="13"/>
      <c r="D969" s="13"/>
      <c r="E969" s="13"/>
      <c r="F969" s="13"/>
      <c r="G969" s="13"/>
      <c r="H969" s="72"/>
      <c r="I969" s="13"/>
      <c r="J969" s="13"/>
      <c r="K969" s="13"/>
      <c r="L969" s="13"/>
      <c r="M969" s="13"/>
      <c r="N969" s="13"/>
      <c r="O969" s="13"/>
      <c r="P969" s="13"/>
    </row>
    <row r="970">
      <c r="A970" s="13"/>
      <c r="B970" s="13"/>
      <c r="C970" s="13"/>
      <c r="D970" s="13"/>
      <c r="E970" s="13"/>
      <c r="F970" s="13"/>
      <c r="G970" s="13"/>
      <c r="H970" s="72"/>
      <c r="I970" s="13"/>
      <c r="J970" s="13"/>
      <c r="K970" s="13"/>
      <c r="L970" s="13"/>
      <c r="M970" s="13"/>
      <c r="N970" s="13"/>
      <c r="O970" s="13"/>
      <c r="P970" s="13"/>
    </row>
    <row r="971">
      <c r="A971" s="13"/>
      <c r="B971" s="13"/>
      <c r="C971" s="13"/>
      <c r="D971" s="13"/>
      <c r="E971" s="13"/>
      <c r="F971" s="13"/>
      <c r="G971" s="13"/>
      <c r="H971" s="72"/>
      <c r="I971" s="13"/>
      <c r="J971" s="13"/>
      <c r="K971" s="13"/>
      <c r="L971" s="13"/>
      <c r="M971" s="13"/>
      <c r="N971" s="13"/>
      <c r="O971" s="13"/>
      <c r="P971" s="13"/>
    </row>
    <row r="972">
      <c r="A972" s="13"/>
      <c r="B972" s="13"/>
      <c r="C972" s="13"/>
      <c r="D972" s="13"/>
      <c r="E972" s="13"/>
      <c r="F972" s="13"/>
      <c r="G972" s="13"/>
      <c r="H972" s="72"/>
      <c r="I972" s="13"/>
      <c r="J972" s="13"/>
      <c r="K972" s="13"/>
      <c r="L972" s="13"/>
      <c r="M972" s="13"/>
      <c r="N972" s="13"/>
      <c r="O972" s="13"/>
      <c r="P972" s="13"/>
    </row>
    <row r="973">
      <c r="A973" s="13"/>
      <c r="B973" s="13"/>
      <c r="C973" s="13"/>
      <c r="D973" s="13"/>
      <c r="E973" s="13"/>
      <c r="F973" s="13"/>
      <c r="G973" s="13"/>
      <c r="H973" s="72"/>
      <c r="I973" s="13"/>
      <c r="J973" s="13"/>
      <c r="K973" s="13"/>
      <c r="L973" s="13"/>
      <c r="M973" s="13"/>
      <c r="N973" s="13"/>
      <c r="O973" s="13"/>
      <c r="P973" s="13"/>
    </row>
    <row r="974">
      <c r="A974" s="13"/>
      <c r="B974" s="13"/>
      <c r="C974" s="13"/>
      <c r="D974" s="13"/>
      <c r="E974" s="13"/>
      <c r="F974" s="13"/>
      <c r="G974" s="13"/>
      <c r="H974" s="72"/>
      <c r="I974" s="13"/>
      <c r="J974" s="13"/>
      <c r="K974" s="13"/>
      <c r="L974" s="13"/>
      <c r="M974" s="13"/>
      <c r="N974" s="13"/>
      <c r="O974" s="13"/>
      <c r="P974" s="13"/>
    </row>
    <row r="975">
      <c r="A975" s="13"/>
      <c r="B975" s="13"/>
      <c r="C975" s="13"/>
      <c r="D975" s="13"/>
      <c r="E975" s="13"/>
      <c r="F975" s="13"/>
      <c r="G975" s="13"/>
      <c r="H975" s="72"/>
      <c r="I975" s="13"/>
      <c r="J975" s="13"/>
      <c r="K975" s="13"/>
      <c r="L975" s="13"/>
      <c r="M975" s="13"/>
      <c r="N975" s="13"/>
      <c r="O975" s="13"/>
      <c r="P975" s="13"/>
    </row>
    <row r="976">
      <c r="A976" s="13"/>
      <c r="B976" s="13"/>
      <c r="C976" s="13"/>
      <c r="D976" s="13"/>
      <c r="E976" s="13"/>
      <c r="F976" s="13"/>
      <c r="G976" s="13"/>
      <c r="H976" s="72"/>
      <c r="I976" s="13"/>
      <c r="J976" s="13"/>
      <c r="K976" s="13"/>
      <c r="L976" s="13"/>
      <c r="M976" s="13"/>
      <c r="N976" s="13"/>
      <c r="O976" s="13"/>
      <c r="P976" s="13"/>
    </row>
    <row r="977">
      <c r="A977" s="13"/>
      <c r="B977" s="13"/>
      <c r="C977" s="13"/>
      <c r="D977" s="13"/>
      <c r="E977" s="13"/>
      <c r="F977" s="13"/>
      <c r="G977" s="13"/>
      <c r="H977" s="72"/>
      <c r="I977" s="13"/>
      <c r="J977" s="13"/>
      <c r="K977" s="13"/>
      <c r="L977" s="13"/>
      <c r="M977" s="13"/>
      <c r="N977" s="13"/>
      <c r="O977" s="13"/>
      <c r="P977" s="13"/>
    </row>
    <row r="978">
      <c r="A978" s="13"/>
      <c r="B978" s="13"/>
      <c r="C978" s="13"/>
      <c r="D978" s="13"/>
      <c r="E978" s="13"/>
      <c r="F978" s="13"/>
      <c r="G978" s="13"/>
      <c r="H978" s="72"/>
      <c r="I978" s="13"/>
      <c r="J978" s="13"/>
      <c r="K978" s="13"/>
      <c r="L978" s="13"/>
      <c r="M978" s="13"/>
      <c r="N978" s="13"/>
      <c r="O978" s="13"/>
      <c r="P978" s="13"/>
    </row>
    <row r="979">
      <c r="A979" s="13"/>
      <c r="B979" s="13"/>
      <c r="C979" s="13"/>
      <c r="D979" s="13"/>
      <c r="E979" s="13"/>
      <c r="F979" s="13"/>
      <c r="G979" s="13"/>
      <c r="H979" s="72"/>
      <c r="I979" s="13"/>
      <c r="J979" s="13"/>
      <c r="K979" s="13"/>
      <c r="L979" s="13"/>
      <c r="M979" s="13"/>
      <c r="N979" s="13"/>
      <c r="O979" s="13"/>
      <c r="P979" s="13"/>
    </row>
    <row r="980">
      <c r="A980" s="13"/>
      <c r="B980" s="13"/>
      <c r="C980" s="13"/>
      <c r="D980" s="13"/>
      <c r="E980" s="13"/>
      <c r="F980" s="13"/>
      <c r="G980" s="13"/>
      <c r="H980" s="72"/>
      <c r="I980" s="13"/>
      <c r="J980" s="13"/>
      <c r="K980" s="13"/>
      <c r="L980" s="13"/>
      <c r="M980" s="13"/>
      <c r="N980" s="13"/>
      <c r="O980" s="13"/>
      <c r="P980" s="13"/>
    </row>
    <row r="981">
      <c r="A981" s="13"/>
      <c r="B981" s="13"/>
      <c r="C981" s="13"/>
      <c r="D981" s="13"/>
      <c r="E981" s="13"/>
      <c r="F981" s="13"/>
      <c r="G981" s="13"/>
      <c r="H981" s="72"/>
      <c r="I981" s="13"/>
      <c r="J981" s="13"/>
      <c r="K981" s="13"/>
      <c r="L981" s="13"/>
      <c r="M981" s="13"/>
      <c r="N981" s="13"/>
      <c r="O981" s="13"/>
      <c r="P981" s="13"/>
    </row>
    <row r="982">
      <c r="A982" s="13"/>
      <c r="B982" s="13"/>
      <c r="C982" s="13"/>
      <c r="D982" s="13"/>
      <c r="E982" s="13"/>
      <c r="F982" s="13"/>
      <c r="G982" s="13"/>
      <c r="H982" s="72"/>
      <c r="I982" s="13"/>
      <c r="J982" s="13"/>
      <c r="K982" s="13"/>
      <c r="L982" s="13"/>
      <c r="M982" s="13"/>
      <c r="N982" s="13"/>
      <c r="O982" s="13"/>
      <c r="P982" s="13"/>
    </row>
    <row r="983">
      <c r="A983" s="13"/>
      <c r="B983" s="13"/>
      <c r="C983" s="13"/>
      <c r="D983" s="13"/>
      <c r="E983" s="13"/>
      <c r="F983" s="13"/>
      <c r="G983" s="13"/>
      <c r="H983" s="72"/>
      <c r="I983" s="13"/>
      <c r="J983" s="13"/>
      <c r="K983" s="13"/>
      <c r="L983" s="13"/>
      <c r="M983" s="13"/>
      <c r="N983" s="13"/>
      <c r="O983" s="13"/>
      <c r="P983" s="13"/>
    </row>
    <row r="984">
      <c r="A984" s="13"/>
      <c r="B984" s="13"/>
      <c r="C984" s="13"/>
      <c r="D984" s="13"/>
      <c r="E984" s="13"/>
      <c r="F984" s="13"/>
      <c r="G984" s="13"/>
      <c r="H984" s="72"/>
      <c r="I984" s="13"/>
      <c r="J984" s="13"/>
      <c r="K984" s="13"/>
      <c r="L984" s="13"/>
      <c r="M984" s="13"/>
      <c r="N984" s="13"/>
      <c r="O984" s="13"/>
      <c r="P984" s="13"/>
    </row>
    <row r="985">
      <c r="A985" s="13"/>
      <c r="B985" s="13"/>
      <c r="C985" s="13"/>
      <c r="D985" s="13"/>
      <c r="E985" s="13"/>
      <c r="F985" s="13"/>
      <c r="G985" s="13"/>
      <c r="H985" s="72"/>
      <c r="I985" s="13"/>
      <c r="J985" s="13"/>
      <c r="K985" s="13"/>
      <c r="L985" s="13"/>
      <c r="M985" s="13"/>
      <c r="N985" s="13"/>
      <c r="O985" s="13"/>
      <c r="P985" s="13"/>
    </row>
    <row r="986">
      <c r="A986" s="13"/>
      <c r="B986" s="13"/>
      <c r="C986" s="13"/>
      <c r="D986" s="13"/>
      <c r="E986" s="13"/>
      <c r="F986" s="13"/>
      <c r="G986" s="13"/>
      <c r="H986" s="72"/>
      <c r="I986" s="13"/>
      <c r="J986" s="13"/>
      <c r="K986" s="13"/>
      <c r="L986" s="13"/>
      <c r="M986" s="13"/>
      <c r="N986" s="13"/>
      <c r="O986" s="13"/>
      <c r="P986" s="13"/>
    </row>
    <row r="987">
      <c r="A987" s="13"/>
      <c r="B987" s="13"/>
      <c r="C987" s="13"/>
      <c r="D987" s="13"/>
      <c r="E987" s="13"/>
      <c r="F987" s="13"/>
      <c r="G987" s="13"/>
      <c r="H987" s="72"/>
      <c r="I987" s="13"/>
      <c r="J987" s="13"/>
      <c r="K987" s="13"/>
      <c r="L987" s="13"/>
      <c r="M987" s="13"/>
      <c r="N987" s="13"/>
      <c r="O987" s="13"/>
      <c r="P987" s="13"/>
    </row>
    <row r="988">
      <c r="A988" s="13"/>
      <c r="B988" s="13"/>
      <c r="C988" s="13"/>
      <c r="D988" s="13"/>
      <c r="E988" s="13"/>
      <c r="F988" s="13"/>
      <c r="G988" s="13"/>
      <c r="H988" s="72"/>
      <c r="I988" s="13"/>
      <c r="J988" s="13"/>
      <c r="K988" s="13"/>
      <c r="L988" s="13"/>
      <c r="M988" s="13"/>
      <c r="N988" s="13"/>
      <c r="O988" s="13"/>
      <c r="P988" s="13"/>
    </row>
    <row r="989">
      <c r="A989" s="13"/>
      <c r="B989" s="13"/>
      <c r="C989" s="13"/>
      <c r="D989" s="13"/>
      <c r="E989" s="13"/>
      <c r="F989" s="13"/>
      <c r="G989" s="13"/>
      <c r="H989" s="72"/>
      <c r="I989" s="13"/>
      <c r="J989" s="13"/>
      <c r="K989" s="13"/>
      <c r="L989" s="13"/>
      <c r="M989" s="13"/>
      <c r="N989" s="13"/>
      <c r="O989" s="13"/>
      <c r="P989" s="13"/>
    </row>
    <row r="990">
      <c r="A990" s="13"/>
      <c r="B990" s="13"/>
      <c r="C990" s="13"/>
      <c r="D990" s="13"/>
      <c r="E990" s="13"/>
      <c r="F990" s="13"/>
      <c r="G990" s="13"/>
      <c r="H990" s="72"/>
      <c r="I990" s="13"/>
      <c r="J990" s="13"/>
      <c r="K990" s="13"/>
      <c r="L990" s="13"/>
      <c r="M990" s="13"/>
      <c r="N990" s="13"/>
      <c r="O990" s="13"/>
      <c r="P990" s="13"/>
    </row>
    <row r="991">
      <c r="A991" s="13"/>
      <c r="B991" s="13"/>
      <c r="C991" s="13"/>
      <c r="D991" s="13"/>
      <c r="E991" s="13"/>
      <c r="F991" s="13"/>
      <c r="G991" s="13"/>
      <c r="H991" s="72"/>
      <c r="I991" s="13"/>
      <c r="J991" s="13"/>
      <c r="K991" s="13"/>
      <c r="L991" s="13"/>
      <c r="M991" s="13"/>
      <c r="N991" s="13"/>
      <c r="O991" s="13"/>
      <c r="P991" s="13"/>
    </row>
    <row r="992">
      <c r="A992" s="13"/>
      <c r="B992" s="13"/>
      <c r="C992" s="13"/>
      <c r="D992" s="13"/>
      <c r="E992" s="13"/>
      <c r="F992" s="13"/>
      <c r="G992" s="13"/>
      <c r="H992" s="72"/>
      <c r="I992" s="13"/>
      <c r="J992" s="13"/>
      <c r="K992" s="13"/>
      <c r="L992" s="13"/>
      <c r="M992" s="13"/>
      <c r="N992" s="13"/>
      <c r="O992" s="13"/>
      <c r="P992" s="13"/>
    </row>
    <row r="993">
      <c r="A993" s="13"/>
      <c r="B993" s="13"/>
      <c r="C993" s="13"/>
      <c r="D993" s="13"/>
      <c r="E993" s="13"/>
      <c r="F993" s="13"/>
      <c r="G993" s="13"/>
      <c r="H993" s="72"/>
      <c r="I993" s="13"/>
      <c r="J993" s="13"/>
      <c r="K993" s="13"/>
      <c r="L993" s="13"/>
      <c r="M993" s="13"/>
      <c r="N993" s="13"/>
      <c r="O993" s="13"/>
      <c r="P993" s="13"/>
    </row>
    <row r="994">
      <c r="A994" s="13"/>
      <c r="B994" s="13"/>
      <c r="C994" s="13"/>
      <c r="D994" s="13"/>
      <c r="E994" s="13"/>
      <c r="F994" s="13"/>
      <c r="G994" s="13"/>
      <c r="H994" s="72"/>
      <c r="I994" s="13"/>
      <c r="J994" s="13"/>
      <c r="K994" s="13"/>
      <c r="L994" s="13"/>
      <c r="M994" s="13"/>
      <c r="N994" s="13"/>
      <c r="O994" s="13"/>
      <c r="P994" s="13"/>
    </row>
    <row r="995">
      <c r="A995" s="13"/>
      <c r="B995" s="13"/>
      <c r="C995" s="13"/>
      <c r="D995" s="13"/>
      <c r="E995" s="13"/>
      <c r="F995" s="13"/>
      <c r="G995" s="13"/>
      <c r="H995" s="72"/>
      <c r="I995" s="13"/>
      <c r="J995" s="13"/>
      <c r="K995" s="13"/>
      <c r="L995" s="13"/>
      <c r="M995" s="13"/>
      <c r="N995" s="13"/>
      <c r="O995" s="13"/>
      <c r="P995" s="13"/>
    </row>
    <row r="996">
      <c r="A996" s="13"/>
      <c r="B996" s="13"/>
      <c r="C996" s="13"/>
      <c r="D996" s="13"/>
      <c r="E996" s="13"/>
      <c r="F996" s="13"/>
      <c r="G996" s="13"/>
      <c r="H996" s="72"/>
      <c r="I996" s="13"/>
      <c r="J996" s="13"/>
      <c r="K996" s="13"/>
      <c r="L996" s="13"/>
      <c r="M996" s="13"/>
      <c r="N996" s="13"/>
      <c r="O996" s="13"/>
      <c r="P996" s="13"/>
    </row>
    <row r="997">
      <c r="A997" s="13"/>
      <c r="B997" s="13"/>
      <c r="C997" s="13"/>
      <c r="D997" s="13"/>
      <c r="E997" s="13"/>
      <c r="F997" s="13"/>
      <c r="G997" s="13"/>
      <c r="H997" s="72"/>
      <c r="I997" s="13"/>
      <c r="J997" s="13"/>
      <c r="K997" s="13"/>
      <c r="L997" s="13"/>
      <c r="M997" s="13"/>
      <c r="N997" s="13"/>
      <c r="O997" s="13"/>
      <c r="P997" s="13"/>
    </row>
    <row r="998">
      <c r="A998" s="13"/>
      <c r="B998" s="13"/>
      <c r="C998" s="13"/>
      <c r="D998" s="13"/>
      <c r="E998" s="13"/>
      <c r="F998" s="13"/>
      <c r="G998" s="13"/>
      <c r="H998" s="72"/>
      <c r="I998" s="13"/>
      <c r="J998" s="13"/>
      <c r="K998" s="13"/>
      <c r="L998" s="13"/>
      <c r="M998" s="13"/>
      <c r="N998" s="13"/>
      <c r="O998" s="13"/>
      <c r="P998" s="13"/>
    </row>
    <row r="999">
      <c r="A999" s="13"/>
      <c r="B999" s="13"/>
      <c r="C999" s="13"/>
      <c r="D999" s="13"/>
      <c r="E999" s="13"/>
      <c r="F999" s="13"/>
      <c r="G999" s="13"/>
      <c r="H999" s="72"/>
      <c r="I999" s="13"/>
      <c r="J999" s="13"/>
      <c r="K999" s="13"/>
      <c r="L999" s="13"/>
      <c r="M999" s="13"/>
      <c r="N999" s="13"/>
      <c r="O999" s="13"/>
      <c r="P999" s="13"/>
    </row>
    <row r="1000">
      <c r="A1000" s="13"/>
      <c r="B1000" s="13"/>
      <c r="C1000" s="13"/>
      <c r="D1000" s="13"/>
      <c r="E1000" s="13"/>
      <c r="F1000" s="13"/>
      <c r="G1000" s="13"/>
      <c r="H1000" s="72"/>
      <c r="I1000" s="13"/>
      <c r="J1000" s="13"/>
      <c r="K1000" s="13"/>
      <c r="L1000" s="13"/>
      <c r="M1000" s="13"/>
      <c r="N1000" s="13"/>
      <c r="O1000" s="13"/>
      <c r="P1000" s="13"/>
    </row>
    <row r="1001">
      <c r="A1001" s="13"/>
      <c r="B1001" s="13"/>
      <c r="C1001" s="13"/>
      <c r="D1001" s="13"/>
      <c r="E1001" s="13"/>
      <c r="F1001" s="13"/>
      <c r="G1001" s="13"/>
      <c r="H1001" s="72"/>
      <c r="I1001" s="13"/>
      <c r="J1001" s="13"/>
      <c r="K1001" s="13"/>
      <c r="L1001" s="13"/>
      <c r="M1001" s="13"/>
      <c r="N1001" s="13"/>
      <c r="O1001" s="13"/>
      <c r="P1001" s="13"/>
    </row>
    <row r="1002">
      <c r="A1002" s="13"/>
      <c r="B1002" s="13"/>
      <c r="C1002" s="13"/>
      <c r="D1002" s="13"/>
      <c r="E1002" s="13"/>
      <c r="F1002" s="13"/>
      <c r="G1002" s="13"/>
      <c r="H1002" s="72"/>
      <c r="I1002" s="13"/>
      <c r="J1002" s="13"/>
      <c r="K1002" s="13"/>
      <c r="L1002" s="13"/>
      <c r="M1002" s="13"/>
      <c r="N1002" s="13"/>
      <c r="O1002" s="13"/>
      <c r="P1002" s="13"/>
    </row>
    <row r="1003">
      <c r="A1003" s="13"/>
      <c r="B1003" s="13"/>
      <c r="C1003" s="13"/>
      <c r="D1003" s="13"/>
      <c r="E1003" s="13"/>
      <c r="F1003" s="13"/>
      <c r="G1003" s="13"/>
      <c r="H1003" s="72"/>
      <c r="I1003" s="13"/>
      <c r="J1003" s="13"/>
      <c r="K1003" s="13"/>
      <c r="L1003" s="13"/>
      <c r="M1003" s="13"/>
      <c r="N1003" s="13"/>
      <c r="O1003" s="13"/>
      <c r="P1003" s="13"/>
    </row>
    <row r="1004">
      <c r="A1004" s="13"/>
      <c r="B1004" s="13"/>
      <c r="C1004" s="13"/>
      <c r="D1004" s="13"/>
      <c r="E1004" s="13"/>
      <c r="F1004" s="13"/>
      <c r="G1004" s="13"/>
      <c r="H1004" s="72"/>
      <c r="I1004" s="13"/>
      <c r="J1004" s="13"/>
      <c r="K1004" s="13"/>
      <c r="L1004" s="13"/>
      <c r="M1004" s="13"/>
      <c r="N1004" s="13"/>
      <c r="O1004" s="13"/>
      <c r="P1004" s="13"/>
    </row>
    <row r="1005">
      <c r="A1005" s="13"/>
      <c r="B1005" s="13"/>
      <c r="C1005" s="13"/>
      <c r="D1005" s="13"/>
      <c r="E1005" s="13"/>
      <c r="F1005" s="13"/>
      <c r="G1005" s="13"/>
      <c r="H1005" s="72"/>
      <c r="I1005" s="13"/>
      <c r="J1005" s="13"/>
      <c r="K1005" s="13"/>
      <c r="L1005" s="13"/>
      <c r="M1005" s="13"/>
      <c r="N1005" s="13"/>
      <c r="O1005" s="13"/>
      <c r="P1005" s="13"/>
    </row>
    <row r="1006">
      <c r="A1006" s="13"/>
      <c r="B1006" s="13"/>
      <c r="C1006" s="13"/>
      <c r="D1006" s="13"/>
      <c r="E1006" s="13"/>
      <c r="F1006" s="13"/>
      <c r="G1006" s="13"/>
      <c r="H1006" s="72"/>
      <c r="I1006" s="13"/>
      <c r="J1006" s="13"/>
      <c r="K1006" s="13"/>
      <c r="L1006" s="13"/>
      <c r="M1006" s="13"/>
      <c r="N1006" s="13"/>
      <c r="O1006" s="13"/>
      <c r="P1006" s="13"/>
    </row>
    <row r="1007">
      <c r="A1007" s="13"/>
      <c r="B1007" s="13"/>
      <c r="C1007" s="13"/>
      <c r="D1007" s="13"/>
      <c r="E1007" s="13"/>
      <c r="F1007" s="13"/>
      <c r="G1007" s="13"/>
      <c r="H1007" s="72"/>
      <c r="I1007" s="13"/>
      <c r="J1007" s="13"/>
      <c r="K1007" s="13"/>
      <c r="L1007" s="13"/>
      <c r="M1007" s="13"/>
      <c r="N1007" s="13"/>
      <c r="O1007" s="13"/>
      <c r="P1007" s="13"/>
    </row>
    <row r="1008">
      <c r="A1008" s="13"/>
      <c r="B1008" s="13"/>
      <c r="C1008" s="13"/>
      <c r="D1008" s="13"/>
      <c r="E1008" s="13"/>
      <c r="F1008" s="13"/>
      <c r="G1008" s="13"/>
      <c r="H1008" s="72"/>
      <c r="I1008" s="13"/>
      <c r="J1008" s="13"/>
      <c r="K1008" s="13"/>
      <c r="L1008" s="13"/>
      <c r="M1008" s="13"/>
      <c r="N1008" s="13"/>
      <c r="O1008" s="13"/>
      <c r="P1008" s="13"/>
    </row>
    <row r="1009">
      <c r="A1009" s="13"/>
      <c r="B1009" s="13"/>
      <c r="C1009" s="13"/>
      <c r="D1009" s="13"/>
      <c r="E1009" s="13"/>
      <c r="F1009" s="13"/>
      <c r="G1009" s="13"/>
      <c r="H1009" s="72"/>
      <c r="I1009" s="13"/>
      <c r="J1009" s="13"/>
      <c r="K1009" s="13"/>
      <c r="L1009" s="13"/>
      <c r="M1009" s="13"/>
      <c r="N1009" s="13"/>
      <c r="O1009" s="13"/>
      <c r="P1009" s="13"/>
    </row>
    <row r="1010">
      <c r="A1010" s="13"/>
      <c r="B1010" s="13"/>
      <c r="C1010" s="13"/>
      <c r="D1010" s="13"/>
      <c r="E1010" s="13"/>
      <c r="F1010" s="13"/>
      <c r="G1010" s="13"/>
      <c r="H1010" s="72"/>
      <c r="I1010" s="13"/>
      <c r="J1010" s="13"/>
      <c r="K1010" s="13"/>
      <c r="L1010" s="13"/>
      <c r="M1010" s="13"/>
      <c r="N1010" s="13"/>
      <c r="O1010" s="13"/>
      <c r="P1010" s="13"/>
    </row>
    <row r="1011">
      <c r="A1011" s="13"/>
      <c r="B1011" s="13"/>
      <c r="C1011" s="13"/>
      <c r="D1011" s="13"/>
      <c r="E1011" s="13"/>
      <c r="F1011" s="13"/>
      <c r="G1011" s="13"/>
      <c r="H1011" s="72"/>
      <c r="I1011" s="13"/>
      <c r="J1011" s="13"/>
      <c r="K1011" s="13"/>
      <c r="L1011" s="13"/>
      <c r="M1011" s="13"/>
      <c r="N1011" s="13"/>
      <c r="O1011" s="13"/>
      <c r="P1011" s="13"/>
    </row>
    <row r="1012">
      <c r="A1012" s="13"/>
      <c r="B1012" s="13"/>
      <c r="C1012" s="13"/>
      <c r="D1012" s="13"/>
      <c r="E1012" s="13"/>
      <c r="F1012" s="13"/>
      <c r="G1012" s="13"/>
      <c r="H1012" s="72"/>
      <c r="I1012" s="13"/>
      <c r="J1012" s="13"/>
      <c r="K1012" s="13"/>
      <c r="L1012" s="13"/>
      <c r="M1012" s="13"/>
      <c r="N1012" s="13"/>
      <c r="O1012" s="13"/>
      <c r="P1012" s="13"/>
    </row>
    <row r="1013">
      <c r="A1013" s="13"/>
      <c r="B1013" s="13"/>
      <c r="C1013" s="13"/>
      <c r="D1013" s="13"/>
      <c r="E1013" s="13"/>
      <c r="F1013" s="13"/>
      <c r="G1013" s="13"/>
      <c r="H1013" s="72"/>
      <c r="I1013" s="13"/>
      <c r="J1013" s="13"/>
      <c r="K1013" s="13"/>
      <c r="L1013" s="13"/>
      <c r="M1013" s="13"/>
      <c r="N1013" s="13"/>
      <c r="O1013" s="13"/>
      <c r="P1013" s="13"/>
    </row>
    <row r="1014">
      <c r="A1014" s="13"/>
      <c r="B1014" s="13"/>
      <c r="C1014" s="13"/>
      <c r="D1014" s="13"/>
      <c r="E1014" s="13"/>
      <c r="F1014" s="13"/>
      <c r="G1014" s="13"/>
      <c r="H1014" s="72"/>
      <c r="I1014" s="13"/>
      <c r="J1014" s="13"/>
      <c r="K1014" s="13"/>
      <c r="L1014" s="13"/>
      <c r="M1014" s="13"/>
      <c r="N1014" s="13"/>
      <c r="O1014" s="13"/>
      <c r="P1014" s="13"/>
    </row>
    <row r="1015">
      <c r="A1015" s="13"/>
      <c r="B1015" s="13"/>
      <c r="C1015" s="13"/>
      <c r="D1015" s="13"/>
      <c r="E1015" s="13"/>
      <c r="F1015" s="13"/>
      <c r="G1015" s="13"/>
      <c r="H1015" s="72"/>
      <c r="I1015" s="13"/>
      <c r="J1015" s="13"/>
      <c r="K1015" s="13"/>
      <c r="L1015" s="13"/>
      <c r="M1015" s="13"/>
      <c r="N1015" s="13"/>
      <c r="O1015" s="13"/>
      <c r="P1015" s="13"/>
    </row>
    <row r="1016">
      <c r="A1016" s="13"/>
      <c r="B1016" s="13"/>
      <c r="C1016" s="13"/>
      <c r="D1016" s="13"/>
      <c r="E1016" s="13"/>
      <c r="F1016" s="13"/>
      <c r="G1016" s="13"/>
      <c r="H1016" s="72"/>
      <c r="I1016" s="13"/>
      <c r="J1016" s="13"/>
      <c r="K1016" s="13"/>
      <c r="L1016" s="13"/>
      <c r="M1016" s="13"/>
      <c r="N1016" s="13"/>
      <c r="O1016" s="13"/>
      <c r="P1016" s="13"/>
    </row>
    <row r="1017">
      <c r="A1017" s="13"/>
      <c r="B1017" s="13"/>
      <c r="C1017" s="13"/>
      <c r="D1017" s="13"/>
      <c r="E1017" s="13"/>
      <c r="F1017" s="13"/>
      <c r="G1017" s="13"/>
      <c r="H1017" s="72"/>
      <c r="I1017" s="13"/>
      <c r="J1017" s="13"/>
      <c r="K1017" s="13"/>
      <c r="L1017" s="13"/>
      <c r="M1017" s="13"/>
      <c r="N1017" s="13"/>
      <c r="O1017" s="13"/>
      <c r="P1017" s="13"/>
    </row>
    <row r="1018">
      <c r="A1018" s="13"/>
      <c r="B1018" s="13"/>
      <c r="C1018" s="13"/>
      <c r="D1018" s="13"/>
      <c r="E1018" s="13"/>
      <c r="F1018" s="13"/>
      <c r="G1018" s="13"/>
      <c r="H1018" s="72"/>
      <c r="I1018" s="13"/>
      <c r="J1018" s="13"/>
      <c r="K1018" s="13"/>
      <c r="L1018" s="13"/>
      <c r="M1018" s="13"/>
      <c r="N1018" s="13"/>
      <c r="O1018" s="13"/>
      <c r="P1018" s="13"/>
    </row>
    <row r="1019">
      <c r="A1019" s="13"/>
      <c r="B1019" s="13"/>
      <c r="C1019" s="13"/>
      <c r="D1019" s="13"/>
      <c r="E1019" s="13"/>
      <c r="F1019" s="13"/>
      <c r="G1019" s="13"/>
      <c r="H1019" s="72"/>
      <c r="I1019" s="13"/>
      <c r="J1019" s="13"/>
      <c r="K1019" s="13"/>
      <c r="L1019" s="13"/>
      <c r="M1019" s="13"/>
      <c r="N1019" s="13"/>
      <c r="O1019" s="13"/>
      <c r="P1019" s="13"/>
    </row>
    <row r="1020">
      <c r="A1020" s="13"/>
      <c r="B1020" s="13"/>
      <c r="C1020" s="13"/>
      <c r="D1020" s="13"/>
      <c r="E1020" s="13"/>
      <c r="F1020" s="13"/>
      <c r="G1020" s="13"/>
      <c r="H1020" s="72"/>
      <c r="I1020" s="13"/>
      <c r="J1020" s="13"/>
      <c r="K1020" s="13"/>
      <c r="L1020" s="13"/>
      <c r="M1020" s="13"/>
      <c r="N1020" s="13"/>
      <c r="O1020" s="13"/>
      <c r="P1020" s="13"/>
    </row>
    <row r="1021">
      <c r="A1021" s="13"/>
      <c r="B1021" s="13"/>
      <c r="C1021" s="13"/>
      <c r="D1021" s="13"/>
      <c r="E1021" s="13"/>
      <c r="F1021" s="13"/>
      <c r="G1021" s="13"/>
      <c r="H1021" s="72"/>
      <c r="I1021" s="13"/>
      <c r="J1021" s="13"/>
      <c r="K1021" s="13"/>
      <c r="L1021" s="13"/>
      <c r="M1021" s="13"/>
      <c r="N1021" s="13"/>
      <c r="O1021" s="13"/>
      <c r="P1021" s="13"/>
    </row>
    <row r="1022">
      <c r="A1022" s="13"/>
      <c r="B1022" s="13"/>
      <c r="C1022" s="13"/>
      <c r="D1022" s="13"/>
      <c r="E1022" s="13"/>
      <c r="F1022" s="13"/>
      <c r="G1022" s="13"/>
      <c r="H1022" s="72"/>
      <c r="I1022" s="13"/>
      <c r="J1022" s="13"/>
      <c r="K1022" s="13"/>
      <c r="L1022" s="13"/>
      <c r="M1022" s="13"/>
      <c r="N1022" s="13"/>
      <c r="O1022" s="13"/>
      <c r="P1022" s="13"/>
    </row>
    <row r="1023">
      <c r="A1023" s="13"/>
      <c r="B1023" s="13"/>
      <c r="C1023" s="13"/>
      <c r="D1023" s="13"/>
      <c r="E1023" s="13"/>
      <c r="F1023" s="13"/>
      <c r="G1023" s="13"/>
      <c r="H1023" s="72"/>
      <c r="I1023" s="13"/>
      <c r="J1023" s="13"/>
      <c r="K1023" s="13"/>
      <c r="L1023" s="13"/>
      <c r="M1023" s="13"/>
      <c r="N1023" s="13"/>
      <c r="O1023" s="13"/>
      <c r="P1023" s="13"/>
    </row>
    <row r="1024">
      <c r="A1024" s="13"/>
      <c r="B1024" s="13"/>
      <c r="C1024" s="13"/>
      <c r="D1024" s="13"/>
      <c r="E1024" s="13"/>
      <c r="F1024" s="13"/>
      <c r="G1024" s="13"/>
      <c r="H1024" s="72"/>
      <c r="I1024" s="13"/>
      <c r="J1024" s="13"/>
      <c r="K1024" s="13"/>
      <c r="L1024" s="13"/>
      <c r="M1024" s="13"/>
      <c r="N1024" s="13"/>
      <c r="O1024" s="13"/>
      <c r="P1024" s="13"/>
    </row>
    <row r="1025">
      <c r="A1025" s="13"/>
      <c r="B1025" s="13"/>
      <c r="C1025" s="13"/>
      <c r="D1025" s="13"/>
      <c r="E1025" s="13"/>
      <c r="F1025" s="13"/>
      <c r="G1025" s="13"/>
      <c r="H1025" s="72"/>
      <c r="I1025" s="13"/>
      <c r="J1025" s="13"/>
      <c r="K1025" s="13"/>
      <c r="L1025" s="13"/>
      <c r="M1025" s="13"/>
      <c r="N1025" s="13"/>
      <c r="O1025" s="13"/>
      <c r="P1025" s="13"/>
    </row>
    <row r="1026">
      <c r="A1026" s="13"/>
      <c r="B1026" s="13"/>
      <c r="C1026" s="13"/>
      <c r="D1026" s="13"/>
      <c r="E1026" s="13"/>
      <c r="F1026" s="13"/>
      <c r="G1026" s="13"/>
      <c r="H1026" s="72"/>
      <c r="I1026" s="13"/>
      <c r="J1026" s="13"/>
      <c r="K1026" s="13"/>
      <c r="L1026" s="13"/>
      <c r="M1026" s="13"/>
      <c r="N1026" s="13"/>
      <c r="O1026" s="13"/>
      <c r="P1026" s="13"/>
    </row>
    <row r="1027">
      <c r="A1027" s="13"/>
      <c r="B1027" s="13"/>
      <c r="C1027" s="13"/>
      <c r="D1027" s="13"/>
      <c r="E1027" s="13"/>
      <c r="F1027" s="13"/>
      <c r="G1027" s="13"/>
      <c r="H1027" s="72"/>
      <c r="I1027" s="13"/>
      <c r="J1027" s="13"/>
      <c r="K1027" s="13"/>
      <c r="L1027" s="13"/>
      <c r="M1027" s="13"/>
      <c r="N1027" s="13"/>
      <c r="O1027" s="13"/>
      <c r="P1027" s="13"/>
    </row>
    <row r="1028">
      <c r="A1028" s="13"/>
      <c r="B1028" s="13"/>
      <c r="C1028" s="13"/>
      <c r="D1028" s="13"/>
      <c r="E1028" s="13"/>
      <c r="F1028" s="13"/>
      <c r="G1028" s="13"/>
      <c r="H1028" s="72"/>
      <c r="I1028" s="13"/>
      <c r="J1028" s="13"/>
      <c r="K1028" s="13"/>
      <c r="L1028" s="13"/>
      <c r="M1028" s="13"/>
      <c r="N1028" s="13"/>
      <c r="O1028" s="13"/>
      <c r="P1028" s="13"/>
    </row>
    <row r="1029">
      <c r="A1029" s="13"/>
      <c r="B1029" s="13"/>
      <c r="C1029" s="13"/>
      <c r="D1029" s="13"/>
      <c r="E1029" s="13"/>
      <c r="F1029" s="13"/>
      <c r="G1029" s="13"/>
      <c r="H1029" s="72"/>
      <c r="I1029" s="13"/>
      <c r="J1029" s="13"/>
      <c r="K1029" s="13"/>
      <c r="L1029" s="13"/>
      <c r="M1029" s="13"/>
      <c r="N1029" s="13"/>
      <c r="O1029" s="13"/>
      <c r="P1029" s="13"/>
    </row>
    <row r="1030">
      <c r="A1030" s="13"/>
      <c r="B1030" s="13"/>
      <c r="C1030" s="13"/>
      <c r="D1030" s="13"/>
      <c r="E1030" s="13"/>
      <c r="F1030" s="13"/>
      <c r="G1030" s="13"/>
      <c r="H1030" s="72"/>
      <c r="I1030" s="13"/>
      <c r="J1030" s="13"/>
      <c r="K1030" s="13"/>
      <c r="L1030" s="13"/>
      <c r="M1030" s="13"/>
      <c r="N1030" s="13"/>
      <c r="O1030" s="13"/>
      <c r="P1030" s="13"/>
    </row>
    <row r="1031">
      <c r="A1031" s="13"/>
      <c r="B1031" s="13"/>
      <c r="C1031" s="13"/>
      <c r="D1031" s="13"/>
      <c r="E1031" s="13"/>
      <c r="F1031" s="13"/>
      <c r="G1031" s="13"/>
      <c r="H1031" s="72"/>
      <c r="I1031" s="13"/>
      <c r="J1031" s="13"/>
      <c r="K1031" s="13"/>
      <c r="L1031" s="13"/>
      <c r="M1031" s="13"/>
      <c r="N1031" s="13"/>
      <c r="O1031" s="13"/>
      <c r="P1031" s="13"/>
    </row>
    <row r="1032">
      <c r="A1032" s="13"/>
      <c r="B1032" s="13"/>
      <c r="C1032" s="13"/>
      <c r="D1032" s="13"/>
      <c r="E1032" s="13"/>
      <c r="F1032" s="13"/>
      <c r="G1032" s="13"/>
      <c r="H1032" s="72"/>
      <c r="I1032" s="13"/>
      <c r="J1032" s="13"/>
      <c r="K1032" s="13"/>
      <c r="L1032" s="13"/>
      <c r="M1032" s="13"/>
      <c r="N1032" s="13"/>
      <c r="O1032" s="13"/>
      <c r="P1032" s="13"/>
    </row>
    <row r="1033">
      <c r="A1033" s="13"/>
      <c r="B1033" s="13"/>
      <c r="C1033" s="13"/>
      <c r="D1033" s="13"/>
      <c r="E1033" s="13"/>
      <c r="F1033" s="13"/>
      <c r="G1033" s="13"/>
      <c r="H1033" s="72"/>
      <c r="I1033" s="13"/>
      <c r="J1033" s="13"/>
      <c r="K1033" s="13"/>
      <c r="L1033" s="13"/>
      <c r="M1033" s="13"/>
      <c r="N1033" s="13"/>
      <c r="O1033" s="13"/>
      <c r="P1033" s="13"/>
    </row>
    <row r="1034">
      <c r="A1034" s="13"/>
      <c r="B1034" s="13"/>
      <c r="C1034" s="13"/>
      <c r="D1034" s="13"/>
      <c r="E1034" s="13"/>
      <c r="F1034" s="13"/>
      <c r="G1034" s="13"/>
      <c r="H1034" s="72"/>
      <c r="I1034" s="13"/>
      <c r="J1034" s="13"/>
      <c r="K1034" s="13"/>
      <c r="L1034" s="13"/>
      <c r="M1034" s="13"/>
      <c r="N1034" s="13"/>
      <c r="O1034" s="13"/>
      <c r="P1034" s="13"/>
    </row>
    <row r="1035">
      <c r="A1035" s="13"/>
      <c r="B1035" s="13"/>
      <c r="C1035" s="13"/>
      <c r="D1035" s="13"/>
      <c r="E1035" s="13"/>
      <c r="F1035" s="13"/>
      <c r="G1035" s="13"/>
      <c r="H1035" s="72"/>
      <c r="I1035" s="13"/>
      <c r="J1035" s="13"/>
      <c r="K1035" s="13"/>
      <c r="L1035" s="13"/>
      <c r="M1035" s="13"/>
      <c r="N1035" s="13"/>
      <c r="O1035" s="13"/>
      <c r="P1035" s="13"/>
    </row>
    <row r="1036">
      <c r="A1036" s="13"/>
      <c r="B1036" s="13"/>
      <c r="C1036" s="13"/>
      <c r="D1036" s="13"/>
      <c r="E1036" s="13"/>
      <c r="F1036" s="13"/>
      <c r="G1036" s="13"/>
      <c r="H1036" s="72"/>
      <c r="I1036" s="13"/>
      <c r="J1036" s="13"/>
      <c r="K1036" s="13"/>
      <c r="L1036" s="13"/>
      <c r="M1036" s="13"/>
      <c r="N1036" s="13"/>
      <c r="O1036" s="13"/>
      <c r="P1036" s="13"/>
    </row>
    <row r="1037">
      <c r="A1037" s="13"/>
      <c r="B1037" s="13"/>
      <c r="C1037" s="13"/>
      <c r="D1037" s="13"/>
      <c r="E1037" s="13"/>
      <c r="F1037" s="13"/>
      <c r="G1037" s="13"/>
      <c r="H1037" s="72"/>
      <c r="I1037" s="13"/>
      <c r="J1037" s="13"/>
      <c r="K1037" s="13"/>
      <c r="L1037" s="13"/>
      <c r="M1037" s="13"/>
      <c r="N1037" s="13"/>
      <c r="O1037" s="13"/>
      <c r="P1037" s="13"/>
    </row>
    <row r="1038">
      <c r="A1038" s="13"/>
      <c r="B1038" s="13"/>
      <c r="C1038" s="13"/>
      <c r="D1038" s="13"/>
      <c r="E1038" s="13"/>
      <c r="F1038" s="13"/>
      <c r="G1038" s="13"/>
      <c r="H1038" s="72"/>
      <c r="I1038" s="13"/>
      <c r="J1038" s="13"/>
      <c r="K1038" s="13"/>
      <c r="L1038" s="13"/>
      <c r="M1038" s="13"/>
      <c r="N1038" s="13"/>
      <c r="O1038" s="13"/>
      <c r="P1038" s="13"/>
    </row>
    <row r="1039">
      <c r="A1039" s="13"/>
      <c r="B1039" s="13"/>
      <c r="C1039" s="13"/>
      <c r="D1039" s="13"/>
      <c r="E1039" s="13"/>
      <c r="F1039" s="13"/>
      <c r="G1039" s="13"/>
      <c r="H1039" s="72"/>
      <c r="I1039" s="13"/>
      <c r="J1039" s="13"/>
      <c r="K1039" s="13"/>
      <c r="L1039" s="13"/>
      <c r="M1039" s="13"/>
      <c r="N1039" s="13"/>
      <c r="O1039" s="13"/>
      <c r="P1039" s="13"/>
    </row>
    <row r="1040">
      <c r="A1040" s="13"/>
      <c r="B1040" s="13"/>
      <c r="C1040" s="13"/>
      <c r="D1040" s="13"/>
      <c r="E1040" s="13"/>
      <c r="F1040" s="13"/>
      <c r="G1040" s="13"/>
      <c r="H1040" s="72"/>
      <c r="I1040" s="13"/>
      <c r="J1040" s="13"/>
      <c r="K1040" s="13"/>
      <c r="L1040" s="13"/>
      <c r="M1040" s="13"/>
      <c r="N1040" s="13"/>
      <c r="O1040" s="13"/>
      <c r="P1040" s="13"/>
    </row>
    <row r="1041">
      <c r="A1041" s="13"/>
      <c r="B1041" s="13"/>
      <c r="C1041" s="13"/>
      <c r="D1041" s="13"/>
      <c r="E1041" s="13"/>
      <c r="F1041" s="13"/>
      <c r="G1041" s="13"/>
      <c r="H1041" s="72"/>
      <c r="I1041" s="13"/>
      <c r="J1041" s="13"/>
      <c r="K1041" s="13"/>
      <c r="L1041" s="13"/>
      <c r="M1041" s="13"/>
      <c r="N1041" s="13"/>
      <c r="O1041" s="13"/>
      <c r="P1041" s="13"/>
    </row>
    <row r="1042">
      <c r="A1042" s="13"/>
      <c r="B1042" s="13"/>
      <c r="C1042" s="13"/>
      <c r="D1042" s="13"/>
      <c r="E1042" s="13"/>
      <c r="F1042" s="13"/>
      <c r="G1042" s="13"/>
      <c r="H1042" s="72"/>
      <c r="I1042" s="13"/>
      <c r="J1042" s="13"/>
      <c r="K1042" s="13"/>
      <c r="L1042" s="13"/>
      <c r="M1042" s="13"/>
      <c r="N1042" s="13"/>
      <c r="O1042" s="13"/>
      <c r="P1042" s="13"/>
    </row>
    <row r="1043">
      <c r="A1043" s="13"/>
      <c r="B1043" s="13"/>
      <c r="C1043" s="13"/>
      <c r="D1043" s="13"/>
      <c r="E1043" s="13"/>
      <c r="F1043" s="13"/>
      <c r="G1043" s="13"/>
      <c r="H1043" s="72"/>
      <c r="I1043" s="13"/>
      <c r="J1043" s="13"/>
      <c r="K1043" s="13"/>
      <c r="L1043" s="13"/>
      <c r="M1043" s="13"/>
      <c r="N1043" s="13"/>
      <c r="O1043" s="13"/>
      <c r="P1043" s="13"/>
    </row>
    <row r="1044">
      <c r="A1044" s="13"/>
      <c r="B1044" s="13"/>
      <c r="C1044" s="13"/>
      <c r="D1044" s="13"/>
      <c r="E1044" s="13"/>
      <c r="F1044" s="13"/>
      <c r="G1044" s="13"/>
      <c r="H1044" s="72"/>
      <c r="I1044" s="13"/>
      <c r="J1044" s="13"/>
      <c r="K1044" s="13"/>
      <c r="L1044" s="13"/>
      <c r="M1044" s="13"/>
      <c r="N1044" s="13"/>
      <c r="O1044" s="13"/>
      <c r="P1044" s="13"/>
    </row>
    <row r="1045">
      <c r="A1045" s="13"/>
      <c r="B1045" s="13"/>
      <c r="C1045" s="13"/>
      <c r="D1045" s="13"/>
      <c r="E1045" s="13"/>
      <c r="F1045" s="13"/>
      <c r="G1045" s="13"/>
      <c r="H1045" s="72"/>
      <c r="I1045" s="13"/>
      <c r="J1045" s="13"/>
      <c r="K1045" s="13"/>
      <c r="L1045" s="13"/>
      <c r="M1045" s="13"/>
      <c r="N1045" s="13"/>
      <c r="O1045" s="13"/>
      <c r="P1045" s="13"/>
    </row>
    <row r="1046">
      <c r="A1046" s="13"/>
      <c r="B1046" s="13"/>
      <c r="C1046" s="13"/>
      <c r="D1046" s="13"/>
      <c r="E1046" s="13"/>
      <c r="F1046" s="13"/>
      <c r="G1046" s="13"/>
      <c r="H1046" s="72"/>
      <c r="I1046" s="13"/>
      <c r="J1046" s="13"/>
      <c r="K1046" s="13"/>
      <c r="L1046" s="13"/>
      <c r="M1046" s="13"/>
      <c r="N1046" s="13"/>
      <c r="O1046" s="13"/>
      <c r="P1046" s="13"/>
    </row>
    <row r="1047">
      <c r="A1047" s="13"/>
      <c r="B1047" s="13"/>
      <c r="C1047" s="13"/>
      <c r="D1047" s="13"/>
      <c r="E1047" s="13"/>
      <c r="F1047" s="13"/>
      <c r="G1047" s="13"/>
      <c r="H1047" s="72"/>
      <c r="I1047" s="13"/>
      <c r="J1047" s="13"/>
      <c r="K1047" s="13"/>
      <c r="L1047" s="13"/>
      <c r="M1047" s="13"/>
      <c r="N1047" s="13"/>
      <c r="O1047" s="13"/>
      <c r="P1047" s="13"/>
    </row>
    <row r="1048">
      <c r="A1048" s="13"/>
      <c r="B1048" s="13"/>
      <c r="C1048" s="13"/>
      <c r="D1048" s="13"/>
      <c r="E1048" s="13"/>
      <c r="F1048" s="13"/>
      <c r="G1048" s="13"/>
      <c r="H1048" s="72"/>
      <c r="I1048" s="13"/>
      <c r="J1048" s="13"/>
      <c r="K1048" s="13"/>
      <c r="L1048" s="13"/>
      <c r="M1048" s="13"/>
      <c r="N1048" s="13"/>
      <c r="O1048" s="13"/>
      <c r="P1048" s="13"/>
    </row>
    <row r="1049">
      <c r="A1049" s="13"/>
      <c r="B1049" s="13"/>
      <c r="C1049" s="13"/>
      <c r="D1049" s="13"/>
      <c r="E1049" s="13"/>
      <c r="F1049" s="13"/>
      <c r="G1049" s="13"/>
      <c r="H1049" s="72"/>
      <c r="I1049" s="13"/>
      <c r="J1049" s="13"/>
      <c r="K1049" s="13"/>
      <c r="L1049" s="13"/>
      <c r="M1049" s="13"/>
      <c r="N1049" s="13"/>
      <c r="O1049" s="13"/>
      <c r="P1049" s="13"/>
    </row>
    <row r="1050">
      <c r="A1050" s="13"/>
      <c r="B1050" s="13"/>
      <c r="C1050" s="13"/>
      <c r="D1050" s="13"/>
      <c r="E1050" s="13"/>
      <c r="F1050" s="13"/>
      <c r="G1050" s="13"/>
      <c r="H1050" s="72"/>
      <c r="I1050" s="13"/>
      <c r="J1050" s="13"/>
      <c r="K1050" s="13"/>
      <c r="L1050" s="13"/>
      <c r="M1050" s="13"/>
      <c r="N1050" s="13"/>
      <c r="O1050" s="13"/>
      <c r="P1050" s="13"/>
    </row>
    <row r="1051">
      <c r="A1051" s="13"/>
      <c r="B1051" s="13"/>
      <c r="C1051" s="13"/>
      <c r="D1051" s="13"/>
      <c r="E1051" s="13"/>
      <c r="F1051" s="13"/>
      <c r="G1051" s="13"/>
      <c r="H1051" s="72"/>
      <c r="I1051" s="13"/>
      <c r="J1051" s="13"/>
      <c r="K1051" s="13"/>
      <c r="L1051" s="13"/>
      <c r="M1051" s="13"/>
      <c r="N1051" s="13"/>
      <c r="O1051" s="13"/>
      <c r="P1051" s="13"/>
    </row>
    <row r="1052">
      <c r="A1052" s="13"/>
      <c r="B1052" s="13"/>
      <c r="C1052" s="13"/>
      <c r="D1052" s="13"/>
      <c r="E1052" s="13"/>
      <c r="F1052" s="13"/>
      <c r="G1052" s="13"/>
      <c r="H1052" s="72"/>
      <c r="I1052" s="13"/>
      <c r="J1052" s="13"/>
      <c r="K1052" s="13"/>
      <c r="L1052" s="13"/>
      <c r="M1052" s="13"/>
      <c r="N1052" s="13"/>
      <c r="O1052" s="13"/>
      <c r="P1052" s="13"/>
    </row>
    <row r="1053">
      <c r="A1053" s="13"/>
      <c r="B1053" s="13"/>
      <c r="C1053" s="13"/>
      <c r="D1053" s="13"/>
      <c r="E1053" s="13"/>
      <c r="F1053" s="13"/>
      <c r="G1053" s="13"/>
      <c r="H1053" s="72"/>
      <c r="I1053" s="13"/>
      <c r="J1053" s="13"/>
      <c r="K1053" s="13"/>
      <c r="L1053" s="13"/>
      <c r="M1053" s="13"/>
      <c r="N1053" s="13"/>
      <c r="O1053" s="13"/>
      <c r="P1053" s="13"/>
    </row>
    <row r="1054">
      <c r="A1054" s="13"/>
      <c r="B1054" s="13"/>
      <c r="C1054" s="13"/>
      <c r="D1054" s="13"/>
      <c r="E1054" s="13"/>
      <c r="F1054" s="13"/>
      <c r="G1054" s="13"/>
      <c r="H1054" s="72"/>
      <c r="I1054" s="13"/>
      <c r="J1054" s="13"/>
      <c r="K1054" s="13"/>
      <c r="L1054" s="13"/>
      <c r="M1054" s="13"/>
      <c r="N1054" s="13"/>
      <c r="O1054" s="13"/>
      <c r="P1054" s="13"/>
    </row>
    <row r="1055">
      <c r="A1055" s="13"/>
      <c r="B1055" s="13"/>
      <c r="C1055" s="13"/>
      <c r="D1055" s="13"/>
      <c r="E1055" s="13"/>
      <c r="F1055" s="13"/>
      <c r="G1055" s="13"/>
      <c r="H1055" s="72"/>
      <c r="I1055" s="13"/>
      <c r="J1055" s="13"/>
      <c r="K1055" s="13"/>
      <c r="L1055" s="13"/>
      <c r="M1055" s="13"/>
      <c r="N1055" s="13"/>
      <c r="O1055" s="13"/>
      <c r="P1055" s="13"/>
    </row>
    <row r="1056">
      <c r="A1056" s="13"/>
      <c r="B1056" s="13"/>
      <c r="C1056" s="13"/>
      <c r="D1056" s="13"/>
      <c r="E1056" s="13"/>
      <c r="F1056" s="13"/>
      <c r="G1056" s="13"/>
      <c r="H1056" s="72"/>
      <c r="I1056" s="13"/>
      <c r="J1056" s="13"/>
      <c r="K1056" s="13"/>
      <c r="L1056" s="13"/>
      <c r="M1056" s="13"/>
      <c r="N1056" s="13"/>
      <c r="O1056" s="13"/>
      <c r="P1056" s="13"/>
    </row>
    <row r="1057">
      <c r="A1057" s="13"/>
      <c r="B1057" s="13"/>
      <c r="C1057" s="13"/>
      <c r="D1057" s="13"/>
      <c r="E1057" s="13"/>
      <c r="F1057" s="13"/>
      <c r="G1057" s="13"/>
      <c r="H1057" s="72"/>
      <c r="I1057" s="13"/>
      <c r="J1057" s="13"/>
      <c r="K1057" s="13"/>
      <c r="L1057" s="13"/>
      <c r="M1057" s="13"/>
      <c r="N1057" s="13"/>
      <c r="O1057" s="13"/>
      <c r="P1057" s="13"/>
    </row>
    <row r="1058">
      <c r="A1058" s="13"/>
      <c r="B1058" s="13"/>
      <c r="C1058" s="13"/>
      <c r="D1058" s="13"/>
      <c r="E1058" s="13"/>
      <c r="F1058" s="13"/>
      <c r="G1058" s="13"/>
      <c r="H1058" s="72"/>
      <c r="I1058" s="13"/>
      <c r="J1058" s="13"/>
      <c r="K1058" s="13"/>
      <c r="L1058" s="13"/>
      <c r="M1058" s="13"/>
      <c r="N1058" s="13"/>
      <c r="O1058" s="13"/>
      <c r="P1058" s="13"/>
    </row>
    <row r="1059">
      <c r="A1059" s="13"/>
      <c r="B1059" s="13"/>
      <c r="C1059" s="13"/>
      <c r="D1059" s="13"/>
      <c r="E1059" s="13"/>
      <c r="F1059" s="13"/>
      <c r="G1059" s="13"/>
      <c r="H1059" s="72"/>
      <c r="I1059" s="13"/>
      <c r="J1059" s="13"/>
      <c r="K1059" s="13"/>
      <c r="L1059" s="13"/>
      <c r="M1059" s="13"/>
      <c r="N1059" s="13"/>
      <c r="O1059" s="13"/>
      <c r="P1059" s="13"/>
    </row>
    <row r="1060">
      <c r="A1060" s="13"/>
      <c r="B1060" s="13"/>
      <c r="C1060" s="13"/>
      <c r="D1060" s="13"/>
      <c r="E1060" s="13"/>
      <c r="F1060" s="13"/>
      <c r="G1060" s="13"/>
      <c r="H1060" s="72"/>
      <c r="I1060" s="13"/>
      <c r="J1060" s="13"/>
      <c r="K1060" s="13"/>
      <c r="L1060" s="13"/>
      <c r="M1060" s="13"/>
      <c r="N1060" s="13"/>
      <c r="O1060" s="13"/>
      <c r="P1060" s="13"/>
    </row>
    <row r="1061">
      <c r="A1061" s="13"/>
      <c r="B1061" s="13"/>
      <c r="C1061" s="13"/>
      <c r="D1061" s="13"/>
      <c r="E1061" s="13"/>
      <c r="F1061" s="13"/>
      <c r="G1061" s="13"/>
      <c r="H1061" s="72"/>
      <c r="I1061" s="13"/>
      <c r="J1061" s="13"/>
      <c r="K1061" s="13"/>
      <c r="L1061" s="13"/>
      <c r="M1061" s="13"/>
      <c r="N1061" s="13"/>
      <c r="O1061" s="13"/>
      <c r="P1061" s="13"/>
    </row>
    <row r="1062">
      <c r="A1062" s="13"/>
      <c r="B1062" s="13"/>
      <c r="C1062" s="13"/>
      <c r="D1062" s="13"/>
      <c r="E1062" s="13"/>
      <c r="F1062" s="13"/>
      <c r="G1062" s="13"/>
      <c r="H1062" s="72"/>
      <c r="I1062" s="13"/>
      <c r="J1062" s="13"/>
      <c r="K1062" s="13"/>
      <c r="L1062" s="13"/>
      <c r="M1062" s="13"/>
      <c r="N1062" s="13"/>
      <c r="O1062" s="13"/>
      <c r="P1062" s="13"/>
    </row>
    <row r="1063">
      <c r="A1063" s="13"/>
      <c r="B1063" s="13"/>
      <c r="C1063" s="13"/>
      <c r="D1063" s="13"/>
      <c r="E1063" s="13"/>
      <c r="F1063" s="13"/>
      <c r="G1063" s="13"/>
      <c r="H1063" s="72"/>
      <c r="I1063" s="13"/>
      <c r="J1063" s="13"/>
      <c r="K1063" s="13"/>
      <c r="L1063" s="13"/>
      <c r="M1063" s="13"/>
      <c r="N1063" s="13"/>
      <c r="O1063" s="13"/>
      <c r="P1063" s="13"/>
    </row>
    <row r="1064">
      <c r="A1064" s="13"/>
      <c r="B1064" s="13"/>
      <c r="C1064" s="13"/>
      <c r="D1064" s="13"/>
      <c r="E1064" s="13"/>
      <c r="F1064" s="13"/>
      <c r="G1064" s="13"/>
      <c r="H1064" s="72"/>
      <c r="I1064" s="13"/>
      <c r="J1064" s="13"/>
      <c r="K1064" s="13"/>
      <c r="L1064" s="13"/>
      <c r="M1064" s="13"/>
      <c r="N1064" s="13"/>
      <c r="O1064" s="13"/>
      <c r="P1064" s="13"/>
    </row>
    <row r="1065">
      <c r="A1065" s="13"/>
      <c r="B1065" s="13"/>
      <c r="C1065" s="13"/>
      <c r="D1065" s="13"/>
      <c r="E1065" s="13"/>
      <c r="F1065" s="13"/>
      <c r="G1065" s="13"/>
      <c r="H1065" s="72"/>
      <c r="I1065" s="13"/>
      <c r="J1065" s="13"/>
      <c r="K1065" s="13"/>
      <c r="L1065" s="13"/>
      <c r="M1065" s="13"/>
      <c r="N1065" s="13"/>
      <c r="O1065" s="13"/>
      <c r="P1065" s="13"/>
    </row>
    <row r="1066">
      <c r="A1066" s="13"/>
      <c r="B1066" s="13"/>
      <c r="C1066" s="13"/>
      <c r="D1066" s="13"/>
      <c r="E1066" s="13"/>
      <c r="F1066" s="13"/>
      <c r="G1066" s="13"/>
      <c r="H1066" s="72"/>
      <c r="I1066" s="13"/>
      <c r="J1066" s="13"/>
      <c r="K1066" s="13"/>
      <c r="L1066" s="13"/>
      <c r="M1066" s="13"/>
      <c r="N1066" s="13"/>
      <c r="O1066" s="13"/>
      <c r="P1066" s="13"/>
    </row>
    <row r="1067">
      <c r="A1067" s="13"/>
      <c r="B1067" s="13"/>
      <c r="C1067" s="13"/>
      <c r="D1067" s="13"/>
      <c r="E1067" s="13"/>
      <c r="F1067" s="13"/>
      <c r="G1067" s="13"/>
      <c r="H1067" s="72"/>
      <c r="I1067" s="13"/>
      <c r="J1067" s="13"/>
      <c r="K1067" s="13"/>
      <c r="L1067" s="13"/>
      <c r="M1067" s="13"/>
      <c r="N1067" s="13"/>
      <c r="O1067" s="13"/>
      <c r="P1067" s="13"/>
    </row>
    <row r="1068">
      <c r="A1068" s="13"/>
      <c r="B1068" s="13"/>
      <c r="C1068" s="13"/>
      <c r="D1068" s="13"/>
      <c r="E1068" s="13"/>
      <c r="F1068" s="13"/>
      <c r="G1068" s="13"/>
      <c r="H1068" s="72"/>
      <c r="I1068" s="13"/>
      <c r="J1068" s="13"/>
      <c r="K1068" s="13"/>
      <c r="L1068" s="13"/>
      <c r="M1068" s="13"/>
      <c r="N1068" s="13"/>
      <c r="O1068" s="13"/>
      <c r="P1068" s="13"/>
    </row>
    <row r="1069">
      <c r="A1069" s="13"/>
      <c r="B1069" s="13"/>
      <c r="C1069" s="13"/>
      <c r="D1069" s="13"/>
      <c r="E1069" s="13"/>
      <c r="F1069" s="13"/>
      <c r="G1069" s="13"/>
      <c r="H1069" s="72"/>
      <c r="I1069" s="13"/>
      <c r="J1069" s="13"/>
      <c r="K1069" s="13"/>
      <c r="L1069" s="13"/>
      <c r="M1069" s="13"/>
      <c r="N1069" s="13"/>
      <c r="O1069" s="13"/>
      <c r="P1069" s="13"/>
    </row>
    <row r="1070">
      <c r="A1070" s="13"/>
      <c r="B1070" s="13"/>
      <c r="C1070" s="13"/>
      <c r="D1070" s="13"/>
      <c r="E1070" s="13"/>
      <c r="F1070" s="13"/>
      <c r="G1070" s="13"/>
      <c r="H1070" s="72"/>
      <c r="I1070" s="13"/>
      <c r="J1070" s="13"/>
      <c r="K1070" s="13"/>
      <c r="L1070" s="13"/>
      <c r="M1070" s="13"/>
      <c r="N1070" s="13"/>
      <c r="O1070" s="13"/>
      <c r="P1070" s="13"/>
    </row>
    <row r="1071">
      <c r="A1071" s="13"/>
      <c r="B1071" s="13"/>
      <c r="C1071" s="13"/>
      <c r="D1071" s="13"/>
      <c r="E1071" s="13"/>
      <c r="F1071" s="13"/>
      <c r="G1071" s="13"/>
      <c r="H1071" s="72"/>
      <c r="I1071" s="13"/>
      <c r="J1071" s="13"/>
      <c r="K1071" s="13"/>
      <c r="L1071" s="13"/>
      <c r="M1071" s="13"/>
      <c r="N1071" s="13"/>
      <c r="O1071" s="13"/>
      <c r="P1071" s="13"/>
    </row>
    <row r="1072">
      <c r="A1072" s="13"/>
      <c r="B1072" s="13"/>
      <c r="C1072" s="13"/>
      <c r="D1072" s="13"/>
      <c r="E1072" s="13"/>
      <c r="F1072" s="13"/>
      <c r="G1072" s="13"/>
      <c r="H1072" s="72"/>
      <c r="I1072" s="13"/>
      <c r="J1072" s="13"/>
      <c r="K1072" s="13"/>
      <c r="L1072" s="13"/>
      <c r="M1072" s="13"/>
      <c r="N1072" s="13"/>
      <c r="O1072" s="13"/>
      <c r="P1072" s="13"/>
    </row>
    <row r="1073">
      <c r="A1073" s="13"/>
      <c r="B1073" s="13"/>
      <c r="C1073" s="13"/>
      <c r="D1073" s="13"/>
      <c r="E1073" s="13"/>
      <c r="F1073" s="13"/>
      <c r="G1073" s="13"/>
      <c r="H1073" s="72"/>
      <c r="I1073" s="13"/>
      <c r="J1073" s="13"/>
      <c r="K1073" s="13"/>
      <c r="L1073" s="13"/>
      <c r="M1073" s="13"/>
      <c r="N1073" s="13"/>
      <c r="O1073" s="13"/>
      <c r="P1073" s="13"/>
    </row>
    <row r="1074">
      <c r="A1074" s="13"/>
      <c r="B1074" s="13"/>
      <c r="C1074" s="13"/>
      <c r="D1074" s="13"/>
      <c r="E1074" s="13"/>
      <c r="F1074" s="13"/>
      <c r="G1074" s="13"/>
      <c r="H1074" s="72"/>
      <c r="I1074" s="13"/>
      <c r="J1074" s="13"/>
      <c r="K1074" s="13"/>
      <c r="L1074" s="13"/>
      <c r="M1074" s="13"/>
      <c r="N1074" s="13"/>
      <c r="O1074" s="13"/>
      <c r="P1074" s="13"/>
    </row>
    <row r="1075">
      <c r="A1075" s="13"/>
      <c r="B1075" s="13"/>
      <c r="C1075" s="13"/>
      <c r="D1075" s="13"/>
      <c r="E1075" s="13"/>
      <c r="F1075" s="13"/>
      <c r="G1075" s="13"/>
      <c r="H1075" s="72"/>
      <c r="I1075" s="13"/>
      <c r="J1075" s="13"/>
      <c r="K1075" s="13"/>
      <c r="L1075" s="13"/>
      <c r="M1075" s="13"/>
      <c r="N1075" s="13"/>
      <c r="O1075" s="13"/>
      <c r="P1075" s="13"/>
    </row>
    <row r="1076">
      <c r="A1076" s="13"/>
      <c r="B1076" s="13"/>
      <c r="C1076" s="13"/>
      <c r="D1076" s="13"/>
      <c r="E1076" s="13"/>
      <c r="F1076" s="13"/>
      <c r="G1076" s="13"/>
      <c r="H1076" s="72"/>
      <c r="I1076" s="13"/>
      <c r="J1076" s="13"/>
      <c r="K1076" s="13"/>
      <c r="L1076" s="13"/>
      <c r="M1076" s="13"/>
      <c r="N1076" s="13"/>
      <c r="O1076" s="13"/>
      <c r="P1076" s="13"/>
    </row>
    <row r="1077">
      <c r="A1077" s="13"/>
      <c r="B1077" s="13"/>
      <c r="C1077" s="13"/>
      <c r="D1077" s="13"/>
      <c r="E1077" s="13"/>
      <c r="F1077" s="13"/>
      <c r="G1077" s="13"/>
      <c r="H1077" s="72"/>
      <c r="I1077" s="13"/>
      <c r="J1077" s="13"/>
      <c r="K1077" s="13"/>
      <c r="L1077" s="13"/>
      <c r="M1077" s="13"/>
      <c r="N1077" s="13"/>
      <c r="O1077" s="13"/>
      <c r="P1077" s="13"/>
    </row>
    <row r="1078">
      <c r="A1078" s="13"/>
      <c r="B1078" s="13"/>
      <c r="C1078" s="13"/>
      <c r="D1078" s="13"/>
      <c r="E1078" s="13"/>
      <c r="F1078" s="13"/>
      <c r="G1078" s="13"/>
      <c r="H1078" s="72"/>
      <c r="I1078" s="13"/>
      <c r="J1078" s="13"/>
      <c r="K1078" s="13"/>
      <c r="L1078" s="13"/>
      <c r="M1078" s="13"/>
      <c r="N1078" s="13"/>
      <c r="O1078" s="13"/>
      <c r="P1078" s="13"/>
    </row>
    <row r="1079">
      <c r="A1079" s="13"/>
      <c r="B1079" s="13"/>
      <c r="C1079" s="13"/>
      <c r="D1079" s="13"/>
      <c r="E1079" s="13"/>
      <c r="F1079" s="13"/>
      <c r="G1079" s="13"/>
      <c r="H1079" s="72"/>
      <c r="I1079" s="13"/>
      <c r="J1079" s="13"/>
      <c r="K1079" s="13"/>
      <c r="L1079" s="13"/>
      <c r="M1079" s="13"/>
      <c r="N1079" s="13"/>
      <c r="O1079" s="13"/>
      <c r="P1079" s="13"/>
    </row>
    <row r="1080">
      <c r="A1080" s="13"/>
      <c r="B1080" s="13"/>
      <c r="C1080" s="13"/>
      <c r="D1080" s="13"/>
      <c r="E1080" s="13"/>
      <c r="F1080" s="13"/>
      <c r="G1080" s="13"/>
      <c r="H1080" s="72"/>
      <c r="I1080" s="13"/>
      <c r="J1080" s="13"/>
      <c r="K1080" s="13"/>
      <c r="L1080" s="13"/>
      <c r="M1080" s="13"/>
      <c r="N1080" s="13"/>
      <c r="O1080" s="13"/>
      <c r="P1080" s="13"/>
    </row>
    <row r="1081">
      <c r="A1081" s="13"/>
      <c r="B1081" s="13"/>
      <c r="C1081" s="13"/>
      <c r="D1081" s="13"/>
      <c r="E1081" s="13"/>
      <c r="F1081" s="13"/>
      <c r="G1081" s="13"/>
      <c r="H1081" s="72"/>
      <c r="I1081" s="13"/>
      <c r="J1081" s="13"/>
      <c r="K1081" s="13"/>
      <c r="L1081" s="13"/>
      <c r="M1081" s="13"/>
      <c r="N1081" s="13"/>
      <c r="O1081" s="13"/>
      <c r="P1081" s="13"/>
    </row>
    <row r="1082">
      <c r="A1082" s="13"/>
      <c r="B1082" s="13"/>
      <c r="C1082" s="13"/>
      <c r="D1082" s="13"/>
      <c r="E1082" s="13"/>
      <c r="F1082" s="13"/>
      <c r="G1082" s="13"/>
      <c r="H1082" s="72"/>
      <c r="I1082" s="13"/>
      <c r="J1082" s="13"/>
      <c r="K1082" s="13"/>
      <c r="L1082" s="13"/>
      <c r="M1082" s="13"/>
      <c r="N1082" s="13"/>
      <c r="O1082" s="13"/>
      <c r="P1082" s="13"/>
    </row>
    <row r="1083">
      <c r="A1083" s="13"/>
      <c r="B1083" s="13"/>
      <c r="C1083" s="13"/>
      <c r="D1083" s="13"/>
      <c r="E1083" s="13"/>
      <c r="F1083" s="13"/>
      <c r="G1083" s="13"/>
      <c r="H1083" s="72"/>
      <c r="I1083" s="13"/>
      <c r="J1083" s="13"/>
      <c r="K1083" s="13"/>
      <c r="L1083" s="13"/>
      <c r="M1083" s="13"/>
      <c r="N1083" s="13"/>
      <c r="O1083" s="13"/>
      <c r="P1083" s="13"/>
    </row>
    <row r="1084">
      <c r="A1084" s="13"/>
      <c r="B1084" s="13"/>
      <c r="C1084" s="13"/>
      <c r="D1084" s="13"/>
      <c r="E1084" s="13"/>
      <c r="F1084" s="13"/>
      <c r="G1084" s="13"/>
      <c r="H1084" s="72"/>
      <c r="I1084" s="13"/>
      <c r="J1084" s="13"/>
      <c r="K1084" s="13"/>
      <c r="L1084" s="13"/>
      <c r="M1084" s="13"/>
      <c r="N1084" s="13"/>
      <c r="O1084" s="13"/>
      <c r="P1084" s="13"/>
    </row>
    <row r="1085">
      <c r="A1085" s="13"/>
      <c r="B1085" s="13"/>
      <c r="C1085" s="13"/>
      <c r="D1085" s="13"/>
      <c r="E1085" s="13"/>
      <c r="F1085" s="13"/>
      <c r="G1085" s="13"/>
      <c r="H1085" s="72"/>
      <c r="I1085" s="13"/>
      <c r="J1085" s="13"/>
      <c r="K1085" s="13"/>
      <c r="L1085" s="13"/>
      <c r="M1085" s="13"/>
      <c r="N1085" s="13"/>
      <c r="O1085" s="13"/>
      <c r="P1085" s="13"/>
    </row>
    <row r="1086">
      <c r="A1086" s="13"/>
      <c r="B1086" s="13"/>
      <c r="C1086" s="13"/>
      <c r="D1086" s="13"/>
      <c r="E1086" s="13"/>
      <c r="F1086" s="13"/>
      <c r="G1086" s="13"/>
      <c r="H1086" s="72"/>
      <c r="I1086" s="13"/>
      <c r="J1086" s="13"/>
      <c r="K1086" s="13"/>
      <c r="L1086" s="13"/>
      <c r="M1086" s="13"/>
      <c r="N1086" s="13"/>
      <c r="O1086" s="13"/>
      <c r="P1086" s="13"/>
    </row>
    <row r="1087">
      <c r="A1087" s="13"/>
      <c r="B1087" s="13"/>
      <c r="C1087" s="13"/>
      <c r="D1087" s="13"/>
      <c r="E1087" s="13"/>
      <c r="F1087" s="13"/>
      <c r="G1087" s="13"/>
      <c r="H1087" s="72"/>
      <c r="I1087" s="13"/>
      <c r="J1087" s="13"/>
      <c r="K1087" s="13"/>
      <c r="L1087" s="13"/>
      <c r="M1087" s="13"/>
      <c r="N1087" s="13"/>
      <c r="O1087" s="13"/>
      <c r="P1087" s="13"/>
    </row>
    <row r="1088">
      <c r="A1088" s="13"/>
      <c r="B1088" s="13"/>
      <c r="C1088" s="13"/>
      <c r="D1088" s="13"/>
      <c r="E1088" s="13"/>
      <c r="F1088" s="13"/>
      <c r="G1088" s="13"/>
      <c r="H1088" s="72"/>
      <c r="I1088" s="13"/>
      <c r="J1088" s="13"/>
      <c r="K1088" s="13"/>
      <c r="L1088" s="13"/>
      <c r="M1088" s="13"/>
      <c r="N1088" s="13"/>
      <c r="O1088" s="13"/>
      <c r="P1088" s="13"/>
    </row>
    <row r="1089">
      <c r="A1089" s="13"/>
      <c r="B1089" s="13"/>
      <c r="C1089" s="13"/>
      <c r="D1089" s="13"/>
      <c r="E1089" s="13"/>
      <c r="F1089" s="13"/>
      <c r="G1089" s="13"/>
      <c r="H1089" s="72"/>
      <c r="I1089" s="13"/>
      <c r="J1089" s="13"/>
      <c r="K1089" s="13"/>
      <c r="L1089" s="13"/>
      <c r="M1089" s="13"/>
      <c r="N1089" s="13"/>
      <c r="O1089" s="13"/>
      <c r="P1089" s="13"/>
    </row>
    <row r="1090">
      <c r="A1090" s="13"/>
      <c r="B1090" s="13"/>
      <c r="C1090" s="13"/>
      <c r="D1090" s="13"/>
      <c r="E1090" s="13"/>
      <c r="F1090" s="13"/>
      <c r="G1090" s="13"/>
      <c r="H1090" s="72"/>
      <c r="I1090" s="13"/>
      <c r="J1090" s="13"/>
      <c r="K1090" s="13"/>
      <c r="L1090" s="13"/>
      <c r="M1090" s="13"/>
      <c r="N1090" s="13"/>
      <c r="O1090" s="13"/>
      <c r="P1090" s="13"/>
    </row>
    <row r="1091">
      <c r="A1091" s="13"/>
      <c r="B1091" s="13"/>
      <c r="C1091" s="13"/>
      <c r="D1091" s="13"/>
      <c r="E1091" s="13"/>
      <c r="F1091" s="13"/>
      <c r="G1091" s="13"/>
      <c r="H1091" s="72"/>
      <c r="I1091" s="13"/>
      <c r="J1091" s="13"/>
      <c r="K1091" s="13"/>
      <c r="L1091" s="13"/>
      <c r="M1091" s="13"/>
      <c r="N1091" s="13"/>
      <c r="O1091" s="13"/>
      <c r="P1091" s="13"/>
    </row>
    <row r="1092">
      <c r="A1092" s="13"/>
      <c r="B1092" s="13"/>
      <c r="C1092" s="13"/>
      <c r="D1092" s="13"/>
      <c r="E1092" s="13"/>
      <c r="F1092" s="13"/>
      <c r="G1092" s="13"/>
      <c r="H1092" s="72"/>
      <c r="I1092" s="13"/>
      <c r="J1092" s="13"/>
      <c r="K1092" s="13"/>
      <c r="L1092" s="13"/>
      <c r="M1092" s="13"/>
      <c r="N1092" s="13"/>
      <c r="O1092" s="13"/>
      <c r="P1092" s="13"/>
    </row>
    <row r="1093">
      <c r="A1093" s="13"/>
      <c r="B1093" s="13"/>
      <c r="C1093" s="13"/>
      <c r="D1093" s="13"/>
      <c r="E1093" s="13"/>
      <c r="F1093" s="13"/>
      <c r="G1093" s="13"/>
      <c r="H1093" s="72"/>
      <c r="I1093" s="13"/>
      <c r="J1093" s="13"/>
      <c r="K1093" s="13"/>
      <c r="L1093" s="13"/>
      <c r="M1093" s="13"/>
      <c r="N1093" s="13"/>
      <c r="O1093" s="13"/>
      <c r="P1093" s="13"/>
    </row>
    <row r="1094">
      <c r="A1094" s="13"/>
      <c r="B1094" s="13"/>
      <c r="C1094" s="13"/>
      <c r="D1094" s="13"/>
      <c r="E1094" s="13"/>
      <c r="F1094" s="13"/>
      <c r="G1094" s="13"/>
      <c r="H1094" s="72"/>
      <c r="I1094" s="13"/>
      <c r="J1094" s="13"/>
      <c r="K1094" s="13"/>
      <c r="L1094" s="13"/>
      <c r="M1094" s="13"/>
      <c r="N1094" s="13"/>
      <c r="O1094" s="13"/>
      <c r="P1094" s="13"/>
    </row>
    <row r="1095">
      <c r="A1095" s="13"/>
      <c r="B1095" s="13"/>
      <c r="C1095" s="13"/>
      <c r="D1095" s="13"/>
      <c r="E1095" s="13"/>
      <c r="F1095" s="13"/>
      <c r="G1095" s="13"/>
      <c r="H1095" s="72"/>
      <c r="I1095" s="13"/>
      <c r="J1095" s="13"/>
      <c r="K1095" s="13"/>
      <c r="L1095" s="13"/>
      <c r="M1095" s="13"/>
      <c r="N1095" s="13"/>
      <c r="O1095" s="13"/>
      <c r="P1095" s="13"/>
    </row>
    <row r="1096">
      <c r="A1096" s="13"/>
      <c r="B1096" s="13"/>
      <c r="C1096" s="13"/>
      <c r="D1096" s="13"/>
      <c r="E1096" s="13"/>
      <c r="F1096" s="13"/>
      <c r="G1096" s="13"/>
      <c r="H1096" s="72"/>
      <c r="I1096" s="13"/>
      <c r="J1096" s="13"/>
      <c r="K1096" s="13"/>
      <c r="L1096" s="13"/>
      <c r="M1096" s="13"/>
      <c r="N1096" s="13"/>
      <c r="O1096" s="13"/>
      <c r="P1096" s="13"/>
    </row>
    <row r="1097">
      <c r="A1097" s="13"/>
      <c r="B1097" s="13"/>
      <c r="C1097" s="13"/>
      <c r="D1097" s="13"/>
      <c r="E1097" s="13"/>
      <c r="F1097" s="13"/>
      <c r="G1097" s="13"/>
      <c r="H1097" s="72"/>
      <c r="I1097" s="13"/>
      <c r="J1097" s="13"/>
      <c r="K1097" s="13"/>
      <c r="L1097" s="13"/>
      <c r="M1097" s="13"/>
      <c r="N1097" s="13"/>
      <c r="O1097" s="13"/>
      <c r="P1097" s="13"/>
    </row>
    <row r="1098">
      <c r="A1098" s="13"/>
      <c r="B1098" s="13"/>
      <c r="C1098" s="13"/>
      <c r="D1098" s="13"/>
      <c r="E1098" s="13"/>
      <c r="F1098" s="13"/>
      <c r="G1098" s="13"/>
      <c r="H1098" s="72"/>
      <c r="I1098" s="13"/>
      <c r="J1098" s="13"/>
      <c r="K1098" s="13"/>
      <c r="L1098" s="13"/>
      <c r="M1098" s="13"/>
      <c r="N1098" s="13"/>
      <c r="O1098" s="13"/>
      <c r="P1098" s="13"/>
    </row>
    <row r="1099">
      <c r="A1099" s="13"/>
      <c r="B1099" s="13"/>
      <c r="C1099" s="13"/>
      <c r="D1099" s="13"/>
      <c r="E1099" s="13"/>
      <c r="F1099" s="13"/>
      <c r="G1099" s="13"/>
      <c r="H1099" s="72"/>
      <c r="I1099" s="13"/>
      <c r="J1099" s="13"/>
      <c r="K1099" s="13"/>
      <c r="L1099" s="13"/>
      <c r="M1099" s="13"/>
      <c r="N1099" s="13"/>
      <c r="O1099" s="13"/>
      <c r="P1099" s="13"/>
    </row>
    <row r="1100">
      <c r="A1100" s="13"/>
      <c r="B1100" s="13"/>
      <c r="C1100" s="13"/>
      <c r="D1100" s="13"/>
      <c r="E1100" s="13"/>
      <c r="F1100" s="13"/>
      <c r="G1100" s="13"/>
      <c r="H1100" s="72"/>
      <c r="I1100" s="13"/>
      <c r="J1100" s="13"/>
      <c r="K1100" s="13"/>
      <c r="L1100" s="13"/>
      <c r="M1100" s="13"/>
      <c r="N1100" s="13"/>
      <c r="O1100" s="13"/>
      <c r="P1100" s="13"/>
    </row>
    <row r="1101">
      <c r="A1101" s="13"/>
      <c r="B1101" s="13"/>
      <c r="C1101" s="13"/>
      <c r="D1101" s="13"/>
      <c r="E1101" s="13"/>
      <c r="F1101" s="13"/>
      <c r="G1101" s="13"/>
      <c r="H1101" s="72"/>
      <c r="I1101" s="13"/>
      <c r="J1101" s="13"/>
      <c r="K1101" s="13"/>
      <c r="L1101" s="13"/>
      <c r="M1101" s="13"/>
      <c r="N1101" s="13"/>
      <c r="O1101" s="13"/>
      <c r="P1101" s="13"/>
    </row>
    <row r="1102">
      <c r="A1102" s="13"/>
      <c r="B1102" s="13"/>
      <c r="C1102" s="13"/>
      <c r="D1102" s="13"/>
      <c r="E1102" s="13"/>
      <c r="F1102" s="13"/>
      <c r="G1102" s="13"/>
      <c r="H1102" s="72"/>
      <c r="I1102" s="13"/>
      <c r="J1102" s="13"/>
      <c r="K1102" s="13"/>
      <c r="L1102" s="13"/>
      <c r="M1102" s="13"/>
      <c r="N1102" s="13"/>
      <c r="O1102" s="13"/>
      <c r="P1102" s="13"/>
    </row>
    <row r="1103">
      <c r="A1103" s="13"/>
      <c r="B1103" s="13"/>
      <c r="C1103" s="13"/>
      <c r="D1103" s="13"/>
      <c r="E1103" s="13"/>
      <c r="F1103" s="13"/>
      <c r="G1103" s="13"/>
      <c r="H1103" s="72"/>
      <c r="I1103" s="13"/>
      <c r="J1103" s="13"/>
      <c r="K1103" s="13"/>
      <c r="L1103" s="13"/>
      <c r="M1103" s="13"/>
      <c r="N1103" s="13"/>
      <c r="O1103" s="13"/>
      <c r="P1103" s="13"/>
    </row>
    <row r="1104">
      <c r="A1104" s="13"/>
      <c r="B1104" s="13"/>
      <c r="C1104" s="13"/>
      <c r="D1104" s="13"/>
      <c r="E1104" s="13"/>
      <c r="F1104" s="13"/>
      <c r="G1104" s="13"/>
      <c r="H1104" s="72"/>
      <c r="I1104" s="13"/>
      <c r="J1104" s="13"/>
      <c r="K1104" s="13"/>
      <c r="L1104" s="13"/>
      <c r="M1104" s="13"/>
      <c r="N1104" s="13"/>
      <c r="O1104" s="13"/>
      <c r="P1104" s="13"/>
    </row>
    <row r="1105">
      <c r="A1105" s="13"/>
      <c r="B1105" s="13"/>
      <c r="C1105" s="13"/>
      <c r="D1105" s="13"/>
      <c r="E1105" s="13"/>
      <c r="F1105" s="13"/>
      <c r="G1105" s="13"/>
      <c r="H1105" s="72"/>
      <c r="I1105" s="13"/>
      <c r="J1105" s="13"/>
      <c r="K1105" s="13"/>
      <c r="L1105" s="13"/>
      <c r="M1105" s="13"/>
      <c r="N1105" s="13"/>
      <c r="O1105" s="13"/>
      <c r="P1105" s="13"/>
    </row>
    <row r="1106">
      <c r="A1106" s="13"/>
      <c r="B1106" s="13"/>
      <c r="C1106" s="13"/>
      <c r="D1106" s="13"/>
      <c r="E1106" s="13"/>
      <c r="F1106" s="13"/>
      <c r="G1106" s="13"/>
      <c r="H1106" s="72"/>
      <c r="I1106" s="13"/>
      <c r="J1106" s="13"/>
      <c r="K1106" s="13"/>
      <c r="L1106" s="13"/>
      <c r="M1106" s="13"/>
      <c r="N1106" s="13"/>
      <c r="O1106" s="13"/>
      <c r="P1106" s="13"/>
    </row>
    <row r="1107">
      <c r="A1107" s="13"/>
      <c r="B1107" s="13"/>
      <c r="C1107" s="13"/>
      <c r="D1107" s="13"/>
      <c r="E1107" s="13"/>
      <c r="F1107" s="13"/>
      <c r="G1107" s="13"/>
      <c r="H1107" s="72"/>
      <c r="I1107" s="13"/>
      <c r="J1107" s="13"/>
      <c r="K1107" s="13"/>
      <c r="L1107" s="13"/>
      <c r="M1107" s="13"/>
      <c r="N1107" s="13"/>
      <c r="O1107" s="13"/>
      <c r="P1107" s="13"/>
    </row>
    <row r="1108">
      <c r="A1108" s="13"/>
      <c r="B1108" s="13"/>
      <c r="C1108" s="13"/>
      <c r="D1108" s="13"/>
      <c r="E1108" s="13"/>
      <c r="F1108" s="13"/>
      <c r="G1108" s="13"/>
      <c r="H1108" s="72"/>
      <c r="I1108" s="13"/>
      <c r="J1108" s="13"/>
      <c r="K1108" s="13"/>
      <c r="L1108" s="13"/>
      <c r="M1108" s="13"/>
      <c r="N1108" s="13"/>
      <c r="O1108" s="13"/>
      <c r="P1108" s="13"/>
    </row>
    <row r="1109">
      <c r="A1109" s="13"/>
      <c r="B1109" s="13"/>
      <c r="C1109" s="13"/>
      <c r="D1109" s="13"/>
      <c r="E1109" s="13"/>
      <c r="F1109" s="13"/>
      <c r="G1109" s="13"/>
      <c r="H1109" s="72"/>
      <c r="I1109" s="13"/>
      <c r="J1109" s="13"/>
      <c r="K1109" s="13"/>
      <c r="L1109" s="13"/>
      <c r="M1109" s="13"/>
      <c r="N1109" s="13"/>
      <c r="O1109" s="13"/>
      <c r="P1109" s="13"/>
    </row>
    <row r="1110">
      <c r="A1110" s="13"/>
      <c r="B1110" s="13"/>
      <c r="C1110" s="13"/>
      <c r="D1110" s="13"/>
      <c r="E1110" s="13"/>
      <c r="F1110" s="13"/>
      <c r="G1110" s="13"/>
      <c r="H1110" s="72"/>
      <c r="I1110" s="13"/>
      <c r="J1110" s="13"/>
      <c r="K1110" s="13"/>
      <c r="L1110" s="13"/>
      <c r="M1110" s="13"/>
      <c r="N1110" s="13"/>
      <c r="O1110" s="13"/>
      <c r="P1110" s="13"/>
    </row>
    <row r="1111">
      <c r="A1111" s="13"/>
      <c r="B1111" s="13"/>
      <c r="C1111" s="13"/>
      <c r="D1111" s="13"/>
      <c r="E1111" s="13"/>
      <c r="F1111" s="13"/>
      <c r="G1111" s="13"/>
      <c r="H1111" s="72"/>
      <c r="I1111" s="13"/>
      <c r="J1111" s="13"/>
      <c r="K1111" s="13"/>
      <c r="L1111" s="13"/>
      <c r="M1111" s="13"/>
      <c r="N1111" s="13"/>
      <c r="O1111" s="13"/>
      <c r="P1111" s="13"/>
    </row>
    <row r="1112">
      <c r="A1112" s="13"/>
      <c r="B1112" s="13"/>
      <c r="C1112" s="13"/>
      <c r="D1112" s="13"/>
      <c r="E1112" s="13"/>
      <c r="F1112" s="13"/>
      <c r="G1112" s="13"/>
      <c r="H1112" s="72"/>
      <c r="I1112" s="13"/>
      <c r="J1112" s="13"/>
      <c r="K1112" s="13"/>
      <c r="L1112" s="13"/>
      <c r="M1112" s="13"/>
      <c r="N1112" s="13"/>
      <c r="O1112" s="13"/>
      <c r="P1112" s="13"/>
    </row>
    <row r="1113">
      <c r="A1113" s="13"/>
      <c r="B1113" s="13"/>
      <c r="C1113" s="13"/>
      <c r="D1113" s="13"/>
      <c r="E1113" s="13"/>
      <c r="F1113" s="13"/>
      <c r="G1113" s="13"/>
      <c r="H1113" s="72"/>
      <c r="I1113" s="13"/>
      <c r="J1113" s="13"/>
      <c r="K1113" s="13"/>
      <c r="L1113" s="13"/>
      <c r="M1113" s="13"/>
      <c r="N1113" s="13"/>
      <c r="O1113" s="13"/>
      <c r="P1113" s="13"/>
    </row>
    <row r="1114">
      <c r="A1114" s="13"/>
      <c r="B1114" s="13"/>
      <c r="C1114" s="13"/>
      <c r="D1114" s="13"/>
      <c r="E1114" s="13"/>
      <c r="F1114" s="13"/>
      <c r="G1114" s="13"/>
      <c r="H1114" s="72"/>
      <c r="I1114" s="13"/>
      <c r="J1114" s="13"/>
      <c r="K1114" s="13"/>
      <c r="L1114" s="13"/>
      <c r="M1114" s="13"/>
      <c r="N1114" s="13"/>
      <c r="O1114" s="13"/>
      <c r="P1114" s="13"/>
    </row>
    <row r="1115">
      <c r="A1115" s="13"/>
      <c r="B1115" s="13"/>
      <c r="C1115" s="13"/>
      <c r="D1115" s="13"/>
      <c r="E1115" s="13"/>
      <c r="F1115" s="13"/>
      <c r="G1115" s="13"/>
      <c r="H1115" s="72"/>
      <c r="I1115" s="13"/>
      <c r="J1115" s="13"/>
      <c r="K1115" s="13"/>
      <c r="L1115" s="13"/>
      <c r="M1115" s="13"/>
      <c r="N1115" s="13"/>
      <c r="O1115" s="13"/>
      <c r="P1115" s="13"/>
    </row>
    <row r="1116">
      <c r="A1116" s="13"/>
      <c r="B1116" s="13"/>
      <c r="C1116" s="13"/>
      <c r="D1116" s="13"/>
      <c r="E1116" s="13"/>
      <c r="F1116" s="13"/>
      <c r="G1116" s="13"/>
      <c r="H1116" s="72"/>
      <c r="I1116" s="13"/>
      <c r="J1116" s="13"/>
      <c r="K1116" s="13"/>
      <c r="L1116" s="13"/>
      <c r="M1116" s="13"/>
      <c r="N1116" s="13"/>
      <c r="O1116" s="13"/>
      <c r="P1116" s="13"/>
    </row>
    <row r="1117">
      <c r="A1117" s="13"/>
      <c r="B1117" s="13"/>
      <c r="C1117" s="13"/>
      <c r="D1117" s="13"/>
      <c r="E1117" s="13"/>
      <c r="F1117" s="13"/>
      <c r="G1117" s="13"/>
      <c r="H1117" s="72"/>
      <c r="I1117" s="13"/>
      <c r="J1117" s="13"/>
      <c r="K1117" s="13"/>
      <c r="L1117" s="13"/>
      <c r="M1117" s="13"/>
      <c r="N1117" s="13"/>
      <c r="O1117" s="13"/>
      <c r="P1117" s="13"/>
    </row>
    <row r="1118">
      <c r="A1118" s="13"/>
      <c r="B1118" s="13"/>
      <c r="C1118" s="13"/>
      <c r="D1118" s="13"/>
      <c r="E1118" s="13"/>
      <c r="F1118" s="13"/>
      <c r="G1118" s="13"/>
      <c r="H1118" s="72"/>
      <c r="I1118" s="13"/>
      <c r="J1118" s="13"/>
      <c r="K1118" s="13"/>
      <c r="L1118" s="13"/>
      <c r="M1118" s="13"/>
      <c r="N1118" s="13"/>
      <c r="O1118" s="13"/>
      <c r="P1118" s="13"/>
    </row>
    <row r="1119">
      <c r="A1119" s="13"/>
      <c r="B1119" s="13"/>
      <c r="C1119" s="13"/>
      <c r="D1119" s="13"/>
      <c r="E1119" s="13"/>
      <c r="F1119" s="13"/>
      <c r="G1119" s="13"/>
      <c r="H1119" s="72"/>
      <c r="I1119" s="13"/>
      <c r="J1119" s="13"/>
      <c r="K1119" s="13"/>
      <c r="L1119" s="13"/>
      <c r="M1119" s="13"/>
      <c r="N1119" s="13"/>
      <c r="O1119" s="13"/>
      <c r="P1119" s="13"/>
    </row>
    <row r="1120">
      <c r="A1120" s="13"/>
      <c r="B1120" s="13"/>
      <c r="C1120" s="13"/>
      <c r="D1120" s="13"/>
      <c r="E1120" s="13"/>
      <c r="F1120" s="13"/>
      <c r="G1120" s="13"/>
      <c r="H1120" s="72"/>
      <c r="I1120" s="13"/>
      <c r="J1120" s="13"/>
      <c r="K1120" s="13"/>
      <c r="L1120" s="13"/>
      <c r="M1120" s="13"/>
      <c r="N1120" s="13"/>
      <c r="O1120" s="13"/>
      <c r="P1120" s="13"/>
    </row>
    <row r="1121">
      <c r="A1121" s="13"/>
      <c r="B1121" s="13"/>
      <c r="C1121" s="13"/>
      <c r="D1121" s="13"/>
      <c r="E1121" s="13"/>
      <c r="F1121" s="13"/>
      <c r="G1121" s="13"/>
      <c r="H1121" s="72"/>
      <c r="I1121" s="13"/>
      <c r="J1121" s="13"/>
      <c r="K1121" s="13"/>
      <c r="L1121" s="13"/>
      <c r="M1121" s="13"/>
      <c r="N1121" s="13"/>
      <c r="O1121" s="13"/>
      <c r="P1121" s="13"/>
    </row>
    <row r="1122">
      <c r="A1122" s="13"/>
      <c r="B1122" s="13"/>
      <c r="C1122" s="13"/>
      <c r="D1122" s="13"/>
      <c r="E1122" s="13"/>
      <c r="F1122" s="13"/>
      <c r="G1122" s="13"/>
      <c r="H1122" s="72"/>
      <c r="I1122" s="13"/>
      <c r="J1122" s="13"/>
      <c r="K1122" s="13"/>
      <c r="L1122" s="13"/>
      <c r="M1122" s="13"/>
      <c r="N1122" s="13"/>
      <c r="O1122" s="13"/>
      <c r="P1122" s="13"/>
    </row>
    <row r="1123">
      <c r="A1123" s="13"/>
      <c r="B1123" s="13"/>
      <c r="C1123" s="13"/>
      <c r="D1123" s="13"/>
      <c r="E1123" s="13"/>
      <c r="F1123" s="13"/>
      <c r="G1123" s="13"/>
      <c r="H1123" s="72"/>
      <c r="I1123" s="13"/>
      <c r="J1123" s="13"/>
      <c r="K1123" s="13"/>
      <c r="L1123" s="13"/>
      <c r="M1123" s="13"/>
      <c r="N1123" s="13"/>
      <c r="O1123" s="13"/>
      <c r="P1123" s="13"/>
    </row>
    <row r="1124">
      <c r="A1124" s="13"/>
      <c r="B1124" s="13"/>
      <c r="C1124" s="13"/>
      <c r="D1124" s="13"/>
      <c r="E1124" s="13"/>
      <c r="F1124" s="13"/>
      <c r="G1124" s="13"/>
      <c r="H1124" s="72"/>
      <c r="I1124" s="13"/>
      <c r="J1124" s="13"/>
      <c r="K1124" s="13"/>
      <c r="L1124" s="13"/>
      <c r="M1124" s="13"/>
      <c r="N1124" s="13"/>
      <c r="O1124" s="13"/>
      <c r="P1124" s="13"/>
    </row>
    <row r="1125">
      <c r="A1125" s="13"/>
      <c r="B1125" s="13"/>
      <c r="C1125" s="13"/>
      <c r="D1125" s="13"/>
      <c r="E1125" s="13"/>
      <c r="F1125" s="13"/>
      <c r="G1125" s="13"/>
      <c r="H1125" s="72"/>
      <c r="I1125" s="13"/>
      <c r="J1125" s="13"/>
      <c r="K1125" s="13"/>
      <c r="L1125" s="13"/>
      <c r="M1125" s="13"/>
      <c r="N1125" s="13"/>
      <c r="O1125" s="13"/>
      <c r="P1125" s="13"/>
    </row>
    <row r="1126">
      <c r="A1126" s="13"/>
      <c r="B1126" s="13"/>
      <c r="C1126" s="13"/>
      <c r="D1126" s="13"/>
      <c r="E1126" s="13"/>
      <c r="F1126" s="13"/>
      <c r="G1126" s="13"/>
      <c r="H1126" s="72"/>
      <c r="I1126" s="13"/>
      <c r="J1126" s="13"/>
      <c r="K1126" s="13"/>
      <c r="L1126" s="13"/>
      <c r="M1126" s="13"/>
      <c r="N1126" s="13"/>
      <c r="O1126" s="13"/>
      <c r="P1126" s="13"/>
    </row>
    <row r="1127">
      <c r="A1127" s="13"/>
      <c r="B1127" s="13"/>
      <c r="C1127" s="13"/>
      <c r="D1127" s="13"/>
      <c r="E1127" s="13"/>
      <c r="F1127" s="13"/>
      <c r="G1127" s="13"/>
      <c r="H1127" s="72"/>
      <c r="I1127" s="13"/>
      <c r="J1127" s="13"/>
      <c r="K1127" s="13"/>
      <c r="L1127" s="13"/>
      <c r="M1127" s="13"/>
      <c r="N1127" s="13"/>
      <c r="O1127" s="13"/>
      <c r="P1127" s="13"/>
    </row>
    <row r="1128">
      <c r="A1128" s="13"/>
      <c r="B1128" s="13"/>
      <c r="C1128" s="13"/>
      <c r="D1128" s="13"/>
      <c r="E1128" s="13"/>
      <c r="F1128" s="13"/>
      <c r="G1128" s="13"/>
      <c r="H1128" s="72"/>
      <c r="I1128" s="13"/>
      <c r="J1128" s="13"/>
      <c r="K1128" s="13"/>
      <c r="L1128" s="13"/>
      <c r="M1128" s="13"/>
      <c r="N1128" s="13"/>
      <c r="O1128" s="13"/>
      <c r="P1128" s="13"/>
    </row>
    <row r="1129">
      <c r="A1129" s="13"/>
      <c r="B1129" s="13"/>
      <c r="C1129" s="13"/>
      <c r="D1129" s="13"/>
      <c r="E1129" s="13"/>
      <c r="F1129" s="13"/>
      <c r="G1129" s="13"/>
      <c r="H1129" s="72"/>
      <c r="I1129" s="13"/>
      <c r="J1129" s="13"/>
      <c r="K1129" s="13"/>
      <c r="L1129" s="13"/>
      <c r="M1129" s="13"/>
      <c r="N1129" s="13"/>
      <c r="O1129" s="13"/>
      <c r="P1129" s="13"/>
    </row>
    <row r="1130">
      <c r="A1130" s="13"/>
      <c r="B1130" s="13"/>
      <c r="C1130" s="13"/>
      <c r="D1130" s="13"/>
      <c r="E1130" s="13"/>
      <c r="F1130" s="13"/>
      <c r="G1130" s="13"/>
      <c r="H1130" s="72"/>
      <c r="I1130" s="13"/>
      <c r="J1130" s="13"/>
      <c r="K1130" s="13"/>
      <c r="L1130" s="13"/>
      <c r="M1130" s="13"/>
      <c r="N1130" s="13"/>
      <c r="O1130" s="13"/>
      <c r="P1130" s="13"/>
    </row>
    <row r="1131">
      <c r="A1131" s="13"/>
      <c r="B1131" s="13"/>
      <c r="C1131" s="13"/>
      <c r="D1131" s="13"/>
      <c r="E1131" s="13"/>
      <c r="F1131" s="13"/>
      <c r="G1131" s="13"/>
      <c r="H1131" s="72"/>
      <c r="I1131" s="13"/>
      <c r="J1131" s="13"/>
      <c r="K1131" s="13"/>
      <c r="L1131" s="13"/>
      <c r="M1131" s="13"/>
      <c r="N1131" s="13"/>
      <c r="O1131" s="13"/>
      <c r="P1131" s="13"/>
    </row>
    <row r="1132">
      <c r="A1132" s="13"/>
      <c r="B1132" s="13"/>
      <c r="C1132" s="13"/>
      <c r="D1132" s="13"/>
      <c r="E1132" s="13"/>
      <c r="F1132" s="13"/>
      <c r="G1132" s="13"/>
      <c r="H1132" s="72"/>
      <c r="I1132" s="13"/>
      <c r="J1132" s="13"/>
      <c r="K1132" s="13"/>
      <c r="L1132" s="13"/>
      <c r="M1132" s="13"/>
      <c r="N1132" s="13"/>
      <c r="O1132" s="13"/>
      <c r="P1132" s="13"/>
    </row>
    <row r="1133">
      <c r="A1133" s="13"/>
      <c r="B1133" s="13"/>
      <c r="C1133" s="13"/>
      <c r="D1133" s="13"/>
      <c r="E1133" s="13"/>
      <c r="F1133" s="13"/>
      <c r="G1133" s="13"/>
      <c r="H1133" s="72"/>
      <c r="I1133" s="13"/>
      <c r="J1133" s="13"/>
      <c r="K1133" s="13"/>
      <c r="L1133" s="13"/>
      <c r="M1133" s="13"/>
      <c r="N1133" s="13"/>
      <c r="O1133" s="13"/>
      <c r="P1133" s="13"/>
    </row>
    <row r="1134">
      <c r="A1134" s="13"/>
      <c r="B1134" s="13"/>
      <c r="C1134" s="13"/>
      <c r="D1134" s="13"/>
      <c r="E1134" s="13"/>
      <c r="F1134" s="13"/>
      <c r="G1134" s="13"/>
      <c r="H1134" s="72"/>
      <c r="I1134" s="13"/>
      <c r="J1134" s="13"/>
      <c r="K1134" s="13"/>
      <c r="L1134" s="13"/>
      <c r="M1134" s="13"/>
      <c r="N1134" s="13"/>
      <c r="O1134" s="13"/>
      <c r="P1134" s="13"/>
    </row>
    <row r="1135">
      <c r="A1135" s="13"/>
      <c r="B1135" s="13"/>
      <c r="C1135" s="13"/>
      <c r="D1135" s="13"/>
      <c r="E1135" s="13"/>
      <c r="F1135" s="13"/>
      <c r="G1135" s="13"/>
      <c r="H1135" s="72"/>
      <c r="I1135" s="13"/>
      <c r="J1135" s="13"/>
      <c r="K1135" s="13"/>
      <c r="L1135" s="13"/>
      <c r="M1135" s="13"/>
      <c r="N1135" s="13"/>
      <c r="O1135" s="13"/>
      <c r="P1135" s="13"/>
    </row>
    <row r="1136">
      <c r="A1136" s="13"/>
      <c r="B1136" s="13"/>
      <c r="C1136" s="13"/>
      <c r="D1136" s="13"/>
      <c r="E1136" s="13"/>
      <c r="F1136" s="13"/>
      <c r="G1136" s="13"/>
      <c r="H1136" s="72"/>
      <c r="I1136" s="13"/>
      <c r="J1136" s="13"/>
      <c r="K1136" s="13"/>
      <c r="L1136" s="13"/>
      <c r="M1136" s="13"/>
      <c r="N1136" s="13"/>
      <c r="O1136" s="13"/>
      <c r="P1136" s="13"/>
    </row>
    <row r="1137">
      <c r="A1137" s="13"/>
      <c r="B1137" s="13"/>
      <c r="C1137" s="13"/>
      <c r="D1137" s="13"/>
      <c r="E1137" s="13"/>
      <c r="F1137" s="13"/>
      <c r="G1137" s="13"/>
      <c r="H1137" s="72"/>
      <c r="I1137" s="13"/>
      <c r="J1137" s="13"/>
      <c r="K1137" s="13"/>
      <c r="L1137" s="13"/>
      <c r="M1137" s="13"/>
      <c r="N1137" s="13"/>
      <c r="O1137" s="13"/>
      <c r="P1137" s="13"/>
    </row>
    <row r="1138">
      <c r="A1138" s="13"/>
      <c r="B1138" s="13"/>
      <c r="C1138" s="13"/>
      <c r="D1138" s="13"/>
      <c r="E1138" s="13"/>
      <c r="F1138" s="13"/>
      <c r="G1138" s="13"/>
      <c r="H1138" s="72"/>
      <c r="I1138" s="13"/>
      <c r="J1138" s="13"/>
      <c r="K1138" s="13"/>
      <c r="L1138" s="13"/>
      <c r="M1138" s="13"/>
      <c r="N1138" s="13"/>
      <c r="O1138" s="13"/>
      <c r="P1138" s="13"/>
    </row>
    <row r="1139">
      <c r="A1139" s="13"/>
      <c r="B1139" s="13"/>
      <c r="C1139" s="13"/>
      <c r="D1139" s="13"/>
      <c r="E1139" s="13"/>
      <c r="F1139" s="13"/>
      <c r="G1139" s="13"/>
      <c r="H1139" s="72"/>
      <c r="I1139" s="13"/>
      <c r="J1139" s="13"/>
      <c r="K1139" s="13"/>
      <c r="L1139" s="13"/>
      <c r="M1139" s="13"/>
      <c r="N1139" s="13"/>
      <c r="O1139" s="13"/>
      <c r="P1139" s="13"/>
    </row>
    <row r="1140">
      <c r="A1140" s="13"/>
      <c r="B1140" s="13"/>
      <c r="C1140" s="13"/>
      <c r="D1140" s="13"/>
      <c r="E1140" s="13"/>
      <c r="F1140" s="13"/>
      <c r="G1140" s="13"/>
      <c r="H1140" s="72"/>
      <c r="I1140" s="13"/>
      <c r="J1140" s="13"/>
      <c r="K1140" s="13"/>
      <c r="L1140" s="13"/>
      <c r="M1140" s="13"/>
      <c r="N1140" s="13"/>
      <c r="O1140" s="13"/>
      <c r="P1140" s="13"/>
    </row>
    <row r="1141">
      <c r="A1141" s="13"/>
      <c r="B1141" s="13"/>
      <c r="C1141" s="13"/>
      <c r="D1141" s="13"/>
      <c r="E1141" s="13"/>
      <c r="F1141" s="13"/>
      <c r="G1141" s="13"/>
      <c r="H1141" s="72"/>
      <c r="I1141" s="13"/>
      <c r="J1141" s="13"/>
      <c r="K1141" s="13"/>
      <c r="L1141" s="13"/>
      <c r="M1141" s="13"/>
      <c r="N1141" s="13"/>
      <c r="O1141" s="13"/>
      <c r="P1141" s="13"/>
    </row>
    <row r="1142">
      <c r="A1142" s="13"/>
      <c r="B1142" s="13"/>
      <c r="C1142" s="13"/>
      <c r="D1142" s="13"/>
      <c r="E1142" s="13"/>
      <c r="F1142" s="13"/>
      <c r="G1142" s="13"/>
      <c r="H1142" s="72"/>
      <c r="I1142" s="13"/>
      <c r="J1142" s="13"/>
      <c r="K1142" s="13"/>
      <c r="L1142" s="13"/>
      <c r="M1142" s="13"/>
      <c r="N1142" s="13"/>
      <c r="O1142" s="13"/>
      <c r="P1142" s="13"/>
    </row>
    <row r="1143">
      <c r="A1143" s="13"/>
      <c r="B1143" s="13"/>
      <c r="C1143" s="13"/>
      <c r="D1143" s="13"/>
      <c r="E1143" s="13"/>
      <c r="F1143" s="13"/>
      <c r="G1143" s="13"/>
      <c r="H1143" s="72"/>
      <c r="I1143" s="13"/>
      <c r="J1143" s="13"/>
      <c r="K1143" s="13"/>
      <c r="L1143" s="13"/>
      <c r="M1143" s="13"/>
      <c r="N1143" s="13"/>
      <c r="O1143" s="13"/>
      <c r="P1143" s="13"/>
    </row>
    <row r="1144">
      <c r="A1144" s="13"/>
      <c r="B1144" s="13"/>
      <c r="C1144" s="13"/>
      <c r="D1144" s="13"/>
      <c r="E1144" s="13"/>
      <c r="F1144" s="13"/>
      <c r="G1144" s="13"/>
      <c r="H1144" s="72"/>
      <c r="I1144" s="13"/>
      <c r="J1144" s="13"/>
      <c r="K1144" s="13"/>
      <c r="L1144" s="13"/>
      <c r="M1144" s="13"/>
      <c r="N1144" s="13"/>
      <c r="O1144" s="13"/>
      <c r="P1144" s="13"/>
    </row>
    <row r="1145">
      <c r="A1145" s="13"/>
      <c r="B1145" s="13"/>
      <c r="C1145" s="13"/>
      <c r="D1145" s="13"/>
      <c r="E1145" s="13"/>
      <c r="F1145" s="13"/>
      <c r="G1145" s="13"/>
      <c r="H1145" s="72"/>
      <c r="I1145" s="13"/>
      <c r="J1145" s="13"/>
      <c r="K1145" s="13"/>
      <c r="L1145" s="13"/>
      <c r="M1145" s="13"/>
      <c r="N1145" s="13"/>
      <c r="O1145" s="13"/>
      <c r="P1145" s="13"/>
    </row>
    <row r="1146">
      <c r="A1146" s="13"/>
      <c r="B1146" s="13"/>
      <c r="C1146" s="13"/>
      <c r="D1146" s="13"/>
      <c r="E1146" s="13"/>
      <c r="F1146" s="13"/>
      <c r="G1146" s="13"/>
      <c r="H1146" s="72"/>
      <c r="I1146" s="13"/>
      <c r="J1146" s="13"/>
      <c r="K1146" s="13"/>
      <c r="L1146" s="13"/>
      <c r="M1146" s="13"/>
      <c r="N1146" s="13"/>
      <c r="O1146" s="13"/>
      <c r="P1146" s="13"/>
    </row>
    <row r="1147">
      <c r="A1147" s="13"/>
      <c r="B1147" s="13"/>
      <c r="C1147" s="13"/>
      <c r="D1147" s="13"/>
      <c r="E1147" s="13"/>
      <c r="F1147" s="13"/>
      <c r="G1147" s="13"/>
      <c r="H1147" s="72"/>
      <c r="I1147" s="13"/>
      <c r="J1147" s="13"/>
      <c r="K1147" s="13"/>
      <c r="L1147" s="13"/>
      <c r="M1147" s="13"/>
      <c r="N1147" s="13"/>
      <c r="O1147" s="13"/>
      <c r="P1147" s="13"/>
    </row>
    <row r="1148">
      <c r="A1148" s="13"/>
      <c r="B1148" s="13"/>
      <c r="C1148" s="13"/>
      <c r="D1148" s="13"/>
      <c r="E1148" s="13"/>
      <c r="F1148" s="13"/>
      <c r="G1148" s="13"/>
      <c r="H1148" s="72"/>
      <c r="I1148" s="13"/>
      <c r="J1148" s="13"/>
      <c r="K1148" s="13"/>
      <c r="L1148" s="13"/>
      <c r="M1148" s="13"/>
      <c r="N1148" s="13"/>
      <c r="O1148" s="13"/>
      <c r="P1148" s="13"/>
    </row>
    <row r="1149">
      <c r="A1149" s="13"/>
      <c r="B1149" s="13"/>
      <c r="C1149" s="13"/>
      <c r="D1149" s="13"/>
      <c r="E1149" s="13"/>
      <c r="F1149" s="13"/>
      <c r="G1149" s="13"/>
      <c r="H1149" s="72"/>
      <c r="I1149" s="13"/>
      <c r="J1149" s="13"/>
      <c r="K1149" s="13"/>
      <c r="L1149" s="13"/>
      <c r="M1149" s="13"/>
      <c r="N1149" s="13"/>
      <c r="O1149" s="13"/>
      <c r="P1149" s="13"/>
    </row>
    <row r="1150">
      <c r="A1150" s="13"/>
      <c r="B1150" s="13"/>
      <c r="C1150" s="13"/>
      <c r="D1150" s="13"/>
      <c r="E1150" s="13"/>
      <c r="F1150" s="13"/>
      <c r="G1150" s="13"/>
      <c r="H1150" s="72"/>
      <c r="I1150" s="13"/>
      <c r="J1150" s="13"/>
      <c r="K1150" s="13"/>
      <c r="L1150" s="13"/>
      <c r="M1150" s="13"/>
      <c r="N1150" s="13"/>
      <c r="O1150" s="13"/>
      <c r="P1150" s="13"/>
    </row>
    <row r="1151">
      <c r="A1151" s="13"/>
      <c r="B1151" s="13"/>
      <c r="C1151" s="13"/>
      <c r="D1151" s="13"/>
      <c r="E1151" s="13"/>
      <c r="F1151" s="13"/>
      <c r="G1151" s="13"/>
      <c r="H1151" s="72"/>
      <c r="I1151" s="13"/>
      <c r="J1151" s="13"/>
      <c r="K1151" s="13"/>
      <c r="L1151" s="13"/>
      <c r="M1151" s="13"/>
      <c r="N1151" s="13"/>
      <c r="O1151" s="13"/>
      <c r="P1151" s="13"/>
    </row>
    <row r="1152">
      <c r="A1152" s="13"/>
      <c r="B1152" s="13"/>
      <c r="C1152" s="13"/>
      <c r="D1152" s="13"/>
      <c r="E1152" s="13"/>
      <c r="F1152" s="13"/>
      <c r="G1152" s="13"/>
      <c r="H1152" s="72"/>
      <c r="I1152" s="13"/>
      <c r="J1152" s="13"/>
      <c r="K1152" s="13"/>
      <c r="L1152" s="13"/>
      <c r="M1152" s="13"/>
      <c r="N1152" s="13"/>
      <c r="O1152" s="13"/>
      <c r="P1152" s="13"/>
    </row>
    <row r="1153">
      <c r="A1153" s="13"/>
      <c r="B1153" s="13"/>
      <c r="C1153" s="13"/>
      <c r="D1153" s="13"/>
      <c r="E1153" s="13"/>
      <c r="F1153" s="13"/>
      <c r="G1153" s="13"/>
      <c r="H1153" s="72"/>
      <c r="I1153" s="13"/>
      <c r="J1153" s="13"/>
      <c r="K1153" s="13"/>
      <c r="L1153" s="13"/>
      <c r="M1153" s="13"/>
      <c r="N1153" s="13"/>
      <c r="O1153" s="13"/>
      <c r="P1153" s="13"/>
    </row>
    <row r="1154">
      <c r="A1154" s="13"/>
      <c r="B1154" s="13"/>
      <c r="C1154" s="13"/>
      <c r="D1154" s="13"/>
      <c r="E1154" s="13"/>
      <c r="F1154" s="13"/>
      <c r="G1154" s="13"/>
      <c r="H1154" s="72"/>
      <c r="I1154" s="13"/>
      <c r="J1154" s="13"/>
      <c r="K1154" s="13"/>
      <c r="L1154" s="13"/>
      <c r="M1154" s="13"/>
      <c r="N1154" s="13"/>
      <c r="O1154" s="13"/>
      <c r="P1154" s="13"/>
    </row>
    <row r="1155">
      <c r="A1155" s="13"/>
      <c r="B1155" s="13"/>
      <c r="C1155" s="13"/>
      <c r="D1155" s="13"/>
      <c r="E1155" s="13"/>
      <c r="F1155" s="13"/>
      <c r="G1155" s="13"/>
      <c r="H1155" s="72"/>
      <c r="I1155" s="13"/>
      <c r="J1155" s="13"/>
      <c r="K1155" s="13"/>
      <c r="L1155" s="13"/>
      <c r="M1155" s="13"/>
      <c r="N1155" s="13"/>
      <c r="O1155" s="13"/>
      <c r="P1155" s="13"/>
    </row>
    <row r="1156">
      <c r="A1156" s="13"/>
      <c r="B1156" s="13"/>
      <c r="C1156" s="13"/>
      <c r="D1156" s="13"/>
      <c r="E1156" s="13"/>
      <c r="F1156" s="13"/>
      <c r="G1156" s="13"/>
      <c r="H1156" s="72"/>
      <c r="I1156" s="13"/>
      <c r="J1156" s="13"/>
      <c r="K1156" s="13"/>
      <c r="L1156" s="13"/>
      <c r="M1156" s="13"/>
      <c r="N1156" s="13"/>
      <c r="O1156" s="13"/>
      <c r="P1156" s="13"/>
    </row>
    <row r="1157">
      <c r="A1157" s="13"/>
      <c r="B1157" s="13"/>
      <c r="C1157" s="13"/>
      <c r="D1157" s="13"/>
      <c r="E1157" s="13"/>
      <c r="F1157" s="13"/>
      <c r="G1157" s="13"/>
      <c r="H1157" s="72"/>
      <c r="I1157" s="13"/>
      <c r="J1157" s="13"/>
      <c r="K1157" s="13"/>
      <c r="L1157" s="13"/>
      <c r="M1157" s="13"/>
      <c r="N1157" s="13"/>
      <c r="O1157" s="13"/>
      <c r="P1157" s="13"/>
    </row>
    <row r="1158">
      <c r="A1158" s="13"/>
      <c r="B1158" s="13"/>
      <c r="C1158" s="13"/>
      <c r="D1158" s="13"/>
      <c r="E1158" s="13"/>
      <c r="F1158" s="13"/>
      <c r="G1158" s="13"/>
      <c r="H1158" s="72"/>
      <c r="I1158" s="13"/>
      <c r="J1158" s="13"/>
      <c r="K1158" s="13"/>
      <c r="L1158" s="13"/>
      <c r="M1158" s="13"/>
      <c r="N1158" s="13"/>
      <c r="O1158" s="13"/>
      <c r="P1158" s="13"/>
    </row>
    <row r="1159">
      <c r="A1159" s="13"/>
      <c r="B1159" s="13"/>
      <c r="C1159" s="13"/>
      <c r="D1159" s="13"/>
      <c r="E1159" s="13"/>
      <c r="F1159" s="13"/>
      <c r="G1159" s="13"/>
      <c r="H1159" s="72"/>
      <c r="I1159" s="13"/>
      <c r="J1159" s="13"/>
      <c r="K1159" s="13"/>
      <c r="L1159" s="13"/>
      <c r="M1159" s="13"/>
      <c r="N1159" s="13"/>
      <c r="O1159" s="13"/>
      <c r="P1159" s="13"/>
    </row>
    <row r="1160">
      <c r="A1160" s="13"/>
      <c r="B1160" s="13"/>
      <c r="C1160" s="13"/>
      <c r="D1160" s="13"/>
      <c r="E1160" s="13"/>
      <c r="F1160" s="13"/>
      <c r="G1160" s="13"/>
      <c r="H1160" s="72"/>
      <c r="I1160" s="13"/>
      <c r="J1160" s="13"/>
      <c r="K1160" s="13"/>
      <c r="L1160" s="13"/>
      <c r="M1160" s="13"/>
      <c r="N1160" s="13"/>
      <c r="O1160" s="13"/>
      <c r="P1160" s="13"/>
    </row>
    <row r="1161">
      <c r="A1161" s="13"/>
      <c r="B1161" s="13"/>
      <c r="C1161" s="13"/>
      <c r="D1161" s="13"/>
      <c r="E1161" s="13"/>
      <c r="F1161" s="13"/>
      <c r="G1161" s="13"/>
      <c r="H1161" s="72"/>
      <c r="I1161" s="13"/>
      <c r="J1161" s="13"/>
      <c r="K1161" s="13"/>
      <c r="L1161" s="13"/>
      <c r="M1161" s="13"/>
      <c r="N1161" s="13"/>
      <c r="O1161" s="13"/>
      <c r="P1161" s="13"/>
    </row>
    <row r="1162">
      <c r="A1162" s="13"/>
      <c r="B1162" s="13"/>
      <c r="C1162" s="13"/>
      <c r="D1162" s="13"/>
      <c r="E1162" s="13"/>
      <c r="F1162" s="13"/>
      <c r="G1162" s="13"/>
      <c r="H1162" s="72"/>
      <c r="I1162" s="13"/>
      <c r="J1162" s="13"/>
      <c r="K1162" s="13"/>
      <c r="L1162" s="13"/>
      <c r="M1162" s="13"/>
      <c r="N1162" s="13"/>
      <c r="O1162" s="13"/>
      <c r="P1162" s="13"/>
    </row>
    <row r="1163">
      <c r="A1163" s="13"/>
      <c r="B1163" s="13"/>
      <c r="C1163" s="13"/>
      <c r="D1163" s="13"/>
      <c r="E1163" s="13"/>
      <c r="F1163" s="13"/>
      <c r="G1163" s="13"/>
      <c r="H1163" s="72"/>
      <c r="I1163" s="13"/>
      <c r="J1163" s="13"/>
      <c r="K1163" s="13"/>
      <c r="L1163" s="13"/>
      <c r="M1163" s="13"/>
      <c r="N1163" s="13"/>
      <c r="O1163" s="13"/>
      <c r="P1163" s="13"/>
    </row>
    <row r="1164">
      <c r="A1164" s="13"/>
      <c r="B1164" s="13"/>
      <c r="C1164" s="13"/>
      <c r="D1164" s="13"/>
      <c r="E1164" s="13"/>
      <c r="F1164" s="13"/>
      <c r="G1164" s="13"/>
      <c r="H1164" s="72"/>
      <c r="I1164" s="13"/>
      <c r="J1164" s="13"/>
      <c r="K1164" s="13"/>
      <c r="L1164" s="13"/>
      <c r="M1164" s="13"/>
      <c r="N1164" s="13"/>
      <c r="O1164" s="13"/>
      <c r="P1164" s="13"/>
    </row>
    <row r="1165">
      <c r="A1165" s="13"/>
      <c r="B1165" s="13"/>
      <c r="C1165" s="13"/>
      <c r="D1165" s="13"/>
      <c r="E1165" s="13"/>
      <c r="F1165" s="13"/>
      <c r="G1165" s="13"/>
      <c r="H1165" s="72"/>
      <c r="I1165" s="13"/>
      <c r="J1165" s="13"/>
      <c r="K1165" s="13"/>
      <c r="L1165" s="13"/>
      <c r="M1165" s="13"/>
      <c r="N1165" s="13"/>
      <c r="O1165" s="13"/>
      <c r="P1165" s="13"/>
    </row>
    <row r="1166">
      <c r="A1166" s="13"/>
      <c r="B1166" s="13"/>
      <c r="C1166" s="13"/>
      <c r="D1166" s="13"/>
      <c r="E1166" s="13"/>
      <c r="F1166" s="13"/>
      <c r="G1166" s="13"/>
      <c r="H1166" s="72"/>
      <c r="I1166" s="13"/>
      <c r="J1166" s="13"/>
      <c r="K1166" s="13"/>
      <c r="L1166" s="13"/>
      <c r="M1166" s="13"/>
      <c r="N1166" s="13"/>
      <c r="O1166" s="13"/>
      <c r="P1166" s="13"/>
    </row>
    <row r="1167">
      <c r="A1167" s="13"/>
      <c r="B1167" s="13"/>
      <c r="C1167" s="13"/>
      <c r="D1167" s="13"/>
      <c r="E1167" s="13"/>
      <c r="F1167" s="13"/>
      <c r="G1167" s="13"/>
      <c r="H1167" s="72"/>
      <c r="I1167" s="13"/>
      <c r="J1167" s="13"/>
      <c r="K1167" s="13"/>
      <c r="L1167" s="13"/>
      <c r="M1167" s="13"/>
      <c r="N1167" s="13"/>
      <c r="O1167" s="13"/>
      <c r="P1167" s="13"/>
    </row>
    <row r="1168">
      <c r="A1168" s="13"/>
      <c r="B1168" s="13"/>
      <c r="C1168" s="13"/>
      <c r="D1168" s="13"/>
      <c r="E1168" s="13"/>
      <c r="F1168" s="13"/>
      <c r="G1168" s="13"/>
      <c r="H1168" s="72"/>
      <c r="I1168" s="13"/>
      <c r="J1168" s="13"/>
      <c r="K1168" s="13"/>
      <c r="L1168" s="13"/>
      <c r="M1168" s="13"/>
      <c r="N1168" s="13"/>
      <c r="O1168" s="13"/>
      <c r="P1168" s="13"/>
    </row>
    <row r="1169">
      <c r="A1169" s="13"/>
      <c r="B1169" s="13"/>
      <c r="C1169" s="13"/>
      <c r="D1169" s="13"/>
      <c r="E1169" s="13"/>
      <c r="F1169" s="13"/>
      <c r="G1169" s="13"/>
      <c r="H1169" s="72"/>
      <c r="I1169" s="13"/>
      <c r="J1169" s="13"/>
      <c r="K1169" s="13"/>
      <c r="L1169" s="13"/>
      <c r="M1169" s="13"/>
      <c r="N1169" s="13"/>
      <c r="O1169" s="13"/>
      <c r="P1169" s="13"/>
    </row>
    <row r="1170">
      <c r="A1170" s="13"/>
      <c r="B1170" s="13"/>
      <c r="C1170" s="13"/>
      <c r="D1170" s="13"/>
      <c r="E1170" s="13"/>
      <c r="F1170" s="13"/>
      <c r="G1170" s="13"/>
      <c r="H1170" s="72"/>
      <c r="I1170" s="13"/>
      <c r="J1170" s="13"/>
      <c r="K1170" s="13"/>
      <c r="L1170" s="13"/>
      <c r="M1170" s="13"/>
      <c r="N1170" s="13"/>
      <c r="O1170" s="13"/>
      <c r="P1170" s="13"/>
    </row>
    <row r="1171">
      <c r="A1171" s="13"/>
      <c r="B1171" s="13"/>
      <c r="C1171" s="13"/>
      <c r="D1171" s="13"/>
      <c r="E1171" s="13"/>
      <c r="F1171" s="13"/>
      <c r="G1171" s="13"/>
      <c r="H1171" s="72"/>
      <c r="I1171" s="13"/>
      <c r="J1171" s="13"/>
      <c r="K1171" s="13"/>
      <c r="L1171" s="13"/>
      <c r="M1171" s="13"/>
      <c r="N1171" s="13"/>
      <c r="O1171" s="13"/>
      <c r="P1171" s="13"/>
    </row>
    <row r="1172">
      <c r="A1172" s="13"/>
      <c r="B1172" s="13"/>
      <c r="C1172" s="13"/>
      <c r="D1172" s="13"/>
      <c r="E1172" s="13"/>
      <c r="F1172" s="13"/>
      <c r="G1172" s="13"/>
      <c r="H1172" s="72"/>
      <c r="I1172" s="13"/>
      <c r="J1172" s="13"/>
      <c r="K1172" s="13"/>
      <c r="L1172" s="13"/>
      <c r="M1172" s="13"/>
      <c r="N1172" s="13"/>
      <c r="O1172" s="13"/>
      <c r="P1172" s="13"/>
    </row>
    <row r="1173">
      <c r="A1173" s="13"/>
      <c r="B1173" s="13"/>
      <c r="C1173" s="13"/>
      <c r="D1173" s="13"/>
      <c r="E1173" s="13"/>
      <c r="F1173" s="13"/>
      <c r="G1173" s="13"/>
      <c r="H1173" s="72"/>
      <c r="I1173" s="13"/>
      <c r="J1173" s="13"/>
      <c r="K1173" s="13"/>
      <c r="L1173" s="13"/>
      <c r="M1173" s="13"/>
      <c r="N1173" s="13"/>
      <c r="O1173" s="13"/>
      <c r="P1173" s="13"/>
    </row>
    <row r="1174">
      <c r="A1174" s="13"/>
      <c r="B1174" s="13"/>
      <c r="C1174" s="13"/>
      <c r="D1174" s="13"/>
      <c r="E1174" s="13"/>
      <c r="F1174" s="13"/>
      <c r="G1174" s="13"/>
      <c r="H1174" s="72"/>
      <c r="I1174" s="13"/>
      <c r="J1174" s="13"/>
      <c r="K1174" s="13"/>
      <c r="L1174" s="13"/>
      <c r="M1174" s="13"/>
      <c r="N1174" s="13"/>
      <c r="O1174" s="13"/>
      <c r="P1174" s="13"/>
    </row>
    <row r="1175">
      <c r="A1175" s="13"/>
      <c r="B1175" s="13"/>
      <c r="C1175" s="13"/>
      <c r="D1175" s="13"/>
      <c r="E1175" s="13"/>
      <c r="F1175" s="13"/>
      <c r="G1175" s="13"/>
      <c r="H1175" s="72"/>
      <c r="I1175" s="13"/>
      <c r="J1175" s="13"/>
      <c r="K1175" s="13"/>
      <c r="L1175" s="13"/>
      <c r="M1175" s="13"/>
      <c r="N1175" s="13"/>
      <c r="O1175" s="13"/>
      <c r="P1175" s="13"/>
    </row>
    <row r="1176">
      <c r="A1176" s="13"/>
      <c r="B1176" s="13"/>
      <c r="C1176" s="13"/>
      <c r="D1176" s="13"/>
      <c r="E1176" s="13"/>
      <c r="F1176" s="13"/>
      <c r="G1176" s="13"/>
      <c r="H1176" s="72"/>
      <c r="I1176" s="13"/>
      <c r="J1176" s="13"/>
      <c r="K1176" s="13"/>
      <c r="L1176" s="13"/>
      <c r="M1176" s="13"/>
      <c r="N1176" s="13"/>
      <c r="O1176" s="13"/>
      <c r="P1176" s="13"/>
    </row>
    <row r="1177">
      <c r="A1177" s="13"/>
      <c r="B1177" s="13"/>
      <c r="C1177" s="13"/>
      <c r="D1177" s="13"/>
      <c r="E1177" s="13"/>
      <c r="F1177" s="13"/>
      <c r="G1177" s="13"/>
      <c r="H1177" s="72"/>
      <c r="I1177" s="13"/>
      <c r="J1177" s="13"/>
      <c r="K1177" s="13"/>
      <c r="L1177" s="13"/>
      <c r="M1177" s="13"/>
      <c r="N1177" s="13"/>
      <c r="O1177" s="13"/>
      <c r="P1177" s="13"/>
    </row>
    <row r="1178">
      <c r="A1178" s="13"/>
      <c r="B1178" s="13"/>
      <c r="C1178" s="13"/>
      <c r="D1178" s="13"/>
      <c r="E1178" s="13"/>
      <c r="F1178" s="13"/>
      <c r="G1178" s="13"/>
      <c r="H1178" s="72"/>
      <c r="I1178" s="13"/>
      <c r="J1178" s="13"/>
      <c r="K1178" s="13"/>
      <c r="L1178" s="13"/>
      <c r="M1178" s="13"/>
      <c r="N1178" s="13"/>
      <c r="O1178" s="13"/>
      <c r="P1178" s="13"/>
    </row>
    <row r="1179">
      <c r="A1179" s="13"/>
      <c r="B1179" s="13"/>
      <c r="C1179" s="13"/>
      <c r="D1179" s="13"/>
      <c r="E1179" s="13"/>
      <c r="F1179" s="13"/>
      <c r="G1179" s="13"/>
      <c r="H1179" s="72"/>
      <c r="I1179" s="13"/>
      <c r="J1179" s="13"/>
      <c r="K1179" s="13"/>
      <c r="L1179" s="13"/>
      <c r="M1179" s="13"/>
      <c r="N1179" s="13"/>
      <c r="O1179" s="13"/>
      <c r="P1179" s="13"/>
    </row>
    <row r="1180">
      <c r="A1180" s="13"/>
      <c r="B1180" s="13"/>
      <c r="C1180" s="13"/>
      <c r="D1180" s="13"/>
      <c r="E1180" s="13"/>
      <c r="F1180" s="13"/>
      <c r="G1180" s="13"/>
      <c r="H1180" s="72"/>
      <c r="I1180" s="13"/>
      <c r="J1180" s="13"/>
      <c r="K1180" s="13"/>
      <c r="L1180" s="13"/>
      <c r="M1180" s="13"/>
      <c r="N1180" s="13"/>
      <c r="O1180" s="13"/>
      <c r="P1180" s="13"/>
    </row>
    <row r="1181">
      <c r="A1181" s="13"/>
      <c r="B1181" s="13"/>
      <c r="C1181" s="13"/>
      <c r="D1181" s="13"/>
      <c r="E1181" s="13"/>
      <c r="F1181" s="13"/>
      <c r="G1181" s="13"/>
      <c r="H1181" s="72"/>
      <c r="I1181" s="13"/>
      <c r="J1181" s="13"/>
      <c r="K1181" s="13"/>
      <c r="L1181" s="13"/>
      <c r="M1181" s="13"/>
      <c r="N1181" s="13"/>
      <c r="O1181" s="13"/>
      <c r="P1181" s="13"/>
    </row>
    <row r="1182">
      <c r="A1182" s="13"/>
      <c r="B1182" s="13"/>
      <c r="C1182" s="13"/>
      <c r="D1182" s="13"/>
      <c r="E1182" s="13"/>
      <c r="F1182" s="13"/>
      <c r="G1182" s="13"/>
      <c r="H1182" s="72"/>
      <c r="I1182" s="13"/>
      <c r="J1182" s="13"/>
      <c r="K1182" s="13"/>
      <c r="L1182" s="13"/>
      <c r="M1182" s="13"/>
      <c r="N1182" s="13"/>
      <c r="O1182" s="13"/>
      <c r="P1182" s="13"/>
    </row>
    <row r="1183">
      <c r="A1183" s="13"/>
      <c r="B1183" s="13"/>
      <c r="C1183" s="13"/>
      <c r="D1183" s="13"/>
      <c r="E1183" s="13"/>
      <c r="F1183" s="13"/>
      <c r="G1183" s="13"/>
      <c r="H1183" s="72"/>
      <c r="I1183" s="13"/>
      <c r="J1183" s="13"/>
      <c r="K1183" s="13"/>
      <c r="L1183" s="13"/>
      <c r="M1183" s="13"/>
      <c r="N1183" s="13"/>
      <c r="O1183" s="13"/>
      <c r="P1183" s="13"/>
    </row>
    <row r="1184">
      <c r="A1184" s="13"/>
      <c r="B1184" s="13"/>
      <c r="C1184" s="13"/>
      <c r="D1184" s="13"/>
      <c r="E1184" s="13"/>
      <c r="F1184" s="13"/>
      <c r="G1184" s="13"/>
      <c r="H1184" s="72"/>
      <c r="I1184" s="13"/>
      <c r="J1184" s="13"/>
      <c r="K1184" s="13"/>
      <c r="L1184" s="13"/>
      <c r="M1184" s="13"/>
      <c r="N1184" s="13"/>
      <c r="O1184" s="13"/>
      <c r="P1184" s="13"/>
    </row>
    <row r="1185">
      <c r="A1185" s="13"/>
      <c r="B1185" s="13"/>
      <c r="C1185" s="13"/>
      <c r="D1185" s="13"/>
      <c r="E1185" s="13"/>
      <c r="F1185" s="13"/>
      <c r="G1185" s="13"/>
      <c r="H1185" s="72"/>
      <c r="I1185" s="13"/>
      <c r="J1185" s="13"/>
      <c r="K1185" s="13"/>
      <c r="L1185" s="13"/>
      <c r="M1185" s="13"/>
      <c r="N1185" s="13"/>
      <c r="O1185" s="13"/>
      <c r="P1185" s="13"/>
    </row>
    <row r="1186">
      <c r="A1186" s="13"/>
      <c r="B1186" s="13"/>
      <c r="C1186" s="13"/>
      <c r="D1186" s="13"/>
      <c r="E1186" s="13"/>
      <c r="F1186" s="13"/>
      <c r="G1186" s="13"/>
      <c r="H1186" s="72"/>
      <c r="I1186" s="13"/>
      <c r="J1186" s="13"/>
      <c r="K1186" s="13"/>
      <c r="L1186" s="13"/>
      <c r="M1186" s="13"/>
      <c r="N1186" s="13"/>
      <c r="O1186" s="13"/>
      <c r="P1186" s="13"/>
    </row>
    <row r="1187">
      <c r="A1187" s="13"/>
      <c r="B1187" s="13"/>
      <c r="C1187" s="13"/>
      <c r="D1187" s="13"/>
      <c r="E1187" s="13"/>
      <c r="F1187" s="13"/>
      <c r="G1187" s="13"/>
      <c r="H1187" s="72"/>
      <c r="I1187" s="13"/>
      <c r="J1187" s="13"/>
      <c r="K1187" s="13"/>
      <c r="L1187" s="13"/>
      <c r="M1187" s="13"/>
      <c r="N1187" s="13"/>
      <c r="O1187" s="13"/>
      <c r="P1187" s="13"/>
    </row>
    <row r="1188">
      <c r="A1188" s="13"/>
      <c r="B1188" s="13"/>
      <c r="C1188" s="13"/>
      <c r="D1188" s="13"/>
      <c r="E1188" s="13"/>
      <c r="F1188" s="13"/>
      <c r="G1188" s="13"/>
      <c r="H1188" s="72"/>
      <c r="I1188" s="13"/>
      <c r="J1188" s="13"/>
      <c r="K1188" s="13"/>
      <c r="L1188" s="13"/>
      <c r="M1188" s="13"/>
      <c r="N1188" s="13"/>
      <c r="O1188" s="13"/>
      <c r="P1188" s="13"/>
    </row>
    <row r="1189">
      <c r="A1189" s="13"/>
      <c r="B1189" s="13"/>
      <c r="C1189" s="13"/>
      <c r="D1189" s="13"/>
      <c r="E1189" s="13"/>
      <c r="F1189" s="13"/>
      <c r="G1189" s="13"/>
      <c r="H1189" s="72"/>
      <c r="I1189" s="13"/>
      <c r="J1189" s="13"/>
      <c r="K1189" s="13"/>
      <c r="L1189" s="13"/>
      <c r="M1189" s="13"/>
      <c r="N1189" s="13"/>
      <c r="O1189" s="13"/>
      <c r="P1189" s="13"/>
    </row>
    <row r="1190">
      <c r="A1190" s="13"/>
      <c r="B1190" s="13"/>
      <c r="C1190" s="13"/>
      <c r="D1190" s="13"/>
      <c r="E1190" s="13"/>
      <c r="F1190" s="13"/>
      <c r="G1190" s="13"/>
      <c r="H1190" s="72"/>
      <c r="I1190" s="13"/>
      <c r="J1190" s="13"/>
      <c r="K1190" s="13"/>
      <c r="L1190" s="13"/>
      <c r="M1190" s="13"/>
      <c r="N1190" s="13"/>
      <c r="O1190" s="13"/>
      <c r="P1190" s="13"/>
    </row>
    <row r="1191">
      <c r="A1191" s="13"/>
      <c r="B1191" s="13"/>
      <c r="C1191" s="13"/>
      <c r="D1191" s="13"/>
      <c r="E1191" s="13"/>
      <c r="F1191" s="13"/>
      <c r="G1191" s="13"/>
      <c r="H1191" s="72"/>
      <c r="I1191" s="13"/>
      <c r="J1191" s="13"/>
      <c r="K1191" s="13"/>
      <c r="L1191" s="13"/>
      <c r="M1191" s="13"/>
      <c r="N1191" s="13"/>
      <c r="O1191" s="13"/>
      <c r="P1191" s="13"/>
    </row>
    <row r="1192">
      <c r="A1192" s="13"/>
      <c r="B1192" s="13"/>
      <c r="C1192" s="13"/>
      <c r="D1192" s="13"/>
      <c r="E1192" s="13"/>
      <c r="F1192" s="13"/>
      <c r="G1192" s="13"/>
      <c r="H1192" s="72"/>
      <c r="I1192" s="13"/>
      <c r="J1192" s="13"/>
      <c r="K1192" s="13"/>
      <c r="L1192" s="13"/>
      <c r="M1192" s="13"/>
      <c r="N1192" s="13"/>
      <c r="O1192" s="13"/>
      <c r="P1192" s="13"/>
    </row>
    <row r="1193">
      <c r="A1193" s="13"/>
      <c r="B1193" s="13"/>
      <c r="C1193" s="13"/>
      <c r="D1193" s="13"/>
      <c r="E1193" s="13"/>
      <c r="F1193" s="13"/>
      <c r="G1193" s="13"/>
      <c r="H1193" s="72"/>
      <c r="I1193" s="13"/>
      <c r="J1193" s="13"/>
      <c r="K1193" s="13"/>
      <c r="L1193" s="13"/>
      <c r="M1193" s="13"/>
      <c r="N1193" s="13"/>
      <c r="O1193" s="13"/>
      <c r="P1193" s="13"/>
    </row>
    <row r="1194">
      <c r="A1194" s="13"/>
      <c r="B1194" s="13"/>
      <c r="C1194" s="13"/>
      <c r="D1194" s="13"/>
      <c r="E1194" s="13"/>
      <c r="F1194" s="13"/>
      <c r="G1194" s="13"/>
      <c r="H1194" s="72"/>
      <c r="I1194" s="13"/>
      <c r="J1194" s="13"/>
      <c r="K1194" s="13"/>
      <c r="L1194" s="13"/>
      <c r="M1194" s="13"/>
      <c r="N1194" s="13"/>
      <c r="O1194" s="13"/>
      <c r="P1194" s="13"/>
    </row>
    <row r="1195">
      <c r="A1195" s="13"/>
      <c r="B1195" s="13"/>
      <c r="C1195" s="13"/>
      <c r="D1195" s="13"/>
      <c r="E1195" s="13"/>
      <c r="F1195" s="13"/>
      <c r="G1195" s="13"/>
      <c r="H1195" s="72"/>
      <c r="I1195" s="13"/>
      <c r="J1195" s="13"/>
      <c r="K1195" s="13"/>
      <c r="L1195" s="13"/>
      <c r="M1195" s="13"/>
      <c r="N1195" s="13"/>
      <c r="O1195" s="13"/>
      <c r="P1195" s="13"/>
    </row>
    <row r="1196">
      <c r="A1196" s="13"/>
      <c r="B1196" s="13"/>
      <c r="C1196" s="13"/>
      <c r="D1196" s="13"/>
      <c r="E1196" s="13"/>
      <c r="F1196" s="13"/>
      <c r="G1196" s="13"/>
      <c r="H1196" s="72"/>
      <c r="I1196" s="13"/>
      <c r="J1196" s="13"/>
      <c r="K1196" s="13"/>
      <c r="L1196" s="13"/>
      <c r="M1196" s="13"/>
      <c r="N1196" s="13"/>
      <c r="O1196" s="13"/>
      <c r="P1196" s="13"/>
    </row>
    <row r="1197">
      <c r="A1197" s="13"/>
      <c r="B1197" s="13"/>
      <c r="C1197" s="13"/>
      <c r="D1197" s="13"/>
      <c r="E1197" s="13"/>
      <c r="F1197" s="13"/>
      <c r="G1197" s="13"/>
      <c r="H1197" s="72"/>
      <c r="I1197" s="13"/>
      <c r="J1197" s="13"/>
      <c r="K1197" s="13"/>
      <c r="L1197" s="13"/>
      <c r="M1197" s="13"/>
      <c r="N1197" s="13"/>
      <c r="O1197" s="13"/>
      <c r="P1197" s="13"/>
    </row>
    <row r="1198">
      <c r="A1198" s="13"/>
      <c r="B1198" s="13"/>
      <c r="C1198" s="13"/>
      <c r="D1198" s="13"/>
      <c r="E1198" s="13"/>
      <c r="F1198" s="13"/>
      <c r="G1198" s="13"/>
      <c r="H1198" s="72"/>
      <c r="I1198" s="13"/>
      <c r="J1198" s="13"/>
      <c r="K1198" s="13"/>
      <c r="L1198" s="13"/>
      <c r="M1198" s="13"/>
      <c r="N1198" s="13"/>
      <c r="O1198" s="13"/>
      <c r="P1198" s="13"/>
    </row>
    <row r="1199">
      <c r="A1199" s="13"/>
      <c r="B1199" s="13"/>
      <c r="C1199" s="13"/>
      <c r="D1199" s="13"/>
      <c r="E1199" s="13"/>
      <c r="F1199" s="13"/>
      <c r="G1199" s="13"/>
      <c r="H1199" s="72"/>
      <c r="I1199" s="13"/>
      <c r="J1199" s="13"/>
      <c r="K1199" s="13"/>
      <c r="L1199" s="13"/>
      <c r="M1199" s="13"/>
      <c r="N1199" s="13"/>
      <c r="O1199" s="13"/>
      <c r="P1199" s="13"/>
    </row>
    <row r="1200">
      <c r="A1200" s="13"/>
      <c r="B1200" s="13"/>
      <c r="C1200" s="13"/>
      <c r="D1200" s="13"/>
      <c r="E1200" s="13"/>
      <c r="F1200" s="13"/>
      <c r="G1200" s="13"/>
      <c r="H1200" s="72"/>
      <c r="I1200" s="13"/>
      <c r="J1200" s="13"/>
      <c r="K1200" s="13"/>
      <c r="L1200" s="13"/>
      <c r="M1200" s="13"/>
      <c r="N1200" s="13"/>
      <c r="O1200" s="13"/>
      <c r="P1200" s="13"/>
    </row>
    <row r="1201">
      <c r="A1201" s="13"/>
      <c r="B1201" s="13"/>
      <c r="C1201" s="13"/>
      <c r="D1201" s="13"/>
      <c r="E1201" s="13"/>
      <c r="F1201" s="13"/>
      <c r="G1201" s="13"/>
      <c r="H1201" s="72"/>
      <c r="I1201" s="13"/>
      <c r="J1201" s="13"/>
      <c r="K1201" s="13"/>
      <c r="L1201" s="13"/>
      <c r="M1201" s="13"/>
      <c r="N1201" s="13"/>
      <c r="O1201" s="13"/>
      <c r="P1201" s="13"/>
    </row>
    <row r="1202">
      <c r="A1202" s="13"/>
      <c r="B1202" s="13"/>
      <c r="C1202" s="13"/>
      <c r="D1202" s="13"/>
      <c r="E1202" s="13"/>
      <c r="F1202" s="13"/>
      <c r="G1202" s="13"/>
      <c r="H1202" s="72"/>
      <c r="I1202" s="13"/>
      <c r="J1202" s="13"/>
      <c r="K1202" s="13"/>
      <c r="L1202" s="13"/>
      <c r="M1202" s="13"/>
      <c r="N1202" s="13"/>
      <c r="O1202" s="13"/>
      <c r="P1202" s="13"/>
    </row>
    <row r="1203">
      <c r="A1203" s="13"/>
      <c r="B1203" s="13"/>
      <c r="C1203" s="13"/>
      <c r="D1203" s="13"/>
      <c r="E1203" s="13"/>
      <c r="F1203" s="13"/>
      <c r="G1203" s="13"/>
      <c r="H1203" s="72"/>
      <c r="I1203" s="13"/>
      <c r="J1203" s="13"/>
      <c r="K1203" s="13"/>
      <c r="L1203" s="13"/>
      <c r="M1203" s="13"/>
      <c r="N1203" s="13"/>
      <c r="O1203" s="13"/>
      <c r="P1203" s="13"/>
    </row>
    <row r="1204">
      <c r="A1204" s="13"/>
      <c r="B1204" s="13"/>
      <c r="C1204" s="13"/>
      <c r="D1204" s="13"/>
      <c r="E1204" s="13"/>
      <c r="F1204" s="13"/>
      <c r="G1204" s="13"/>
      <c r="H1204" s="72"/>
      <c r="I1204" s="13"/>
      <c r="J1204" s="13"/>
      <c r="K1204" s="13"/>
      <c r="L1204" s="13"/>
      <c r="M1204" s="13"/>
      <c r="N1204" s="13"/>
      <c r="O1204" s="13"/>
      <c r="P1204" s="13"/>
    </row>
    <row r="1205">
      <c r="A1205" s="13"/>
      <c r="B1205" s="13"/>
      <c r="C1205" s="13"/>
      <c r="D1205" s="13"/>
      <c r="E1205" s="13"/>
      <c r="F1205" s="13"/>
      <c r="G1205" s="13"/>
      <c r="H1205" s="72"/>
      <c r="I1205" s="13"/>
      <c r="J1205" s="13"/>
      <c r="K1205" s="13"/>
      <c r="L1205" s="13"/>
      <c r="M1205" s="13"/>
      <c r="N1205" s="13"/>
      <c r="O1205" s="13"/>
      <c r="P1205" s="13"/>
    </row>
    <row r="1206">
      <c r="A1206" s="13"/>
      <c r="B1206" s="13"/>
      <c r="C1206" s="13"/>
      <c r="D1206" s="13"/>
      <c r="E1206" s="13"/>
      <c r="F1206" s="13"/>
      <c r="G1206" s="13"/>
      <c r="H1206" s="72"/>
      <c r="I1206" s="13"/>
      <c r="J1206" s="13"/>
      <c r="K1206" s="13"/>
      <c r="L1206" s="13"/>
      <c r="M1206" s="13"/>
      <c r="N1206" s="13"/>
      <c r="O1206" s="13"/>
      <c r="P1206" s="13"/>
    </row>
    <row r="1207">
      <c r="A1207" s="13"/>
      <c r="B1207" s="13"/>
      <c r="C1207" s="13"/>
      <c r="D1207" s="13"/>
      <c r="E1207" s="13"/>
      <c r="F1207" s="13"/>
      <c r="G1207" s="13"/>
      <c r="H1207" s="72"/>
      <c r="I1207" s="13"/>
      <c r="J1207" s="13"/>
      <c r="K1207" s="13"/>
      <c r="L1207" s="13"/>
      <c r="M1207" s="13"/>
      <c r="N1207" s="13"/>
      <c r="O1207" s="13"/>
      <c r="P1207" s="13"/>
    </row>
    <row r="1208">
      <c r="A1208" s="13"/>
      <c r="B1208" s="13"/>
      <c r="C1208" s="13"/>
      <c r="D1208" s="13"/>
      <c r="E1208" s="13"/>
      <c r="F1208" s="13"/>
      <c r="G1208" s="13"/>
      <c r="H1208" s="72"/>
      <c r="I1208" s="13"/>
      <c r="J1208" s="13"/>
      <c r="K1208" s="13"/>
      <c r="L1208" s="13"/>
      <c r="M1208" s="13"/>
      <c r="N1208" s="13"/>
      <c r="O1208" s="13"/>
      <c r="P1208" s="13"/>
    </row>
    <row r="1209">
      <c r="A1209" s="13"/>
      <c r="B1209" s="13"/>
      <c r="C1209" s="13"/>
      <c r="D1209" s="13"/>
      <c r="E1209" s="13"/>
      <c r="F1209" s="13"/>
      <c r="G1209" s="13"/>
      <c r="H1209" s="72"/>
      <c r="I1209" s="13"/>
      <c r="J1209" s="13"/>
      <c r="K1209" s="13"/>
      <c r="L1209" s="13"/>
      <c r="M1209" s="13"/>
      <c r="N1209" s="13"/>
      <c r="O1209" s="13"/>
      <c r="P1209" s="13"/>
    </row>
    <row r="1210">
      <c r="A1210" s="13"/>
      <c r="B1210" s="13"/>
      <c r="C1210" s="13"/>
      <c r="D1210" s="13"/>
      <c r="E1210" s="13"/>
      <c r="F1210" s="13"/>
      <c r="G1210" s="13"/>
      <c r="H1210" s="72"/>
      <c r="I1210" s="13"/>
      <c r="J1210" s="13"/>
      <c r="K1210" s="13"/>
      <c r="L1210" s="13"/>
      <c r="M1210" s="13"/>
      <c r="N1210" s="13"/>
      <c r="O1210" s="13"/>
      <c r="P1210" s="13"/>
    </row>
    <row r="1211">
      <c r="A1211" s="13"/>
      <c r="B1211" s="13"/>
      <c r="C1211" s="13"/>
      <c r="D1211" s="13"/>
      <c r="E1211" s="13"/>
      <c r="F1211" s="13"/>
      <c r="G1211" s="13"/>
      <c r="H1211" s="72"/>
      <c r="I1211" s="13"/>
      <c r="J1211" s="13"/>
      <c r="K1211" s="13"/>
      <c r="L1211" s="13"/>
      <c r="M1211" s="13"/>
      <c r="N1211" s="13"/>
      <c r="O1211" s="13"/>
      <c r="P1211" s="13"/>
    </row>
    <row r="1212">
      <c r="A1212" s="13"/>
      <c r="B1212" s="13"/>
      <c r="C1212" s="13"/>
      <c r="D1212" s="13"/>
      <c r="E1212" s="13"/>
      <c r="F1212" s="13"/>
      <c r="G1212" s="13"/>
      <c r="H1212" s="72"/>
      <c r="I1212" s="13"/>
      <c r="J1212" s="13"/>
      <c r="K1212" s="13"/>
      <c r="L1212" s="13"/>
      <c r="M1212" s="13"/>
      <c r="N1212" s="13"/>
      <c r="O1212" s="13"/>
      <c r="P1212" s="13"/>
    </row>
    <row r="1213">
      <c r="A1213" s="13"/>
      <c r="B1213" s="13"/>
      <c r="C1213" s="13"/>
      <c r="D1213" s="13"/>
      <c r="E1213" s="13"/>
      <c r="F1213" s="13"/>
      <c r="G1213" s="13"/>
      <c r="H1213" s="72"/>
      <c r="I1213" s="13"/>
      <c r="J1213" s="13"/>
      <c r="K1213" s="13"/>
      <c r="L1213" s="13"/>
      <c r="M1213" s="13"/>
      <c r="N1213" s="13"/>
      <c r="O1213" s="13"/>
      <c r="P1213" s="13"/>
    </row>
    <row r="1214">
      <c r="A1214" s="13"/>
      <c r="B1214" s="13"/>
      <c r="C1214" s="13"/>
      <c r="D1214" s="13"/>
      <c r="E1214" s="13"/>
      <c r="F1214" s="13"/>
      <c r="G1214" s="13"/>
      <c r="H1214" s="72"/>
      <c r="I1214" s="13"/>
      <c r="J1214" s="13"/>
      <c r="K1214" s="13"/>
      <c r="L1214" s="13"/>
      <c r="M1214" s="13"/>
      <c r="N1214" s="13"/>
      <c r="O1214" s="13"/>
      <c r="P1214" s="13"/>
    </row>
    <row r="1215">
      <c r="A1215" s="13"/>
      <c r="B1215" s="13"/>
      <c r="C1215" s="13"/>
      <c r="D1215" s="13"/>
      <c r="E1215" s="13"/>
      <c r="F1215" s="13"/>
      <c r="G1215" s="13"/>
      <c r="H1215" s="72"/>
      <c r="I1215" s="13"/>
      <c r="J1215" s="13"/>
      <c r="K1215" s="13"/>
      <c r="L1215" s="13"/>
      <c r="M1215" s="13"/>
      <c r="N1215" s="13"/>
      <c r="O1215" s="13"/>
      <c r="P1215" s="13"/>
    </row>
    <row r="1216">
      <c r="A1216" s="13"/>
      <c r="B1216" s="13"/>
      <c r="C1216" s="13"/>
      <c r="D1216" s="13"/>
      <c r="E1216" s="13"/>
      <c r="F1216" s="13"/>
      <c r="G1216" s="13"/>
      <c r="H1216" s="72"/>
      <c r="I1216" s="13"/>
      <c r="J1216" s="13"/>
      <c r="K1216" s="13"/>
      <c r="L1216" s="13"/>
      <c r="M1216" s="13"/>
      <c r="N1216" s="13"/>
      <c r="O1216" s="13"/>
      <c r="P1216" s="13"/>
    </row>
    <row r="1217">
      <c r="A1217" s="13"/>
      <c r="B1217" s="13"/>
      <c r="C1217" s="13"/>
      <c r="D1217" s="13"/>
      <c r="E1217" s="13"/>
      <c r="F1217" s="13"/>
      <c r="G1217" s="13"/>
      <c r="H1217" s="72"/>
      <c r="I1217" s="13"/>
      <c r="J1217" s="13"/>
      <c r="K1217" s="13"/>
      <c r="L1217" s="13"/>
      <c r="M1217" s="13"/>
      <c r="N1217" s="13"/>
      <c r="O1217" s="13"/>
      <c r="P1217" s="13"/>
    </row>
    <row r="1218">
      <c r="A1218" s="13"/>
      <c r="B1218" s="13"/>
      <c r="C1218" s="13"/>
      <c r="D1218" s="13"/>
      <c r="E1218" s="13"/>
      <c r="F1218" s="13"/>
      <c r="G1218" s="13"/>
      <c r="H1218" s="72"/>
      <c r="I1218" s="13"/>
      <c r="J1218" s="13"/>
      <c r="K1218" s="13"/>
      <c r="L1218" s="13"/>
      <c r="M1218" s="13"/>
      <c r="N1218" s="13"/>
      <c r="O1218" s="13"/>
      <c r="P1218" s="13"/>
    </row>
    <row r="1219">
      <c r="A1219" s="13"/>
      <c r="B1219" s="13"/>
      <c r="C1219" s="13"/>
      <c r="D1219" s="13"/>
      <c r="E1219" s="13"/>
      <c r="F1219" s="13"/>
      <c r="G1219" s="13"/>
      <c r="H1219" s="72"/>
      <c r="I1219" s="13"/>
      <c r="J1219" s="13"/>
      <c r="K1219" s="13"/>
      <c r="L1219" s="13"/>
      <c r="M1219" s="13"/>
      <c r="N1219" s="13"/>
      <c r="O1219" s="13"/>
      <c r="P1219" s="13"/>
    </row>
    <row r="1220">
      <c r="A1220" s="13"/>
      <c r="B1220" s="13"/>
      <c r="C1220" s="13"/>
      <c r="D1220" s="13"/>
      <c r="E1220" s="13"/>
      <c r="F1220" s="13"/>
      <c r="G1220" s="13"/>
      <c r="H1220" s="72"/>
      <c r="I1220" s="13"/>
      <c r="J1220" s="13"/>
      <c r="K1220" s="13"/>
      <c r="L1220" s="13"/>
      <c r="M1220" s="13"/>
      <c r="N1220" s="13"/>
      <c r="O1220" s="13"/>
      <c r="P1220" s="13"/>
    </row>
    <row r="1221">
      <c r="A1221" s="13"/>
      <c r="B1221" s="13"/>
      <c r="C1221" s="13"/>
      <c r="D1221" s="13"/>
      <c r="E1221" s="13"/>
      <c r="F1221" s="13"/>
      <c r="G1221" s="13"/>
      <c r="H1221" s="72"/>
      <c r="I1221" s="13"/>
      <c r="J1221" s="13"/>
      <c r="K1221" s="13"/>
      <c r="L1221" s="13"/>
      <c r="M1221" s="13"/>
      <c r="N1221" s="13"/>
      <c r="O1221" s="13"/>
      <c r="P1221" s="13"/>
    </row>
    <row r="1222">
      <c r="A1222" s="13"/>
      <c r="B1222" s="13"/>
      <c r="C1222" s="13"/>
      <c r="D1222" s="13"/>
      <c r="E1222" s="13"/>
      <c r="F1222" s="13"/>
      <c r="G1222" s="13"/>
      <c r="H1222" s="72"/>
      <c r="I1222" s="13"/>
      <c r="J1222" s="13"/>
      <c r="K1222" s="13"/>
      <c r="L1222" s="13"/>
      <c r="M1222" s="13"/>
      <c r="N1222" s="13"/>
      <c r="O1222" s="13"/>
      <c r="P1222" s="13"/>
    </row>
    <row r="1223">
      <c r="A1223" s="13"/>
      <c r="B1223" s="13"/>
      <c r="C1223" s="13"/>
      <c r="D1223" s="13"/>
      <c r="E1223" s="13"/>
      <c r="F1223" s="13"/>
      <c r="G1223" s="13"/>
      <c r="H1223" s="72"/>
      <c r="I1223" s="13"/>
      <c r="J1223" s="13"/>
      <c r="K1223" s="13"/>
      <c r="L1223" s="13"/>
      <c r="M1223" s="13"/>
      <c r="N1223" s="13"/>
      <c r="O1223" s="13"/>
      <c r="P1223" s="13"/>
    </row>
    <row r="1224">
      <c r="A1224" s="13"/>
      <c r="B1224" s="13"/>
      <c r="C1224" s="13"/>
      <c r="D1224" s="13"/>
      <c r="E1224" s="13"/>
      <c r="F1224" s="13"/>
      <c r="G1224" s="13"/>
      <c r="H1224" s="72"/>
      <c r="I1224" s="13"/>
      <c r="J1224" s="13"/>
      <c r="K1224" s="13"/>
      <c r="L1224" s="13"/>
      <c r="M1224" s="13"/>
      <c r="N1224" s="13"/>
      <c r="O1224" s="13"/>
      <c r="P1224" s="13"/>
    </row>
    <row r="1225">
      <c r="A1225" s="13"/>
      <c r="B1225" s="13"/>
      <c r="C1225" s="13"/>
      <c r="D1225" s="13"/>
      <c r="E1225" s="13"/>
      <c r="F1225" s="13"/>
      <c r="G1225" s="13"/>
      <c r="H1225" s="72"/>
      <c r="I1225" s="13"/>
      <c r="J1225" s="13"/>
      <c r="K1225" s="13"/>
      <c r="L1225" s="13"/>
      <c r="M1225" s="13"/>
      <c r="N1225" s="13"/>
      <c r="O1225" s="13"/>
      <c r="P1225" s="13"/>
    </row>
    <row r="1226">
      <c r="A1226" s="13"/>
      <c r="B1226" s="13"/>
      <c r="C1226" s="13"/>
      <c r="D1226" s="13"/>
      <c r="E1226" s="13"/>
      <c r="F1226" s="13"/>
      <c r="G1226" s="13"/>
      <c r="H1226" s="72"/>
      <c r="I1226" s="13"/>
      <c r="J1226" s="13"/>
      <c r="K1226" s="13"/>
      <c r="L1226" s="13"/>
      <c r="M1226" s="13"/>
      <c r="N1226" s="13"/>
      <c r="O1226" s="13"/>
      <c r="P1226" s="13"/>
    </row>
    <row r="1227">
      <c r="A1227" s="13"/>
      <c r="B1227" s="13"/>
      <c r="C1227" s="13"/>
      <c r="D1227" s="13"/>
      <c r="E1227" s="13"/>
      <c r="F1227" s="13"/>
      <c r="G1227" s="13"/>
      <c r="H1227" s="72"/>
      <c r="I1227" s="13"/>
      <c r="J1227" s="13"/>
      <c r="K1227" s="13"/>
      <c r="L1227" s="13"/>
      <c r="M1227" s="13"/>
      <c r="N1227" s="13"/>
      <c r="O1227" s="13"/>
      <c r="P1227" s="13"/>
    </row>
    <row r="1228">
      <c r="A1228" s="13"/>
      <c r="B1228" s="13"/>
      <c r="C1228" s="13"/>
      <c r="D1228" s="13"/>
      <c r="E1228" s="13"/>
      <c r="F1228" s="13"/>
      <c r="G1228" s="13"/>
      <c r="H1228" s="72"/>
      <c r="I1228" s="13"/>
      <c r="J1228" s="13"/>
      <c r="K1228" s="13"/>
      <c r="L1228" s="13"/>
      <c r="M1228" s="13"/>
      <c r="N1228" s="13"/>
      <c r="O1228" s="13"/>
      <c r="P1228" s="13"/>
    </row>
    <row r="1229">
      <c r="A1229" s="13"/>
      <c r="B1229" s="13"/>
      <c r="C1229" s="13"/>
      <c r="D1229" s="13"/>
      <c r="E1229" s="13"/>
      <c r="F1229" s="13"/>
      <c r="G1229" s="13"/>
      <c r="H1229" s="72"/>
      <c r="I1229" s="13"/>
      <c r="J1229" s="13"/>
      <c r="K1229" s="13"/>
      <c r="L1229" s="13"/>
      <c r="M1229" s="13"/>
      <c r="N1229" s="13"/>
      <c r="O1229" s="13"/>
      <c r="P1229" s="13"/>
    </row>
    <row r="1230">
      <c r="A1230" s="13"/>
      <c r="B1230" s="13"/>
      <c r="C1230" s="13"/>
      <c r="D1230" s="13"/>
      <c r="E1230" s="13"/>
      <c r="F1230" s="13"/>
      <c r="G1230" s="13"/>
      <c r="H1230" s="72"/>
      <c r="I1230" s="13"/>
      <c r="J1230" s="13"/>
      <c r="K1230" s="13"/>
      <c r="L1230" s="13"/>
      <c r="M1230" s="13"/>
      <c r="N1230" s="13"/>
      <c r="O1230" s="13"/>
      <c r="P1230" s="13"/>
    </row>
    <row r="1231">
      <c r="A1231" s="13"/>
      <c r="B1231" s="13"/>
      <c r="C1231" s="13"/>
      <c r="D1231" s="13"/>
      <c r="E1231" s="13"/>
      <c r="F1231" s="13"/>
      <c r="G1231" s="13"/>
      <c r="H1231" s="72"/>
      <c r="I1231" s="13"/>
      <c r="J1231" s="13"/>
      <c r="K1231" s="13"/>
      <c r="L1231" s="13"/>
      <c r="M1231" s="13"/>
      <c r="N1231" s="13"/>
      <c r="O1231" s="13"/>
      <c r="P1231" s="13"/>
    </row>
    <row r="1232">
      <c r="A1232" s="13"/>
      <c r="B1232" s="13"/>
      <c r="C1232" s="13"/>
      <c r="D1232" s="13"/>
      <c r="E1232" s="13"/>
      <c r="F1232" s="13"/>
      <c r="G1232" s="13"/>
      <c r="H1232" s="72"/>
      <c r="I1232" s="13"/>
      <c r="J1232" s="13"/>
      <c r="K1232" s="13"/>
      <c r="L1232" s="13"/>
      <c r="M1232" s="13"/>
      <c r="N1232" s="13"/>
      <c r="O1232" s="13"/>
      <c r="P1232" s="13"/>
    </row>
    <row r="1233">
      <c r="A1233" s="13"/>
      <c r="B1233" s="13"/>
      <c r="C1233" s="13"/>
      <c r="D1233" s="13"/>
      <c r="E1233" s="13"/>
      <c r="F1233" s="13"/>
      <c r="G1233" s="13"/>
      <c r="H1233" s="72"/>
      <c r="I1233" s="13"/>
      <c r="J1233" s="13"/>
      <c r="K1233" s="13"/>
      <c r="L1233" s="13"/>
      <c r="M1233" s="13"/>
      <c r="N1233" s="13"/>
      <c r="O1233" s="13"/>
      <c r="P1233" s="13"/>
    </row>
    <row r="1234">
      <c r="A1234" s="13"/>
      <c r="B1234" s="13"/>
      <c r="C1234" s="13"/>
      <c r="D1234" s="13"/>
      <c r="E1234" s="13"/>
      <c r="F1234" s="13"/>
      <c r="G1234" s="13"/>
      <c r="H1234" s="72"/>
      <c r="I1234" s="13"/>
      <c r="J1234" s="13"/>
      <c r="K1234" s="13"/>
      <c r="L1234" s="13"/>
      <c r="M1234" s="13"/>
      <c r="N1234" s="13"/>
      <c r="O1234" s="13"/>
      <c r="P1234" s="13"/>
    </row>
    <row r="1235">
      <c r="A1235" s="13"/>
      <c r="B1235" s="13"/>
      <c r="C1235" s="13"/>
      <c r="D1235" s="13"/>
      <c r="E1235" s="13"/>
      <c r="F1235" s="13"/>
      <c r="G1235" s="13"/>
      <c r="H1235" s="72"/>
      <c r="I1235" s="13"/>
      <c r="J1235" s="13"/>
      <c r="K1235" s="13"/>
      <c r="L1235" s="13"/>
      <c r="M1235" s="13"/>
      <c r="N1235" s="13"/>
      <c r="O1235" s="13"/>
      <c r="P1235" s="13"/>
    </row>
    <row r="1236">
      <c r="A1236" s="13"/>
      <c r="B1236" s="13"/>
      <c r="C1236" s="13"/>
      <c r="D1236" s="13"/>
      <c r="E1236" s="13"/>
      <c r="F1236" s="13"/>
      <c r="G1236" s="13"/>
      <c r="H1236" s="72"/>
      <c r="I1236" s="13"/>
      <c r="J1236" s="13"/>
      <c r="K1236" s="13"/>
      <c r="L1236" s="13"/>
      <c r="M1236" s="13"/>
      <c r="N1236" s="13"/>
      <c r="O1236" s="13"/>
      <c r="P1236" s="13"/>
    </row>
    <row r="1237">
      <c r="A1237" s="13"/>
      <c r="B1237" s="13"/>
      <c r="C1237" s="13"/>
      <c r="D1237" s="13"/>
      <c r="E1237" s="13"/>
      <c r="F1237" s="13"/>
      <c r="G1237" s="13"/>
      <c r="H1237" s="72"/>
      <c r="I1237" s="13"/>
      <c r="J1237" s="13"/>
      <c r="K1237" s="13"/>
      <c r="L1237" s="13"/>
      <c r="M1237" s="13"/>
      <c r="N1237" s="13"/>
      <c r="O1237" s="13"/>
      <c r="P1237" s="13"/>
    </row>
    <row r="1238">
      <c r="A1238" s="13"/>
      <c r="B1238" s="13"/>
      <c r="C1238" s="13"/>
      <c r="D1238" s="13"/>
      <c r="E1238" s="13"/>
      <c r="F1238" s="13"/>
      <c r="G1238" s="13"/>
      <c r="H1238" s="72"/>
      <c r="I1238" s="13"/>
      <c r="J1238" s="13"/>
      <c r="K1238" s="13"/>
      <c r="L1238" s="13"/>
      <c r="M1238" s="13"/>
      <c r="N1238" s="13"/>
      <c r="O1238" s="13"/>
      <c r="P1238" s="13"/>
    </row>
    <row r="1239">
      <c r="A1239" s="13"/>
      <c r="B1239" s="13"/>
      <c r="C1239" s="13"/>
      <c r="D1239" s="13"/>
      <c r="E1239" s="13"/>
      <c r="F1239" s="13"/>
      <c r="G1239" s="13"/>
      <c r="H1239" s="72"/>
      <c r="I1239" s="13"/>
      <c r="J1239" s="13"/>
      <c r="K1239" s="13"/>
      <c r="L1239" s="13"/>
      <c r="M1239" s="13"/>
      <c r="N1239" s="13"/>
      <c r="O1239" s="13"/>
      <c r="P1239" s="13"/>
    </row>
    <row r="1240">
      <c r="A1240" s="13"/>
      <c r="B1240" s="13"/>
      <c r="C1240" s="13"/>
      <c r="D1240" s="13"/>
      <c r="E1240" s="13"/>
      <c r="F1240" s="13"/>
      <c r="G1240" s="13"/>
      <c r="H1240" s="72"/>
      <c r="I1240" s="13"/>
      <c r="J1240" s="13"/>
      <c r="K1240" s="13"/>
      <c r="L1240" s="13"/>
      <c r="M1240" s="13"/>
      <c r="N1240" s="13"/>
      <c r="O1240" s="13"/>
      <c r="P1240" s="13"/>
    </row>
    <row r="1241">
      <c r="A1241" s="13"/>
      <c r="B1241" s="13"/>
      <c r="C1241" s="13"/>
      <c r="D1241" s="13"/>
      <c r="E1241" s="13"/>
      <c r="F1241" s="13"/>
      <c r="G1241" s="13"/>
      <c r="H1241" s="72"/>
      <c r="I1241" s="13"/>
      <c r="J1241" s="13"/>
      <c r="K1241" s="13"/>
      <c r="L1241" s="13"/>
      <c r="M1241" s="13"/>
      <c r="N1241" s="13"/>
      <c r="O1241" s="13"/>
      <c r="P1241" s="13"/>
    </row>
    <row r="1242">
      <c r="A1242" s="13"/>
      <c r="B1242" s="13"/>
      <c r="C1242" s="13"/>
      <c r="D1242" s="13"/>
      <c r="E1242" s="13"/>
      <c r="F1242" s="13"/>
      <c r="G1242" s="13"/>
      <c r="H1242" s="72"/>
      <c r="I1242" s="13"/>
      <c r="J1242" s="13"/>
      <c r="K1242" s="13"/>
      <c r="L1242" s="13"/>
      <c r="M1242" s="13"/>
      <c r="N1242" s="13"/>
      <c r="O1242" s="13"/>
      <c r="P1242" s="13"/>
    </row>
    <row r="1243">
      <c r="A1243" s="13"/>
      <c r="B1243" s="13"/>
      <c r="C1243" s="13"/>
      <c r="D1243" s="13"/>
      <c r="E1243" s="13"/>
      <c r="F1243" s="13"/>
      <c r="G1243" s="13"/>
      <c r="H1243" s="72"/>
      <c r="I1243" s="13"/>
      <c r="J1243" s="13"/>
      <c r="K1243" s="13"/>
      <c r="L1243" s="13"/>
      <c r="M1243" s="13"/>
      <c r="N1243" s="13"/>
      <c r="O1243" s="13"/>
      <c r="P1243" s="13"/>
    </row>
    <row r="1244">
      <c r="A1244" s="13"/>
      <c r="B1244" s="13"/>
      <c r="C1244" s="13"/>
      <c r="D1244" s="13"/>
      <c r="E1244" s="13"/>
      <c r="F1244" s="13"/>
      <c r="G1244" s="13"/>
      <c r="H1244" s="72"/>
      <c r="I1244" s="13"/>
      <c r="J1244" s="13"/>
      <c r="K1244" s="13"/>
      <c r="L1244" s="13"/>
      <c r="M1244" s="13"/>
      <c r="N1244" s="13"/>
      <c r="O1244" s="13"/>
      <c r="P1244" s="13"/>
    </row>
    <row r="1245">
      <c r="A1245" s="13"/>
      <c r="B1245" s="13"/>
      <c r="C1245" s="13"/>
      <c r="D1245" s="13"/>
      <c r="E1245" s="13"/>
      <c r="F1245" s="13"/>
      <c r="G1245" s="13"/>
      <c r="H1245" s="72"/>
      <c r="I1245" s="13"/>
      <c r="J1245" s="13"/>
      <c r="K1245" s="13"/>
      <c r="L1245" s="13"/>
      <c r="M1245" s="13"/>
      <c r="N1245" s="13"/>
      <c r="O1245" s="13"/>
      <c r="P1245" s="13"/>
    </row>
    <row r="1246">
      <c r="A1246" s="13"/>
      <c r="B1246" s="13"/>
      <c r="C1246" s="13"/>
      <c r="D1246" s="13"/>
      <c r="E1246" s="13"/>
      <c r="F1246" s="13"/>
      <c r="G1246" s="13"/>
      <c r="H1246" s="72"/>
      <c r="I1246" s="13"/>
      <c r="J1246" s="13"/>
      <c r="K1246" s="13"/>
      <c r="L1246" s="13"/>
      <c r="M1246" s="13"/>
      <c r="N1246" s="13"/>
      <c r="O1246" s="13"/>
      <c r="P1246" s="13"/>
    </row>
    <row r="1247">
      <c r="A1247" s="13"/>
      <c r="B1247" s="13"/>
      <c r="C1247" s="13"/>
      <c r="D1247" s="13"/>
      <c r="E1247" s="13"/>
      <c r="F1247" s="13"/>
      <c r="G1247" s="13"/>
      <c r="H1247" s="72"/>
      <c r="I1247" s="13"/>
      <c r="J1247" s="13"/>
      <c r="K1247" s="13"/>
      <c r="L1247" s="13"/>
      <c r="M1247" s="13"/>
      <c r="N1247" s="13"/>
      <c r="O1247" s="13"/>
      <c r="P1247" s="13"/>
    </row>
    <row r="1248">
      <c r="A1248" s="13"/>
      <c r="B1248" s="13"/>
      <c r="C1248" s="13"/>
      <c r="D1248" s="13"/>
      <c r="E1248" s="13"/>
      <c r="F1248" s="13"/>
      <c r="G1248" s="13"/>
      <c r="H1248" s="72"/>
      <c r="I1248" s="13"/>
      <c r="J1248" s="13"/>
      <c r="K1248" s="13"/>
      <c r="L1248" s="13"/>
      <c r="M1248" s="13"/>
      <c r="N1248" s="13"/>
      <c r="O1248" s="13"/>
      <c r="P1248" s="13"/>
    </row>
    <row r="1249">
      <c r="A1249" s="13"/>
      <c r="B1249" s="13"/>
      <c r="C1249" s="13"/>
      <c r="D1249" s="13"/>
      <c r="E1249" s="13"/>
      <c r="F1249" s="13"/>
      <c r="G1249" s="13"/>
      <c r="H1249" s="72"/>
      <c r="I1249" s="13"/>
      <c r="J1249" s="13"/>
      <c r="K1249" s="13"/>
      <c r="L1249" s="13"/>
      <c r="M1249" s="13"/>
      <c r="N1249" s="13"/>
      <c r="O1249" s="13"/>
      <c r="P1249" s="13"/>
    </row>
    <row r="1250">
      <c r="A1250" s="13"/>
      <c r="B1250" s="13"/>
      <c r="C1250" s="13"/>
      <c r="D1250" s="13"/>
      <c r="E1250" s="13"/>
      <c r="F1250" s="13"/>
      <c r="G1250" s="13"/>
      <c r="H1250" s="72"/>
      <c r="I1250" s="13"/>
      <c r="J1250" s="13"/>
      <c r="K1250" s="13"/>
      <c r="L1250" s="13"/>
      <c r="M1250" s="13"/>
      <c r="N1250" s="13"/>
      <c r="O1250" s="13"/>
      <c r="P1250" s="13"/>
    </row>
    <row r="1251">
      <c r="A1251" s="13"/>
      <c r="B1251" s="13"/>
      <c r="C1251" s="13"/>
      <c r="D1251" s="13"/>
      <c r="E1251" s="13"/>
      <c r="F1251" s="13"/>
      <c r="G1251" s="13"/>
      <c r="H1251" s="72"/>
      <c r="I1251" s="13"/>
      <c r="J1251" s="13"/>
      <c r="K1251" s="13"/>
      <c r="L1251" s="13"/>
      <c r="M1251" s="13"/>
      <c r="N1251" s="13"/>
      <c r="O1251" s="13"/>
      <c r="P1251" s="13"/>
    </row>
    <row r="1252">
      <c r="A1252" s="13"/>
      <c r="B1252" s="13"/>
      <c r="C1252" s="13"/>
      <c r="D1252" s="13"/>
      <c r="E1252" s="13"/>
      <c r="F1252" s="13"/>
      <c r="G1252" s="13"/>
      <c r="H1252" s="72"/>
      <c r="I1252" s="13"/>
      <c r="J1252" s="13"/>
      <c r="K1252" s="13"/>
      <c r="L1252" s="13"/>
      <c r="M1252" s="13"/>
      <c r="N1252" s="13"/>
      <c r="O1252" s="13"/>
      <c r="P1252" s="13"/>
    </row>
    <row r="1253">
      <c r="A1253" s="13"/>
      <c r="B1253" s="13"/>
      <c r="C1253" s="13"/>
      <c r="D1253" s="13"/>
      <c r="E1253" s="13"/>
      <c r="F1253" s="13"/>
      <c r="G1253" s="13"/>
      <c r="H1253" s="72"/>
      <c r="I1253" s="13"/>
      <c r="J1253" s="13"/>
      <c r="K1253" s="13"/>
      <c r="L1253" s="13"/>
      <c r="M1253" s="13"/>
      <c r="N1253" s="13"/>
      <c r="O1253" s="13"/>
      <c r="P1253" s="13"/>
    </row>
    <row r="1254">
      <c r="A1254" s="13"/>
      <c r="B1254" s="13"/>
      <c r="C1254" s="13"/>
      <c r="D1254" s="13"/>
      <c r="E1254" s="13"/>
      <c r="F1254" s="13"/>
      <c r="G1254" s="13"/>
      <c r="H1254" s="72"/>
      <c r="I1254" s="13"/>
      <c r="J1254" s="13"/>
      <c r="K1254" s="13"/>
      <c r="L1254" s="13"/>
      <c r="M1254" s="13"/>
      <c r="N1254" s="13"/>
      <c r="O1254" s="13"/>
      <c r="P1254" s="13"/>
    </row>
    <row r="1255">
      <c r="A1255" s="13"/>
      <c r="B1255" s="13"/>
      <c r="C1255" s="13"/>
      <c r="D1255" s="13"/>
      <c r="E1255" s="13"/>
      <c r="F1255" s="13"/>
      <c r="G1255" s="13"/>
      <c r="H1255" s="72"/>
      <c r="I1255" s="13"/>
      <c r="J1255" s="13"/>
      <c r="K1255" s="13"/>
      <c r="L1255" s="13"/>
      <c r="M1255" s="13"/>
      <c r="N1255" s="13"/>
      <c r="O1255" s="13"/>
      <c r="P1255" s="13"/>
    </row>
    <row r="1256">
      <c r="A1256" s="13"/>
      <c r="B1256" s="13"/>
      <c r="C1256" s="13"/>
      <c r="D1256" s="13"/>
      <c r="E1256" s="13"/>
      <c r="F1256" s="13"/>
      <c r="G1256" s="13"/>
      <c r="H1256" s="72"/>
      <c r="I1256" s="13"/>
      <c r="J1256" s="13"/>
      <c r="K1256" s="13"/>
      <c r="L1256" s="13"/>
      <c r="M1256" s="13"/>
      <c r="N1256" s="13"/>
      <c r="O1256" s="13"/>
      <c r="P1256" s="13"/>
    </row>
    <row r="1257">
      <c r="A1257" s="13"/>
      <c r="B1257" s="13"/>
      <c r="C1257" s="13"/>
      <c r="D1257" s="13"/>
      <c r="E1257" s="13"/>
      <c r="F1257" s="13"/>
      <c r="G1257" s="13"/>
      <c r="H1257" s="72"/>
      <c r="I1257" s="13"/>
      <c r="J1257" s="13"/>
      <c r="K1257" s="13"/>
      <c r="L1257" s="13"/>
      <c r="M1257" s="13"/>
      <c r="N1257" s="13"/>
      <c r="O1257" s="13"/>
      <c r="P1257" s="13"/>
    </row>
    <row r="1258">
      <c r="A1258" s="13"/>
      <c r="B1258" s="13"/>
      <c r="C1258" s="13"/>
      <c r="D1258" s="13"/>
      <c r="E1258" s="13"/>
      <c r="F1258" s="13"/>
      <c r="G1258" s="13"/>
      <c r="H1258" s="72"/>
      <c r="I1258" s="13"/>
      <c r="J1258" s="13"/>
      <c r="K1258" s="13"/>
      <c r="L1258" s="13"/>
      <c r="M1258" s="13"/>
      <c r="N1258" s="13"/>
      <c r="O1258" s="13"/>
      <c r="P1258" s="13"/>
    </row>
    <row r="1259">
      <c r="A1259" s="13"/>
      <c r="B1259" s="13"/>
      <c r="C1259" s="13"/>
      <c r="D1259" s="13"/>
      <c r="E1259" s="13"/>
      <c r="F1259" s="13"/>
      <c r="G1259" s="13"/>
      <c r="H1259" s="72"/>
      <c r="I1259" s="13"/>
      <c r="J1259" s="13"/>
      <c r="K1259" s="13"/>
      <c r="L1259" s="13"/>
      <c r="M1259" s="13"/>
      <c r="N1259" s="13"/>
      <c r="O1259" s="13"/>
      <c r="P1259" s="13"/>
    </row>
    <row r="1260">
      <c r="A1260" s="13"/>
      <c r="B1260" s="13"/>
      <c r="C1260" s="13"/>
      <c r="D1260" s="13"/>
      <c r="E1260" s="13"/>
      <c r="F1260" s="13"/>
      <c r="G1260" s="13"/>
      <c r="H1260" s="72"/>
      <c r="I1260" s="13"/>
      <c r="J1260" s="13"/>
      <c r="K1260" s="13"/>
      <c r="L1260" s="13"/>
      <c r="M1260" s="13"/>
      <c r="N1260" s="13"/>
      <c r="O1260" s="13"/>
      <c r="P1260" s="13"/>
    </row>
    <row r="1261">
      <c r="A1261" s="13"/>
      <c r="B1261" s="13"/>
      <c r="C1261" s="13"/>
      <c r="D1261" s="13"/>
      <c r="E1261" s="13"/>
      <c r="F1261" s="13"/>
      <c r="G1261" s="13"/>
      <c r="H1261" s="72"/>
      <c r="I1261" s="13"/>
      <c r="J1261" s="13"/>
      <c r="K1261" s="13"/>
      <c r="L1261" s="13"/>
      <c r="M1261" s="13"/>
      <c r="N1261" s="13"/>
      <c r="O1261" s="13"/>
      <c r="P1261" s="13"/>
    </row>
    <row r="1262">
      <c r="A1262" s="13"/>
      <c r="B1262" s="13"/>
      <c r="C1262" s="13"/>
      <c r="D1262" s="13"/>
      <c r="E1262" s="13"/>
      <c r="F1262" s="13"/>
      <c r="G1262" s="13"/>
      <c r="H1262" s="72"/>
      <c r="I1262" s="13"/>
      <c r="J1262" s="13"/>
      <c r="K1262" s="13"/>
      <c r="L1262" s="13"/>
      <c r="M1262" s="13"/>
      <c r="N1262" s="13"/>
      <c r="O1262" s="13"/>
      <c r="P1262" s="13"/>
    </row>
    <row r="1263">
      <c r="A1263" s="13"/>
      <c r="B1263" s="13"/>
      <c r="C1263" s="13"/>
      <c r="D1263" s="13"/>
      <c r="E1263" s="13"/>
      <c r="F1263" s="13"/>
      <c r="G1263" s="13"/>
      <c r="H1263" s="72"/>
      <c r="I1263" s="13"/>
      <c r="J1263" s="13"/>
      <c r="K1263" s="13"/>
      <c r="L1263" s="13"/>
      <c r="M1263" s="13"/>
      <c r="N1263" s="13"/>
      <c r="O1263" s="13"/>
      <c r="P1263" s="13"/>
    </row>
    <row r="1264">
      <c r="A1264" s="13"/>
      <c r="B1264" s="13"/>
      <c r="C1264" s="13"/>
      <c r="D1264" s="13"/>
      <c r="E1264" s="13"/>
      <c r="F1264" s="13"/>
      <c r="G1264" s="13"/>
      <c r="H1264" s="72"/>
      <c r="I1264" s="13"/>
      <c r="J1264" s="13"/>
      <c r="K1264" s="13"/>
      <c r="L1264" s="13"/>
      <c r="M1264" s="13"/>
      <c r="N1264" s="13"/>
      <c r="O1264" s="13"/>
      <c r="P1264" s="13"/>
    </row>
    <row r="1265">
      <c r="A1265" s="13"/>
      <c r="B1265" s="13"/>
      <c r="C1265" s="13"/>
      <c r="D1265" s="13"/>
      <c r="E1265" s="13"/>
      <c r="F1265" s="13"/>
      <c r="G1265" s="13"/>
      <c r="H1265" s="72"/>
      <c r="I1265" s="13"/>
      <c r="J1265" s="13"/>
      <c r="K1265" s="13"/>
      <c r="L1265" s="13"/>
      <c r="M1265" s="13"/>
      <c r="N1265" s="13"/>
      <c r="O1265" s="13"/>
      <c r="P1265" s="13"/>
    </row>
    <row r="1266">
      <c r="A1266" s="13"/>
      <c r="B1266" s="13"/>
      <c r="C1266" s="13"/>
      <c r="D1266" s="13"/>
      <c r="E1266" s="13"/>
      <c r="F1266" s="13"/>
      <c r="G1266" s="13"/>
      <c r="H1266" s="72"/>
      <c r="I1266" s="13"/>
      <c r="J1266" s="13"/>
      <c r="K1266" s="13"/>
      <c r="L1266" s="13"/>
      <c r="M1266" s="13"/>
      <c r="N1266" s="13"/>
      <c r="O1266" s="13"/>
      <c r="P1266" s="13"/>
    </row>
    <row r="1267">
      <c r="A1267" s="13"/>
      <c r="B1267" s="13"/>
      <c r="C1267" s="13"/>
      <c r="D1267" s="13"/>
      <c r="E1267" s="13"/>
      <c r="F1267" s="13"/>
      <c r="G1267" s="13"/>
      <c r="H1267" s="72"/>
      <c r="I1267" s="13"/>
      <c r="J1267" s="13"/>
      <c r="K1267" s="13"/>
      <c r="L1267" s="13"/>
      <c r="M1267" s="13"/>
      <c r="N1267" s="13"/>
      <c r="O1267" s="13"/>
      <c r="P1267" s="13"/>
    </row>
  </sheetData>
  <hyperlinks>
    <hyperlink r:id="rId1" ref="H2"/>
    <hyperlink r:id="rId2" ref="H3"/>
    <hyperlink r:id="rId3" ref="H4"/>
    <hyperlink r:id="rId4" ref="H5"/>
    <hyperlink r:id="rId5" ref="N5"/>
    <hyperlink r:id="rId6" ref="H6"/>
    <hyperlink r:id="rId7" ref="N6"/>
    <hyperlink r:id="rId8" ref="H7"/>
    <hyperlink r:id="rId9" ref="N7"/>
    <hyperlink r:id="rId10" ref="H8"/>
    <hyperlink r:id="rId11" ref="N8"/>
    <hyperlink r:id="rId12" ref="P8"/>
    <hyperlink r:id="rId13" ref="H9"/>
    <hyperlink r:id="rId14" ref="N9"/>
    <hyperlink r:id="rId15" ref="H10"/>
    <hyperlink r:id="rId16" ref="P10"/>
    <hyperlink r:id="rId17" ref="H11"/>
    <hyperlink r:id="rId18" ref="P11"/>
    <hyperlink r:id="rId19" ref="H12"/>
    <hyperlink r:id="rId20" ref="H13"/>
    <hyperlink r:id="rId21" ref="H14"/>
    <hyperlink r:id="rId22" ref="N14"/>
    <hyperlink r:id="rId23" ref="H15"/>
    <hyperlink r:id="rId24" ref="H16"/>
    <hyperlink r:id="rId25" ref="N16"/>
    <hyperlink r:id="rId26" ref="H17"/>
    <hyperlink r:id="rId27" ref="H18"/>
    <hyperlink r:id="rId28" ref="P18"/>
    <hyperlink r:id="rId29" ref="H19"/>
    <hyperlink r:id="rId30" ref="N19"/>
    <hyperlink r:id="rId31" ref="H20"/>
    <hyperlink r:id="rId32" ref="N20"/>
    <hyperlink r:id="rId33" ref="H21"/>
    <hyperlink r:id="rId34" ref="N21"/>
    <hyperlink r:id="rId35" ref="H22"/>
    <hyperlink r:id="rId36" ref="H23"/>
    <hyperlink r:id="rId37" ref="H24"/>
    <hyperlink r:id="rId38" ref="H25"/>
    <hyperlink r:id="rId39" ref="H26"/>
    <hyperlink r:id="rId40" ref="N26"/>
    <hyperlink r:id="rId41" ref="H27"/>
    <hyperlink r:id="rId42" ref="H28"/>
    <hyperlink r:id="rId43" ref="H29"/>
    <hyperlink r:id="rId44" ref="N29"/>
    <hyperlink r:id="rId45" ref="H30"/>
    <hyperlink r:id="rId46" location="v=onepage&amp;q=general%20linear%20programming&amp;f=false" ref="H31"/>
    <hyperlink r:id="rId47" ref="H32"/>
    <hyperlink r:id="rId48" ref="N32"/>
    <hyperlink r:id="rId49" ref="H33"/>
    <hyperlink r:id="rId50" ref="H34"/>
    <hyperlink r:id="rId51" ref="H35"/>
    <hyperlink r:id="rId52" ref="N35"/>
    <hyperlink r:id="rId53" ref="H36"/>
    <hyperlink r:id="rId54" ref="N36"/>
    <hyperlink r:id="rId55" ref="H37"/>
    <hyperlink r:id="rId56" ref="N37"/>
    <hyperlink r:id="rId57" ref="H38"/>
    <hyperlink r:id="rId58" ref="N38"/>
    <hyperlink r:id="rId59" ref="H39"/>
    <hyperlink r:id="rId60" ref="N39"/>
    <hyperlink r:id="rId61" ref="H40"/>
    <hyperlink r:id="rId62" ref="N40"/>
    <hyperlink r:id="rId63" ref="P40"/>
    <hyperlink r:id="rId64" ref="R40"/>
    <hyperlink r:id="rId65" ref="H41"/>
    <hyperlink r:id="rId66" ref="N41"/>
    <hyperlink r:id="rId67" ref="H42"/>
    <hyperlink r:id="rId68" ref="H43"/>
    <hyperlink r:id="rId69" ref="N43"/>
    <hyperlink r:id="rId70" ref="P43"/>
    <hyperlink r:id="rId71" ref="H44"/>
    <hyperlink r:id="rId72" ref="R44"/>
    <hyperlink r:id="rId73" ref="H45"/>
    <hyperlink r:id="rId74" ref="H46"/>
    <hyperlink r:id="rId75" ref="H47"/>
    <hyperlink r:id="rId76" ref="H48"/>
    <hyperlink r:id="rId77" ref="H49"/>
    <hyperlink r:id="rId78" ref="H50"/>
    <hyperlink r:id="rId79" ref="H51"/>
    <hyperlink r:id="rId80" ref="N51"/>
    <hyperlink r:id="rId81" ref="P51"/>
    <hyperlink r:id="rId82" ref="H52"/>
    <hyperlink r:id="rId83" ref="N52"/>
    <hyperlink r:id="rId84" ref="H53"/>
    <hyperlink r:id="rId85" ref="N53"/>
    <hyperlink r:id="rId86" ref="H54"/>
    <hyperlink r:id="rId87" ref="N54"/>
    <hyperlink r:id="rId88" ref="H55"/>
    <hyperlink r:id="rId89" ref="N55"/>
    <hyperlink r:id="rId90" ref="H56"/>
    <hyperlink r:id="rId91" ref="N56"/>
    <hyperlink r:id="rId92" ref="H57"/>
    <hyperlink r:id="rId93" ref="H58"/>
    <hyperlink r:id="rId94" ref="H59"/>
    <hyperlink r:id="rId95" ref="H60"/>
    <hyperlink r:id="rId96" ref="H61"/>
    <hyperlink r:id="rId97" location="page_scan_tab_contents" ref="H62"/>
    <hyperlink r:id="rId98" ref="N62"/>
    <hyperlink r:id="rId99" ref="H63"/>
    <hyperlink r:id="rId100" ref="N63"/>
    <hyperlink r:id="rId101" ref="H64"/>
    <hyperlink r:id="rId102" ref="H65"/>
    <hyperlink r:id="rId103" ref="H66"/>
    <hyperlink r:id="rId104" ref="H67"/>
    <hyperlink r:id="rId105" ref="H68"/>
    <hyperlink r:id="rId106" ref="H69"/>
    <hyperlink r:id="rId107" ref="H70"/>
    <hyperlink r:id="rId108" ref="H71"/>
    <hyperlink r:id="rId109" ref="H72"/>
    <hyperlink r:id="rId110" ref="H73"/>
    <hyperlink r:id="rId111" ref="H74"/>
    <hyperlink r:id="rId112" ref="H75"/>
    <hyperlink r:id="rId113" ref="H76"/>
    <hyperlink r:id="rId114" ref="H77"/>
    <hyperlink r:id="rId115" ref="H78"/>
    <hyperlink r:id="rId116" ref="H79"/>
    <hyperlink r:id="rId117" ref="H80"/>
    <hyperlink r:id="rId118" ref="H81"/>
    <hyperlink r:id="rId119" ref="H82"/>
    <hyperlink r:id="rId120" ref="H83"/>
    <hyperlink r:id="rId121" ref="H84"/>
    <hyperlink r:id="rId122" ref="N84"/>
    <hyperlink r:id="rId123" ref="H85"/>
    <hyperlink r:id="rId124" ref="N85"/>
    <hyperlink r:id="rId125" ref="R85"/>
    <hyperlink r:id="rId126" ref="H86"/>
    <hyperlink r:id="rId127" ref="H87"/>
    <hyperlink r:id="rId128" ref="H88"/>
    <hyperlink r:id="rId129" ref="N88"/>
    <hyperlink r:id="rId130" ref="H89"/>
    <hyperlink r:id="rId131" ref="H90"/>
    <hyperlink r:id="rId132" ref="N90"/>
    <hyperlink r:id="rId133" ref="H91"/>
    <hyperlink r:id="rId134" ref="N91"/>
    <hyperlink r:id="rId135" ref="H92"/>
    <hyperlink r:id="rId136" ref="N92"/>
    <hyperlink r:id="rId137" ref="H93"/>
    <hyperlink r:id="rId138" ref="H94"/>
    <hyperlink r:id="rId139" ref="N94"/>
    <hyperlink r:id="rId140" ref="H95"/>
    <hyperlink r:id="rId141" ref="N95"/>
    <hyperlink r:id="rId142" ref="H96"/>
    <hyperlink r:id="rId143" ref="N96"/>
    <hyperlink r:id="rId144" ref="H97"/>
    <hyperlink r:id="rId145" ref="H98"/>
    <hyperlink r:id="rId146" ref="N98"/>
    <hyperlink r:id="rId147" ref="H99"/>
    <hyperlink r:id="rId148" ref="H100"/>
    <hyperlink r:id="rId149" ref="H101"/>
    <hyperlink r:id="rId150" ref="H102"/>
    <hyperlink r:id="rId151" ref="H103"/>
    <hyperlink r:id="rId152" ref="H104"/>
    <hyperlink r:id="rId153" ref="H105"/>
    <hyperlink r:id="rId154" location="page=25" ref="H106"/>
    <hyperlink r:id="rId155" ref="N106"/>
    <hyperlink r:id="rId156" ref="P106"/>
    <hyperlink r:id="rId157" ref="H107"/>
    <hyperlink r:id="rId158" ref="N107"/>
    <hyperlink r:id="rId159" ref="H108"/>
    <hyperlink r:id="rId160" ref="N108"/>
    <hyperlink r:id="rId161" ref="H109"/>
    <hyperlink r:id="rId162" ref="H110"/>
    <hyperlink r:id="rId163" ref="H111"/>
    <hyperlink r:id="rId164" ref="N111"/>
    <hyperlink r:id="rId165" ref="H112"/>
    <hyperlink r:id="rId166" ref="N112"/>
    <hyperlink r:id="rId167" ref="R112"/>
    <hyperlink r:id="rId168" location="Generation_with_minimal_changes" ref="T112"/>
    <hyperlink r:id="rId169" ref="H113"/>
    <hyperlink r:id="rId170" ref="H114"/>
    <hyperlink r:id="rId171" ref="H115"/>
    <hyperlink r:id="rId172" ref="H116"/>
    <hyperlink r:id="rId173" ref="H117"/>
    <hyperlink r:id="rId174" ref="R117"/>
    <hyperlink r:id="rId175" ref="H118"/>
    <hyperlink r:id="rId176" ref="H119"/>
    <hyperlink r:id="rId177" ref="H120"/>
    <hyperlink r:id="rId178" ref="R120"/>
    <hyperlink r:id="rId179" ref="H121"/>
    <hyperlink r:id="rId180" ref="H122"/>
    <hyperlink r:id="rId181" ref="H123"/>
    <hyperlink r:id="rId182" ref="N123"/>
    <hyperlink r:id="rId183" ref="H124"/>
    <hyperlink r:id="rId184" ref="H126"/>
    <hyperlink r:id="rId185" ref="H127"/>
    <hyperlink r:id="rId186" location=":~:text=Eigenvalues%20are%20a%20special%20set,Marcus%20and%20Minc%201988,%20p." ref="H128"/>
    <hyperlink r:id="rId187" location=":~:text=Eigenvalues%20are%20a%20special%20set,Marcus%20and%20Minc%201988,%20p." ref="H129"/>
    <hyperlink r:id="rId188" location=":~:text=Eigenvalues%20are%20a%20special%20set,Marcus%20and%20Minc%201988,%20p." ref="H130"/>
    <hyperlink r:id="rId189" location=":~:text=Eigenvalues%20are%20a%20special%20set,Marcus%20and%20Minc%201988,%20p." ref="H131"/>
    <hyperlink r:id="rId190" location=":~:text=Eigenvalues%20are%20a%20special%20set,Marcus%20and%20Minc%201988,%20p." ref="H132"/>
    <hyperlink r:id="rId191" location=":~:text=Eigenvalues%20are%20a%20special%20set,Marcus%20and%20Minc%201988,%20p." ref="H133"/>
    <hyperlink r:id="rId192" ref="H134"/>
    <hyperlink r:id="rId193" ref="H135"/>
    <hyperlink r:id="rId194" ref="H136"/>
    <hyperlink r:id="rId195" ref="H137"/>
    <hyperlink r:id="rId196" ref="H138"/>
    <hyperlink r:id="rId197" ref="H139"/>
    <hyperlink r:id="rId198" ref="H140"/>
    <hyperlink r:id="rId199" ref="H141"/>
    <hyperlink r:id="rId200" ref="R141"/>
    <hyperlink r:id="rId201" ref="S141"/>
    <hyperlink r:id="rId202" ref="H142"/>
    <hyperlink r:id="rId203" ref="N142"/>
    <hyperlink r:id="rId204" ref="H143"/>
    <hyperlink r:id="rId205" ref="P143"/>
    <hyperlink r:id="rId206" ref="H144"/>
    <hyperlink r:id="rId207" ref="N144"/>
    <hyperlink r:id="rId208" ref="P144"/>
    <hyperlink r:id="rId209" ref="H145"/>
    <hyperlink r:id="rId210" ref="H146"/>
    <hyperlink r:id="rId211" ref="H147"/>
    <hyperlink r:id="rId212" ref="H148"/>
    <hyperlink r:id="rId213" ref="H149"/>
    <hyperlink r:id="rId214" ref="H150"/>
    <hyperlink r:id="rId215" ref="H151"/>
    <hyperlink r:id="rId216" ref="H152"/>
    <hyperlink r:id="rId217" ref="H153"/>
    <hyperlink r:id="rId218" ref="H154"/>
    <hyperlink r:id="rId219" ref="H155"/>
    <hyperlink r:id="rId220" ref="H156"/>
    <hyperlink r:id="rId221" ref="H157"/>
    <hyperlink r:id="rId222" ref="H158"/>
    <hyperlink r:id="rId223" ref="H159"/>
    <hyperlink r:id="rId224" ref="N159"/>
    <hyperlink r:id="rId225" ref="H160"/>
    <hyperlink r:id="rId226" ref="H161"/>
    <hyperlink r:id="rId227" ref="H162"/>
    <hyperlink r:id="rId228" ref="H163"/>
    <hyperlink r:id="rId229" ref="N163"/>
    <hyperlink r:id="rId230" ref="P163"/>
    <hyperlink r:id="rId231" ref="H164"/>
    <hyperlink r:id="rId232" ref="P164"/>
    <hyperlink r:id="rId233" ref="H165"/>
    <hyperlink r:id="rId234" ref="H166"/>
    <hyperlink r:id="rId235" ref="R166"/>
    <hyperlink r:id="rId236" ref="H167"/>
    <hyperlink r:id="rId237" ref="H168"/>
    <hyperlink r:id="rId238" ref="H169"/>
    <hyperlink r:id="rId239" ref="H170"/>
    <hyperlink r:id="rId240" ref="N170"/>
    <hyperlink r:id="rId241" ref="P170"/>
    <hyperlink r:id="rId242" ref="H171"/>
    <hyperlink r:id="rId243" ref="N171"/>
    <hyperlink r:id="rId244" ref="H172"/>
    <hyperlink r:id="rId245" ref="N172"/>
    <hyperlink r:id="rId246" ref="H173"/>
    <hyperlink r:id="rId247" ref="H174"/>
    <hyperlink r:id="rId248" ref="P174"/>
    <hyperlink r:id="rId249" ref="H175"/>
    <hyperlink r:id="rId250" ref="H176"/>
    <hyperlink r:id="rId251" ref="H177"/>
    <hyperlink r:id="rId252" ref="H178"/>
    <hyperlink r:id="rId253" ref="H179"/>
    <hyperlink r:id="rId254" ref="H180"/>
    <hyperlink r:id="rId255" ref="H181"/>
    <hyperlink r:id="rId256" ref="N181"/>
    <hyperlink r:id="rId257" ref="H182"/>
    <hyperlink r:id="rId258" ref="N182"/>
    <hyperlink r:id="rId259" ref="H183"/>
    <hyperlink r:id="rId260" ref="H184"/>
    <hyperlink r:id="rId261" ref="H185"/>
    <hyperlink r:id="rId262" ref="H186"/>
    <hyperlink r:id="rId263" ref="N186"/>
    <hyperlink r:id="rId264" ref="H187"/>
    <hyperlink r:id="rId265" ref="H188"/>
    <hyperlink r:id="rId266" ref="N188"/>
    <hyperlink r:id="rId267" ref="H189"/>
    <hyperlink r:id="rId268" ref="H190"/>
    <hyperlink r:id="rId269" ref="H191"/>
    <hyperlink r:id="rId270" ref="H192"/>
    <hyperlink r:id="rId271" ref="H193"/>
    <hyperlink r:id="rId272" ref="H194"/>
    <hyperlink r:id="rId273" ref="H195"/>
    <hyperlink r:id="rId274" ref="H196"/>
    <hyperlink r:id="rId275" ref="H197"/>
    <hyperlink r:id="rId276" ref="N197"/>
    <hyperlink r:id="rId277" ref="H198"/>
    <hyperlink r:id="rId278" ref="H199"/>
    <hyperlink r:id="rId279" ref="H200"/>
    <hyperlink r:id="rId280" ref="H201"/>
    <hyperlink r:id="rId281" ref="H202"/>
    <hyperlink r:id="rId282" ref="H203"/>
    <hyperlink r:id="rId283" ref="H204"/>
    <hyperlink r:id="rId284" ref="H205"/>
    <hyperlink r:id="rId285" ref="H206"/>
    <hyperlink r:id="rId286" ref="H207"/>
    <hyperlink r:id="rId287" ref="H208"/>
    <hyperlink r:id="rId288" ref="H209"/>
    <hyperlink r:id="rId289" ref="H210"/>
    <hyperlink r:id="rId290" ref="H211"/>
    <hyperlink r:id="rId291" ref="N211"/>
    <hyperlink r:id="rId292" ref="H212"/>
    <hyperlink r:id="rId293" ref="P212"/>
    <hyperlink r:id="rId294" ref="H213"/>
    <hyperlink r:id="rId295" ref="H214"/>
    <hyperlink r:id="rId296" ref="H215"/>
    <hyperlink r:id="rId297" location="metadata_info_tab_contents" ref="H216"/>
    <hyperlink r:id="rId298" ref="H217"/>
    <hyperlink r:id="rId299" ref="H218"/>
    <hyperlink r:id="rId300" ref="H219"/>
    <hyperlink r:id="rId301" ref="H220"/>
    <hyperlink r:id="rId302" ref="H221"/>
    <hyperlink r:id="rId303" ref="H222"/>
    <hyperlink r:id="rId304" ref="H223"/>
    <hyperlink r:id="rId305" ref="P223"/>
    <hyperlink r:id="rId306" ref="H224"/>
    <hyperlink r:id="rId307" ref="P224"/>
    <hyperlink r:id="rId308" location="MOESM6" ref="H225"/>
    <hyperlink r:id="rId309" ref="H226"/>
    <hyperlink r:id="rId310" ref="H227"/>
    <hyperlink r:id="rId311" ref="R227"/>
    <hyperlink r:id="rId312" ref="S227"/>
    <hyperlink r:id="rId313" ref="H228"/>
    <hyperlink r:id="rId314" ref="H229"/>
    <hyperlink r:id="rId315" ref="H230"/>
    <hyperlink r:id="rId316" ref="H231"/>
    <hyperlink r:id="rId317" ref="H232"/>
    <hyperlink r:id="rId318" ref="H233"/>
    <hyperlink r:id="rId319" ref="H234"/>
    <hyperlink r:id="rId320" ref="H235"/>
    <hyperlink r:id="rId321" ref="H236"/>
    <hyperlink r:id="rId322" ref="H237"/>
    <hyperlink r:id="rId323" ref="H238"/>
    <hyperlink r:id="rId324" ref="H239"/>
    <hyperlink r:id="rId325" ref="H240"/>
    <hyperlink r:id="rId326" ref="H241"/>
    <hyperlink r:id="rId327" ref="H242"/>
    <hyperlink r:id="rId328" ref="H243"/>
    <hyperlink r:id="rId329" ref="H244"/>
    <hyperlink r:id="rId330" ref="H245"/>
    <hyperlink r:id="rId331" ref="N245"/>
    <hyperlink r:id="rId332" ref="P245"/>
    <hyperlink r:id="rId333" ref="H246"/>
    <hyperlink r:id="rId334" ref="H247"/>
    <hyperlink r:id="rId335" ref="H248"/>
    <hyperlink r:id="rId336" ref="N248"/>
    <hyperlink r:id="rId337" ref="H249"/>
    <hyperlink r:id="rId338" ref="H250"/>
    <hyperlink r:id="rId339" ref="H251"/>
    <hyperlink r:id="rId340" ref="H252"/>
    <hyperlink r:id="rId341" ref="H253"/>
    <hyperlink r:id="rId342" ref="H254"/>
    <hyperlink r:id="rId343" ref="H255"/>
    <hyperlink r:id="rId344" ref="H256"/>
    <hyperlink r:id="rId345" ref="H257"/>
    <hyperlink r:id="rId346" ref="N257"/>
    <hyperlink r:id="rId347" ref="H258"/>
    <hyperlink r:id="rId348" ref="H259"/>
    <hyperlink r:id="rId349" ref="N259"/>
    <hyperlink r:id="rId350" ref="R259"/>
    <hyperlink r:id="rId351" ref="H260"/>
    <hyperlink r:id="rId352" ref="N260"/>
    <hyperlink r:id="rId353" ref="H261"/>
    <hyperlink r:id="rId354" ref="N261"/>
    <hyperlink r:id="rId355" ref="H262"/>
    <hyperlink r:id="rId356" ref="H263"/>
    <hyperlink r:id="rId357" ref="N263"/>
    <hyperlink r:id="rId358" ref="H264"/>
    <hyperlink r:id="rId359" ref="N264"/>
    <hyperlink r:id="rId360" ref="H265"/>
    <hyperlink r:id="rId361" ref="N265"/>
    <hyperlink r:id="rId362" ref="H266"/>
    <hyperlink r:id="rId363" ref="H267"/>
    <hyperlink r:id="rId364" ref="H268"/>
    <hyperlink r:id="rId365" ref="N268"/>
    <hyperlink r:id="rId366" location="v=onepage&amp;q=integral%20equations&amp;f=false" ref="H269"/>
    <hyperlink r:id="rId367" location="v=onepage&amp;q=integral%20equations&amp;f=false" ref="H270"/>
    <hyperlink r:id="rId368" ref="H271"/>
    <hyperlink r:id="rId369" ref="H272"/>
    <hyperlink r:id="rId370" ref="H273"/>
    <hyperlink r:id="rId371" ref="H274"/>
    <hyperlink r:id="rId372" ref="H275"/>
    <hyperlink r:id="rId373" ref="H276"/>
    <hyperlink r:id="rId374" ref="H277"/>
    <hyperlink r:id="rId375" ref="H278"/>
    <hyperlink r:id="rId376" ref="H279"/>
    <hyperlink r:id="rId377" ref="H280"/>
    <hyperlink r:id="rId378" ref="H281"/>
    <hyperlink r:id="rId379" ref="H282"/>
    <hyperlink r:id="rId380" ref="H283"/>
    <hyperlink r:id="rId381" ref="H284"/>
    <hyperlink r:id="rId382" ref="H285"/>
    <hyperlink r:id="rId383" ref="N285"/>
    <hyperlink r:id="rId384" ref="H286"/>
    <hyperlink r:id="rId385" ref="H287"/>
    <hyperlink r:id="rId386" ref="R287"/>
    <hyperlink r:id="rId387" ref="H288"/>
    <hyperlink r:id="rId388" ref="N288"/>
    <hyperlink r:id="rId389" ref="H289"/>
    <hyperlink r:id="rId390" ref="N289"/>
    <hyperlink r:id="rId391" ref="R289"/>
    <hyperlink r:id="rId392" ref="H290"/>
    <hyperlink r:id="rId393" ref="H291"/>
    <hyperlink r:id="rId394" ref="N291"/>
    <hyperlink r:id="rId395" ref="H292"/>
    <hyperlink r:id="rId396" ref="N292"/>
    <hyperlink r:id="rId397" ref="H293"/>
    <hyperlink r:id="rId398" ref="N293"/>
    <hyperlink r:id="rId399" ref="H294"/>
    <hyperlink r:id="rId400" ref="N294"/>
    <hyperlink r:id="rId401" ref="H295"/>
    <hyperlink r:id="rId402" ref="H296"/>
    <hyperlink r:id="rId403" ref="N296"/>
    <hyperlink r:id="rId404" ref="H297"/>
    <hyperlink r:id="rId405" ref="N297"/>
    <hyperlink r:id="rId406" ref="H298"/>
    <hyperlink r:id="rId407" ref="N298"/>
    <hyperlink r:id="rId408" ref="H299"/>
    <hyperlink r:id="rId409" ref="H300"/>
    <hyperlink r:id="rId410" ref="H301"/>
    <hyperlink r:id="rId411" ref="H302"/>
    <hyperlink r:id="rId412" ref="P302"/>
    <hyperlink r:id="rId413" ref="H303"/>
    <hyperlink r:id="rId414" ref="H304"/>
    <hyperlink r:id="rId415" ref="N304"/>
    <hyperlink r:id="rId416" ref="H305"/>
    <hyperlink r:id="rId417" ref="H306"/>
    <hyperlink r:id="rId418" ref="P306"/>
    <hyperlink r:id="rId419" ref="H307"/>
    <hyperlink r:id="rId420" ref="P307"/>
    <hyperlink r:id="rId421" ref="H308"/>
    <hyperlink r:id="rId422" ref="N308"/>
    <hyperlink r:id="rId423" ref="H309"/>
    <hyperlink r:id="rId424" ref="H310"/>
    <hyperlink r:id="rId425" ref="N310"/>
    <hyperlink r:id="rId426" ref="H311"/>
    <hyperlink r:id="rId427" ref="P311"/>
    <hyperlink r:id="rId428" ref="H312"/>
    <hyperlink r:id="rId429" ref="N312"/>
    <hyperlink r:id="rId430" ref="H313"/>
    <hyperlink r:id="rId431" ref="H314"/>
    <hyperlink r:id="rId432" ref="N314"/>
    <hyperlink r:id="rId433" ref="H315"/>
    <hyperlink r:id="rId434" ref="N315"/>
    <hyperlink r:id="rId435" ref="H316"/>
    <hyperlink r:id="rId436" ref="N316"/>
    <hyperlink r:id="rId437" ref="H317"/>
    <hyperlink r:id="rId438" ref="N317"/>
    <hyperlink r:id="rId439" ref="H318"/>
    <hyperlink r:id="rId440" ref="H319"/>
    <hyperlink r:id="rId441" ref="N319"/>
    <hyperlink r:id="rId442" ref="H320"/>
    <hyperlink r:id="rId443" ref="N320"/>
    <hyperlink r:id="rId444" ref="H321"/>
    <hyperlink r:id="rId445" ref="N321"/>
    <hyperlink r:id="rId446" ref="H322"/>
    <hyperlink r:id="rId447" ref="H323"/>
    <hyperlink r:id="rId448" ref="H324"/>
    <hyperlink r:id="rId449" ref="H325"/>
    <hyperlink r:id="rId450" ref="H326"/>
    <hyperlink r:id="rId451" ref="H327"/>
    <hyperlink r:id="rId452" ref="H328"/>
    <hyperlink r:id="rId453" ref="H329"/>
    <hyperlink r:id="rId454" ref="H330"/>
    <hyperlink r:id="rId455" ref="H331"/>
    <hyperlink r:id="rId456" ref="H332"/>
    <hyperlink r:id="rId457" ref="H333"/>
    <hyperlink r:id="rId458" ref="H334"/>
    <hyperlink r:id="rId459" ref="H335"/>
    <hyperlink r:id="rId460" ref="H336"/>
    <hyperlink r:id="rId461" ref="H337"/>
    <hyperlink r:id="rId462" ref="H338"/>
    <hyperlink r:id="rId463" ref="H339"/>
    <hyperlink r:id="rId464" ref="H340"/>
    <hyperlink r:id="rId465" ref="H341"/>
    <hyperlink r:id="rId466" ref="H342"/>
    <hyperlink r:id="rId467" ref="H343"/>
    <hyperlink r:id="rId468" ref="H344"/>
    <hyperlink r:id="rId469" ref="H345"/>
    <hyperlink r:id="rId470" ref="H346"/>
    <hyperlink r:id="rId471" ref="H347"/>
    <hyperlink r:id="rId472" ref="H348"/>
    <hyperlink r:id="rId473" ref="H349"/>
    <hyperlink r:id="rId474" ref="H350"/>
    <hyperlink r:id="rId475" ref="H351"/>
    <hyperlink r:id="rId476" ref="H352"/>
    <hyperlink r:id="rId477" ref="H353"/>
    <hyperlink r:id="rId478" ref="H354"/>
    <hyperlink r:id="rId479" ref="H355"/>
    <hyperlink r:id="rId480" ref="H356"/>
    <hyperlink r:id="rId481" ref="H357"/>
    <hyperlink r:id="rId482" ref="H358"/>
    <hyperlink r:id="rId483" ref="H359"/>
    <hyperlink r:id="rId484" ref="H360"/>
    <hyperlink r:id="rId485" ref="H361"/>
    <hyperlink r:id="rId486" ref="H362"/>
    <hyperlink r:id="rId487" ref="H363"/>
    <hyperlink r:id="rId488" ref="H364"/>
    <hyperlink r:id="rId489" ref="H365"/>
    <hyperlink r:id="rId490" ref="H366"/>
    <hyperlink r:id="rId491" ref="N366"/>
    <hyperlink r:id="rId492" ref="P366"/>
    <hyperlink r:id="rId493" ref="H367"/>
    <hyperlink r:id="rId494" ref="N367"/>
    <hyperlink r:id="rId495" ref="P367"/>
    <hyperlink r:id="rId496" ref="H368"/>
    <hyperlink r:id="rId497" ref="H369"/>
    <hyperlink r:id="rId498" ref="H370"/>
    <hyperlink r:id="rId499" ref="H371"/>
    <hyperlink r:id="rId500" ref="N371"/>
    <hyperlink r:id="rId501" ref="H372"/>
    <hyperlink r:id="rId502" ref="H373"/>
    <hyperlink r:id="rId503" ref="H374"/>
    <hyperlink r:id="rId504" ref="H375"/>
    <hyperlink r:id="rId505" ref="H376"/>
    <hyperlink r:id="rId506" ref="H377"/>
    <hyperlink r:id="rId507" ref="H378"/>
    <hyperlink r:id="rId508" ref="H379"/>
    <hyperlink r:id="rId509" ref="H380"/>
    <hyperlink r:id="rId510" ref="H381"/>
    <hyperlink r:id="rId511" ref="H382"/>
    <hyperlink r:id="rId512" ref="N382"/>
    <hyperlink r:id="rId513" ref="H383"/>
    <hyperlink r:id="rId514" ref="P383"/>
    <hyperlink r:id="rId515" ref="H384"/>
    <hyperlink r:id="rId516" ref="H385"/>
    <hyperlink r:id="rId517" ref="H386"/>
    <hyperlink r:id="rId518" ref="H387"/>
    <hyperlink r:id="rId519" ref="H388"/>
    <hyperlink r:id="rId520" ref="H389"/>
    <hyperlink r:id="rId521" ref="H390"/>
    <hyperlink r:id="rId522" ref="H391"/>
    <hyperlink r:id="rId523" ref="H392"/>
    <hyperlink r:id="rId524" ref="H393"/>
    <hyperlink r:id="rId525" ref="H394"/>
    <hyperlink r:id="rId526" ref="H395"/>
    <hyperlink r:id="rId527" ref="H396"/>
    <hyperlink r:id="rId528" ref="H397"/>
    <hyperlink r:id="rId529" ref="H398"/>
    <hyperlink r:id="rId530" ref="H399"/>
    <hyperlink r:id="rId531" ref="H400"/>
    <hyperlink r:id="rId532" ref="H401"/>
    <hyperlink r:id="rId533" ref="H402"/>
    <hyperlink r:id="rId534" ref="H403"/>
    <hyperlink r:id="rId535" ref="H404"/>
    <hyperlink r:id="rId536" ref="P404"/>
    <hyperlink r:id="rId537" ref="H405"/>
    <hyperlink r:id="rId538" ref="P405"/>
    <hyperlink r:id="rId539" ref="H406"/>
    <hyperlink r:id="rId540" ref="H407"/>
    <hyperlink r:id="rId541" ref="H408"/>
    <hyperlink r:id="rId542" ref="N408"/>
    <hyperlink r:id="rId543" ref="P408"/>
    <hyperlink r:id="rId544" ref="H409"/>
    <hyperlink r:id="rId545" ref="N409"/>
    <hyperlink r:id="rId546" ref="P409"/>
    <hyperlink r:id="rId547" ref="H410"/>
    <hyperlink r:id="rId548" ref="H411"/>
  </hyperlinks>
  <drawing r:id="rId54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7.75"/>
    <col customWidth="1" min="2" max="2" width="31.88"/>
    <col customWidth="1" min="3" max="3" width="13.0"/>
    <col customWidth="1" min="4" max="4" width="17.13"/>
    <col customWidth="1" min="5" max="5" width="9.38"/>
    <col customWidth="1" min="6" max="6" width="14.38"/>
    <col customWidth="1" min="7" max="7" width="9.5"/>
    <col customWidth="1" min="8" max="8" width="9.63"/>
    <col customWidth="1" min="9" max="9" width="10.13"/>
    <col customWidth="1" min="10" max="10" width="24.88"/>
    <col customWidth="1" min="11" max="11" width="24.63"/>
    <col customWidth="1" min="12" max="12" width="14.5"/>
    <col customWidth="1" min="13" max="13" width="38.63"/>
    <col customWidth="1" min="14" max="14" width="33.63"/>
    <col customWidth="1" min="15" max="15" width="8.0"/>
    <col customWidth="1" min="16" max="16" width="38.63"/>
    <col customWidth="1" min="18" max="18" width="9.38"/>
    <col customWidth="1" min="19" max="19" width="18.25"/>
    <col customWidth="1" min="20" max="20" width="13.0"/>
    <col customWidth="1" min="21" max="21" width="16.88"/>
    <col customWidth="1" min="22" max="22" width="12.75"/>
    <col customWidth="1" min="23" max="23" width="12.0"/>
    <col customWidth="1" min="24" max="24" width="25.63"/>
    <col customWidth="1" min="25" max="25" width="23.0"/>
    <col customWidth="1" min="26" max="26" width="11.63"/>
    <col customWidth="1" min="27" max="27" width="17.5"/>
    <col customWidth="1" min="28" max="28" width="16.0"/>
    <col customWidth="1" min="29" max="29" width="15.38"/>
    <col customWidth="1" min="31" max="31" width="13.0"/>
    <col customWidth="1" min="32" max="32" width="10.38"/>
    <col customWidth="1" min="34" max="34" width="38.38"/>
    <col customWidth="1" min="39" max="39" width="21.63"/>
    <col customWidth="1" min="41" max="41" width="21.0"/>
    <col customWidth="1" min="42" max="42" width="15.0"/>
    <col customWidth="1" min="43" max="43" width="9.63"/>
    <col customWidth="1" min="47" max="47" width="35.13"/>
    <col customWidth="1" min="48" max="48" width="36.0"/>
    <col customWidth="1" min="49" max="49" width="16.75"/>
    <col customWidth="1" min="50" max="50" width="18.63"/>
    <col customWidth="1" min="51" max="51" width="33.75"/>
    <col customWidth="1" min="59" max="59" width="15.5"/>
    <col customWidth="1" min="68" max="68" width="20.63"/>
  </cols>
  <sheetData>
    <row r="1" ht="63.75" customHeight="1">
      <c r="A1" s="74" t="s">
        <v>2</v>
      </c>
      <c r="B1" s="75" t="s">
        <v>0</v>
      </c>
      <c r="C1" s="76" t="s">
        <v>1695</v>
      </c>
      <c r="D1" s="76" t="s">
        <v>3</v>
      </c>
      <c r="E1" s="74" t="s">
        <v>1696</v>
      </c>
      <c r="F1" s="76" t="s">
        <v>1697</v>
      </c>
      <c r="G1" s="74" t="s">
        <v>1698</v>
      </c>
      <c r="H1" s="74" t="s">
        <v>1699</v>
      </c>
      <c r="I1" s="74" t="s">
        <v>1700</v>
      </c>
      <c r="J1" s="75" t="s">
        <v>1701</v>
      </c>
      <c r="K1" s="77" t="s">
        <v>1702</v>
      </c>
      <c r="L1" s="77" t="s">
        <v>1703</v>
      </c>
      <c r="M1" s="75"/>
      <c r="N1" s="75" t="s">
        <v>1704</v>
      </c>
      <c r="O1" s="75" t="s">
        <v>1705</v>
      </c>
      <c r="P1" s="75" t="s">
        <v>1706</v>
      </c>
      <c r="Q1" s="75" t="s">
        <v>1707</v>
      </c>
      <c r="R1" s="75" t="s">
        <v>1708</v>
      </c>
      <c r="S1" s="74" t="s">
        <v>1709</v>
      </c>
      <c r="T1" s="75" t="s">
        <v>1710</v>
      </c>
      <c r="U1" s="78" t="s">
        <v>1711</v>
      </c>
      <c r="V1" s="76" t="s">
        <v>1712</v>
      </c>
      <c r="W1" s="79" t="s">
        <v>1713</v>
      </c>
      <c r="X1" s="75" t="s">
        <v>1714</v>
      </c>
      <c r="Y1" s="76" t="s">
        <v>1715</v>
      </c>
      <c r="Z1" s="76" t="s">
        <v>1716</v>
      </c>
      <c r="AA1" s="76" t="s">
        <v>1717</v>
      </c>
      <c r="AB1" s="76" t="s">
        <v>1718</v>
      </c>
      <c r="AC1" s="76" t="s">
        <v>1719</v>
      </c>
      <c r="AD1" s="76" t="s">
        <v>1720</v>
      </c>
      <c r="AE1" s="79" t="s">
        <v>1721</v>
      </c>
      <c r="AF1" s="80" t="s">
        <v>1722</v>
      </c>
      <c r="AG1" s="76" t="s">
        <v>1723</v>
      </c>
      <c r="AH1" s="76" t="s">
        <v>1724</v>
      </c>
      <c r="AI1" s="76" t="s">
        <v>1725</v>
      </c>
      <c r="AJ1" s="76" t="s">
        <v>1726</v>
      </c>
      <c r="AK1" s="76" t="s">
        <v>1727</v>
      </c>
      <c r="AL1" s="75" t="s">
        <v>1728</v>
      </c>
      <c r="AM1" s="76" t="s">
        <v>1729</v>
      </c>
      <c r="AN1" s="75" t="s">
        <v>1730</v>
      </c>
      <c r="AO1" s="76" t="s">
        <v>1731</v>
      </c>
      <c r="AP1" s="75" t="s">
        <v>1732</v>
      </c>
      <c r="AQ1" s="75" t="s">
        <v>1733</v>
      </c>
      <c r="AR1" s="75" t="s">
        <v>1734</v>
      </c>
      <c r="AS1" s="75" t="s">
        <v>1735</v>
      </c>
      <c r="AT1" s="75" t="s">
        <v>1736</v>
      </c>
      <c r="AU1" s="75" t="s">
        <v>1737</v>
      </c>
      <c r="AV1" s="75" t="s">
        <v>1738</v>
      </c>
      <c r="AW1" s="75" t="s">
        <v>1739</v>
      </c>
      <c r="AX1" s="75" t="s">
        <v>1740</v>
      </c>
      <c r="AY1" s="10" t="s">
        <v>1741</v>
      </c>
      <c r="AZ1" s="76" t="s">
        <v>1742</v>
      </c>
      <c r="BA1" s="76" t="s">
        <v>1743</v>
      </c>
      <c r="BB1" s="76" t="s">
        <v>1744</v>
      </c>
      <c r="BC1" s="76" t="s">
        <v>1745</v>
      </c>
      <c r="BD1" s="76" t="s">
        <v>1746</v>
      </c>
      <c r="BE1" s="76" t="s">
        <v>1747</v>
      </c>
      <c r="BF1" s="75" t="s">
        <v>1748</v>
      </c>
      <c r="BG1" s="75" t="s">
        <v>1749</v>
      </c>
      <c r="BH1" s="76" t="s">
        <v>1750</v>
      </c>
      <c r="BI1" s="75" t="s">
        <v>1751</v>
      </c>
      <c r="BJ1" s="75" t="s">
        <v>1752</v>
      </c>
      <c r="BK1" s="76" t="s">
        <v>1753</v>
      </c>
      <c r="BL1" s="74" t="s">
        <v>1754</v>
      </c>
      <c r="BM1" s="75" t="s">
        <v>1755</v>
      </c>
      <c r="BN1" s="76" t="s">
        <v>1756</v>
      </c>
      <c r="BO1" s="74" t="s">
        <v>1757</v>
      </c>
      <c r="BP1" s="75" t="s">
        <v>1758</v>
      </c>
      <c r="BQ1" s="74" t="s">
        <v>1759</v>
      </c>
      <c r="BR1" s="74" t="s">
        <v>1760</v>
      </c>
    </row>
    <row r="2">
      <c r="A2" s="16">
        <v>38.0</v>
      </c>
      <c r="B2" s="16" t="s">
        <v>544</v>
      </c>
      <c r="C2" s="53">
        <v>2.0</v>
      </c>
      <c r="D2" s="53" t="s">
        <v>549</v>
      </c>
      <c r="E2" s="7">
        <v>348.0</v>
      </c>
      <c r="F2" s="53"/>
      <c r="G2" s="7"/>
      <c r="H2" s="16">
        <v>1.0</v>
      </c>
      <c r="I2" s="81">
        <v>0.0</v>
      </c>
      <c r="J2" s="39" t="s">
        <v>35</v>
      </c>
      <c r="K2" s="53"/>
      <c r="L2" s="53"/>
      <c r="M2" s="39" t="str">
        <f t="shared" ref="M2:M1041" si="1">CONCATENATE("[",P2," ",N2," (",O2,")","]")</f>
        <v>[https://people.mpi-inf.mpg.de/~mehlhorn/ftp/mehlhorn3.pdf Melhorn's Approximation algorithm (1975)]</v>
      </c>
      <c r="N2" s="39" t="s">
        <v>1761</v>
      </c>
      <c r="O2" s="81">
        <v>1975.0</v>
      </c>
      <c r="P2" s="25" t="s">
        <v>1762</v>
      </c>
      <c r="Q2" s="82"/>
      <c r="R2" s="82"/>
      <c r="S2" s="82"/>
      <c r="T2" s="83">
        <v>0.0</v>
      </c>
      <c r="U2" s="83">
        <v>0.0</v>
      </c>
      <c r="V2" s="84">
        <v>3.0</v>
      </c>
      <c r="W2" s="85" t="s">
        <v>1763</v>
      </c>
      <c r="X2" s="16" t="s">
        <v>584</v>
      </c>
      <c r="Y2" s="53" t="s">
        <v>1764</v>
      </c>
      <c r="Z2" s="53" t="str">
        <f t="array" ref="Z2">INDEX(Problems!J:J, MATCH(1, (Problems!B:B=B2)*1, 0))</f>
        <v>n</v>
      </c>
      <c r="AA2" s="53"/>
      <c r="AB2" s="53"/>
      <c r="AC2" s="53"/>
      <c r="AD2" s="53"/>
      <c r="AE2" s="85">
        <f>IFERROR(__xludf.DUMMYFUNCTION("INDEX(SPLIT(SUBSTITUTE(AF2,CHAR(10), """"),"",:""), MATCH(Z2, SPLIT(SUBSTITUTE(AF2,CHAR(10), """"),"",:""), 0) + 1)"),3.0)</f>
        <v>3</v>
      </c>
      <c r="AF2" s="85" t="s">
        <v>1763</v>
      </c>
      <c r="AG2" s="53" t="s">
        <v>35</v>
      </c>
      <c r="AH2" s="86" t="s">
        <v>1765</v>
      </c>
      <c r="AI2" s="84">
        <v>0.0</v>
      </c>
      <c r="AJ2" s="84">
        <v>1.0</v>
      </c>
      <c r="AK2" s="87"/>
      <c r="AL2" s="81">
        <v>0.0</v>
      </c>
      <c r="AM2" s="87"/>
      <c r="AN2" s="81">
        <v>1.0</v>
      </c>
      <c r="AO2" s="21" t="s">
        <v>1766</v>
      </c>
      <c r="AP2" s="81">
        <v>0.0</v>
      </c>
      <c r="AQ2" s="81">
        <v>0.0</v>
      </c>
      <c r="AR2" s="39"/>
      <c r="AS2" s="81">
        <v>0.0</v>
      </c>
      <c r="AT2" s="81">
        <v>0.0</v>
      </c>
      <c r="AU2" s="39"/>
      <c r="AV2" s="7" t="s">
        <v>1767</v>
      </c>
      <c r="AW2" s="82"/>
      <c r="AX2" s="82"/>
      <c r="AY2" s="7"/>
      <c r="AZ2" s="7"/>
      <c r="BA2" s="7"/>
      <c r="BB2" s="7"/>
      <c r="BC2" s="7"/>
      <c r="BD2" s="7"/>
      <c r="BE2" s="7"/>
      <c r="BF2" s="7">
        <v>1000.0</v>
      </c>
      <c r="BG2" s="82"/>
      <c r="BH2" s="82"/>
      <c r="BI2" s="82"/>
      <c r="BJ2" s="82"/>
      <c r="BK2" s="82"/>
      <c r="BL2" s="82"/>
      <c r="BM2" s="82"/>
      <c r="BN2" s="7"/>
      <c r="BO2" s="7">
        <v>1.0</v>
      </c>
      <c r="BP2" s="82"/>
      <c r="BQ2" s="7"/>
      <c r="BR2" s="7" t="s">
        <v>23</v>
      </c>
    </row>
    <row r="3">
      <c r="A3" s="16">
        <v>38.0</v>
      </c>
      <c r="B3" s="16" t="s">
        <v>544</v>
      </c>
      <c r="C3" s="53">
        <v>2.0</v>
      </c>
      <c r="D3" s="53" t="s">
        <v>549</v>
      </c>
      <c r="E3" s="7">
        <v>350.0</v>
      </c>
      <c r="F3" s="53"/>
      <c r="G3" s="7"/>
      <c r="H3" s="16">
        <v>1.0</v>
      </c>
      <c r="I3" s="81">
        <v>0.0</v>
      </c>
      <c r="J3" s="39" t="s">
        <v>1768</v>
      </c>
      <c r="K3" s="53"/>
      <c r="L3" s="53"/>
      <c r="M3" s="39" t="str">
        <f t="shared" si="1"/>
        <v>[https://citeseerx.ist.psu.edu/viewdoc/download?doi=10.1.1.54.6940&amp;rep=rep1&amp;type=pdf Karpinski (1996)]</v>
      </c>
      <c r="N3" s="16" t="s">
        <v>1769</v>
      </c>
      <c r="O3" s="88">
        <v>1996.0</v>
      </c>
      <c r="P3" s="25" t="s">
        <v>1770</v>
      </c>
      <c r="Q3" s="82"/>
      <c r="R3" s="82"/>
      <c r="S3" s="82"/>
      <c r="T3" s="83">
        <v>0.0</v>
      </c>
      <c r="U3" s="83">
        <v>0.0</v>
      </c>
      <c r="V3" s="84">
        <v>2.6</v>
      </c>
      <c r="W3" s="85" t="s">
        <v>1771</v>
      </c>
      <c r="X3" s="16" t="s">
        <v>1772</v>
      </c>
      <c r="Y3" s="53" t="s">
        <v>1773</v>
      </c>
      <c r="Z3" s="53" t="str">
        <f t="array" ref="Z3">INDEX(Problems!J:J, MATCH(1, (Problems!B:B=B3)*1, 0))</f>
        <v>n</v>
      </c>
      <c r="AA3" s="53"/>
      <c r="AB3" s="53"/>
      <c r="AC3" s="53"/>
      <c r="AD3" s="53"/>
      <c r="AE3" s="85">
        <f>IFERROR(__xludf.DUMMYFUNCTION("INDEX(SPLIT(SUBSTITUTE(AF3,CHAR(10), """"),"",:""), MATCH(Z3, SPLIT(SUBSTITUTE(AF3,CHAR(10), """"),"",:""), 0) + 1)"),1.0)</f>
        <v>1</v>
      </c>
      <c r="AF3" s="85" t="s">
        <v>1774</v>
      </c>
      <c r="AG3" s="53" t="s">
        <v>34</v>
      </c>
      <c r="AH3" s="53" t="s">
        <v>1775</v>
      </c>
      <c r="AI3" s="84">
        <v>1.0</v>
      </c>
      <c r="AJ3" s="84">
        <v>0.0</v>
      </c>
      <c r="AK3" s="87"/>
      <c r="AL3" s="81">
        <v>0.0</v>
      </c>
      <c r="AM3" s="87"/>
      <c r="AN3" s="81">
        <v>1.0</v>
      </c>
      <c r="AO3" s="21" t="s">
        <v>1776</v>
      </c>
      <c r="AP3" s="81">
        <v>0.0</v>
      </c>
      <c r="AQ3" s="83">
        <v>1.0</v>
      </c>
      <c r="AR3" s="16" t="s">
        <v>22</v>
      </c>
      <c r="AS3" s="81">
        <v>0.0</v>
      </c>
      <c r="AT3" s="81">
        <v>0.0</v>
      </c>
      <c r="AU3" s="39"/>
      <c r="AV3" s="7" t="s">
        <v>1767</v>
      </c>
      <c r="AW3" s="82"/>
      <c r="AX3" s="82"/>
      <c r="AY3" s="7"/>
      <c r="AZ3" s="7"/>
      <c r="BA3" s="7"/>
      <c r="BB3" s="7"/>
      <c r="BC3" s="7"/>
      <c r="BD3" s="7"/>
      <c r="BE3" s="7"/>
      <c r="BF3" s="7">
        <v>63.0</v>
      </c>
      <c r="BG3" s="82"/>
      <c r="BH3" s="82"/>
      <c r="BI3" s="82"/>
      <c r="BJ3" s="82"/>
      <c r="BK3" s="82"/>
      <c r="BL3" s="82"/>
      <c r="BM3" s="82"/>
      <c r="BN3" s="7"/>
      <c r="BO3" s="7">
        <v>1.0</v>
      </c>
      <c r="BP3" s="82"/>
      <c r="BQ3" s="7"/>
      <c r="BR3" s="7" t="s">
        <v>23</v>
      </c>
    </row>
    <row r="4">
      <c r="A4" s="16">
        <v>38.0</v>
      </c>
      <c r="B4" s="16" t="s">
        <v>544</v>
      </c>
      <c r="C4" s="53">
        <v>2.0</v>
      </c>
      <c r="D4" s="53" t="s">
        <v>554</v>
      </c>
      <c r="E4" s="7">
        <v>351.0</v>
      </c>
      <c r="F4" s="53"/>
      <c r="G4" s="7"/>
      <c r="H4" s="16">
        <v>1.0</v>
      </c>
      <c r="I4" s="88">
        <v>1.0</v>
      </c>
      <c r="J4" s="39" t="s">
        <v>35</v>
      </c>
      <c r="K4" s="53"/>
      <c r="L4" s="53"/>
      <c r="M4" s="39" t="str">
        <f t="shared" si="1"/>
        <v>[https://epubs.siam.org/doi/abs/10.1137/S0895480193256651?journalCode=sjdmec Klawe; Mumey (1993)]</v>
      </c>
      <c r="N4" s="16" t="s">
        <v>1777</v>
      </c>
      <c r="O4" s="81">
        <v>1993.0</v>
      </c>
      <c r="P4" s="17" t="s">
        <v>1778</v>
      </c>
      <c r="Q4" s="82"/>
      <c r="R4" s="82"/>
      <c r="S4" s="82"/>
      <c r="T4" s="83">
        <v>0.0</v>
      </c>
      <c r="U4" s="83">
        <v>0.0</v>
      </c>
      <c r="V4" s="89">
        <f>IFERROR(__xludf.DUMMYFUNCTION("INDEX(SPLIT(SUBSTITUTE(W4,CHAR(10), """"),"",:""), MATCH(Z4, SPLIT(SUBSTITUTE(W4,CHAR(10), """"),"",:""), 0) + 1)"),3.0)</f>
        <v>3</v>
      </c>
      <c r="W4" s="85" t="s">
        <v>1763</v>
      </c>
      <c r="X4" s="39" t="s">
        <v>35</v>
      </c>
      <c r="Y4" s="53" t="s">
        <v>1773</v>
      </c>
      <c r="Z4" s="53" t="str">
        <f t="array" ref="Z4">INDEX(Problems!J:J, MATCH(1, (Problems!B:B=B4)*1, 0))</f>
        <v>n</v>
      </c>
      <c r="AA4" s="53"/>
      <c r="AB4" s="53"/>
      <c r="AC4" s="53"/>
      <c r="AD4" s="53"/>
      <c r="AE4" s="85">
        <f>IFERROR(__xludf.DUMMYFUNCTION("INDEX(SPLIT(SUBSTITUTE(AF4,CHAR(10), """"),"",:""), MATCH(Z4, SPLIT(SUBSTITUTE(AF4,CHAR(10), """"),"",:""), 0) + 1)"),3.0)</f>
        <v>3</v>
      </c>
      <c r="AF4" s="85" t="s">
        <v>1763</v>
      </c>
      <c r="AG4" s="53" t="s">
        <v>35</v>
      </c>
      <c r="AH4" s="53" t="s">
        <v>1779</v>
      </c>
      <c r="AI4" s="84">
        <v>1.0</v>
      </c>
      <c r="AJ4" s="84">
        <v>0.0</v>
      </c>
      <c r="AK4" s="87"/>
      <c r="AL4" s="81">
        <v>0.0</v>
      </c>
      <c r="AM4" s="84"/>
      <c r="AN4" s="88">
        <v>0.0</v>
      </c>
      <c r="AO4" s="90"/>
      <c r="AP4" s="83">
        <v>0.0</v>
      </c>
      <c r="AQ4" s="81">
        <v>0.0</v>
      </c>
      <c r="AR4" s="39"/>
      <c r="AS4" s="81">
        <v>0.0</v>
      </c>
      <c r="AT4" s="81">
        <v>0.0</v>
      </c>
      <c r="AU4" s="39"/>
      <c r="AV4" s="7" t="s">
        <v>1767</v>
      </c>
      <c r="AW4" s="82"/>
      <c r="AX4" s="7" t="s">
        <v>1780</v>
      </c>
      <c r="AY4" s="7"/>
      <c r="AZ4" s="7"/>
      <c r="BA4" s="7"/>
      <c r="BB4" s="7"/>
      <c r="BC4" s="7"/>
      <c r="BD4" s="7"/>
      <c r="BE4" s="7"/>
      <c r="BF4" s="7">
        <v>1000.0</v>
      </c>
      <c r="BG4" s="7" t="s">
        <v>1781</v>
      </c>
      <c r="BH4" s="7"/>
      <c r="BI4" s="7">
        <v>1000000.0</v>
      </c>
      <c r="BJ4" s="7" t="s">
        <v>1781</v>
      </c>
      <c r="BK4" s="7"/>
      <c r="BL4" s="7">
        <v>1.0E9</v>
      </c>
      <c r="BM4" s="7" t="s">
        <v>1781</v>
      </c>
      <c r="BN4" s="7"/>
      <c r="BO4" s="7">
        <v>1.0</v>
      </c>
      <c r="BP4" s="82"/>
      <c r="BQ4" s="7"/>
      <c r="BR4" s="7" t="s">
        <v>23</v>
      </c>
    </row>
    <row r="5">
      <c r="A5" s="16">
        <v>38.0</v>
      </c>
      <c r="B5" s="16" t="s">
        <v>544</v>
      </c>
      <c r="C5" s="53">
        <v>2.0</v>
      </c>
      <c r="D5" s="53" t="s">
        <v>549</v>
      </c>
      <c r="E5" s="7">
        <v>352.0</v>
      </c>
      <c r="F5" s="53"/>
      <c r="G5" s="7"/>
      <c r="H5" s="16">
        <v>1.0</v>
      </c>
      <c r="I5" s="16">
        <v>0.0</v>
      </c>
      <c r="J5" s="39" t="s">
        <v>1782</v>
      </c>
      <c r="K5" s="53"/>
      <c r="L5" s="53"/>
      <c r="M5" s="39" t="str">
        <f t="shared" si="1"/>
        <v>[https://www.sciencedirect.com/science/article/pii/0196677487900526 Larmore (1987)]</v>
      </c>
      <c r="N5" s="16" t="s">
        <v>1783</v>
      </c>
      <c r="O5" s="81">
        <v>1987.0</v>
      </c>
      <c r="P5" s="17" t="s">
        <v>1784</v>
      </c>
      <c r="Q5" s="82"/>
      <c r="R5" s="82"/>
      <c r="S5" s="82"/>
      <c r="T5" s="83">
        <v>0.0</v>
      </c>
      <c r="U5" s="83">
        <v>0.0</v>
      </c>
      <c r="V5" s="84">
        <v>4.6</v>
      </c>
      <c r="W5" s="85" t="s">
        <v>1785</v>
      </c>
      <c r="X5" s="16" t="s">
        <v>1786</v>
      </c>
      <c r="Y5" s="53" t="s">
        <v>1773</v>
      </c>
      <c r="Z5" s="53" t="str">
        <f t="array" ref="Z5">INDEX(Problems!J:J, MATCH(1, (Problems!B:B=B5)*1, 0))</f>
        <v>n</v>
      </c>
      <c r="AA5" s="53"/>
      <c r="AB5" s="53"/>
      <c r="AC5" s="53"/>
      <c r="AD5" s="53"/>
      <c r="AE5" s="85">
        <f>IFERROR(__xludf.DUMMYFUNCTION("INDEX(SPLIT(SUBSTITUTE(AF5,CHAR(10), """"),"",:""), MATCH(Z5, SPLIT(SUBSTITUTE(AF5,CHAR(10), """"),"",:""), 0) + 1)"),3.0)</f>
        <v>3</v>
      </c>
      <c r="AF5" s="85" t="s">
        <v>1763</v>
      </c>
      <c r="AG5" s="53" t="s">
        <v>35</v>
      </c>
      <c r="AH5" s="53" t="s">
        <v>1787</v>
      </c>
      <c r="AI5" s="84">
        <v>1.0</v>
      </c>
      <c r="AJ5" s="84">
        <v>0.0</v>
      </c>
      <c r="AK5" s="87"/>
      <c r="AL5" s="81">
        <v>0.0</v>
      </c>
      <c r="AM5" s="87"/>
      <c r="AN5" s="81">
        <v>1.0</v>
      </c>
      <c r="AO5" s="21" t="s">
        <v>1776</v>
      </c>
      <c r="AP5" s="81">
        <v>0.0</v>
      </c>
      <c r="AQ5" s="81">
        <v>0.0</v>
      </c>
      <c r="AR5" s="39"/>
      <c r="AS5" s="81">
        <v>0.0</v>
      </c>
      <c r="AT5" s="81">
        <v>0.0</v>
      </c>
      <c r="AU5" s="39"/>
      <c r="AV5" s="7" t="s">
        <v>1767</v>
      </c>
      <c r="AW5" s="82"/>
      <c r="AX5" s="82"/>
      <c r="AY5" s="7"/>
      <c r="AZ5" s="7"/>
      <c r="BA5" s="7"/>
      <c r="BB5" s="7"/>
      <c r="BC5" s="7"/>
      <c r="BD5" s="7"/>
      <c r="BE5" s="7"/>
      <c r="BF5" s="7">
        <v>63095.0</v>
      </c>
      <c r="BG5" s="82"/>
      <c r="BH5" s="82"/>
      <c r="BI5" s="82"/>
      <c r="BJ5" s="82"/>
      <c r="BK5" s="82"/>
      <c r="BL5" s="82"/>
      <c r="BM5" s="82"/>
      <c r="BN5" s="7"/>
      <c r="BO5" s="7">
        <v>1.0</v>
      </c>
      <c r="BP5" s="82"/>
      <c r="BQ5" s="7"/>
      <c r="BR5" s="7" t="s">
        <v>23</v>
      </c>
    </row>
    <row r="6">
      <c r="A6" s="16">
        <v>49.0</v>
      </c>
      <c r="B6" s="16" t="s">
        <v>629</v>
      </c>
      <c r="C6" s="53">
        <v>2.0</v>
      </c>
      <c r="D6" s="53" t="s">
        <v>636</v>
      </c>
      <c r="E6" s="7">
        <v>419.0</v>
      </c>
      <c r="F6" s="53"/>
      <c r="G6" s="7"/>
      <c r="H6" s="16">
        <v>1.0</v>
      </c>
      <c r="I6" s="16">
        <v>0.0</v>
      </c>
      <c r="J6" s="39" t="s">
        <v>1788</v>
      </c>
      <c r="K6" s="53"/>
      <c r="L6" s="53"/>
      <c r="M6" s="39" t="str">
        <f t="shared" si="1"/>
        <v>[https://doi.org/10.1109/TPAMI.2018.2889473 Hierarchical Navigable Small World (HNSW) (2018)]</v>
      </c>
      <c r="N6" s="16" t="s">
        <v>1789</v>
      </c>
      <c r="O6" s="83">
        <v>2018.0</v>
      </c>
      <c r="P6" s="25" t="s">
        <v>1790</v>
      </c>
      <c r="Q6" s="82"/>
      <c r="R6" s="82"/>
      <c r="S6" s="82"/>
      <c r="T6" s="16">
        <v>0.0</v>
      </c>
      <c r="U6" s="16">
        <v>0.0</v>
      </c>
      <c r="V6" s="84">
        <v>4.0</v>
      </c>
      <c r="W6" s="85" t="s">
        <v>1791</v>
      </c>
      <c r="X6" s="39" t="s">
        <v>1788</v>
      </c>
      <c r="Y6" s="53" t="s">
        <v>1792</v>
      </c>
      <c r="Z6" s="53" t="str">
        <f t="array" ref="Z6">INDEX(Problems!J:J, MATCH(1, (Problems!B:B=B6)*1, 0))</f>
        <v>n</v>
      </c>
      <c r="AA6" s="53"/>
      <c r="AB6" s="53"/>
      <c r="AC6" s="53"/>
      <c r="AD6" s="53" t="s">
        <v>1793</v>
      </c>
      <c r="AE6" s="85">
        <f>IFERROR(__xludf.DUMMYFUNCTION("INDEX(SPLIT(SUBSTITUTE(AF6,CHAR(10), """"),"",:""), MATCH(Z6, SPLIT(SUBSTITUTE(AF6,CHAR(10), """"),"",:""), 0) + 1)"),1.0)</f>
        <v>1</v>
      </c>
      <c r="AF6" s="85" t="s">
        <v>1794</v>
      </c>
      <c r="AG6" s="53" t="s">
        <v>1795</v>
      </c>
      <c r="AH6" s="86" t="s">
        <v>1796</v>
      </c>
      <c r="AI6" s="21">
        <v>0.0</v>
      </c>
      <c r="AJ6" s="84">
        <v>1.0</v>
      </c>
      <c r="AK6" s="21"/>
      <c r="AL6" s="16">
        <v>0.0</v>
      </c>
      <c r="AM6" s="21"/>
      <c r="AN6" s="16">
        <v>1.0</v>
      </c>
      <c r="AO6" s="21" t="s">
        <v>1797</v>
      </c>
      <c r="AP6" s="16">
        <v>1.0</v>
      </c>
      <c r="AQ6" s="16">
        <v>0.0</v>
      </c>
      <c r="AR6" s="39"/>
      <c r="AS6" s="81">
        <v>0.0</v>
      </c>
      <c r="AT6" s="81">
        <v>0.0</v>
      </c>
      <c r="AU6" s="82"/>
      <c r="AV6" s="82"/>
      <c r="AW6" s="82"/>
      <c r="AX6" s="82"/>
      <c r="AY6" s="7"/>
      <c r="AZ6" s="7"/>
      <c r="BA6" s="7"/>
      <c r="BB6" s="7"/>
      <c r="BC6" s="7"/>
      <c r="BD6" s="7"/>
      <c r="BE6" s="7"/>
      <c r="BF6" s="7">
        <v>9965.0</v>
      </c>
      <c r="BG6" s="82"/>
      <c r="BH6" s="82"/>
      <c r="BI6" s="82"/>
      <c r="BJ6" s="82"/>
      <c r="BK6" s="82"/>
      <c r="BL6" s="82"/>
      <c r="BM6" s="82"/>
      <c r="BN6" s="7"/>
      <c r="BO6" s="7">
        <v>4.0</v>
      </c>
      <c r="BP6" s="82"/>
      <c r="BQ6" s="7"/>
      <c r="BR6" s="7" t="s">
        <v>23</v>
      </c>
    </row>
    <row r="7">
      <c r="A7" s="16">
        <v>49.0</v>
      </c>
      <c r="B7" s="16" t="s">
        <v>629</v>
      </c>
      <c r="C7" s="53">
        <v>2.0</v>
      </c>
      <c r="D7" s="53" t="s">
        <v>636</v>
      </c>
      <c r="E7" s="7">
        <v>420.0</v>
      </c>
      <c r="F7" s="53"/>
      <c r="G7" s="7"/>
      <c r="H7" s="16">
        <v>1.0</v>
      </c>
      <c r="I7" s="16">
        <v>0.0</v>
      </c>
      <c r="J7" s="21" t="s">
        <v>1798</v>
      </c>
      <c r="K7" s="53"/>
      <c r="L7" s="53"/>
      <c r="M7" s="39" t="str">
        <f t="shared" si="1"/>
        <v>[http://infolab.stanford.edu/~ullman/mmds/ch3n.pdf Locality-sensitive hashing (2010)]</v>
      </c>
      <c r="N7" s="16" t="s">
        <v>1799</v>
      </c>
      <c r="O7" s="83">
        <v>2010.0</v>
      </c>
      <c r="P7" s="25" t="s">
        <v>1800</v>
      </c>
      <c r="Q7" s="82"/>
      <c r="R7" s="82"/>
      <c r="S7" s="82"/>
      <c r="T7" s="16">
        <v>0.0</v>
      </c>
      <c r="U7" s="16">
        <v>0.0</v>
      </c>
      <c r="V7" s="84">
        <v>3.0</v>
      </c>
      <c r="W7" s="85" t="s">
        <v>1801</v>
      </c>
      <c r="X7" s="21" t="s">
        <v>1802</v>
      </c>
      <c r="Y7" s="53" t="s">
        <v>1803</v>
      </c>
      <c r="Z7" s="53" t="str">
        <f t="array" ref="Z7">INDEX(Problems!J:J, MATCH(1, (Problems!B:B=B7)*1, 0))</f>
        <v>n</v>
      </c>
      <c r="AA7" s="53"/>
      <c r="AB7" s="53"/>
      <c r="AC7" s="53"/>
      <c r="AD7" s="53" t="s">
        <v>1804</v>
      </c>
      <c r="AE7" s="85">
        <f>IFERROR(__xludf.DUMMYFUNCTION("INDEX(SPLIT(SUBSTITUTE(AF7,CHAR(10), """"),"",:""), MATCH(Z7, SPLIT(SUBSTITUTE(AF7,CHAR(10), """"),"",:""), 0) + 1)"),3.0)</f>
        <v>3</v>
      </c>
      <c r="AF7" s="85" t="s">
        <v>1805</v>
      </c>
      <c r="AG7" s="53" t="s">
        <v>1806</v>
      </c>
      <c r="AH7" s="91" t="s">
        <v>1807</v>
      </c>
      <c r="AI7" s="21">
        <v>0.0</v>
      </c>
      <c r="AJ7" s="84">
        <v>0.0</v>
      </c>
      <c r="AK7" s="21"/>
      <c r="AL7" s="16">
        <v>0.0</v>
      </c>
      <c r="AM7" s="21"/>
      <c r="AN7" s="16">
        <v>1.0</v>
      </c>
      <c r="AO7" s="21" t="s">
        <v>1808</v>
      </c>
      <c r="AP7" s="16">
        <v>0.0</v>
      </c>
      <c r="AQ7" s="16">
        <v>0.0</v>
      </c>
      <c r="AR7" s="39"/>
      <c r="AS7" s="81">
        <v>0.0</v>
      </c>
      <c r="AT7" s="81">
        <v>0.0</v>
      </c>
      <c r="AU7" s="47" t="s">
        <v>1807</v>
      </c>
      <c r="AV7" s="82"/>
      <c r="AW7" s="82"/>
      <c r="AX7" s="82"/>
      <c r="AY7" s="7"/>
      <c r="AZ7" s="7"/>
      <c r="BA7" s="7"/>
      <c r="BB7" s="7"/>
      <c r="BC7" s="7"/>
      <c r="BD7" s="7"/>
      <c r="BE7" s="7"/>
      <c r="BF7" s="7">
        <v>9965.0</v>
      </c>
      <c r="BG7" s="82"/>
      <c r="BH7" s="82"/>
      <c r="BI7" s="82"/>
      <c r="BJ7" s="82"/>
      <c r="BK7" s="82"/>
      <c r="BL7" s="82"/>
      <c r="BM7" s="82"/>
      <c r="BN7" s="7"/>
      <c r="BO7" s="7">
        <v>4.0</v>
      </c>
      <c r="BP7" s="82"/>
      <c r="BQ7" s="7"/>
      <c r="BR7" s="7" t="s">
        <v>23</v>
      </c>
    </row>
    <row r="8">
      <c r="A8" s="16">
        <v>49.0</v>
      </c>
      <c r="B8" s="16" t="s">
        <v>629</v>
      </c>
      <c r="C8" s="53">
        <v>2.0</v>
      </c>
      <c r="D8" s="53" t="s">
        <v>639</v>
      </c>
      <c r="E8" s="7">
        <v>421.0</v>
      </c>
      <c r="F8" s="53"/>
      <c r="G8" s="7"/>
      <c r="H8" s="16">
        <v>1.0</v>
      </c>
      <c r="I8" s="16">
        <v>0.0</v>
      </c>
      <c r="J8" s="21" t="s">
        <v>192</v>
      </c>
      <c r="K8" s="53"/>
      <c r="L8" s="53"/>
      <c r="M8" s="39" t="str">
        <f t="shared" si="1"/>
        <v>[http://www.araa.asn.au/acra/acra2013/papers/pap148s1-file1.pdf Projected radial search (2013)]</v>
      </c>
      <c r="N8" s="16" t="s">
        <v>1809</v>
      </c>
      <c r="O8" s="83">
        <v>2013.0</v>
      </c>
      <c r="P8" s="25" t="s">
        <v>1810</v>
      </c>
      <c r="Q8" s="82"/>
      <c r="R8" s="82"/>
      <c r="S8" s="82"/>
      <c r="T8" s="16">
        <v>0.0</v>
      </c>
      <c r="U8" s="16">
        <v>0.0</v>
      </c>
      <c r="V8" s="84">
        <v>3.0</v>
      </c>
      <c r="W8" s="85" t="s">
        <v>1811</v>
      </c>
      <c r="X8" s="21" t="s">
        <v>192</v>
      </c>
      <c r="Y8" s="53" t="s">
        <v>1812</v>
      </c>
      <c r="Z8" s="53" t="str">
        <f t="array" ref="Z8">INDEX(Problems!J:J, MATCH(1, (Problems!B:B=B8)*1, 0))</f>
        <v>n</v>
      </c>
      <c r="AA8" s="53"/>
      <c r="AB8" s="53"/>
      <c r="AC8" s="53" t="s">
        <v>1813</v>
      </c>
      <c r="AD8" s="53" t="s">
        <v>1814</v>
      </c>
      <c r="AE8" s="85">
        <f>IFERROR(__xludf.DUMMYFUNCTION("INDEX(SPLIT(SUBSTITUTE(AF8,CHAR(10), """"),"",:""), MATCH(Z8, SPLIT(SUBSTITUTE(AF8,CHAR(10), """"),"",:""), 0) + 1)"),1.0)</f>
        <v>1</v>
      </c>
      <c r="AF8" s="85" t="s">
        <v>1774</v>
      </c>
      <c r="AG8" s="53" t="s">
        <v>34</v>
      </c>
      <c r="AH8" s="53" t="s">
        <v>1815</v>
      </c>
      <c r="AI8" s="21">
        <v>1.0</v>
      </c>
      <c r="AJ8" s="84">
        <v>0.0</v>
      </c>
      <c r="AK8" s="21"/>
      <c r="AL8" s="16">
        <v>0.0</v>
      </c>
      <c r="AM8" s="21"/>
      <c r="AN8" s="16">
        <v>1.0</v>
      </c>
      <c r="AO8" s="21" t="s">
        <v>1182</v>
      </c>
      <c r="AP8" s="16">
        <v>0.0</v>
      </c>
      <c r="AQ8" s="16">
        <v>0.0</v>
      </c>
      <c r="AR8" s="39"/>
      <c r="AS8" s="81">
        <v>0.0</v>
      </c>
      <c r="AT8" s="81">
        <v>0.0</v>
      </c>
      <c r="AU8" s="82"/>
      <c r="AV8" s="82"/>
      <c r="AW8" s="82"/>
      <c r="AX8" s="82"/>
      <c r="AY8" s="7"/>
      <c r="AZ8" s="7"/>
      <c r="BA8" s="7"/>
      <c r="BB8" s="7"/>
      <c r="BC8" s="7"/>
      <c r="BD8" s="7"/>
      <c r="BE8" s="7"/>
      <c r="BF8" s="7">
        <v>1000.0</v>
      </c>
      <c r="BG8" s="82"/>
      <c r="BH8" s="82"/>
      <c r="BI8" s="82"/>
      <c r="BJ8" s="82"/>
      <c r="BK8" s="82"/>
      <c r="BL8" s="82"/>
      <c r="BM8" s="82"/>
      <c r="BN8" s="7"/>
      <c r="BO8" s="7">
        <v>4.0</v>
      </c>
      <c r="BP8" s="82"/>
      <c r="BQ8" s="7"/>
      <c r="BR8" s="7" t="s">
        <v>23</v>
      </c>
    </row>
    <row r="9">
      <c r="A9" s="16">
        <v>49.0</v>
      </c>
      <c r="B9" s="16" t="s">
        <v>629</v>
      </c>
      <c r="C9" s="53">
        <v>2.0</v>
      </c>
      <c r="D9" s="53" t="s">
        <v>636</v>
      </c>
      <c r="E9" s="7">
        <v>422.0</v>
      </c>
      <c r="F9" s="53"/>
      <c r="G9" s="7"/>
      <c r="H9" s="16">
        <v>1.0</v>
      </c>
      <c r="I9" s="16">
        <v>0.0</v>
      </c>
      <c r="J9" s="53" t="s">
        <v>1816</v>
      </c>
      <c r="K9" s="53"/>
      <c r="L9" s="53"/>
      <c r="M9" s="39" t="str">
        <f t="shared" si="1"/>
        <v>[ Compression/Clustering [Vector Quantization] (1992)]</v>
      </c>
      <c r="N9" s="39" t="s">
        <v>1817</v>
      </c>
      <c r="O9" s="81">
        <v>1992.0</v>
      </c>
      <c r="P9" s="16"/>
      <c r="Q9" s="82"/>
      <c r="R9" s="82"/>
      <c r="S9" s="82"/>
      <c r="T9" s="16">
        <v>1.0</v>
      </c>
      <c r="U9" s="16" t="s">
        <v>1818</v>
      </c>
      <c r="V9" s="92">
        <v>3.0</v>
      </c>
      <c r="W9" s="93" t="s">
        <v>1763</v>
      </c>
      <c r="X9" s="53" t="s">
        <v>1816</v>
      </c>
      <c r="Y9" s="53" t="s">
        <v>1773</v>
      </c>
      <c r="Z9" s="53" t="str">
        <f t="array" ref="Z9">INDEX(Problems!J:J, MATCH(1, (Problems!B:B=B9)*1, 0))</f>
        <v>n</v>
      </c>
      <c r="AA9" s="53"/>
      <c r="AB9" s="53"/>
      <c r="AC9" s="53"/>
      <c r="AD9" s="53"/>
      <c r="AE9" s="85" t="str">
        <f>IFERROR(__xludf.DUMMYFUNCTION("INDEX(SPLIT(SUBSTITUTE(AF9,CHAR(10), """"),"",:""), MATCH(Z9, SPLIT(SUBSTITUTE(AF9,CHAR(10), """"),"",:""), 0) + 1)"),"#VALUE!")</f>
        <v>#VALUE!</v>
      </c>
      <c r="AF9" s="85"/>
      <c r="AG9" s="53" t="s">
        <v>1816</v>
      </c>
      <c r="AH9" s="94" t="s">
        <v>1819</v>
      </c>
      <c r="AI9" s="21">
        <v>0.0</v>
      </c>
      <c r="AJ9" s="84">
        <v>0.0</v>
      </c>
      <c r="AK9" s="21"/>
      <c r="AL9" s="16">
        <v>0.0</v>
      </c>
      <c r="AM9" s="21"/>
      <c r="AN9" s="16">
        <v>1.0</v>
      </c>
      <c r="AO9" s="90"/>
      <c r="AP9" s="16">
        <v>0.0</v>
      </c>
      <c r="AQ9" s="16">
        <v>0.0</v>
      </c>
      <c r="AR9" s="39"/>
      <c r="AS9" s="81">
        <v>0.0</v>
      </c>
      <c r="AT9" s="81">
        <v>0.0</v>
      </c>
      <c r="AU9" s="82"/>
      <c r="AV9" s="82"/>
      <c r="AW9" s="82"/>
      <c r="AX9" s="82"/>
      <c r="AY9" s="7"/>
      <c r="AZ9" s="7"/>
      <c r="BA9" s="7"/>
      <c r="BB9" s="7"/>
      <c r="BC9" s="7"/>
      <c r="BD9" s="7"/>
      <c r="BE9" s="7"/>
      <c r="BF9" s="7">
        <v>1000.0</v>
      </c>
      <c r="BG9" s="82"/>
      <c r="BH9" s="82"/>
      <c r="BI9" s="82"/>
      <c r="BJ9" s="82"/>
      <c r="BK9" s="82"/>
      <c r="BL9" s="82"/>
      <c r="BM9" s="82"/>
      <c r="BN9" s="7"/>
      <c r="BO9" s="7">
        <v>4.0</v>
      </c>
      <c r="BP9" s="82"/>
      <c r="BQ9" s="7"/>
      <c r="BR9" s="7" t="s">
        <v>23</v>
      </c>
    </row>
    <row r="10">
      <c r="A10" s="16">
        <v>66.0</v>
      </c>
      <c r="B10" s="16" t="s">
        <v>775</v>
      </c>
      <c r="C10" s="53">
        <v>2.0</v>
      </c>
      <c r="D10" s="53" t="s">
        <v>776</v>
      </c>
      <c r="E10" s="7">
        <v>546.0</v>
      </c>
      <c r="F10" s="53"/>
      <c r="G10" s="7"/>
      <c r="H10" s="16">
        <v>1.0</v>
      </c>
      <c r="I10" s="95">
        <v>1.0</v>
      </c>
      <c r="J10" s="39" t="s">
        <v>1820</v>
      </c>
      <c r="K10" s="53"/>
      <c r="L10" s="53"/>
      <c r="M10" s="39" t="str">
        <f t="shared" si="1"/>
        <v>[https://link.springer.com/article/10.1007/s00453-002-0989-y Pisinger (2003)]</v>
      </c>
      <c r="N10" s="16" t="s">
        <v>1821</v>
      </c>
      <c r="O10" s="81">
        <v>2003.0</v>
      </c>
      <c r="P10" s="25" t="s">
        <v>1822</v>
      </c>
      <c r="Q10" s="82"/>
      <c r="R10" s="82"/>
      <c r="S10" s="82"/>
      <c r="T10" s="16">
        <v>0.0</v>
      </c>
      <c r="U10" s="16">
        <v>0.0</v>
      </c>
      <c r="V10" s="89">
        <f>IFERROR(__xludf.DUMMYFUNCTION("INDEX(SPLIT(SUBSTITUTE(W10,CHAR(10), """"),"",:""), MATCH(Z10, SPLIT(SUBSTITUTE(W10,CHAR(10), """"),"",:""), 0) + 1)"),3.0)</f>
        <v>3</v>
      </c>
      <c r="W10" s="85" t="s">
        <v>1823</v>
      </c>
      <c r="X10" s="39" t="s">
        <v>1820</v>
      </c>
      <c r="Y10" s="53" t="s">
        <v>1824</v>
      </c>
      <c r="Z10" s="53" t="str">
        <f t="array" ref="Z10">INDEX(Problems!J:J, MATCH(1, (Problems!B:B=B10)*1, 0))</f>
        <v>n</v>
      </c>
      <c r="AA10" s="53"/>
      <c r="AB10" s="53"/>
      <c r="AC10" s="53" t="s">
        <v>1813</v>
      </c>
      <c r="AD10" s="53" t="s">
        <v>1814</v>
      </c>
      <c r="AE10" s="85">
        <f>IFERROR(__xludf.DUMMYFUNCTION("INDEX(SPLIT(SUBSTITUTE(AF10,CHAR(10), """"),"",:""), MATCH(Z10, SPLIT(SUBSTITUTE(AF10,CHAR(10), """"),"",:""), 0) + 1)"),1.0)</f>
        <v>1</v>
      </c>
      <c r="AF10" s="85" t="s">
        <v>1825</v>
      </c>
      <c r="AG10" s="53" t="s">
        <v>1826</v>
      </c>
      <c r="AH10" s="91" t="s">
        <v>1822</v>
      </c>
      <c r="AI10" s="21">
        <v>0.0</v>
      </c>
      <c r="AJ10" s="84">
        <v>1.0</v>
      </c>
      <c r="AK10" s="21"/>
      <c r="AL10" s="16">
        <v>0.0</v>
      </c>
      <c r="AM10" s="21"/>
      <c r="AN10" s="95">
        <v>0.0</v>
      </c>
      <c r="AO10" s="90"/>
      <c r="AP10" s="81">
        <v>0.0</v>
      </c>
      <c r="AQ10" s="81">
        <v>0.0</v>
      </c>
      <c r="AR10" s="39"/>
      <c r="AS10" s="81">
        <v>0.0</v>
      </c>
      <c r="AT10" s="81">
        <v>0.0</v>
      </c>
      <c r="AU10" s="39"/>
      <c r="AV10" s="82"/>
      <c r="AW10" s="82"/>
      <c r="AX10" s="82"/>
      <c r="AY10" s="7"/>
      <c r="AZ10" s="82"/>
      <c r="BA10" s="82"/>
      <c r="BB10" s="82"/>
      <c r="BC10" s="82"/>
      <c r="BD10" s="82"/>
      <c r="BE10" s="82"/>
      <c r="BF10" s="82"/>
      <c r="BG10" s="82"/>
      <c r="BH10" s="82"/>
      <c r="BI10" s="82"/>
      <c r="BJ10" s="82"/>
      <c r="BK10" s="82"/>
      <c r="BL10" s="82"/>
      <c r="BM10" s="82"/>
      <c r="BN10" s="7"/>
      <c r="BO10" s="7">
        <v>1.0</v>
      </c>
      <c r="BP10" s="7"/>
      <c r="BQ10" s="7"/>
      <c r="BR10" s="7" t="s">
        <v>23</v>
      </c>
    </row>
    <row r="11">
      <c r="A11" s="16">
        <v>66.0</v>
      </c>
      <c r="B11" s="16" t="s">
        <v>775</v>
      </c>
      <c r="C11" s="53">
        <v>2.0</v>
      </c>
      <c r="D11" s="53" t="s">
        <v>776</v>
      </c>
      <c r="E11" s="7">
        <v>547.0</v>
      </c>
      <c r="F11" s="53"/>
      <c r="G11" s="7"/>
      <c r="H11" s="16">
        <v>1.0</v>
      </c>
      <c r="I11" s="95">
        <v>1.0</v>
      </c>
      <c r="J11" s="16" t="s">
        <v>1827</v>
      </c>
      <c r="K11" s="53"/>
      <c r="L11" s="53"/>
      <c r="M11" s="39" t="str">
        <f t="shared" si="1"/>
        <v>[https://doi.org/10.1287/opre.21.1.332 Faaland (1973)]</v>
      </c>
      <c r="N11" s="16" t="s">
        <v>1828</v>
      </c>
      <c r="O11" s="81">
        <v>1973.0</v>
      </c>
      <c r="P11" s="25" t="s">
        <v>1829</v>
      </c>
      <c r="Q11" s="82"/>
      <c r="R11" s="82"/>
      <c r="S11" s="82"/>
      <c r="T11" s="16">
        <v>0.0</v>
      </c>
      <c r="U11" s="16">
        <v>0.0</v>
      </c>
      <c r="V11" s="89">
        <f>IFERROR(__xludf.DUMMYFUNCTION("INDEX(SPLIT(SUBSTITUTE(W11,CHAR(10), """"),"",:""), MATCH(Z11, SPLIT(SUBSTITUTE(W11,CHAR(10), """"),"",:""), 0) + 1)"),3.0)</f>
        <v>3</v>
      </c>
      <c r="W11" s="85" t="s">
        <v>1830</v>
      </c>
      <c r="X11" s="16" t="s">
        <v>1827</v>
      </c>
      <c r="Y11" s="53" t="s">
        <v>1831</v>
      </c>
      <c r="Z11" s="53" t="str">
        <f t="array" ref="Z11">INDEX(Problems!J:J, MATCH(1, (Problems!B:B=B11)*1, 0))</f>
        <v>n</v>
      </c>
      <c r="AA11" s="53"/>
      <c r="AB11" s="53"/>
      <c r="AC11" s="53"/>
      <c r="AD11" s="53"/>
      <c r="AE11" s="85">
        <f>IFERROR(__xludf.DUMMYFUNCTION("INDEX(SPLIT(SUBSTITUTE(AF11,CHAR(10), """"),"",:""), MATCH(Z11, SPLIT(SUBSTITUTE(AF11,CHAR(10), """"),"",:""), 0) + 1)"),1.0)</f>
        <v>1</v>
      </c>
      <c r="AF11" s="85" t="s">
        <v>1832</v>
      </c>
      <c r="AG11" s="53" t="s">
        <v>1833</v>
      </c>
      <c r="AH11" s="96" t="s">
        <v>1829</v>
      </c>
      <c r="AI11" s="21">
        <v>0.0</v>
      </c>
      <c r="AJ11" s="84">
        <v>1.0</v>
      </c>
      <c r="AK11" s="21"/>
      <c r="AL11" s="16">
        <v>0.0</v>
      </c>
      <c r="AM11" s="21"/>
      <c r="AN11" s="95">
        <v>0.0</v>
      </c>
      <c r="AO11" s="90"/>
      <c r="AP11" s="81">
        <v>0.0</v>
      </c>
      <c r="AQ11" s="81">
        <v>0.0</v>
      </c>
      <c r="AR11" s="39"/>
      <c r="AS11" s="81">
        <v>0.0</v>
      </c>
      <c r="AT11" s="81">
        <v>0.0</v>
      </c>
      <c r="AU11" s="49" t="s">
        <v>1834</v>
      </c>
      <c r="AV11" s="82"/>
      <c r="AW11" s="82"/>
      <c r="AX11" s="82"/>
      <c r="AY11" s="7"/>
      <c r="AZ11" s="82"/>
      <c r="BA11" s="82"/>
      <c r="BB11" s="82"/>
      <c r="BC11" s="82"/>
      <c r="BD11" s="82"/>
      <c r="BE11" s="82"/>
      <c r="BF11" s="82"/>
      <c r="BG11" s="82"/>
      <c r="BH11" s="82"/>
      <c r="BI11" s="82"/>
      <c r="BJ11" s="82"/>
      <c r="BK11" s="82"/>
      <c r="BL11" s="82"/>
      <c r="BM11" s="82"/>
      <c r="BN11" s="7"/>
      <c r="BO11" s="7">
        <v>1.0</v>
      </c>
      <c r="BP11" s="7" t="s">
        <v>1835</v>
      </c>
      <c r="BQ11" s="7"/>
      <c r="BR11" s="7" t="s">
        <v>23</v>
      </c>
    </row>
    <row r="12">
      <c r="A12" s="16">
        <v>66.0</v>
      </c>
      <c r="B12" s="16" t="s">
        <v>775</v>
      </c>
      <c r="C12" s="53">
        <v>2.0</v>
      </c>
      <c r="D12" s="53" t="s">
        <v>776</v>
      </c>
      <c r="E12" s="7">
        <v>548.0</v>
      </c>
      <c r="F12" s="53"/>
      <c r="G12" s="7"/>
      <c r="H12" s="16">
        <v>1.0</v>
      </c>
      <c r="I12" s="95">
        <v>1.0</v>
      </c>
      <c r="J12" s="16" t="s">
        <v>1827</v>
      </c>
      <c r="K12" s="53"/>
      <c r="L12" s="53"/>
      <c r="M12" s="39" t="str">
        <f t="shared" si="1"/>
        <v>[https://link.springer.com/article/10.1007/s006070050042 Pferschy (1999)]</v>
      </c>
      <c r="N12" s="16" t="s">
        <v>1836</v>
      </c>
      <c r="O12" s="83">
        <v>1999.0</v>
      </c>
      <c r="P12" s="25" t="s">
        <v>1837</v>
      </c>
      <c r="Q12" s="82"/>
      <c r="R12" s="82"/>
      <c r="S12" s="82"/>
      <c r="T12" s="16">
        <v>0.0</v>
      </c>
      <c r="U12" s="16">
        <v>0.0</v>
      </c>
      <c r="V12" s="89">
        <f>IFERROR(__xludf.DUMMYFUNCTION("INDEX(SPLIT(SUBSTITUTE(W12,CHAR(10), """"),"",:""), MATCH(Z12, SPLIT(SUBSTITUTE(W12,CHAR(10), """"),"",:""), 0) + 1)"),3.0)</f>
        <v>3</v>
      </c>
      <c r="W12" s="85" t="s">
        <v>1830</v>
      </c>
      <c r="X12" s="16" t="s">
        <v>1827</v>
      </c>
      <c r="Y12" s="53" t="s">
        <v>1831</v>
      </c>
      <c r="Z12" s="53" t="str">
        <f t="array" ref="Z12">INDEX(Problems!J:J, MATCH(1, (Problems!B:B=B12)*1, 0))</f>
        <v>n</v>
      </c>
      <c r="AA12" s="53"/>
      <c r="AB12" s="53"/>
      <c r="AC12" s="53"/>
      <c r="AD12" s="53"/>
      <c r="AE12" s="85">
        <f>IFERROR(__xludf.DUMMYFUNCTION("INDEX(SPLIT(SUBSTITUTE(AF12,CHAR(10), """"),"",:""), MATCH(Z12, SPLIT(SUBSTITUTE(AF12,CHAR(10), """"),"",:""), 0) + 1)"),1.0)</f>
        <v>1</v>
      </c>
      <c r="AF12" s="85" t="s">
        <v>1832</v>
      </c>
      <c r="AG12" s="53" t="s">
        <v>1833</v>
      </c>
      <c r="AH12" s="97" t="s">
        <v>1838</v>
      </c>
      <c r="AI12" s="21">
        <v>0.0</v>
      </c>
      <c r="AJ12" s="84">
        <v>0.0</v>
      </c>
      <c r="AK12" s="21"/>
      <c r="AL12" s="16">
        <v>0.0</v>
      </c>
      <c r="AM12" s="21"/>
      <c r="AN12" s="95">
        <v>0.0</v>
      </c>
      <c r="AO12" s="21"/>
      <c r="AP12" s="81">
        <v>0.0</v>
      </c>
      <c r="AQ12" s="81">
        <v>0.0</v>
      </c>
      <c r="AR12" s="39"/>
      <c r="AS12" s="81">
        <v>0.0</v>
      </c>
      <c r="AT12" s="81">
        <v>0.0</v>
      </c>
      <c r="AU12" s="49" t="s">
        <v>1839</v>
      </c>
      <c r="AV12" s="82"/>
      <c r="AW12" s="82"/>
      <c r="AX12" s="82"/>
      <c r="AY12" s="7"/>
      <c r="AZ12" s="82"/>
      <c r="BA12" s="82"/>
      <c r="BB12" s="82"/>
      <c r="BC12" s="82"/>
      <c r="BD12" s="82"/>
      <c r="BE12" s="82"/>
      <c r="BF12" s="82"/>
      <c r="BG12" s="82"/>
      <c r="BH12" s="82"/>
      <c r="BI12" s="82"/>
      <c r="BJ12" s="82"/>
      <c r="BK12" s="82"/>
      <c r="BL12" s="82"/>
      <c r="BM12" s="82"/>
      <c r="BN12" s="7"/>
      <c r="BO12" s="7">
        <v>1.0</v>
      </c>
      <c r="BP12" s="82"/>
      <c r="BQ12" s="7"/>
      <c r="BR12" s="7" t="s">
        <v>23</v>
      </c>
    </row>
    <row r="13">
      <c r="A13" s="16">
        <v>66.0</v>
      </c>
      <c r="B13" s="16" t="s">
        <v>775</v>
      </c>
      <c r="C13" s="53">
        <v>2.0</v>
      </c>
      <c r="D13" s="53" t="s">
        <v>776</v>
      </c>
      <c r="E13" s="7">
        <v>549.0</v>
      </c>
      <c r="F13" s="53"/>
      <c r="G13" s="7"/>
      <c r="H13" s="16">
        <v>1.0</v>
      </c>
      <c r="I13" s="95">
        <v>1.0</v>
      </c>
      <c r="J13" s="16" t="s">
        <v>1840</v>
      </c>
      <c r="K13" s="53"/>
      <c r="L13" s="53"/>
      <c r="M13" s="39" t="str">
        <f t="shared" si="1"/>
        <v>[https://doi.org/10.1002/(SICI)1097-0037(199905)33:3%3C189::AID-NET5%3E3.0.CO;2-2 Klinz (1999)]</v>
      </c>
      <c r="N13" s="16" t="s">
        <v>1841</v>
      </c>
      <c r="O13" s="81">
        <v>1999.0</v>
      </c>
      <c r="P13" s="17" t="s">
        <v>1842</v>
      </c>
      <c r="Q13" s="82"/>
      <c r="R13" s="82"/>
      <c r="S13" s="82"/>
      <c r="T13" s="16">
        <v>0.0</v>
      </c>
      <c r="U13" s="16">
        <v>0.0</v>
      </c>
      <c r="V13" s="89">
        <f>IFERROR(__xludf.DUMMYFUNCTION("INDEX(SPLIT(SUBSTITUTE(W13,CHAR(10), """"),"",:""), MATCH(Z13, SPLIT(SUBSTITUTE(W13,CHAR(10), """"),"",:""), 0) + 1)"),4.5)</f>
        <v>4.5</v>
      </c>
      <c r="W13" s="85" t="s">
        <v>1843</v>
      </c>
      <c r="X13" s="16" t="s">
        <v>1844</v>
      </c>
      <c r="Y13" s="53" t="s">
        <v>1845</v>
      </c>
      <c r="Z13" s="53" t="str">
        <f t="array" ref="Z13">INDEX(Problems!J:J, MATCH(1, (Problems!B:B=B13)*1, 0))</f>
        <v>n</v>
      </c>
      <c r="AA13" s="53"/>
      <c r="AB13" s="53"/>
      <c r="AC13" s="53"/>
      <c r="AD13" s="53"/>
      <c r="AE13" s="85">
        <f>IFERROR(__xludf.DUMMYFUNCTION("INDEX(SPLIT(SUBSTITUTE(AF13,CHAR(10), """"),"",:""), MATCH(Z13, SPLIT(SUBSTITUTE(AF13,CHAR(10), """"),"",:""), 0) + 1)"),1.0)</f>
        <v>1</v>
      </c>
      <c r="AF13" s="85" t="s">
        <v>1832</v>
      </c>
      <c r="AG13" s="53" t="s">
        <v>1833</v>
      </c>
      <c r="AH13" s="97" t="s">
        <v>1846</v>
      </c>
      <c r="AI13" s="21">
        <v>0.0</v>
      </c>
      <c r="AJ13" s="84">
        <v>0.0</v>
      </c>
      <c r="AK13" s="21"/>
      <c r="AL13" s="16">
        <v>0.0</v>
      </c>
      <c r="AM13" s="21"/>
      <c r="AN13" s="95">
        <v>0.0</v>
      </c>
      <c r="AO13" s="90"/>
      <c r="AP13" s="81">
        <v>0.0</v>
      </c>
      <c r="AQ13" s="81">
        <v>0.0</v>
      </c>
      <c r="AR13" s="39"/>
      <c r="AS13" s="81">
        <v>0.0</v>
      </c>
      <c r="AT13" s="81">
        <v>0.0</v>
      </c>
      <c r="AU13" s="49" t="s">
        <v>1847</v>
      </c>
      <c r="AV13" s="82"/>
      <c r="AW13" s="82"/>
      <c r="AX13" s="82"/>
      <c r="AY13" s="7"/>
      <c r="AZ13" s="82"/>
      <c r="BA13" s="82"/>
      <c r="BB13" s="82"/>
      <c r="BC13" s="82"/>
      <c r="BD13" s="82"/>
      <c r="BE13" s="82"/>
      <c r="BF13" s="82"/>
      <c r="BG13" s="82"/>
      <c r="BH13" s="82"/>
      <c r="BI13" s="82"/>
      <c r="BJ13" s="82"/>
      <c r="BK13" s="82"/>
      <c r="BL13" s="82"/>
      <c r="BM13" s="82"/>
      <c r="BN13" s="7"/>
      <c r="BO13" s="7">
        <v>1.0</v>
      </c>
      <c r="BP13" s="82"/>
      <c r="BQ13" s="7"/>
      <c r="BR13" s="7" t="s">
        <v>23</v>
      </c>
    </row>
    <row r="14">
      <c r="A14" s="16">
        <v>66.0</v>
      </c>
      <c r="B14" s="16" t="s">
        <v>775</v>
      </c>
      <c r="C14" s="53">
        <v>2.0</v>
      </c>
      <c r="D14" s="53" t="s">
        <v>776</v>
      </c>
      <c r="E14" s="7">
        <v>550.0</v>
      </c>
      <c r="F14" s="53"/>
      <c r="G14" s="7"/>
      <c r="H14" s="16">
        <v>1.0</v>
      </c>
      <c r="I14" s="95">
        <v>1.0</v>
      </c>
      <c r="J14" s="21" t="s">
        <v>1848</v>
      </c>
      <c r="K14" s="53"/>
      <c r="L14" s="53"/>
      <c r="M14" s="39" t="str">
        <f t="shared" si="1"/>
        <v>[https://www.sciencedirect.com/science/article/abs/pii/S019667749690841X?via%3Dihub Eppstein (1997)]</v>
      </c>
      <c r="N14" s="16" t="s">
        <v>1849</v>
      </c>
      <c r="O14" s="81">
        <v>1997.0</v>
      </c>
      <c r="P14" s="25" t="s">
        <v>1850</v>
      </c>
      <c r="Q14" s="82"/>
      <c r="R14" s="82"/>
      <c r="S14" s="82"/>
      <c r="T14" s="16">
        <v>0.0</v>
      </c>
      <c r="U14" s="16">
        <v>0.0</v>
      </c>
      <c r="V14" s="89">
        <f>IFERROR(__xludf.DUMMYFUNCTION("INDEX(SPLIT(SUBSTITUTE(W14,CHAR(10), """"),"",:""), MATCH(Z14, SPLIT(SUBSTITUTE(W14,CHAR(10), """"),"",:""), 0) + 1)"),4.0)</f>
        <v>4</v>
      </c>
      <c r="W14" s="85" t="s">
        <v>1851</v>
      </c>
      <c r="X14" s="21" t="s">
        <v>1852</v>
      </c>
      <c r="Y14" s="53" t="s">
        <v>1853</v>
      </c>
      <c r="Z14" s="53" t="str">
        <f t="array" ref="Z14">INDEX(Problems!J:J, MATCH(1, (Problems!B:B=B14)*1, 0))</f>
        <v>n</v>
      </c>
      <c r="AA14" s="53"/>
      <c r="AB14" s="53"/>
      <c r="AC14" s="53"/>
      <c r="AD14" s="53"/>
      <c r="AE14" s="85">
        <f>IFERROR(__xludf.DUMMYFUNCTION("INDEX(SPLIT(SUBSTITUTE(AF14,CHAR(10), """"),"",:""), MATCH(Z14, SPLIT(SUBSTITUTE(AF14,CHAR(10), """"),"",:""), 0) + 1)"),1.0)</f>
        <v>1</v>
      </c>
      <c r="AF14" s="85" t="s">
        <v>1854</v>
      </c>
      <c r="AG14" s="53" t="s">
        <v>1855</v>
      </c>
      <c r="AH14" s="97" t="s">
        <v>1856</v>
      </c>
      <c r="AI14" s="21">
        <v>0.0</v>
      </c>
      <c r="AJ14" s="84">
        <v>0.0</v>
      </c>
      <c r="AK14" s="21"/>
      <c r="AL14" s="16">
        <v>0.0</v>
      </c>
      <c r="AM14" s="21"/>
      <c r="AN14" s="95">
        <v>0.0</v>
      </c>
      <c r="AO14" s="90"/>
      <c r="AP14" s="81">
        <v>0.0</v>
      </c>
      <c r="AQ14" s="81">
        <v>0.0</v>
      </c>
      <c r="AR14" s="39"/>
      <c r="AS14" s="81">
        <v>0.0</v>
      </c>
      <c r="AT14" s="81">
        <v>0.0</v>
      </c>
      <c r="AU14" s="39"/>
      <c r="AV14" s="82"/>
      <c r="AW14" s="82"/>
      <c r="AX14" s="82"/>
      <c r="AY14" s="7"/>
      <c r="AZ14" s="82"/>
      <c r="BA14" s="82"/>
      <c r="BB14" s="82"/>
      <c r="BC14" s="82"/>
      <c r="BD14" s="82"/>
      <c r="BE14" s="82"/>
      <c r="BF14" s="82"/>
      <c r="BG14" s="82"/>
      <c r="BH14" s="82"/>
      <c r="BI14" s="82"/>
      <c r="BJ14" s="82"/>
      <c r="BK14" s="82"/>
      <c r="BL14" s="82"/>
      <c r="BM14" s="82"/>
      <c r="BN14" s="7"/>
      <c r="BO14" s="7">
        <v>1.0</v>
      </c>
      <c r="BP14" s="82"/>
      <c r="BQ14" s="7"/>
      <c r="BR14" s="7" t="s">
        <v>23</v>
      </c>
    </row>
    <row r="15">
      <c r="A15" s="16">
        <v>66.0</v>
      </c>
      <c r="B15" s="16" t="s">
        <v>775</v>
      </c>
      <c r="C15" s="53">
        <v>2.0</v>
      </c>
      <c r="D15" s="53" t="s">
        <v>776</v>
      </c>
      <c r="E15" s="7">
        <v>551.0</v>
      </c>
      <c r="F15" s="53"/>
      <c r="G15" s="7"/>
      <c r="H15" s="16">
        <v>1.0</v>
      </c>
      <c r="I15" s="95">
        <v>1.0</v>
      </c>
      <c r="J15" s="21" t="s">
        <v>1848</v>
      </c>
      <c r="K15" s="53"/>
      <c r="L15" s="53"/>
      <c r="M15" s="39" t="str">
        <f t="shared" si="1"/>
        <v>[https://journals.plos.org/plosone/article?id=10.1371/journal.pone.0091507 Serang (2014)]</v>
      </c>
      <c r="N15" s="16" t="s">
        <v>1857</v>
      </c>
      <c r="O15" s="81">
        <v>2014.0</v>
      </c>
      <c r="P15" s="25" t="s">
        <v>1858</v>
      </c>
      <c r="Q15" s="82"/>
      <c r="R15" s="82"/>
      <c r="S15" s="82"/>
      <c r="T15" s="16">
        <v>0.0</v>
      </c>
      <c r="U15" s="16">
        <v>0.0</v>
      </c>
      <c r="V15" s="89">
        <f>IFERROR(__xludf.DUMMYFUNCTION("INDEX(SPLIT(SUBSTITUTE(W15,CHAR(10), """"),"",:""), MATCH(Z15, SPLIT(SUBSTITUTE(W15,CHAR(10), """"),"",:""), 0) + 1)"),4.0)</f>
        <v>4</v>
      </c>
      <c r="W15" s="85" t="s">
        <v>1851</v>
      </c>
      <c r="X15" s="21" t="s">
        <v>1852</v>
      </c>
      <c r="Y15" s="53" t="s">
        <v>1853</v>
      </c>
      <c r="Z15" s="53" t="str">
        <f t="array" ref="Z15">INDEX(Problems!J:J, MATCH(1, (Problems!B:B=B15)*1, 0))</f>
        <v>n</v>
      </c>
      <c r="AA15" s="53"/>
      <c r="AB15" s="53"/>
      <c r="AC15" s="53"/>
      <c r="AD15" s="53"/>
      <c r="AE15" s="85">
        <f>IFERROR(__xludf.DUMMYFUNCTION("INDEX(SPLIT(SUBSTITUTE(AF15,CHAR(10), """"),"",:""), MATCH(Z15, SPLIT(SUBSTITUTE(AF15,CHAR(10), """"),"",:""), 0) + 1)"),1.0)</f>
        <v>1</v>
      </c>
      <c r="AF15" s="85" t="s">
        <v>1854</v>
      </c>
      <c r="AG15" s="53" t="s">
        <v>1855</v>
      </c>
      <c r="AH15" s="97" t="s">
        <v>1859</v>
      </c>
      <c r="AI15" s="21">
        <v>0.0</v>
      </c>
      <c r="AJ15" s="84">
        <v>0.0</v>
      </c>
      <c r="AK15" s="21"/>
      <c r="AL15" s="16">
        <v>0.0</v>
      </c>
      <c r="AM15" s="21"/>
      <c r="AN15" s="95">
        <v>0.0</v>
      </c>
      <c r="AO15" s="90"/>
      <c r="AP15" s="81">
        <v>0.0</v>
      </c>
      <c r="AQ15" s="81">
        <v>0.0</v>
      </c>
      <c r="AR15" s="39"/>
      <c r="AS15" s="81">
        <v>0.0</v>
      </c>
      <c r="AT15" s="81">
        <v>0.0</v>
      </c>
      <c r="AU15" s="39"/>
      <c r="AV15" s="82"/>
      <c r="AW15" s="82"/>
      <c r="AX15" s="82"/>
      <c r="AY15" s="7"/>
      <c r="AZ15" s="82"/>
      <c r="BA15" s="82"/>
      <c r="BB15" s="82"/>
      <c r="BC15" s="82"/>
      <c r="BD15" s="82"/>
      <c r="BE15" s="82"/>
      <c r="BF15" s="82"/>
      <c r="BG15" s="82"/>
      <c r="BH15" s="82"/>
      <c r="BI15" s="82"/>
      <c r="BJ15" s="82"/>
      <c r="BK15" s="82"/>
      <c r="BL15" s="82"/>
      <c r="BM15" s="82"/>
      <c r="BN15" s="7"/>
      <c r="BO15" s="7">
        <v>1.0</v>
      </c>
      <c r="BP15" s="82"/>
      <c r="BQ15" s="7"/>
      <c r="BR15" s="7" t="s">
        <v>23</v>
      </c>
    </row>
    <row r="16">
      <c r="A16" s="16">
        <v>66.0</v>
      </c>
      <c r="B16" s="16" t="s">
        <v>775</v>
      </c>
      <c r="C16" s="53">
        <v>2.0</v>
      </c>
      <c r="D16" s="53" t="s">
        <v>776</v>
      </c>
      <c r="E16" s="7">
        <v>552.0</v>
      </c>
      <c r="F16" s="53"/>
      <c r="G16" s="7"/>
      <c r="H16" s="16">
        <v>1.0</v>
      </c>
      <c r="I16" s="95">
        <v>1.0</v>
      </c>
      <c r="J16" s="21" t="s">
        <v>1848</v>
      </c>
      <c r="K16" s="53"/>
      <c r="L16" s="53"/>
      <c r="M16" s="39" t="str">
        <f t="shared" si="1"/>
        <v>[https://www.liebertpub.com/doi/10.1089/cmb.2015.0013 Serang (2015)]</v>
      </c>
      <c r="N16" s="16" t="s">
        <v>1857</v>
      </c>
      <c r="O16" s="81">
        <v>2015.0</v>
      </c>
      <c r="P16" s="25" t="s">
        <v>1860</v>
      </c>
      <c r="Q16" s="82"/>
      <c r="R16" s="82"/>
      <c r="S16" s="82"/>
      <c r="T16" s="16">
        <v>0.0</v>
      </c>
      <c r="U16" s="16">
        <v>0.0</v>
      </c>
      <c r="V16" s="89">
        <f>IFERROR(__xludf.DUMMYFUNCTION("INDEX(SPLIT(SUBSTITUTE(W16,CHAR(10), """"),"",:""), MATCH(Z16, SPLIT(SUBSTITUTE(W16,CHAR(10), """"),"",:""), 0) + 1)"),4.0)</f>
        <v>4</v>
      </c>
      <c r="W16" s="85" t="s">
        <v>1851</v>
      </c>
      <c r="X16" s="21" t="s">
        <v>1852</v>
      </c>
      <c r="Y16" s="53" t="s">
        <v>1853</v>
      </c>
      <c r="Z16" s="53" t="str">
        <f t="array" ref="Z16">INDEX(Problems!J:J, MATCH(1, (Problems!B:B=B16)*1, 0))</f>
        <v>n</v>
      </c>
      <c r="AA16" s="53"/>
      <c r="AB16" s="53"/>
      <c r="AC16" s="53"/>
      <c r="AD16" s="53"/>
      <c r="AE16" s="85">
        <f>IFERROR(__xludf.DUMMYFUNCTION("INDEX(SPLIT(SUBSTITUTE(AF16,CHAR(10), """"),"",:""), MATCH(Z16, SPLIT(SUBSTITUTE(AF16,CHAR(10), """"),"",:""), 0) + 1)"),1.0)</f>
        <v>1</v>
      </c>
      <c r="AF16" s="85" t="s">
        <v>1854</v>
      </c>
      <c r="AG16" s="53" t="s">
        <v>1855</v>
      </c>
      <c r="AH16" s="97" t="s">
        <v>1861</v>
      </c>
      <c r="AI16" s="21">
        <v>0.0</v>
      </c>
      <c r="AJ16" s="84">
        <v>0.0</v>
      </c>
      <c r="AK16" s="21"/>
      <c r="AL16" s="16">
        <v>0.0</v>
      </c>
      <c r="AM16" s="21"/>
      <c r="AN16" s="95">
        <v>0.0</v>
      </c>
      <c r="AO16" s="90"/>
      <c r="AP16" s="81">
        <v>0.0</v>
      </c>
      <c r="AQ16" s="81">
        <v>0.0</v>
      </c>
      <c r="AR16" s="39"/>
      <c r="AS16" s="81">
        <v>0.0</v>
      </c>
      <c r="AT16" s="81">
        <v>0.0</v>
      </c>
      <c r="AU16" s="39"/>
      <c r="AV16" s="82"/>
      <c r="AW16" s="82"/>
      <c r="AX16" s="82"/>
      <c r="AY16" s="7"/>
      <c r="AZ16" s="82"/>
      <c r="BA16" s="82"/>
      <c r="BB16" s="82"/>
      <c r="BC16" s="82"/>
      <c r="BD16" s="82"/>
      <c r="BE16" s="82"/>
      <c r="BF16" s="82"/>
      <c r="BG16" s="82"/>
      <c r="BH16" s="82"/>
      <c r="BI16" s="82"/>
      <c r="BJ16" s="82"/>
      <c r="BK16" s="82"/>
      <c r="BL16" s="82"/>
      <c r="BM16" s="82"/>
      <c r="BN16" s="7"/>
      <c r="BO16" s="7">
        <v>1.0</v>
      </c>
      <c r="BP16" s="82"/>
      <c r="BQ16" s="7"/>
      <c r="BR16" s="7" t="s">
        <v>23</v>
      </c>
    </row>
    <row r="17">
      <c r="A17" s="16">
        <v>66.0</v>
      </c>
      <c r="B17" s="16" t="s">
        <v>775</v>
      </c>
      <c r="C17" s="53">
        <v>2.0</v>
      </c>
      <c r="D17" s="53" t="s">
        <v>776</v>
      </c>
      <c r="E17" s="7">
        <v>553.0</v>
      </c>
      <c r="F17" s="53"/>
      <c r="G17" s="7"/>
      <c r="H17" s="16">
        <v>1.0</v>
      </c>
      <c r="I17" s="95">
        <v>1.0</v>
      </c>
      <c r="J17" s="21" t="s">
        <v>1862</v>
      </c>
      <c r="K17" s="53"/>
      <c r="L17" s="53"/>
      <c r="M17" s="39" t="str">
        <f t="shared" si="1"/>
        <v>[https://dl.acm.org/doi/abs/10.1145/1806689.1806735 Lokshtanov (2010)]</v>
      </c>
      <c r="N17" s="16" t="s">
        <v>1863</v>
      </c>
      <c r="O17" s="81">
        <v>2010.0</v>
      </c>
      <c r="P17" s="25" t="s">
        <v>1864</v>
      </c>
      <c r="Q17" s="82"/>
      <c r="R17" s="82"/>
      <c r="S17" s="82"/>
      <c r="T17" s="16">
        <v>0.0</v>
      </c>
      <c r="U17" s="16">
        <v>0.0</v>
      </c>
      <c r="V17" s="89">
        <f>IFERROR(__xludf.DUMMYFUNCTION("INDEX(SPLIT(SUBSTITUTE(W17,CHAR(10), """"),"",:""), MATCH(Z17, SPLIT(SUBSTITUTE(W17,CHAR(10), """"),"",:""), 0) + 1)"),6.0)</f>
        <v>6</v>
      </c>
      <c r="W17" s="85" t="s">
        <v>1865</v>
      </c>
      <c r="X17" s="21" t="s">
        <v>1866</v>
      </c>
      <c r="Y17" s="53" t="s">
        <v>1824</v>
      </c>
      <c r="Z17" s="53" t="str">
        <f t="array" ref="Z17">INDEX(Problems!J:J, MATCH(1, (Problems!B:B=B17)*1, 0))</f>
        <v>n</v>
      </c>
      <c r="AA17" s="53"/>
      <c r="AB17" s="53"/>
      <c r="AC17" s="53"/>
      <c r="AD17" s="53"/>
      <c r="AE17" s="85">
        <f>IFERROR(__xludf.DUMMYFUNCTION("INDEX(SPLIT(SUBSTITUTE(AF17,CHAR(10), """"),"",:""), MATCH(Z17, SPLIT(SUBSTITUTE(AF17,CHAR(10), """"),"",:""), 0) + 1)"),5.0)</f>
        <v>5</v>
      </c>
      <c r="AF17" s="85" t="s">
        <v>1867</v>
      </c>
      <c r="AG17" s="53" t="s">
        <v>115</v>
      </c>
      <c r="AH17" s="97" t="s">
        <v>1868</v>
      </c>
      <c r="AI17" s="21">
        <v>0.0</v>
      </c>
      <c r="AJ17" s="84">
        <v>0.0</v>
      </c>
      <c r="AK17" s="21"/>
      <c r="AL17" s="16">
        <v>0.0</v>
      </c>
      <c r="AM17" s="21"/>
      <c r="AN17" s="95">
        <v>0.0</v>
      </c>
      <c r="AO17" s="90"/>
      <c r="AP17" s="81">
        <v>0.0</v>
      </c>
      <c r="AQ17" s="81">
        <v>0.0</v>
      </c>
      <c r="AR17" s="39"/>
      <c r="AS17" s="81">
        <v>0.0</v>
      </c>
      <c r="AT17" s="81">
        <v>0.0</v>
      </c>
      <c r="AU17" s="39"/>
      <c r="AV17" s="82"/>
      <c r="AW17" s="82"/>
      <c r="AX17" s="82"/>
      <c r="AY17" s="7"/>
      <c r="AZ17" s="82"/>
      <c r="BA17" s="82"/>
      <c r="BB17" s="82"/>
      <c r="BC17" s="82"/>
      <c r="BD17" s="82"/>
      <c r="BE17" s="82"/>
      <c r="BF17" s="82"/>
      <c r="BG17" s="82"/>
      <c r="BH17" s="82"/>
      <c r="BI17" s="82"/>
      <c r="BJ17" s="82"/>
      <c r="BK17" s="82"/>
      <c r="BL17" s="82"/>
      <c r="BM17" s="82"/>
      <c r="BN17" s="7"/>
      <c r="BO17" s="7">
        <v>1.0</v>
      </c>
      <c r="BP17" s="82"/>
      <c r="BQ17" s="7"/>
      <c r="BR17" s="7" t="s">
        <v>23</v>
      </c>
    </row>
    <row r="18">
      <c r="A18" s="16">
        <v>78.0</v>
      </c>
      <c r="B18" s="16" t="s">
        <v>861</v>
      </c>
      <c r="C18" s="53">
        <v>2.0</v>
      </c>
      <c r="D18" s="53" t="s">
        <v>869</v>
      </c>
      <c r="E18" s="7">
        <v>619.0</v>
      </c>
      <c r="F18" s="53"/>
      <c r="G18" s="7"/>
      <c r="H18" s="16">
        <v>1.0</v>
      </c>
      <c r="I18" s="81">
        <v>0.0</v>
      </c>
      <c r="J18" s="39" t="s">
        <v>34</v>
      </c>
      <c r="K18" s="53"/>
      <c r="L18" s="53"/>
      <c r="M18" s="39" t="str">
        <f t="shared" si="1"/>
        <v>[https://arxiv.org/pdf/0812.4893.pdf Valentin Polishchuk, and Jukka Suomela (2008)]</v>
      </c>
      <c r="N18" s="39" t="s">
        <v>1869</v>
      </c>
      <c r="O18" s="81">
        <v>2008.0</v>
      </c>
      <c r="P18" s="28" t="s">
        <v>871</v>
      </c>
      <c r="Q18" s="82"/>
      <c r="R18" s="82"/>
      <c r="S18" s="82"/>
      <c r="T18" s="81">
        <v>0.0</v>
      </c>
      <c r="U18" s="81">
        <v>0.0</v>
      </c>
      <c r="V18" s="84">
        <v>1.0</v>
      </c>
      <c r="W18" s="85" t="s">
        <v>1774</v>
      </c>
      <c r="X18" s="39" t="s">
        <v>34</v>
      </c>
      <c r="Y18" s="53" t="s">
        <v>1870</v>
      </c>
      <c r="Z18" s="53" t="str">
        <f t="array" ref="Z18">INDEX(Problems!J:J, MATCH(1, (Problems!B:B=B18)*1, 0))</f>
        <v>n</v>
      </c>
      <c r="AA18" s="53"/>
      <c r="AB18" s="53"/>
      <c r="AC18" s="53" t="s">
        <v>1813</v>
      </c>
      <c r="AD18" s="53" t="s">
        <v>1814</v>
      </c>
      <c r="AE18" s="85">
        <f>IFERROR(__xludf.DUMMYFUNCTION("INDEX(SPLIT(SUBSTITUTE(AF18,CHAR(10), """"),"",:""), MATCH(Z18, SPLIT(SUBSTITUTE(AF18,CHAR(10), """"),"",:""), 0) + 1)"),1.0)</f>
        <v>1</v>
      </c>
      <c r="AF18" s="85" t="s">
        <v>1774</v>
      </c>
      <c r="AG18" s="53" t="s">
        <v>34</v>
      </c>
      <c r="AH18" s="53" t="s">
        <v>1871</v>
      </c>
      <c r="AI18" s="84">
        <v>1.0</v>
      </c>
      <c r="AJ18" s="84">
        <v>0.0</v>
      </c>
      <c r="AK18" s="87"/>
      <c r="AL18" s="81">
        <v>0.0</v>
      </c>
      <c r="AM18" s="87"/>
      <c r="AN18" s="81">
        <v>1.0</v>
      </c>
      <c r="AO18" s="21" t="s">
        <v>1872</v>
      </c>
      <c r="AP18" s="81">
        <v>0.0</v>
      </c>
      <c r="AQ18" s="81">
        <v>1.0</v>
      </c>
      <c r="AR18" s="39"/>
      <c r="AS18" s="81">
        <v>0.0</v>
      </c>
      <c r="AT18" s="81">
        <v>0.0</v>
      </c>
      <c r="AU18" s="39"/>
      <c r="AV18" s="82"/>
      <c r="AW18" s="82"/>
      <c r="AX18" s="82"/>
      <c r="AY18" s="7"/>
      <c r="AZ18" s="7"/>
      <c r="BA18" s="7"/>
      <c r="BB18" s="7"/>
      <c r="BC18" s="7"/>
      <c r="BD18" s="7"/>
      <c r="BE18" s="7"/>
      <c r="BF18" s="7">
        <v>1.0</v>
      </c>
      <c r="BG18" s="13"/>
      <c r="BH18" s="82"/>
      <c r="BI18" s="82"/>
      <c r="BJ18" s="82"/>
      <c r="BK18" s="82"/>
      <c r="BL18" s="82"/>
      <c r="BM18" s="82"/>
      <c r="BN18" s="7"/>
      <c r="BO18" s="7">
        <v>4.0</v>
      </c>
      <c r="BP18" s="82"/>
      <c r="BQ18" s="7"/>
      <c r="BR18" s="7" t="s">
        <v>23</v>
      </c>
    </row>
    <row r="19">
      <c r="A19" s="35">
        <v>99.0</v>
      </c>
      <c r="B19" s="35" t="s">
        <v>1012</v>
      </c>
      <c r="C19" s="53">
        <v>2.0</v>
      </c>
      <c r="D19" s="53" t="s">
        <v>1012</v>
      </c>
      <c r="E19" s="7">
        <v>784.0</v>
      </c>
      <c r="F19" s="53"/>
      <c r="G19" s="6"/>
      <c r="H19" s="35">
        <v>1.0</v>
      </c>
      <c r="I19" s="98">
        <v>0.0</v>
      </c>
      <c r="J19" s="50" t="s">
        <v>1873</v>
      </c>
      <c r="K19" s="99"/>
      <c r="L19" s="99"/>
      <c r="M19" s="39" t="str">
        <f t="shared" si="1"/>
        <v>[https://www.ncbi.nlm.nih.gov/pubmed/2184437 Lawrence, Reilly (1990)]</v>
      </c>
      <c r="N19" s="35" t="s">
        <v>1874</v>
      </c>
      <c r="O19" s="98">
        <v>1990.0</v>
      </c>
      <c r="P19" s="100" t="s">
        <v>1875</v>
      </c>
      <c r="Q19" s="13"/>
      <c r="R19" s="13"/>
      <c r="S19" s="13"/>
      <c r="T19" s="35">
        <v>0.0</v>
      </c>
      <c r="U19" s="35">
        <v>0.0</v>
      </c>
      <c r="V19" s="89">
        <v>3.0</v>
      </c>
      <c r="W19" s="101" t="s">
        <v>1876</v>
      </c>
      <c r="X19" s="50" t="s">
        <v>1873</v>
      </c>
      <c r="Y19" s="41" t="s">
        <v>1877</v>
      </c>
      <c r="Z19" s="53" t="str">
        <f t="array" ref="Z19">INDEX(Problems!J:J, MATCH(1, (Problems!B:B=B19)*1, 0))</f>
        <v>mn</v>
      </c>
      <c r="AA19" s="41"/>
      <c r="AB19" s="41"/>
      <c r="AC19" s="53" t="s">
        <v>1813</v>
      </c>
      <c r="AD19" s="53" t="s">
        <v>1814</v>
      </c>
      <c r="AE19" s="85">
        <f>IFERROR(__xludf.DUMMYFUNCTION("INDEX(SPLIT(SUBSTITUTE(AF19,CHAR(10), """"),"",:""), MATCH(Z19, SPLIT(SUBSTITUTE(AF19,CHAR(10), """"),"",:""), 0) + 1)"),3.0)</f>
        <v>3</v>
      </c>
      <c r="AF19" s="102" t="s">
        <v>1876</v>
      </c>
      <c r="AG19" s="41" t="s">
        <v>1873</v>
      </c>
      <c r="AH19" s="103" t="s">
        <v>1875</v>
      </c>
      <c r="AI19" s="104">
        <v>0.0</v>
      </c>
      <c r="AJ19" s="84">
        <v>1.0</v>
      </c>
      <c r="AK19" s="104"/>
      <c r="AL19" s="35">
        <v>0.0</v>
      </c>
      <c r="AM19" s="105"/>
      <c r="AN19" s="98">
        <v>1.0</v>
      </c>
      <c r="AO19" s="101"/>
      <c r="AP19" s="35">
        <v>0.0</v>
      </c>
      <c r="AQ19" s="35">
        <v>0.0</v>
      </c>
      <c r="AR19" s="69"/>
      <c r="AS19" s="98">
        <v>0.0</v>
      </c>
      <c r="AT19" s="98">
        <v>0.0</v>
      </c>
      <c r="AU19" s="106" t="s">
        <v>1878</v>
      </c>
      <c r="AV19" s="13"/>
      <c r="AW19" s="13"/>
      <c r="AX19" s="13"/>
      <c r="AY19" s="6" t="s">
        <v>1879</v>
      </c>
      <c r="AZ19" s="13"/>
      <c r="BA19" s="13"/>
      <c r="BB19" s="13"/>
      <c r="BC19" s="13"/>
      <c r="BD19" s="13"/>
      <c r="BE19" s="13"/>
      <c r="BF19" s="13">
        <f>POW(500,2)</f>
        <v>250000</v>
      </c>
      <c r="BG19" s="13">
        <f>BF17/BF19</f>
        <v>0</v>
      </c>
      <c r="BH19" s="13"/>
      <c r="BI19" s="13">
        <f>POW(500000,2)</f>
        <v>250000000000</v>
      </c>
      <c r="BJ19" s="13">
        <f>BI17/BI19</f>
        <v>0</v>
      </c>
      <c r="BK19" s="13"/>
      <c r="BL19" s="13">
        <f>POW(500000000,2)</f>
        <v>2.5E+17</v>
      </c>
      <c r="BM19" s="13">
        <f>BL17/BL19</f>
        <v>0</v>
      </c>
      <c r="BN19" s="6"/>
      <c r="BO19" s="6">
        <v>4.0</v>
      </c>
      <c r="BP19" s="13"/>
      <c r="BQ19" s="13"/>
      <c r="BR19" s="6" t="s">
        <v>433</v>
      </c>
    </row>
    <row r="20">
      <c r="A20" s="35">
        <v>99.0</v>
      </c>
      <c r="B20" s="35" t="s">
        <v>1012</v>
      </c>
      <c r="C20" s="53">
        <v>2.0</v>
      </c>
      <c r="D20" s="53" t="s">
        <v>1012</v>
      </c>
      <c r="E20" s="7">
        <v>785.0</v>
      </c>
      <c r="F20" s="53"/>
      <c r="G20" s="6"/>
      <c r="H20" s="35">
        <v>1.0</v>
      </c>
      <c r="I20" s="98">
        <v>0.0</v>
      </c>
      <c r="J20" s="50" t="s">
        <v>1873</v>
      </c>
      <c r="K20" s="99"/>
      <c r="L20" s="99"/>
      <c r="M20" s="39" t="str">
        <f t="shared" si="1"/>
        <v>[https://science.sciencemag.org/content/262/5131/208 Lawrence Gibbs Sampling (1993)]</v>
      </c>
      <c r="N20" s="35" t="s">
        <v>1880</v>
      </c>
      <c r="O20" s="98">
        <v>1993.0</v>
      </c>
      <c r="P20" s="100" t="s">
        <v>1881</v>
      </c>
      <c r="Q20" s="13"/>
      <c r="R20" s="13"/>
      <c r="S20" s="13"/>
      <c r="T20" s="35">
        <v>0.0</v>
      </c>
      <c r="U20" s="35">
        <v>0.0</v>
      </c>
      <c r="V20" s="89">
        <v>3.0</v>
      </c>
      <c r="W20" s="101" t="s">
        <v>1876</v>
      </c>
      <c r="X20" s="50" t="s">
        <v>1873</v>
      </c>
      <c r="Y20" s="41" t="s">
        <v>1877</v>
      </c>
      <c r="Z20" s="53" t="str">
        <f t="array" ref="Z20">INDEX(Problems!J:J, MATCH(1, (Problems!B:B=B20)*1, 0))</f>
        <v>mn</v>
      </c>
      <c r="AA20" s="41"/>
      <c r="AB20" s="41"/>
      <c r="AC20" s="53" t="s">
        <v>1813</v>
      </c>
      <c r="AD20" s="53" t="s">
        <v>1814</v>
      </c>
      <c r="AE20" s="85">
        <f>IFERROR(__xludf.DUMMYFUNCTION("INDEX(SPLIT(SUBSTITUTE(AF20,CHAR(10), """"),"",:""), MATCH(Z20, SPLIT(SUBSTITUTE(AF20,CHAR(10), """"),"",:""), 0) + 1)"),2.5)</f>
        <v>2.5</v>
      </c>
      <c r="AF20" s="102" t="s">
        <v>1882</v>
      </c>
      <c r="AG20" s="41" t="s">
        <v>1883</v>
      </c>
      <c r="AH20" s="41" t="s">
        <v>1884</v>
      </c>
      <c r="AI20" s="104">
        <v>1.0</v>
      </c>
      <c r="AJ20" s="84">
        <v>0.0</v>
      </c>
      <c r="AK20" s="104"/>
      <c r="AL20" s="35">
        <v>0.0</v>
      </c>
      <c r="AM20" s="105"/>
      <c r="AN20" s="98">
        <v>1.0</v>
      </c>
      <c r="AO20" s="101"/>
      <c r="AP20" s="35">
        <v>0.0</v>
      </c>
      <c r="AQ20" s="35">
        <v>0.0</v>
      </c>
      <c r="AR20" s="69"/>
      <c r="AS20" s="98">
        <v>0.0</v>
      </c>
      <c r="AT20" s="98">
        <v>0.0</v>
      </c>
      <c r="AU20" s="106" t="s">
        <v>1878</v>
      </c>
      <c r="AV20" s="13"/>
      <c r="AW20" s="13"/>
      <c r="AX20" s="13"/>
      <c r="AY20" s="13"/>
      <c r="AZ20" s="13"/>
      <c r="BA20" s="13"/>
      <c r="BB20" s="13"/>
      <c r="BC20" s="13"/>
      <c r="BD20" s="13"/>
      <c r="BE20" s="13"/>
      <c r="BF20" s="13"/>
      <c r="BG20" s="13"/>
      <c r="BH20" s="13"/>
      <c r="BI20" s="13"/>
      <c r="BJ20" s="13"/>
      <c r="BK20" s="13"/>
      <c r="BL20" s="13"/>
      <c r="BM20" s="13"/>
      <c r="BN20" s="6"/>
      <c r="BO20" s="6">
        <v>4.0</v>
      </c>
      <c r="BP20" s="13"/>
      <c r="BQ20" s="13"/>
      <c r="BR20" s="6" t="s">
        <v>433</v>
      </c>
    </row>
    <row r="21">
      <c r="A21" s="35">
        <v>99.0</v>
      </c>
      <c r="B21" s="35" t="s">
        <v>1012</v>
      </c>
      <c r="C21" s="53">
        <v>2.0</v>
      </c>
      <c r="D21" s="53" t="s">
        <v>1012</v>
      </c>
      <c r="E21" s="7">
        <v>787.0</v>
      </c>
      <c r="F21" s="53"/>
      <c r="G21" s="6"/>
      <c r="H21" s="35">
        <v>1.0</v>
      </c>
      <c r="I21" s="98">
        <v>0.0</v>
      </c>
      <c r="J21" s="50" t="s">
        <v>1873</v>
      </c>
      <c r="K21" s="99"/>
      <c r="L21" s="99"/>
      <c r="M21" s="39" t="str">
        <f t="shared" si="1"/>
        <v>[https://www.ncbi.nlm.nih.gov/pubmed/12015892 MotifSampler  (2001)]</v>
      </c>
      <c r="N21" s="69" t="s">
        <v>1885</v>
      </c>
      <c r="O21" s="98">
        <v>2001.0</v>
      </c>
      <c r="P21" s="100" t="s">
        <v>1886</v>
      </c>
      <c r="Q21" s="13"/>
      <c r="R21" s="13"/>
      <c r="S21" s="13"/>
      <c r="T21" s="35">
        <v>0.0</v>
      </c>
      <c r="U21" s="35">
        <v>0.0</v>
      </c>
      <c r="V21" s="89">
        <v>3.0</v>
      </c>
      <c r="W21" s="101" t="s">
        <v>1876</v>
      </c>
      <c r="X21" s="50" t="s">
        <v>1873</v>
      </c>
      <c r="Y21" s="41" t="s">
        <v>1877</v>
      </c>
      <c r="Z21" s="53" t="str">
        <f t="array" ref="Z21">INDEX(Problems!J:J, MATCH(1, (Problems!B:B=B21)*1, 0))</f>
        <v>mn</v>
      </c>
      <c r="AA21" s="41"/>
      <c r="AB21" s="41"/>
      <c r="AC21" s="53" t="s">
        <v>1813</v>
      </c>
      <c r="AD21" s="53" t="s">
        <v>1814</v>
      </c>
      <c r="AE21" s="85">
        <f>IFERROR(__xludf.DUMMYFUNCTION("INDEX(SPLIT(SUBSTITUTE(AF21,CHAR(10), """"),"",:""), MATCH(Z21, SPLIT(SUBSTITUTE(AF21,CHAR(10), """"),"",:""), 0) + 1)"),2.5)</f>
        <v>2.5</v>
      </c>
      <c r="AF21" s="102" t="s">
        <v>1882</v>
      </c>
      <c r="AG21" s="41" t="s">
        <v>1883</v>
      </c>
      <c r="AH21" s="41" t="s">
        <v>1887</v>
      </c>
      <c r="AI21" s="104">
        <v>1.0</v>
      </c>
      <c r="AJ21" s="84">
        <v>0.0</v>
      </c>
      <c r="AK21" s="104"/>
      <c r="AL21" s="35">
        <v>0.0</v>
      </c>
      <c r="AM21" s="105"/>
      <c r="AN21" s="98">
        <v>1.0</v>
      </c>
      <c r="AO21" s="101"/>
      <c r="AP21" s="35">
        <v>0.0</v>
      </c>
      <c r="AQ21" s="35">
        <v>0.0</v>
      </c>
      <c r="AR21" s="69"/>
      <c r="AS21" s="98">
        <v>0.0</v>
      </c>
      <c r="AT21" s="98">
        <v>0.0</v>
      </c>
      <c r="AU21" s="69"/>
      <c r="AV21" s="13"/>
      <c r="AW21" s="13"/>
      <c r="AX21" s="13"/>
      <c r="AY21" s="13"/>
      <c r="AZ21" s="13"/>
      <c r="BA21" s="13"/>
      <c r="BB21" s="13"/>
      <c r="BC21" s="13"/>
      <c r="BD21" s="13"/>
      <c r="BE21" s="13"/>
      <c r="BF21" s="13"/>
      <c r="BG21" s="13"/>
      <c r="BH21" s="13"/>
      <c r="BI21" s="13"/>
      <c r="BJ21" s="13"/>
      <c r="BK21" s="13"/>
      <c r="BL21" s="13"/>
      <c r="BM21" s="13"/>
      <c r="BN21" s="6"/>
      <c r="BO21" s="6">
        <v>4.0</v>
      </c>
      <c r="BP21" s="13"/>
      <c r="BQ21" s="13"/>
      <c r="BR21" s="6" t="s">
        <v>433</v>
      </c>
    </row>
    <row r="22">
      <c r="A22" s="35">
        <v>103.1</v>
      </c>
      <c r="B22" s="35" t="s">
        <v>1031</v>
      </c>
      <c r="C22" s="53">
        <v>2.0</v>
      </c>
      <c r="D22" s="53" t="s">
        <v>1031</v>
      </c>
      <c r="E22" s="7">
        <v>809.0</v>
      </c>
      <c r="F22" s="53"/>
      <c r="G22" s="6"/>
      <c r="H22" s="35">
        <v>0.0</v>
      </c>
      <c r="I22" s="35">
        <v>0.0</v>
      </c>
      <c r="J22" s="104" t="s">
        <v>1888</v>
      </c>
      <c r="K22" s="99"/>
      <c r="L22" s="99"/>
      <c r="M22" s="39" t="str">
        <f t="shared" si="1"/>
        <v>[https://dl.acm.org/doi/abs/10.1145/344779.345009 tree-structured vector quantization Wei-Levoy (2000)]</v>
      </c>
      <c r="N22" s="107" t="s">
        <v>1889</v>
      </c>
      <c r="O22" s="98">
        <v>2000.0</v>
      </c>
      <c r="P22" s="106" t="s">
        <v>1033</v>
      </c>
      <c r="Q22" s="13"/>
      <c r="R22" s="13"/>
      <c r="S22" s="13"/>
      <c r="T22" s="35">
        <v>0.0</v>
      </c>
      <c r="U22" s="35">
        <v>0.0</v>
      </c>
      <c r="V22" s="108">
        <v>5.01</v>
      </c>
      <c r="W22" s="102" t="s">
        <v>1890</v>
      </c>
      <c r="X22" s="104" t="s">
        <v>1888</v>
      </c>
      <c r="Y22" s="41" t="s">
        <v>1891</v>
      </c>
      <c r="Z22" s="53" t="str">
        <f t="array" ref="Z22">INDEX(Problems!J:J, MATCH(1, (Problems!B:B=B22)*1, 0))</f>
        <v>n</v>
      </c>
      <c r="AA22" s="41"/>
      <c r="AB22" s="41"/>
      <c r="AC22" s="41" t="s">
        <v>1892</v>
      </c>
      <c r="AD22" s="41"/>
      <c r="AE22" s="85">
        <f>IFERROR(__xludf.DUMMYFUNCTION("INDEX(SPLIT(SUBSTITUTE(AF22,CHAR(10), """"),"",:""), MATCH(Z22, SPLIT(SUBSTITUTE(AF22,CHAR(10), """"),"",:""), 0) + 1)"),3.0)</f>
        <v>3</v>
      </c>
      <c r="AF22" s="102" t="s">
        <v>1893</v>
      </c>
      <c r="AG22" s="41" t="s">
        <v>880</v>
      </c>
      <c r="AH22" s="109" t="s">
        <v>1033</v>
      </c>
      <c r="AI22" s="104">
        <v>0.0</v>
      </c>
      <c r="AJ22" s="84">
        <v>1.0</v>
      </c>
      <c r="AK22" s="104"/>
      <c r="AL22" s="35">
        <v>0.0</v>
      </c>
      <c r="AM22" s="104"/>
      <c r="AN22" s="35">
        <v>1.0</v>
      </c>
      <c r="AO22" s="110"/>
      <c r="AP22" s="35">
        <v>0.0</v>
      </c>
      <c r="AQ22" s="35">
        <v>0.0</v>
      </c>
      <c r="AR22" s="69"/>
      <c r="AS22" s="98">
        <v>0.0</v>
      </c>
      <c r="AT22" s="98">
        <v>0.0</v>
      </c>
      <c r="AU22" s="69"/>
      <c r="AV22" s="13"/>
      <c r="AW22" s="13"/>
      <c r="AX22" s="13"/>
      <c r="AY22" s="13"/>
      <c r="AZ22" s="6"/>
      <c r="BA22" s="6"/>
      <c r="BB22" s="6"/>
      <c r="BC22" s="6"/>
      <c r="BD22" s="6"/>
      <c r="BE22" s="6"/>
      <c r="BF22" s="6">
        <v>1.0E9</v>
      </c>
      <c r="BG22" s="13"/>
      <c r="BH22" s="13"/>
      <c r="BI22" s="13"/>
      <c r="BJ22" s="13"/>
      <c r="BK22" s="13"/>
      <c r="BL22" s="13"/>
      <c r="BM22" s="13"/>
      <c r="BN22" s="6"/>
      <c r="BO22" s="6">
        <v>3.0</v>
      </c>
      <c r="BP22" s="13"/>
      <c r="BQ22" s="13"/>
      <c r="BR22" s="6" t="s">
        <v>196</v>
      </c>
    </row>
    <row r="23">
      <c r="A23" s="35">
        <v>103.1</v>
      </c>
      <c r="B23" s="35" t="s">
        <v>1031</v>
      </c>
      <c r="C23" s="53">
        <v>2.0</v>
      </c>
      <c r="D23" s="53" t="s">
        <v>1031</v>
      </c>
      <c r="E23" s="7">
        <v>812.0</v>
      </c>
      <c r="F23" s="53"/>
      <c r="G23" s="6"/>
      <c r="H23" s="35">
        <v>0.0</v>
      </c>
      <c r="I23" s="35">
        <v>0.0</v>
      </c>
      <c r="J23" s="104" t="s">
        <v>655</v>
      </c>
      <c r="K23" s="99"/>
      <c r="L23" s="99"/>
      <c r="M23" s="39" t="str">
        <f t="shared" si="1"/>
        <v>[https://arxiv.org/abs/1705.06566 Spatial GAN-Based; Urs Bergmann, Nikolay Jetchev, Roland Vollgraf (2017)]</v>
      </c>
      <c r="N23" s="35" t="s">
        <v>1894</v>
      </c>
      <c r="O23" s="111">
        <v>2017.0</v>
      </c>
      <c r="P23" s="106" t="s">
        <v>1895</v>
      </c>
      <c r="Q23" s="13"/>
      <c r="R23" s="13"/>
      <c r="S23" s="13"/>
      <c r="T23" s="35">
        <v>0.0</v>
      </c>
      <c r="U23" s="35">
        <v>0.0</v>
      </c>
      <c r="V23" s="108">
        <v>3.0</v>
      </c>
      <c r="W23" s="102" t="s">
        <v>1896</v>
      </c>
      <c r="X23" s="104" t="s">
        <v>655</v>
      </c>
      <c r="Y23" s="41" t="s">
        <v>1897</v>
      </c>
      <c r="Z23" s="53" t="str">
        <f t="array" ref="Z23">INDEX(Problems!J:J, MATCH(1, (Problems!B:B=B23)*1, 0))</f>
        <v>n</v>
      </c>
      <c r="AA23" s="41"/>
      <c r="AB23" s="41"/>
      <c r="AC23" s="41"/>
      <c r="AD23" s="41"/>
      <c r="AE23" s="85">
        <f>IFERROR(__xludf.DUMMYFUNCTION("INDEX(SPLIT(SUBSTITUTE(AF23,CHAR(10), """"),"",:""), MATCH(Z23, SPLIT(SUBSTITUTE(AF23,CHAR(10), """"),"",:""), 0) + 1)"),3.0)</f>
        <v>3</v>
      </c>
      <c r="AF23" s="102" t="s">
        <v>1898</v>
      </c>
      <c r="AG23" s="41" t="s">
        <v>655</v>
      </c>
      <c r="AH23" s="112" t="s">
        <v>1895</v>
      </c>
      <c r="AI23" s="104">
        <v>0.0</v>
      </c>
      <c r="AJ23" s="84">
        <v>1.0</v>
      </c>
      <c r="AK23" s="104"/>
      <c r="AL23" s="35">
        <v>0.0</v>
      </c>
      <c r="AM23" s="104"/>
      <c r="AN23" s="35">
        <v>1.0</v>
      </c>
      <c r="AO23" s="110"/>
      <c r="AP23" s="35">
        <v>0.0</v>
      </c>
      <c r="AQ23" s="35">
        <v>0.0</v>
      </c>
      <c r="AR23" s="69"/>
      <c r="AS23" s="98">
        <v>0.0</v>
      </c>
      <c r="AT23" s="98">
        <v>0.0</v>
      </c>
      <c r="AU23" s="69"/>
      <c r="AV23" s="13"/>
      <c r="AW23" s="13"/>
      <c r="AX23" s="13"/>
      <c r="AY23" s="13"/>
      <c r="AZ23" s="6"/>
      <c r="BA23" s="6"/>
      <c r="BB23" s="6"/>
      <c r="BC23" s="6"/>
      <c r="BD23" s="6"/>
      <c r="BE23" s="6"/>
      <c r="BF23" s="6">
        <v>1.0E9</v>
      </c>
      <c r="BG23" s="13"/>
      <c r="BH23" s="13"/>
      <c r="BI23" s="13"/>
      <c r="BJ23" s="13"/>
      <c r="BK23" s="13"/>
      <c r="BL23" s="13"/>
      <c r="BM23" s="13"/>
      <c r="BN23" s="6"/>
      <c r="BO23" s="6">
        <v>3.0</v>
      </c>
      <c r="BP23" s="13"/>
      <c r="BQ23" s="13"/>
      <c r="BR23" s="6" t="s">
        <v>196</v>
      </c>
    </row>
    <row r="24">
      <c r="A24" s="35">
        <v>132.0</v>
      </c>
      <c r="B24" s="35" t="s">
        <v>1157</v>
      </c>
      <c r="C24" s="53">
        <v>2.0</v>
      </c>
      <c r="D24" s="53" t="s">
        <v>1165</v>
      </c>
      <c r="E24" s="7">
        <v>970.0</v>
      </c>
      <c r="F24" s="53"/>
      <c r="G24" s="6"/>
      <c r="H24" s="35">
        <v>1.0</v>
      </c>
      <c r="I24" s="111">
        <v>0.0</v>
      </c>
      <c r="J24" s="35" t="s">
        <v>35</v>
      </c>
      <c r="K24" s="99"/>
      <c r="L24" s="41" t="s">
        <v>1899</v>
      </c>
      <c r="M24" s="39" t="str">
        <f t="shared" si="1"/>
        <v>[https://arxiv.org/abs/1912.05935 Grigoryan (2018)]</v>
      </c>
      <c r="N24" s="107" t="s">
        <v>1900</v>
      </c>
      <c r="O24" s="111">
        <v>2018.0</v>
      </c>
      <c r="P24" s="106" t="s">
        <v>1901</v>
      </c>
      <c r="Q24" s="13"/>
      <c r="R24" s="13"/>
      <c r="S24" s="13"/>
      <c r="T24" s="111">
        <v>1.0</v>
      </c>
      <c r="U24" s="35" t="s">
        <v>1902</v>
      </c>
      <c r="V24" s="108">
        <v>3.0</v>
      </c>
      <c r="W24" s="102" t="s">
        <v>1903</v>
      </c>
      <c r="X24" s="35" t="s">
        <v>35</v>
      </c>
      <c r="Y24" s="41" t="s">
        <v>1904</v>
      </c>
      <c r="Z24" s="53" t="str">
        <f t="array" ref="Z24">INDEX(Problems!J:J, MATCH(1, (Problems!B:B=B24)*1, 0))</f>
        <v>n^2</v>
      </c>
      <c r="AA24" s="41"/>
      <c r="AB24" s="41"/>
      <c r="AC24" s="41"/>
      <c r="AD24" s="41"/>
      <c r="AE24" s="85">
        <f>IFERROR(__xludf.DUMMYFUNCTION("INDEX(SPLIT(SUBSTITUTE(AF24,CHAR(10), """"),"",:""), MATCH(Z24, SPLIT(SUBSTITUTE(AF24,CHAR(10), """"),"",:""), 0) + 1)"),5.0)</f>
        <v>5</v>
      </c>
      <c r="AF24" s="102" t="s">
        <v>1905</v>
      </c>
      <c r="AG24" s="41" t="s">
        <v>35</v>
      </c>
      <c r="AH24" s="41" t="s">
        <v>1906</v>
      </c>
      <c r="AI24" s="108">
        <v>1.0</v>
      </c>
      <c r="AJ24" s="84">
        <v>0.0</v>
      </c>
      <c r="AK24" s="108"/>
      <c r="AL24" s="111">
        <v>1.0</v>
      </c>
      <c r="AM24" s="108" t="s">
        <v>1907</v>
      </c>
      <c r="AN24" s="111">
        <v>1.0</v>
      </c>
      <c r="AO24" s="104" t="s">
        <v>1908</v>
      </c>
      <c r="AP24" s="111">
        <v>0.0</v>
      </c>
      <c r="AQ24" s="111">
        <v>0.0</v>
      </c>
      <c r="AR24" s="69"/>
      <c r="AS24" s="111">
        <v>0.0</v>
      </c>
      <c r="AT24" s="111">
        <v>0.0</v>
      </c>
      <c r="AU24" s="69"/>
      <c r="AV24" s="13"/>
      <c r="AW24" s="13"/>
      <c r="AX24" s="13"/>
      <c r="AY24" s="13"/>
      <c r="AZ24" s="6"/>
      <c r="BA24" s="6"/>
      <c r="BB24" s="6"/>
      <c r="BC24" s="6"/>
      <c r="BD24" s="6"/>
      <c r="BE24" s="6"/>
      <c r="BF24" s="6">
        <v>1000.0</v>
      </c>
      <c r="BG24" s="13"/>
      <c r="BH24" s="13"/>
      <c r="BI24" s="13"/>
      <c r="BJ24" s="13"/>
      <c r="BK24" s="13"/>
      <c r="BL24" s="13"/>
      <c r="BM24" s="13"/>
      <c r="BN24" s="6"/>
      <c r="BO24" s="6">
        <v>1.0</v>
      </c>
      <c r="BP24" s="13"/>
      <c r="BQ24" s="13"/>
      <c r="BR24" s="6" t="s">
        <v>23</v>
      </c>
    </row>
    <row r="25">
      <c r="A25" s="16">
        <v>32.0</v>
      </c>
      <c r="B25" s="16" t="s">
        <v>499</v>
      </c>
      <c r="C25" s="53">
        <v>2.0</v>
      </c>
      <c r="D25" s="53" t="s">
        <v>499</v>
      </c>
      <c r="E25" s="7">
        <v>324.0</v>
      </c>
      <c r="F25" s="53"/>
      <c r="G25" s="7"/>
      <c r="H25" s="16">
        <v>1.0</v>
      </c>
      <c r="I25" s="16">
        <v>0.0</v>
      </c>
      <c r="J25" s="16" t="s">
        <v>1909</v>
      </c>
      <c r="K25" s="53" t="s">
        <v>1910</v>
      </c>
      <c r="L25" s="113" t="s">
        <v>1911</v>
      </c>
      <c r="M25" s="39" t="str">
        <f t="shared" si="1"/>
        <v>[https://epubs.siam.org/doi/abs/10.1137/0211030?journalCode=smjcat Sedgewick; Szymanski; and Yao (1982)]</v>
      </c>
      <c r="N25" s="16" t="s">
        <v>1912</v>
      </c>
      <c r="O25" s="81">
        <v>1982.0</v>
      </c>
      <c r="P25" s="17" t="s">
        <v>1911</v>
      </c>
      <c r="Q25" s="7">
        <v>1.0</v>
      </c>
      <c r="R25" s="7">
        <v>0.0</v>
      </c>
      <c r="S25" s="114" t="s">
        <v>1913</v>
      </c>
      <c r="T25" s="16">
        <v>0.0</v>
      </c>
      <c r="U25" s="16">
        <v>0.0</v>
      </c>
      <c r="V25" s="84">
        <v>3.0</v>
      </c>
      <c r="W25" s="85" t="s">
        <v>1914</v>
      </c>
      <c r="X25" s="16" t="s">
        <v>1915</v>
      </c>
      <c r="Y25" s="53" t="s">
        <v>1916</v>
      </c>
      <c r="Z25" s="53" t="str">
        <f t="array" ref="Z25">INDEX(Problems!J:J, MATCH(1, (Problems!B:B=B25)*1, 0))</f>
        <v>\mu</v>
      </c>
      <c r="AA25" s="53"/>
      <c r="AB25" s="53"/>
      <c r="AC25" s="53"/>
      <c r="AD25" s="53" t="s">
        <v>1917</v>
      </c>
      <c r="AE25" s="85">
        <f>IFERROR(__xludf.DUMMYFUNCTION("INDEX(SPLIT(SUBSTITUTE(AF25,CHAR(10), """"),"",:""), MATCH(Z25, SPLIT(SUBSTITUTE(AF25,CHAR(10), """"),"",:""), 0) + 1)"),1.0)</f>
        <v>1</v>
      </c>
      <c r="AF25" s="85" t="s">
        <v>1918</v>
      </c>
      <c r="AG25" s="53" t="s">
        <v>1919</v>
      </c>
      <c r="AH25" s="113" t="s">
        <v>1911</v>
      </c>
      <c r="AI25" s="84">
        <v>0.0</v>
      </c>
      <c r="AJ25" s="84">
        <v>1.0</v>
      </c>
      <c r="AK25" s="87"/>
      <c r="AL25" s="81">
        <v>0.0</v>
      </c>
      <c r="AM25" s="21"/>
      <c r="AN25" s="16">
        <v>0.0</v>
      </c>
      <c r="AO25" s="21"/>
      <c r="AP25" s="16">
        <v>0.0</v>
      </c>
      <c r="AQ25" s="16">
        <v>0.0</v>
      </c>
      <c r="AR25" s="39"/>
      <c r="AS25" s="81">
        <v>0.0</v>
      </c>
      <c r="AT25" s="81">
        <v>0.0</v>
      </c>
      <c r="AU25" s="39"/>
      <c r="AV25" s="7" t="s">
        <v>1920</v>
      </c>
      <c r="AW25" s="82"/>
      <c r="AX25" s="82"/>
      <c r="AY25" s="7"/>
      <c r="AZ25" s="7"/>
      <c r="BA25" s="7"/>
      <c r="BB25" s="7"/>
      <c r="BC25" s="7"/>
      <c r="BD25" s="7"/>
      <c r="BE25" s="7"/>
      <c r="BF25" s="7">
        <v>9.965</v>
      </c>
      <c r="BG25" s="13">
        <f>1000/9.965</f>
        <v>100.3512293</v>
      </c>
      <c r="BH25" s="82"/>
      <c r="BI25" s="82" t="str">
        <f t="shared" ref="BI25:BJ25" si="2">#REF!</f>
        <v>#REF!</v>
      </c>
      <c r="BJ25" s="82" t="str">
        <f t="shared" si="2"/>
        <v>#REF!</v>
      </c>
      <c r="BK25" s="82"/>
      <c r="BL25" s="82" t="str">
        <f t="shared" ref="BL25:BM25" si="3">#REF!</f>
        <v>#REF!</v>
      </c>
      <c r="BM25" s="82" t="str">
        <f t="shared" si="3"/>
        <v>#REF!</v>
      </c>
      <c r="BN25" s="7"/>
      <c r="BO25" s="7">
        <v>6.0</v>
      </c>
      <c r="BP25" s="82"/>
      <c r="BQ25" s="7"/>
      <c r="BR25" s="7" t="s">
        <v>23</v>
      </c>
    </row>
    <row r="26">
      <c r="A26" s="16">
        <v>32.0</v>
      </c>
      <c r="B26" s="16" t="s">
        <v>499</v>
      </c>
      <c r="C26" s="53">
        <v>2.0</v>
      </c>
      <c r="D26" s="53" t="s">
        <v>499</v>
      </c>
      <c r="E26" s="7">
        <v>325.0</v>
      </c>
      <c r="F26" s="53"/>
      <c r="G26" s="7"/>
      <c r="H26" s="16">
        <v>1.0</v>
      </c>
      <c r="I26" s="16">
        <v>0.0</v>
      </c>
      <c r="J26" s="16" t="s">
        <v>1921</v>
      </c>
      <c r="K26" s="53" t="s">
        <v>1922</v>
      </c>
      <c r="L26" s="91" t="s">
        <v>1923</v>
      </c>
      <c r="M26" s="39" t="str">
        <f t="shared" si="1"/>
        <v>[https://drive.google.com/file/d/16H_lrjeaBJqWvcn07C_w-6VNHldJ-ZZl/view Nivasch (2004)]</v>
      </c>
      <c r="N26" s="16" t="s">
        <v>1924</v>
      </c>
      <c r="O26" s="81">
        <v>2004.0</v>
      </c>
      <c r="P26" s="25" t="s">
        <v>1923</v>
      </c>
      <c r="Q26" s="82"/>
      <c r="R26" s="82"/>
      <c r="S26" s="82"/>
      <c r="T26" s="16">
        <v>0.0</v>
      </c>
      <c r="U26" s="16">
        <v>0.0</v>
      </c>
      <c r="V26" s="84">
        <v>3.0</v>
      </c>
      <c r="W26" s="85" t="s">
        <v>1925</v>
      </c>
      <c r="X26" s="16" t="s">
        <v>1926</v>
      </c>
      <c r="Y26" s="53" t="s">
        <v>1927</v>
      </c>
      <c r="Z26" s="53" t="str">
        <f t="array" ref="Z26">INDEX(Problems!J:J, MATCH(1, (Problems!B:B=B26)*1, 0))</f>
        <v>\mu</v>
      </c>
      <c r="AA26" s="53"/>
      <c r="AB26" s="53"/>
      <c r="AC26" s="53" t="s">
        <v>1928</v>
      </c>
      <c r="AD26" s="53" t="s">
        <v>1929</v>
      </c>
      <c r="AE26" s="85">
        <f>IFERROR(__xludf.DUMMYFUNCTION("INDEX(SPLIT(SUBSTITUTE(AF26,CHAR(10), """"),"",:""), MATCH(Z26, SPLIT(SUBSTITUTE(AF26,CHAR(10), """"),"",:""), 0) + 1)"),2.0)</f>
        <v>2</v>
      </c>
      <c r="AF26" s="85" t="s">
        <v>1930</v>
      </c>
      <c r="AG26" s="53" t="s">
        <v>1931</v>
      </c>
      <c r="AH26" s="91" t="s">
        <v>1932</v>
      </c>
      <c r="AI26" s="84">
        <v>0.0</v>
      </c>
      <c r="AJ26" s="84">
        <v>1.0</v>
      </c>
      <c r="AK26" s="87"/>
      <c r="AL26" s="81">
        <v>0.0</v>
      </c>
      <c r="AM26" s="21"/>
      <c r="AN26" s="16">
        <v>0.0</v>
      </c>
      <c r="AO26" s="90"/>
      <c r="AP26" s="16">
        <v>0.0</v>
      </c>
      <c r="AQ26" s="16">
        <v>0.0</v>
      </c>
      <c r="AR26" s="39"/>
      <c r="AS26" s="81">
        <v>0.0</v>
      </c>
      <c r="AT26" s="81">
        <v>0.0</v>
      </c>
      <c r="AU26" s="39"/>
      <c r="AV26" s="7" t="s">
        <v>1920</v>
      </c>
      <c r="AW26" s="82"/>
      <c r="AX26" s="82"/>
      <c r="AY26" s="7"/>
      <c r="AZ26" s="7"/>
      <c r="BA26" s="7"/>
      <c r="BB26" s="7"/>
      <c r="BC26" s="7"/>
      <c r="BD26" s="7"/>
      <c r="BE26" s="7"/>
      <c r="BF26" s="7">
        <v>9.965</v>
      </c>
      <c r="BG26" s="13"/>
      <c r="BH26" s="82"/>
      <c r="BI26" s="82"/>
      <c r="BJ26" s="82"/>
      <c r="BK26" s="82"/>
      <c r="BL26" s="82"/>
      <c r="BM26" s="82"/>
      <c r="BN26" s="7"/>
      <c r="BO26" s="7">
        <v>6.0</v>
      </c>
      <c r="BP26" s="82"/>
      <c r="BQ26" s="7"/>
      <c r="BR26" s="7" t="s">
        <v>23</v>
      </c>
    </row>
    <row r="27">
      <c r="A27" s="16">
        <v>1.0</v>
      </c>
      <c r="B27" s="16" t="s">
        <v>18</v>
      </c>
      <c r="C27" s="53">
        <v>2.0</v>
      </c>
      <c r="D27" s="53" t="s">
        <v>24</v>
      </c>
      <c r="E27" s="7">
        <v>1.0</v>
      </c>
      <c r="F27" s="53"/>
      <c r="G27" s="7"/>
      <c r="H27" s="16">
        <v>1.0</v>
      </c>
      <c r="I27" s="81">
        <v>1.0</v>
      </c>
      <c r="J27" s="115" t="s">
        <v>1933</v>
      </c>
      <c r="K27" s="53" t="s">
        <v>1934</v>
      </c>
      <c r="L27" s="53" t="s">
        <v>1935</v>
      </c>
      <c r="M27" s="39" t="str">
        <f t="shared" si="1"/>
        <v>[- Naive sorting (1940)]</v>
      </c>
      <c r="N27" s="39" t="s">
        <v>1936</v>
      </c>
      <c r="O27" s="81">
        <v>1940.0</v>
      </c>
      <c r="P27" s="39" t="s">
        <v>1937</v>
      </c>
      <c r="Q27" s="7">
        <v>1.0</v>
      </c>
      <c r="R27" s="7">
        <v>1.0</v>
      </c>
      <c r="S27" s="7"/>
      <c r="T27" s="81">
        <v>1.0</v>
      </c>
      <c r="U27" s="81">
        <v>0.0</v>
      </c>
      <c r="V27" s="89">
        <f>IFERROR(__xludf.DUMMYFUNCTION("INDEX(SPLIT(SUBSTITUTE(W27,CHAR(10), """"),"",:""), MATCH(Z27, SPLIT(SUBSTITUTE(W27,CHAR(10), """"),"",:""), 0) + 1)"),5.0)</f>
        <v>5</v>
      </c>
      <c r="W27" s="85" t="s">
        <v>1938</v>
      </c>
      <c r="X27" s="16" t="s">
        <v>115</v>
      </c>
      <c r="Y27" s="53" t="s">
        <v>1939</v>
      </c>
      <c r="Z27" s="53" t="str">
        <f t="array" ref="Z27">INDEX(Problems!J:J, MATCH(1, (Problems!B:B=B27)*1, 0))</f>
        <v>n</v>
      </c>
      <c r="AA27" s="53"/>
      <c r="AB27" s="53"/>
      <c r="AC27" s="53" t="s">
        <v>1813</v>
      </c>
      <c r="AD27" s="53" t="s">
        <v>1814</v>
      </c>
      <c r="AE27" s="85">
        <f>IFERROR(__xludf.DUMMYFUNCTION("INDEX(SPLIT(SUBSTITUTE(AF27,CHAR(10), """"),"",:""), MATCH(Z27, SPLIT(SUBSTITUTE(AF27,CHAR(10), """"),"",:""), 0) + 1)"),1.0)</f>
        <v>1</v>
      </c>
      <c r="AF27" s="85" t="s">
        <v>1774</v>
      </c>
      <c r="AG27" s="53" t="s">
        <v>1940</v>
      </c>
      <c r="AH27" s="53" t="s">
        <v>1941</v>
      </c>
      <c r="AI27" s="84">
        <v>1.0</v>
      </c>
      <c r="AJ27" s="84">
        <v>0.0</v>
      </c>
      <c r="AK27" s="87"/>
      <c r="AL27" s="81">
        <v>0.0</v>
      </c>
      <c r="AM27" s="87"/>
      <c r="AN27" s="81">
        <v>0.0</v>
      </c>
      <c r="AO27" s="116"/>
      <c r="AP27" s="81">
        <v>0.0</v>
      </c>
      <c r="AQ27" s="81">
        <v>0.0</v>
      </c>
      <c r="AR27" s="39"/>
      <c r="AS27" s="81">
        <v>0.0</v>
      </c>
      <c r="AT27" s="81">
        <v>0.0</v>
      </c>
      <c r="AU27" s="39" t="s">
        <v>1937</v>
      </c>
      <c r="AV27" s="7" t="s">
        <v>1942</v>
      </c>
      <c r="AW27" s="7">
        <v>1.0</v>
      </c>
      <c r="AX27" s="7" t="s">
        <v>1943</v>
      </c>
      <c r="AY27" s="7" t="s">
        <v>1944</v>
      </c>
      <c r="AZ27" s="7"/>
      <c r="BA27" s="7"/>
      <c r="BB27" s="7"/>
      <c r="BC27" s="7"/>
      <c r="BD27" s="7"/>
      <c r="BE27" s="7"/>
      <c r="BF27" s="7">
        <f>pow(1000, 2)</f>
        <v>1000000</v>
      </c>
      <c r="BG27" s="82">
        <f t="shared" ref="BG27:BG34" si="4">1000000/BF27</f>
        <v>1</v>
      </c>
      <c r="BH27" s="7"/>
      <c r="BI27" s="7">
        <f>pow(1000000, 2)</f>
        <v>1000000000000</v>
      </c>
      <c r="BJ27" s="7">
        <v>1.0</v>
      </c>
      <c r="BK27" s="7"/>
      <c r="BL27" s="7">
        <f>pow(1000000000, 2)</f>
        <v>1E+18</v>
      </c>
      <c r="BM27" s="7">
        <v>1.0</v>
      </c>
      <c r="BN27" s="7"/>
      <c r="BO27" s="7">
        <v>4.0</v>
      </c>
      <c r="BP27" s="7" t="s">
        <v>1944</v>
      </c>
      <c r="BQ27" s="7" t="s">
        <v>1944</v>
      </c>
      <c r="BR27" s="7" t="s">
        <v>23</v>
      </c>
    </row>
    <row r="28">
      <c r="A28" s="16">
        <v>1.0</v>
      </c>
      <c r="B28" s="16" t="s">
        <v>18</v>
      </c>
      <c r="C28" s="53">
        <v>2.0</v>
      </c>
      <c r="D28" s="53" t="s">
        <v>24</v>
      </c>
      <c r="E28" s="7">
        <v>2.0</v>
      </c>
      <c r="F28" s="53"/>
      <c r="G28" s="7"/>
      <c r="H28" s="16">
        <v>1.0</v>
      </c>
      <c r="I28" s="81">
        <v>1.0</v>
      </c>
      <c r="J28" s="115" t="s">
        <v>1933</v>
      </c>
      <c r="K28" s="53" t="s">
        <v>1945</v>
      </c>
      <c r="L28" s="53" t="s">
        <v>1946</v>
      </c>
      <c r="M28" s="39" t="str">
        <f t="shared" si="1"/>
        <v>[- Selection Sort (1962)]</v>
      </c>
      <c r="N28" s="39" t="s">
        <v>1947</v>
      </c>
      <c r="O28" s="81">
        <v>1962.0</v>
      </c>
      <c r="P28" s="39" t="s">
        <v>1937</v>
      </c>
      <c r="Q28" s="82"/>
      <c r="R28" s="82"/>
      <c r="S28" s="82"/>
      <c r="T28" s="81">
        <v>0.0</v>
      </c>
      <c r="U28" s="81">
        <v>0.0</v>
      </c>
      <c r="V28" s="89">
        <f>IFERROR(__xludf.DUMMYFUNCTION("INDEX(SPLIT(SUBSTITUTE(W28,CHAR(10), """"),"",:""), MATCH(Z28, SPLIT(SUBSTITUTE(W28,CHAR(10), """"),"",:""), 0) + 1)"),5.0)</f>
        <v>5</v>
      </c>
      <c r="W28" s="85" t="s">
        <v>1938</v>
      </c>
      <c r="X28" s="16" t="s">
        <v>115</v>
      </c>
      <c r="Y28" s="53" t="s">
        <v>1939</v>
      </c>
      <c r="Z28" s="53" t="str">
        <f t="array" ref="Z28">INDEX(Problems!J:J, MATCH(1, (Problems!B:B=B28)*1, 0))</f>
        <v>n</v>
      </c>
      <c r="AA28" s="53"/>
      <c r="AB28" s="53"/>
      <c r="AC28" s="53" t="s">
        <v>1813</v>
      </c>
      <c r="AD28" s="53" t="s">
        <v>1814</v>
      </c>
      <c r="AE28" s="85">
        <f>IFERROR(__xludf.DUMMYFUNCTION("INDEX(SPLIT(SUBSTITUTE(AF28,CHAR(10), """"),"",:""), MATCH(Z28, SPLIT(SUBSTITUTE(AF28,CHAR(10), """"),"",:""), 0) + 1)"),1.0)</f>
        <v>1</v>
      </c>
      <c r="AF28" s="85" t="s">
        <v>1774</v>
      </c>
      <c r="AG28" s="53" t="s">
        <v>1940</v>
      </c>
      <c r="AH28" s="53" t="s">
        <v>1941</v>
      </c>
      <c r="AI28" s="84">
        <v>1.0</v>
      </c>
      <c r="AJ28" s="84">
        <v>0.0</v>
      </c>
      <c r="AK28" s="87"/>
      <c r="AL28" s="81">
        <v>0.0</v>
      </c>
      <c r="AM28" s="87"/>
      <c r="AN28" s="81">
        <v>0.0</v>
      </c>
      <c r="AO28" s="116"/>
      <c r="AP28" s="81">
        <v>0.0</v>
      </c>
      <c r="AQ28" s="81">
        <v>0.0</v>
      </c>
      <c r="AR28" s="39"/>
      <c r="AS28" s="81">
        <v>0.0</v>
      </c>
      <c r="AT28" s="81">
        <v>0.0</v>
      </c>
      <c r="AU28" s="28" t="s">
        <v>1948</v>
      </c>
      <c r="AV28" s="7" t="s">
        <v>1942</v>
      </c>
      <c r="AW28" s="7">
        <v>1.0</v>
      </c>
      <c r="AX28" s="7" t="s">
        <v>1943</v>
      </c>
      <c r="AY28" s="7"/>
      <c r="AZ28" s="7"/>
      <c r="BA28" s="7"/>
      <c r="BB28" s="7"/>
      <c r="BC28" s="7"/>
      <c r="BD28" s="7"/>
      <c r="BE28" s="7"/>
      <c r="BF28" s="7">
        <v>1000000.0</v>
      </c>
      <c r="BG28" s="82">
        <f t="shared" si="4"/>
        <v>1</v>
      </c>
      <c r="BH28" s="82"/>
      <c r="BI28" s="82"/>
      <c r="BJ28" s="82"/>
      <c r="BK28" s="82"/>
      <c r="BL28" s="82"/>
      <c r="BM28" s="82"/>
      <c r="BN28" s="7"/>
      <c r="BO28" s="7">
        <v>4.0</v>
      </c>
      <c r="BP28" s="82"/>
      <c r="BQ28" s="7"/>
      <c r="BR28" s="7" t="s">
        <v>23</v>
      </c>
    </row>
    <row r="29">
      <c r="A29" s="16">
        <v>1.0</v>
      </c>
      <c r="B29" s="16" t="s">
        <v>18</v>
      </c>
      <c r="C29" s="53">
        <v>2.0</v>
      </c>
      <c r="D29" s="53" t="s">
        <v>24</v>
      </c>
      <c r="E29" s="7">
        <v>3.0</v>
      </c>
      <c r="F29" s="53"/>
      <c r="G29" s="7"/>
      <c r="H29" s="16">
        <v>1.0</v>
      </c>
      <c r="I29" s="81">
        <v>1.0</v>
      </c>
      <c r="J29" s="115" t="s">
        <v>1949</v>
      </c>
      <c r="K29" s="53" t="s">
        <v>1950</v>
      </c>
      <c r="L29" s="53" t="s">
        <v>1946</v>
      </c>
      <c r="M29" s="39" t="str">
        <f t="shared" si="1"/>
        <v>[- Merge Sort (1945)]</v>
      </c>
      <c r="N29" s="39" t="s">
        <v>1951</v>
      </c>
      <c r="O29" s="81">
        <v>1945.0</v>
      </c>
      <c r="P29" s="39" t="s">
        <v>1937</v>
      </c>
      <c r="Q29" s="82"/>
      <c r="R29" s="82"/>
      <c r="S29" s="82"/>
      <c r="T29" s="83">
        <v>1.0</v>
      </c>
      <c r="U29" s="83" t="s">
        <v>1952</v>
      </c>
      <c r="V29" s="89">
        <f>IFERROR(__xludf.DUMMYFUNCTION("INDEX(SPLIT(SUBSTITUTE(W29,CHAR(10), """"),"",:""), MATCH(Z29, SPLIT(SUBSTITUTE(W29,CHAR(10), """"),"",:""), 0) + 1)"),4.0)</f>
        <v>4</v>
      </c>
      <c r="W29" s="85" t="s">
        <v>1791</v>
      </c>
      <c r="X29" s="16" t="s">
        <v>1953</v>
      </c>
      <c r="Y29" s="53" t="s">
        <v>1939</v>
      </c>
      <c r="Z29" s="53" t="str">
        <f t="array" ref="Z29">INDEX(Problems!J:J, MATCH(1, (Problems!B:B=B29)*1, 0))</f>
        <v>n</v>
      </c>
      <c r="AA29" s="53"/>
      <c r="AB29" s="53"/>
      <c r="AC29" s="53" t="s">
        <v>1813</v>
      </c>
      <c r="AD29" s="53" t="s">
        <v>1814</v>
      </c>
      <c r="AE29" s="85">
        <f>IFERROR(__xludf.DUMMYFUNCTION("INDEX(SPLIT(SUBSTITUTE(AF29,CHAR(10), """"),"",:""), MATCH(Z29, SPLIT(SUBSTITUTE(AF29,CHAR(10), """"),"",:""), 0) + 1)"),3.0)</f>
        <v>3</v>
      </c>
      <c r="AF29" s="85" t="s">
        <v>1763</v>
      </c>
      <c r="AG29" s="53" t="s">
        <v>35</v>
      </c>
      <c r="AH29" s="53" t="s">
        <v>1954</v>
      </c>
      <c r="AI29" s="84">
        <v>1.0</v>
      </c>
      <c r="AJ29" s="84">
        <v>0.0</v>
      </c>
      <c r="AK29" s="87"/>
      <c r="AL29" s="81">
        <v>0.0</v>
      </c>
      <c r="AM29" s="87"/>
      <c r="AN29" s="81">
        <v>0.0</v>
      </c>
      <c r="AO29" s="116"/>
      <c r="AP29" s="81">
        <v>0.0</v>
      </c>
      <c r="AQ29" s="81">
        <v>0.0</v>
      </c>
      <c r="AR29" s="39"/>
      <c r="AS29" s="81">
        <v>0.0</v>
      </c>
      <c r="AT29" s="81">
        <v>0.0</v>
      </c>
      <c r="AU29" s="39" t="s">
        <v>1955</v>
      </c>
      <c r="AV29" s="7" t="s">
        <v>1942</v>
      </c>
      <c r="AW29" s="7">
        <v>1.0</v>
      </c>
      <c r="AX29" s="7" t="s">
        <v>1943</v>
      </c>
      <c r="AZ29" s="7"/>
      <c r="BA29" s="7"/>
      <c r="BB29" s="7"/>
      <c r="BC29" s="7"/>
      <c r="BD29" s="7"/>
      <c r="BE29" s="7"/>
      <c r="BF29" s="7">
        <v>9965.0</v>
      </c>
      <c r="BG29" s="82">
        <f t="shared" si="4"/>
        <v>100.3512293</v>
      </c>
      <c r="BH29" s="82"/>
      <c r="BI29" s="82"/>
      <c r="BJ29" s="82"/>
      <c r="BK29" s="82"/>
      <c r="BL29" s="82"/>
      <c r="BM29" s="82"/>
      <c r="BN29" s="7"/>
      <c r="BO29" s="7">
        <v>4.0</v>
      </c>
      <c r="BP29" s="82"/>
      <c r="BQ29" s="7"/>
      <c r="BR29" s="7" t="s">
        <v>23</v>
      </c>
    </row>
    <row r="30">
      <c r="A30" s="16">
        <v>1.0</v>
      </c>
      <c r="B30" s="16" t="s">
        <v>18</v>
      </c>
      <c r="C30" s="53">
        <v>2.0</v>
      </c>
      <c r="D30" s="53" t="s">
        <v>24</v>
      </c>
      <c r="E30" s="7">
        <v>5.0</v>
      </c>
      <c r="F30" s="53"/>
      <c r="G30" s="7"/>
      <c r="H30" s="16">
        <v>1.0</v>
      </c>
      <c r="I30" s="81">
        <v>1.0</v>
      </c>
      <c r="J30" s="115" t="s">
        <v>1933</v>
      </c>
      <c r="K30" s="53" t="s">
        <v>1934</v>
      </c>
      <c r="L30" s="53" t="s">
        <v>1956</v>
      </c>
      <c r="M30" s="39" t="str">
        <f t="shared" si="1"/>
        <v>[- Bubble Sort (1956)]</v>
      </c>
      <c r="N30" s="39" t="s">
        <v>1957</v>
      </c>
      <c r="O30" s="81">
        <v>1956.0</v>
      </c>
      <c r="P30" s="39" t="s">
        <v>1937</v>
      </c>
      <c r="Q30" s="82"/>
      <c r="R30" s="82"/>
      <c r="S30" s="82"/>
      <c r="T30" s="81">
        <v>0.0</v>
      </c>
      <c r="U30" s="81">
        <v>0.0</v>
      </c>
      <c r="V30" s="89">
        <f>IFERROR(__xludf.DUMMYFUNCTION("INDEX(SPLIT(SUBSTITUTE(W30,CHAR(10), """"),"",:""), MATCH(Z30, SPLIT(SUBSTITUTE(W30,CHAR(10), """"),"",:""), 0) + 1)"),5.0)</f>
        <v>5</v>
      </c>
      <c r="W30" s="85" t="s">
        <v>1938</v>
      </c>
      <c r="X30" s="16" t="s">
        <v>115</v>
      </c>
      <c r="Y30" s="53" t="s">
        <v>1939</v>
      </c>
      <c r="Z30" s="53" t="str">
        <f t="array" ref="Z30">INDEX(Problems!J:J, MATCH(1, (Problems!B:B=B30)*1, 0))</f>
        <v>n</v>
      </c>
      <c r="AA30" s="53"/>
      <c r="AB30" s="53"/>
      <c r="AC30" s="53" t="s">
        <v>1813</v>
      </c>
      <c r="AD30" s="53" t="s">
        <v>1814</v>
      </c>
      <c r="AE30" s="85">
        <f>IFERROR(__xludf.DUMMYFUNCTION("INDEX(SPLIT(SUBSTITUTE(AF30,CHAR(10), """"),"",:""), MATCH(Z30, SPLIT(SUBSTITUTE(AF30,CHAR(10), """"),"",:""), 0) + 1)"),1.0)</f>
        <v>1</v>
      </c>
      <c r="AF30" s="85" t="s">
        <v>1774</v>
      </c>
      <c r="AG30" s="53" t="s">
        <v>1940</v>
      </c>
      <c r="AH30" s="53" t="s">
        <v>1941</v>
      </c>
      <c r="AI30" s="84">
        <v>1.0</v>
      </c>
      <c r="AJ30" s="84">
        <v>0.0</v>
      </c>
      <c r="AK30" s="87"/>
      <c r="AL30" s="81">
        <v>0.0</v>
      </c>
      <c r="AM30" s="87"/>
      <c r="AN30" s="81">
        <v>0.0</v>
      </c>
      <c r="AO30" s="116"/>
      <c r="AP30" s="81">
        <v>0.0</v>
      </c>
      <c r="AQ30" s="81">
        <v>0.0</v>
      </c>
      <c r="AR30" s="39"/>
      <c r="AS30" s="81">
        <v>0.0</v>
      </c>
      <c r="AT30" s="81">
        <v>0.0</v>
      </c>
      <c r="AU30" s="28" t="s">
        <v>1958</v>
      </c>
      <c r="AV30" s="7" t="s">
        <v>1942</v>
      </c>
      <c r="AW30" s="7">
        <v>1.0</v>
      </c>
      <c r="AX30" s="7" t="s">
        <v>1943</v>
      </c>
      <c r="AZ30" s="7"/>
      <c r="BA30" s="7"/>
      <c r="BB30" s="7"/>
      <c r="BC30" s="7"/>
      <c r="BD30" s="7"/>
      <c r="BE30" s="7"/>
      <c r="BF30" s="7">
        <v>1000000.0</v>
      </c>
      <c r="BG30" s="82">
        <f t="shared" si="4"/>
        <v>1</v>
      </c>
      <c r="BH30" s="82"/>
      <c r="BI30" s="82"/>
      <c r="BJ30" s="82"/>
      <c r="BK30" s="82"/>
      <c r="BL30" s="82"/>
      <c r="BM30" s="82"/>
      <c r="BN30" s="7"/>
      <c r="BO30" s="7">
        <v>4.0</v>
      </c>
      <c r="BP30" s="82"/>
      <c r="BQ30" s="7"/>
      <c r="BR30" s="7" t="s">
        <v>23</v>
      </c>
    </row>
    <row r="31">
      <c r="A31" s="16">
        <v>1.0</v>
      </c>
      <c r="B31" s="16" t="s">
        <v>18</v>
      </c>
      <c r="C31" s="53">
        <v>2.0</v>
      </c>
      <c r="D31" s="53" t="s">
        <v>24</v>
      </c>
      <c r="E31" s="7">
        <v>8.0</v>
      </c>
      <c r="F31" s="53"/>
      <c r="G31" s="7"/>
      <c r="H31" s="16">
        <v>1.0</v>
      </c>
      <c r="I31" s="81">
        <v>1.0</v>
      </c>
      <c r="J31" s="115" t="s">
        <v>1949</v>
      </c>
      <c r="K31" s="41" t="s">
        <v>1934</v>
      </c>
      <c r="L31" s="41" t="s">
        <v>1959</v>
      </c>
      <c r="M31" s="39" t="str">
        <f t="shared" si="1"/>
        <v>[https://onlinelibrary.wiley.com/doi/abs/10.1002/%28SICI%291097-024X%28199708%2927%3A8%3C983%3A%3AAID-SPE117%3E3.0.CO%3B2-%23 Intro Sort (1997)]</v>
      </c>
      <c r="N31" s="39" t="s">
        <v>1960</v>
      </c>
      <c r="O31" s="81">
        <v>1997.0</v>
      </c>
      <c r="P31" s="28" t="s">
        <v>1961</v>
      </c>
      <c r="Q31" s="82"/>
      <c r="R31" s="82"/>
      <c r="S31" s="82"/>
      <c r="T31" s="81">
        <v>0.0</v>
      </c>
      <c r="U31" s="81">
        <v>0.0</v>
      </c>
      <c r="V31" s="89">
        <f>IFERROR(__xludf.DUMMYFUNCTION("INDEX(SPLIT(SUBSTITUTE(W31,CHAR(10), """"),"",:""), MATCH(Z31, SPLIT(SUBSTITUTE(W31,CHAR(10), """"),"",:""), 0) + 1)"),4.0)</f>
        <v>4</v>
      </c>
      <c r="W31" s="85" t="s">
        <v>1791</v>
      </c>
      <c r="X31" s="16" t="s">
        <v>1953</v>
      </c>
      <c r="Y31" s="53" t="s">
        <v>1939</v>
      </c>
      <c r="Z31" s="53" t="str">
        <f t="array" ref="Z31">INDEX(Problems!J:J, MATCH(1, (Problems!B:B=B31)*1, 0))</f>
        <v>n</v>
      </c>
      <c r="AA31" s="53"/>
      <c r="AB31" s="53"/>
      <c r="AC31" s="53" t="s">
        <v>1813</v>
      </c>
      <c r="AD31" s="53" t="s">
        <v>1814</v>
      </c>
      <c r="AE31" s="85">
        <f>IFERROR(__xludf.DUMMYFUNCTION("INDEX(SPLIT(SUBSTITUTE(AF31,CHAR(10), """"),"",:""), MATCH(Z31, SPLIT(SUBSTITUTE(AF31,CHAR(10), """"),"",:""), 0) + 1)"),2.0)</f>
        <v>2</v>
      </c>
      <c r="AF31" s="85" t="s">
        <v>1962</v>
      </c>
      <c r="AG31" s="53" t="s">
        <v>1963</v>
      </c>
      <c r="AH31" s="53" t="s">
        <v>1964</v>
      </c>
      <c r="AI31" s="84">
        <v>1.0</v>
      </c>
      <c r="AJ31" s="84">
        <v>0.0</v>
      </c>
      <c r="AK31" s="87"/>
      <c r="AL31" s="81">
        <v>0.0</v>
      </c>
      <c r="AM31" s="87"/>
      <c r="AN31" s="81">
        <v>0.0</v>
      </c>
      <c r="AO31" s="116"/>
      <c r="AP31" s="81">
        <v>0.0</v>
      </c>
      <c r="AQ31" s="81">
        <v>0.0</v>
      </c>
      <c r="AR31" s="39"/>
      <c r="AS31" s="81">
        <v>0.0</v>
      </c>
      <c r="AT31" s="81">
        <v>0.0</v>
      </c>
      <c r="AU31" s="28" t="s">
        <v>1965</v>
      </c>
      <c r="AV31" s="7" t="s">
        <v>1942</v>
      </c>
      <c r="AW31" s="7">
        <v>1.0</v>
      </c>
      <c r="AX31" s="7" t="s">
        <v>1943</v>
      </c>
      <c r="AZ31" s="7"/>
      <c r="BA31" s="7"/>
      <c r="BB31" s="7"/>
      <c r="BC31" s="7"/>
      <c r="BD31" s="7"/>
      <c r="BE31" s="7"/>
      <c r="BF31" s="7">
        <v>9965.0</v>
      </c>
      <c r="BG31" s="82">
        <f t="shared" si="4"/>
        <v>100.3512293</v>
      </c>
      <c r="BH31" s="82"/>
      <c r="BI31" s="82"/>
      <c r="BJ31" s="82"/>
      <c r="BK31" s="82"/>
      <c r="BL31" s="82"/>
      <c r="BM31" s="82"/>
      <c r="BN31" s="7"/>
      <c r="BO31" s="7">
        <v>4.0</v>
      </c>
      <c r="BP31" s="82"/>
      <c r="BQ31" s="7"/>
      <c r="BR31" s="7" t="s">
        <v>23</v>
      </c>
    </row>
    <row r="32">
      <c r="A32" s="16">
        <v>1.0</v>
      </c>
      <c r="B32" s="16" t="s">
        <v>18</v>
      </c>
      <c r="C32" s="53">
        <v>2.0</v>
      </c>
      <c r="D32" s="53" t="s">
        <v>24</v>
      </c>
      <c r="E32" s="7">
        <v>24.0</v>
      </c>
      <c r="F32" s="53"/>
      <c r="G32" s="7"/>
      <c r="H32" s="16">
        <v>1.0</v>
      </c>
      <c r="I32" s="81">
        <v>1.0</v>
      </c>
      <c r="J32" s="115" t="s">
        <v>1949</v>
      </c>
      <c r="K32" s="41" t="s">
        <v>1966</v>
      </c>
      <c r="L32" s="91" t="s">
        <v>1967</v>
      </c>
      <c r="M32" s="39" t="str">
        <f t="shared" si="1"/>
        <v>[https://www.bibsonomy.org/bibtex/2f485e4ea9a877871b59ab503151a7f10/bjoern Heap Sort (1964)]</v>
      </c>
      <c r="N32" s="39" t="s">
        <v>1968</v>
      </c>
      <c r="O32" s="81">
        <v>1964.0</v>
      </c>
      <c r="P32" s="28" t="s">
        <v>1969</v>
      </c>
      <c r="Q32" s="82"/>
      <c r="R32" s="82"/>
      <c r="S32" s="82"/>
      <c r="T32" s="81">
        <v>0.0</v>
      </c>
      <c r="U32" s="81">
        <v>0.0</v>
      </c>
      <c r="V32" s="89">
        <f>IFERROR(__xludf.DUMMYFUNCTION("INDEX(SPLIT(SUBSTITUTE(W32,CHAR(10), """"),"",:""), MATCH(Z32, SPLIT(SUBSTITUTE(W32,CHAR(10), """"),"",:""), 0) + 1)"),4.0)</f>
        <v>4</v>
      </c>
      <c r="W32" s="85" t="s">
        <v>1791</v>
      </c>
      <c r="X32" s="16" t="s">
        <v>1953</v>
      </c>
      <c r="Y32" s="53" t="s">
        <v>1939</v>
      </c>
      <c r="Z32" s="53" t="str">
        <f t="array" ref="Z32">INDEX(Problems!J:J, MATCH(1, (Problems!B:B=B32)*1, 0))</f>
        <v>n</v>
      </c>
      <c r="AA32" s="53"/>
      <c r="AB32" s="53"/>
      <c r="AC32" s="53" t="s">
        <v>1813</v>
      </c>
      <c r="AD32" s="53" t="s">
        <v>1814</v>
      </c>
      <c r="AE32" s="85">
        <f>IFERROR(__xludf.DUMMYFUNCTION("INDEX(SPLIT(SUBSTITUTE(AF32,CHAR(10), """"),"",:""), MATCH(Z32, SPLIT(SUBSTITUTE(AF32,CHAR(10), """"),"",:""), 0) + 1)"),1.0)</f>
        <v>1</v>
      </c>
      <c r="AF32" s="85" t="s">
        <v>1774</v>
      </c>
      <c r="AG32" s="53" t="s">
        <v>1940</v>
      </c>
      <c r="AH32" s="53" t="s">
        <v>1956</v>
      </c>
      <c r="AI32" s="84">
        <v>1.0</v>
      </c>
      <c r="AJ32" s="84">
        <v>0.0</v>
      </c>
      <c r="AK32" s="87"/>
      <c r="AL32" s="81">
        <v>0.0</v>
      </c>
      <c r="AM32" s="87"/>
      <c r="AN32" s="81">
        <v>0.0</v>
      </c>
      <c r="AO32" s="116"/>
      <c r="AP32" s="81">
        <v>0.0</v>
      </c>
      <c r="AQ32" s="81">
        <v>0.0</v>
      </c>
      <c r="AR32" s="81">
        <v>0.0</v>
      </c>
      <c r="AS32" s="81">
        <v>0.0</v>
      </c>
      <c r="AT32" s="81">
        <v>0.0</v>
      </c>
      <c r="AU32" s="28" t="s">
        <v>1970</v>
      </c>
      <c r="AV32" s="7" t="s">
        <v>1942</v>
      </c>
      <c r="AW32" s="7">
        <v>1.0</v>
      </c>
      <c r="AX32" s="7" t="s">
        <v>1943</v>
      </c>
      <c r="AY32" s="7"/>
      <c r="AZ32" s="7"/>
      <c r="BA32" s="7"/>
      <c r="BB32" s="7"/>
      <c r="BC32" s="7"/>
      <c r="BD32" s="7"/>
      <c r="BE32" s="7"/>
      <c r="BF32" s="7">
        <v>9965.0</v>
      </c>
      <c r="BG32" s="82">
        <f t="shared" si="4"/>
        <v>100.3512293</v>
      </c>
      <c r="BH32" s="82"/>
      <c r="BI32" s="82"/>
      <c r="BJ32" s="82"/>
      <c r="BK32" s="82"/>
      <c r="BL32" s="82"/>
      <c r="BM32" s="82"/>
      <c r="BN32" s="7"/>
      <c r="BO32" s="7">
        <v>4.0</v>
      </c>
      <c r="BP32" s="82"/>
      <c r="BQ32" s="7"/>
      <c r="BR32" s="7" t="s">
        <v>23</v>
      </c>
    </row>
    <row r="33">
      <c r="A33" s="16">
        <v>1.0</v>
      </c>
      <c r="B33" s="16" t="s">
        <v>18</v>
      </c>
      <c r="C33" s="53">
        <v>2.0</v>
      </c>
      <c r="D33" s="53" t="s">
        <v>29</v>
      </c>
      <c r="E33" s="7">
        <v>7.0</v>
      </c>
      <c r="F33" s="53"/>
      <c r="G33" s="7"/>
      <c r="H33" s="16">
        <v>1.0</v>
      </c>
      <c r="I33" s="81">
        <v>1.0</v>
      </c>
      <c r="J33" s="21" t="s">
        <v>1971</v>
      </c>
      <c r="K33" s="53" t="s">
        <v>1972</v>
      </c>
      <c r="L33" s="53" t="s">
        <v>27</v>
      </c>
      <c r="M33" s="39" t="str">
        <f t="shared" si="1"/>
        <v>[http://bitsavers.org/pdf/mit/whirlwind/R-series/R-232_Information_Sorting_in_the_Application_of_Electronic_Digital_Computers_to_Business_Operations_May54.pdf Counting Sort (1954)]</v>
      </c>
      <c r="N33" s="39" t="s">
        <v>1973</v>
      </c>
      <c r="O33" s="81">
        <v>1954.0</v>
      </c>
      <c r="P33" s="28" t="s">
        <v>1974</v>
      </c>
      <c r="Q33" s="82"/>
      <c r="R33" s="82"/>
      <c r="S33" s="82"/>
      <c r="T33" s="81">
        <v>0.0</v>
      </c>
      <c r="U33" s="81">
        <v>0.0</v>
      </c>
      <c r="V33" s="89">
        <f>IFERROR(__xludf.DUMMYFUNCTION("INDEX(SPLIT(SUBSTITUTE(W33,CHAR(10), """"),"",:""), MATCH(Z33, SPLIT(SUBSTITUTE(W33,CHAR(10), """"),"",:""), 0) + 1)"),3.0)</f>
        <v>3</v>
      </c>
      <c r="W33" s="85" t="s">
        <v>1975</v>
      </c>
      <c r="X33" s="21" t="s">
        <v>1971</v>
      </c>
      <c r="Y33" s="53" t="s">
        <v>1976</v>
      </c>
      <c r="Z33" s="53" t="str">
        <f t="array" ref="Z33">INDEX(Problems!J:J, MATCH(1, (Problems!B:B=B33)*1, 0))</f>
        <v>n</v>
      </c>
      <c r="AA33" s="53"/>
      <c r="AB33" s="53"/>
      <c r="AC33" s="53" t="s">
        <v>1813</v>
      </c>
      <c r="AD33" s="53" t="s">
        <v>1814</v>
      </c>
      <c r="AE33" s="85">
        <f>IFERROR(__xludf.DUMMYFUNCTION("INDEX(SPLIT(SUBSTITUTE(AF33,CHAR(10), """"),"",:""), MATCH(Z33, SPLIT(SUBSTITUTE(AF33,CHAR(10), """"),"",:""), 0) + 1)"),3.0)</f>
        <v>3</v>
      </c>
      <c r="AF33" s="85" t="s">
        <v>1975</v>
      </c>
      <c r="AG33" s="53" t="s">
        <v>1971</v>
      </c>
      <c r="AH33" s="53" t="s">
        <v>1956</v>
      </c>
      <c r="AI33" s="84">
        <v>1.0</v>
      </c>
      <c r="AJ33" s="84">
        <v>0.0</v>
      </c>
      <c r="AK33" s="87"/>
      <c r="AL33" s="81">
        <v>0.0</v>
      </c>
      <c r="AM33" s="87"/>
      <c r="AN33" s="81">
        <v>0.0</v>
      </c>
      <c r="AO33" s="116"/>
      <c r="AP33" s="81">
        <v>0.0</v>
      </c>
      <c r="AQ33" s="81">
        <v>0.0</v>
      </c>
      <c r="AR33" s="39"/>
      <c r="AS33" s="81">
        <v>0.0</v>
      </c>
      <c r="AT33" s="81">
        <v>0.0</v>
      </c>
      <c r="AU33" s="39" t="s">
        <v>1977</v>
      </c>
      <c r="AV33" s="7" t="s">
        <v>1942</v>
      </c>
      <c r="AW33" s="7">
        <v>1.0</v>
      </c>
      <c r="AX33" s="7" t="s">
        <v>1943</v>
      </c>
      <c r="AY33" s="7"/>
      <c r="AZ33" s="7"/>
      <c r="BA33" s="7"/>
      <c r="BB33" s="7"/>
      <c r="BC33" s="7"/>
      <c r="BD33" s="7"/>
      <c r="BE33" s="7"/>
      <c r="BF33" s="7">
        <v>1000.0</v>
      </c>
      <c r="BG33" s="82">
        <f t="shared" si="4"/>
        <v>1000</v>
      </c>
      <c r="BH33" s="82"/>
      <c r="BI33" s="82"/>
      <c r="BJ33" s="82"/>
      <c r="BK33" s="82"/>
      <c r="BL33" s="82"/>
      <c r="BM33" s="82"/>
      <c r="BN33" s="7"/>
      <c r="BO33" s="7">
        <v>4.0</v>
      </c>
      <c r="BP33" s="82"/>
      <c r="BQ33" s="7"/>
      <c r="BR33" s="7" t="s">
        <v>23</v>
      </c>
    </row>
    <row r="34">
      <c r="A34" s="16">
        <v>1.0</v>
      </c>
      <c r="B34" s="16" t="s">
        <v>18</v>
      </c>
      <c r="C34" s="53">
        <v>2.0</v>
      </c>
      <c r="D34" s="53" t="s">
        <v>29</v>
      </c>
      <c r="E34" s="7">
        <v>16.0</v>
      </c>
      <c r="F34" s="53"/>
      <c r="G34" s="7"/>
      <c r="H34" s="16">
        <v>1.0</v>
      </c>
      <c r="I34" s="81">
        <v>1.0</v>
      </c>
      <c r="J34" s="115" t="s">
        <v>35</v>
      </c>
      <c r="K34" s="53" t="s">
        <v>1978</v>
      </c>
      <c r="L34" s="53" t="s">
        <v>27</v>
      </c>
      <c r="M34" s="39" t="str">
        <f t="shared" si="1"/>
        <v>[- Bucket Sort (1940)]</v>
      </c>
      <c r="N34" s="39" t="s">
        <v>1979</v>
      </c>
      <c r="O34" s="81">
        <v>1940.0</v>
      </c>
      <c r="P34" s="39" t="s">
        <v>1937</v>
      </c>
      <c r="Q34" s="82"/>
      <c r="R34" s="82"/>
      <c r="S34" s="82"/>
      <c r="T34" s="83">
        <v>0.0</v>
      </c>
      <c r="U34" s="83">
        <v>0.0</v>
      </c>
      <c r="V34" s="89">
        <f>IFERROR(__xludf.DUMMYFUNCTION("INDEX(SPLIT(SUBSTITUTE(W34,CHAR(10), """"),"",:""), MATCH(Z34, SPLIT(SUBSTITUTE(W34,CHAR(10), """"),"",:""), 0) + 1)"),5.0)</f>
        <v>5</v>
      </c>
      <c r="W34" s="85" t="s">
        <v>1938</v>
      </c>
      <c r="X34" s="39" t="str">
        <f>"O( n"&amp;CHAR(178)&amp;" )"</f>
        <v>O( n² )</v>
      </c>
      <c r="Y34" s="53" t="s">
        <v>1939</v>
      </c>
      <c r="Z34" s="53" t="str">
        <f t="array" ref="Z34">INDEX(Problems!J:J, MATCH(1, (Problems!B:B=B34)*1, 0))</f>
        <v>n</v>
      </c>
      <c r="AA34" s="53"/>
      <c r="AB34" s="53"/>
      <c r="AC34" s="53" t="s">
        <v>1813</v>
      </c>
      <c r="AD34" s="53" t="s">
        <v>1814</v>
      </c>
      <c r="AE34" s="85">
        <f>IFERROR(__xludf.DUMMYFUNCTION("INDEX(SPLIT(SUBSTITUTE(AF34,CHAR(10), """"),"",:""), MATCH(Z34, SPLIT(SUBSTITUTE(AF34,CHAR(10), """"),"",:""), 0) + 1)"),3.0)</f>
        <v>3</v>
      </c>
      <c r="AF34" s="85" t="s">
        <v>1763</v>
      </c>
      <c r="AG34" s="53" t="s">
        <v>35</v>
      </c>
      <c r="AH34" s="53" t="s">
        <v>27</v>
      </c>
      <c r="AI34" s="84">
        <v>0.0</v>
      </c>
      <c r="AJ34" s="84">
        <v>0.0</v>
      </c>
      <c r="AK34" s="87"/>
      <c r="AL34" s="81">
        <v>0.0</v>
      </c>
      <c r="AM34" s="87"/>
      <c r="AN34" s="81">
        <v>0.0</v>
      </c>
      <c r="AO34" s="116"/>
      <c r="AP34" s="81">
        <v>0.0</v>
      </c>
      <c r="AQ34" s="81">
        <v>0.0</v>
      </c>
      <c r="AR34" s="39"/>
      <c r="AS34" s="81">
        <v>0.0</v>
      </c>
      <c r="AT34" s="81">
        <v>0.0</v>
      </c>
      <c r="AU34" s="39" t="s">
        <v>1937</v>
      </c>
      <c r="AV34" s="7" t="s">
        <v>1942</v>
      </c>
      <c r="AW34" s="7">
        <v>1.0</v>
      </c>
      <c r="AX34" s="7" t="s">
        <v>1943</v>
      </c>
      <c r="AY34" s="7"/>
      <c r="AZ34" s="7"/>
      <c r="BA34" s="7"/>
      <c r="BB34" s="7"/>
      <c r="BC34" s="7"/>
      <c r="BD34" s="7"/>
      <c r="BE34" s="7"/>
      <c r="BF34" s="7">
        <v>1000000.0</v>
      </c>
      <c r="BG34" s="82">
        <f t="shared" si="4"/>
        <v>1</v>
      </c>
      <c r="BH34" s="82"/>
      <c r="BI34" s="82"/>
      <c r="BJ34" s="82"/>
      <c r="BK34" s="82"/>
      <c r="BL34" s="82"/>
      <c r="BM34" s="82"/>
      <c r="BN34" s="7"/>
      <c r="BO34" s="7">
        <v>4.0</v>
      </c>
      <c r="BP34" s="82"/>
      <c r="BQ34" s="7"/>
      <c r="BR34" s="7" t="s">
        <v>23</v>
      </c>
    </row>
    <row r="35">
      <c r="A35" s="16">
        <v>1.0</v>
      </c>
      <c r="B35" s="16" t="s">
        <v>18</v>
      </c>
      <c r="C35" s="53">
        <v>2.0</v>
      </c>
      <c r="D35" s="53" t="s">
        <v>29</v>
      </c>
      <c r="E35" s="7">
        <v>21.0</v>
      </c>
      <c r="F35" s="53"/>
      <c r="G35" s="7"/>
      <c r="H35" s="16">
        <v>1.0</v>
      </c>
      <c r="I35" s="81">
        <v>1.0</v>
      </c>
      <c r="J35" s="117" t="s">
        <v>1980</v>
      </c>
      <c r="K35" s="53" t="s">
        <v>1945</v>
      </c>
      <c r="L35" s="53" t="s">
        <v>1981</v>
      </c>
      <c r="M35" s="39" t="str">
        <f t="shared" si="1"/>
        <v>[- Radix Sort (1940)]</v>
      </c>
      <c r="N35" s="39" t="s">
        <v>1982</v>
      </c>
      <c r="O35" s="81">
        <v>1940.0</v>
      </c>
      <c r="P35" s="39" t="s">
        <v>1937</v>
      </c>
      <c r="Q35" s="7">
        <v>4.0</v>
      </c>
      <c r="R35" s="7">
        <v>1.0</v>
      </c>
      <c r="S35" s="7"/>
      <c r="T35" s="83">
        <v>1.0</v>
      </c>
      <c r="U35" s="83" t="s">
        <v>1983</v>
      </c>
      <c r="V35" s="89">
        <f>IFERROR(__xludf.DUMMYFUNCTION("INDEX(SPLIT(SUBSTITUTE(W35,CHAR(10), """"),"",:""), MATCH(Z35, SPLIT(SUBSTITUTE(W35,CHAR(10), """"),"",:""), 0) + 1)"),3.0)</f>
        <v>3</v>
      </c>
      <c r="W35" s="85" t="s">
        <v>1984</v>
      </c>
      <c r="X35" s="21" t="s">
        <v>1980</v>
      </c>
      <c r="Y35" s="53" t="s">
        <v>1985</v>
      </c>
      <c r="Z35" s="53" t="str">
        <f t="array" ref="Z35">INDEX(Problems!J:J, MATCH(1, (Problems!B:B=B35)*1, 0))</f>
        <v>n</v>
      </c>
      <c r="AA35" s="53"/>
      <c r="AB35" s="53"/>
      <c r="AC35" s="53" t="s">
        <v>1813</v>
      </c>
      <c r="AD35" s="53" t="s">
        <v>1814</v>
      </c>
      <c r="AE35" s="85">
        <f>IFERROR(__xludf.DUMMYFUNCTION("INDEX(SPLIT(SUBSTITUTE(AF35,CHAR(10), """"),"",:""), MATCH(Z35, SPLIT(SUBSTITUTE(AF35,CHAR(10), """"),"",:""), 0) + 1)"),3.0)</f>
        <v>3</v>
      </c>
      <c r="AF35" s="85" t="s">
        <v>1984</v>
      </c>
      <c r="AG35" s="53" t="s">
        <v>1986</v>
      </c>
      <c r="AH35" s="53" t="s">
        <v>1987</v>
      </c>
      <c r="AI35" s="84">
        <v>0.0</v>
      </c>
      <c r="AJ35" s="84">
        <v>0.0</v>
      </c>
      <c r="AK35" s="87"/>
      <c r="AL35" s="81">
        <v>0.0</v>
      </c>
      <c r="AM35" s="87"/>
      <c r="AN35" s="81">
        <v>0.0</v>
      </c>
      <c r="AO35" s="116"/>
      <c r="AP35" s="81">
        <v>0.0</v>
      </c>
      <c r="AQ35" s="81">
        <v>0.0</v>
      </c>
      <c r="AR35" s="39"/>
      <c r="AS35" s="81">
        <v>0.0</v>
      </c>
      <c r="AT35" s="81">
        <v>0.0</v>
      </c>
      <c r="AU35" s="39" t="s">
        <v>1988</v>
      </c>
      <c r="AV35" s="7" t="s">
        <v>1942</v>
      </c>
      <c r="AW35" s="7">
        <v>1.0</v>
      </c>
      <c r="AX35" s="7" t="s">
        <v>1943</v>
      </c>
      <c r="AY35" s="7" t="s">
        <v>1944</v>
      </c>
      <c r="AZ35" s="7"/>
      <c r="BA35" s="7"/>
      <c r="BB35" s="7"/>
      <c r="BC35" s="7"/>
      <c r="BD35" s="7"/>
      <c r="BE35" s="7"/>
      <c r="BF35" s="7">
        <v>1000.0</v>
      </c>
      <c r="BG35" s="82">
        <f>BF27/BF35</f>
        <v>1000</v>
      </c>
      <c r="BH35" s="7">
        <f>pow(BG35, 1) - 1</f>
        <v>999</v>
      </c>
      <c r="BI35" s="7">
        <v>1000000.0</v>
      </c>
      <c r="BJ35" s="82">
        <f>BI27/BI35</f>
        <v>1000000</v>
      </c>
      <c r="BK35" s="7">
        <f>pow(BJ35, 1) - 1</f>
        <v>999999</v>
      </c>
      <c r="BL35" s="7">
        <v>1.0E9</v>
      </c>
      <c r="BM35" s="82">
        <f>BL27/BL35</f>
        <v>1000000000</v>
      </c>
      <c r="BN35" s="7">
        <f>pow(BM35, 1) - 1</f>
        <v>999999999</v>
      </c>
      <c r="BO35" s="7">
        <v>4.0</v>
      </c>
      <c r="BP35" s="7" t="s">
        <v>1944</v>
      </c>
      <c r="BQ35" s="7" t="s">
        <v>1944</v>
      </c>
      <c r="BR35" s="7" t="s">
        <v>23</v>
      </c>
    </row>
    <row r="36">
      <c r="A36" s="16">
        <v>2.0</v>
      </c>
      <c r="B36" s="6" t="s">
        <v>31</v>
      </c>
      <c r="C36" s="53">
        <v>2.0</v>
      </c>
      <c r="D36" s="53" t="s">
        <v>31</v>
      </c>
      <c r="E36" s="7">
        <v>26.0</v>
      </c>
      <c r="F36" s="53"/>
      <c r="G36" s="7"/>
      <c r="H36" s="16">
        <v>1.0</v>
      </c>
      <c r="I36" s="81">
        <v>1.0</v>
      </c>
      <c r="J36" s="39" t="s">
        <v>1788</v>
      </c>
      <c r="K36" s="53" t="s">
        <v>1989</v>
      </c>
      <c r="L36" s="53" t="s">
        <v>1990</v>
      </c>
      <c r="M36" s="39" t="str">
        <f t="shared" si="1"/>
        <v>[- Naive Selection (1940)]</v>
      </c>
      <c r="N36" s="39" t="s">
        <v>1991</v>
      </c>
      <c r="O36" s="81">
        <v>1940.0</v>
      </c>
      <c r="P36" s="39" t="s">
        <v>1937</v>
      </c>
      <c r="Q36" s="7">
        <v>1.0</v>
      </c>
      <c r="R36" s="7">
        <v>1.0</v>
      </c>
      <c r="S36" s="47" t="s">
        <v>1992</v>
      </c>
      <c r="T36" s="81">
        <v>1.0</v>
      </c>
      <c r="U36" s="81">
        <v>0.0</v>
      </c>
      <c r="V36" s="89">
        <f>IFERROR(__xludf.DUMMYFUNCTION("INDEX(SPLIT(SUBSTITUTE(W36,CHAR(10), """"),"",:""), MATCH(Z36, SPLIT(SUBSTITUTE(W36,CHAR(10), """"),"",:""), 0) + 1)"),4.0)</f>
        <v>4</v>
      </c>
      <c r="W36" s="85" t="s">
        <v>1791</v>
      </c>
      <c r="X36" s="16" t="s">
        <v>1953</v>
      </c>
      <c r="Y36" s="53" t="s">
        <v>1939</v>
      </c>
      <c r="Z36" s="53" t="str">
        <f t="array" ref="Z36">INDEX(Problems!J:J, MATCH(1, (Problems!B:B=B36)*1, 0))</f>
        <v>n</v>
      </c>
      <c r="AA36" s="53"/>
      <c r="AB36" s="53"/>
      <c r="AC36" s="53" t="s">
        <v>1813</v>
      </c>
      <c r="AD36" s="53" t="s">
        <v>1814</v>
      </c>
      <c r="AE36" s="85">
        <f>IFERROR(__xludf.DUMMYFUNCTION("INDEX(SPLIT(SUBSTITUTE(AF36,CHAR(10), """"),"",:""), MATCH(Z36, SPLIT(SUBSTITUTE(AF36,CHAR(10), """"),"",:""), 0) + 1)"),1.0)</f>
        <v>1</v>
      </c>
      <c r="AF36" s="85" t="s">
        <v>1774</v>
      </c>
      <c r="AG36" s="53" t="s">
        <v>1940</v>
      </c>
      <c r="AH36" s="53" t="s">
        <v>1993</v>
      </c>
      <c r="AI36" s="84">
        <v>1.0</v>
      </c>
      <c r="AJ36" s="84">
        <v>0.0</v>
      </c>
      <c r="AK36" s="87"/>
      <c r="AL36" s="81">
        <v>0.0</v>
      </c>
      <c r="AM36" s="87"/>
      <c r="AN36" s="81">
        <v>0.0</v>
      </c>
      <c r="AO36" s="90"/>
      <c r="AP36" s="81">
        <v>0.0</v>
      </c>
      <c r="AQ36" s="81">
        <v>0.0</v>
      </c>
      <c r="AR36" s="39"/>
      <c r="AS36" s="81">
        <v>0.0</v>
      </c>
      <c r="AT36" s="81">
        <v>0.0</v>
      </c>
      <c r="AU36" s="39"/>
      <c r="AV36" s="14" t="s">
        <v>1994</v>
      </c>
      <c r="AW36" s="7">
        <v>1.0</v>
      </c>
      <c r="AX36" s="7" t="s">
        <v>1995</v>
      </c>
      <c r="AY36" s="7"/>
      <c r="AZ36" s="7"/>
      <c r="BA36" s="7"/>
      <c r="BB36" s="7"/>
      <c r="BC36" s="7"/>
      <c r="BD36" s="7"/>
      <c r="BE36" s="7"/>
      <c r="BF36" s="7">
        <v>9965.0</v>
      </c>
      <c r="BG36" s="82">
        <f t="shared" ref="BG36:BG37" si="5">9965/BF36</f>
        <v>1</v>
      </c>
      <c r="BH36" s="7"/>
      <c r="BI36" s="7">
        <v>1.9931568E7</v>
      </c>
      <c r="BJ36" s="7">
        <v>1.0</v>
      </c>
      <c r="BK36" s="7"/>
      <c r="BL36" s="7">
        <v>2.9897352854E10</v>
      </c>
      <c r="BM36" s="7">
        <v>1.0</v>
      </c>
      <c r="BN36" s="7"/>
      <c r="BO36" s="7">
        <v>5.0</v>
      </c>
      <c r="BP36" s="82"/>
      <c r="BQ36" s="7"/>
      <c r="BR36" s="7" t="s">
        <v>23</v>
      </c>
    </row>
    <row r="37">
      <c r="A37" s="16">
        <v>2.0</v>
      </c>
      <c r="B37" s="6" t="s">
        <v>31</v>
      </c>
      <c r="C37" s="53">
        <v>2.0</v>
      </c>
      <c r="D37" s="53" t="s">
        <v>31</v>
      </c>
      <c r="E37" s="7">
        <v>27.0</v>
      </c>
      <c r="F37" s="53"/>
      <c r="G37" s="7"/>
      <c r="H37" s="16">
        <v>1.0</v>
      </c>
      <c r="I37" s="81">
        <v>1.0</v>
      </c>
      <c r="J37" s="39" t="s">
        <v>35</v>
      </c>
      <c r="K37" s="53" t="s">
        <v>1934</v>
      </c>
      <c r="L37" s="91" t="s">
        <v>36</v>
      </c>
      <c r="M37" s="39" t="str">
        <f t="shared" si="1"/>
        <v>[https://dl.acm.org/citation.cfm?doid=366622.366647 Hoare's Selection Algorithm (QuickSelect) (1961)]</v>
      </c>
      <c r="N37" s="39" t="s">
        <v>1996</v>
      </c>
      <c r="O37" s="81">
        <v>1961.0</v>
      </c>
      <c r="P37" s="28" t="s">
        <v>33</v>
      </c>
      <c r="Q37" s="82"/>
      <c r="R37" s="82"/>
      <c r="S37" s="82"/>
      <c r="T37" s="81">
        <v>0.0</v>
      </c>
      <c r="U37" s="81">
        <v>0.0</v>
      </c>
      <c r="V37" s="89">
        <f>IFERROR(__xludf.DUMMYFUNCTION("INDEX(SPLIT(SUBSTITUTE(W37,CHAR(10), """"),"",:""), MATCH(Z37, SPLIT(SUBSTITUTE(W37,CHAR(10), """"),"",:""), 0) + 1)"),5.0)</f>
        <v>5</v>
      </c>
      <c r="W37" s="85" t="s">
        <v>1938</v>
      </c>
      <c r="X37" s="48" t="s">
        <v>115</v>
      </c>
      <c r="Y37" s="53" t="s">
        <v>1939</v>
      </c>
      <c r="Z37" s="53" t="str">
        <f t="array" ref="Z37">INDEX(Problems!J:J, MATCH(1, (Problems!B:B=B37)*1, 0))</f>
        <v>n</v>
      </c>
      <c r="AA37" s="53"/>
      <c r="AB37" s="53"/>
      <c r="AC37" s="53" t="s">
        <v>1813</v>
      </c>
      <c r="AD37" s="53" t="s">
        <v>1814</v>
      </c>
      <c r="AE37" s="85">
        <f>IFERROR(__xludf.DUMMYFUNCTION("INDEX(SPLIT(SUBSTITUTE(AF37,CHAR(10), """"),"",:""), MATCH(Z37, SPLIT(SUBSTITUTE(AF37,CHAR(10), """"),"",:""), 0) + 1)"),1.0)</f>
        <v>1</v>
      </c>
      <c r="AF37" s="85" t="s">
        <v>1774</v>
      </c>
      <c r="AG37" s="53" t="s">
        <v>1940</v>
      </c>
      <c r="AH37" s="53" t="s">
        <v>1993</v>
      </c>
      <c r="AI37" s="84">
        <v>1.0</v>
      </c>
      <c r="AJ37" s="84">
        <v>0.0</v>
      </c>
      <c r="AK37" s="87"/>
      <c r="AL37" s="81">
        <v>0.0</v>
      </c>
      <c r="AM37" s="87"/>
      <c r="AN37" s="81">
        <v>0.0</v>
      </c>
      <c r="AO37" s="90"/>
      <c r="AP37" s="81">
        <v>0.0</v>
      </c>
      <c r="AQ37" s="81">
        <v>0.0</v>
      </c>
      <c r="AR37" s="39"/>
      <c r="AS37" s="81">
        <v>0.0</v>
      </c>
      <c r="AT37" s="81">
        <v>0.0</v>
      </c>
      <c r="AU37" s="39"/>
      <c r="AV37" s="14" t="s">
        <v>1994</v>
      </c>
      <c r="AW37" s="7">
        <v>1.0</v>
      </c>
      <c r="AX37" s="7" t="s">
        <v>1995</v>
      </c>
      <c r="AY37" s="7"/>
      <c r="AZ37" s="7"/>
      <c r="BA37" s="7"/>
      <c r="BB37" s="7"/>
      <c r="BC37" s="7"/>
      <c r="BD37" s="7"/>
      <c r="BE37" s="7"/>
      <c r="BF37" s="7">
        <v>1000.0</v>
      </c>
      <c r="BG37" s="82">
        <f t="shared" si="5"/>
        <v>9.965</v>
      </c>
      <c r="BH37" s="82"/>
      <c r="BI37" s="82"/>
      <c r="BJ37" s="82"/>
      <c r="BK37" s="82"/>
      <c r="BL37" s="82"/>
      <c r="BM37" s="82"/>
      <c r="BN37" s="7"/>
      <c r="BO37" s="7">
        <v>5.0</v>
      </c>
      <c r="BP37" s="82"/>
      <c r="BQ37" s="7"/>
      <c r="BR37" s="7" t="s">
        <v>23</v>
      </c>
    </row>
    <row r="38">
      <c r="A38" s="16">
        <v>3.0</v>
      </c>
      <c r="B38" s="16" t="s">
        <v>39</v>
      </c>
      <c r="C38" s="53">
        <v>2.0</v>
      </c>
      <c r="D38" s="53" t="s">
        <v>40</v>
      </c>
      <c r="E38" s="7">
        <v>29.0</v>
      </c>
      <c r="F38" s="53"/>
      <c r="G38" s="7"/>
      <c r="H38" s="16">
        <v>1.0</v>
      </c>
      <c r="I38" s="81">
        <v>1.0</v>
      </c>
      <c r="J38" s="39" t="s">
        <v>1997</v>
      </c>
      <c r="K38" s="53" t="s">
        <v>1945</v>
      </c>
      <c r="L38" s="53" t="s">
        <v>1998</v>
      </c>
      <c r="M38" s="39" t="str">
        <f t="shared" si="1"/>
        <v>[- Brute Force (1940)]</v>
      </c>
      <c r="N38" s="16" t="s">
        <v>1999</v>
      </c>
      <c r="O38" s="81">
        <v>1940.0</v>
      </c>
      <c r="P38" s="39" t="s">
        <v>1937</v>
      </c>
      <c r="Q38" s="7">
        <v>1.0</v>
      </c>
      <c r="R38" s="7">
        <v>1.0</v>
      </c>
      <c r="S38" s="47" t="s">
        <v>2000</v>
      </c>
      <c r="T38" s="81">
        <v>1.0</v>
      </c>
      <c r="U38" s="81">
        <v>0.0</v>
      </c>
      <c r="V38" s="89">
        <f>IFERROR(__xludf.DUMMYFUNCTION("INDEX(SPLIT(SUBSTITUTE(W38,CHAR(10), """"),"",:""), MATCH(Z38, SPLIT(SUBSTITUTE(W38,CHAR(10), """"),"",:""), 0) + 1)"),8.0)</f>
        <v>8</v>
      </c>
      <c r="W38" s="85" t="s">
        <v>2001</v>
      </c>
      <c r="X38" s="16" t="s">
        <v>2002</v>
      </c>
      <c r="Y38" s="53" t="s">
        <v>2003</v>
      </c>
      <c r="Z38" s="53" t="str">
        <f t="array" ref="Z38">INDEX(Problems!J:J, MATCH(1, (Problems!B:B=B38)*1, 0))</f>
        <v>n</v>
      </c>
      <c r="AA38" s="53"/>
      <c r="AB38" s="53"/>
      <c r="AC38" s="53" t="s">
        <v>1813</v>
      </c>
      <c r="AD38" s="53" t="s">
        <v>1814</v>
      </c>
      <c r="AE38" s="85">
        <f>IFERROR(__xludf.DUMMYFUNCTION("INDEX(SPLIT(SUBSTITUTE(AF38,CHAR(10), """"),"",:""), MATCH(Z38, SPLIT(SUBSTITUTE(AF38,CHAR(10), """"),"",:""), 0) + 1)"),3.0)</f>
        <v>3</v>
      </c>
      <c r="AF38" s="85" t="s">
        <v>1763</v>
      </c>
      <c r="AG38" s="53" t="s">
        <v>35</v>
      </c>
      <c r="AH38" s="53" t="s">
        <v>2004</v>
      </c>
      <c r="AI38" s="84">
        <v>1.0</v>
      </c>
      <c r="AJ38" s="84">
        <v>0.0</v>
      </c>
      <c r="AK38" s="87"/>
      <c r="AL38" s="81">
        <v>0.0</v>
      </c>
      <c r="AM38" s="87"/>
      <c r="AN38" s="81">
        <v>0.0</v>
      </c>
      <c r="AO38" s="90"/>
      <c r="AP38" s="81">
        <v>0.0</v>
      </c>
      <c r="AQ38" s="81">
        <v>0.0</v>
      </c>
      <c r="AR38" s="39"/>
      <c r="AS38" s="81">
        <v>0.0</v>
      </c>
      <c r="AT38" s="81">
        <v>0.0</v>
      </c>
      <c r="AU38" s="82"/>
      <c r="AV38" s="7" t="s">
        <v>2005</v>
      </c>
      <c r="AW38" s="82"/>
      <c r="AX38" s="82"/>
      <c r="AY38" s="7"/>
      <c r="AZ38" s="7"/>
      <c r="BA38" s="7"/>
      <c r="BB38" s="7"/>
      <c r="BC38" s="7"/>
      <c r="BD38" s="7"/>
      <c r="BE38" s="7"/>
      <c r="BF38" s="7" t="s">
        <v>1781</v>
      </c>
      <c r="BG38" s="7">
        <v>1.0</v>
      </c>
      <c r="BH38" s="7"/>
      <c r="BI38" s="7" t="s">
        <v>1781</v>
      </c>
      <c r="BJ38" s="7">
        <v>1.0</v>
      </c>
      <c r="BK38" s="7"/>
      <c r="BL38" s="7" t="s">
        <v>1781</v>
      </c>
      <c r="BM38" s="7">
        <v>1.0</v>
      </c>
      <c r="BN38" s="7"/>
      <c r="BO38" s="7">
        <v>1.0</v>
      </c>
      <c r="BP38" s="82"/>
      <c r="BQ38" s="7"/>
      <c r="BR38" s="7" t="s">
        <v>23</v>
      </c>
    </row>
    <row r="39">
      <c r="A39" s="16">
        <v>3.0</v>
      </c>
      <c r="B39" s="16" t="s">
        <v>39</v>
      </c>
      <c r="C39" s="53">
        <v>2.0</v>
      </c>
      <c r="D39" s="53" t="s">
        <v>40</v>
      </c>
      <c r="E39" s="7">
        <v>30.0</v>
      </c>
      <c r="F39" s="53"/>
      <c r="G39" s="7"/>
      <c r="H39" s="16">
        <v>1.0</v>
      </c>
      <c r="I39" s="81">
        <v>1.0</v>
      </c>
      <c r="J39" s="39" t="s">
        <v>834</v>
      </c>
      <c r="K39" s="53" t="s">
        <v>1945</v>
      </c>
      <c r="L39" s="53" t="s">
        <v>1998</v>
      </c>
      <c r="M39" s="39" t="str">
        <f t="shared" si="1"/>
        <v>[- Dynamic Programming Algorithm (S. S. Godbole) (1953)]</v>
      </c>
      <c r="N39" s="16" t="s">
        <v>2006</v>
      </c>
      <c r="O39" s="81">
        <v>1953.0</v>
      </c>
      <c r="P39" s="39" t="s">
        <v>1937</v>
      </c>
      <c r="Q39" s="82"/>
      <c r="R39" s="82"/>
      <c r="S39" s="82"/>
      <c r="T39" s="81">
        <v>1.0</v>
      </c>
      <c r="U39" s="81" t="s">
        <v>2007</v>
      </c>
      <c r="V39" s="89">
        <f>IFERROR(__xludf.DUMMYFUNCTION("INDEX(SPLIT(SUBSTITUTE(W39,CHAR(10), """"),"",:""), MATCH(Z39, SPLIT(SUBSTITUTE(W39,CHAR(10), """"),"",:""), 0) + 1)"),6.0)</f>
        <v>6</v>
      </c>
      <c r="W39" s="85" t="s">
        <v>2008</v>
      </c>
      <c r="X39" s="39" t="s">
        <v>834</v>
      </c>
      <c r="Y39" s="53" t="s">
        <v>2003</v>
      </c>
      <c r="Z39" s="53" t="str">
        <f t="array" ref="Z39">INDEX(Problems!J:J, MATCH(1, (Problems!B:B=B39)*1, 0))</f>
        <v>n</v>
      </c>
      <c r="AA39" s="53"/>
      <c r="AB39" s="53"/>
      <c r="AC39" s="53" t="s">
        <v>1813</v>
      </c>
      <c r="AD39" s="53" t="s">
        <v>1814</v>
      </c>
      <c r="AE39" s="85">
        <f>IFERROR(__xludf.DUMMYFUNCTION("INDEX(SPLIT(SUBSTITUTE(AF39,CHAR(10), """"),"",:""), MATCH(Z39, SPLIT(SUBSTITUTE(AF39,CHAR(10), """"),"",:""), 0) + 1)"),5.0)</f>
        <v>5</v>
      </c>
      <c r="AF39" s="85" t="s">
        <v>1938</v>
      </c>
      <c r="AG39" s="53" t="s">
        <v>115</v>
      </c>
      <c r="AH39" s="86" t="s">
        <v>2009</v>
      </c>
      <c r="AI39" s="84">
        <v>0.0</v>
      </c>
      <c r="AJ39" s="84">
        <v>0.0</v>
      </c>
      <c r="AK39" s="87"/>
      <c r="AL39" s="81">
        <v>0.0</v>
      </c>
      <c r="AM39" s="87"/>
      <c r="AN39" s="81">
        <v>0.0</v>
      </c>
      <c r="AO39" s="90"/>
      <c r="AP39" s="81">
        <v>0.0</v>
      </c>
      <c r="AQ39" s="81">
        <v>0.0</v>
      </c>
      <c r="AR39" s="39"/>
      <c r="AS39" s="81">
        <v>0.0</v>
      </c>
      <c r="AT39" s="81">
        <v>0.0</v>
      </c>
      <c r="AU39" s="82"/>
      <c r="AV39" s="7" t="s">
        <v>2005</v>
      </c>
      <c r="AW39" s="82"/>
      <c r="AX39" s="82"/>
      <c r="AY39" s="7"/>
      <c r="AZ39" s="7"/>
      <c r="BA39" s="7"/>
      <c r="BB39" s="7"/>
      <c r="BC39" s="7"/>
      <c r="BD39" s="7"/>
      <c r="BE39" s="7"/>
      <c r="BF39" s="7">
        <v>1.0E9</v>
      </c>
      <c r="BG39" s="7" t="s">
        <v>1781</v>
      </c>
      <c r="BH39" s="82"/>
      <c r="BI39" s="82"/>
      <c r="BJ39" s="82"/>
      <c r="BK39" s="82"/>
      <c r="BL39" s="82"/>
      <c r="BM39" s="82"/>
      <c r="BN39" s="7"/>
      <c r="BO39" s="7">
        <v>1.0</v>
      </c>
      <c r="BP39" s="82"/>
      <c r="BQ39" s="7"/>
      <c r="BR39" s="7" t="s">
        <v>23</v>
      </c>
    </row>
    <row r="40">
      <c r="A40" s="16">
        <v>4.0</v>
      </c>
      <c r="B40" s="16" t="s">
        <v>63</v>
      </c>
      <c r="C40" s="53">
        <v>2.0</v>
      </c>
      <c r="D40" s="53" t="s">
        <v>64</v>
      </c>
      <c r="E40" s="7">
        <v>38.0</v>
      </c>
      <c r="F40" s="53"/>
      <c r="G40" s="7"/>
      <c r="H40" s="16">
        <v>1.0</v>
      </c>
      <c r="I40" s="81">
        <v>1.0</v>
      </c>
      <c r="J40" s="39" t="s">
        <v>399</v>
      </c>
      <c r="K40" s="53" t="s">
        <v>1945</v>
      </c>
      <c r="L40" s="53" t="s">
        <v>1956</v>
      </c>
      <c r="M40" s="39" t="str">
        <f t="shared" si="1"/>
        <v>[https://dl.acm.org/citation.cfm?doid=321796.321811 Wagner and Fischer (1974)]</v>
      </c>
      <c r="N40" s="39" t="s">
        <v>2010</v>
      </c>
      <c r="O40" s="81">
        <v>1974.0</v>
      </c>
      <c r="P40" s="28" t="s">
        <v>2011</v>
      </c>
      <c r="Q40" s="82"/>
      <c r="R40" s="82"/>
      <c r="S40" s="82"/>
      <c r="T40" s="81">
        <v>1.0</v>
      </c>
      <c r="U40" s="81" t="s">
        <v>1937</v>
      </c>
      <c r="V40" s="89">
        <f>IFERROR(__xludf.DUMMYFUNCTION("INDEX(SPLIT(SUBSTITUTE(W40,CHAR(10), """"),"",:""), MATCH(Z40, SPLIT(SUBSTITUTE(W40,CHAR(10), """"),"",:""), 0) + 1)"),5.0)</f>
        <v>5</v>
      </c>
      <c r="W40" s="85" t="s">
        <v>2012</v>
      </c>
      <c r="X40" s="39" t="s">
        <v>399</v>
      </c>
      <c r="Y40" s="53" t="s">
        <v>2013</v>
      </c>
      <c r="Z40" s="53" t="str">
        <f t="array" ref="Z40">INDEX(Problems!J:J, MATCH(1, (Problems!B:B=B40)*1, 0))</f>
        <v>m+n</v>
      </c>
      <c r="AA40" s="53"/>
      <c r="AB40" s="53"/>
      <c r="AC40" s="53" t="s">
        <v>1813</v>
      </c>
      <c r="AD40" s="53" t="s">
        <v>1814</v>
      </c>
      <c r="AE40" s="85">
        <f>IFERROR(__xludf.DUMMYFUNCTION("INDEX(SPLIT(SUBSTITUTE(AF40,CHAR(10), """"),"",:""), MATCH(Z40, SPLIT(SUBSTITUTE(AF40,CHAR(10), """"),"",:""), 0) + 1)"),5.0)</f>
        <v>5</v>
      </c>
      <c r="AF40" s="85" t="s">
        <v>2012</v>
      </c>
      <c r="AG40" s="53" t="s">
        <v>399</v>
      </c>
      <c r="AH40" s="91" t="s">
        <v>2014</v>
      </c>
      <c r="AI40" s="84">
        <v>0.0</v>
      </c>
      <c r="AJ40" s="84">
        <v>0.0</v>
      </c>
      <c r="AK40" s="87"/>
      <c r="AL40" s="81">
        <v>0.0</v>
      </c>
      <c r="AM40" s="87"/>
      <c r="AN40" s="81">
        <v>0.0</v>
      </c>
      <c r="AO40" s="90"/>
      <c r="AP40" s="81">
        <v>0.0</v>
      </c>
      <c r="AQ40" s="81">
        <v>0.0</v>
      </c>
      <c r="AR40" s="39"/>
      <c r="AS40" s="81">
        <v>0.0</v>
      </c>
      <c r="AT40" s="81">
        <v>0.0</v>
      </c>
      <c r="AU40" s="82"/>
      <c r="AV40" s="14" t="s">
        <v>65</v>
      </c>
      <c r="AW40" s="82"/>
      <c r="AX40" s="82"/>
      <c r="AY40" s="7"/>
      <c r="AZ40" s="7">
        <f>1000*1000</f>
        <v>1000000</v>
      </c>
      <c r="BA40" s="7"/>
      <c r="BB40" s="7">
        <f>1000000*1000000</f>
        <v>1000000000000</v>
      </c>
      <c r="BC40" s="7"/>
      <c r="BD40" s="7">
        <f>1000000000*1000000000</f>
        <v>1E+18</v>
      </c>
      <c r="BE40" s="7"/>
      <c r="BF40" s="53">
        <f>POW(500,2)</f>
        <v>250000</v>
      </c>
      <c r="BG40" s="101">
        <v>1.0</v>
      </c>
      <c r="BH40" s="82"/>
      <c r="BI40" s="53">
        <f>POW(500000,2)</f>
        <v>250000000000</v>
      </c>
      <c r="BJ40" s="53">
        <v>1.0</v>
      </c>
      <c r="BK40" s="82"/>
      <c r="BL40" s="53">
        <f>POW(500000000,2)</f>
        <v>2.5E+17</v>
      </c>
      <c r="BM40" s="53">
        <v>1.0</v>
      </c>
      <c r="BN40" s="7"/>
      <c r="BO40" s="7">
        <v>4.0</v>
      </c>
      <c r="BP40" s="82"/>
      <c r="BQ40" s="7"/>
      <c r="BR40" s="7" t="s">
        <v>23</v>
      </c>
    </row>
    <row r="41">
      <c r="A41" s="16">
        <v>5.0</v>
      </c>
      <c r="B41" s="16" t="s">
        <v>76</v>
      </c>
      <c r="C41" s="53">
        <v>2.0</v>
      </c>
      <c r="D41" s="53"/>
      <c r="E41" s="7">
        <v>54.0</v>
      </c>
      <c r="F41" s="53"/>
      <c r="G41" s="7"/>
      <c r="H41" s="16">
        <v>1.0</v>
      </c>
      <c r="I41" s="81">
        <v>1.0</v>
      </c>
      <c r="J41" s="39" t="s">
        <v>2015</v>
      </c>
      <c r="K41" s="53" t="s">
        <v>2016</v>
      </c>
      <c r="L41" s="53"/>
      <c r="M41" s="39" t="str">
        <f t="shared" si="1"/>
        <v>[http://www.cs.yale.edu/homes/lans/readings/routing/ford-max_flow-1956.pdf Ford &amp; Fulkerson (1955)]</v>
      </c>
      <c r="N41" s="39" t="s">
        <v>2017</v>
      </c>
      <c r="O41" s="81">
        <v>1955.0</v>
      </c>
      <c r="P41" s="28" t="s">
        <v>2018</v>
      </c>
      <c r="Q41" s="82"/>
      <c r="R41" s="82"/>
      <c r="S41" s="82"/>
      <c r="T41" s="81">
        <v>1.0</v>
      </c>
      <c r="U41" s="83" t="s">
        <v>2019</v>
      </c>
      <c r="V41" s="89">
        <f>IFERROR(__xludf.DUMMYFUNCTION("INDEX(SPLIT(SUBSTITUTE(W41,CHAR(10), """"),"",:""), MATCH(Z41, SPLIT(SUBSTITUTE(W41,CHAR(10), """"),"",:""), 0) + 1)"),7.0)</f>
        <v>7</v>
      </c>
      <c r="W41" s="85" t="s">
        <v>2020</v>
      </c>
      <c r="X41" s="39" t="s">
        <v>2015</v>
      </c>
      <c r="Y41" s="53" t="s">
        <v>2021</v>
      </c>
      <c r="Z41" s="53" t="str">
        <f t="array" ref="Z41">INDEX(Problems!J:J, MATCH(1, (Problems!B:B=B41)*1, 0))</f>
        <v>V</v>
      </c>
      <c r="AA41" s="53"/>
      <c r="AB41" s="53"/>
      <c r="AC41" s="53" t="s">
        <v>1813</v>
      </c>
      <c r="AD41" s="53" t="s">
        <v>1814</v>
      </c>
      <c r="AE41" s="85">
        <f>IFERROR(__xludf.DUMMYFUNCTION("INDEX(SPLIT(SUBSTITUTE(AF41,CHAR(10), """"),"",:""), MATCH(Z41, SPLIT(SUBSTITUTE(AF41,CHAR(10), """"),"",:""), 0) + 1)"),5.0)</f>
        <v>5</v>
      </c>
      <c r="AF41" s="85" t="s">
        <v>2022</v>
      </c>
      <c r="AG41" s="53" t="s">
        <v>92</v>
      </c>
      <c r="AH41" s="91" t="s">
        <v>2023</v>
      </c>
      <c r="AI41" s="84">
        <v>0.0</v>
      </c>
      <c r="AJ41" s="84">
        <v>0.0</v>
      </c>
      <c r="AK41" s="87"/>
      <c r="AL41" s="81">
        <v>0.0</v>
      </c>
      <c r="AM41" s="87"/>
      <c r="AN41" s="81">
        <v>0.0</v>
      </c>
      <c r="AO41" s="90"/>
      <c r="AP41" s="81">
        <v>0.0</v>
      </c>
      <c r="AQ41" s="81">
        <v>0.0</v>
      </c>
      <c r="AR41" s="39"/>
      <c r="AS41" s="81">
        <v>0.0</v>
      </c>
      <c r="AT41" s="81">
        <v>0.0</v>
      </c>
      <c r="AU41" s="39"/>
      <c r="AV41" s="14" t="s">
        <v>2024</v>
      </c>
      <c r="AW41" s="82"/>
      <c r="AX41" s="82"/>
      <c r="AY41" s="7" t="s">
        <v>2025</v>
      </c>
      <c r="AZ41" s="7">
        <f>1000/0.6</f>
        <v>1666.666667</v>
      </c>
      <c r="BA41" s="7">
        <f>POW(AZ189/AZ41,1/($O41-$O189)) - 1</f>
        <v>4.623413252</v>
      </c>
      <c r="BB41" s="7">
        <f>1000000/0.6</f>
        <v>1666666.667</v>
      </c>
      <c r="BC41" s="7">
        <f>POW(BB189/BB41,1/($O41-$O189)) - 1</f>
        <v>30.6227766</v>
      </c>
      <c r="BD41" s="7">
        <f>1000000000/0.6</f>
        <v>1666666667</v>
      </c>
      <c r="BE41" s="7">
        <f>POW(BD189/BD41,1/($O41-$O189)) - 1</f>
        <v>176.827941</v>
      </c>
      <c r="BF41" s="7">
        <f>POW((1/2.6)*1000,2)*(1/2.6)*1000</f>
        <v>56895766.95</v>
      </c>
      <c r="BG41" s="82">
        <f>BF40/BF41</f>
        <v>0.004394</v>
      </c>
      <c r="BH41" s="82"/>
      <c r="BI41" s="82">
        <f>POW((1/2.6)*1000000,2)*(1/2.6)*1000000</f>
        <v>5.68958E+16</v>
      </c>
      <c r="BJ41" s="82">
        <f>BI40/BI41</f>
        <v>0.000004394</v>
      </c>
      <c r="BK41" s="82"/>
      <c r="BL41" s="82">
        <f>POW((1/2.6)*1000000000,2)*(1/2.6)*1000000000</f>
        <v>5.68958E+25</v>
      </c>
      <c r="BM41" s="82">
        <f>BL40/BL41</f>
        <v>0.000000004394</v>
      </c>
      <c r="BN41" s="7"/>
      <c r="BO41" s="7">
        <v>2.0</v>
      </c>
      <c r="BP41" s="82"/>
      <c r="BQ41" s="7"/>
      <c r="BR41" s="7" t="s">
        <v>23</v>
      </c>
    </row>
    <row r="42">
      <c r="A42" s="16">
        <v>5.0</v>
      </c>
      <c r="B42" s="16" t="s">
        <v>76</v>
      </c>
      <c r="C42" s="53">
        <v>2.0</v>
      </c>
      <c r="D42" s="53"/>
      <c r="E42" s="7">
        <v>55.0</v>
      </c>
      <c r="F42" s="53"/>
      <c r="G42" s="7"/>
      <c r="H42" s="16">
        <v>1.0</v>
      </c>
      <c r="I42" s="81">
        <v>1.0</v>
      </c>
      <c r="J42" s="39" t="s">
        <v>2026</v>
      </c>
      <c r="K42" s="53" t="s">
        <v>2027</v>
      </c>
      <c r="L42" s="53"/>
      <c r="M42" s="39" t="str">
        <f t="shared" si="1"/>
        <v>[https://www.scirp.org/(S(lz5mqp453edsnp55rrgjct55))/reference/ReferencesPapers.aspx?ReferenceID=1690549 Dinitz (1970)]</v>
      </c>
      <c r="N42" s="39" t="s">
        <v>2028</v>
      </c>
      <c r="O42" s="81">
        <v>1970.0</v>
      </c>
      <c r="P42" s="28" t="s">
        <v>2029</v>
      </c>
      <c r="Q42" s="82"/>
      <c r="R42" s="82"/>
      <c r="S42" s="82"/>
      <c r="T42" s="83">
        <v>0.0</v>
      </c>
      <c r="U42" s="83">
        <v>0.0</v>
      </c>
      <c r="V42" s="89">
        <f>IFERROR(__xludf.DUMMYFUNCTION("INDEX(SPLIT(SUBSTITUTE(W42,CHAR(10), """"),"",:""), MATCH(Z42, SPLIT(SUBSTITUTE(W42,CHAR(10), """"),"",:""), 0) + 1)"),7.0)</f>
        <v>7</v>
      </c>
      <c r="W42" s="85" t="s">
        <v>2030</v>
      </c>
      <c r="X42" s="39" t="s">
        <v>2026</v>
      </c>
      <c r="Y42" s="53" t="s">
        <v>2031</v>
      </c>
      <c r="Z42" s="53" t="str">
        <f t="array" ref="Z42">INDEX(Problems!J:J, MATCH(1, (Problems!B:B=B42)*1, 0))</f>
        <v>V</v>
      </c>
      <c r="AA42" s="53"/>
      <c r="AB42" s="53"/>
      <c r="AC42" s="53" t="s">
        <v>1813</v>
      </c>
      <c r="AD42" s="53" t="s">
        <v>1814</v>
      </c>
      <c r="AE42" s="85">
        <f>IFERROR(__xludf.DUMMYFUNCTION("INDEX(SPLIT(SUBSTITUTE(AF42,CHAR(10), """"),"",:""), MATCH(Z42, SPLIT(SUBSTITUTE(AF42,CHAR(10), """"),"",:""), 0) + 1)"),5.0)</f>
        <v>5</v>
      </c>
      <c r="AF42" s="85" t="s">
        <v>2022</v>
      </c>
      <c r="AG42" s="53" t="s">
        <v>92</v>
      </c>
      <c r="AH42" s="91" t="s">
        <v>2023</v>
      </c>
      <c r="AI42" s="84">
        <v>0.0</v>
      </c>
      <c r="AJ42" s="84">
        <v>0.0</v>
      </c>
      <c r="AK42" s="87"/>
      <c r="AL42" s="81">
        <v>0.0</v>
      </c>
      <c r="AM42" s="87"/>
      <c r="AN42" s="81">
        <v>0.0</v>
      </c>
      <c r="AO42" s="90"/>
      <c r="AP42" s="81">
        <v>0.0</v>
      </c>
      <c r="AQ42" s="81">
        <v>0.0</v>
      </c>
      <c r="AR42" s="39"/>
      <c r="AS42" s="81">
        <v>0.0</v>
      </c>
      <c r="AT42" s="81">
        <v>0.0</v>
      </c>
      <c r="AU42" s="39"/>
      <c r="AV42" s="14" t="s">
        <v>2024</v>
      </c>
      <c r="AW42" s="82"/>
      <c r="AX42" s="82"/>
      <c r="AY42" s="7" t="s">
        <v>2025</v>
      </c>
      <c r="AZ42" s="7"/>
      <c r="BA42" s="7"/>
      <c r="BB42" s="7"/>
      <c r="BC42" s="7"/>
      <c r="BD42" s="7"/>
      <c r="BE42" s="7"/>
      <c r="BF42" s="7">
        <v>2.0482476E7</v>
      </c>
      <c r="BG42" s="82">
        <f>7877875424/BF42</f>
        <v>384.6153865</v>
      </c>
      <c r="BH42" s="82"/>
      <c r="BI42" s="82"/>
      <c r="BJ42" s="82"/>
      <c r="BK42" s="82"/>
      <c r="BL42" s="82"/>
      <c r="BM42" s="82"/>
      <c r="BN42" s="7"/>
      <c r="BO42" s="7">
        <v>2.0</v>
      </c>
      <c r="BP42" s="82"/>
      <c r="BQ42" s="7"/>
      <c r="BR42" s="7" t="s">
        <v>23</v>
      </c>
    </row>
    <row r="43">
      <c r="A43" s="16">
        <v>5.0</v>
      </c>
      <c r="B43" s="16" t="s">
        <v>76</v>
      </c>
      <c r="C43" s="53">
        <v>2.0</v>
      </c>
      <c r="D43" s="53"/>
      <c r="E43" s="7">
        <v>56.0</v>
      </c>
      <c r="F43" s="53"/>
      <c r="G43" s="7"/>
      <c r="H43" s="16">
        <v>1.0</v>
      </c>
      <c r="I43" s="81">
        <v>1.0</v>
      </c>
      <c r="J43" s="39" t="s">
        <v>2032</v>
      </c>
      <c r="K43" s="53" t="s">
        <v>2027</v>
      </c>
      <c r="L43" s="53"/>
      <c r="M43" s="39" t="str">
        <f t="shared" si="1"/>
        <v>[https://web.eecs.umich.edu/~pettie/matching/Edmonds-Karp-network-flow.pdf Edmonds &amp; Karp (1972)]</v>
      </c>
      <c r="N43" s="39" t="s">
        <v>2033</v>
      </c>
      <c r="O43" s="81">
        <v>1972.0</v>
      </c>
      <c r="P43" s="28" t="s">
        <v>2034</v>
      </c>
      <c r="Q43" s="82"/>
      <c r="R43" s="82"/>
      <c r="S43" s="82"/>
      <c r="T43" s="81">
        <v>1.0</v>
      </c>
      <c r="U43" s="83">
        <v>0.0</v>
      </c>
      <c r="V43" s="89">
        <f>IFERROR(__xludf.DUMMYFUNCTION("INDEX(SPLIT(SUBSTITUTE(W43,CHAR(10), """"),"",:""), MATCH(Z43, SPLIT(SUBSTITUTE(W43,CHAR(10), """"),"",:""), 0) + 1)"),7.0)</f>
        <v>7</v>
      </c>
      <c r="W43" s="85" t="s">
        <v>2035</v>
      </c>
      <c r="X43" s="16" t="s">
        <v>2036</v>
      </c>
      <c r="Y43" s="53" t="s">
        <v>2031</v>
      </c>
      <c r="Z43" s="53" t="str">
        <f t="array" ref="Z43">INDEX(Problems!J:J, MATCH(1, (Problems!B:B=B43)*1, 0))</f>
        <v>V</v>
      </c>
      <c r="AA43" s="53"/>
      <c r="AB43" s="53"/>
      <c r="AC43" s="53" t="s">
        <v>1813</v>
      </c>
      <c r="AD43" s="53" t="s">
        <v>1814</v>
      </c>
      <c r="AE43" s="85">
        <f>IFERROR(__xludf.DUMMYFUNCTION("INDEX(SPLIT(SUBSTITUTE(AF43,CHAR(10), """"),"",:""), MATCH(Z43, SPLIT(SUBSTITUTE(AF43,CHAR(10), """"),"",:""), 0) + 1)"),5.0)</f>
        <v>5</v>
      </c>
      <c r="AF43" s="85" t="s">
        <v>2022</v>
      </c>
      <c r="AG43" s="53" t="s">
        <v>92</v>
      </c>
      <c r="AH43" s="91" t="s">
        <v>2023</v>
      </c>
      <c r="AI43" s="84">
        <v>0.0</v>
      </c>
      <c r="AJ43" s="84">
        <v>0.0</v>
      </c>
      <c r="AK43" s="87"/>
      <c r="AL43" s="81">
        <v>0.0</v>
      </c>
      <c r="AM43" s="87"/>
      <c r="AN43" s="81">
        <v>0.0</v>
      </c>
      <c r="AO43" s="90"/>
      <c r="AP43" s="81">
        <v>0.0</v>
      </c>
      <c r="AQ43" s="81">
        <v>0.0</v>
      </c>
      <c r="AR43" s="39"/>
      <c r="AS43" s="81">
        <v>0.0</v>
      </c>
      <c r="AT43" s="81">
        <v>0.0</v>
      </c>
      <c r="AU43" s="39"/>
      <c r="AV43" s="14" t="s">
        <v>2024</v>
      </c>
      <c r="AW43" s="82"/>
      <c r="AX43" s="82"/>
      <c r="AY43" s="7" t="s">
        <v>2025</v>
      </c>
      <c r="AZ43" s="7"/>
      <c r="BA43" s="7"/>
      <c r="BB43" s="7"/>
      <c r="BC43" s="7"/>
      <c r="BD43" s="7"/>
      <c r="BE43" s="7"/>
      <c r="BF43" s="7">
        <f>POW((1/2.6)*1000,2)*LOG((1/2.6)*1000,2)</f>
        <v>1270306.607</v>
      </c>
      <c r="BG43" s="82">
        <f>BF40/BF43</f>
        <v>0.196802881</v>
      </c>
      <c r="BH43" s="82"/>
      <c r="BI43" s="82">
        <f>POW((1/2.6)*1000000,2)*LOG((1/2.6)*1000000,2)</f>
        <v>2744535051194</v>
      </c>
      <c r="BJ43" s="82">
        <f>BI40/BI43</f>
        <v>0.0910901101</v>
      </c>
      <c r="BK43" s="82"/>
      <c r="BL43" s="82">
        <f>POW((1/2.6)*1000000000,2)*LOG((1/2.6)*1000000000,2)</f>
        <v>4.21876E+18</v>
      </c>
      <c r="BM43" s="82">
        <f>BL40/BL43</f>
        <v>0.05925906969</v>
      </c>
      <c r="BN43" s="7"/>
      <c r="BO43" s="7">
        <v>2.0</v>
      </c>
      <c r="BP43" s="82"/>
      <c r="BQ43" s="7"/>
      <c r="BR43" s="7" t="s">
        <v>23</v>
      </c>
    </row>
    <row r="44">
      <c r="A44" s="16">
        <v>5.0</v>
      </c>
      <c r="B44" s="16" t="s">
        <v>76</v>
      </c>
      <c r="C44" s="53">
        <v>2.0</v>
      </c>
      <c r="D44" s="53"/>
      <c r="E44" s="7">
        <v>58.0</v>
      </c>
      <c r="F44" s="53"/>
      <c r="G44" s="7"/>
      <c r="H44" s="16">
        <v>1.0</v>
      </c>
      <c r="I44" s="81">
        <v>1.0</v>
      </c>
      <c r="J44" s="39" t="s">
        <v>2037</v>
      </c>
      <c r="K44" s="53" t="s">
        <v>2027</v>
      </c>
      <c r="L44" s="53"/>
      <c r="M44" s="39" t="str">
        <f t="shared" si="1"/>
        <v>[http://alexander-karzanov.net/Publications/maxflow-acyc.pdf Karzanov (1974)]</v>
      </c>
      <c r="N44" s="39" t="s">
        <v>2038</v>
      </c>
      <c r="O44" s="81">
        <v>1974.0</v>
      </c>
      <c r="P44" s="28" t="s">
        <v>2039</v>
      </c>
      <c r="Q44" s="82"/>
      <c r="R44" s="82"/>
      <c r="S44" s="82"/>
      <c r="T44" s="83">
        <v>0.0</v>
      </c>
      <c r="U44" s="83">
        <v>0.0</v>
      </c>
      <c r="V44" s="89">
        <f>IFERROR(__xludf.DUMMYFUNCTION("INDEX(SPLIT(SUBSTITUTE(W44,CHAR(10), """"),"",:""), MATCH(Z44, SPLIT(SUBSTITUTE(W44,CHAR(10), """"),"",:""), 0) + 1)"),6.0)</f>
        <v>6</v>
      </c>
      <c r="W44" s="85" t="s">
        <v>2040</v>
      </c>
      <c r="X44" s="39" t="s">
        <v>2037</v>
      </c>
      <c r="Y44" s="53" t="s">
        <v>2031</v>
      </c>
      <c r="Z44" s="53" t="str">
        <f t="array" ref="Z44">INDEX(Problems!J:J, MATCH(1, (Problems!B:B=B44)*1, 0))</f>
        <v>V</v>
      </c>
      <c r="AA44" s="53"/>
      <c r="AB44" s="53"/>
      <c r="AC44" s="53" t="s">
        <v>1813</v>
      </c>
      <c r="AD44" s="53" t="s">
        <v>1814</v>
      </c>
      <c r="AE44" s="85">
        <f>IFERROR(__xludf.DUMMYFUNCTION("INDEX(SPLIT(SUBSTITUTE(AF44,CHAR(10), """"),"",:""), MATCH(Z44, SPLIT(SUBSTITUTE(AF44,CHAR(10), """"),"",:""), 0) + 1)"),5.0)</f>
        <v>5</v>
      </c>
      <c r="AF44" s="85" t="s">
        <v>2041</v>
      </c>
      <c r="AG44" s="53" t="s">
        <v>251</v>
      </c>
      <c r="AH44" s="91" t="s">
        <v>2023</v>
      </c>
      <c r="AI44" s="84">
        <v>0.0</v>
      </c>
      <c r="AJ44" s="84">
        <v>0.0</v>
      </c>
      <c r="AK44" s="87"/>
      <c r="AL44" s="81">
        <v>0.0</v>
      </c>
      <c r="AM44" s="87"/>
      <c r="AN44" s="81">
        <v>0.0</v>
      </c>
      <c r="AO44" s="90"/>
      <c r="AP44" s="81">
        <v>0.0</v>
      </c>
      <c r="AQ44" s="81">
        <v>0.0</v>
      </c>
      <c r="AR44" s="39"/>
      <c r="AS44" s="81">
        <v>0.0</v>
      </c>
      <c r="AT44" s="81">
        <v>0.0</v>
      </c>
      <c r="AU44" s="39"/>
      <c r="AV44" s="14" t="s">
        <v>2024</v>
      </c>
      <c r="AW44" s="82"/>
      <c r="AX44" s="82"/>
      <c r="AY44" s="7" t="s">
        <v>2025</v>
      </c>
      <c r="AZ44" s="7"/>
      <c r="BA44" s="7"/>
      <c r="BB44" s="7"/>
      <c r="BC44" s="7"/>
      <c r="BD44" s="7"/>
      <c r="BE44" s="7"/>
      <c r="BF44" s="7">
        <v>1.2289485E7</v>
      </c>
      <c r="BG44" s="82">
        <f>7877875424/BF44</f>
        <v>641.0256755</v>
      </c>
      <c r="BH44" s="82"/>
      <c r="BI44" s="82"/>
      <c r="BJ44" s="82"/>
      <c r="BK44" s="82"/>
      <c r="BL44" s="82"/>
      <c r="BM44" s="82"/>
      <c r="BN44" s="7"/>
      <c r="BO44" s="7">
        <v>2.0</v>
      </c>
      <c r="BP44" s="82"/>
      <c r="BQ44" s="7"/>
      <c r="BR44" s="7" t="s">
        <v>23</v>
      </c>
    </row>
    <row r="45">
      <c r="A45" s="16">
        <v>5.0</v>
      </c>
      <c r="B45" s="16" t="s">
        <v>76</v>
      </c>
      <c r="C45" s="53">
        <v>2.0</v>
      </c>
      <c r="D45" s="53"/>
      <c r="E45" s="7">
        <v>60.0</v>
      </c>
      <c r="F45" s="53"/>
      <c r="G45" s="7"/>
      <c r="H45" s="16">
        <v>1.0</v>
      </c>
      <c r="I45" s="81">
        <v>1.0</v>
      </c>
      <c r="J45" s="39" t="s">
        <v>2042</v>
      </c>
      <c r="K45" s="53" t="s">
        <v>2027</v>
      </c>
      <c r="L45" s="53"/>
      <c r="M45" s="39" t="str">
        <f t="shared" si="1"/>
        <v>[https://core.ac.uk/download/pdf/81946904.pdf Galil &amp; Naamad (1980)]</v>
      </c>
      <c r="N45" s="39" t="s">
        <v>2043</v>
      </c>
      <c r="O45" s="81">
        <v>1980.0</v>
      </c>
      <c r="P45" s="25" t="s">
        <v>2023</v>
      </c>
      <c r="Q45" s="82"/>
      <c r="R45" s="82"/>
      <c r="S45" s="82"/>
      <c r="T45" s="81">
        <v>1.0</v>
      </c>
      <c r="U45" s="83">
        <v>0.0</v>
      </c>
      <c r="V45" s="89">
        <f>IFERROR(__xludf.DUMMYFUNCTION("INDEX(SPLIT(SUBSTITUTE(W45,CHAR(10), """"),"",:""), MATCH(Z45, SPLIT(SUBSTITUTE(W45,CHAR(10), """"),"",:""), 0) + 1)"),6.02)</f>
        <v>6.02</v>
      </c>
      <c r="W45" s="85" t="s">
        <v>2044</v>
      </c>
      <c r="X45" s="16" t="s">
        <v>2045</v>
      </c>
      <c r="Y45" s="53" t="s">
        <v>2031</v>
      </c>
      <c r="Z45" s="53" t="str">
        <f t="array" ref="Z45">INDEX(Problems!J:J, MATCH(1, (Problems!B:B=B45)*1, 0))</f>
        <v>V</v>
      </c>
      <c r="AA45" s="53"/>
      <c r="AB45" s="53"/>
      <c r="AC45" s="53" t="s">
        <v>1813</v>
      </c>
      <c r="AD45" s="53" t="s">
        <v>1814</v>
      </c>
      <c r="AE45" s="85">
        <f>IFERROR(__xludf.DUMMYFUNCTION("INDEX(SPLIT(SUBSTITUTE(AF45,CHAR(10), """"),"",:""), MATCH(Z45, SPLIT(SUBSTITUTE(AF45,CHAR(10), """"),"",:""), 0) + 1)"),5.0)</f>
        <v>5</v>
      </c>
      <c r="AF45" s="85" t="s">
        <v>2022</v>
      </c>
      <c r="AG45" s="53" t="s">
        <v>92</v>
      </c>
      <c r="AH45" s="91" t="s">
        <v>2023</v>
      </c>
      <c r="AI45" s="84">
        <v>0.0</v>
      </c>
      <c r="AJ45" s="84">
        <v>1.0</v>
      </c>
      <c r="AK45" s="87"/>
      <c r="AL45" s="81">
        <v>0.0</v>
      </c>
      <c r="AM45" s="87"/>
      <c r="AN45" s="81">
        <v>0.0</v>
      </c>
      <c r="AO45" s="90"/>
      <c r="AP45" s="81">
        <v>0.0</v>
      </c>
      <c r="AQ45" s="81">
        <v>0.0</v>
      </c>
      <c r="AR45" s="39"/>
      <c r="AS45" s="81">
        <v>0.0</v>
      </c>
      <c r="AT45" s="81">
        <v>0.0</v>
      </c>
      <c r="AU45" s="39"/>
      <c r="AV45" s="14" t="s">
        <v>2024</v>
      </c>
      <c r="AW45" s="82"/>
      <c r="AX45" s="82"/>
      <c r="AY45" s="7" t="s">
        <v>2025</v>
      </c>
      <c r="AZ45" s="7"/>
      <c r="BA45" s="7"/>
      <c r="BB45" s="7"/>
      <c r="BC45" s="7"/>
      <c r="BD45" s="7"/>
      <c r="BE45" s="7"/>
      <c r="BF45" s="7">
        <f>(1/2.6)*(0.6/2.6)*1000*1000*POW(LOG((0.6)*1000,2),2)</f>
        <v>7559564.594</v>
      </c>
      <c r="BG45" s="82" t="str">
        <f>BF38/BF45</f>
        <v>#VALUE!</v>
      </c>
      <c r="BH45" s="82"/>
      <c r="BI45" s="82">
        <f>(1/2.6)*(0.6/2.6)*1000000*1000000*POW(LOG((0.6)*1000000,2),2)</f>
        <v>32701134618989</v>
      </c>
      <c r="BJ45" s="82" t="str">
        <f>BI38/BI45</f>
        <v>#VALUE!</v>
      </c>
      <c r="BK45" s="82"/>
      <c r="BL45" s="82">
        <f>(1/2.6)*(0.6/2.6)*1000000000*1000000000*POW(LOG((0.6)*1000000000,2),2)</f>
        <v>7.54729E+19</v>
      </c>
      <c r="BM45" s="82" t="str">
        <f>BL38/BL45</f>
        <v>#VALUE!</v>
      </c>
      <c r="BN45" s="7"/>
      <c r="BO45" s="7">
        <v>2.0</v>
      </c>
      <c r="BP45" s="82"/>
      <c r="BQ45" s="7"/>
      <c r="BR45" s="7" t="s">
        <v>23</v>
      </c>
    </row>
    <row r="46">
      <c r="A46" s="16">
        <v>6.0</v>
      </c>
      <c r="B46" s="16" t="s">
        <v>109</v>
      </c>
      <c r="C46" s="53">
        <v>2.0</v>
      </c>
      <c r="D46" s="53" t="s">
        <v>110</v>
      </c>
      <c r="E46" s="7">
        <v>74.0</v>
      </c>
      <c r="F46" s="53"/>
      <c r="G46" s="7"/>
      <c r="H46" s="16">
        <v>1.0</v>
      </c>
      <c r="I46" s="81">
        <v>1.0</v>
      </c>
      <c r="J46" s="39" t="s">
        <v>834</v>
      </c>
      <c r="K46" s="53" t="s">
        <v>2046</v>
      </c>
      <c r="L46" s="53" t="s">
        <v>2047</v>
      </c>
      <c r="M46" s="39" t="str">
        <f t="shared" si="1"/>
        <v>[- Naive algorithm (1940)]</v>
      </c>
      <c r="N46" s="39" t="s">
        <v>2048</v>
      </c>
      <c r="O46" s="81">
        <v>1940.0</v>
      </c>
      <c r="P46" s="39" t="s">
        <v>1937</v>
      </c>
      <c r="Q46" s="7"/>
      <c r="R46" s="7"/>
      <c r="S46" s="82"/>
      <c r="T46" s="81">
        <v>1.0</v>
      </c>
      <c r="U46" s="81">
        <v>0.0</v>
      </c>
      <c r="V46" s="89">
        <f>IFERROR(__xludf.DUMMYFUNCTION("INDEX(SPLIT(SUBSTITUTE(W46,CHAR(10), """"),"",:""), MATCH(Z46, SPLIT(SUBSTITUTE(W46,CHAR(10), """"),"",:""), 0) + 1)"),4.5)</f>
        <v>4.5</v>
      </c>
      <c r="W46" s="85" t="s">
        <v>2049</v>
      </c>
      <c r="X46" s="39" t="s">
        <v>834</v>
      </c>
      <c r="Y46" s="53" t="s">
        <v>2050</v>
      </c>
      <c r="Z46" s="53" t="str">
        <f t="array" ref="Z46">INDEX(Problems!J:J, MATCH(1, (Problems!B:B=B46)*1, 0))</f>
        <v>n^2</v>
      </c>
      <c r="AA46" s="53"/>
      <c r="AB46" s="53"/>
      <c r="AC46" s="53" t="s">
        <v>1813</v>
      </c>
      <c r="AD46" s="53" t="s">
        <v>1814</v>
      </c>
      <c r="AE46" s="85">
        <f>IFERROR(__xludf.DUMMYFUNCTION("INDEX(SPLIT(SUBSTITUTE(AF46,CHAR(10), """"),"",:""), MATCH(Z46, SPLIT(SUBSTITUTE(AF46,CHAR(10), """"),"",:""), 0) + 1)"),1.0)</f>
        <v>1</v>
      </c>
      <c r="AF46" s="85" t="s">
        <v>2051</v>
      </c>
      <c r="AG46" s="53" t="s">
        <v>2052</v>
      </c>
      <c r="AH46" s="53" t="s">
        <v>1993</v>
      </c>
      <c r="AI46" s="84">
        <v>1.0</v>
      </c>
      <c r="AJ46" s="84">
        <v>0.0</v>
      </c>
      <c r="AK46" s="87"/>
      <c r="AL46" s="81">
        <v>0.0</v>
      </c>
      <c r="AM46" s="87"/>
      <c r="AN46" s="81">
        <v>0.0</v>
      </c>
      <c r="AO46" s="90"/>
      <c r="AP46" s="81">
        <v>0.0</v>
      </c>
      <c r="AQ46" s="81">
        <v>0.0</v>
      </c>
      <c r="AR46" s="39"/>
      <c r="AS46" s="81">
        <v>0.0</v>
      </c>
      <c r="AT46" s="81">
        <v>0.0</v>
      </c>
      <c r="AU46" s="39"/>
      <c r="AV46" s="7" t="s">
        <v>2053</v>
      </c>
      <c r="AW46" s="82"/>
      <c r="AX46" s="82"/>
      <c r="AY46" s="7"/>
      <c r="AZ46" s="7"/>
      <c r="BA46" s="7"/>
      <c r="BB46" s="7"/>
      <c r="BC46" s="7"/>
      <c r="BD46" s="7"/>
      <c r="BE46" s="7"/>
      <c r="BF46" s="7">
        <v>1.0E9</v>
      </c>
      <c r="BG46" s="82">
        <f>1000000000/BF46</f>
        <v>1</v>
      </c>
      <c r="BH46" s="7"/>
      <c r="BI46" s="7">
        <f>POW(1000000,3)</f>
        <v>1E+18</v>
      </c>
      <c r="BJ46" s="7">
        <v>1.0</v>
      </c>
      <c r="BK46" s="82"/>
      <c r="BL46" s="82">
        <f>POW(1000000000,3)</f>
        <v>1E+27</v>
      </c>
      <c r="BM46" s="7">
        <v>1.0</v>
      </c>
      <c r="BN46" s="7"/>
      <c r="BO46" s="7">
        <v>3.0</v>
      </c>
      <c r="BP46" s="82"/>
      <c r="BQ46" s="7"/>
      <c r="BR46" s="7" t="s">
        <v>23</v>
      </c>
    </row>
    <row r="47">
      <c r="A47" s="16">
        <v>6.0</v>
      </c>
      <c r="B47" s="16" t="s">
        <v>109</v>
      </c>
      <c r="C47" s="53">
        <v>2.0</v>
      </c>
      <c r="D47" s="53" t="s">
        <v>110</v>
      </c>
      <c r="E47" s="7">
        <v>75.0</v>
      </c>
      <c r="F47" s="53"/>
      <c r="G47" s="7"/>
      <c r="H47" s="16">
        <v>1.0</v>
      </c>
      <c r="I47" s="81">
        <v>1.0</v>
      </c>
      <c r="J47" s="21" t="s">
        <v>2054</v>
      </c>
      <c r="K47" s="53" t="s">
        <v>2046</v>
      </c>
      <c r="L47" s="53" t="s">
        <v>2047</v>
      </c>
      <c r="M47" s="39" t="str">
        <f t="shared" si="1"/>
        <v>[https://link.springer.com/article/10.1007%2FBF02165411 Strassen's algorithm (1969)]</v>
      </c>
      <c r="N47" s="16" t="s">
        <v>2055</v>
      </c>
      <c r="O47" s="81">
        <v>1969.0</v>
      </c>
      <c r="P47" s="17" t="s">
        <v>2056</v>
      </c>
      <c r="Q47" s="82"/>
      <c r="R47" s="82"/>
      <c r="S47" s="82"/>
      <c r="T47" s="81">
        <v>1.0</v>
      </c>
      <c r="U47" s="81">
        <v>0.0</v>
      </c>
      <c r="V47" s="89">
        <f>IFERROR(__xludf.DUMMYFUNCTION("INDEX(SPLIT(SUBSTITUTE(W47,CHAR(10), """"),"",:""), MATCH(Z47, SPLIT(SUBSTITUTE(W47,CHAR(10), """"),"",:""), 0) + 1)"),4.4035)</f>
        <v>4.4035</v>
      </c>
      <c r="W47" s="85" t="s">
        <v>2057</v>
      </c>
      <c r="X47" s="21" t="s">
        <v>2058</v>
      </c>
      <c r="Y47" s="53" t="s">
        <v>2050</v>
      </c>
      <c r="Z47" s="53" t="str">
        <f t="array" ref="Z47">INDEX(Problems!J:J, MATCH(1, (Problems!B:B=B47)*1, 0))</f>
        <v>n^2</v>
      </c>
      <c r="AA47" s="53"/>
      <c r="AB47" s="53"/>
      <c r="AC47" s="53" t="s">
        <v>1813</v>
      </c>
      <c r="AD47" s="53" t="s">
        <v>1814</v>
      </c>
      <c r="AE47" s="85">
        <f>IFERROR(__xludf.DUMMYFUNCTION("INDEX(SPLIT(SUBSTITUTE(AF47,CHAR(10), """"),"",:""), MATCH(Z47, SPLIT(SUBSTITUTE(AF47,CHAR(10), """"),"",:""), 0) + 1)"),3.0)</f>
        <v>3</v>
      </c>
      <c r="AF47" s="85" t="s">
        <v>2059</v>
      </c>
      <c r="AG47" s="53" t="s">
        <v>115</v>
      </c>
      <c r="AH47" s="91" t="s">
        <v>2060</v>
      </c>
      <c r="AI47" s="84">
        <v>0.0</v>
      </c>
      <c r="AJ47" s="84">
        <v>0.0</v>
      </c>
      <c r="AK47" s="87"/>
      <c r="AL47" s="81">
        <v>0.0</v>
      </c>
      <c r="AM47" s="87"/>
      <c r="AN47" s="81">
        <v>0.0</v>
      </c>
      <c r="AO47" s="90"/>
      <c r="AP47" s="81">
        <v>0.0</v>
      </c>
      <c r="AQ47" s="81">
        <v>0.0</v>
      </c>
      <c r="AR47" s="39"/>
      <c r="AS47" s="81">
        <v>0.0</v>
      </c>
      <c r="AT47" s="81">
        <v>0.0</v>
      </c>
      <c r="AU47" s="39"/>
      <c r="AV47" s="7" t="s">
        <v>2053</v>
      </c>
      <c r="AW47" s="82"/>
      <c r="AX47" s="82"/>
      <c r="AY47" s="7"/>
      <c r="AZ47" s="7"/>
      <c r="BA47" s="7"/>
      <c r="BB47" s="7"/>
      <c r="BC47" s="7"/>
      <c r="BD47" s="7"/>
      <c r="BE47" s="7"/>
      <c r="BF47" s="7">
        <f>POW(1000,2.807)</f>
        <v>263633138.6</v>
      </c>
      <c r="BG47" s="82">
        <f t="shared" ref="BG47:BG54" si="6">BF$46/BF47</f>
        <v>3.79314985</v>
      </c>
      <c r="BH47" s="82">
        <f t="shared" ref="BH47:BH54" si="7">POW(BG47, 1/($O47-$O$46)) - 1</f>
        <v>0.04704540988</v>
      </c>
      <c r="BI47" s="82">
        <f>POW(1000000,2.807)</f>
        <v>6.95024E+16</v>
      </c>
      <c r="BJ47" s="82">
        <f t="shared" ref="BJ47:BJ54" si="8">BI$46/BI47</f>
        <v>14.38798578</v>
      </c>
      <c r="BK47" s="82">
        <f t="shared" ref="BK47:BK54" si="9">POW(BJ47, 1/($O47-$O$46)) - 1</f>
        <v>0.09630409036</v>
      </c>
      <c r="BL47" s="82">
        <f>POW(1000000000,2.807)</f>
        <v>1.83231E+25</v>
      </c>
      <c r="BM47" s="82">
        <f t="shared" ref="BM47:BM54" si="10">BL$46/BL47</f>
        <v>54.57578611</v>
      </c>
      <c r="BN47" s="82">
        <f t="shared" ref="BN47:BN54" si="11">POW(BM47, 1/($O47-$O$46)) - 1</f>
        <v>0.1478801656</v>
      </c>
      <c r="BO47" s="7">
        <v>3.0</v>
      </c>
      <c r="BP47" s="82"/>
      <c r="BQ47" s="7"/>
      <c r="BR47" s="7" t="s">
        <v>23</v>
      </c>
    </row>
    <row r="48">
      <c r="A48" s="16">
        <v>6.0</v>
      </c>
      <c r="B48" s="16" t="s">
        <v>109</v>
      </c>
      <c r="C48" s="53">
        <v>2.0</v>
      </c>
      <c r="D48" s="53" t="s">
        <v>110</v>
      </c>
      <c r="E48" s="7">
        <v>76.0</v>
      </c>
      <c r="F48" s="53"/>
      <c r="G48" s="7"/>
      <c r="H48" s="16">
        <v>1.0</v>
      </c>
      <c r="I48" s="81">
        <v>1.0</v>
      </c>
      <c r="J48" s="21" t="s">
        <v>2061</v>
      </c>
      <c r="K48" s="53" t="s">
        <v>2046</v>
      </c>
      <c r="L48" s="53" t="s">
        <v>2047</v>
      </c>
      <c r="M48" s="39" t="str">
        <f t="shared" si="1"/>
        <v>[https://ieeexplore.ieee.org/document/4567976 Pan's algorithm (1978)]</v>
      </c>
      <c r="N48" s="39" t="s">
        <v>2062</v>
      </c>
      <c r="O48" s="81">
        <v>1978.0</v>
      </c>
      <c r="P48" s="28" t="s">
        <v>2063</v>
      </c>
      <c r="Q48" s="82"/>
      <c r="R48" s="82"/>
      <c r="S48" s="82"/>
      <c r="T48" s="81">
        <v>1.0</v>
      </c>
      <c r="U48" s="81">
        <v>0.0</v>
      </c>
      <c r="V48" s="89">
        <f>IFERROR(__xludf.DUMMYFUNCTION("INDEX(SPLIT(SUBSTITUTE(W48,CHAR(10), """"),"",:""), MATCH(Z48, SPLIT(SUBSTITUTE(W48,CHAR(10), """"),"",:""), 0) + 1)"),4.3975)</f>
        <v>4.3975</v>
      </c>
      <c r="W48" s="85" t="s">
        <v>2064</v>
      </c>
      <c r="X48" s="21" t="s">
        <v>2065</v>
      </c>
      <c r="Y48" s="53" t="s">
        <v>2050</v>
      </c>
      <c r="Z48" s="53" t="str">
        <f t="array" ref="Z48">INDEX(Problems!J:J, MATCH(1, (Problems!B:B=B48)*1, 0))</f>
        <v>n^2</v>
      </c>
      <c r="AA48" s="53"/>
      <c r="AB48" s="53"/>
      <c r="AC48" s="53" t="s">
        <v>1813</v>
      </c>
      <c r="AD48" s="53" t="s">
        <v>1814</v>
      </c>
      <c r="AE48" s="85">
        <f>IFERROR(__xludf.DUMMYFUNCTION("INDEX(SPLIT(SUBSTITUTE(AF48,CHAR(10), """"),"",:""), MATCH(Z48, SPLIT(SUBSTITUTE(AF48,CHAR(10), """"),"",:""), 0) + 1)"),3.0)</f>
        <v>3</v>
      </c>
      <c r="AF48" s="85" t="s">
        <v>2059</v>
      </c>
      <c r="AG48" s="53" t="s">
        <v>115</v>
      </c>
      <c r="AH48" s="53" t="s">
        <v>2066</v>
      </c>
      <c r="AI48" s="84">
        <v>1.0</v>
      </c>
      <c r="AJ48" s="84">
        <v>0.0</v>
      </c>
      <c r="AK48" s="87"/>
      <c r="AL48" s="81">
        <v>0.0</v>
      </c>
      <c r="AM48" s="87"/>
      <c r="AN48" s="81">
        <v>0.0</v>
      </c>
      <c r="AO48" s="90"/>
      <c r="AP48" s="81">
        <v>0.0</v>
      </c>
      <c r="AQ48" s="81">
        <v>0.0</v>
      </c>
      <c r="AR48" s="39"/>
      <c r="AS48" s="81">
        <v>0.0</v>
      </c>
      <c r="AT48" s="81">
        <v>0.0</v>
      </c>
      <c r="AU48" s="39"/>
      <c r="AV48" s="7" t="s">
        <v>2053</v>
      </c>
      <c r="AW48" s="82"/>
      <c r="AX48" s="82"/>
      <c r="AY48" s="7"/>
      <c r="AZ48" s="7"/>
      <c r="BA48" s="7"/>
      <c r="BB48" s="7"/>
      <c r="BC48" s="7"/>
      <c r="BD48" s="7"/>
      <c r="BE48" s="7"/>
      <c r="BF48" s="7">
        <f>POW(1000,2.8)</f>
        <v>251188643.2</v>
      </c>
      <c r="BG48" s="82">
        <f t="shared" si="6"/>
        <v>3.981071706</v>
      </c>
      <c r="BH48" s="82">
        <f t="shared" si="7"/>
        <v>0.03702559087</v>
      </c>
      <c r="BI48" s="82">
        <f>POW(1000000,2.8)</f>
        <v>6.30957E+16</v>
      </c>
      <c r="BJ48" s="82">
        <f t="shared" si="8"/>
        <v>15.84893192</v>
      </c>
      <c r="BK48" s="82">
        <f t="shared" si="9"/>
        <v>0.07542207611</v>
      </c>
      <c r="BL48" s="82">
        <f>POW(1000000000,2.8)</f>
        <v>1.58489E+25</v>
      </c>
      <c r="BM48" s="82">
        <f t="shared" si="10"/>
        <v>63.09573445</v>
      </c>
      <c r="BN48" s="82">
        <f t="shared" si="11"/>
        <v>0.1152402139</v>
      </c>
      <c r="BO48" s="7">
        <v>3.0</v>
      </c>
      <c r="BP48" s="82"/>
      <c r="BQ48" s="7"/>
      <c r="BR48" s="7" t="s">
        <v>23</v>
      </c>
    </row>
    <row r="49">
      <c r="A49" s="16">
        <v>6.0</v>
      </c>
      <c r="B49" s="16" t="s">
        <v>109</v>
      </c>
      <c r="C49" s="53">
        <v>2.0</v>
      </c>
      <c r="D49" s="53" t="s">
        <v>110</v>
      </c>
      <c r="E49" s="7">
        <v>79.0</v>
      </c>
      <c r="F49" s="53"/>
      <c r="G49" s="7"/>
      <c r="H49" s="16">
        <v>1.0</v>
      </c>
      <c r="I49" s="81">
        <v>1.0</v>
      </c>
      <c r="J49" s="21" t="s">
        <v>2067</v>
      </c>
      <c r="K49" s="53" t="s">
        <v>2068</v>
      </c>
      <c r="L49" s="91" t="s">
        <v>2069</v>
      </c>
      <c r="M49" s="39" t="str">
        <f t="shared" si="1"/>
        <v>[https://epubs.siam.org/doi/abs/10.1137/0211020 Romani's algorithm (1981)]</v>
      </c>
      <c r="N49" s="39" t="s">
        <v>2070</v>
      </c>
      <c r="O49" s="83">
        <v>1981.0</v>
      </c>
      <c r="P49" s="96" t="s">
        <v>2071</v>
      </c>
      <c r="Q49" s="82"/>
      <c r="R49" s="82"/>
      <c r="S49" s="82"/>
      <c r="T49" s="81">
        <v>1.0</v>
      </c>
      <c r="U49" s="81">
        <v>0.0</v>
      </c>
      <c r="V49" s="89">
        <f>IFERROR(__xludf.DUMMYFUNCTION("INDEX(SPLIT(SUBSTITUTE(W49,CHAR(10), """"),"",:""), MATCH(Z49, SPLIT(SUBSTITUTE(W49,CHAR(10), """"),"",:""), 0) + 1)"),4.258325)</f>
        <v>4.258325</v>
      </c>
      <c r="W49" s="85" t="s">
        <v>2072</v>
      </c>
      <c r="X49" s="21" t="s">
        <v>2073</v>
      </c>
      <c r="Y49" s="53" t="s">
        <v>2050</v>
      </c>
      <c r="Z49" s="53" t="str">
        <f t="array" ref="Z49">INDEX(Problems!J:J, MATCH(1, (Problems!B:B=B49)*1, 0))</f>
        <v>n^2</v>
      </c>
      <c r="AA49" s="53"/>
      <c r="AB49" s="53"/>
      <c r="AC49" s="53" t="s">
        <v>1813</v>
      </c>
      <c r="AD49" s="53" t="s">
        <v>1814</v>
      </c>
      <c r="AE49" s="85">
        <f>IFERROR(__xludf.DUMMYFUNCTION("INDEX(SPLIT(SUBSTITUTE(AF49,CHAR(10), """"),"",:""), MATCH(Z49, SPLIT(SUBSTITUTE(AF49,CHAR(10), """"),"",:""), 0) + 1)"),3.0)</f>
        <v>3</v>
      </c>
      <c r="AF49" s="85" t="s">
        <v>2059</v>
      </c>
      <c r="AG49" s="53" t="s">
        <v>115</v>
      </c>
      <c r="AH49" s="53" t="s">
        <v>2066</v>
      </c>
      <c r="AI49" s="84">
        <v>1.0</v>
      </c>
      <c r="AJ49" s="84">
        <v>0.0</v>
      </c>
      <c r="AK49" s="87"/>
      <c r="AL49" s="81">
        <v>0.0</v>
      </c>
      <c r="AM49" s="87"/>
      <c r="AN49" s="81">
        <v>0.0</v>
      </c>
      <c r="AO49" s="90"/>
      <c r="AP49" s="81">
        <v>0.0</v>
      </c>
      <c r="AQ49" s="81">
        <v>0.0</v>
      </c>
      <c r="AR49" s="39"/>
      <c r="AS49" s="81">
        <v>0.0</v>
      </c>
      <c r="AT49" s="81">
        <v>0.0</v>
      </c>
      <c r="AU49" s="28" t="s">
        <v>2074</v>
      </c>
      <c r="AV49" s="7" t="s">
        <v>2053</v>
      </c>
      <c r="AW49" s="82"/>
      <c r="AX49" s="82"/>
      <c r="AY49" s="7"/>
      <c r="AZ49" s="7"/>
      <c r="BA49" s="7"/>
      <c r="BB49" s="7"/>
      <c r="BC49" s="7"/>
      <c r="BD49" s="7"/>
      <c r="BE49" s="7"/>
      <c r="BF49" s="7">
        <f>POW(1000,2.518)</f>
        <v>35809643.71</v>
      </c>
      <c r="BG49" s="82">
        <f t="shared" si="6"/>
        <v>27.92543841</v>
      </c>
      <c r="BH49" s="82">
        <f t="shared" si="7"/>
        <v>0.08459673488</v>
      </c>
      <c r="BI49" s="82">
        <f>POW(1000000,2.518)</f>
        <v>1.28233E+15</v>
      </c>
      <c r="BJ49" s="82">
        <f t="shared" si="8"/>
        <v>779.8301105</v>
      </c>
      <c r="BK49" s="82">
        <f t="shared" si="9"/>
        <v>0.1763500773</v>
      </c>
      <c r="BL49" s="82">
        <f>POW(1000000000,2.518)</f>
        <v>4.59198E+22</v>
      </c>
      <c r="BM49" s="82">
        <f t="shared" si="10"/>
        <v>21777.09772</v>
      </c>
      <c r="BN49" s="82">
        <f t="shared" si="11"/>
        <v>0.2758654529</v>
      </c>
      <c r="BO49" s="7">
        <v>3.0</v>
      </c>
      <c r="BP49" s="82"/>
      <c r="BQ49" s="7"/>
      <c r="BR49" s="7" t="s">
        <v>23</v>
      </c>
    </row>
    <row r="50">
      <c r="A50" s="16">
        <v>6.0</v>
      </c>
      <c r="B50" s="16" t="s">
        <v>109</v>
      </c>
      <c r="C50" s="53">
        <v>2.0</v>
      </c>
      <c r="D50" s="53" t="s">
        <v>110</v>
      </c>
      <c r="E50" s="7">
        <v>80.0</v>
      </c>
      <c r="F50" s="53"/>
      <c r="G50" s="7"/>
      <c r="H50" s="16">
        <v>1.0</v>
      </c>
      <c r="I50" s="81">
        <v>1.0</v>
      </c>
      <c r="J50" s="21" t="s">
        <v>2075</v>
      </c>
      <c r="K50" s="53" t="s">
        <v>2068</v>
      </c>
      <c r="L50" s="91" t="s">
        <v>2069</v>
      </c>
      <c r="M50" s="39" t="str">
        <f t="shared" si="1"/>
        <v>[https://epubs.siam.org/doi/abs/10.1137/0211038 Coppersmith–Winograd algorithm (1981)]</v>
      </c>
      <c r="N50" s="39" t="s">
        <v>2076</v>
      </c>
      <c r="O50" s="81">
        <v>1981.0</v>
      </c>
      <c r="P50" s="96" t="s">
        <v>2077</v>
      </c>
      <c r="Q50" s="82"/>
      <c r="R50" s="82"/>
      <c r="S50" s="82"/>
      <c r="T50" s="81">
        <v>1.0</v>
      </c>
      <c r="U50" s="81">
        <v>0.0</v>
      </c>
      <c r="V50" s="89">
        <f>IFERROR(__xludf.DUMMYFUNCTION("INDEX(SPLIT(SUBSTITUTE(W50,CHAR(10), """"),"",:""), MATCH(Z50, SPLIT(SUBSTITUTE(W50,CHAR(10), """"),"",:""), 0) + 1)"),4.247774)</f>
        <v>4.247774</v>
      </c>
      <c r="W50" s="85" t="s">
        <v>2078</v>
      </c>
      <c r="X50" s="21" t="s">
        <v>2079</v>
      </c>
      <c r="Y50" s="53" t="s">
        <v>2050</v>
      </c>
      <c r="Z50" s="53" t="str">
        <f t="array" ref="Z50">INDEX(Problems!J:J, MATCH(1, (Problems!B:B=B50)*1, 0))</f>
        <v>n^2</v>
      </c>
      <c r="AA50" s="53"/>
      <c r="AB50" s="53"/>
      <c r="AC50" s="53" t="s">
        <v>1813</v>
      </c>
      <c r="AD50" s="53" t="s">
        <v>1814</v>
      </c>
      <c r="AE50" s="85">
        <f>IFERROR(__xludf.DUMMYFUNCTION("INDEX(SPLIT(SUBSTITUTE(AF50,CHAR(10), """"),"",:""), MATCH(Z50, SPLIT(SUBSTITUTE(AF50,CHAR(10), """"),"",:""), 0) + 1)"),3.0)</f>
        <v>3</v>
      </c>
      <c r="AF50" s="85" t="s">
        <v>2059</v>
      </c>
      <c r="AG50" s="53" t="s">
        <v>115</v>
      </c>
      <c r="AH50" s="53" t="s">
        <v>2066</v>
      </c>
      <c r="AI50" s="84">
        <v>1.0</v>
      </c>
      <c r="AJ50" s="84">
        <v>0.0</v>
      </c>
      <c r="AK50" s="87"/>
      <c r="AL50" s="81">
        <v>0.0</v>
      </c>
      <c r="AM50" s="87"/>
      <c r="AN50" s="81">
        <v>0.0</v>
      </c>
      <c r="AO50" s="90"/>
      <c r="AP50" s="81">
        <v>0.0</v>
      </c>
      <c r="AQ50" s="81">
        <v>0.0</v>
      </c>
      <c r="AR50" s="39"/>
      <c r="AS50" s="81">
        <v>0.0</v>
      </c>
      <c r="AT50" s="81">
        <v>0.0</v>
      </c>
      <c r="AU50" s="28" t="s">
        <v>2074</v>
      </c>
      <c r="AV50" s="7" t="s">
        <v>2053</v>
      </c>
      <c r="AW50" s="82"/>
      <c r="AX50" s="82"/>
      <c r="AY50" s="7"/>
      <c r="AZ50" s="7"/>
      <c r="BA50" s="7"/>
      <c r="BB50" s="7"/>
      <c r="BC50" s="7"/>
      <c r="BD50" s="7"/>
      <c r="BE50" s="7"/>
      <c r="BF50" s="7">
        <f>POW(1000,2.495)</f>
        <v>30549211.13</v>
      </c>
      <c r="BG50" s="82">
        <f t="shared" si="6"/>
        <v>32.73406949</v>
      </c>
      <c r="BH50" s="82">
        <f t="shared" si="7"/>
        <v>0.08880779024</v>
      </c>
      <c r="BI50" s="82">
        <f>POW(1000000,2.495)</f>
        <v>933254300796992</v>
      </c>
      <c r="BJ50" s="82">
        <f t="shared" si="8"/>
        <v>1071.519305</v>
      </c>
      <c r="BK50" s="82">
        <f t="shared" si="9"/>
        <v>0.1855024041</v>
      </c>
      <c r="BL50" s="82">
        <f>POW(1000000000,2.495)</f>
        <v>2.85102E+22</v>
      </c>
      <c r="BM50" s="82">
        <f t="shared" si="10"/>
        <v>35075.1874</v>
      </c>
      <c r="BN50" s="82">
        <f t="shared" si="11"/>
        <v>0.2907842529</v>
      </c>
      <c r="BO50" s="7">
        <v>3.0</v>
      </c>
      <c r="BP50" s="82"/>
      <c r="BQ50" s="7"/>
      <c r="BR50" s="7" t="s">
        <v>23</v>
      </c>
    </row>
    <row r="51">
      <c r="A51" s="16">
        <v>6.0</v>
      </c>
      <c r="B51" s="16" t="s">
        <v>109</v>
      </c>
      <c r="C51" s="53">
        <v>2.0</v>
      </c>
      <c r="D51" s="53" t="s">
        <v>110</v>
      </c>
      <c r="E51" s="7">
        <v>81.0</v>
      </c>
      <c r="F51" s="53"/>
      <c r="G51" s="7"/>
      <c r="H51" s="16">
        <v>1.0</v>
      </c>
      <c r="I51" s="81">
        <v>1.0</v>
      </c>
      <c r="J51" s="21" t="s">
        <v>2080</v>
      </c>
      <c r="K51" s="53" t="s">
        <v>2068</v>
      </c>
      <c r="L51" s="91" t="s">
        <v>2069</v>
      </c>
      <c r="M51" s="39" t="str">
        <f t="shared" si="1"/>
        <v>[https://ieeexplore.ieee.org/abstract/document/4568194 Strassen's algorithm (1986)]</v>
      </c>
      <c r="N51" s="16" t="s">
        <v>2055</v>
      </c>
      <c r="O51" s="81">
        <v>1986.0</v>
      </c>
      <c r="P51" s="96" t="s">
        <v>2081</v>
      </c>
      <c r="Q51" s="82"/>
      <c r="R51" s="82"/>
      <c r="S51" s="82"/>
      <c r="T51" s="81">
        <v>1.0</v>
      </c>
      <c r="U51" s="81">
        <v>0.0</v>
      </c>
      <c r="V51" s="89">
        <f>IFERROR(__xludf.DUMMYFUNCTION("INDEX(SPLIT(SUBSTITUTE(W51,CHAR(10), """"),"",:""), MATCH(Z51, SPLIT(SUBSTITUTE(W51,CHAR(10), """"),"",:""), 0) + 1)"),4.23925)</f>
        <v>4.23925</v>
      </c>
      <c r="W51" s="85" t="s">
        <v>2082</v>
      </c>
      <c r="X51" s="21" t="s">
        <v>2083</v>
      </c>
      <c r="Y51" s="53" t="s">
        <v>2050</v>
      </c>
      <c r="Z51" s="53" t="str">
        <f t="array" ref="Z51">INDEX(Problems!J:J, MATCH(1, (Problems!B:B=B51)*1, 0))</f>
        <v>n^2</v>
      </c>
      <c r="AA51" s="53"/>
      <c r="AB51" s="53"/>
      <c r="AC51" s="53" t="s">
        <v>1813</v>
      </c>
      <c r="AD51" s="53" t="s">
        <v>1814</v>
      </c>
      <c r="AE51" s="85">
        <f>IFERROR(__xludf.DUMMYFUNCTION("INDEX(SPLIT(SUBSTITUTE(AF51,CHAR(10), """"),"",:""), MATCH(Z51, SPLIT(SUBSTITUTE(AF51,CHAR(10), """"),"",:""), 0) + 1)"),3.0)</f>
        <v>3</v>
      </c>
      <c r="AF51" s="85" t="s">
        <v>2059</v>
      </c>
      <c r="AG51" s="53" t="s">
        <v>115</v>
      </c>
      <c r="AH51" s="53" t="s">
        <v>2066</v>
      </c>
      <c r="AI51" s="84">
        <v>1.0</v>
      </c>
      <c r="AJ51" s="84">
        <v>0.0</v>
      </c>
      <c r="AK51" s="87"/>
      <c r="AL51" s="81">
        <v>0.0</v>
      </c>
      <c r="AM51" s="87"/>
      <c r="AN51" s="81">
        <v>0.0</v>
      </c>
      <c r="AO51" s="90"/>
      <c r="AP51" s="81">
        <v>0.0</v>
      </c>
      <c r="AQ51" s="81">
        <v>0.0</v>
      </c>
      <c r="AR51" s="39"/>
      <c r="AS51" s="81">
        <v>0.0</v>
      </c>
      <c r="AT51" s="81">
        <v>0.0</v>
      </c>
      <c r="AU51" s="28" t="s">
        <v>2074</v>
      </c>
      <c r="AV51" s="7" t="s">
        <v>2053</v>
      </c>
      <c r="AW51" s="82"/>
      <c r="AX51" s="82"/>
      <c r="AY51" s="7"/>
      <c r="AZ51" s="7"/>
      <c r="BA51" s="7"/>
      <c r="BB51" s="7"/>
      <c r="BC51" s="7"/>
      <c r="BD51" s="7"/>
      <c r="BE51" s="7"/>
      <c r="BF51" s="7">
        <f>POW(1000,2.48)</f>
        <v>27542287.03</v>
      </c>
      <c r="BG51" s="82">
        <f t="shared" si="6"/>
        <v>36.30780548</v>
      </c>
      <c r="BH51" s="82">
        <f t="shared" si="7"/>
        <v>0.08121744309</v>
      </c>
      <c r="BI51" s="82">
        <f>POW(1000000,2.48)</f>
        <v>758577575029184</v>
      </c>
      <c r="BJ51" s="82">
        <f t="shared" si="8"/>
        <v>1318.256739</v>
      </c>
      <c r="BK51" s="82">
        <f t="shared" si="9"/>
        <v>0.1690311592</v>
      </c>
      <c r="BL51" s="82">
        <f>POW(1000000000,2.48)</f>
        <v>2.0893E+22</v>
      </c>
      <c r="BM51" s="82">
        <f t="shared" si="10"/>
        <v>47863.00923</v>
      </c>
      <c r="BN51" s="82">
        <f t="shared" si="11"/>
        <v>0.2639768809</v>
      </c>
      <c r="BO51" s="7">
        <v>3.0</v>
      </c>
      <c r="BP51" s="82"/>
      <c r="BQ51" s="7"/>
      <c r="BR51" s="7" t="s">
        <v>23</v>
      </c>
    </row>
    <row r="52">
      <c r="A52" s="16">
        <v>6.0</v>
      </c>
      <c r="B52" s="16" t="s">
        <v>109</v>
      </c>
      <c r="C52" s="53">
        <v>2.0</v>
      </c>
      <c r="D52" s="53" t="s">
        <v>110</v>
      </c>
      <c r="E52" s="7">
        <v>82.0</v>
      </c>
      <c r="F52" s="53"/>
      <c r="G52" s="7"/>
      <c r="H52" s="16">
        <v>1.0</v>
      </c>
      <c r="I52" s="81">
        <v>1.0</v>
      </c>
      <c r="J52" s="21" t="s">
        <v>2084</v>
      </c>
      <c r="K52" s="53" t="s">
        <v>2068</v>
      </c>
      <c r="L52" s="91" t="s">
        <v>2069</v>
      </c>
      <c r="M52" s="39" t="str">
        <f t="shared" si="1"/>
        <v>[http://www.cs.umd.edu/~gasarch/TOPICS/ramsey/matrixmult.pdf Coppersmith–Winograd algorithm (1990)]</v>
      </c>
      <c r="N52" s="16" t="s">
        <v>2076</v>
      </c>
      <c r="O52" s="81">
        <v>1990.0</v>
      </c>
      <c r="P52" s="28" t="s">
        <v>2085</v>
      </c>
      <c r="Q52" s="82"/>
      <c r="R52" s="82"/>
      <c r="S52" s="82"/>
      <c r="T52" s="81">
        <v>1.0</v>
      </c>
      <c r="U52" s="81">
        <v>0.0</v>
      </c>
      <c r="V52" s="89">
        <f>IFERROR(__xludf.DUMMYFUNCTION("INDEX(SPLIT(SUBSTITUTE(W52,CHAR(10), """"),"",:""), MATCH(Z52, SPLIT(SUBSTITUTE(W52,CHAR(10), """"),"",:""), 0) + 1)"),4.18775)</f>
        <v>4.18775</v>
      </c>
      <c r="W52" s="85" t="s">
        <v>2086</v>
      </c>
      <c r="X52" s="21" t="s">
        <v>2087</v>
      </c>
      <c r="Y52" s="53" t="s">
        <v>2050</v>
      </c>
      <c r="Z52" s="53" t="str">
        <f t="array" ref="Z52">INDEX(Problems!J:J, MATCH(1, (Problems!B:B=B52)*1, 0))</f>
        <v>n^2</v>
      </c>
      <c r="AA52" s="53"/>
      <c r="AB52" s="53"/>
      <c r="AC52" s="53" t="s">
        <v>1813</v>
      </c>
      <c r="AD52" s="53" t="s">
        <v>1814</v>
      </c>
      <c r="AE52" s="85">
        <f>IFERROR(__xludf.DUMMYFUNCTION("INDEX(SPLIT(SUBSTITUTE(AF52,CHAR(10), """"),"",:""), MATCH(Z52, SPLIT(SUBSTITUTE(AF52,CHAR(10), """"),"",:""), 0) + 1)"),3.0)</f>
        <v>3</v>
      </c>
      <c r="AF52" s="85" t="s">
        <v>2059</v>
      </c>
      <c r="AG52" s="53" t="s">
        <v>115</v>
      </c>
      <c r="AH52" s="53" t="s">
        <v>2066</v>
      </c>
      <c r="AI52" s="84">
        <v>1.0</v>
      </c>
      <c r="AJ52" s="84">
        <v>0.0</v>
      </c>
      <c r="AK52" s="87"/>
      <c r="AL52" s="81">
        <v>0.0</v>
      </c>
      <c r="AM52" s="87"/>
      <c r="AN52" s="81">
        <v>0.0</v>
      </c>
      <c r="AO52" s="90"/>
      <c r="AP52" s="81">
        <v>0.0</v>
      </c>
      <c r="AQ52" s="81">
        <v>0.0</v>
      </c>
      <c r="AR52" s="39"/>
      <c r="AS52" s="81">
        <v>0.0</v>
      </c>
      <c r="AT52" s="81">
        <v>0.0</v>
      </c>
      <c r="AU52" s="28" t="s">
        <v>2074</v>
      </c>
      <c r="AV52" s="7" t="s">
        <v>2053</v>
      </c>
      <c r="AW52" s="82"/>
      <c r="AX52" s="82"/>
      <c r="AY52" s="7"/>
      <c r="AZ52" s="7"/>
      <c r="BA52" s="7"/>
      <c r="BB52" s="7"/>
      <c r="BC52" s="7"/>
      <c r="BD52" s="7"/>
      <c r="BE52" s="7"/>
      <c r="BF52" s="7">
        <f>POW(1000,2.372)</f>
        <v>13061708.88</v>
      </c>
      <c r="BG52" s="82">
        <f t="shared" si="6"/>
        <v>76.55966069</v>
      </c>
      <c r="BH52" s="82">
        <f t="shared" si="7"/>
        <v>0.0906364297</v>
      </c>
      <c r="BI52" s="82">
        <f>POW(1000000,2.372)</f>
        <v>170608238900312</v>
      </c>
      <c r="BJ52" s="82">
        <f t="shared" si="8"/>
        <v>5861.381645</v>
      </c>
      <c r="BK52" s="82">
        <f t="shared" si="9"/>
        <v>0.1894878218</v>
      </c>
      <c r="BL52" s="82">
        <f>POW(1000000000,2.372)</f>
        <v>2.22844E+21</v>
      </c>
      <c r="BM52" s="82">
        <f t="shared" si="10"/>
        <v>448745.3899</v>
      </c>
      <c r="BN52" s="82">
        <f t="shared" si="11"/>
        <v>0.2972987511</v>
      </c>
      <c r="BO52" s="7">
        <v>3.0</v>
      </c>
      <c r="BP52" s="82"/>
      <c r="BQ52" s="7"/>
      <c r="BR52" s="7" t="s">
        <v>23</v>
      </c>
    </row>
    <row r="53">
      <c r="A53" s="16">
        <v>6.0</v>
      </c>
      <c r="B53" s="16" t="s">
        <v>109</v>
      </c>
      <c r="C53" s="53">
        <v>2.0</v>
      </c>
      <c r="D53" s="53" t="s">
        <v>110</v>
      </c>
      <c r="E53" s="7">
        <v>83.0</v>
      </c>
      <c r="F53" s="53"/>
      <c r="G53" s="7"/>
      <c r="H53" s="16">
        <v>1.0</v>
      </c>
      <c r="I53" s="81">
        <v>1.0</v>
      </c>
      <c r="J53" s="21" t="s">
        <v>2088</v>
      </c>
      <c r="K53" s="53" t="s">
        <v>2068</v>
      </c>
      <c r="L53" s="91" t="s">
        <v>2069</v>
      </c>
      <c r="M53" s="39" t="str">
        <f t="shared" si="1"/>
        <v>[http://theory.stanford.edu/~virgi/matrixmult-f.pdf Vassilevska Williams (2014)]</v>
      </c>
      <c r="N53" s="21" t="s">
        <v>2089</v>
      </c>
      <c r="O53" s="81">
        <v>2014.0</v>
      </c>
      <c r="P53" s="28" t="s">
        <v>2090</v>
      </c>
      <c r="Q53" s="82"/>
      <c r="R53" s="82"/>
      <c r="S53" s="82"/>
      <c r="T53" s="83">
        <v>1.0</v>
      </c>
      <c r="U53" s="81">
        <v>0.0</v>
      </c>
      <c r="V53" s="89">
        <f>IFERROR(__xludf.DUMMYFUNCTION("INDEX(SPLIT(SUBSTITUTE(W53,CHAR(10), """"),"",:""), MATCH(Z53, SPLIT(SUBSTITUTE(W53,CHAR(10), """"),"",:""), 0) + 1)"),4.1864365)</f>
        <v>4.1864365</v>
      </c>
      <c r="W53" s="85" t="s">
        <v>2091</v>
      </c>
      <c r="X53" s="21" t="s">
        <v>2092</v>
      </c>
      <c r="Y53" s="53" t="s">
        <v>2050</v>
      </c>
      <c r="Z53" s="53" t="str">
        <f t="array" ref="Z53">INDEX(Problems!J:J, MATCH(1, (Problems!B:B=B53)*1, 0))</f>
        <v>n^2</v>
      </c>
      <c r="AA53" s="53"/>
      <c r="AB53" s="53"/>
      <c r="AC53" s="53" t="s">
        <v>1813</v>
      </c>
      <c r="AD53" s="53" t="s">
        <v>1814</v>
      </c>
      <c r="AE53" s="85">
        <f>IFERROR(__xludf.DUMMYFUNCTION("INDEX(SPLIT(SUBSTITUTE(AF53,CHAR(10), """"),"",:""), MATCH(Z53, SPLIT(SUBSTITUTE(AF53,CHAR(10), """"),"",:""), 0) + 1)"),3.0)</f>
        <v>3</v>
      </c>
      <c r="AF53" s="85" t="s">
        <v>2059</v>
      </c>
      <c r="AG53" s="53" t="s">
        <v>115</v>
      </c>
      <c r="AH53" s="53" t="s">
        <v>2066</v>
      </c>
      <c r="AI53" s="84">
        <v>1.0</v>
      </c>
      <c r="AJ53" s="84">
        <v>0.0</v>
      </c>
      <c r="AK53" s="87"/>
      <c r="AL53" s="81">
        <v>0.0</v>
      </c>
      <c r="AM53" s="87"/>
      <c r="AN53" s="81">
        <v>0.0</v>
      </c>
      <c r="AO53" s="90"/>
      <c r="AP53" s="81">
        <v>0.0</v>
      </c>
      <c r="AQ53" s="81">
        <v>0.0</v>
      </c>
      <c r="AR53" s="39"/>
      <c r="AS53" s="16">
        <v>0.0</v>
      </c>
      <c r="AT53" s="16">
        <v>0.0</v>
      </c>
      <c r="AU53" s="28" t="s">
        <v>2074</v>
      </c>
      <c r="AV53" s="7" t="s">
        <v>2053</v>
      </c>
      <c r="AW53" s="82"/>
      <c r="AX53" s="82"/>
      <c r="AY53" s="7"/>
      <c r="AZ53" s="7"/>
      <c r="BA53" s="7"/>
      <c r="BB53" s="7"/>
      <c r="BC53" s="7"/>
      <c r="BD53" s="7"/>
      <c r="BE53" s="7"/>
      <c r="BF53" s="7">
        <v>1.3152248E7</v>
      </c>
      <c r="BG53" s="82">
        <f t="shared" si="6"/>
        <v>76.03262956</v>
      </c>
      <c r="BH53" s="82">
        <f t="shared" si="7"/>
        <v>0.06027597087</v>
      </c>
      <c r="BI53" s="82">
        <f>POW(1000000,2.3755)</f>
        <v>179060585403530</v>
      </c>
      <c r="BJ53" s="82">
        <f t="shared" si="8"/>
        <v>5584.701947</v>
      </c>
      <c r="BK53" s="82">
        <f t="shared" si="9"/>
        <v>0.1236605537</v>
      </c>
      <c r="BL53" s="82">
        <f>POW(1000000000,2.3755)</f>
        <v>2.39607E+21</v>
      </c>
      <c r="BM53" s="82">
        <f t="shared" si="10"/>
        <v>417349.5985</v>
      </c>
      <c r="BN53" s="82">
        <f t="shared" si="11"/>
        <v>0.1911122816</v>
      </c>
      <c r="BO53" s="7">
        <v>3.0</v>
      </c>
      <c r="BP53" s="82"/>
      <c r="BQ53" s="7"/>
      <c r="BR53" s="7" t="s">
        <v>23</v>
      </c>
    </row>
    <row r="54">
      <c r="A54" s="16">
        <v>6.0</v>
      </c>
      <c r="B54" s="16" t="s">
        <v>109</v>
      </c>
      <c r="C54" s="53">
        <v>2.0</v>
      </c>
      <c r="D54" s="53" t="s">
        <v>110</v>
      </c>
      <c r="E54" s="7">
        <v>84.0</v>
      </c>
      <c r="F54" s="53"/>
      <c r="G54" s="7"/>
      <c r="H54" s="16">
        <v>1.0</v>
      </c>
      <c r="I54" s="81">
        <v>1.0</v>
      </c>
      <c r="J54" s="21" t="s">
        <v>2093</v>
      </c>
      <c r="K54" s="53" t="s">
        <v>2068</v>
      </c>
      <c r="L54" s="91" t="s">
        <v>2069</v>
      </c>
      <c r="M54" s="39" t="str">
        <f t="shared" si="1"/>
        <v>[https://arxiv.org/abs/1401.7714 François Le Gall (2014)]</v>
      </c>
      <c r="N54" s="16" t="s">
        <v>2094</v>
      </c>
      <c r="O54" s="81">
        <v>2014.0</v>
      </c>
      <c r="P54" s="17" t="s">
        <v>2095</v>
      </c>
      <c r="Q54" s="82"/>
      <c r="R54" s="82"/>
      <c r="S54" s="82"/>
      <c r="T54" s="81">
        <v>1.0</v>
      </c>
      <c r="U54" s="81">
        <v>0.0</v>
      </c>
      <c r="V54" s="89">
        <f>IFERROR(__xludf.DUMMYFUNCTION("INDEX(SPLIT(SUBSTITUTE(W54,CHAR(10), """"),"",:""), MATCH(Z54, SPLIT(SUBSTITUTE(W54,CHAR(10), """"),"",:""), 0) + 1)"),4.18643195)</f>
        <v>4.18643195</v>
      </c>
      <c r="W54" s="85" t="s">
        <v>2096</v>
      </c>
      <c r="X54" s="21" t="s">
        <v>2097</v>
      </c>
      <c r="Y54" s="53" t="s">
        <v>2050</v>
      </c>
      <c r="Z54" s="53" t="str">
        <f t="array" ref="Z54">INDEX(Problems!J:J, MATCH(1, (Problems!B:B=B54)*1, 0))</f>
        <v>n^2</v>
      </c>
      <c r="AA54" s="53"/>
      <c r="AB54" s="53"/>
      <c r="AC54" s="53" t="s">
        <v>1813</v>
      </c>
      <c r="AD54" s="53" t="s">
        <v>1814</v>
      </c>
      <c r="AE54" s="85">
        <f>IFERROR(__xludf.DUMMYFUNCTION("INDEX(SPLIT(SUBSTITUTE(AF54,CHAR(10), """"),"",:""), MATCH(Z54, SPLIT(SUBSTITUTE(AF54,CHAR(10), """"),"",:""), 0) + 1)"),3.0)</f>
        <v>3</v>
      </c>
      <c r="AF54" s="85" t="s">
        <v>2059</v>
      </c>
      <c r="AG54" s="53" t="s">
        <v>115</v>
      </c>
      <c r="AH54" s="53" t="s">
        <v>2066</v>
      </c>
      <c r="AI54" s="84">
        <v>1.0</v>
      </c>
      <c r="AJ54" s="84">
        <v>0.0</v>
      </c>
      <c r="AK54" s="87"/>
      <c r="AL54" s="81">
        <v>0.0</v>
      </c>
      <c r="AM54" s="87"/>
      <c r="AN54" s="81">
        <v>0.0</v>
      </c>
      <c r="AO54" s="90"/>
      <c r="AP54" s="81">
        <v>0.0</v>
      </c>
      <c r="AQ54" s="83">
        <v>0.0</v>
      </c>
      <c r="AR54" s="39"/>
      <c r="AS54" s="81">
        <v>0.0</v>
      </c>
      <c r="AT54" s="81">
        <v>0.0</v>
      </c>
      <c r="AU54" s="28" t="s">
        <v>2074</v>
      </c>
      <c r="AV54" s="7" t="s">
        <v>2053</v>
      </c>
      <c r="AW54" s="82"/>
      <c r="AX54" s="82"/>
      <c r="AY54" s="7"/>
      <c r="AZ54" s="7"/>
      <c r="BA54" s="7"/>
      <c r="BB54" s="7"/>
      <c r="BC54" s="7"/>
      <c r="BD54" s="7"/>
      <c r="BE54" s="7"/>
      <c r="BF54" s="7">
        <f>POW(1000,2.371)</f>
        <v>12971792.71</v>
      </c>
      <c r="BG54" s="82">
        <f t="shared" si="6"/>
        <v>77.09034691</v>
      </c>
      <c r="BH54" s="82">
        <f t="shared" si="7"/>
        <v>0.06047393837</v>
      </c>
      <c r="BI54" s="82">
        <f>POW(1000000,2.371)</f>
        <v>168267406107047</v>
      </c>
      <c r="BJ54" s="82">
        <f t="shared" si="8"/>
        <v>5942.921586</v>
      </c>
      <c r="BK54" s="82">
        <f t="shared" si="9"/>
        <v>0.124604974</v>
      </c>
      <c r="BL54" s="82">
        <f>POW(1000000000,2.371)</f>
        <v>2.18273E+21</v>
      </c>
      <c r="BM54" s="82">
        <f t="shared" si="10"/>
        <v>458141.8867</v>
      </c>
      <c r="BN54" s="82">
        <f t="shared" si="11"/>
        <v>0.1926142659</v>
      </c>
      <c r="BO54" s="7">
        <v>3.0</v>
      </c>
      <c r="BP54" s="82"/>
      <c r="BQ54" s="7"/>
      <c r="BR54" s="7" t="s">
        <v>23</v>
      </c>
    </row>
    <row r="55">
      <c r="A55" s="16">
        <v>7.0</v>
      </c>
      <c r="B55" s="16" t="s">
        <v>1261</v>
      </c>
      <c r="C55" s="53">
        <v>2.0</v>
      </c>
      <c r="D55" s="53" t="s">
        <v>1276</v>
      </c>
      <c r="E55" s="7">
        <v>85.0</v>
      </c>
      <c r="F55" s="53"/>
      <c r="G55" s="7"/>
      <c r="H55" s="16">
        <v>1.0</v>
      </c>
      <c r="I55" s="81">
        <v>1.0</v>
      </c>
      <c r="J55" s="21" t="s">
        <v>2098</v>
      </c>
      <c r="K55" s="53" t="s">
        <v>1945</v>
      </c>
      <c r="L55" s="53" t="s">
        <v>1946</v>
      </c>
      <c r="M55" s="39" t="str">
        <f t="shared" si="1"/>
        <v>[- Brute-force search (1852)]</v>
      </c>
      <c r="N55" s="39" t="s">
        <v>2099</v>
      </c>
      <c r="O55" s="83">
        <v>1852.0</v>
      </c>
      <c r="P55" s="39" t="s">
        <v>1937</v>
      </c>
      <c r="Q55" s="7">
        <v>1.0</v>
      </c>
      <c r="R55" s="7">
        <v>1.0</v>
      </c>
      <c r="S55" s="82"/>
      <c r="T55" s="16">
        <v>1.0</v>
      </c>
      <c r="U55" s="16">
        <v>0.0</v>
      </c>
      <c r="V55" s="89">
        <f>IFERROR(__xludf.DUMMYFUNCTION("INDEX(SPLIT(SUBSTITUTE(W55,CHAR(10), """"),"",:""), MATCH(Z55, SPLIT(SUBSTITUTE(W55,CHAR(10), """"),"",:""), 0) + 1)"),8.0)</f>
        <v>8</v>
      </c>
      <c r="W55" s="85" t="s">
        <v>2100</v>
      </c>
      <c r="X55" s="21" t="s">
        <v>2101</v>
      </c>
      <c r="Y55" s="53" t="s">
        <v>2102</v>
      </c>
      <c r="Z55" s="53" t="str">
        <f t="array" ref="Z55">INDEX(Problems!J:J, MATCH(1, (Problems!B:B=B55)*1, 0))</f>
        <v>n</v>
      </c>
      <c r="AA55" s="53"/>
      <c r="AB55" s="53"/>
      <c r="AC55" s="53" t="s">
        <v>1813</v>
      </c>
      <c r="AD55" s="53" t="s">
        <v>1814</v>
      </c>
      <c r="AE55" s="85">
        <f>IFERROR(__xludf.DUMMYFUNCTION("INDEX(SPLIT(SUBSTITUTE(AF55,CHAR(10), """"),"",:""), MATCH(Z55, SPLIT(SUBSTITUTE(AF55,CHAR(10), """"),"",:""), 0) + 1)"),3.0)</f>
        <v>3</v>
      </c>
      <c r="AF55" s="85" t="s">
        <v>1763</v>
      </c>
      <c r="AG55" s="53" t="s">
        <v>2103</v>
      </c>
      <c r="AH55" s="53" t="s">
        <v>1956</v>
      </c>
      <c r="AI55" s="84">
        <v>1.0</v>
      </c>
      <c r="AJ55" s="84">
        <v>0.0</v>
      </c>
      <c r="AK55" s="87"/>
      <c r="AL55" s="81">
        <v>0.0</v>
      </c>
      <c r="AM55" s="87"/>
      <c r="AN55" s="81">
        <v>0.0</v>
      </c>
      <c r="AO55" s="90"/>
      <c r="AP55" s="81">
        <v>0.0</v>
      </c>
      <c r="AQ55" s="81">
        <v>0.0</v>
      </c>
      <c r="AR55" s="39"/>
      <c r="AS55" s="81">
        <v>0.0</v>
      </c>
      <c r="AT55" s="81">
        <v>0.0</v>
      </c>
      <c r="AU55" s="39"/>
      <c r="AV55" s="7" t="s">
        <v>2104</v>
      </c>
      <c r="AW55" s="82"/>
      <c r="AX55" s="82"/>
      <c r="AY55" s="7"/>
      <c r="AZ55" s="7"/>
      <c r="BA55" s="7"/>
      <c r="BB55" s="7"/>
      <c r="BC55" s="7"/>
      <c r="BD55" s="7"/>
      <c r="BE55" s="7"/>
      <c r="BF55" s="7" t="s">
        <v>1781</v>
      </c>
      <c r="BG55" s="7">
        <v>1.0</v>
      </c>
      <c r="BH55" s="7"/>
      <c r="BI55" s="7" t="s">
        <v>1781</v>
      </c>
      <c r="BJ55" s="7">
        <v>1.0</v>
      </c>
      <c r="BK55" s="7"/>
      <c r="BL55" s="7" t="s">
        <v>1781</v>
      </c>
      <c r="BM55" s="7">
        <v>1.0</v>
      </c>
      <c r="BN55" s="7"/>
      <c r="BO55" s="7">
        <v>1.0</v>
      </c>
      <c r="BP55" s="82"/>
      <c r="BQ55" s="7"/>
      <c r="BR55" s="7" t="s">
        <v>23</v>
      </c>
    </row>
    <row r="56">
      <c r="A56" s="16">
        <v>8.0</v>
      </c>
      <c r="B56" s="16" t="s">
        <v>1261</v>
      </c>
      <c r="C56" s="53">
        <v>2.0</v>
      </c>
      <c r="D56" s="53" t="s">
        <v>1280</v>
      </c>
      <c r="E56" s="7">
        <v>98.0</v>
      </c>
      <c r="F56" s="53"/>
      <c r="G56" s="7"/>
      <c r="H56" s="16">
        <v>1.0</v>
      </c>
      <c r="I56" s="81">
        <v>1.0</v>
      </c>
      <c r="J56" s="21" t="s">
        <v>2105</v>
      </c>
      <c r="K56" s="53" t="s">
        <v>1945</v>
      </c>
      <c r="L56" s="53" t="s">
        <v>1946</v>
      </c>
      <c r="M56" s="39" t="str">
        <f t="shared" si="1"/>
        <v>[ Brute force (1852)]</v>
      </c>
      <c r="N56" s="39" t="s">
        <v>2106</v>
      </c>
      <c r="O56" s="83">
        <v>1852.0</v>
      </c>
      <c r="P56" s="39"/>
      <c r="Q56" s="7">
        <v>1.0</v>
      </c>
      <c r="R56" s="7">
        <v>1.0</v>
      </c>
      <c r="S56" s="82"/>
      <c r="T56" s="16">
        <v>1.0</v>
      </c>
      <c r="U56" s="16">
        <v>0.0</v>
      </c>
      <c r="V56" s="89">
        <f>IFERROR(__xludf.DUMMYFUNCTION("INDEX(SPLIT(SUBSTITUTE(W56,CHAR(10), """"),"",:""), MATCH(Z56, SPLIT(SUBSTITUTE(W56,CHAR(10), """"),"",:""), 0) + 1)"),8.0)</f>
        <v>8</v>
      </c>
      <c r="W56" s="85" t="s">
        <v>2100</v>
      </c>
      <c r="X56" s="21" t="s">
        <v>2107</v>
      </c>
      <c r="Y56" s="53" t="s">
        <v>2102</v>
      </c>
      <c r="Z56" s="53" t="str">
        <f t="array" ref="Z56">INDEX(Problems!J:J, MATCH(1, (Problems!B:B=B56)*1, 0))</f>
        <v>n</v>
      </c>
      <c r="AA56" s="53"/>
      <c r="AB56" s="53"/>
      <c r="AC56" s="53" t="s">
        <v>1813</v>
      </c>
      <c r="AD56" s="53" t="s">
        <v>1814</v>
      </c>
      <c r="AE56" s="85">
        <f>IFERROR(__xludf.DUMMYFUNCTION("INDEX(SPLIT(SUBSTITUTE(AF56,CHAR(10), """"),"",:""), MATCH(Z56, SPLIT(SUBSTITUTE(AF56,CHAR(10), """"),"",:""), 0) + 1)"),3.0)</f>
        <v>3</v>
      </c>
      <c r="AF56" s="85" t="s">
        <v>1763</v>
      </c>
      <c r="AG56" s="53" t="s">
        <v>2103</v>
      </c>
      <c r="AH56" s="53" t="s">
        <v>1956</v>
      </c>
      <c r="AI56" s="84">
        <v>1.0</v>
      </c>
      <c r="AJ56" s="84">
        <v>0.0</v>
      </c>
      <c r="AK56" s="87"/>
      <c r="AL56" s="81">
        <v>0.0</v>
      </c>
      <c r="AM56" s="87"/>
      <c r="AN56" s="81">
        <v>0.0</v>
      </c>
      <c r="AO56" s="90"/>
      <c r="AP56" s="81">
        <v>0.0</v>
      </c>
      <c r="AQ56" s="81">
        <v>0.0</v>
      </c>
      <c r="AR56" s="39"/>
      <c r="AS56" s="81">
        <v>0.0</v>
      </c>
      <c r="AT56" s="81">
        <v>0.0</v>
      </c>
      <c r="AU56" s="39"/>
      <c r="AV56" s="7" t="s">
        <v>2104</v>
      </c>
      <c r="AW56" s="82"/>
      <c r="AX56" s="82"/>
      <c r="AY56" s="7"/>
      <c r="AZ56" s="7"/>
      <c r="BA56" s="7"/>
      <c r="BB56" s="7"/>
      <c r="BC56" s="7"/>
      <c r="BD56" s="7"/>
      <c r="BE56" s="7"/>
      <c r="BF56" s="7" t="s">
        <v>1781</v>
      </c>
      <c r="BG56" s="7">
        <v>1.0</v>
      </c>
      <c r="BH56" s="7"/>
      <c r="BI56" s="7" t="s">
        <v>1781</v>
      </c>
      <c r="BJ56" s="7">
        <v>1.0</v>
      </c>
      <c r="BK56" s="7"/>
      <c r="BL56" s="7" t="s">
        <v>1781</v>
      </c>
      <c r="BM56" s="7">
        <v>1.0</v>
      </c>
      <c r="BN56" s="7"/>
      <c r="BO56" s="7">
        <v>1.0</v>
      </c>
      <c r="BP56" s="82"/>
      <c r="BQ56" s="7"/>
      <c r="BR56" s="7" t="s">
        <v>23</v>
      </c>
    </row>
    <row r="57">
      <c r="A57" s="16">
        <v>9.0</v>
      </c>
      <c r="B57" s="16" t="s">
        <v>138</v>
      </c>
      <c r="C57" s="53">
        <v>2.0</v>
      </c>
      <c r="D57" s="53" t="s">
        <v>2108</v>
      </c>
      <c r="E57" s="7">
        <v>102.0</v>
      </c>
      <c r="F57" s="53"/>
      <c r="G57" s="7"/>
      <c r="H57" s="16">
        <v>1.0</v>
      </c>
      <c r="I57" s="81">
        <v>1.0</v>
      </c>
      <c r="J57" s="16" t="s">
        <v>834</v>
      </c>
      <c r="K57" s="53" t="s">
        <v>2109</v>
      </c>
      <c r="L57" s="53" t="s">
        <v>2110</v>
      </c>
      <c r="M57" s="39" t="str">
        <f t="shared" si="1"/>
        <v>[- Gaussian-Jordan Elimination (-150)]</v>
      </c>
      <c r="N57" s="39" t="s">
        <v>2111</v>
      </c>
      <c r="O57" s="83">
        <v>-150.0</v>
      </c>
      <c r="P57" s="39" t="s">
        <v>1937</v>
      </c>
      <c r="Q57" s="7">
        <v>1.0</v>
      </c>
      <c r="R57" s="7">
        <v>1.0</v>
      </c>
      <c r="S57" s="82"/>
      <c r="T57" s="81">
        <v>1.0</v>
      </c>
      <c r="U57" s="81">
        <v>0.0</v>
      </c>
      <c r="V57" s="89">
        <f>IFERROR(__xludf.DUMMYFUNCTION("INDEX(SPLIT(SUBSTITUTE(W57,CHAR(10), """"),"",:""), MATCH(Z57, SPLIT(SUBSTITUTE(W57,CHAR(10), """"),"",:""), 0) + 1)"),4.5)</f>
        <v>4.5</v>
      </c>
      <c r="W57" s="85" t="s">
        <v>2049</v>
      </c>
      <c r="X57" s="16" t="s">
        <v>2112</v>
      </c>
      <c r="Y57" s="53" t="s">
        <v>2113</v>
      </c>
      <c r="Z57" s="53" t="str">
        <f t="array" ref="Z57">INDEX(Problems!J:J, MATCH(1, (Problems!B:B=B57)*1, 0))</f>
        <v>n^2</v>
      </c>
      <c r="AA57" s="53"/>
      <c r="AB57" s="53"/>
      <c r="AC57" s="53" t="s">
        <v>1813</v>
      </c>
      <c r="AD57" s="53" t="s">
        <v>1814</v>
      </c>
      <c r="AE57" s="85">
        <f>IFERROR(__xludf.DUMMYFUNCTION("INDEX(SPLIT(SUBSTITUTE(AF57,CHAR(10), """"),"",:""), MATCH(Z57, SPLIT(SUBSTITUTE(AF57,CHAR(10), """"),"",:""), 0) + 1)"),3.0)</f>
        <v>3</v>
      </c>
      <c r="AF57" s="85" t="s">
        <v>2059</v>
      </c>
      <c r="AG57" s="53" t="s">
        <v>115</v>
      </c>
      <c r="AH57" s="53" t="s">
        <v>1993</v>
      </c>
      <c r="AI57" s="84">
        <v>1.0</v>
      </c>
      <c r="AJ57" s="84">
        <v>0.0</v>
      </c>
      <c r="AK57" s="87"/>
      <c r="AL57" s="81">
        <v>0.0</v>
      </c>
      <c r="AM57" s="87"/>
      <c r="AN57" s="81">
        <v>0.0</v>
      </c>
      <c r="AO57" s="90"/>
      <c r="AP57" s="81">
        <v>0.0</v>
      </c>
      <c r="AQ57" s="81">
        <v>0.0</v>
      </c>
      <c r="AR57" s="39"/>
      <c r="AS57" s="81">
        <v>0.0</v>
      </c>
      <c r="AT57" s="81">
        <v>0.0</v>
      </c>
      <c r="AU57" s="28" t="s">
        <v>161</v>
      </c>
      <c r="AV57" s="7" t="s">
        <v>2114</v>
      </c>
      <c r="AW57" s="82"/>
      <c r="AX57" s="82"/>
      <c r="AY57" s="7" t="s">
        <v>2115</v>
      </c>
      <c r="AZ57" s="7"/>
      <c r="BA57" s="7"/>
      <c r="BB57" s="7"/>
      <c r="BC57" s="7"/>
      <c r="BD57" s="7"/>
      <c r="BE57" s="7"/>
      <c r="BF57" s="7">
        <v>3.6926037E7</v>
      </c>
      <c r="BG57" s="82">
        <f t="shared" ref="BG57:BG62" si="12">36926037/BF57</f>
        <v>1</v>
      </c>
      <c r="BH57" s="82"/>
      <c r="BI57" s="82">
        <f>POW((1000000/3),3)</f>
        <v>3.7037E+16</v>
      </c>
      <c r="BJ57" s="7">
        <v>1.0</v>
      </c>
      <c r="BK57" s="82"/>
      <c r="BL57" s="82">
        <f>POW((1000000000/3),3)</f>
        <v>3.7037E+25</v>
      </c>
      <c r="BM57" s="7">
        <v>1.0</v>
      </c>
      <c r="BN57" s="7"/>
      <c r="BO57" s="7">
        <v>3.0</v>
      </c>
      <c r="BP57" s="82"/>
      <c r="BQ57" s="7"/>
      <c r="BR57" s="7" t="s">
        <v>144</v>
      </c>
    </row>
    <row r="58">
      <c r="A58" s="16">
        <v>9.0</v>
      </c>
      <c r="B58" s="16" t="s">
        <v>138</v>
      </c>
      <c r="C58" s="53">
        <v>2.0</v>
      </c>
      <c r="D58" s="53" t="s">
        <v>151</v>
      </c>
      <c r="E58" s="7">
        <v>103.0</v>
      </c>
      <c r="F58" s="53"/>
      <c r="G58" s="7"/>
      <c r="H58" s="16">
        <v>1.0</v>
      </c>
      <c r="I58" s="81">
        <v>1.0</v>
      </c>
      <c r="J58" s="16" t="s">
        <v>834</v>
      </c>
      <c r="K58" s="53" t="s">
        <v>2116</v>
      </c>
      <c r="L58" s="53" t="s">
        <v>2117</v>
      </c>
      <c r="M58" s="39" t="str">
        <f t="shared" si="1"/>
        <v>[- Cholesky (1940)]</v>
      </c>
      <c r="N58" s="39" t="s">
        <v>2118</v>
      </c>
      <c r="O58" s="81">
        <v>1940.0</v>
      </c>
      <c r="P58" s="39" t="s">
        <v>1937</v>
      </c>
      <c r="Q58" s="82"/>
      <c r="R58" s="82"/>
      <c r="S58" s="82"/>
      <c r="T58" s="81">
        <v>0.0</v>
      </c>
      <c r="U58" s="81">
        <v>0.0</v>
      </c>
      <c r="V58" s="89">
        <f>IFERROR(__xludf.DUMMYFUNCTION("INDEX(SPLIT(SUBSTITUTE(W58,CHAR(10), """"),"",:""), MATCH(Z58, SPLIT(SUBSTITUTE(W58,CHAR(10), """"),"",:""), 0) + 1)"),4.5)</f>
        <v>4.5</v>
      </c>
      <c r="W58" s="85" t="s">
        <v>2049</v>
      </c>
      <c r="X58" s="16" t="s">
        <v>2112</v>
      </c>
      <c r="Y58" s="53" t="s">
        <v>2113</v>
      </c>
      <c r="Z58" s="53" t="str">
        <f t="array" ref="Z58">INDEX(Problems!J:J, MATCH(1, (Problems!B:B=B58)*1, 0))</f>
        <v>n^2</v>
      </c>
      <c r="AA58" s="53"/>
      <c r="AB58" s="53"/>
      <c r="AC58" s="53" t="s">
        <v>1813</v>
      </c>
      <c r="AD58" s="53" t="s">
        <v>1814</v>
      </c>
      <c r="AE58" s="85">
        <f>IFERROR(__xludf.DUMMYFUNCTION("INDEX(SPLIT(SUBSTITUTE(AF58,CHAR(10), """"),"",:""), MATCH(Z58, SPLIT(SUBSTITUTE(AF58,CHAR(10), """"),"",:""), 0) + 1)"),3.0)</f>
        <v>3</v>
      </c>
      <c r="AF58" s="85" t="s">
        <v>2059</v>
      </c>
      <c r="AG58" s="53" t="s">
        <v>115</v>
      </c>
      <c r="AH58" s="53" t="s">
        <v>1993</v>
      </c>
      <c r="AI58" s="84">
        <v>1.0</v>
      </c>
      <c r="AJ58" s="84">
        <v>0.0</v>
      </c>
      <c r="AK58" s="87"/>
      <c r="AL58" s="81">
        <v>0.0</v>
      </c>
      <c r="AM58" s="87"/>
      <c r="AN58" s="81">
        <v>0.0</v>
      </c>
      <c r="AO58" s="90"/>
      <c r="AP58" s="81">
        <v>0.0</v>
      </c>
      <c r="AQ58" s="81">
        <v>0.0</v>
      </c>
      <c r="AR58" s="39"/>
      <c r="AS58" s="81">
        <v>0.0</v>
      </c>
      <c r="AT58" s="81">
        <v>0.0</v>
      </c>
      <c r="AU58" s="39"/>
      <c r="AV58" s="7" t="s">
        <v>2114</v>
      </c>
      <c r="AW58" s="82"/>
      <c r="AX58" s="82"/>
      <c r="AY58" s="7" t="s">
        <v>2115</v>
      </c>
      <c r="AZ58" s="7"/>
      <c r="BA58" s="7"/>
      <c r="BB58" s="7"/>
      <c r="BC58" s="7"/>
      <c r="BD58" s="7"/>
      <c r="BE58" s="7"/>
      <c r="BF58" s="7">
        <v>3.6926037E7</v>
      </c>
      <c r="BG58" s="82">
        <f t="shared" si="12"/>
        <v>1</v>
      </c>
      <c r="BH58" s="82"/>
      <c r="BI58" s="82"/>
      <c r="BJ58" s="82"/>
      <c r="BK58" s="82"/>
      <c r="BL58" s="82"/>
      <c r="BM58" s="82"/>
      <c r="BN58" s="7"/>
      <c r="BO58" s="7">
        <v>3.0</v>
      </c>
      <c r="BP58" s="82"/>
      <c r="BQ58" s="7"/>
      <c r="BR58" s="7" t="s">
        <v>144</v>
      </c>
    </row>
    <row r="59">
      <c r="A59" s="16">
        <v>9.0</v>
      </c>
      <c r="B59" s="16" t="s">
        <v>138</v>
      </c>
      <c r="C59" s="53">
        <v>2.0</v>
      </c>
      <c r="D59" s="53" t="s">
        <v>154</v>
      </c>
      <c r="E59" s="7">
        <v>105.0</v>
      </c>
      <c r="F59" s="53"/>
      <c r="G59" s="7"/>
      <c r="H59" s="16">
        <v>1.0</v>
      </c>
      <c r="I59" s="81">
        <v>1.0</v>
      </c>
      <c r="J59" s="16" t="s">
        <v>834</v>
      </c>
      <c r="K59" s="53" t="s">
        <v>2119</v>
      </c>
      <c r="L59" s="53" t="s">
        <v>2117</v>
      </c>
      <c r="M59" s="39" t="str">
        <f t="shared" si="1"/>
        <v>[https://link.springer.com/article/10.1007/BF01931804 Aasen's method (1971)]</v>
      </c>
      <c r="N59" s="39" t="s">
        <v>2120</v>
      </c>
      <c r="O59" s="81">
        <v>1971.0</v>
      </c>
      <c r="P59" s="28" t="s">
        <v>156</v>
      </c>
      <c r="Q59" s="82"/>
      <c r="R59" s="82"/>
      <c r="S59" s="82"/>
      <c r="T59" s="81">
        <v>0.0</v>
      </c>
      <c r="U59" s="81">
        <v>0.0</v>
      </c>
      <c r="V59" s="89">
        <f>IFERROR(__xludf.DUMMYFUNCTION("INDEX(SPLIT(SUBSTITUTE(W59,CHAR(10), """"),"",:""), MATCH(Z59, SPLIT(SUBSTITUTE(W59,CHAR(10), """"),"",:""), 0) + 1)"),4.5)</f>
        <v>4.5</v>
      </c>
      <c r="W59" s="85" t="s">
        <v>2049</v>
      </c>
      <c r="X59" s="16" t="s">
        <v>2112</v>
      </c>
      <c r="Y59" s="53" t="s">
        <v>2113</v>
      </c>
      <c r="Z59" s="53" t="str">
        <f t="array" ref="Z59">INDEX(Problems!J:J, MATCH(1, (Problems!B:B=B59)*1, 0))</f>
        <v>n^2</v>
      </c>
      <c r="AA59" s="53"/>
      <c r="AB59" s="53"/>
      <c r="AC59" s="53" t="s">
        <v>1813</v>
      </c>
      <c r="AD59" s="53" t="s">
        <v>1814</v>
      </c>
      <c r="AE59" s="85">
        <f>IFERROR(__xludf.DUMMYFUNCTION("INDEX(SPLIT(SUBSTITUTE(AF59,CHAR(10), """"),"",:""), MATCH(Z59, SPLIT(SUBSTITUTE(AF59,CHAR(10), """"),"",:""), 0) + 1)"),3.0)</f>
        <v>3</v>
      </c>
      <c r="AF59" s="85" t="s">
        <v>2059</v>
      </c>
      <c r="AG59" s="53" t="s">
        <v>2121</v>
      </c>
      <c r="AH59" s="53" t="s">
        <v>1993</v>
      </c>
      <c r="AI59" s="84">
        <v>1.0</v>
      </c>
      <c r="AJ59" s="84">
        <v>0.0</v>
      </c>
      <c r="AK59" s="87"/>
      <c r="AL59" s="81">
        <v>0.0</v>
      </c>
      <c r="AM59" s="87"/>
      <c r="AN59" s="81">
        <v>0.0</v>
      </c>
      <c r="AO59" s="90"/>
      <c r="AP59" s="81">
        <v>0.0</v>
      </c>
      <c r="AQ59" s="81">
        <v>0.0</v>
      </c>
      <c r="AR59" s="39"/>
      <c r="AS59" s="81">
        <v>0.0</v>
      </c>
      <c r="AT59" s="81">
        <v>0.0</v>
      </c>
      <c r="AU59" s="39"/>
      <c r="AV59" s="7" t="s">
        <v>2114</v>
      </c>
      <c r="AW59" s="82"/>
      <c r="AX59" s="82"/>
      <c r="AY59" s="7" t="s">
        <v>2115</v>
      </c>
      <c r="AZ59" s="7"/>
      <c r="BA59" s="7"/>
      <c r="BB59" s="7"/>
      <c r="BC59" s="7"/>
      <c r="BD59" s="7"/>
      <c r="BE59" s="7"/>
      <c r="BF59" s="7">
        <v>3.6926037E7</v>
      </c>
      <c r="BG59" s="82">
        <f t="shared" si="12"/>
        <v>1</v>
      </c>
      <c r="BH59" s="82"/>
      <c r="BI59" s="82"/>
      <c r="BJ59" s="82"/>
      <c r="BK59" s="82"/>
      <c r="BL59" s="82"/>
      <c r="BM59" s="82"/>
      <c r="BN59" s="7"/>
      <c r="BO59" s="7">
        <v>3.0</v>
      </c>
      <c r="BP59" s="82"/>
      <c r="BQ59" s="7"/>
      <c r="BR59" s="7" t="s">
        <v>144</v>
      </c>
    </row>
    <row r="60">
      <c r="A60" s="16">
        <v>9.0</v>
      </c>
      <c r="B60" s="16" t="s">
        <v>138</v>
      </c>
      <c r="C60" s="53">
        <v>2.0</v>
      </c>
      <c r="D60" s="53" t="s">
        <v>157</v>
      </c>
      <c r="E60" s="7">
        <v>106.0</v>
      </c>
      <c r="F60" s="53"/>
      <c r="G60" s="7"/>
      <c r="H60" s="16">
        <v>1.0</v>
      </c>
      <c r="I60" s="81">
        <v>1.0</v>
      </c>
      <c r="J60" s="16" t="s">
        <v>115</v>
      </c>
      <c r="K60" s="53" t="s">
        <v>2122</v>
      </c>
      <c r="L60" s="53" t="s">
        <v>2117</v>
      </c>
      <c r="M60" s="39" t="str">
        <f t="shared" si="1"/>
        <v>[https://onlinelibrary.wiley.com/doi/abs/10.1002/sapm1946251261 Levinson–Durbin recursion (1947)]</v>
      </c>
      <c r="N60" s="39" t="s">
        <v>2123</v>
      </c>
      <c r="O60" s="81">
        <v>1947.0</v>
      </c>
      <c r="P60" s="17" t="s">
        <v>2124</v>
      </c>
      <c r="Q60" s="82"/>
      <c r="R60" s="82"/>
      <c r="S60" s="82"/>
      <c r="T60" s="81">
        <v>0.0</v>
      </c>
      <c r="U60" s="81">
        <v>0.0</v>
      </c>
      <c r="V60" s="89">
        <f>IFERROR(__xludf.DUMMYFUNCTION("INDEX(SPLIT(SUBSTITUTE(W60,CHAR(10), """"),"",:""), MATCH(Z60, SPLIT(SUBSTITUTE(W60,CHAR(10), """"),"",:""), 0) + 1)"),3.0)</f>
        <v>3</v>
      </c>
      <c r="W60" s="85" t="s">
        <v>2059</v>
      </c>
      <c r="X60" s="16" t="s">
        <v>61</v>
      </c>
      <c r="Y60" s="53" t="s">
        <v>2113</v>
      </c>
      <c r="Z60" s="53" t="str">
        <f t="array" ref="Z60">INDEX(Problems!J:J, MATCH(1, (Problems!B:B=B60)*1, 0))</f>
        <v>n^2</v>
      </c>
      <c r="AA60" s="53"/>
      <c r="AB60" s="53"/>
      <c r="AC60" s="53" t="s">
        <v>1813</v>
      </c>
      <c r="AD60" s="53" t="s">
        <v>1814</v>
      </c>
      <c r="AE60" s="85">
        <f>IFERROR(__xludf.DUMMYFUNCTION("INDEX(SPLIT(SUBSTITUTE(AF60,CHAR(10), """"),"",:""), MATCH(Z60, SPLIT(SUBSTITUTE(AF60,CHAR(10), """"),"",:""), 0) + 1)"),3.0)</f>
        <v>3</v>
      </c>
      <c r="AF60" s="85" t="s">
        <v>2059</v>
      </c>
      <c r="AG60" s="53" t="s">
        <v>2121</v>
      </c>
      <c r="AH60" s="53" t="s">
        <v>2125</v>
      </c>
      <c r="AI60" s="84">
        <v>1.0</v>
      </c>
      <c r="AJ60" s="84">
        <v>0.0</v>
      </c>
      <c r="AK60" s="87"/>
      <c r="AL60" s="81">
        <v>0.0</v>
      </c>
      <c r="AM60" s="87"/>
      <c r="AN60" s="81">
        <v>0.0</v>
      </c>
      <c r="AO60" s="90"/>
      <c r="AP60" s="81">
        <v>0.0</v>
      </c>
      <c r="AQ60" s="81">
        <v>0.0</v>
      </c>
      <c r="AR60" s="39"/>
      <c r="AS60" s="81">
        <v>0.0</v>
      </c>
      <c r="AT60" s="81">
        <v>0.0</v>
      </c>
      <c r="AU60" s="28" t="s">
        <v>161</v>
      </c>
      <c r="AV60" s="7" t="s">
        <v>2114</v>
      </c>
      <c r="AW60" s="82"/>
      <c r="AX60" s="82"/>
      <c r="AY60" s="7" t="s">
        <v>2115</v>
      </c>
      <c r="AZ60" s="7"/>
      <c r="BA60" s="7"/>
      <c r="BB60" s="7"/>
      <c r="BC60" s="7"/>
      <c r="BD60" s="7"/>
      <c r="BE60" s="7"/>
      <c r="BF60" s="7">
        <v>1000000.0</v>
      </c>
      <c r="BG60" s="82">
        <f t="shared" si="12"/>
        <v>36.926037</v>
      </c>
      <c r="BH60" s="82"/>
      <c r="BI60" s="82"/>
      <c r="BJ60" s="82"/>
      <c r="BK60" s="82"/>
      <c r="BL60" s="82"/>
      <c r="BM60" s="82"/>
      <c r="BN60" s="7"/>
      <c r="BO60" s="7">
        <v>3.0</v>
      </c>
      <c r="BP60" s="82"/>
      <c r="BQ60" s="7"/>
      <c r="BR60" s="7" t="s">
        <v>144</v>
      </c>
    </row>
    <row r="61">
      <c r="A61" s="16">
        <v>9.0</v>
      </c>
      <c r="B61" s="16" t="s">
        <v>138</v>
      </c>
      <c r="C61" s="53">
        <v>2.0</v>
      </c>
      <c r="D61" s="53" t="s">
        <v>157</v>
      </c>
      <c r="E61" s="7">
        <v>107.0</v>
      </c>
      <c r="F61" s="53"/>
      <c r="G61" s="7"/>
      <c r="H61" s="16">
        <v>1.0</v>
      </c>
      <c r="I61" s="81">
        <v>1.0</v>
      </c>
      <c r="J61" s="16" t="s">
        <v>115</v>
      </c>
      <c r="K61" s="53" t="s">
        <v>2122</v>
      </c>
      <c r="L61" s="53" t="s">
        <v>2117</v>
      </c>
      <c r="M61" s="39" t="str">
        <f t="shared" si="1"/>
        <v>[https://link.springer.com/article/10.1007/BF02163269 Bareiss Algorithm (1969)]</v>
      </c>
      <c r="N61" s="39" t="s">
        <v>2126</v>
      </c>
      <c r="O61" s="81">
        <v>1969.0</v>
      </c>
      <c r="P61" s="28" t="s">
        <v>2127</v>
      </c>
      <c r="Q61" s="82"/>
      <c r="R61" s="82"/>
      <c r="S61" s="82"/>
      <c r="T61" s="16">
        <v>0.0</v>
      </c>
      <c r="U61" s="16">
        <v>0.0</v>
      </c>
      <c r="V61" s="89">
        <f>IFERROR(__xludf.DUMMYFUNCTION("INDEX(SPLIT(SUBSTITUTE(W61,CHAR(10), """"),"",:""), MATCH(Z61, SPLIT(SUBSTITUTE(W61,CHAR(10), """"),"",:""), 0) + 1)"),3.0)</f>
        <v>3</v>
      </c>
      <c r="W61" s="85" t="s">
        <v>2059</v>
      </c>
      <c r="X61" s="16" t="s">
        <v>61</v>
      </c>
      <c r="Y61" s="53" t="s">
        <v>2113</v>
      </c>
      <c r="Z61" s="53" t="str">
        <f t="array" ref="Z61">INDEX(Problems!J:J, MATCH(1, (Problems!B:B=B61)*1, 0))</f>
        <v>n^2</v>
      </c>
      <c r="AA61" s="53"/>
      <c r="AB61" s="53"/>
      <c r="AC61" s="53" t="s">
        <v>1813</v>
      </c>
      <c r="AD61" s="53" t="s">
        <v>1814</v>
      </c>
      <c r="AE61" s="85">
        <f>IFERROR(__xludf.DUMMYFUNCTION("INDEX(SPLIT(SUBSTITUTE(AF61,CHAR(10), """"),"",:""), MATCH(Z61, SPLIT(SUBSTITUTE(AF61,CHAR(10), """"),"",:""), 0) + 1)"),3.0)</f>
        <v>3</v>
      </c>
      <c r="AF61" s="85" t="s">
        <v>2059</v>
      </c>
      <c r="AG61" s="53" t="s">
        <v>2121</v>
      </c>
      <c r="AH61" s="53" t="s">
        <v>2125</v>
      </c>
      <c r="AI61" s="84">
        <v>1.0</v>
      </c>
      <c r="AJ61" s="84">
        <v>0.0</v>
      </c>
      <c r="AK61" s="87"/>
      <c r="AL61" s="81">
        <v>0.0</v>
      </c>
      <c r="AM61" s="87"/>
      <c r="AN61" s="81">
        <v>0.0</v>
      </c>
      <c r="AO61" s="90"/>
      <c r="AP61" s="81">
        <v>0.0</v>
      </c>
      <c r="AQ61" s="81">
        <v>0.0</v>
      </c>
      <c r="AR61" s="39"/>
      <c r="AS61" s="81">
        <v>0.0</v>
      </c>
      <c r="AT61" s="81">
        <v>0.0</v>
      </c>
      <c r="AU61" s="39"/>
      <c r="AV61" s="7" t="s">
        <v>2114</v>
      </c>
      <c r="AW61" s="82"/>
      <c r="AX61" s="82"/>
      <c r="AY61" s="7" t="s">
        <v>2115</v>
      </c>
      <c r="AZ61" s="7"/>
      <c r="BA61" s="7"/>
      <c r="BB61" s="7"/>
      <c r="BC61" s="7"/>
      <c r="BD61" s="7"/>
      <c r="BE61" s="7"/>
      <c r="BF61" s="7">
        <v>110889.0</v>
      </c>
      <c r="BG61" s="82">
        <f t="shared" si="12"/>
        <v>333</v>
      </c>
      <c r="BH61" s="82"/>
      <c r="BI61" s="82"/>
      <c r="BJ61" s="82"/>
      <c r="BK61" s="82"/>
      <c r="BL61" s="82"/>
      <c r="BM61" s="82"/>
      <c r="BN61" s="7"/>
      <c r="BO61" s="7">
        <v>3.0</v>
      </c>
      <c r="BP61" s="82"/>
      <c r="BQ61" s="7"/>
      <c r="BR61" s="7" t="s">
        <v>144</v>
      </c>
    </row>
    <row r="62">
      <c r="A62" s="16">
        <v>9.0</v>
      </c>
      <c r="B62" s="16" t="s">
        <v>138</v>
      </c>
      <c r="C62" s="53">
        <v>2.0</v>
      </c>
      <c r="D62" s="53" t="s">
        <v>162</v>
      </c>
      <c r="E62" s="7">
        <v>108.0</v>
      </c>
      <c r="F62" s="53"/>
      <c r="G62" s="7"/>
      <c r="H62" s="16">
        <v>1.0</v>
      </c>
      <c r="I62" s="81">
        <v>1.0</v>
      </c>
      <c r="J62" s="16" t="s">
        <v>115</v>
      </c>
      <c r="K62" s="53" t="s">
        <v>2128</v>
      </c>
      <c r="L62" s="53" t="s">
        <v>2117</v>
      </c>
      <c r="M62" s="39" t="str">
        <f t="shared" si="1"/>
        <v>[https://www.jstor.org/stable/2004623?seq=1 Bjorck-Pereyra (1970)]</v>
      </c>
      <c r="N62" s="39" t="s">
        <v>2129</v>
      </c>
      <c r="O62" s="81">
        <v>1970.0</v>
      </c>
      <c r="P62" s="28" t="s">
        <v>2130</v>
      </c>
      <c r="Q62" s="82"/>
      <c r="R62" s="82"/>
      <c r="S62" s="82"/>
      <c r="T62" s="81">
        <v>0.0</v>
      </c>
      <c r="U62" s="81">
        <v>0.0</v>
      </c>
      <c r="V62" s="89">
        <f>IFERROR(__xludf.DUMMYFUNCTION("INDEX(SPLIT(SUBSTITUTE(W62,CHAR(10), """"),"",:""), MATCH(Z62, SPLIT(SUBSTITUTE(W62,CHAR(10), """"),"",:""), 0) + 1)"),3.0)</f>
        <v>3</v>
      </c>
      <c r="W62" s="85" t="s">
        <v>2059</v>
      </c>
      <c r="X62" s="16" t="s">
        <v>61</v>
      </c>
      <c r="Y62" s="53" t="s">
        <v>2113</v>
      </c>
      <c r="Z62" s="53" t="str">
        <f t="array" ref="Z62">INDEX(Problems!J:J, MATCH(1, (Problems!B:B=B62)*1, 0))</f>
        <v>n^2</v>
      </c>
      <c r="AA62" s="53"/>
      <c r="AB62" s="53"/>
      <c r="AC62" s="53" t="s">
        <v>1813</v>
      </c>
      <c r="AD62" s="53" t="s">
        <v>1814</v>
      </c>
      <c r="AE62" s="85">
        <f>IFERROR(__xludf.DUMMYFUNCTION("INDEX(SPLIT(SUBSTITUTE(AF62,CHAR(10), """"),"",:""), MATCH(Z62, SPLIT(SUBSTITUTE(AF62,CHAR(10), """"),"",:""), 0) + 1)"),3.0)</f>
        <v>3</v>
      </c>
      <c r="AF62" s="85" t="s">
        <v>2059</v>
      </c>
      <c r="AG62" s="53" t="s">
        <v>2121</v>
      </c>
      <c r="AH62" s="53" t="s">
        <v>2125</v>
      </c>
      <c r="AI62" s="84">
        <v>1.0</v>
      </c>
      <c r="AJ62" s="84">
        <v>0.0</v>
      </c>
      <c r="AK62" s="87"/>
      <c r="AL62" s="81">
        <v>0.0</v>
      </c>
      <c r="AM62" s="87"/>
      <c r="AN62" s="81">
        <v>0.0</v>
      </c>
      <c r="AO62" s="90"/>
      <c r="AP62" s="81">
        <v>0.0</v>
      </c>
      <c r="AQ62" s="81">
        <v>0.0</v>
      </c>
      <c r="AR62" s="39"/>
      <c r="AS62" s="81">
        <v>0.0</v>
      </c>
      <c r="AT62" s="81">
        <v>0.0</v>
      </c>
      <c r="AU62" s="39"/>
      <c r="AV62" s="7" t="s">
        <v>2114</v>
      </c>
      <c r="AW62" s="82"/>
      <c r="AX62" s="82"/>
      <c r="AY62" s="7" t="s">
        <v>2115</v>
      </c>
      <c r="AZ62" s="7"/>
      <c r="BA62" s="7"/>
      <c r="BB62" s="7"/>
      <c r="BC62" s="7"/>
      <c r="BD62" s="7"/>
      <c r="BE62" s="7"/>
      <c r="BF62" s="7">
        <v>110889.0</v>
      </c>
      <c r="BG62" s="82">
        <f t="shared" si="12"/>
        <v>333</v>
      </c>
      <c r="BH62" s="82"/>
      <c r="BI62" s="82"/>
      <c r="BJ62" s="82"/>
      <c r="BK62" s="82"/>
      <c r="BL62" s="82"/>
      <c r="BM62" s="82"/>
      <c r="BN62" s="7"/>
      <c r="BO62" s="7">
        <v>3.0</v>
      </c>
      <c r="BP62" s="82"/>
      <c r="BQ62" s="7"/>
      <c r="BR62" s="7" t="s">
        <v>144</v>
      </c>
    </row>
    <row r="63">
      <c r="A63" s="16">
        <v>10.0</v>
      </c>
      <c r="B63" s="16" t="s">
        <v>166</v>
      </c>
      <c r="C63" s="53">
        <v>2.0</v>
      </c>
      <c r="D63" s="53"/>
      <c r="E63" s="7">
        <v>110.0</v>
      </c>
      <c r="F63" s="53"/>
      <c r="G63" s="7"/>
      <c r="H63" s="16">
        <v>1.0</v>
      </c>
      <c r="I63" s="81">
        <v>1.0</v>
      </c>
      <c r="J63" s="21" t="s">
        <v>2131</v>
      </c>
      <c r="K63" s="53" t="s">
        <v>1945</v>
      </c>
      <c r="L63" s="53" t="s">
        <v>2132</v>
      </c>
      <c r="M63" s="39" t="str">
        <f t="shared" si="1"/>
        <v>[- Fourier–Motzkin elimination (1940)]</v>
      </c>
      <c r="N63" s="39" t="s">
        <v>2133</v>
      </c>
      <c r="O63" s="81">
        <v>1940.0</v>
      </c>
      <c r="P63" s="39" t="s">
        <v>1937</v>
      </c>
      <c r="Q63" s="7">
        <v>4.0</v>
      </c>
      <c r="R63" s="7">
        <v>1.0</v>
      </c>
      <c r="S63" s="47" t="s">
        <v>2134</v>
      </c>
      <c r="T63" s="16">
        <v>1.0</v>
      </c>
      <c r="U63" s="16">
        <v>0.0</v>
      </c>
      <c r="V63" s="89">
        <f>IFERROR(__xludf.DUMMYFUNCTION("INDEX(SPLIT(SUBSTITUTE(W63,CHAR(10), """"),"",:""), MATCH(Z63, SPLIT(SUBSTITUTE(W63,CHAR(10), """"),"",:""), 0) + 1)"),8.0)</f>
        <v>8</v>
      </c>
      <c r="W63" s="85" t="s">
        <v>2135</v>
      </c>
      <c r="X63" s="21" t="s">
        <v>2131</v>
      </c>
      <c r="Y63" s="53" t="s">
        <v>2136</v>
      </c>
      <c r="Z63" s="53" t="str">
        <f t="array" ref="Z63">INDEX(Problems!J:J, MATCH(1, (Problems!B:B=B63)*1, 0))</f>
        <v>n</v>
      </c>
      <c r="AA63" s="53"/>
      <c r="AB63" s="53"/>
      <c r="AC63" s="53" t="s">
        <v>1813</v>
      </c>
      <c r="AD63" s="53" t="s">
        <v>1814</v>
      </c>
      <c r="AE63" s="85">
        <f>IFERROR(__xludf.DUMMYFUNCTION("INDEX(SPLIT(SUBSTITUTE(AF63,CHAR(10), """"),"",:""), MATCH(Z63, SPLIT(SUBSTITUTE(AF63,CHAR(10), """"),"",:""), 0) + 1)"),8.0)</f>
        <v>8</v>
      </c>
      <c r="AF63" s="85" t="s">
        <v>2135</v>
      </c>
      <c r="AG63" s="21" t="s">
        <v>2131</v>
      </c>
      <c r="AH63" s="53" t="s">
        <v>2137</v>
      </c>
      <c r="AI63" s="84">
        <v>1.0</v>
      </c>
      <c r="AJ63" s="84">
        <v>0.0</v>
      </c>
      <c r="AK63" s="87"/>
      <c r="AL63" s="81">
        <v>0.0</v>
      </c>
      <c r="AM63" s="87"/>
      <c r="AN63" s="81">
        <v>0.0</v>
      </c>
      <c r="AO63" s="90"/>
      <c r="AP63" s="81">
        <v>0.0</v>
      </c>
      <c r="AQ63" s="81">
        <v>0.0</v>
      </c>
      <c r="AR63" s="39"/>
      <c r="AS63" s="81">
        <v>0.0</v>
      </c>
      <c r="AT63" s="81">
        <v>0.0</v>
      </c>
      <c r="AU63" s="28" t="s">
        <v>2138</v>
      </c>
      <c r="AV63" s="7" t="s">
        <v>168</v>
      </c>
      <c r="AW63" s="82"/>
      <c r="AX63" s="82"/>
      <c r="AY63" s="16"/>
      <c r="AZ63" s="7" t="s">
        <v>1781</v>
      </c>
      <c r="BA63" s="7"/>
      <c r="BB63" s="7" t="s">
        <v>1781</v>
      </c>
      <c r="BC63" s="7"/>
      <c r="BD63" s="7" t="s">
        <v>1781</v>
      </c>
      <c r="BE63" s="7"/>
      <c r="BF63" s="7" t="s">
        <v>1781</v>
      </c>
      <c r="BG63" s="7">
        <v>1.0</v>
      </c>
      <c r="BH63" s="7"/>
      <c r="BI63" s="7" t="s">
        <v>1781</v>
      </c>
      <c r="BJ63" s="7">
        <v>1.0</v>
      </c>
      <c r="BK63" s="7"/>
      <c r="BL63" s="7" t="s">
        <v>1781</v>
      </c>
      <c r="BM63" s="7">
        <v>1.0</v>
      </c>
      <c r="BN63" s="7"/>
      <c r="BO63" s="7">
        <v>1.0</v>
      </c>
      <c r="BP63" s="82"/>
      <c r="BQ63" s="7"/>
      <c r="BR63" s="7" t="s">
        <v>144</v>
      </c>
    </row>
    <row r="64">
      <c r="A64" s="16">
        <v>10.0</v>
      </c>
      <c r="B64" s="16" t="s">
        <v>166</v>
      </c>
      <c r="C64" s="53">
        <v>2.0</v>
      </c>
      <c r="D64" s="53"/>
      <c r="E64" s="7">
        <v>111.0</v>
      </c>
      <c r="F64" s="53"/>
      <c r="G64" s="7"/>
      <c r="H64" s="16">
        <v>1.0</v>
      </c>
      <c r="I64" s="81">
        <v>1.0</v>
      </c>
      <c r="J64" s="21" t="s">
        <v>2139</v>
      </c>
      <c r="K64" s="53" t="s">
        <v>1945</v>
      </c>
      <c r="L64" s="53" t="s">
        <v>2140</v>
      </c>
      <c r="M64" s="39" t="str">
        <f t="shared" si="1"/>
        <v>[https://www.sciencedirect.com/science/article/abs/pii/0041555380900610 Khachiyan Ellipsoid algorithm  (1979)]</v>
      </c>
      <c r="N64" s="39" t="s">
        <v>2141</v>
      </c>
      <c r="O64" s="81">
        <v>1979.0</v>
      </c>
      <c r="P64" s="28" t="s">
        <v>2142</v>
      </c>
      <c r="Q64" s="82"/>
      <c r="R64" s="82"/>
      <c r="S64" s="82"/>
      <c r="T64" s="16">
        <v>1.0</v>
      </c>
      <c r="U64" s="16" t="s">
        <v>2143</v>
      </c>
      <c r="V64" s="89">
        <f>IFERROR(__xludf.DUMMYFUNCTION("INDEX(SPLIT(SUBSTITUTE(W64,CHAR(10), """"),"",:""), MATCH(Z64, SPLIT(SUBSTITUTE(W64,CHAR(10), """"),"",:""), 0) + 1)"),7.0)</f>
        <v>7</v>
      </c>
      <c r="W64" s="85" t="s">
        <v>2144</v>
      </c>
      <c r="X64" s="21" t="s">
        <v>2145</v>
      </c>
      <c r="Y64" s="53" t="s">
        <v>2136</v>
      </c>
      <c r="Z64" s="53" t="str">
        <f t="array" ref="Z64">INDEX(Problems!J:J, MATCH(1, (Problems!B:B=B64)*1, 0))</f>
        <v>n</v>
      </c>
      <c r="AA64" s="53"/>
      <c r="AB64" s="53"/>
      <c r="AC64" s="53" t="s">
        <v>1813</v>
      </c>
      <c r="AD64" s="53" t="s">
        <v>1814</v>
      </c>
      <c r="AE64" s="85">
        <f>IFERROR(__xludf.DUMMYFUNCTION("INDEX(SPLIT(SUBSTITUTE(AF64,CHAR(10), """"),"",:""), MATCH(Z64, SPLIT(SUBSTITUTE(AF64,CHAR(10), """"),"",:""), 0) + 1)"),3.0)</f>
        <v>3</v>
      </c>
      <c r="AF64" s="85" t="s">
        <v>2146</v>
      </c>
      <c r="AG64" s="53" t="s">
        <v>2147</v>
      </c>
      <c r="AH64" s="118" t="s">
        <v>2148</v>
      </c>
      <c r="AI64" s="84">
        <v>0.0</v>
      </c>
      <c r="AJ64" s="84">
        <v>1.0</v>
      </c>
      <c r="AK64" s="87"/>
      <c r="AL64" s="81">
        <v>0.0</v>
      </c>
      <c r="AM64" s="87"/>
      <c r="AN64" s="81">
        <v>0.0</v>
      </c>
      <c r="AO64" s="90"/>
      <c r="AP64" s="81">
        <v>0.0</v>
      </c>
      <c r="AQ64" s="81">
        <v>0.0</v>
      </c>
      <c r="AR64" s="39"/>
      <c r="AS64" s="81">
        <v>0.0</v>
      </c>
      <c r="AT64" s="81">
        <v>0.0</v>
      </c>
      <c r="AU64" s="25" t="s">
        <v>2149</v>
      </c>
      <c r="AV64" s="7" t="s">
        <v>168</v>
      </c>
      <c r="AW64" s="82"/>
      <c r="AX64" s="82"/>
      <c r="AY64" s="7"/>
      <c r="AZ64" s="7"/>
      <c r="BA64" s="7"/>
      <c r="BB64" s="7"/>
      <c r="BC64" s="7"/>
      <c r="BD64" s="7"/>
      <c r="BE64" s="7"/>
      <c r="BF64" s="7">
        <f>POW((1000/3),4.5)</f>
        <v>225400229426</v>
      </c>
      <c r="BG64" s="7" t="s">
        <v>1781</v>
      </c>
      <c r="BH64" s="82"/>
      <c r="BI64" s="82">
        <f>POW((1000000/3),4.5)</f>
        <v>7.12778E+24</v>
      </c>
      <c r="BJ64" s="7" t="s">
        <v>1781</v>
      </c>
      <c r="BK64" s="82"/>
      <c r="BL64" s="82">
        <f>POW((1000000000/3),4.5)</f>
        <v>2.254E+38</v>
      </c>
      <c r="BM64" s="7" t="s">
        <v>1781</v>
      </c>
      <c r="BN64" s="7"/>
      <c r="BO64" s="7">
        <v>1.0</v>
      </c>
      <c r="BP64" s="82"/>
      <c r="BQ64" s="7"/>
      <c r="BR64" s="7" t="s">
        <v>144</v>
      </c>
    </row>
    <row r="65">
      <c r="A65" s="16">
        <v>11.0</v>
      </c>
      <c r="B65" s="16" t="s">
        <v>186</v>
      </c>
      <c r="C65" s="53">
        <v>2.0</v>
      </c>
      <c r="D65" s="53" t="s">
        <v>187</v>
      </c>
      <c r="E65" s="7">
        <v>118.0</v>
      </c>
      <c r="F65" s="53"/>
      <c r="G65" s="7"/>
      <c r="H65" s="16">
        <v>1.0</v>
      </c>
      <c r="I65" s="81">
        <v>1.0</v>
      </c>
      <c r="J65" s="39" t="s">
        <v>115</v>
      </c>
      <c r="K65" s="53" t="s">
        <v>1945</v>
      </c>
      <c r="L65" s="53" t="s">
        <v>1946</v>
      </c>
      <c r="M65" s="39" t="str">
        <f t="shared" si="1"/>
        <v>[- Naive (1940)]</v>
      </c>
      <c r="N65" s="39" t="s">
        <v>2150</v>
      </c>
      <c r="O65" s="81">
        <v>1940.0</v>
      </c>
      <c r="P65" s="39" t="s">
        <v>1937</v>
      </c>
      <c r="Q65" s="7">
        <v>1.0</v>
      </c>
      <c r="R65" s="7">
        <v>1.0</v>
      </c>
      <c r="S65" s="82"/>
      <c r="T65" s="16">
        <v>1.0</v>
      </c>
      <c r="U65" s="16">
        <v>1.0</v>
      </c>
      <c r="V65" s="89">
        <f>IFERROR(__xludf.DUMMYFUNCTION("INDEX(SPLIT(SUBSTITUTE(W65,CHAR(10), """"),"",:""), MATCH(Z65, SPLIT(SUBSTITUTE(W65,CHAR(10), """"),"",:""), 0) + 1)"),5.0)</f>
        <v>5</v>
      </c>
      <c r="W65" s="85" t="s">
        <v>1938</v>
      </c>
      <c r="X65" s="39" t="s">
        <v>115</v>
      </c>
      <c r="Y65" s="53" t="s">
        <v>2151</v>
      </c>
      <c r="Z65" s="53" t="str">
        <f t="array" ref="Z65">INDEX(Problems!J:J, MATCH(1, (Problems!B:B=B65)*1, 0))</f>
        <v>n</v>
      </c>
      <c r="AA65" s="53"/>
      <c r="AB65" s="53"/>
      <c r="AC65" s="53" t="s">
        <v>2152</v>
      </c>
      <c r="AD65" s="53" t="s">
        <v>1814</v>
      </c>
      <c r="AE65" s="85">
        <f>IFERROR(__xludf.DUMMYFUNCTION("INDEX(SPLIT(SUBSTITUTE(AF65,CHAR(10), """"),"",:""), MATCH(Z65, SPLIT(SUBSTITUTE(AF65,CHAR(10), """"),"",:""), 0) + 1)"),1.0)</f>
        <v>1</v>
      </c>
      <c r="AF65" s="85" t="s">
        <v>1774</v>
      </c>
      <c r="AG65" s="53" t="s">
        <v>34</v>
      </c>
      <c r="AH65" s="53" t="s">
        <v>1993</v>
      </c>
      <c r="AI65" s="84">
        <v>1.0</v>
      </c>
      <c r="AJ65" s="84">
        <v>0.0</v>
      </c>
      <c r="AK65" s="87"/>
      <c r="AL65" s="81">
        <v>0.0</v>
      </c>
      <c r="AM65" s="87"/>
      <c r="AN65" s="81">
        <v>0.0</v>
      </c>
      <c r="AO65" s="90"/>
      <c r="AP65" s="81">
        <v>0.0</v>
      </c>
      <c r="AQ65" s="81">
        <v>0.0</v>
      </c>
      <c r="AR65" s="39"/>
      <c r="AS65" s="81">
        <v>0.0</v>
      </c>
      <c r="AT65" s="81">
        <v>0.0</v>
      </c>
      <c r="AU65" s="39"/>
      <c r="AV65" s="53" t="s">
        <v>2153</v>
      </c>
      <c r="AW65" s="82"/>
      <c r="AX65" s="82"/>
      <c r="AY65" s="7"/>
      <c r="AZ65" s="7"/>
      <c r="BA65" s="7"/>
      <c r="BB65" s="7"/>
      <c r="BC65" s="7"/>
      <c r="BD65" s="7"/>
      <c r="BE65" s="7"/>
      <c r="BF65" s="7">
        <v>1000000.0</v>
      </c>
      <c r="BG65" s="82">
        <f t="shared" ref="BG65:BG66" si="13">1000000/BF65</f>
        <v>1</v>
      </c>
      <c r="BH65" s="7"/>
      <c r="BI65" s="7">
        <v>1.0E12</v>
      </c>
      <c r="BJ65" s="7">
        <v>1.0</v>
      </c>
      <c r="BK65" s="7"/>
      <c r="BL65" s="7">
        <v>1.0E18</v>
      </c>
      <c r="BM65" s="7">
        <v>1.0</v>
      </c>
      <c r="BN65" s="7"/>
      <c r="BO65" s="7">
        <v>4.0</v>
      </c>
      <c r="BP65" s="82"/>
      <c r="BQ65" s="7"/>
      <c r="BR65" s="7" t="s">
        <v>196</v>
      </c>
    </row>
    <row r="66">
      <c r="A66" s="16">
        <v>11.0</v>
      </c>
      <c r="B66" s="16" t="s">
        <v>186</v>
      </c>
      <c r="C66" s="53">
        <v>2.0</v>
      </c>
      <c r="D66" s="53" t="s">
        <v>187</v>
      </c>
      <c r="E66" s="7">
        <v>119.0</v>
      </c>
      <c r="F66" s="53"/>
      <c r="G66" s="7"/>
      <c r="H66" s="16">
        <v>1.0</v>
      </c>
      <c r="I66" s="81">
        <v>1.0</v>
      </c>
      <c r="J66" s="39" t="s">
        <v>2154</v>
      </c>
      <c r="K66" s="53" t="s">
        <v>2117</v>
      </c>
      <c r="L66" s="53" t="s">
        <v>2117</v>
      </c>
      <c r="M66" s="39" t="str">
        <f t="shared" si="1"/>
        <v>[https://doi.org/10.1109%2FTC.1979.1675432 Bentley–Ottmann algorithm (1979)]</v>
      </c>
      <c r="N66" s="39" t="s">
        <v>2155</v>
      </c>
      <c r="O66" s="81">
        <v>1979.0</v>
      </c>
      <c r="P66" s="28" t="s">
        <v>2156</v>
      </c>
      <c r="Q66" s="82"/>
      <c r="R66" s="82"/>
      <c r="S66" s="82"/>
      <c r="T66" s="16">
        <v>1.0</v>
      </c>
      <c r="U66" s="16" t="s">
        <v>1952</v>
      </c>
      <c r="V66" s="89">
        <f>IFERROR(__xludf.DUMMYFUNCTION("INDEX(SPLIT(SUBSTITUTE(W66,CHAR(10), """"),"",:""), MATCH(Z66, SPLIT(SUBSTITUTE(W66,CHAR(10), """"),"",:""), 0) + 1)"),4.0)</f>
        <v>4</v>
      </c>
      <c r="W66" s="85" t="s">
        <v>2157</v>
      </c>
      <c r="X66" s="16" t="s">
        <v>2158</v>
      </c>
      <c r="Y66" s="53" t="s">
        <v>2151</v>
      </c>
      <c r="Z66" s="53" t="str">
        <f t="array" ref="Z66">INDEX(Problems!J:J, MATCH(1, (Problems!B:B=B66)*1, 0))</f>
        <v>n</v>
      </c>
      <c r="AA66" s="53"/>
      <c r="AB66" s="53"/>
      <c r="AC66" s="53" t="s">
        <v>2152</v>
      </c>
      <c r="AD66" s="53" t="s">
        <v>1814</v>
      </c>
      <c r="AE66" s="85">
        <f>IFERROR(__xludf.DUMMYFUNCTION("INDEX(SPLIT(SUBSTITUTE(AF66,CHAR(10), """"),"",:""), MATCH(Z66, SPLIT(SUBSTITUTE(AF66,CHAR(10), """"),"",:""), 0) + 1)"),3.0)</f>
        <v>3</v>
      </c>
      <c r="AF66" s="85" t="s">
        <v>1763</v>
      </c>
      <c r="AG66" s="53" t="s">
        <v>35</v>
      </c>
      <c r="AH66" s="91" t="s">
        <v>2159</v>
      </c>
      <c r="AI66" s="84">
        <v>0.0</v>
      </c>
      <c r="AJ66" s="84">
        <v>0.0</v>
      </c>
      <c r="AK66" s="87"/>
      <c r="AL66" s="81">
        <v>0.0</v>
      </c>
      <c r="AM66" s="87"/>
      <c r="AN66" s="81">
        <v>0.0</v>
      </c>
      <c r="AO66" s="90"/>
      <c r="AP66" s="81">
        <v>0.0</v>
      </c>
      <c r="AQ66" s="81">
        <v>0.0</v>
      </c>
      <c r="AR66" s="39"/>
      <c r="AS66" s="81">
        <v>0.0</v>
      </c>
      <c r="AT66" s="81">
        <v>0.0</v>
      </c>
      <c r="AU66" s="39"/>
      <c r="AV66" s="53" t="s">
        <v>2153</v>
      </c>
      <c r="AW66" s="82"/>
      <c r="AX66" s="82"/>
      <c r="AY66" s="7" t="s">
        <v>2160</v>
      </c>
      <c r="AZ66" s="7"/>
      <c r="BA66" s="7"/>
      <c r="BB66" s="7"/>
      <c r="BC66" s="7"/>
      <c r="BD66" s="7"/>
      <c r="BE66" s="7"/>
      <c r="BF66" s="7">
        <f>1000*LOG(1000,2) + POW(1000,0.5)*LOG(1000,2)</f>
        <v>10280.93005</v>
      </c>
      <c r="BG66" s="82">
        <f t="shared" si="13"/>
        <v>97.26746458</v>
      </c>
      <c r="BH66" s="82">
        <f>POW(BG66,1/($O66-$O65)) - 1</f>
        <v>0.1245364271</v>
      </c>
      <c r="BI66" s="82">
        <f>1000000*LOG(1000000,2) + POW(1000000,0.5)*LOG(1000000,2)</f>
        <v>19951500.14</v>
      </c>
      <c r="BJ66" s="82">
        <f>BI65/BI66</f>
        <v>50121.5444</v>
      </c>
      <c r="BK66" s="82">
        <f>POW(BJ66,1/($O66-$O65)) - 1</f>
        <v>0.3198161773</v>
      </c>
      <c r="BL66" s="82">
        <f>1000000000*LOG(1000000000,2) + POW(1000000000,0.5)*LOG(1000000000,2)</f>
        <v>29898298291</v>
      </c>
      <c r="BM66" s="82">
        <f>BL65/BL66</f>
        <v>33446719.62</v>
      </c>
      <c r="BN66" s="82">
        <f>POW(BM66,1/($O66-$O65)) - 1</f>
        <v>0.5593088428</v>
      </c>
      <c r="BO66" s="7">
        <v>4.0</v>
      </c>
      <c r="BP66" s="82"/>
      <c r="BQ66" s="7"/>
      <c r="BR66" s="7" t="s">
        <v>196</v>
      </c>
    </row>
    <row r="67">
      <c r="A67" s="16">
        <v>12.0</v>
      </c>
      <c r="B67" s="16" t="s">
        <v>213</v>
      </c>
      <c r="C67" s="53">
        <v>2.0</v>
      </c>
      <c r="D67" s="53" t="s">
        <v>2161</v>
      </c>
      <c r="E67" s="7">
        <v>127.0</v>
      </c>
      <c r="F67" s="53"/>
      <c r="G67" s="7"/>
      <c r="H67" s="16">
        <v>1.0</v>
      </c>
      <c r="I67" s="81">
        <v>1.0</v>
      </c>
      <c r="J67" s="39" t="s">
        <v>834</v>
      </c>
      <c r="K67" s="53" t="s">
        <v>1945</v>
      </c>
      <c r="L67" s="53" t="s">
        <v>1946</v>
      </c>
      <c r="M67" s="39" t="str">
        <f t="shared" si="1"/>
        <v>[- Brute Force (1935)]</v>
      </c>
      <c r="N67" s="39" t="s">
        <v>1999</v>
      </c>
      <c r="O67" s="83">
        <v>1935.0</v>
      </c>
      <c r="P67" s="39" t="s">
        <v>1937</v>
      </c>
      <c r="Q67" s="7">
        <v>1.0</v>
      </c>
      <c r="R67" s="7">
        <v>1.0</v>
      </c>
      <c r="S67" s="47" t="s">
        <v>2162</v>
      </c>
      <c r="T67" s="81">
        <v>1.0</v>
      </c>
      <c r="U67" s="81">
        <v>0.0</v>
      </c>
      <c r="V67" s="89">
        <f>IFERROR(__xludf.DUMMYFUNCTION("INDEX(SPLIT(SUBSTITUTE(W67,CHAR(10), """"),"",:""), MATCH(Z67, SPLIT(SUBSTITUTE(W67,CHAR(10), """"),"",:""), 0) + 1)"),6.0)</f>
        <v>6</v>
      </c>
      <c r="W67" s="85" t="s">
        <v>2008</v>
      </c>
      <c r="X67" s="39" t="s">
        <v>834</v>
      </c>
      <c r="Y67" s="53" t="s">
        <v>2163</v>
      </c>
      <c r="Z67" s="53" t="str">
        <f t="array" ref="Z67">INDEX(Problems!J:J, MATCH(1, (Problems!B:B=B67)*1, 0))</f>
        <v>n</v>
      </c>
      <c r="AA67" s="53"/>
      <c r="AB67" s="53"/>
      <c r="AC67" s="53" t="s">
        <v>2152</v>
      </c>
      <c r="AD67" s="53" t="s">
        <v>1814</v>
      </c>
      <c r="AE67" s="85">
        <f>IFERROR(__xludf.DUMMYFUNCTION("INDEX(SPLIT(SUBSTITUTE(AF67,CHAR(10), """"),"",:""), MATCH(Z67, SPLIT(SUBSTITUTE(AF67,CHAR(10), """"),"",:""), 0) + 1)"),3.0)</f>
        <v>3</v>
      </c>
      <c r="AF67" s="85" t="s">
        <v>1763</v>
      </c>
      <c r="AG67" s="53" t="s">
        <v>35</v>
      </c>
      <c r="AH67" s="53" t="s">
        <v>1993</v>
      </c>
      <c r="AI67" s="84">
        <v>1.0</v>
      </c>
      <c r="AJ67" s="84">
        <v>0.0</v>
      </c>
      <c r="AK67" s="87"/>
      <c r="AL67" s="81">
        <v>0.0</v>
      </c>
      <c r="AM67" s="87"/>
      <c r="AN67" s="81">
        <v>0.0</v>
      </c>
      <c r="AO67" s="90"/>
      <c r="AP67" s="81">
        <v>0.0</v>
      </c>
      <c r="AQ67" s="81">
        <v>0.0</v>
      </c>
      <c r="AR67" s="39"/>
      <c r="AS67" s="81">
        <v>0.0</v>
      </c>
      <c r="AT67" s="81">
        <v>0.0</v>
      </c>
      <c r="AU67" s="39"/>
      <c r="AV67" s="7" t="s">
        <v>2164</v>
      </c>
      <c r="AW67" s="82"/>
      <c r="AX67" s="82"/>
      <c r="AY67" s="7" t="s">
        <v>2165</v>
      </c>
      <c r="AZ67" s="7">
        <f> 1000</f>
        <v>1000</v>
      </c>
      <c r="BA67" s="7"/>
      <c r="BB67" s="7">
        <f> 1000000</f>
        <v>1000000</v>
      </c>
      <c r="BC67" s="7"/>
      <c r="BD67" s="7">
        <f> 1000000000</f>
        <v>1000000000</v>
      </c>
      <c r="BE67" s="7"/>
      <c r="BF67" s="7">
        <v>1.0E9</v>
      </c>
      <c r="BG67" s="82">
        <f t="shared" ref="BG67:BG68" si="14">1000000000/BF67</f>
        <v>1</v>
      </c>
      <c r="BH67" s="82"/>
      <c r="BI67" s="82">
        <f>POW(1000000,3)</f>
        <v>1E+18</v>
      </c>
      <c r="BJ67" s="7">
        <v>1.0</v>
      </c>
      <c r="BK67" s="82"/>
      <c r="BL67" s="82">
        <f>POW(1000000000,3)</f>
        <v>1E+27</v>
      </c>
      <c r="BM67" s="7">
        <v>1.0</v>
      </c>
      <c r="BN67" s="7"/>
      <c r="BO67" s="7">
        <v>3.0</v>
      </c>
      <c r="BP67" s="82"/>
      <c r="BQ67" s="7"/>
      <c r="BR67" s="7" t="s">
        <v>196</v>
      </c>
    </row>
    <row r="68">
      <c r="A68" s="16">
        <v>12.0</v>
      </c>
      <c r="B68" s="16" t="s">
        <v>213</v>
      </c>
      <c r="C68" s="53">
        <v>2.0</v>
      </c>
      <c r="D68" s="53" t="s">
        <v>2161</v>
      </c>
      <c r="E68" s="7">
        <v>128.0</v>
      </c>
      <c r="F68" s="53"/>
      <c r="G68" s="7"/>
      <c r="H68" s="16">
        <v>1.0</v>
      </c>
      <c r="I68" s="81">
        <v>1.0</v>
      </c>
      <c r="J68" s="39" t="s">
        <v>2166</v>
      </c>
      <c r="K68" s="53" t="s">
        <v>2117</v>
      </c>
      <c r="L68" s="53" t="s">
        <v>2117</v>
      </c>
      <c r="M68" s="39" t="str">
        <f t="shared" si="1"/>
        <v>[https://linkinghub.elsevier.com/retrieve/pii/0020019073900203 Jarvis (1973)]</v>
      </c>
      <c r="N68" s="39" t="s">
        <v>2167</v>
      </c>
      <c r="O68" s="81">
        <v>1973.0</v>
      </c>
      <c r="P68" s="28" t="s">
        <v>2168</v>
      </c>
      <c r="Q68" s="82"/>
      <c r="R68" s="82"/>
      <c r="S68" s="82"/>
      <c r="T68" s="81">
        <v>0.0</v>
      </c>
      <c r="U68" s="16">
        <v>0.0</v>
      </c>
      <c r="V68" s="89">
        <f>IFERROR(__xludf.DUMMYFUNCTION("INDEX(SPLIT(SUBSTITUTE(W68,CHAR(10), """"),"",:""), MATCH(Z68, SPLIT(SUBSTITUTE(W68,CHAR(10), """"),"",:""), 0) + 1)"),3.0)</f>
        <v>3</v>
      </c>
      <c r="W68" s="85" t="s">
        <v>2169</v>
      </c>
      <c r="X68" s="39" t="s">
        <v>2166</v>
      </c>
      <c r="Y68" s="53" t="s">
        <v>2163</v>
      </c>
      <c r="Z68" s="53" t="str">
        <f t="array" ref="Z68">INDEX(Problems!J:J, MATCH(1, (Problems!B:B=B68)*1, 0))</f>
        <v>n</v>
      </c>
      <c r="AA68" s="53"/>
      <c r="AB68" s="53"/>
      <c r="AC68" s="53" t="s">
        <v>2152</v>
      </c>
      <c r="AD68" s="53" t="s">
        <v>1814</v>
      </c>
      <c r="AE68" s="85">
        <f>IFERROR(__xludf.DUMMYFUNCTION("INDEX(SPLIT(SUBSTITUTE(AF68,CHAR(10), """"),"",:""), MATCH(Z68, SPLIT(SUBSTITUTE(AF68,CHAR(10), """"),"",:""), 0) + 1)"),1.0)</f>
        <v>1</v>
      </c>
      <c r="AF68" s="85" t="s">
        <v>1774</v>
      </c>
      <c r="AG68" s="119" t="s">
        <v>34</v>
      </c>
      <c r="AH68" s="53" t="s">
        <v>1993</v>
      </c>
      <c r="AI68" s="84">
        <v>1.0</v>
      </c>
      <c r="AJ68" s="84">
        <v>0.0</v>
      </c>
      <c r="AK68" s="87"/>
      <c r="AL68" s="81">
        <v>0.0</v>
      </c>
      <c r="AM68" s="87"/>
      <c r="AN68" s="81">
        <v>0.0</v>
      </c>
      <c r="AO68" s="90"/>
      <c r="AP68" s="81">
        <v>0.0</v>
      </c>
      <c r="AQ68" s="81">
        <v>0.0</v>
      </c>
      <c r="AR68" s="39"/>
      <c r="AS68" s="81">
        <v>0.0</v>
      </c>
      <c r="AT68" s="81">
        <v>0.0</v>
      </c>
      <c r="AU68" s="39"/>
      <c r="AV68" s="7" t="s">
        <v>2164</v>
      </c>
      <c r="AW68" s="82"/>
      <c r="AX68" s="82"/>
      <c r="AY68" s="7" t="s">
        <v>2165</v>
      </c>
      <c r="AZ68" s="7">
        <v>1.0</v>
      </c>
      <c r="BA68" s="7">
        <f>POW(AZ67/AZ68,1/($O68-$O67)) - 1</f>
        <v>0.1993539462</v>
      </c>
      <c r="BB68" s="7">
        <v>1.0</v>
      </c>
      <c r="BC68" s="7">
        <f>POW(BB67/BB68,1/($O68-$O67)) - 1</f>
        <v>0.4384498883</v>
      </c>
      <c r="BD68" s="7">
        <v>1.0</v>
      </c>
      <c r="BE68" s="7">
        <f>POW(BD67/BD68,1/($O68-$O67)) - 1</f>
        <v>0.7252105499</v>
      </c>
      <c r="BF68" s="82">
        <f>1000 * POW(1000, 0.5)</f>
        <v>31622.7766</v>
      </c>
      <c r="BG68" s="82">
        <f t="shared" si="14"/>
        <v>31622.7766</v>
      </c>
      <c r="BH68" s="82">
        <f>POW(BG68,1/($O68-$O$67)) - 1</f>
        <v>0.3134727062</v>
      </c>
      <c r="BI68" s="82">
        <f>1000000 * POW(1000000, 0.5)</f>
        <v>1000000000</v>
      </c>
      <c r="BJ68" s="82">
        <f>BI67/BI68</f>
        <v>1000000000</v>
      </c>
      <c r="BK68" s="82">
        <f>POW(BJ68,1/($O68-$O$67)) - 1</f>
        <v>0.7252105499</v>
      </c>
      <c r="BL68" s="82">
        <f>1000000000 * POW(1000000000, 0.5)</f>
        <v>31622776601684</v>
      </c>
      <c r="BM68" s="82">
        <f>BL67/BL68</f>
        <v>31622776601684</v>
      </c>
      <c r="BN68" s="82">
        <f>POW(BM68,1/($O68-$O$67)) - 1</f>
        <v>1.26601697</v>
      </c>
      <c r="BO68" s="7">
        <v>3.0</v>
      </c>
      <c r="BP68" s="82"/>
      <c r="BQ68" s="7"/>
      <c r="BR68" s="7" t="s">
        <v>196</v>
      </c>
    </row>
    <row r="69">
      <c r="A69" s="16">
        <v>14.0</v>
      </c>
      <c r="B69" s="16" t="s">
        <v>263</v>
      </c>
      <c r="C69" s="53">
        <v>2.0</v>
      </c>
      <c r="D69" s="53" t="s">
        <v>264</v>
      </c>
      <c r="E69" s="7">
        <v>157.0</v>
      </c>
      <c r="F69" s="53"/>
      <c r="G69" s="7"/>
      <c r="H69" s="16">
        <v>1.0</v>
      </c>
      <c r="I69" s="81">
        <v>1.0</v>
      </c>
      <c r="J69" s="39" t="s">
        <v>2170</v>
      </c>
      <c r="K69" s="53" t="s">
        <v>2171</v>
      </c>
      <c r="L69" s="91" t="s">
        <v>2172</v>
      </c>
      <c r="M69" s="39" t="str">
        <f t="shared" si="1"/>
        <v>[https://link.springer.com/chapter/10.1007/BFb0028279 Kruskal’s algorithm with demand-sorting (1991)]</v>
      </c>
      <c r="N69" s="39" t="s">
        <v>2173</v>
      </c>
      <c r="O69" s="81">
        <v>1991.0</v>
      </c>
      <c r="P69" s="28" t="s">
        <v>2174</v>
      </c>
      <c r="Q69" s="82"/>
      <c r="R69" s="82"/>
      <c r="S69" s="82"/>
      <c r="T69" s="81">
        <v>0.0</v>
      </c>
      <c r="U69" s="16">
        <v>0.0</v>
      </c>
      <c r="V69" s="89">
        <f>IFERROR(__xludf.DUMMYFUNCTION("INDEX(SPLIT(SUBSTITUTE(W69,CHAR(10), """"),"",:""), MATCH(Z69, SPLIT(SUBSTITUTE(W69,CHAR(10), """"),"",:""), 0) + 1)"),5.01)</f>
        <v>5.01</v>
      </c>
      <c r="W69" s="85" t="s">
        <v>2175</v>
      </c>
      <c r="X69" s="21" t="s">
        <v>2176</v>
      </c>
      <c r="Y69" s="53" t="s">
        <v>2177</v>
      </c>
      <c r="Z69" s="53" t="str">
        <f t="array" ref="Z69">INDEX(Problems!J:J, MATCH(1, (Problems!B:B=B69)*1, 0))</f>
        <v>V</v>
      </c>
      <c r="AA69" s="53"/>
      <c r="AB69" s="53"/>
      <c r="AC69" s="53" t="s">
        <v>1813</v>
      </c>
      <c r="AD69" s="53" t="s">
        <v>1814</v>
      </c>
      <c r="AE69" s="85">
        <f>IFERROR(__xludf.DUMMYFUNCTION("INDEX(SPLIT(SUBSTITUTE(AF69,CHAR(10), """"),"",:""), MATCH(Z69, SPLIT(SUBSTITUTE(AF69,CHAR(10), """"),"",:""), 0) + 1)"),5.0)</f>
        <v>5</v>
      </c>
      <c r="AF69" s="85" t="s">
        <v>2022</v>
      </c>
      <c r="AG69" s="53" t="s">
        <v>92</v>
      </c>
      <c r="AH69" s="53" t="s">
        <v>1993</v>
      </c>
      <c r="AI69" s="84">
        <v>1.0</v>
      </c>
      <c r="AJ69" s="84">
        <v>0.0</v>
      </c>
      <c r="AK69" s="87"/>
      <c r="AL69" s="81">
        <v>0.0</v>
      </c>
      <c r="AM69" s="87"/>
      <c r="AN69" s="81">
        <v>0.0</v>
      </c>
      <c r="AO69" s="90"/>
      <c r="AP69" s="81">
        <v>0.0</v>
      </c>
      <c r="AQ69" s="81">
        <v>0.0</v>
      </c>
      <c r="AR69" s="39"/>
      <c r="AS69" s="81">
        <v>0.0</v>
      </c>
      <c r="AT69" s="81">
        <v>0.0</v>
      </c>
      <c r="AU69" s="39"/>
      <c r="AV69" s="7" t="s">
        <v>2178</v>
      </c>
      <c r="AW69" s="82"/>
      <c r="AX69" s="82"/>
      <c r="AY69" s="7" t="s">
        <v>2179</v>
      </c>
      <c r="AZ69" s="7"/>
      <c r="BA69" s="7"/>
      <c r="BB69" s="7"/>
      <c r="BC69" s="7"/>
      <c r="BD69" s="7"/>
      <c r="BE69" s="7"/>
      <c r="BF69" s="7">
        <v>32120.0</v>
      </c>
      <c r="BG69" s="82">
        <f t="shared" ref="BG69:BG70" si="15">5075/BF69</f>
        <v>0.1580012453</v>
      </c>
      <c r="BH69" s="82"/>
      <c r="BI69" s="82"/>
      <c r="BJ69" s="82"/>
      <c r="BK69" s="82"/>
      <c r="BL69" s="82"/>
      <c r="BM69" s="82"/>
      <c r="BN69" s="7"/>
      <c r="BO69" s="7">
        <v>5.0</v>
      </c>
      <c r="BP69" s="82"/>
      <c r="BQ69" s="7"/>
      <c r="BR69" s="7" t="s">
        <v>23</v>
      </c>
    </row>
    <row r="70">
      <c r="A70" s="16">
        <v>14.0</v>
      </c>
      <c r="B70" s="16" t="s">
        <v>263</v>
      </c>
      <c r="C70" s="53">
        <v>2.0</v>
      </c>
      <c r="D70" s="53" t="s">
        <v>264</v>
      </c>
      <c r="E70" s="7">
        <v>158.0</v>
      </c>
      <c r="F70" s="53"/>
      <c r="G70" s="7"/>
      <c r="H70" s="16">
        <v>1.0</v>
      </c>
      <c r="I70" s="81">
        <v>1.0</v>
      </c>
      <c r="J70" s="39" t="s">
        <v>2170</v>
      </c>
      <c r="K70" s="53" t="s">
        <v>2171</v>
      </c>
      <c r="L70" s="91" t="s">
        <v>2172</v>
      </c>
      <c r="M70" s="39" t="str">
        <f t="shared" si="1"/>
        <v>[https://dl.acm.org/citation.cfm?id=2791187 Quick Kruskal algorithm (2006)]</v>
      </c>
      <c r="N70" s="39" t="s">
        <v>2180</v>
      </c>
      <c r="O70" s="81">
        <v>2006.0</v>
      </c>
      <c r="P70" s="28" t="s">
        <v>2181</v>
      </c>
      <c r="Q70" s="82"/>
      <c r="R70" s="82"/>
      <c r="S70" s="82"/>
      <c r="T70" s="81">
        <v>0.0</v>
      </c>
      <c r="U70" s="16">
        <v>0.0</v>
      </c>
      <c r="V70" s="89">
        <f>IFERROR(__xludf.DUMMYFUNCTION("INDEX(SPLIT(SUBSTITUTE(W70,CHAR(10), """"),"",:""), MATCH(Z70, SPLIT(SUBSTITUTE(W70,CHAR(10), """"),"",:""), 0) + 1)"),5.01)</f>
        <v>5.01</v>
      </c>
      <c r="W70" s="85" t="s">
        <v>2175</v>
      </c>
      <c r="X70" s="21" t="s">
        <v>2176</v>
      </c>
      <c r="Y70" s="53" t="s">
        <v>2177</v>
      </c>
      <c r="Z70" s="53" t="str">
        <f t="array" ref="Z70">INDEX(Problems!J:J, MATCH(1, (Problems!B:B=B70)*1, 0))</f>
        <v>V</v>
      </c>
      <c r="AA70" s="53"/>
      <c r="AB70" s="53"/>
      <c r="AC70" s="53" t="s">
        <v>1813</v>
      </c>
      <c r="AD70" s="53" t="s">
        <v>1814</v>
      </c>
      <c r="AE70" s="85">
        <f>IFERROR(__xludf.DUMMYFUNCTION("INDEX(SPLIT(SUBSTITUTE(AF70,CHAR(10), """"),"",:""), MATCH(Z70, SPLIT(SUBSTITUTE(AF70,CHAR(10), """"),"",:""), 0) + 1)"),5.0)</f>
        <v>5</v>
      </c>
      <c r="AF70" s="85" t="s">
        <v>2022</v>
      </c>
      <c r="AG70" s="53" t="s">
        <v>92</v>
      </c>
      <c r="AH70" s="53" t="s">
        <v>1993</v>
      </c>
      <c r="AI70" s="84">
        <v>1.0</v>
      </c>
      <c r="AJ70" s="84">
        <v>0.0</v>
      </c>
      <c r="AK70" s="87"/>
      <c r="AL70" s="81">
        <v>0.0</v>
      </c>
      <c r="AM70" s="87"/>
      <c r="AN70" s="81">
        <v>0.0</v>
      </c>
      <c r="AO70" s="90"/>
      <c r="AP70" s="81">
        <v>0.0</v>
      </c>
      <c r="AQ70" s="81">
        <v>0.0</v>
      </c>
      <c r="AR70" s="39"/>
      <c r="AS70" s="81">
        <v>0.0</v>
      </c>
      <c r="AT70" s="81">
        <v>0.0</v>
      </c>
      <c r="AU70" s="39"/>
      <c r="AV70" s="7" t="s">
        <v>2178</v>
      </c>
      <c r="AW70" s="82"/>
      <c r="AX70" s="82"/>
      <c r="AY70" s="7" t="s">
        <v>2179</v>
      </c>
      <c r="AZ70" s="7"/>
      <c r="BA70" s="7"/>
      <c r="BB70" s="7"/>
      <c r="BC70" s="7"/>
      <c r="BD70" s="7"/>
      <c r="BE70" s="7"/>
      <c r="BF70" s="7">
        <v>32120.0</v>
      </c>
      <c r="BG70" s="82">
        <f t="shared" si="15"/>
        <v>0.1580012453</v>
      </c>
      <c r="BH70" s="82"/>
      <c r="BI70" s="82"/>
      <c r="BJ70" s="82"/>
      <c r="BK70" s="82"/>
      <c r="BL70" s="82"/>
      <c r="BM70" s="82"/>
      <c r="BN70" s="7"/>
      <c r="BO70" s="7">
        <v>5.0</v>
      </c>
      <c r="BP70" s="82"/>
      <c r="BQ70" s="7"/>
      <c r="BR70" s="7" t="s">
        <v>23</v>
      </c>
    </row>
    <row r="71">
      <c r="A71" s="16">
        <v>14.0</v>
      </c>
      <c r="B71" s="16" t="s">
        <v>263</v>
      </c>
      <c r="C71" s="53">
        <v>2.0</v>
      </c>
      <c r="D71" s="53" t="s">
        <v>264</v>
      </c>
      <c r="E71" s="7">
        <v>162.0</v>
      </c>
      <c r="F71" s="53"/>
      <c r="G71" s="7"/>
      <c r="H71" s="16">
        <v>1.0</v>
      </c>
      <c r="I71" s="81">
        <v>1.0</v>
      </c>
      <c r="J71" s="39" t="s">
        <v>92</v>
      </c>
      <c r="K71" s="53" t="s">
        <v>2182</v>
      </c>
      <c r="L71" s="91" t="s">
        <v>2183</v>
      </c>
      <c r="M71" s="39" t="str">
        <f t="shared" si="1"/>
        <v>[http://cs.brown.edu/research/pubs/pdfs/1995/Karger-1995-RLT.pdf Karger; Klein &amp; Tarjan (1995)]</v>
      </c>
      <c r="N71" s="16" t="s">
        <v>2184</v>
      </c>
      <c r="O71" s="81">
        <v>1995.0</v>
      </c>
      <c r="P71" s="28" t="s">
        <v>2183</v>
      </c>
      <c r="Q71" s="7">
        <v>4.0</v>
      </c>
      <c r="R71" s="7">
        <v>1.0</v>
      </c>
      <c r="S71" s="47" t="s">
        <v>2183</v>
      </c>
      <c r="T71" s="81">
        <v>1.0</v>
      </c>
      <c r="U71" s="16" t="s">
        <v>1818</v>
      </c>
      <c r="V71" s="89">
        <f>IFERROR(__xludf.DUMMYFUNCTION("INDEX(SPLIT(SUBSTITUTE(W71,CHAR(10), """"),"",:""), MATCH(Z71, SPLIT(SUBSTITUTE(W71,CHAR(10), """"),"",:""), 0) + 1)"),5.0)</f>
        <v>5</v>
      </c>
      <c r="W71" s="85" t="s">
        <v>2185</v>
      </c>
      <c r="X71" s="21" t="s">
        <v>2186</v>
      </c>
      <c r="Y71" s="53" t="s">
        <v>2177</v>
      </c>
      <c r="Z71" s="53" t="str">
        <f t="array" ref="Z71">INDEX(Problems!J:J, MATCH(1, (Problems!B:B=B71)*1, 0))</f>
        <v>V</v>
      </c>
      <c r="AA71" s="53"/>
      <c r="AB71" s="53"/>
      <c r="AC71" s="53" t="s">
        <v>1813</v>
      </c>
      <c r="AD71" s="53" t="s">
        <v>1814</v>
      </c>
      <c r="AE71" s="85">
        <f>IFERROR(__xludf.DUMMYFUNCTION("INDEX(SPLIT(SUBSTITUTE(AF71,CHAR(10), """"),"",:""), MATCH(Z71, SPLIT(SUBSTITUTE(AF71,CHAR(10), """"),"",:""), 0) + 1)"),5.0)</f>
        <v>5</v>
      </c>
      <c r="AF71" s="85" t="s">
        <v>2022</v>
      </c>
      <c r="AG71" s="53" t="s">
        <v>92</v>
      </c>
      <c r="AH71" s="53" t="s">
        <v>1993</v>
      </c>
      <c r="AI71" s="84">
        <v>1.0</v>
      </c>
      <c r="AJ71" s="84">
        <v>0.0</v>
      </c>
      <c r="AK71" s="84"/>
      <c r="AL71" s="84">
        <v>1.0</v>
      </c>
      <c r="AM71" s="84" t="s">
        <v>2187</v>
      </c>
      <c r="AN71" s="81">
        <v>0.0</v>
      </c>
      <c r="AO71" s="90"/>
      <c r="AP71" s="81">
        <v>0.0</v>
      </c>
      <c r="AQ71" s="81">
        <v>0.0</v>
      </c>
      <c r="AR71" s="39"/>
      <c r="AS71" s="81">
        <v>0.0</v>
      </c>
      <c r="AT71" s="81">
        <v>0.0</v>
      </c>
      <c r="AU71" s="39"/>
      <c r="AV71" s="7" t="s">
        <v>2178</v>
      </c>
      <c r="AW71" s="82"/>
      <c r="AX71" s="82"/>
      <c r="AY71" s="7" t="s">
        <v>2179</v>
      </c>
      <c r="AZ71" s="7"/>
      <c r="BA71" s="7"/>
      <c r="BB71" s="7"/>
      <c r="BC71" s="7"/>
      <c r="BD71" s="7"/>
      <c r="BE71" s="7"/>
      <c r="BF71" s="7">
        <v>583.0</v>
      </c>
      <c r="BG71" s="82">
        <f>BF245/BF71</f>
        <v>8.704974271</v>
      </c>
      <c r="BH71" s="82">
        <f>POW(BG71,1/($O71-1940))-1</f>
        <v>0.04012774621</v>
      </c>
      <c r="BI71" s="82">
        <f>(7/12)*1000000</f>
        <v>583333.3333</v>
      </c>
      <c r="BJ71" s="82">
        <f>BI245/BI71</f>
        <v>18.66853416</v>
      </c>
      <c r="BK71" s="82">
        <f>POW(BJ71,1/($O71-1940))-1</f>
        <v>0.05465664879</v>
      </c>
      <c r="BL71" s="82">
        <f>(7/12)*1000000000</f>
        <v>583333333.3</v>
      </c>
      <c r="BM71" s="82">
        <f>BL245/BL71</f>
        <v>28.63431845</v>
      </c>
      <c r="BN71" s="82">
        <f>POW(BM71,1/($O71-1940))-1</f>
        <v>0.06289129891</v>
      </c>
      <c r="BO71" s="7">
        <v>5.0</v>
      </c>
      <c r="BP71" s="82"/>
      <c r="BQ71" s="7"/>
      <c r="BR71" s="7" t="s">
        <v>23</v>
      </c>
    </row>
    <row r="72">
      <c r="A72" s="16">
        <v>15.0</v>
      </c>
      <c r="B72" s="16" t="s">
        <v>291</v>
      </c>
      <c r="C72" s="53">
        <v>2.0</v>
      </c>
      <c r="D72" s="53" t="s">
        <v>2188</v>
      </c>
      <c r="E72" s="7">
        <v>164.0</v>
      </c>
      <c r="F72" s="53"/>
      <c r="G72" s="7"/>
      <c r="H72" s="16">
        <v>1.0</v>
      </c>
      <c r="I72" s="81">
        <v>1.0</v>
      </c>
      <c r="J72" s="21" t="s">
        <v>793</v>
      </c>
      <c r="K72" s="53" t="s">
        <v>1945</v>
      </c>
      <c r="L72" s="53" t="s">
        <v>1946</v>
      </c>
      <c r="M72" s="39" t="str">
        <f t="shared" si="1"/>
        <v>[- Naive Implementation (1975)]</v>
      </c>
      <c r="N72" s="39" t="s">
        <v>2189</v>
      </c>
      <c r="O72" s="83">
        <v>1975.0</v>
      </c>
      <c r="P72" s="39" t="s">
        <v>1937</v>
      </c>
      <c r="Q72" s="7">
        <v>1.0</v>
      </c>
      <c r="R72" s="7">
        <v>1.0</v>
      </c>
      <c r="S72" s="82"/>
      <c r="T72" s="81">
        <v>1.0</v>
      </c>
      <c r="U72" s="16">
        <v>0.0</v>
      </c>
      <c r="V72" s="89">
        <f>IFERROR(__xludf.DUMMYFUNCTION("INDEX(SPLIT(SUBSTITUTE(W72,CHAR(10), """"),"",:""), MATCH(Z72, SPLIT(SUBSTITUTE(W72,CHAR(10), """"),"",:""), 0) + 1)"),5.0)</f>
        <v>5</v>
      </c>
      <c r="W72" s="85" t="s">
        <v>2190</v>
      </c>
      <c r="X72" s="21" t="s">
        <v>793</v>
      </c>
      <c r="Y72" s="53" t="s">
        <v>2191</v>
      </c>
      <c r="Z72" s="53" t="str">
        <f t="array" ref="Z72">INDEX(Problems!J:J, MATCH(1, (Problems!B:B=B72)*1, 0))</f>
        <v>n</v>
      </c>
      <c r="AA72" s="53"/>
      <c r="AB72" s="53"/>
      <c r="AC72" s="53" t="s">
        <v>2152</v>
      </c>
      <c r="AD72" s="53" t="s">
        <v>1814</v>
      </c>
      <c r="AE72" s="85">
        <f>IFERROR(__xludf.DUMMYFUNCTION("INDEX(SPLIT(SUBSTITUTE(AF72,CHAR(10), """"),"",:""), MATCH(Z72, SPLIT(SUBSTITUTE(AF72,CHAR(10), """"),"",:""), 0) + 1)"),1.0)</f>
        <v>1</v>
      </c>
      <c r="AF72" s="85" t="s">
        <v>1774</v>
      </c>
      <c r="AG72" s="53" t="s">
        <v>34</v>
      </c>
      <c r="AH72" s="53" t="s">
        <v>1993</v>
      </c>
      <c r="AI72" s="84">
        <v>1.0</v>
      </c>
      <c r="AJ72" s="84">
        <v>0.0</v>
      </c>
      <c r="AK72" s="87"/>
      <c r="AL72" s="81">
        <v>0.0</v>
      </c>
      <c r="AM72" s="87"/>
      <c r="AN72" s="81">
        <v>0.0</v>
      </c>
      <c r="AO72" s="90"/>
      <c r="AP72" s="81">
        <v>0.0</v>
      </c>
      <c r="AQ72" s="81">
        <v>0.0</v>
      </c>
      <c r="AR72" s="39"/>
      <c r="AS72" s="81">
        <v>0.0</v>
      </c>
      <c r="AT72" s="81">
        <v>0.0</v>
      </c>
      <c r="AU72" s="39"/>
      <c r="AV72" s="7" t="s">
        <v>2192</v>
      </c>
      <c r="AW72" s="82"/>
      <c r="AX72" s="82"/>
      <c r="AY72" s="7"/>
      <c r="AZ72" s="7"/>
      <c r="BA72" s="7"/>
      <c r="BB72" s="7"/>
      <c r="BC72" s="7"/>
      <c r="BD72" s="7"/>
      <c r="BE72" s="7"/>
      <c r="BF72" s="7">
        <v>1000000.0</v>
      </c>
      <c r="BG72" s="82">
        <f>1000000/BF72</f>
        <v>1</v>
      </c>
      <c r="BH72" s="7"/>
      <c r="BI72" s="7">
        <v>1.0E12</v>
      </c>
      <c r="BJ72" s="7">
        <v>1.0</v>
      </c>
      <c r="BK72" s="7"/>
      <c r="BL72" s="7">
        <v>1.0E18</v>
      </c>
      <c r="BM72" s="7">
        <v>1.0</v>
      </c>
      <c r="BN72" s="7"/>
      <c r="BO72" s="7">
        <v>4.0</v>
      </c>
      <c r="BP72" s="82"/>
      <c r="BQ72" s="7"/>
      <c r="BR72" s="7" t="s">
        <v>196</v>
      </c>
    </row>
    <row r="73">
      <c r="A73" s="16">
        <v>20.0</v>
      </c>
      <c r="B73" s="16" t="s">
        <v>393</v>
      </c>
      <c r="C73" s="53">
        <v>2.0</v>
      </c>
      <c r="D73" s="53" t="s">
        <v>400</v>
      </c>
      <c r="E73" s="7">
        <v>209.0</v>
      </c>
      <c r="F73" s="53"/>
      <c r="G73" s="7"/>
      <c r="H73" s="16">
        <v>1.0</v>
      </c>
      <c r="I73" s="81">
        <v>1.0</v>
      </c>
      <c r="J73" s="39" t="s">
        <v>834</v>
      </c>
      <c r="K73" s="53" t="s">
        <v>2193</v>
      </c>
      <c r="L73" s="53"/>
      <c r="M73" s="39" t="str">
        <f t="shared" si="1"/>
        <v>[ Doolittle Algorithm (1878)]</v>
      </c>
      <c r="N73" s="16" t="s">
        <v>2194</v>
      </c>
      <c r="O73" s="84">
        <v>1878.0</v>
      </c>
      <c r="P73" s="39"/>
      <c r="Q73" s="7">
        <v>2.0</v>
      </c>
      <c r="R73" s="7">
        <v>1.0</v>
      </c>
      <c r="S73" s="47" t="s">
        <v>2195</v>
      </c>
      <c r="T73" s="81">
        <v>1.0</v>
      </c>
      <c r="U73" s="81">
        <v>0.0</v>
      </c>
      <c r="V73" s="89">
        <f>IFERROR(__xludf.DUMMYFUNCTION("INDEX(SPLIT(SUBSTITUTE(W73,CHAR(10), """"),"",:""), MATCH(Z73, SPLIT(SUBSTITUTE(W73,CHAR(10), """"),"",:""), 0) + 1)"),4.5)</f>
        <v>4.5</v>
      </c>
      <c r="W73" s="85" t="s">
        <v>2049</v>
      </c>
      <c r="X73" s="39" t="s">
        <v>834</v>
      </c>
      <c r="Y73" s="53" t="s">
        <v>2050</v>
      </c>
      <c r="Z73" s="53" t="str">
        <f t="array" ref="Z73">INDEX(Problems!J:J, MATCH(1, (Problems!B:B=B73)*(Problems!C:C=D73), 0))</f>
        <v>n^2</v>
      </c>
      <c r="AA73" s="53"/>
      <c r="AB73" s="53"/>
      <c r="AC73" s="53" t="s">
        <v>1813</v>
      </c>
      <c r="AD73" s="53" t="s">
        <v>1814</v>
      </c>
      <c r="AE73" s="85">
        <f>IFERROR(__xludf.DUMMYFUNCTION("INDEX(SPLIT(SUBSTITUTE(AF73,CHAR(10), """"),"",:""), MATCH(Z73, SPLIT(SUBSTITUTE(AF73,CHAR(10), """"),"",:""), 0) + 1)"),1.0)</f>
        <v>1</v>
      </c>
      <c r="AF73" s="85" t="s">
        <v>2051</v>
      </c>
      <c r="AG73" s="53" t="s">
        <v>2196</v>
      </c>
      <c r="AH73" s="53" t="s">
        <v>2197</v>
      </c>
      <c r="AI73" s="84">
        <v>1.0</v>
      </c>
      <c r="AJ73" s="84">
        <v>0.0</v>
      </c>
      <c r="AK73" s="87"/>
      <c r="AL73" s="81">
        <v>0.0</v>
      </c>
      <c r="AM73" s="87"/>
      <c r="AN73" s="81">
        <v>0.0</v>
      </c>
      <c r="AO73" s="90"/>
      <c r="AP73" s="81">
        <v>0.0</v>
      </c>
      <c r="AQ73" s="81">
        <v>0.0</v>
      </c>
      <c r="AR73" s="39"/>
      <c r="AS73" s="81">
        <v>0.0</v>
      </c>
      <c r="AT73" s="81">
        <v>0.0</v>
      </c>
      <c r="AU73" s="39"/>
      <c r="AV73" s="7" t="s">
        <v>2198</v>
      </c>
      <c r="AW73" s="82"/>
      <c r="AX73" s="82"/>
      <c r="AY73" s="7"/>
      <c r="AZ73" s="7"/>
      <c r="BA73" s="7"/>
      <c r="BB73" s="7"/>
      <c r="BC73" s="7"/>
      <c r="BD73" s="7"/>
      <c r="BE73" s="7"/>
      <c r="BF73" s="7">
        <v>1.0E9</v>
      </c>
      <c r="BG73" s="82">
        <f t="shared" ref="BG73:BG75" si="16">1000000000/BF73</f>
        <v>1</v>
      </c>
      <c r="BH73" s="7"/>
      <c r="BI73" s="7">
        <v>1.0E18</v>
      </c>
      <c r="BJ73" s="7">
        <v>1.0</v>
      </c>
      <c r="BK73" s="82"/>
      <c r="BL73" s="82">
        <f>POW(1000000000,3)</f>
        <v>1E+27</v>
      </c>
      <c r="BM73" s="7">
        <v>1.0</v>
      </c>
      <c r="BN73" s="7"/>
      <c r="BO73" s="7">
        <v>3.0</v>
      </c>
      <c r="BP73" s="7" t="s">
        <v>2199</v>
      </c>
      <c r="BQ73" s="7"/>
      <c r="BR73" s="7" t="s">
        <v>144</v>
      </c>
    </row>
    <row r="74">
      <c r="A74" s="16">
        <v>20.0</v>
      </c>
      <c r="B74" s="16" t="s">
        <v>393</v>
      </c>
      <c r="C74" s="53">
        <v>2.0</v>
      </c>
      <c r="D74" s="53" t="s">
        <v>400</v>
      </c>
      <c r="E74" s="7">
        <v>210.0</v>
      </c>
      <c r="F74" s="53"/>
      <c r="G74" s="7"/>
      <c r="H74" s="16">
        <v>1.0</v>
      </c>
      <c r="I74" s="81">
        <v>1.0</v>
      </c>
      <c r="J74" s="39" t="s">
        <v>834</v>
      </c>
      <c r="K74" s="53"/>
      <c r="L74" s="53"/>
      <c r="M74" s="39" t="str">
        <f t="shared" si="1"/>
        <v>[https://en.wikipedia.org/wiki/Crout_matrix_decomposition Crout and LUP algorithms (2007)]</v>
      </c>
      <c r="N74" s="39" t="s">
        <v>2200</v>
      </c>
      <c r="O74" s="84">
        <v>2007.0</v>
      </c>
      <c r="P74" s="25" t="s">
        <v>2201</v>
      </c>
      <c r="Q74" s="82"/>
      <c r="R74" s="82"/>
      <c r="S74" s="82"/>
      <c r="T74" s="81">
        <v>0.0</v>
      </c>
      <c r="U74" s="81">
        <v>0.0</v>
      </c>
      <c r="V74" s="89">
        <f>IFERROR(__xludf.DUMMYFUNCTION("INDEX(SPLIT(SUBSTITUTE(W74,CHAR(10), """"),"",:""), MATCH(Z74, SPLIT(SUBSTITUTE(W74,CHAR(10), """"),"",:""), 0) + 1)"),4.5)</f>
        <v>4.5</v>
      </c>
      <c r="W74" s="85" t="s">
        <v>2049</v>
      </c>
      <c r="X74" s="39" t="s">
        <v>834</v>
      </c>
      <c r="Y74" s="53" t="s">
        <v>2050</v>
      </c>
      <c r="Z74" s="53" t="str">
        <f t="array" ref="Z74">INDEX(Problems!J:J, MATCH(1, (Problems!B:B=B74)*(Problems!C:C=D74), 0))</f>
        <v>n^2</v>
      </c>
      <c r="AA74" s="53"/>
      <c r="AB74" s="53"/>
      <c r="AC74" s="53" t="s">
        <v>1813</v>
      </c>
      <c r="AD74" s="53" t="s">
        <v>1814</v>
      </c>
      <c r="AE74" s="85">
        <f>IFERROR(__xludf.DUMMYFUNCTION("INDEX(SPLIT(SUBSTITUTE(AF74,CHAR(10), """"),"",:""), MATCH(Z74, SPLIT(SUBSTITUTE(AF74,CHAR(10), """"),"",:""), 0) + 1)"),1.0)</f>
        <v>1</v>
      </c>
      <c r="AF74" s="85" t="s">
        <v>2051</v>
      </c>
      <c r="AG74" s="53" t="s">
        <v>2196</v>
      </c>
      <c r="AH74" s="53" t="s">
        <v>2197</v>
      </c>
      <c r="AI74" s="84">
        <v>1.0</v>
      </c>
      <c r="AJ74" s="84">
        <v>0.0</v>
      </c>
      <c r="AK74" s="87"/>
      <c r="AL74" s="81">
        <v>0.0</v>
      </c>
      <c r="AM74" s="87"/>
      <c r="AN74" s="81">
        <v>0.0</v>
      </c>
      <c r="AO74" s="90"/>
      <c r="AP74" s="81">
        <v>0.0</v>
      </c>
      <c r="AQ74" s="81">
        <v>0.0</v>
      </c>
      <c r="AR74" s="39"/>
      <c r="AS74" s="81">
        <v>0.0</v>
      </c>
      <c r="AT74" s="81">
        <v>0.0</v>
      </c>
      <c r="AU74" s="39"/>
      <c r="AV74" s="7" t="s">
        <v>2198</v>
      </c>
      <c r="AW74" s="82"/>
      <c r="AX74" s="82"/>
      <c r="AY74" s="7"/>
      <c r="AZ74" s="7"/>
      <c r="BA74" s="7"/>
      <c r="BB74" s="7"/>
      <c r="BC74" s="7"/>
      <c r="BD74" s="7"/>
      <c r="BE74" s="7"/>
      <c r="BF74" s="7">
        <v>1.0E9</v>
      </c>
      <c r="BG74" s="82">
        <f t="shared" si="16"/>
        <v>1</v>
      </c>
      <c r="BH74" s="82"/>
      <c r="BI74" s="82"/>
      <c r="BJ74" s="82"/>
      <c r="BK74" s="82"/>
      <c r="BL74" s="82"/>
      <c r="BM74" s="82"/>
      <c r="BN74" s="7"/>
      <c r="BO74" s="7">
        <v>3.0</v>
      </c>
      <c r="BP74" s="7" t="s">
        <v>2202</v>
      </c>
      <c r="BQ74" s="7"/>
      <c r="BR74" s="7" t="s">
        <v>144</v>
      </c>
    </row>
    <row r="75">
      <c r="A75" s="16">
        <v>20.0</v>
      </c>
      <c r="B75" s="16" t="s">
        <v>393</v>
      </c>
      <c r="C75" s="53">
        <v>2.0</v>
      </c>
      <c r="D75" s="53" t="s">
        <v>400</v>
      </c>
      <c r="E75" s="7">
        <v>215.0</v>
      </c>
      <c r="F75" s="53"/>
      <c r="G75" s="7"/>
      <c r="H75" s="16">
        <v>1.0</v>
      </c>
      <c r="I75" s="81">
        <v>0.0</v>
      </c>
      <c r="J75" s="21" t="s">
        <v>834</v>
      </c>
      <c r="K75" s="53"/>
      <c r="L75" s="53"/>
      <c r="M75" s="39" t="str">
        <f t="shared" si="1"/>
        <v>[https://arxiv.org/abs/math/0506382 Okunev; Johnson (1997)]</v>
      </c>
      <c r="N75" s="16" t="s">
        <v>2203</v>
      </c>
      <c r="O75" s="81">
        <v>1997.0</v>
      </c>
      <c r="P75" s="17" t="s">
        <v>396</v>
      </c>
      <c r="Q75" s="82"/>
      <c r="R75" s="82"/>
      <c r="S75" s="82"/>
      <c r="T75" s="81">
        <v>0.0</v>
      </c>
      <c r="U75" s="81">
        <v>0.0</v>
      </c>
      <c r="V75" s="84">
        <v>6.0</v>
      </c>
      <c r="W75" s="85" t="s">
        <v>2049</v>
      </c>
      <c r="X75" s="90" t="s">
        <v>834</v>
      </c>
      <c r="Y75" s="53" t="s">
        <v>2050</v>
      </c>
      <c r="Z75" s="53" t="str">
        <f t="array" ref="Z75">INDEX(Problems!J:J, MATCH(1, (Problems!B:B=B75)*(Problems!C:C=D75), 0))</f>
        <v>n^2</v>
      </c>
      <c r="AA75" s="53"/>
      <c r="AB75" s="53"/>
      <c r="AC75" s="53" t="s">
        <v>1813</v>
      </c>
      <c r="AD75" s="53" t="s">
        <v>1814</v>
      </c>
      <c r="AE75" s="85">
        <f>IFERROR(__xludf.DUMMYFUNCTION("INDEX(SPLIT(SUBSTITUTE(AF75,CHAR(10), """"),"",:""), MATCH(Z75, SPLIT(SUBSTITUTE(AF75,CHAR(10), """"),"",:""), 0) + 1)"),1.0)</f>
        <v>1</v>
      </c>
      <c r="AF75" s="85" t="s">
        <v>2051</v>
      </c>
      <c r="AG75" s="53" t="s">
        <v>939</v>
      </c>
      <c r="AH75" s="53" t="s">
        <v>2204</v>
      </c>
      <c r="AI75" s="84">
        <v>1.0</v>
      </c>
      <c r="AJ75" s="84">
        <v>0.0</v>
      </c>
      <c r="AK75" s="87"/>
      <c r="AL75" s="81">
        <v>0.0</v>
      </c>
      <c r="AM75" s="87"/>
      <c r="AN75" s="81">
        <v>0.0</v>
      </c>
      <c r="AO75" s="90"/>
      <c r="AP75" s="81">
        <v>0.0</v>
      </c>
      <c r="AQ75" s="81">
        <v>0.0</v>
      </c>
      <c r="AR75" s="39"/>
      <c r="AS75" s="81">
        <v>0.0</v>
      </c>
      <c r="AT75" s="81">
        <v>0.0</v>
      </c>
      <c r="AU75" s="39"/>
      <c r="AV75" s="7" t="s">
        <v>2198</v>
      </c>
      <c r="AW75" s="82"/>
      <c r="AX75" s="82"/>
      <c r="AY75" s="7"/>
      <c r="AZ75" s="7"/>
      <c r="BA75" s="7"/>
      <c r="BB75" s="7"/>
      <c r="BC75" s="7"/>
      <c r="BD75" s="7"/>
      <c r="BE75" s="7"/>
      <c r="BF75" s="7">
        <v>9965.0</v>
      </c>
      <c r="BG75" s="82">
        <f t="shared" si="16"/>
        <v>100351.2293</v>
      </c>
      <c r="BH75" s="82"/>
      <c r="BI75" s="82"/>
      <c r="BJ75" s="82"/>
      <c r="BK75" s="82"/>
      <c r="BL75" s="82"/>
      <c r="BM75" s="82"/>
      <c r="BN75" s="7"/>
      <c r="BO75" s="7">
        <v>3.0</v>
      </c>
      <c r="BP75" s="82"/>
      <c r="BQ75" s="7"/>
      <c r="BR75" s="7" t="s">
        <v>144</v>
      </c>
    </row>
    <row r="76">
      <c r="A76" s="16">
        <v>21.0</v>
      </c>
      <c r="B76" s="16" t="s">
        <v>402</v>
      </c>
      <c r="C76" s="53">
        <v>2.0</v>
      </c>
      <c r="D76" s="53" t="s">
        <v>402</v>
      </c>
      <c r="E76" s="7">
        <v>217.0</v>
      </c>
      <c r="F76" s="53"/>
      <c r="G76" s="7"/>
      <c r="H76" s="16">
        <v>1.0</v>
      </c>
      <c r="I76" s="81">
        <v>1.0</v>
      </c>
      <c r="J76" s="39" t="s">
        <v>408</v>
      </c>
      <c r="K76" s="53"/>
      <c r="L76" s="53"/>
      <c r="M76" s="39" t="str">
        <f t="shared" si="1"/>
        <v>[https://ieeexplore.ieee.org/document/4082128/ A* Algorithm (1968)]</v>
      </c>
      <c r="N76" s="39" t="s">
        <v>2205</v>
      </c>
      <c r="O76" s="81">
        <v>1968.0</v>
      </c>
      <c r="P76" s="17" t="s">
        <v>2206</v>
      </c>
      <c r="Q76" s="82"/>
      <c r="R76" s="82"/>
      <c r="S76" s="82"/>
      <c r="T76" s="81">
        <v>0.0</v>
      </c>
      <c r="U76" s="16">
        <v>0.0</v>
      </c>
      <c r="V76" s="89">
        <f>IFERROR(__xludf.DUMMYFUNCTION("INDEX(SPLIT(SUBSTITUTE(W76,CHAR(10), """"),"",:""), MATCH(Z76, SPLIT(SUBSTITUTE(W76,CHAR(10), """"),"",:""), 0) + 1)"),8.0)</f>
        <v>8</v>
      </c>
      <c r="W76" s="85" t="s">
        <v>2207</v>
      </c>
      <c r="X76" s="39" t="s">
        <v>408</v>
      </c>
      <c r="Y76" s="53" t="s">
        <v>2208</v>
      </c>
      <c r="Z76" s="53" t="str">
        <f t="array" ref="Z76">INDEX(Problems!J:J, MATCH(1, (Problems!B:B=B76)*1, 0))</f>
        <v>d</v>
      </c>
      <c r="AA76" s="53"/>
      <c r="AB76" s="53"/>
      <c r="AC76" s="53"/>
      <c r="AD76" s="53"/>
      <c r="AE76" s="85">
        <f>IFERROR(__xludf.DUMMYFUNCTION("INDEX(SPLIT(SUBSTITUTE(AF76,CHAR(10), """"),"",:""), MATCH(Z76, SPLIT(SUBSTITUTE(AF76,CHAR(10), """"),"",:""), 0) + 1)"),8.0)</f>
        <v>8</v>
      </c>
      <c r="AF76" s="85" t="s">
        <v>2207</v>
      </c>
      <c r="AG76" s="53" t="s">
        <v>408</v>
      </c>
      <c r="AH76" s="86" t="s">
        <v>2209</v>
      </c>
      <c r="AI76" s="84">
        <v>1.0</v>
      </c>
      <c r="AJ76" s="84">
        <v>0.0</v>
      </c>
      <c r="AK76" s="87"/>
      <c r="AL76" s="81">
        <v>0.0</v>
      </c>
      <c r="AM76" s="87"/>
      <c r="AN76" s="81">
        <v>0.0</v>
      </c>
      <c r="AO76" s="90"/>
      <c r="AP76" s="81">
        <v>1.0</v>
      </c>
      <c r="AQ76" s="81">
        <v>0.0</v>
      </c>
      <c r="AR76" s="39"/>
      <c r="AS76" s="81">
        <v>0.0</v>
      </c>
      <c r="AT76" s="81">
        <v>0.0</v>
      </c>
      <c r="AU76" s="25" t="s">
        <v>2210</v>
      </c>
      <c r="AV76" s="7" t="s">
        <v>2211</v>
      </c>
      <c r="AW76" s="82"/>
      <c r="AX76" s="82"/>
      <c r="AY76" s="7"/>
      <c r="AZ76" s="7"/>
      <c r="BA76" s="7"/>
      <c r="BB76" s="7"/>
      <c r="BC76" s="7"/>
      <c r="BD76" s="7"/>
      <c r="BE76" s="7"/>
      <c r="BF76" s="7" t="s">
        <v>1781</v>
      </c>
      <c r="BG76" s="7">
        <v>1.0</v>
      </c>
      <c r="BH76" s="82"/>
      <c r="BI76" s="82"/>
      <c r="BJ76" s="82"/>
      <c r="BK76" s="82"/>
      <c r="BL76" s="82"/>
      <c r="BM76" s="82"/>
      <c r="BN76" s="7"/>
      <c r="BO76" s="7">
        <v>1.0</v>
      </c>
      <c r="BP76" s="82"/>
      <c r="BQ76" s="7"/>
      <c r="BR76" s="7" t="s">
        <v>411</v>
      </c>
    </row>
    <row r="77">
      <c r="A77" s="16">
        <v>21.0</v>
      </c>
      <c r="B77" s="16" t="s">
        <v>402</v>
      </c>
      <c r="C77" s="53">
        <v>2.0</v>
      </c>
      <c r="D77" s="53" t="s">
        <v>402</v>
      </c>
      <c r="E77" s="7">
        <v>218.0</v>
      </c>
      <c r="F77" s="53"/>
      <c r="G77" s="7"/>
      <c r="H77" s="16">
        <v>1.0</v>
      </c>
      <c r="I77" s="81">
        <v>1.0</v>
      </c>
      <c r="J77" s="16" t="s">
        <v>2212</v>
      </c>
      <c r="K77" s="53"/>
      <c r="L77" s="86" t="s">
        <v>2213</v>
      </c>
      <c r="M77" s="39" t="str">
        <f t="shared" si="1"/>
        <v>[https://www.cs.princeton.edu/courses/archive/spr06/cos423/Handouts/EPP%20shortest%20path%20algorithms.pdf Bidirectional A* Algorithm (2007)]</v>
      </c>
      <c r="N77" s="39" t="s">
        <v>2214</v>
      </c>
      <c r="O77" s="81">
        <v>2007.0</v>
      </c>
      <c r="P77" s="25" t="s">
        <v>2215</v>
      </c>
      <c r="Q77" s="7">
        <v>2.0</v>
      </c>
      <c r="R77" s="7">
        <v>1.0</v>
      </c>
      <c r="S77" s="114" t="s">
        <v>2216</v>
      </c>
      <c r="T77" s="81">
        <v>1.0</v>
      </c>
      <c r="U77" s="16">
        <v>0.0</v>
      </c>
      <c r="V77" s="89">
        <f>IFERROR(__xludf.DUMMYFUNCTION("INDEX(SPLIT(SUBSTITUTE(W77,CHAR(10), """"),"",:""), MATCH(Z77, SPLIT(SUBSTITUTE(W77,CHAR(10), """"),"",:""), 0) + 1)"),8.0)</f>
        <v>8</v>
      </c>
      <c r="W77" s="85" t="s">
        <v>2207</v>
      </c>
      <c r="X77" s="16" t="s">
        <v>2217</v>
      </c>
      <c r="Y77" s="53" t="s">
        <v>2208</v>
      </c>
      <c r="Z77" s="53" t="str">
        <f t="array" ref="Z77">INDEX(Problems!J:J, MATCH(1, (Problems!B:B=B77)*1, 0))</f>
        <v>d</v>
      </c>
      <c r="AA77" s="53"/>
      <c r="AB77" s="53"/>
      <c r="AC77" s="53"/>
      <c r="AD77" s="53"/>
      <c r="AE77" s="85">
        <f>IFERROR(__xludf.DUMMYFUNCTION("INDEX(SPLIT(SUBSTITUTE(AF77,CHAR(10), """"),"",:""), MATCH(Z77, SPLIT(SUBSTITUTE(AF77,CHAR(10), """"),"",:""), 0) + 1)"),8.0)</f>
        <v>8</v>
      </c>
      <c r="AF77" s="85" t="s">
        <v>2207</v>
      </c>
      <c r="AG77" s="21" t="s">
        <v>2212</v>
      </c>
      <c r="AH77" s="53" t="s">
        <v>2218</v>
      </c>
      <c r="AI77" s="84">
        <v>1.0</v>
      </c>
      <c r="AJ77" s="84">
        <v>0.0</v>
      </c>
      <c r="AK77" s="87"/>
      <c r="AL77" s="81">
        <v>0.0</v>
      </c>
      <c r="AM77" s="87"/>
      <c r="AN77" s="81">
        <v>0.0</v>
      </c>
      <c r="AO77" s="90"/>
      <c r="AP77" s="81">
        <v>1.0</v>
      </c>
      <c r="AQ77" s="81">
        <v>0.0</v>
      </c>
      <c r="AR77" s="39"/>
      <c r="AS77" s="81">
        <v>0.0</v>
      </c>
      <c r="AT77" s="81">
        <v>0.0</v>
      </c>
      <c r="AU77" s="25" t="s">
        <v>2219</v>
      </c>
      <c r="AV77" s="7" t="s">
        <v>2211</v>
      </c>
      <c r="AW77" s="82"/>
      <c r="AX77" s="82"/>
      <c r="AY77" s="7"/>
      <c r="AZ77" s="7"/>
      <c r="BA77" s="7"/>
      <c r="BB77" s="7"/>
      <c r="BC77" s="7"/>
      <c r="BD77" s="7"/>
      <c r="BE77" s="7"/>
      <c r="BF77" s="7" t="s">
        <v>1781</v>
      </c>
      <c r="BG77" s="7">
        <v>1.0</v>
      </c>
      <c r="BH77" s="7"/>
      <c r="BI77" s="7" t="s">
        <v>1781</v>
      </c>
      <c r="BJ77" s="7">
        <v>1.0</v>
      </c>
      <c r="BK77" s="7"/>
      <c r="BL77" s="7" t="s">
        <v>1781</v>
      </c>
      <c r="BM77" s="7">
        <v>1.0</v>
      </c>
      <c r="BN77" s="7"/>
      <c r="BO77" s="7">
        <v>1.0</v>
      </c>
      <c r="BP77" s="82"/>
      <c r="BQ77" s="7"/>
      <c r="BR77" s="7" t="s">
        <v>411</v>
      </c>
    </row>
    <row r="78">
      <c r="A78" s="16">
        <v>21.0</v>
      </c>
      <c r="B78" s="16" t="s">
        <v>402</v>
      </c>
      <c r="C78" s="53">
        <v>2.0</v>
      </c>
      <c r="D78" s="53" t="s">
        <v>402</v>
      </c>
      <c r="E78" s="7">
        <v>224.0</v>
      </c>
      <c r="F78" s="53"/>
      <c r="G78" s="7"/>
      <c r="H78" s="16">
        <v>1.0</v>
      </c>
      <c r="I78" s="81">
        <v>1.0</v>
      </c>
      <c r="J78" s="39" t="s">
        <v>408</v>
      </c>
      <c r="K78" s="53"/>
      <c r="L78" s="53"/>
      <c r="M78" s="39" t="str">
        <f t="shared" si="1"/>
        <v>[http://idm-lab.org/bib/abstracts/papers/aamas09d.pdf Fringe Saving A* (FSA*) (2008)]</v>
      </c>
      <c r="N78" s="16" t="s">
        <v>2220</v>
      </c>
      <c r="O78" s="81">
        <v>2008.0</v>
      </c>
      <c r="P78" s="25" t="s">
        <v>2221</v>
      </c>
      <c r="Q78" s="82"/>
      <c r="R78" s="82"/>
      <c r="S78" s="82"/>
      <c r="T78" s="81">
        <v>0.0</v>
      </c>
      <c r="U78" s="16">
        <v>0.0</v>
      </c>
      <c r="V78" s="89">
        <f>IFERROR(__xludf.DUMMYFUNCTION("INDEX(SPLIT(SUBSTITUTE(W78,CHAR(10), """"),"",:""), MATCH(Z78, SPLIT(SUBSTITUTE(W78,CHAR(10), """"),"",:""), 0) + 1)"),8.0)</f>
        <v>8</v>
      </c>
      <c r="W78" s="85" t="s">
        <v>2207</v>
      </c>
      <c r="X78" s="16" t="s">
        <v>2222</v>
      </c>
      <c r="Y78" s="53" t="s">
        <v>2208</v>
      </c>
      <c r="Z78" s="53" t="str">
        <f t="array" ref="Z78">INDEX(Problems!J:J, MATCH(1, (Problems!B:B=B78)*1, 0))</f>
        <v>d</v>
      </c>
      <c r="AA78" s="53"/>
      <c r="AB78" s="53"/>
      <c r="AC78" s="53"/>
      <c r="AD78" s="53"/>
      <c r="AE78" s="85">
        <f>IFERROR(__xludf.DUMMYFUNCTION("INDEX(SPLIT(SUBSTITUTE(AF78,CHAR(10), """"),"",:""), MATCH(Z78, SPLIT(SUBSTITUTE(AF78,CHAR(10), """"),"",:""), 0) + 1)"),8.0)</f>
        <v>8</v>
      </c>
      <c r="AF78" s="85" t="s">
        <v>2207</v>
      </c>
      <c r="AG78" s="53" t="s">
        <v>408</v>
      </c>
      <c r="AH78" s="53" t="s">
        <v>2218</v>
      </c>
      <c r="AI78" s="84">
        <v>1.0</v>
      </c>
      <c r="AJ78" s="84">
        <v>0.0</v>
      </c>
      <c r="AK78" s="87"/>
      <c r="AL78" s="81">
        <v>0.0</v>
      </c>
      <c r="AM78" s="87"/>
      <c r="AN78" s="81">
        <v>0.0</v>
      </c>
      <c r="AO78" s="90"/>
      <c r="AP78" s="81">
        <v>1.0</v>
      </c>
      <c r="AQ78" s="81">
        <v>0.0</v>
      </c>
      <c r="AR78" s="39"/>
      <c r="AS78" s="81">
        <v>0.0</v>
      </c>
      <c r="AT78" s="81">
        <v>0.0</v>
      </c>
      <c r="AU78" s="39"/>
      <c r="AV78" s="7" t="s">
        <v>2211</v>
      </c>
      <c r="AW78" s="82"/>
      <c r="AX78" s="82"/>
      <c r="AY78" s="7"/>
      <c r="AZ78" s="7"/>
      <c r="BA78" s="7"/>
      <c r="BB78" s="7"/>
      <c r="BC78" s="7"/>
      <c r="BD78" s="7"/>
      <c r="BE78" s="7"/>
      <c r="BF78" s="7" t="s">
        <v>1781</v>
      </c>
      <c r="BG78" s="7">
        <v>1.0</v>
      </c>
      <c r="BH78" s="82"/>
      <c r="BI78" s="82"/>
      <c r="BJ78" s="82"/>
      <c r="BK78" s="82"/>
      <c r="BL78" s="82"/>
      <c r="BM78" s="82"/>
      <c r="BN78" s="7"/>
      <c r="BO78" s="7">
        <v>1.0</v>
      </c>
      <c r="BP78" s="82"/>
      <c r="BQ78" s="7"/>
      <c r="BR78" s="7" t="s">
        <v>411</v>
      </c>
    </row>
    <row r="79">
      <c r="A79" s="16">
        <v>21.0</v>
      </c>
      <c r="B79" s="16" t="s">
        <v>402</v>
      </c>
      <c r="C79" s="53">
        <v>2.0</v>
      </c>
      <c r="D79" s="53" t="s">
        <v>402</v>
      </c>
      <c r="E79" s="7">
        <v>225.0</v>
      </c>
      <c r="F79" s="53"/>
      <c r="G79" s="7"/>
      <c r="H79" s="16">
        <v>1.0</v>
      </c>
      <c r="I79" s="81">
        <v>1.0</v>
      </c>
      <c r="J79" s="39" t="s">
        <v>408</v>
      </c>
      <c r="K79" s="53"/>
      <c r="L79" s="53"/>
      <c r="M79" s="39" t="str">
        <f t="shared" si="1"/>
        <v>[http://idm-lab.org/bib/abstracts/papers/aamas08b.pdf Generalized Adaptive A* (GAA*) (2008)]</v>
      </c>
      <c r="N79" s="16" t="s">
        <v>2223</v>
      </c>
      <c r="O79" s="81">
        <v>2008.0</v>
      </c>
      <c r="P79" s="25" t="s">
        <v>2224</v>
      </c>
      <c r="Q79" s="82"/>
      <c r="R79" s="82"/>
      <c r="S79" s="82"/>
      <c r="T79" s="81">
        <v>0.0</v>
      </c>
      <c r="U79" s="16">
        <v>0.0</v>
      </c>
      <c r="V79" s="89">
        <f>IFERROR(__xludf.DUMMYFUNCTION("INDEX(SPLIT(SUBSTITUTE(W79,CHAR(10), """"),"",:""), MATCH(Z79, SPLIT(SUBSTITUTE(W79,CHAR(10), """"),"",:""), 0) + 1)"),8.0)</f>
        <v>8</v>
      </c>
      <c r="W79" s="85" t="s">
        <v>2207</v>
      </c>
      <c r="X79" s="16" t="s">
        <v>2222</v>
      </c>
      <c r="Y79" s="53" t="s">
        <v>2208</v>
      </c>
      <c r="Z79" s="53" t="str">
        <f t="array" ref="Z79">INDEX(Problems!J:J, MATCH(1, (Problems!B:B=B79)*1, 0))</f>
        <v>d</v>
      </c>
      <c r="AA79" s="53"/>
      <c r="AB79" s="53"/>
      <c r="AC79" s="53"/>
      <c r="AD79" s="53"/>
      <c r="AE79" s="85">
        <f>IFERROR(__xludf.DUMMYFUNCTION("INDEX(SPLIT(SUBSTITUTE(AF79,CHAR(10), """"),"",:""), MATCH(Z79, SPLIT(SUBSTITUTE(AF79,CHAR(10), """"),"",:""), 0) + 1)"),8.0)</f>
        <v>8</v>
      </c>
      <c r="AF79" s="85" t="s">
        <v>2207</v>
      </c>
      <c r="AG79" s="53" t="s">
        <v>408</v>
      </c>
      <c r="AH79" s="53" t="s">
        <v>2218</v>
      </c>
      <c r="AI79" s="84">
        <v>1.0</v>
      </c>
      <c r="AJ79" s="84">
        <v>0.0</v>
      </c>
      <c r="AK79" s="87"/>
      <c r="AL79" s="81">
        <v>0.0</v>
      </c>
      <c r="AM79" s="87"/>
      <c r="AN79" s="81">
        <v>0.0</v>
      </c>
      <c r="AO79" s="90"/>
      <c r="AP79" s="81">
        <v>1.0</v>
      </c>
      <c r="AQ79" s="81">
        <v>0.0</v>
      </c>
      <c r="AR79" s="39"/>
      <c r="AS79" s="81">
        <v>0.0</v>
      </c>
      <c r="AT79" s="81">
        <v>0.0</v>
      </c>
      <c r="AU79" s="39"/>
      <c r="AV79" s="7" t="s">
        <v>2211</v>
      </c>
      <c r="AW79" s="82"/>
      <c r="AX79" s="82"/>
      <c r="AY79" s="7"/>
      <c r="AZ79" s="7"/>
      <c r="BA79" s="7"/>
      <c r="BB79" s="7"/>
      <c r="BC79" s="7"/>
      <c r="BD79" s="7"/>
      <c r="BE79" s="7"/>
      <c r="BF79" s="7" t="s">
        <v>1781</v>
      </c>
      <c r="BG79" s="7">
        <v>1.0</v>
      </c>
      <c r="BH79" s="82"/>
      <c r="BI79" s="82"/>
      <c r="BJ79" s="82"/>
      <c r="BK79" s="82"/>
      <c r="BL79" s="82"/>
      <c r="BM79" s="82"/>
      <c r="BN79" s="7"/>
      <c r="BO79" s="7">
        <v>1.0</v>
      </c>
      <c r="BP79" s="82"/>
      <c r="BQ79" s="7"/>
      <c r="BR79" s="7" t="s">
        <v>411</v>
      </c>
    </row>
    <row r="80">
      <c r="A80" s="16">
        <v>21.0</v>
      </c>
      <c r="B80" s="16" t="s">
        <v>402</v>
      </c>
      <c r="C80" s="53">
        <v>2.0</v>
      </c>
      <c r="D80" s="53" t="s">
        <v>402</v>
      </c>
      <c r="E80" s="7">
        <v>226.0</v>
      </c>
      <c r="F80" s="53"/>
      <c r="G80" s="7"/>
      <c r="H80" s="16">
        <v>1.0</v>
      </c>
      <c r="I80" s="81">
        <v>1.0</v>
      </c>
      <c r="J80" s="39" t="s">
        <v>408</v>
      </c>
      <c r="K80" s="53"/>
      <c r="L80" s="53"/>
      <c r="M80" s="39" t="str">
        <f t="shared" si="1"/>
        <v>[https://linkinghub.elsevier.com/retrieve/pii/0004370285900840 Iterative Deepening A* (IDA*) (1985)]</v>
      </c>
      <c r="N80" s="16" t="s">
        <v>2225</v>
      </c>
      <c r="O80" s="83">
        <v>1985.0</v>
      </c>
      <c r="P80" s="25" t="s">
        <v>2226</v>
      </c>
      <c r="Q80" s="82"/>
      <c r="R80" s="82"/>
      <c r="S80" s="82"/>
      <c r="T80" s="81">
        <v>0.0</v>
      </c>
      <c r="U80" s="16">
        <v>0.0</v>
      </c>
      <c r="V80" s="89">
        <f>IFERROR(__xludf.DUMMYFUNCTION("INDEX(SPLIT(SUBSTITUTE(W80,CHAR(10), """"),"",:""), MATCH(Z80, SPLIT(SUBSTITUTE(W80,CHAR(10), """"),"",:""), 0) + 1)"),8.0)</f>
        <v>8</v>
      </c>
      <c r="W80" s="85" t="s">
        <v>2207</v>
      </c>
      <c r="X80" s="16" t="s">
        <v>2222</v>
      </c>
      <c r="Y80" s="53" t="s">
        <v>2208</v>
      </c>
      <c r="Z80" s="53" t="str">
        <f t="array" ref="Z80">INDEX(Problems!J:J, MATCH(1, (Problems!B:B=B80)*1, 0))</f>
        <v>d</v>
      </c>
      <c r="AA80" s="53"/>
      <c r="AB80" s="53"/>
      <c r="AC80" s="53"/>
      <c r="AD80" s="53"/>
      <c r="AE80" s="85">
        <f>IFERROR(__xludf.DUMMYFUNCTION("INDEX(SPLIT(SUBSTITUTE(AF80,CHAR(10), """"),"",:""), MATCH(Z80, SPLIT(SUBSTITUTE(AF80,CHAR(10), """"),"",:""), 0) + 1)"),8.0)</f>
        <v>8</v>
      </c>
      <c r="AF80" s="85" t="s">
        <v>2207</v>
      </c>
      <c r="AG80" s="53" t="s">
        <v>408</v>
      </c>
      <c r="AH80" s="53" t="s">
        <v>2218</v>
      </c>
      <c r="AI80" s="84">
        <v>1.0</v>
      </c>
      <c r="AJ80" s="84">
        <v>0.0</v>
      </c>
      <c r="AK80" s="87"/>
      <c r="AL80" s="81">
        <v>0.0</v>
      </c>
      <c r="AM80" s="87"/>
      <c r="AN80" s="81">
        <v>0.0</v>
      </c>
      <c r="AO80" s="90"/>
      <c r="AP80" s="81">
        <v>1.0</v>
      </c>
      <c r="AQ80" s="81">
        <v>0.0</v>
      </c>
      <c r="AR80" s="39"/>
      <c r="AS80" s="81">
        <v>0.0</v>
      </c>
      <c r="AT80" s="81">
        <v>0.0</v>
      </c>
      <c r="AU80" s="39"/>
      <c r="AV80" s="7" t="s">
        <v>2211</v>
      </c>
      <c r="AW80" s="82"/>
      <c r="AX80" s="82"/>
      <c r="AY80" s="7"/>
      <c r="AZ80" s="7"/>
      <c r="BA80" s="7"/>
      <c r="BB80" s="7"/>
      <c r="BC80" s="7"/>
      <c r="BD80" s="7"/>
      <c r="BE80" s="7"/>
      <c r="BF80" s="7" t="s">
        <v>1781</v>
      </c>
      <c r="BG80" s="7">
        <v>1.0</v>
      </c>
      <c r="BH80" s="82"/>
      <c r="BI80" s="82"/>
      <c r="BJ80" s="82"/>
      <c r="BK80" s="82"/>
      <c r="BL80" s="82"/>
      <c r="BM80" s="82"/>
      <c r="BN80" s="7"/>
      <c r="BO80" s="7">
        <v>1.0</v>
      </c>
      <c r="BP80" s="82"/>
      <c r="BQ80" s="7"/>
      <c r="BR80" s="7" t="s">
        <v>411</v>
      </c>
    </row>
    <row r="81">
      <c r="A81" s="16">
        <v>21.0</v>
      </c>
      <c r="B81" s="16" t="s">
        <v>402</v>
      </c>
      <c r="C81" s="53">
        <v>2.0</v>
      </c>
      <c r="D81" s="53" t="s">
        <v>402</v>
      </c>
      <c r="E81" s="7">
        <v>227.0</v>
      </c>
      <c r="F81" s="53"/>
      <c r="G81" s="7"/>
      <c r="H81" s="16">
        <v>1.0</v>
      </c>
      <c r="I81" s="81">
        <v>1.0</v>
      </c>
      <c r="J81" s="39" t="s">
        <v>408</v>
      </c>
      <c r="K81" s="53"/>
      <c r="L81" s="53"/>
      <c r="M81" s="39" t="str">
        <f t="shared" si="1"/>
        <v>[http://users.cecs.anu.edu.au/~dharabor/data/papers/harabor-grastien-aaai11.pdf Jump Point Search (JPS) (2011)]</v>
      </c>
      <c r="N81" s="16" t="s">
        <v>2227</v>
      </c>
      <c r="O81" s="81">
        <v>2011.0</v>
      </c>
      <c r="P81" s="25" t="s">
        <v>2228</v>
      </c>
      <c r="Q81" s="82"/>
      <c r="R81" s="82"/>
      <c r="S81" s="82"/>
      <c r="T81" s="81">
        <v>0.0</v>
      </c>
      <c r="U81" s="16">
        <v>0.0</v>
      </c>
      <c r="V81" s="89">
        <f>IFERROR(__xludf.DUMMYFUNCTION("INDEX(SPLIT(SUBSTITUTE(W81,CHAR(10), """"),"",:""), MATCH(Z81, SPLIT(SUBSTITUTE(W81,CHAR(10), """"),"",:""), 0) + 1)"),8.0)</f>
        <v>8</v>
      </c>
      <c r="W81" s="85" t="s">
        <v>2207</v>
      </c>
      <c r="X81" s="16" t="s">
        <v>2222</v>
      </c>
      <c r="Y81" s="53" t="s">
        <v>2208</v>
      </c>
      <c r="Z81" s="53" t="str">
        <f t="array" ref="Z81">INDEX(Problems!J:J, MATCH(1, (Problems!B:B=B81)*1, 0))</f>
        <v>d</v>
      </c>
      <c r="AA81" s="53"/>
      <c r="AB81" s="53"/>
      <c r="AC81" s="53"/>
      <c r="AD81" s="53"/>
      <c r="AE81" s="85">
        <f>IFERROR(__xludf.DUMMYFUNCTION("INDEX(SPLIT(SUBSTITUTE(AF81,CHAR(10), """"),"",:""), MATCH(Z81, SPLIT(SUBSTITUTE(AF81,CHAR(10), """"),"",:""), 0) + 1)"),8.0)</f>
        <v>8</v>
      </c>
      <c r="AF81" s="85" t="s">
        <v>2207</v>
      </c>
      <c r="AG81" s="53" t="s">
        <v>408</v>
      </c>
      <c r="AH81" s="53" t="s">
        <v>2218</v>
      </c>
      <c r="AI81" s="84">
        <v>1.0</v>
      </c>
      <c r="AJ81" s="84">
        <v>0.0</v>
      </c>
      <c r="AK81" s="87"/>
      <c r="AL81" s="81">
        <v>0.0</v>
      </c>
      <c r="AM81" s="87"/>
      <c r="AN81" s="81">
        <v>0.0</v>
      </c>
      <c r="AO81" s="90"/>
      <c r="AP81" s="81">
        <v>1.0</v>
      </c>
      <c r="AQ81" s="81">
        <v>0.0</v>
      </c>
      <c r="AR81" s="39"/>
      <c r="AS81" s="81">
        <v>0.0</v>
      </c>
      <c r="AT81" s="81">
        <v>0.0</v>
      </c>
      <c r="AU81" s="39"/>
      <c r="AV81" s="7" t="s">
        <v>2211</v>
      </c>
      <c r="AW81" s="82"/>
      <c r="AX81" s="82"/>
      <c r="AY81" s="7"/>
      <c r="AZ81" s="7"/>
      <c r="BA81" s="7"/>
      <c r="BB81" s="7"/>
      <c r="BC81" s="7"/>
      <c r="BD81" s="7"/>
      <c r="BE81" s="7"/>
      <c r="BF81" s="7" t="s">
        <v>1781</v>
      </c>
      <c r="BG81" s="7">
        <v>1.0</v>
      </c>
      <c r="BH81" s="82"/>
      <c r="BI81" s="82"/>
      <c r="BJ81" s="82"/>
      <c r="BK81" s="82"/>
      <c r="BL81" s="82"/>
      <c r="BM81" s="82"/>
      <c r="BN81" s="7"/>
      <c r="BO81" s="7">
        <v>1.0</v>
      </c>
      <c r="BP81" s="82"/>
      <c r="BQ81" s="7"/>
      <c r="BR81" s="7" t="s">
        <v>411</v>
      </c>
    </row>
    <row r="82">
      <c r="A82" s="16">
        <v>21.0</v>
      </c>
      <c r="B82" s="16" t="s">
        <v>402</v>
      </c>
      <c r="C82" s="53">
        <v>2.0</v>
      </c>
      <c r="D82" s="53" t="s">
        <v>402</v>
      </c>
      <c r="E82" s="7">
        <v>228.0</v>
      </c>
      <c r="F82" s="53"/>
      <c r="G82" s="7"/>
      <c r="H82" s="16">
        <v>1.0</v>
      </c>
      <c r="I82" s="81">
        <v>1.0</v>
      </c>
      <c r="J82" s="39" t="s">
        <v>408</v>
      </c>
      <c r="K82" s="53"/>
      <c r="L82" s="53"/>
      <c r="M82" s="39" t="str">
        <f t="shared" si="1"/>
        <v>[http://idm-lab.org/bib/abstracts/papers/aaai02b.pdf Lifelong Planning A* (LPA*) (2001)]</v>
      </c>
      <c r="N82" s="16" t="s">
        <v>2229</v>
      </c>
      <c r="O82" s="81">
        <v>2001.0</v>
      </c>
      <c r="P82" s="47" t="s">
        <v>2230</v>
      </c>
      <c r="Q82" s="82"/>
      <c r="R82" s="82"/>
      <c r="S82" s="82"/>
      <c r="T82" s="81">
        <v>0.0</v>
      </c>
      <c r="U82" s="16">
        <v>0.0</v>
      </c>
      <c r="V82" s="89">
        <f>IFERROR(__xludf.DUMMYFUNCTION("INDEX(SPLIT(SUBSTITUTE(W82,CHAR(10), """"),"",:""), MATCH(Z82, SPLIT(SUBSTITUTE(W82,CHAR(10), """"),"",:""), 0) + 1)"),8.0)</f>
        <v>8</v>
      </c>
      <c r="W82" s="85" t="s">
        <v>2207</v>
      </c>
      <c r="X82" s="16" t="s">
        <v>2222</v>
      </c>
      <c r="Y82" s="53" t="s">
        <v>2208</v>
      </c>
      <c r="Z82" s="53" t="str">
        <f t="array" ref="Z82">INDEX(Problems!J:J, MATCH(1, (Problems!B:B=B82)*1, 0))</f>
        <v>d</v>
      </c>
      <c r="AA82" s="53"/>
      <c r="AB82" s="53"/>
      <c r="AC82" s="53"/>
      <c r="AD82" s="53"/>
      <c r="AE82" s="85">
        <f>IFERROR(__xludf.DUMMYFUNCTION("INDEX(SPLIT(SUBSTITUTE(AF82,CHAR(10), """"),"",:""), MATCH(Z82, SPLIT(SUBSTITUTE(AF82,CHAR(10), """"),"",:""), 0) + 1)"),8.0)</f>
        <v>8</v>
      </c>
      <c r="AF82" s="85" t="s">
        <v>2207</v>
      </c>
      <c r="AG82" s="53" t="s">
        <v>408</v>
      </c>
      <c r="AH82" s="53" t="s">
        <v>2218</v>
      </c>
      <c r="AI82" s="84">
        <v>1.0</v>
      </c>
      <c r="AJ82" s="84">
        <v>0.0</v>
      </c>
      <c r="AK82" s="87"/>
      <c r="AL82" s="81">
        <v>0.0</v>
      </c>
      <c r="AM82" s="87"/>
      <c r="AN82" s="81">
        <v>0.0</v>
      </c>
      <c r="AO82" s="90"/>
      <c r="AP82" s="81">
        <v>1.0</v>
      </c>
      <c r="AQ82" s="81">
        <v>0.0</v>
      </c>
      <c r="AR82" s="39"/>
      <c r="AS82" s="81">
        <v>0.0</v>
      </c>
      <c r="AT82" s="81">
        <v>0.0</v>
      </c>
      <c r="AU82" s="39"/>
      <c r="AV82" s="7" t="s">
        <v>2211</v>
      </c>
      <c r="AW82" s="82"/>
      <c r="AX82" s="82"/>
      <c r="AY82" s="7"/>
      <c r="AZ82" s="7"/>
      <c r="BA82" s="7"/>
      <c r="BB82" s="7"/>
      <c r="BC82" s="7"/>
      <c r="BD82" s="7"/>
      <c r="BE82" s="7"/>
      <c r="BF82" s="7" t="s">
        <v>1781</v>
      </c>
      <c r="BG82" s="7">
        <v>1.0</v>
      </c>
      <c r="BH82" s="82"/>
      <c r="BI82" s="82"/>
      <c r="BJ82" s="82"/>
      <c r="BK82" s="82"/>
      <c r="BL82" s="82"/>
      <c r="BM82" s="82"/>
      <c r="BN82" s="7"/>
      <c r="BO82" s="7">
        <v>1.0</v>
      </c>
      <c r="BP82" s="82"/>
      <c r="BQ82" s="7"/>
      <c r="BR82" s="7" t="s">
        <v>411</v>
      </c>
    </row>
    <row r="83">
      <c r="A83" s="16">
        <v>21.0</v>
      </c>
      <c r="B83" s="16" t="s">
        <v>402</v>
      </c>
      <c r="C83" s="53">
        <v>2.0</v>
      </c>
      <c r="D83" s="53" t="s">
        <v>402</v>
      </c>
      <c r="E83" s="7">
        <v>229.0</v>
      </c>
      <c r="F83" s="53"/>
      <c r="G83" s="7"/>
      <c r="H83" s="16">
        <v>1.0</v>
      </c>
      <c r="I83" s="81">
        <v>1.0</v>
      </c>
      <c r="J83" s="39" t="s">
        <v>408</v>
      </c>
      <c r="K83" s="53"/>
      <c r="L83" s="53"/>
      <c r="M83" s="39" t="str">
        <f t="shared" si="1"/>
        <v>[https://citeseerx.ist.psu.edu/viewdoc/summary?doi=10.1.1.105.7839 Simplified Memory-Bounded A* (SMA*) (1992)]</v>
      </c>
      <c r="N83" s="16" t="s">
        <v>2231</v>
      </c>
      <c r="O83" s="81">
        <v>1992.0</v>
      </c>
      <c r="P83" s="25" t="s">
        <v>2232</v>
      </c>
      <c r="Q83" s="82"/>
      <c r="R83" s="82"/>
      <c r="S83" s="82"/>
      <c r="T83" s="81">
        <v>0.0</v>
      </c>
      <c r="U83" s="16">
        <v>0.0</v>
      </c>
      <c r="V83" s="89">
        <f>IFERROR(__xludf.DUMMYFUNCTION("INDEX(SPLIT(SUBSTITUTE(W83,CHAR(10), """"),"",:""), MATCH(Z83, SPLIT(SUBSTITUTE(W83,CHAR(10), """"),"",:""), 0) + 1)"),8.0)</f>
        <v>8</v>
      </c>
      <c r="W83" s="85" t="s">
        <v>2207</v>
      </c>
      <c r="X83" s="16" t="s">
        <v>2222</v>
      </c>
      <c r="Y83" s="53" t="s">
        <v>2208</v>
      </c>
      <c r="Z83" s="53" t="str">
        <f t="array" ref="Z83">INDEX(Problems!J:J, MATCH(1, (Problems!B:B=B83)*1, 0))</f>
        <v>d</v>
      </c>
      <c r="AA83" s="53"/>
      <c r="AB83" s="53"/>
      <c r="AC83" s="53"/>
      <c r="AD83" s="53"/>
      <c r="AE83" s="85">
        <f>IFERROR(__xludf.DUMMYFUNCTION("INDEX(SPLIT(SUBSTITUTE(AF83,CHAR(10), """"),"",:""), MATCH(Z83, SPLIT(SUBSTITUTE(AF83,CHAR(10), """"),"",:""), 0) + 1)"),8.0)</f>
        <v>8</v>
      </c>
      <c r="AF83" s="85" t="s">
        <v>2207</v>
      </c>
      <c r="AG83" s="53" t="s">
        <v>408</v>
      </c>
      <c r="AH83" s="53" t="s">
        <v>2218</v>
      </c>
      <c r="AI83" s="84">
        <v>1.0</v>
      </c>
      <c r="AJ83" s="84">
        <v>0.0</v>
      </c>
      <c r="AK83" s="87"/>
      <c r="AL83" s="81">
        <v>0.0</v>
      </c>
      <c r="AM83" s="87"/>
      <c r="AN83" s="81">
        <v>0.0</v>
      </c>
      <c r="AO83" s="90"/>
      <c r="AP83" s="81">
        <v>1.0</v>
      </c>
      <c r="AQ83" s="81">
        <v>0.0</v>
      </c>
      <c r="AR83" s="39"/>
      <c r="AS83" s="81">
        <v>0.0</v>
      </c>
      <c r="AT83" s="81">
        <v>0.0</v>
      </c>
      <c r="AU83" s="39"/>
      <c r="AV83" s="7" t="s">
        <v>2211</v>
      </c>
      <c r="AW83" s="82"/>
      <c r="AX83" s="82"/>
      <c r="AY83" s="7"/>
      <c r="AZ83" s="7"/>
      <c r="BA83" s="7"/>
      <c r="BB83" s="7"/>
      <c r="BC83" s="7"/>
      <c r="BD83" s="7"/>
      <c r="BE83" s="7"/>
      <c r="BF83" s="7" t="s">
        <v>1781</v>
      </c>
      <c r="BG83" s="7">
        <v>1.0</v>
      </c>
      <c r="BH83" s="82"/>
      <c r="BI83" s="82"/>
      <c r="BJ83" s="82"/>
      <c r="BK83" s="82"/>
      <c r="BL83" s="82"/>
      <c r="BM83" s="82"/>
      <c r="BN83" s="7"/>
      <c r="BO83" s="7">
        <v>1.0</v>
      </c>
      <c r="BP83" s="82"/>
      <c r="BQ83" s="7"/>
      <c r="BR83" s="7" t="s">
        <v>411</v>
      </c>
    </row>
    <row r="84">
      <c r="A84" s="16">
        <v>21.0</v>
      </c>
      <c r="B84" s="16" t="s">
        <v>402</v>
      </c>
      <c r="C84" s="53">
        <v>2.0</v>
      </c>
      <c r="D84" s="53" t="s">
        <v>402</v>
      </c>
      <c r="E84" s="7">
        <v>230.0</v>
      </c>
      <c r="F84" s="53"/>
      <c r="G84" s="7"/>
      <c r="H84" s="16">
        <v>1.0</v>
      </c>
      <c r="I84" s="81">
        <v>1.0</v>
      </c>
      <c r="J84" s="39" t="s">
        <v>408</v>
      </c>
      <c r="K84" s="53"/>
      <c r="L84" s="53"/>
      <c r="M84" s="39" t="str">
        <f t="shared" si="1"/>
        <v>[http://idm-lab.org/bib/abstracts/papers/aaai07a.pdf Theta* (2010)]</v>
      </c>
      <c r="N84" s="16" t="s">
        <v>2233</v>
      </c>
      <c r="O84" s="81">
        <v>2010.0</v>
      </c>
      <c r="P84" s="25" t="s">
        <v>2234</v>
      </c>
      <c r="Q84" s="82"/>
      <c r="R84" s="82"/>
      <c r="S84" s="82"/>
      <c r="T84" s="81">
        <v>0.0</v>
      </c>
      <c r="U84" s="16">
        <v>0.0</v>
      </c>
      <c r="V84" s="89">
        <f>IFERROR(__xludf.DUMMYFUNCTION("INDEX(SPLIT(SUBSTITUTE(W84,CHAR(10), """"),"",:""), MATCH(Z84, SPLIT(SUBSTITUTE(W84,CHAR(10), """"),"",:""), 0) + 1)"),8.0)</f>
        <v>8</v>
      </c>
      <c r="W84" s="85" t="s">
        <v>2207</v>
      </c>
      <c r="X84" s="16" t="s">
        <v>2222</v>
      </c>
      <c r="Y84" s="53" t="s">
        <v>2208</v>
      </c>
      <c r="Z84" s="53" t="str">
        <f t="array" ref="Z84">INDEX(Problems!J:J, MATCH(1, (Problems!B:B=B84)*1, 0))</f>
        <v>d</v>
      </c>
      <c r="AA84" s="53"/>
      <c r="AB84" s="53"/>
      <c r="AC84" s="53"/>
      <c r="AD84" s="53"/>
      <c r="AE84" s="85">
        <f>IFERROR(__xludf.DUMMYFUNCTION("INDEX(SPLIT(SUBSTITUTE(AF84,CHAR(10), """"),"",:""), MATCH(Z84, SPLIT(SUBSTITUTE(AF84,CHAR(10), """"),"",:""), 0) + 1)"),8.0)</f>
        <v>8</v>
      </c>
      <c r="AF84" s="85" t="s">
        <v>2207</v>
      </c>
      <c r="AG84" s="53" t="s">
        <v>408</v>
      </c>
      <c r="AH84" s="53" t="s">
        <v>2218</v>
      </c>
      <c r="AI84" s="84">
        <v>1.0</v>
      </c>
      <c r="AJ84" s="84">
        <v>0.0</v>
      </c>
      <c r="AK84" s="87"/>
      <c r="AL84" s="81">
        <v>0.0</v>
      </c>
      <c r="AM84" s="87"/>
      <c r="AN84" s="81">
        <v>0.0</v>
      </c>
      <c r="AO84" s="90"/>
      <c r="AP84" s="81">
        <v>1.0</v>
      </c>
      <c r="AQ84" s="81">
        <v>0.0</v>
      </c>
      <c r="AR84" s="39"/>
      <c r="AS84" s="81">
        <v>0.0</v>
      </c>
      <c r="AT84" s="81">
        <v>0.0</v>
      </c>
      <c r="AU84" s="39"/>
      <c r="AV84" s="7" t="s">
        <v>2211</v>
      </c>
      <c r="AW84" s="82"/>
      <c r="AX84" s="82"/>
      <c r="AY84" s="7"/>
      <c r="AZ84" s="7"/>
      <c r="BA84" s="7"/>
      <c r="BB84" s="7"/>
      <c r="BC84" s="7"/>
      <c r="BD84" s="7"/>
      <c r="BE84" s="7"/>
      <c r="BF84" s="7" t="s">
        <v>1781</v>
      </c>
      <c r="BG84" s="7">
        <v>1.0</v>
      </c>
      <c r="BH84" s="82"/>
      <c r="BI84" s="82"/>
      <c r="BJ84" s="82"/>
      <c r="BK84" s="82"/>
      <c r="BL84" s="82"/>
      <c r="BM84" s="82"/>
      <c r="BN84" s="7"/>
      <c r="BO84" s="7">
        <v>1.0</v>
      </c>
      <c r="BP84" s="82"/>
      <c r="BQ84" s="7"/>
      <c r="BR84" s="7" t="s">
        <v>411</v>
      </c>
    </row>
    <row r="85">
      <c r="A85" s="16">
        <v>21.0</v>
      </c>
      <c r="B85" s="16" t="s">
        <v>402</v>
      </c>
      <c r="C85" s="53">
        <v>2.0</v>
      </c>
      <c r="D85" s="53" t="s">
        <v>402</v>
      </c>
      <c r="E85" s="7">
        <v>231.0</v>
      </c>
      <c r="F85" s="53"/>
      <c r="G85" s="7"/>
      <c r="H85" s="16">
        <v>1.0</v>
      </c>
      <c r="I85" s="81">
        <v>1.0</v>
      </c>
      <c r="J85" s="39" t="s">
        <v>408</v>
      </c>
      <c r="K85" s="53"/>
      <c r="L85" s="53"/>
      <c r="M85" s="39" t="str">
        <f t="shared" si="1"/>
        <v>[https://papers.nips.cc/paper/2382-ara-anytime-a-with-provable-bounds-on-sub-optimality.pdf Anytime Repairing A* (ARA*) (2005)]</v>
      </c>
      <c r="N85" s="16" t="s">
        <v>2235</v>
      </c>
      <c r="O85" s="81">
        <v>2005.0</v>
      </c>
      <c r="P85" s="25" t="s">
        <v>2236</v>
      </c>
      <c r="Q85" s="82"/>
      <c r="R85" s="82"/>
      <c r="S85" s="82"/>
      <c r="T85" s="81">
        <v>0.0</v>
      </c>
      <c r="U85" s="16">
        <v>0.0</v>
      </c>
      <c r="V85" s="89">
        <f>IFERROR(__xludf.DUMMYFUNCTION("INDEX(SPLIT(SUBSTITUTE(W85,CHAR(10), """"),"",:""), MATCH(Z85, SPLIT(SUBSTITUTE(W85,CHAR(10), """"),"",:""), 0) + 1)"),8.0)</f>
        <v>8</v>
      </c>
      <c r="W85" s="85" t="s">
        <v>2207</v>
      </c>
      <c r="X85" s="16" t="s">
        <v>2222</v>
      </c>
      <c r="Y85" s="53" t="s">
        <v>2208</v>
      </c>
      <c r="Z85" s="53" t="str">
        <f t="array" ref="Z85">INDEX(Problems!J:J, MATCH(1, (Problems!B:B=B85)*1, 0))</f>
        <v>d</v>
      </c>
      <c r="AA85" s="53"/>
      <c r="AB85" s="53"/>
      <c r="AC85" s="53"/>
      <c r="AD85" s="53"/>
      <c r="AE85" s="85">
        <f>IFERROR(__xludf.DUMMYFUNCTION("INDEX(SPLIT(SUBSTITUTE(AF85,CHAR(10), """"),"",:""), MATCH(Z85, SPLIT(SUBSTITUTE(AF85,CHAR(10), """"),"",:""), 0) + 1)"),8.0)</f>
        <v>8</v>
      </c>
      <c r="AF85" s="85" t="s">
        <v>2207</v>
      </c>
      <c r="AG85" s="53" t="s">
        <v>408</v>
      </c>
      <c r="AH85" s="53" t="s">
        <v>2218</v>
      </c>
      <c r="AI85" s="84">
        <v>1.0</v>
      </c>
      <c r="AJ85" s="84">
        <v>0.0</v>
      </c>
      <c r="AK85" s="87"/>
      <c r="AL85" s="81">
        <v>0.0</v>
      </c>
      <c r="AM85" s="87"/>
      <c r="AN85" s="81">
        <v>0.0</v>
      </c>
      <c r="AO85" s="90"/>
      <c r="AP85" s="81">
        <v>1.0</v>
      </c>
      <c r="AQ85" s="81">
        <v>0.0</v>
      </c>
      <c r="AR85" s="39"/>
      <c r="AS85" s="81">
        <v>0.0</v>
      </c>
      <c r="AT85" s="81">
        <v>0.0</v>
      </c>
      <c r="AU85" s="39"/>
      <c r="AV85" s="7" t="s">
        <v>2211</v>
      </c>
      <c r="AW85" s="82"/>
      <c r="AX85" s="82"/>
      <c r="AY85" s="7"/>
      <c r="AZ85" s="7"/>
      <c r="BA85" s="7"/>
      <c r="BB85" s="7"/>
      <c r="BC85" s="7"/>
      <c r="BD85" s="7"/>
      <c r="BE85" s="7"/>
      <c r="BF85" s="7" t="s">
        <v>1781</v>
      </c>
      <c r="BG85" s="7">
        <v>1.0</v>
      </c>
      <c r="BH85" s="82"/>
      <c r="BI85" s="82"/>
      <c r="BJ85" s="82"/>
      <c r="BK85" s="82"/>
      <c r="BL85" s="82"/>
      <c r="BM85" s="82"/>
      <c r="BN85" s="7"/>
      <c r="BO85" s="7">
        <v>1.0</v>
      </c>
      <c r="BP85" s="82"/>
      <c r="BQ85" s="7"/>
      <c r="BR85" s="7" t="s">
        <v>411</v>
      </c>
    </row>
    <row r="86">
      <c r="A86" s="16">
        <v>21.0</v>
      </c>
      <c r="B86" s="16" t="s">
        <v>402</v>
      </c>
      <c r="C86" s="53">
        <v>2.0</v>
      </c>
      <c r="D86" s="53" t="s">
        <v>402</v>
      </c>
      <c r="E86" s="7">
        <v>232.0</v>
      </c>
      <c r="F86" s="53"/>
      <c r="G86" s="7"/>
      <c r="H86" s="16">
        <v>1.0</v>
      </c>
      <c r="I86" s="81">
        <v>1.0</v>
      </c>
      <c r="J86" s="39" t="s">
        <v>408</v>
      </c>
      <c r="K86" s="53"/>
      <c r="L86" s="53"/>
      <c r="M86" s="39" t="str">
        <f t="shared" si="1"/>
        <v>[https://www.cs.du.edu/~sturtevant/papers/TBA.pdf Time-Bounded A* (TBA*) (2009)]</v>
      </c>
      <c r="N86" s="16" t="s">
        <v>2237</v>
      </c>
      <c r="O86" s="81">
        <v>2009.0</v>
      </c>
      <c r="P86" s="25" t="s">
        <v>2238</v>
      </c>
      <c r="Q86" s="82"/>
      <c r="R86" s="82"/>
      <c r="S86" s="82"/>
      <c r="T86" s="81">
        <v>0.0</v>
      </c>
      <c r="U86" s="16">
        <v>0.0</v>
      </c>
      <c r="V86" s="89">
        <f>IFERROR(__xludf.DUMMYFUNCTION("INDEX(SPLIT(SUBSTITUTE(W86,CHAR(10), """"),"",:""), MATCH(Z86, SPLIT(SUBSTITUTE(W86,CHAR(10), """"),"",:""), 0) + 1)"),8.0)</f>
        <v>8</v>
      </c>
      <c r="W86" s="85" t="s">
        <v>2207</v>
      </c>
      <c r="X86" s="16" t="s">
        <v>2222</v>
      </c>
      <c r="Y86" s="53" t="s">
        <v>2208</v>
      </c>
      <c r="Z86" s="53" t="str">
        <f t="array" ref="Z86">INDEX(Problems!J:J, MATCH(1, (Problems!B:B=B86)*1, 0))</f>
        <v>d</v>
      </c>
      <c r="AA86" s="53"/>
      <c r="AB86" s="53"/>
      <c r="AC86" s="53"/>
      <c r="AD86" s="53"/>
      <c r="AE86" s="85">
        <f>IFERROR(__xludf.DUMMYFUNCTION("INDEX(SPLIT(SUBSTITUTE(AF86,CHAR(10), """"),"",:""), MATCH(Z86, SPLIT(SUBSTITUTE(AF86,CHAR(10), """"),"",:""), 0) + 1)"),8.0)</f>
        <v>8</v>
      </c>
      <c r="AF86" s="85" t="s">
        <v>2207</v>
      </c>
      <c r="AG86" s="53" t="s">
        <v>408</v>
      </c>
      <c r="AH86" s="53" t="s">
        <v>2218</v>
      </c>
      <c r="AI86" s="84">
        <v>1.0</v>
      </c>
      <c r="AJ86" s="84">
        <v>0.0</v>
      </c>
      <c r="AK86" s="87"/>
      <c r="AL86" s="81">
        <v>0.0</v>
      </c>
      <c r="AM86" s="87"/>
      <c r="AN86" s="81">
        <v>0.0</v>
      </c>
      <c r="AO86" s="90"/>
      <c r="AP86" s="81">
        <v>1.0</v>
      </c>
      <c r="AQ86" s="81">
        <v>0.0</v>
      </c>
      <c r="AR86" s="39"/>
      <c r="AS86" s="81">
        <v>0.0</v>
      </c>
      <c r="AT86" s="81">
        <v>0.0</v>
      </c>
      <c r="AU86" s="39"/>
      <c r="AV86" s="7" t="s">
        <v>2211</v>
      </c>
      <c r="AW86" s="82"/>
      <c r="AX86" s="82"/>
      <c r="AY86" s="7"/>
      <c r="AZ86" s="7"/>
      <c r="BA86" s="7"/>
      <c r="BB86" s="7"/>
      <c r="BC86" s="7"/>
      <c r="BD86" s="7"/>
      <c r="BE86" s="7"/>
      <c r="BF86" s="7" t="s">
        <v>1781</v>
      </c>
      <c r="BG86" s="7">
        <v>1.0</v>
      </c>
      <c r="BH86" s="82"/>
      <c r="BI86" s="82"/>
      <c r="BJ86" s="82"/>
      <c r="BK86" s="82"/>
      <c r="BL86" s="82"/>
      <c r="BM86" s="82"/>
      <c r="BN86" s="7"/>
      <c r="BO86" s="7">
        <v>1.0</v>
      </c>
      <c r="BP86" s="82"/>
      <c r="BQ86" s="7"/>
      <c r="BR86" s="7" t="s">
        <v>411</v>
      </c>
    </row>
    <row r="87">
      <c r="A87" s="16">
        <v>22.0</v>
      </c>
      <c r="B87" s="16" t="s">
        <v>412</v>
      </c>
      <c r="C87" s="53">
        <v>2.0</v>
      </c>
      <c r="D87" s="53" t="s">
        <v>413</v>
      </c>
      <c r="E87" s="7">
        <v>233.0</v>
      </c>
      <c r="F87" s="53" t="s">
        <v>2239</v>
      </c>
      <c r="G87" s="7"/>
      <c r="H87" s="16">
        <v>1.0</v>
      </c>
      <c r="I87" s="16">
        <v>1.0</v>
      </c>
      <c r="J87" s="39" t="s">
        <v>2240</v>
      </c>
      <c r="K87" s="53"/>
      <c r="L87" s="53" t="s">
        <v>2241</v>
      </c>
      <c r="M87" s="39" t="str">
        <f t="shared" si="1"/>
        <v>[- Naïve string-search algorithm (1940)]</v>
      </c>
      <c r="N87" s="39" t="s">
        <v>2242</v>
      </c>
      <c r="O87" s="81">
        <v>1940.0</v>
      </c>
      <c r="P87" s="39" t="s">
        <v>1937</v>
      </c>
      <c r="Q87" s="7">
        <v>1.0</v>
      </c>
      <c r="R87" s="7">
        <v>1.0</v>
      </c>
      <c r="S87" s="114" t="s">
        <v>2243</v>
      </c>
      <c r="T87" s="16">
        <v>1.0</v>
      </c>
      <c r="U87" s="16">
        <v>0.0</v>
      </c>
      <c r="V87" s="89">
        <f>IFERROR(__xludf.DUMMYFUNCTION("INDEX(SPLIT(SUBSTITUTE(W87,CHAR(10), """"),"",:""), MATCH(Z87, SPLIT(SUBSTITUTE(W87,CHAR(10), """"),"",:""), 0) + 1)"),5.0)</f>
        <v>5</v>
      </c>
      <c r="W87" s="85" t="s">
        <v>2244</v>
      </c>
      <c r="X87" s="16" t="s">
        <v>2245</v>
      </c>
      <c r="Y87" s="53" t="s">
        <v>2246</v>
      </c>
      <c r="Z87" s="53" t="str">
        <f t="array" ref="Z87">INDEX(Problems!J:J, MATCH(1, (Problems!B:B=B87)*1, 0))</f>
        <v>m+n</v>
      </c>
      <c r="AA87" s="53"/>
      <c r="AB87" s="53"/>
      <c r="AC87" s="120" t="s">
        <v>1813</v>
      </c>
      <c r="AD87" s="120" t="s">
        <v>1814</v>
      </c>
      <c r="AE87" s="85">
        <f>IFERROR(__xludf.DUMMYFUNCTION("INDEX(SPLIT(SUBSTITUTE(AF87,CHAR(10), """"),"",:""), MATCH(Z87, SPLIT(SUBSTITUTE(AF87,CHAR(10), """"),"",:""), 0) + 1)"),1.0)</f>
        <v>1</v>
      </c>
      <c r="AF87" s="85" t="s">
        <v>2247</v>
      </c>
      <c r="AG87" s="53" t="s">
        <v>34</v>
      </c>
      <c r="AH87" s="53" t="s">
        <v>2248</v>
      </c>
      <c r="AI87" s="84">
        <v>1.0</v>
      </c>
      <c r="AJ87" s="84">
        <v>0.0</v>
      </c>
      <c r="AK87" s="87"/>
      <c r="AL87" s="81">
        <v>0.0</v>
      </c>
      <c r="AM87" s="21"/>
      <c r="AN87" s="16">
        <v>0.0</v>
      </c>
      <c r="AO87" s="90"/>
      <c r="AP87" s="16">
        <v>0.0</v>
      </c>
      <c r="AQ87" s="16">
        <v>0.0</v>
      </c>
      <c r="AR87" s="39"/>
      <c r="AS87" s="81">
        <v>0.0</v>
      </c>
      <c r="AT87" s="81">
        <v>0.0</v>
      </c>
      <c r="AU87" s="39"/>
      <c r="AV87" s="7" t="s">
        <v>2249</v>
      </c>
      <c r="AW87" s="82"/>
      <c r="AX87" s="82"/>
      <c r="AY87" s="7" t="s">
        <v>2250</v>
      </c>
      <c r="AZ87" s="7"/>
      <c r="BA87" s="7"/>
      <c r="BB87" s="7"/>
      <c r="BC87" s="7"/>
      <c r="BD87" s="7"/>
      <c r="BE87" s="7"/>
      <c r="BF87" s="7">
        <f>(1000/10)*((9/10)*1000 - (1000/10)+1)</f>
        <v>80100</v>
      </c>
      <c r="BG87" s="7">
        <v>1.0</v>
      </c>
      <c r="BH87" s="82"/>
      <c r="BI87" s="82">
        <f>(1000000/10)*((9/10)*1000000 - (1000000/10)+1)</f>
        <v>80000100000</v>
      </c>
      <c r="BJ87" s="7">
        <v>1.0</v>
      </c>
      <c r="BK87" s="82"/>
      <c r="BL87" s="82">
        <f>(1000000000/10)*((9/10)*1000000000 - (1000000000/10)+1)</f>
        <v>8E+16</v>
      </c>
      <c r="BM87" s="7">
        <v>1.0</v>
      </c>
      <c r="BN87" s="7"/>
      <c r="BO87" s="7">
        <v>4.0</v>
      </c>
      <c r="BP87" s="82"/>
      <c r="BQ87" s="47" t="s">
        <v>2251</v>
      </c>
      <c r="BR87" s="7" t="s">
        <v>23</v>
      </c>
    </row>
    <row r="88">
      <c r="A88" s="16">
        <v>22.0</v>
      </c>
      <c r="B88" s="16" t="s">
        <v>412</v>
      </c>
      <c r="C88" s="53">
        <v>2.0</v>
      </c>
      <c r="D88" s="53" t="s">
        <v>413</v>
      </c>
      <c r="E88" s="7">
        <v>234.0</v>
      </c>
      <c r="F88" s="53" t="s">
        <v>2252</v>
      </c>
      <c r="G88" s="7"/>
      <c r="H88" s="16">
        <v>1.0</v>
      </c>
      <c r="I88" s="16">
        <v>1.0</v>
      </c>
      <c r="J88" s="21" t="s">
        <v>562</v>
      </c>
      <c r="K88" s="53"/>
      <c r="L88" s="53"/>
      <c r="M88" s="39" t="str">
        <f t="shared" si="1"/>
        <v>[https://pdfs.semanticscholar.org/4479/9559a1067e06b5a6bf052f8f10637707928f.pdf Knuth-Morris-Pratt (KMP) algorithm (1977)]</v>
      </c>
      <c r="N88" s="16" t="s">
        <v>2253</v>
      </c>
      <c r="O88" s="81">
        <v>1977.0</v>
      </c>
      <c r="P88" s="28" t="s">
        <v>2254</v>
      </c>
      <c r="Q88" s="82"/>
      <c r="R88" s="82"/>
      <c r="S88" s="82"/>
      <c r="T88" s="16">
        <v>0.0</v>
      </c>
      <c r="U88" s="16">
        <v>0.0</v>
      </c>
      <c r="V88" s="89">
        <f>IFERROR(__xludf.DUMMYFUNCTION("INDEX(SPLIT(SUBSTITUTE(W88,CHAR(10), """"),"",:""), MATCH(Z88, SPLIT(SUBSTITUTE(W88,CHAR(10), """"),"",:""), 0) + 1)"),3.0)</f>
        <v>3</v>
      </c>
      <c r="W88" s="85" t="s">
        <v>2255</v>
      </c>
      <c r="X88" s="21" t="s">
        <v>2256</v>
      </c>
      <c r="Y88" s="53" t="s">
        <v>2246</v>
      </c>
      <c r="Z88" s="53" t="str">
        <f t="array" ref="Z88">INDEX(Problems!J:J, MATCH(1, (Problems!B:B=B88)*1, 0))</f>
        <v>m+n</v>
      </c>
      <c r="AA88" s="53"/>
      <c r="AB88" s="53"/>
      <c r="AC88" s="120" t="s">
        <v>1813</v>
      </c>
      <c r="AD88" s="120" t="s">
        <v>1814</v>
      </c>
      <c r="AE88" s="85">
        <f>IFERROR(__xludf.DUMMYFUNCTION("INDEX(SPLIT(SUBSTITUTE(AF88,CHAR(10), """"),"",:""), MATCH(Z88, SPLIT(SUBSTITUTE(AF88,CHAR(10), """"),"",:""), 0) + 1)"),3.0)</f>
        <v>3</v>
      </c>
      <c r="AF88" s="85" t="s">
        <v>2257</v>
      </c>
      <c r="AG88" s="53" t="s">
        <v>148</v>
      </c>
      <c r="AH88" s="91" t="s">
        <v>2254</v>
      </c>
      <c r="AI88" s="84">
        <v>0.0</v>
      </c>
      <c r="AJ88" s="84">
        <v>1.0</v>
      </c>
      <c r="AK88" s="87"/>
      <c r="AL88" s="81">
        <v>0.0</v>
      </c>
      <c r="AM88" s="21"/>
      <c r="AN88" s="16">
        <v>0.0</v>
      </c>
      <c r="AO88" s="90"/>
      <c r="AP88" s="16">
        <v>0.0</v>
      </c>
      <c r="AQ88" s="16">
        <v>0.0</v>
      </c>
      <c r="AR88" s="39"/>
      <c r="AS88" s="81">
        <v>0.0</v>
      </c>
      <c r="AT88" s="81">
        <v>0.0</v>
      </c>
      <c r="AU88" s="39"/>
      <c r="AV88" s="7" t="s">
        <v>2249</v>
      </c>
      <c r="AW88" s="82"/>
      <c r="AX88" s="82"/>
      <c r="AY88" s="7" t="s">
        <v>2250</v>
      </c>
      <c r="AZ88" s="7"/>
      <c r="BA88" s="7"/>
      <c r="BB88" s="7"/>
      <c r="BC88" s="7"/>
      <c r="BD88" s="7"/>
      <c r="BE88" s="7"/>
      <c r="BF88" s="7"/>
      <c r="BG88" s="82"/>
      <c r="BH88" s="82"/>
      <c r="BI88" s="82"/>
      <c r="BJ88" s="82"/>
      <c r="BK88" s="82"/>
      <c r="BL88" s="82"/>
      <c r="BM88" s="82"/>
      <c r="BN88" s="7"/>
      <c r="BO88" s="7">
        <v>4.0</v>
      </c>
      <c r="BP88" s="82"/>
      <c r="BQ88" s="47" t="s">
        <v>2251</v>
      </c>
      <c r="BR88" s="7" t="s">
        <v>23</v>
      </c>
    </row>
    <row r="89">
      <c r="A89" s="16">
        <v>22.0</v>
      </c>
      <c r="B89" s="16" t="s">
        <v>412</v>
      </c>
      <c r="C89" s="53">
        <v>2.0</v>
      </c>
      <c r="D89" s="53" t="s">
        <v>413</v>
      </c>
      <c r="E89" s="7">
        <v>235.0</v>
      </c>
      <c r="F89" s="53" t="s">
        <v>2258</v>
      </c>
      <c r="G89" s="7"/>
      <c r="H89" s="16">
        <v>1.0</v>
      </c>
      <c r="I89" s="16">
        <v>1.0</v>
      </c>
      <c r="J89" s="21" t="s">
        <v>2259</v>
      </c>
      <c r="K89" s="53"/>
      <c r="L89" s="53"/>
      <c r="M89" s="39" t="str">
        <f t="shared" si="1"/>
        <v>[https://www.cs.utexas.edu/users/moore/publications/fstrpos.pdf Boyer-Moore (BM) algorithm (1977)]</v>
      </c>
      <c r="N89" s="16" t="s">
        <v>2260</v>
      </c>
      <c r="O89" s="81">
        <v>1977.0</v>
      </c>
      <c r="P89" s="28" t="s">
        <v>2261</v>
      </c>
      <c r="Q89" s="82"/>
      <c r="R89" s="82"/>
      <c r="S89" s="82"/>
      <c r="T89" s="16">
        <v>0.0</v>
      </c>
      <c r="U89" s="16">
        <v>0.0</v>
      </c>
      <c r="V89" s="89">
        <f>IFERROR(__xludf.DUMMYFUNCTION("INDEX(SPLIT(SUBSTITUTE(W89,CHAR(10), """"),"",:""), MATCH(Z89, SPLIT(SUBSTITUTE(W89,CHAR(10), """"),"",:""), 0) + 1)"),5.0)</f>
        <v>5</v>
      </c>
      <c r="W89" s="85" t="s">
        <v>2262</v>
      </c>
      <c r="X89" s="21" t="s">
        <v>2263</v>
      </c>
      <c r="Y89" s="53" t="s">
        <v>2264</v>
      </c>
      <c r="Z89" s="53" t="str">
        <f t="array" ref="Z89">INDEX(Problems!J:J, MATCH(1, (Problems!B:B=B89)*1, 0))</f>
        <v>m+n</v>
      </c>
      <c r="AA89" s="53"/>
      <c r="AB89" s="53"/>
      <c r="AC89" s="120" t="s">
        <v>1813</v>
      </c>
      <c r="AD89" s="120" t="s">
        <v>1814</v>
      </c>
      <c r="AE89" s="85">
        <f>IFERROR(__xludf.DUMMYFUNCTION("INDEX(SPLIT(SUBSTITUTE(AF89,CHAR(10), """"),"",:""), MATCH(Z89, SPLIT(SUBSTITUTE(AF89,CHAR(10), """"),"",:""), 0) + 1)"),1.0)</f>
        <v>1</v>
      </c>
      <c r="AF89" s="85" t="s">
        <v>2265</v>
      </c>
      <c r="AG89" s="53" t="s">
        <v>2266</v>
      </c>
      <c r="AH89" s="121" t="s">
        <v>2261</v>
      </c>
      <c r="AI89" s="84">
        <v>0.0</v>
      </c>
      <c r="AJ89" s="84">
        <v>1.0</v>
      </c>
      <c r="AK89" s="87"/>
      <c r="AL89" s="81">
        <v>0.0</v>
      </c>
      <c r="AM89" s="21"/>
      <c r="AN89" s="16">
        <v>0.0</v>
      </c>
      <c r="AO89" s="90"/>
      <c r="AP89" s="21">
        <v>1.0</v>
      </c>
      <c r="AQ89" s="16">
        <v>0.0</v>
      </c>
      <c r="AR89" s="39"/>
      <c r="AS89" s="81">
        <v>0.0</v>
      </c>
      <c r="AT89" s="81">
        <v>0.0</v>
      </c>
      <c r="AU89" s="39"/>
      <c r="AV89" s="7" t="s">
        <v>2249</v>
      </c>
      <c r="AW89" s="82"/>
      <c r="AX89" s="82"/>
      <c r="AY89" s="7" t="s">
        <v>2250</v>
      </c>
      <c r="AZ89" s="7"/>
      <c r="BA89" s="7"/>
      <c r="BB89" s="7"/>
      <c r="BC89" s="7"/>
      <c r="BD89" s="7"/>
      <c r="BE89" s="7"/>
      <c r="BF89" s="7"/>
      <c r="BG89" s="82"/>
      <c r="BH89" s="82"/>
      <c r="BI89" s="82"/>
      <c r="BJ89" s="82"/>
      <c r="BK89" s="82"/>
      <c r="BL89" s="82"/>
      <c r="BM89" s="82"/>
      <c r="BN89" s="7"/>
      <c r="BO89" s="7">
        <v>4.0</v>
      </c>
      <c r="BP89" s="82"/>
      <c r="BQ89" s="47" t="s">
        <v>2251</v>
      </c>
      <c r="BR89" s="7" t="s">
        <v>23</v>
      </c>
    </row>
    <row r="90">
      <c r="A90" s="16">
        <v>22.0</v>
      </c>
      <c r="B90" s="16" t="s">
        <v>412</v>
      </c>
      <c r="C90" s="53">
        <v>2.0</v>
      </c>
      <c r="D90" s="53" t="s">
        <v>413</v>
      </c>
      <c r="E90" s="7">
        <v>237.0</v>
      </c>
      <c r="F90" s="53" t="s">
        <v>2267</v>
      </c>
      <c r="G90" s="7"/>
      <c r="H90" s="16">
        <v>1.0</v>
      </c>
      <c r="I90" s="16">
        <v>1.0</v>
      </c>
      <c r="J90" s="21" t="s">
        <v>823</v>
      </c>
      <c r="K90" s="53"/>
      <c r="L90" s="53"/>
      <c r="M90" s="39" t="str">
        <f t="shared" si="1"/>
        <v>[https://pdfs.semanticscholar.org/c47d/151f09c567013761632c89e237431c6291a2.pdf Rabin-Karp (RK) algorithm (1987)]</v>
      </c>
      <c r="N90" s="16" t="s">
        <v>2268</v>
      </c>
      <c r="O90" s="81">
        <v>1987.0</v>
      </c>
      <c r="P90" s="28" t="s">
        <v>2269</v>
      </c>
      <c r="Q90" s="82"/>
      <c r="R90" s="82"/>
      <c r="S90" s="82"/>
      <c r="T90" s="16">
        <v>0.0</v>
      </c>
      <c r="U90" s="16">
        <v>0.0</v>
      </c>
      <c r="V90" s="89">
        <f>IFERROR(__xludf.DUMMYFUNCTION("INDEX(SPLIT(SUBSTITUTE(W90,CHAR(10), """"),"",:""), MATCH(Z90, SPLIT(SUBSTITUTE(W90,CHAR(10), """"),"",:""), 0) + 1)"),5.0)</f>
        <v>5</v>
      </c>
      <c r="W90" s="85" t="s">
        <v>2244</v>
      </c>
      <c r="X90" s="16" t="s">
        <v>2270</v>
      </c>
      <c r="Y90" s="53" t="s">
        <v>2246</v>
      </c>
      <c r="Z90" s="53" t="str">
        <f t="array" ref="Z90">INDEX(Problems!J:J, MATCH(1, (Problems!B:B=B90)*1, 0))</f>
        <v>m+n</v>
      </c>
      <c r="AA90" s="53"/>
      <c r="AB90" s="53"/>
      <c r="AC90" s="120" t="s">
        <v>1813</v>
      </c>
      <c r="AD90" s="120" t="s">
        <v>1814</v>
      </c>
      <c r="AE90" s="85">
        <f>IFERROR(__xludf.DUMMYFUNCTION("INDEX(SPLIT(SUBSTITUTE(AF90,CHAR(10), """"),"",:""), MATCH(Z90, SPLIT(SUBSTITUTE(AF90,CHAR(10), """"),"",:""), 0) + 1)"),1.0)</f>
        <v>1</v>
      </c>
      <c r="AF90" s="85" t="s">
        <v>2247</v>
      </c>
      <c r="AG90" s="53" t="s">
        <v>34</v>
      </c>
      <c r="AH90" s="53" t="s">
        <v>2271</v>
      </c>
      <c r="AI90" s="84">
        <v>1.0</v>
      </c>
      <c r="AJ90" s="84">
        <v>0.0</v>
      </c>
      <c r="AK90" s="87"/>
      <c r="AL90" s="81">
        <v>0.0</v>
      </c>
      <c r="AM90" s="21"/>
      <c r="AN90" s="16">
        <v>0.0</v>
      </c>
      <c r="AO90" s="90"/>
      <c r="AP90" s="16">
        <v>0.0</v>
      </c>
      <c r="AQ90" s="16">
        <v>0.0</v>
      </c>
      <c r="AR90" s="39"/>
      <c r="AS90" s="81">
        <v>0.0</v>
      </c>
      <c r="AT90" s="81">
        <v>0.0</v>
      </c>
      <c r="AU90" s="39"/>
      <c r="AV90" s="7" t="s">
        <v>2249</v>
      </c>
      <c r="AW90" s="82"/>
      <c r="AX90" s="82"/>
      <c r="AY90" s="7" t="s">
        <v>2250</v>
      </c>
      <c r="AZ90" s="122"/>
      <c r="BA90" s="122"/>
      <c r="BB90" s="122"/>
      <c r="BC90" s="122"/>
      <c r="BD90" s="122"/>
      <c r="BE90" s="122"/>
      <c r="BF90" s="122"/>
      <c r="BG90" s="82"/>
      <c r="BH90" s="82"/>
      <c r="BI90" s="82"/>
      <c r="BJ90" s="82"/>
      <c r="BK90" s="82"/>
      <c r="BL90" s="82"/>
      <c r="BM90" s="82"/>
      <c r="BN90" s="7"/>
      <c r="BO90" s="7">
        <v>4.0</v>
      </c>
      <c r="BP90" s="82"/>
      <c r="BQ90" s="47" t="s">
        <v>2251</v>
      </c>
      <c r="BR90" s="7" t="s">
        <v>23</v>
      </c>
    </row>
    <row r="91">
      <c r="A91" s="16">
        <v>23.0</v>
      </c>
      <c r="B91" s="16" t="s">
        <v>424</v>
      </c>
      <c r="C91" s="53">
        <v>2.0</v>
      </c>
      <c r="D91" s="53" t="s">
        <v>2272</v>
      </c>
      <c r="E91" s="7">
        <v>250.0</v>
      </c>
      <c r="F91" s="53"/>
      <c r="G91" s="7"/>
      <c r="H91" s="16">
        <v>1.0</v>
      </c>
      <c r="I91" s="16">
        <v>1.0</v>
      </c>
      <c r="J91" s="39" t="s">
        <v>399</v>
      </c>
      <c r="K91" s="53" t="s">
        <v>1945</v>
      </c>
      <c r="L91" s="53" t="s">
        <v>1946</v>
      </c>
      <c r="M91" s="39" t="str">
        <f t="shared" si="1"/>
        <v>[https://www.sciencedirect.com/science/article/pii/0022283670900574 Needleman–Wunsch algorithm (1970)]</v>
      </c>
      <c r="N91" s="39" t="s">
        <v>2273</v>
      </c>
      <c r="O91" s="81">
        <v>1970.0</v>
      </c>
      <c r="P91" s="17" t="s">
        <v>2274</v>
      </c>
      <c r="Q91" s="7">
        <v>1.0</v>
      </c>
      <c r="R91" s="7">
        <v>1.0</v>
      </c>
      <c r="S91" s="114" t="s">
        <v>2274</v>
      </c>
      <c r="T91" s="81">
        <v>1.0</v>
      </c>
      <c r="U91" s="16">
        <v>0.0</v>
      </c>
      <c r="V91" s="89">
        <f>IFERROR(__xludf.DUMMYFUNCTION("INDEX(SPLIT(SUBSTITUTE(W91,CHAR(10), """"),"",:""), MATCH(Z91, SPLIT(SUBSTITUTE(W91,CHAR(10), """"),"",:""), 0) + 1)"),5.0)</f>
        <v>5</v>
      </c>
      <c r="W91" s="85" t="s">
        <v>2244</v>
      </c>
      <c r="X91" s="16" t="s">
        <v>2270</v>
      </c>
      <c r="Y91" s="120" t="s">
        <v>2275</v>
      </c>
      <c r="Z91" s="53" t="str">
        <f t="array" ref="Z91">INDEX(Problems!J:J, MATCH(1, (Problems!B:B=B91)*1, 0))</f>
        <v>m+n</v>
      </c>
      <c r="AA91" s="120"/>
      <c r="AB91" s="120"/>
      <c r="AC91" s="120" t="s">
        <v>1813</v>
      </c>
      <c r="AD91" s="120" t="s">
        <v>1814</v>
      </c>
      <c r="AE91" s="85">
        <f>IFERROR(__xludf.DUMMYFUNCTION("INDEX(SPLIT(SUBSTITUTE(AF91,CHAR(10), """"),"",:""), MATCH(Z91, SPLIT(SUBSTITUTE(AF91,CHAR(10), """"),"",:""), 0) + 1)"),5.0)</f>
        <v>5</v>
      </c>
      <c r="AF91" s="85" t="s">
        <v>2244</v>
      </c>
      <c r="AG91" s="123" t="s">
        <v>399</v>
      </c>
      <c r="AH91" s="53" t="s">
        <v>2276</v>
      </c>
      <c r="AI91" s="84">
        <v>1.0</v>
      </c>
      <c r="AJ91" s="84">
        <v>0.0</v>
      </c>
      <c r="AK91" s="87"/>
      <c r="AL91" s="81">
        <v>0.0</v>
      </c>
      <c r="AM91" s="21"/>
      <c r="AN91" s="16">
        <v>0.0</v>
      </c>
      <c r="AO91" s="90"/>
      <c r="AP91" s="16">
        <v>0.0</v>
      </c>
      <c r="AQ91" s="16">
        <v>0.0</v>
      </c>
      <c r="AR91" s="39"/>
      <c r="AS91" s="81">
        <v>0.0</v>
      </c>
      <c r="AT91" s="81">
        <v>0.0</v>
      </c>
      <c r="AU91" s="39"/>
      <c r="AV91" s="7" t="s">
        <v>2277</v>
      </c>
      <c r="AW91" s="82"/>
      <c r="AX91" s="82"/>
      <c r="AY91" s="7" t="s">
        <v>2278</v>
      </c>
      <c r="AZ91" s="7">
        <f>1000*1000</f>
        <v>1000000</v>
      </c>
      <c r="BA91" s="7"/>
      <c r="BB91" s="7">
        <f>1000000*1000000</f>
        <v>1000000000000</v>
      </c>
      <c r="BC91" s="7"/>
      <c r="BD91" s="7">
        <f>1000000000*1000000000</f>
        <v>1E+18</v>
      </c>
      <c r="BE91" s="7"/>
      <c r="BF91" s="7">
        <v>250000.0</v>
      </c>
      <c r="BG91" s="82">
        <f t="shared" ref="BG91:BG92" si="17">250000/BF91</f>
        <v>1</v>
      </c>
      <c r="BH91" s="82"/>
      <c r="BI91" s="82">
        <f>0.25*POW(1000000,2)</f>
        <v>250000000000</v>
      </c>
      <c r="BJ91" s="7">
        <v>1.0</v>
      </c>
      <c r="BK91" s="82"/>
      <c r="BL91" s="82">
        <f>0.25*POW(1000000000,2)</f>
        <v>2.5E+17</v>
      </c>
      <c r="BM91" s="7">
        <v>1.0</v>
      </c>
      <c r="BN91" s="7"/>
      <c r="BO91" s="7">
        <v>4.0</v>
      </c>
      <c r="BP91" s="82"/>
      <c r="BQ91" s="7"/>
      <c r="BR91" s="7" t="s">
        <v>433</v>
      </c>
    </row>
    <row r="92">
      <c r="A92" s="16">
        <v>23.0</v>
      </c>
      <c r="B92" s="16" t="s">
        <v>424</v>
      </c>
      <c r="C92" s="53">
        <v>2.0</v>
      </c>
      <c r="D92" s="53" t="s">
        <v>2279</v>
      </c>
      <c r="E92" s="7">
        <v>251.0</v>
      </c>
      <c r="F92" s="53"/>
      <c r="G92" s="7"/>
      <c r="H92" s="16">
        <v>1.0</v>
      </c>
      <c r="I92" s="16">
        <v>1.0</v>
      </c>
      <c r="J92" s="21" t="s">
        <v>1382</v>
      </c>
      <c r="K92" s="53" t="s">
        <v>2117</v>
      </c>
      <c r="L92" s="53" t="s">
        <v>2117</v>
      </c>
      <c r="M92" s="39" t="str">
        <f t="shared" si="1"/>
        <v>[https://www.sciencedirect.com/science/article/pii/0022283681900875 Smith–Waterman algorithm (1981)]</v>
      </c>
      <c r="N92" s="39" t="s">
        <v>2280</v>
      </c>
      <c r="O92" s="81">
        <v>1981.0</v>
      </c>
      <c r="P92" s="28" t="s">
        <v>2281</v>
      </c>
      <c r="Q92" s="82"/>
      <c r="R92" s="82"/>
      <c r="S92" s="82"/>
      <c r="T92" s="81">
        <v>0.0</v>
      </c>
      <c r="U92" s="16">
        <v>0.0</v>
      </c>
      <c r="V92" s="89">
        <f>IFERROR(__xludf.DUMMYFUNCTION("INDEX(SPLIT(SUBSTITUTE(W92,CHAR(10), """"),"",:""), MATCH(Z92, SPLIT(SUBSTITUTE(W92,CHAR(10), """"),"",:""), 0) + 1)"),6.0)</f>
        <v>6</v>
      </c>
      <c r="W92" s="85" t="s">
        <v>2282</v>
      </c>
      <c r="X92" s="21" t="s">
        <v>2283</v>
      </c>
      <c r="Y92" s="120" t="s">
        <v>2275</v>
      </c>
      <c r="Z92" s="53" t="str">
        <f t="array" ref="Z92">INDEX(Problems!J:J, MATCH(1, (Problems!B:B=B92)*1, 0))</f>
        <v>m+n</v>
      </c>
      <c r="AA92" s="120"/>
      <c r="AB92" s="120"/>
      <c r="AC92" s="120" t="s">
        <v>1813</v>
      </c>
      <c r="AD92" s="120" t="s">
        <v>1814</v>
      </c>
      <c r="AE92" s="85">
        <f>IFERROR(__xludf.DUMMYFUNCTION("INDEX(SPLIT(SUBSTITUTE(AF92,CHAR(10), """"),"",:""), MATCH(Z92, SPLIT(SUBSTITUTE(AF92,CHAR(10), """"),"",:""), 0) + 1)"),5.0)</f>
        <v>5</v>
      </c>
      <c r="AF92" s="85" t="s">
        <v>2244</v>
      </c>
      <c r="AG92" s="123" t="s">
        <v>399</v>
      </c>
      <c r="AH92" s="53" t="s">
        <v>2276</v>
      </c>
      <c r="AI92" s="84">
        <v>1.0</v>
      </c>
      <c r="AJ92" s="84">
        <v>0.0</v>
      </c>
      <c r="AK92" s="87"/>
      <c r="AL92" s="81">
        <v>0.0</v>
      </c>
      <c r="AM92" s="21"/>
      <c r="AN92" s="16">
        <v>0.0</v>
      </c>
      <c r="AO92" s="90"/>
      <c r="AP92" s="16">
        <v>0.0</v>
      </c>
      <c r="AQ92" s="16">
        <v>0.0</v>
      </c>
      <c r="AR92" s="39"/>
      <c r="AS92" s="81">
        <v>0.0</v>
      </c>
      <c r="AT92" s="81">
        <v>0.0</v>
      </c>
      <c r="AU92" s="39"/>
      <c r="AV92" s="7" t="s">
        <v>2277</v>
      </c>
      <c r="AW92" s="82"/>
      <c r="AX92" s="82"/>
      <c r="AY92" s="7" t="s">
        <v>2278</v>
      </c>
      <c r="AZ92" s="7"/>
      <c r="BA92" s="7"/>
      <c r="BB92" s="7"/>
      <c r="BC92" s="7"/>
      <c r="BD92" s="7"/>
      <c r="BE92" s="7"/>
      <c r="BF92" s="7">
        <v>250000.0</v>
      </c>
      <c r="BG92" s="82">
        <f t="shared" si="17"/>
        <v>1</v>
      </c>
      <c r="BH92" s="82"/>
      <c r="BI92" s="82"/>
      <c r="BJ92" s="82"/>
      <c r="BK92" s="82"/>
      <c r="BL92" s="82"/>
      <c r="BM92" s="82"/>
      <c r="BN92" s="7"/>
      <c r="BO92" s="7">
        <v>4.0</v>
      </c>
      <c r="BP92" s="82"/>
      <c r="BQ92" s="7"/>
      <c r="BR92" s="7" t="s">
        <v>433</v>
      </c>
    </row>
    <row r="93">
      <c r="A93" s="16">
        <v>23.0</v>
      </c>
      <c r="B93" s="16" t="s">
        <v>424</v>
      </c>
      <c r="C93" s="53">
        <v>2.0</v>
      </c>
      <c r="D93" s="53" t="s">
        <v>2284</v>
      </c>
      <c r="E93" s="7">
        <v>252.0</v>
      </c>
      <c r="F93" s="53"/>
      <c r="G93" s="7"/>
      <c r="H93" s="16">
        <v>1.0</v>
      </c>
      <c r="I93" s="16">
        <v>1.0</v>
      </c>
      <c r="J93" s="39" t="s">
        <v>2285</v>
      </c>
      <c r="K93" s="53" t="s">
        <v>2117</v>
      </c>
      <c r="L93" s="53" t="s">
        <v>2117</v>
      </c>
      <c r="M93" s="39" t="str">
        <f t="shared" si="1"/>
        <v>[https://www.sciencedirect.com/science/article/pii/0022000080900021 Masek; Patterson (1980)]</v>
      </c>
      <c r="N93" s="39" t="s">
        <v>2286</v>
      </c>
      <c r="O93" s="81">
        <v>1980.0</v>
      </c>
      <c r="P93" s="17" t="s">
        <v>2287</v>
      </c>
      <c r="Q93" s="7">
        <v>1.0</v>
      </c>
      <c r="R93" s="7">
        <v>1.0</v>
      </c>
      <c r="S93" s="114" t="s">
        <v>2288</v>
      </c>
      <c r="T93" s="81">
        <v>1.0</v>
      </c>
      <c r="U93" s="16">
        <v>0.0</v>
      </c>
      <c r="V93" s="89">
        <f>IFERROR(__xludf.DUMMYFUNCTION("INDEX(SPLIT(SUBSTITUTE(W93,CHAR(10), """"),"",:""), MATCH(Z93, SPLIT(SUBSTITUTE(W93,CHAR(10), """"),"",:""), 0) + 1)"),4.99)</f>
        <v>4.99</v>
      </c>
      <c r="W93" s="85" t="s">
        <v>2289</v>
      </c>
      <c r="X93" s="16" t="s">
        <v>2290</v>
      </c>
      <c r="Y93" s="120" t="s">
        <v>2275</v>
      </c>
      <c r="Z93" s="53" t="str">
        <f t="array" ref="Z93">INDEX(Problems!J:J, MATCH(1, (Problems!B:B=B93)*1, 0))</f>
        <v>m+n</v>
      </c>
      <c r="AA93" s="120"/>
      <c r="AB93" s="120"/>
      <c r="AC93" s="120" t="s">
        <v>1813</v>
      </c>
      <c r="AD93" s="120" t="s">
        <v>1814</v>
      </c>
      <c r="AE93" s="85">
        <f>IFERROR(__xludf.DUMMYFUNCTION("INDEX(SPLIT(SUBSTITUTE(AF93,CHAR(10), """"),"",:""), MATCH(Z93, SPLIT(SUBSTITUTE(AF93,CHAR(10), """"),"",:""), 0) + 1)"),3.0)</f>
        <v>3</v>
      </c>
      <c r="AF93" s="85" t="s">
        <v>2291</v>
      </c>
      <c r="AG93" s="124" t="s">
        <v>35</v>
      </c>
      <c r="AH93" s="125" t="s">
        <v>2287</v>
      </c>
      <c r="AI93" s="84">
        <v>0.0</v>
      </c>
      <c r="AJ93" s="84">
        <v>1.0</v>
      </c>
      <c r="AK93" s="87"/>
      <c r="AL93" s="81">
        <v>0.0</v>
      </c>
      <c r="AM93" s="21"/>
      <c r="AN93" s="16">
        <v>0.0</v>
      </c>
      <c r="AO93" s="90"/>
      <c r="AP93" s="16">
        <v>0.0</v>
      </c>
      <c r="AQ93" s="16">
        <v>0.0</v>
      </c>
      <c r="AR93" s="39"/>
      <c r="AS93" s="81">
        <v>0.0</v>
      </c>
      <c r="AT93" s="81">
        <v>0.0</v>
      </c>
      <c r="AU93" s="39"/>
      <c r="AV93" s="7" t="s">
        <v>2277</v>
      </c>
      <c r="AW93" s="82"/>
      <c r="AX93" s="82"/>
      <c r="AY93" s="7" t="s">
        <v>2278</v>
      </c>
      <c r="AZ93" s="7"/>
      <c r="BA93" s="7"/>
      <c r="BB93" s="7"/>
      <c r="BC93" s="7"/>
      <c r="BD93" s="7"/>
      <c r="BE93" s="7"/>
      <c r="BF93" s="7">
        <v>27901.0</v>
      </c>
      <c r="BG93" s="82">
        <f>BF91/BF93</f>
        <v>8.960252321</v>
      </c>
      <c r="BH93" s="82">
        <f>POW(BG93,1/($O93-$O91)) - 1</f>
        <v>0.2451796774</v>
      </c>
      <c r="BI93" s="82">
        <f>BI91/(LOG((1000000/2),2))</f>
        <v>13205456224</v>
      </c>
      <c r="BJ93" s="82">
        <f>BI91/BI93</f>
        <v>18.93156857</v>
      </c>
      <c r="BK93" s="82">
        <f>POW(BJ93,1/($O93-$O91)) - 1</f>
        <v>0.3418953868</v>
      </c>
      <c r="BL93" s="82">
        <f>BL91/(LOG((1000000000/2),2))</f>
        <v>8.65131E+15</v>
      </c>
      <c r="BM93" s="82">
        <f>BL91/BL93</f>
        <v>28.89735285</v>
      </c>
      <c r="BN93" s="82">
        <f>POW(BM93,1/($O93-$O91)) - 1</f>
        <v>0.3998638745</v>
      </c>
      <c r="BO93" s="7">
        <v>4.0</v>
      </c>
      <c r="BP93" s="82"/>
      <c r="BQ93" s="7"/>
      <c r="BR93" s="7" t="s">
        <v>433</v>
      </c>
    </row>
    <row r="94">
      <c r="A94" s="16">
        <v>23.0</v>
      </c>
      <c r="B94" s="16" t="s">
        <v>424</v>
      </c>
      <c r="C94" s="53">
        <v>2.0</v>
      </c>
      <c r="D94" s="53" t="s">
        <v>2292</v>
      </c>
      <c r="E94" s="7">
        <v>253.0</v>
      </c>
      <c r="F94" s="53"/>
      <c r="G94" s="7"/>
      <c r="H94" s="16">
        <v>1.0</v>
      </c>
      <c r="I94" s="16">
        <v>1.0</v>
      </c>
      <c r="J94" s="39" t="s">
        <v>399</v>
      </c>
      <c r="K94" s="53" t="s">
        <v>2117</v>
      </c>
      <c r="L94" s="53" t="s">
        <v>2117</v>
      </c>
      <c r="M94" s="39" t="str">
        <f t="shared" si="1"/>
        <v>[https://dl.acm.org/doi/10.1145/360825.360861 Hirschberg's algorithm (1975)]</v>
      </c>
      <c r="N94" s="39" t="s">
        <v>2293</v>
      </c>
      <c r="O94" s="81">
        <v>1975.0</v>
      </c>
      <c r="P94" s="49" t="s">
        <v>2014</v>
      </c>
      <c r="Q94" s="82"/>
      <c r="R94" s="82"/>
      <c r="S94" s="82"/>
      <c r="T94" s="81">
        <v>0.0</v>
      </c>
      <c r="U94" s="16">
        <v>0.0</v>
      </c>
      <c r="V94" s="89">
        <f>IFERROR(__xludf.DUMMYFUNCTION("INDEX(SPLIT(SUBSTITUTE(W94,CHAR(10), """"),"",:""), MATCH(Z94, SPLIT(SUBSTITUTE(W94,CHAR(10), """"),"",:""), 0) + 1)"),5.0)</f>
        <v>5</v>
      </c>
      <c r="W94" s="85" t="s">
        <v>2244</v>
      </c>
      <c r="X94" s="16" t="s">
        <v>2270</v>
      </c>
      <c r="Y94" s="93" t="s">
        <v>2275</v>
      </c>
      <c r="Z94" s="53" t="str">
        <f t="array" ref="Z94">INDEX(Problems!J:J, MATCH(1, (Problems!B:B=B94)*1, 0))</f>
        <v>m+n</v>
      </c>
      <c r="AA94" s="93"/>
      <c r="AB94" s="93"/>
      <c r="AC94" s="85" t="s">
        <v>1813</v>
      </c>
      <c r="AD94" s="85" t="s">
        <v>1814</v>
      </c>
      <c r="AE94" s="85">
        <f>IFERROR(__xludf.DUMMYFUNCTION("INDEX(SPLIT(SUBSTITUTE(AF94,CHAR(10), """"),"",:""), MATCH(Z94, SPLIT(SUBSTITUTE(AF94,CHAR(10), """"),"",:""), 0) + 1)"),3.0)</f>
        <v>3</v>
      </c>
      <c r="AF94" s="85" t="s">
        <v>2291</v>
      </c>
      <c r="AG94" s="85" t="s">
        <v>35</v>
      </c>
      <c r="AH94" s="126" t="s">
        <v>2014</v>
      </c>
      <c r="AI94" s="84">
        <v>0.0</v>
      </c>
      <c r="AJ94" s="84">
        <v>1.0</v>
      </c>
      <c r="AK94" s="87"/>
      <c r="AL94" s="81">
        <v>0.0</v>
      </c>
      <c r="AM94" s="21"/>
      <c r="AN94" s="16">
        <v>0.0</v>
      </c>
      <c r="AO94" s="90"/>
      <c r="AP94" s="16">
        <v>0.0</v>
      </c>
      <c r="AQ94" s="16">
        <v>0.0</v>
      </c>
      <c r="AR94" s="39"/>
      <c r="AS94" s="81">
        <v>0.0</v>
      </c>
      <c r="AT94" s="81">
        <v>0.0</v>
      </c>
      <c r="AU94" s="39"/>
      <c r="AV94" s="7" t="s">
        <v>2277</v>
      </c>
      <c r="AW94" s="82"/>
      <c r="AX94" s="82"/>
      <c r="AY94" s="7" t="s">
        <v>2278</v>
      </c>
      <c r="AZ94" s="7">
        <f> 1000</f>
        <v>1000</v>
      </c>
      <c r="BA94" s="7">
        <f>POW(AZ91/AZ94,1/($O94-$O91)) - 1</f>
        <v>2.981071706</v>
      </c>
      <c r="BB94" s="7">
        <f> 1000000</f>
        <v>1000000</v>
      </c>
      <c r="BC94" s="7">
        <f>POW(BB91/BB94,1/($O94-$O91)) - 1</f>
        <v>14.84893192</v>
      </c>
      <c r="BD94" s="7">
        <f> 1000000000</f>
        <v>1000000000</v>
      </c>
      <c r="BE94" s="7">
        <f>POW(BD91/BD94,1/($O94-$O91)) - 1</f>
        <v>62.09573445</v>
      </c>
      <c r="BF94" s="7">
        <v>250000.0</v>
      </c>
      <c r="BG94" s="82">
        <f t="shared" ref="BG94:BG99" si="18">250000/BF94</f>
        <v>1</v>
      </c>
      <c r="BH94" s="82"/>
      <c r="BI94" s="82"/>
      <c r="BJ94" s="82"/>
      <c r="BK94" s="82"/>
      <c r="BL94" s="82"/>
      <c r="BM94" s="82"/>
      <c r="BN94" s="7"/>
      <c r="BO94" s="7">
        <v>4.0</v>
      </c>
      <c r="BP94" s="82"/>
      <c r="BQ94" s="7"/>
      <c r="BR94" s="7" t="s">
        <v>433</v>
      </c>
    </row>
    <row r="95">
      <c r="A95" s="16">
        <v>23.0</v>
      </c>
      <c r="B95" s="16" t="s">
        <v>424</v>
      </c>
      <c r="C95" s="53">
        <v>2.0</v>
      </c>
      <c r="D95" s="53" t="s">
        <v>2279</v>
      </c>
      <c r="E95" s="7">
        <v>254.0</v>
      </c>
      <c r="F95" s="53"/>
      <c r="G95" s="7"/>
      <c r="H95" s="16">
        <v>1.0</v>
      </c>
      <c r="I95" s="16">
        <v>1.0</v>
      </c>
      <c r="J95" s="39" t="s">
        <v>399</v>
      </c>
      <c r="K95" s="53" t="s">
        <v>2117</v>
      </c>
      <c r="L95" s="53" t="s">
        <v>2117</v>
      </c>
      <c r="M95" s="39" t="str">
        <f t="shared" si="1"/>
        <v>[https://www.ncbi.nlm.nih.gov/pubmed/2983426 FASTA (1985)]</v>
      </c>
      <c r="N95" s="39" t="s">
        <v>2294</v>
      </c>
      <c r="O95" s="81">
        <v>1985.0</v>
      </c>
      <c r="P95" s="28" t="s">
        <v>2295</v>
      </c>
      <c r="Q95" s="82"/>
      <c r="R95" s="82"/>
      <c r="S95" s="82"/>
      <c r="T95" s="81">
        <v>0.0</v>
      </c>
      <c r="U95" s="16">
        <v>0.0</v>
      </c>
      <c r="V95" s="89">
        <f>IFERROR(__xludf.DUMMYFUNCTION("INDEX(SPLIT(SUBSTITUTE(W95,CHAR(10), """"),"",:""), MATCH(Z95, SPLIT(SUBSTITUTE(W95,CHAR(10), """"),"",:""), 0) + 1)"),5.0)</f>
        <v>5</v>
      </c>
      <c r="W95" s="85" t="s">
        <v>2244</v>
      </c>
      <c r="X95" s="16" t="s">
        <v>2270</v>
      </c>
      <c r="Y95" s="120" t="s">
        <v>2275</v>
      </c>
      <c r="Z95" s="53" t="str">
        <f t="array" ref="Z95">INDEX(Problems!J:J, MATCH(1, (Problems!B:B=B95)*1, 0))</f>
        <v>m+n</v>
      </c>
      <c r="AA95" s="120"/>
      <c r="AB95" s="120"/>
      <c r="AC95" s="120" t="s">
        <v>1813</v>
      </c>
      <c r="AD95" s="120" t="s">
        <v>1814</v>
      </c>
      <c r="AE95" s="85">
        <f>IFERROR(__xludf.DUMMYFUNCTION("INDEX(SPLIT(SUBSTITUTE(AF95,CHAR(10), """"),"",:""), MATCH(Z95, SPLIT(SUBSTITUTE(AF95,CHAR(10), """"),"",:""), 0) + 1)"),5.0)</f>
        <v>5</v>
      </c>
      <c r="AF95" s="85" t="s">
        <v>2244</v>
      </c>
      <c r="AG95" s="123" t="s">
        <v>399</v>
      </c>
      <c r="AH95" s="53" t="s">
        <v>2276</v>
      </c>
      <c r="AI95" s="84">
        <v>1.0</v>
      </c>
      <c r="AJ95" s="84">
        <v>0.0</v>
      </c>
      <c r="AK95" s="87"/>
      <c r="AL95" s="81">
        <v>0.0</v>
      </c>
      <c r="AM95" s="21"/>
      <c r="AN95" s="16">
        <v>0.0</v>
      </c>
      <c r="AO95" s="90"/>
      <c r="AP95" s="16">
        <v>0.0</v>
      </c>
      <c r="AQ95" s="16">
        <v>0.0</v>
      </c>
      <c r="AR95" s="39"/>
      <c r="AS95" s="81">
        <v>0.0</v>
      </c>
      <c r="AT95" s="81">
        <v>0.0</v>
      </c>
      <c r="AU95" s="25" t="s">
        <v>2296</v>
      </c>
      <c r="AV95" s="7" t="s">
        <v>2277</v>
      </c>
      <c r="AW95" s="82"/>
      <c r="AX95" s="82"/>
      <c r="AY95" s="7" t="s">
        <v>2278</v>
      </c>
      <c r="AZ95" s="7"/>
      <c r="BA95" s="7"/>
      <c r="BB95" s="7"/>
      <c r="BC95" s="7"/>
      <c r="BD95" s="7"/>
      <c r="BE95" s="7"/>
      <c r="BF95" s="7">
        <v>250000.0</v>
      </c>
      <c r="BG95" s="82">
        <f t="shared" si="18"/>
        <v>1</v>
      </c>
      <c r="BH95" s="82"/>
      <c r="BI95" s="82"/>
      <c r="BJ95" s="82"/>
      <c r="BK95" s="82"/>
      <c r="BL95" s="82"/>
      <c r="BM95" s="82"/>
      <c r="BN95" s="7"/>
      <c r="BO95" s="7">
        <v>4.0</v>
      </c>
      <c r="BP95" s="82"/>
      <c r="BQ95" s="7"/>
      <c r="BR95" s="7" t="s">
        <v>433</v>
      </c>
    </row>
    <row r="96">
      <c r="A96" s="16">
        <v>23.0</v>
      </c>
      <c r="B96" s="16" t="s">
        <v>424</v>
      </c>
      <c r="C96" s="53">
        <v>2.0</v>
      </c>
      <c r="D96" s="53" t="s">
        <v>2279</v>
      </c>
      <c r="E96" s="7">
        <v>255.0</v>
      </c>
      <c r="F96" s="53"/>
      <c r="G96" s="7"/>
      <c r="H96" s="16">
        <v>1.0</v>
      </c>
      <c r="I96" s="16">
        <v>1.0</v>
      </c>
      <c r="J96" s="39" t="s">
        <v>399</v>
      </c>
      <c r="K96" s="53" t="s">
        <v>2117</v>
      </c>
      <c r="L96" s="53" t="s">
        <v>2117</v>
      </c>
      <c r="M96" s="39" t="str">
        <f t="shared" si="1"/>
        <v>[https://www.sciencedirect.com/science/article/pii/0022283682903989 Gotoh (1982)]</v>
      </c>
      <c r="N96" s="16" t="s">
        <v>2297</v>
      </c>
      <c r="O96" s="81">
        <v>1982.0</v>
      </c>
      <c r="P96" s="28" t="s">
        <v>2298</v>
      </c>
      <c r="Q96" s="82"/>
      <c r="R96" s="82"/>
      <c r="S96" s="82"/>
      <c r="T96" s="81">
        <v>0.0</v>
      </c>
      <c r="U96" s="16">
        <v>0.0</v>
      </c>
      <c r="V96" s="89">
        <f>IFERROR(__xludf.DUMMYFUNCTION("INDEX(SPLIT(SUBSTITUTE(W96,CHAR(10), """"),"",:""), MATCH(Z96, SPLIT(SUBSTITUTE(W96,CHAR(10), """"),"",:""), 0) + 1)"),5.0)</f>
        <v>5</v>
      </c>
      <c r="W96" s="85" t="s">
        <v>2244</v>
      </c>
      <c r="X96" s="16" t="s">
        <v>2270</v>
      </c>
      <c r="Y96" s="120" t="s">
        <v>2275</v>
      </c>
      <c r="Z96" s="53" t="str">
        <f t="array" ref="Z96">INDEX(Problems!J:J, MATCH(1, (Problems!B:B=B96)*1, 0))</f>
        <v>m+n</v>
      </c>
      <c r="AA96" s="120"/>
      <c r="AB96" s="120"/>
      <c r="AC96" s="120" t="s">
        <v>1813</v>
      </c>
      <c r="AD96" s="120" t="s">
        <v>1814</v>
      </c>
      <c r="AE96" s="85">
        <f>IFERROR(__xludf.DUMMYFUNCTION("INDEX(SPLIT(SUBSTITUTE(AF96,CHAR(10), """"),"",:""), MATCH(Z96, SPLIT(SUBSTITUTE(AF96,CHAR(10), """"),"",:""), 0) + 1)"),5.0)</f>
        <v>5</v>
      </c>
      <c r="AF96" s="85" t="s">
        <v>2244</v>
      </c>
      <c r="AG96" s="123" t="s">
        <v>399</v>
      </c>
      <c r="AH96" s="53" t="s">
        <v>2299</v>
      </c>
      <c r="AI96" s="84">
        <v>1.0</v>
      </c>
      <c r="AJ96" s="84">
        <v>0.0</v>
      </c>
      <c r="AK96" s="87"/>
      <c r="AL96" s="81">
        <v>0.0</v>
      </c>
      <c r="AM96" s="21"/>
      <c r="AN96" s="16">
        <v>0.0</v>
      </c>
      <c r="AO96" s="90"/>
      <c r="AP96" s="16">
        <v>0.0</v>
      </c>
      <c r="AQ96" s="16">
        <v>0.0</v>
      </c>
      <c r="AR96" s="39"/>
      <c r="AS96" s="81">
        <v>0.0</v>
      </c>
      <c r="AT96" s="81">
        <v>0.0</v>
      </c>
      <c r="AU96" s="39"/>
      <c r="AV96" s="7" t="s">
        <v>2277</v>
      </c>
      <c r="AW96" s="82"/>
      <c r="AX96" s="82"/>
      <c r="AY96" s="7" t="s">
        <v>2278</v>
      </c>
      <c r="AZ96" s="7"/>
      <c r="BA96" s="7"/>
      <c r="BB96" s="7"/>
      <c r="BC96" s="7"/>
      <c r="BD96" s="7"/>
      <c r="BE96" s="7"/>
      <c r="BF96" s="7">
        <v>250000.0</v>
      </c>
      <c r="BG96" s="82">
        <f t="shared" si="18"/>
        <v>1</v>
      </c>
      <c r="BH96" s="82"/>
      <c r="BI96" s="82"/>
      <c r="BJ96" s="82"/>
      <c r="BK96" s="82"/>
      <c r="BL96" s="82"/>
      <c r="BM96" s="82"/>
      <c r="BN96" s="7"/>
      <c r="BO96" s="7">
        <v>4.0</v>
      </c>
      <c r="BP96" s="82"/>
      <c r="BQ96" s="7"/>
      <c r="BR96" s="7" t="s">
        <v>433</v>
      </c>
    </row>
    <row r="97">
      <c r="A97" s="16">
        <v>23.0</v>
      </c>
      <c r="B97" s="16" t="s">
        <v>424</v>
      </c>
      <c r="C97" s="53">
        <v>2.0</v>
      </c>
      <c r="D97" s="53" t="s">
        <v>2279</v>
      </c>
      <c r="E97" s="7">
        <v>256.0</v>
      </c>
      <c r="F97" s="53"/>
      <c r="G97" s="7"/>
      <c r="H97" s="16">
        <v>1.0</v>
      </c>
      <c r="I97" s="16">
        <v>1.0</v>
      </c>
      <c r="J97" s="39" t="s">
        <v>399</v>
      </c>
      <c r="K97" s="53" t="s">
        <v>2117</v>
      </c>
      <c r="L97" s="53" t="s">
        <v>2117</v>
      </c>
      <c r="M97" s="39" t="str">
        <f t="shared" si="1"/>
        <v>[https://link.springer.com/article/10.1007/BF02462326 Altschul and Erickson (1986)]</v>
      </c>
      <c r="N97" s="16" t="s">
        <v>2300</v>
      </c>
      <c r="O97" s="81">
        <v>1986.0</v>
      </c>
      <c r="P97" s="96" t="s">
        <v>2301</v>
      </c>
      <c r="Q97" s="82"/>
      <c r="R97" s="82"/>
      <c r="S97" s="82"/>
      <c r="T97" s="81">
        <v>0.0</v>
      </c>
      <c r="U97" s="16">
        <v>0.0</v>
      </c>
      <c r="V97" s="89">
        <f>IFERROR(__xludf.DUMMYFUNCTION("INDEX(SPLIT(SUBSTITUTE(W97,CHAR(10), """"),"",:""), MATCH(Z97, SPLIT(SUBSTITUTE(W97,CHAR(10), """"),"",:""), 0) + 1)"),5.0)</f>
        <v>5</v>
      </c>
      <c r="W97" s="85" t="s">
        <v>2244</v>
      </c>
      <c r="X97" s="16" t="s">
        <v>2270</v>
      </c>
      <c r="Y97" s="120" t="s">
        <v>2275</v>
      </c>
      <c r="Z97" s="53" t="str">
        <f t="array" ref="Z97">INDEX(Problems!J:J, MATCH(1, (Problems!B:B=B97)*1, 0))</f>
        <v>m+n</v>
      </c>
      <c r="AA97" s="120"/>
      <c r="AB97" s="120"/>
      <c r="AC97" s="120" t="s">
        <v>1813</v>
      </c>
      <c r="AD97" s="120" t="s">
        <v>1814</v>
      </c>
      <c r="AE97" s="85">
        <f>IFERROR(__xludf.DUMMYFUNCTION("INDEX(SPLIT(SUBSTITUTE(AF97,CHAR(10), """"),"",:""), MATCH(Z97, SPLIT(SUBSTITUTE(AF97,CHAR(10), """"),"",:""), 0) + 1)"),5.0)</f>
        <v>5</v>
      </c>
      <c r="AF97" s="85" t="s">
        <v>2244</v>
      </c>
      <c r="AG97" s="123" t="s">
        <v>399</v>
      </c>
      <c r="AH97" s="53" t="s">
        <v>2299</v>
      </c>
      <c r="AI97" s="84">
        <v>1.0</v>
      </c>
      <c r="AJ97" s="84">
        <v>0.0</v>
      </c>
      <c r="AK97" s="87"/>
      <c r="AL97" s="81">
        <v>0.0</v>
      </c>
      <c r="AM97" s="21"/>
      <c r="AN97" s="16">
        <v>0.0</v>
      </c>
      <c r="AO97" s="90"/>
      <c r="AP97" s="16">
        <v>0.0</v>
      </c>
      <c r="AQ97" s="16">
        <v>0.0</v>
      </c>
      <c r="AR97" s="39"/>
      <c r="AS97" s="81">
        <v>0.0</v>
      </c>
      <c r="AT97" s="81">
        <v>0.0</v>
      </c>
      <c r="AU97" s="39"/>
      <c r="AV97" s="7" t="s">
        <v>2277</v>
      </c>
      <c r="AW97" s="82"/>
      <c r="AX97" s="82"/>
      <c r="AY97" s="7" t="s">
        <v>2278</v>
      </c>
      <c r="AZ97" s="7"/>
      <c r="BA97" s="7"/>
      <c r="BB97" s="7"/>
      <c r="BC97" s="7"/>
      <c r="BD97" s="7"/>
      <c r="BE97" s="7"/>
      <c r="BF97" s="7">
        <v>250000.0</v>
      </c>
      <c r="BG97" s="82">
        <f t="shared" si="18"/>
        <v>1</v>
      </c>
      <c r="BH97" s="82"/>
      <c r="BI97" s="82"/>
      <c r="BJ97" s="82"/>
      <c r="BK97" s="82"/>
      <c r="BL97" s="82"/>
      <c r="BM97" s="82"/>
      <c r="BN97" s="7"/>
      <c r="BO97" s="7">
        <v>4.0</v>
      </c>
      <c r="BP97" s="82"/>
      <c r="BQ97" s="7"/>
      <c r="BR97" s="7" t="s">
        <v>433</v>
      </c>
    </row>
    <row r="98">
      <c r="A98" s="16">
        <v>23.0</v>
      </c>
      <c r="B98" s="16" t="s">
        <v>424</v>
      </c>
      <c r="C98" s="53">
        <v>2.0</v>
      </c>
      <c r="D98" s="53" t="s">
        <v>2279</v>
      </c>
      <c r="E98" s="7">
        <v>257.0</v>
      </c>
      <c r="F98" s="53"/>
      <c r="G98" s="7"/>
      <c r="H98" s="16">
        <v>1.0</v>
      </c>
      <c r="I98" s="16">
        <v>1.0</v>
      </c>
      <c r="J98" s="39" t="s">
        <v>399</v>
      </c>
      <c r="K98" s="53" t="s">
        <v>2117</v>
      </c>
      <c r="L98" s="53" t="s">
        <v>2117</v>
      </c>
      <c r="M98" s="39" t="str">
        <f t="shared" si="1"/>
        <v>[https://academic.oup.com/bioinformatics/article/4/1/11/205106?login=true Myers and Miller (1988)]</v>
      </c>
      <c r="N98" s="16" t="s">
        <v>2302</v>
      </c>
      <c r="O98" s="81">
        <v>1988.0</v>
      </c>
      <c r="P98" s="96" t="s">
        <v>2303</v>
      </c>
      <c r="Q98" s="82"/>
      <c r="R98" s="82"/>
      <c r="S98" s="82"/>
      <c r="T98" s="81">
        <v>0.0</v>
      </c>
      <c r="U98" s="16">
        <v>0.0</v>
      </c>
      <c r="V98" s="89">
        <f>IFERROR(__xludf.DUMMYFUNCTION("INDEX(SPLIT(SUBSTITUTE(W98,CHAR(10), """"),"",:""), MATCH(Z98, SPLIT(SUBSTITUTE(W98,CHAR(10), """"),"",:""), 0) + 1)"),5.0)</f>
        <v>5</v>
      </c>
      <c r="W98" s="85" t="s">
        <v>2244</v>
      </c>
      <c r="X98" s="16" t="s">
        <v>2270</v>
      </c>
      <c r="Y98" s="120" t="s">
        <v>2275</v>
      </c>
      <c r="Z98" s="53" t="str">
        <f t="array" ref="Z98">INDEX(Problems!J:J, MATCH(1, (Problems!B:B=B98)*1, 0))</f>
        <v>m+n</v>
      </c>
      <c r="AA98" s="120"/>
      <c r="AB98" s="120"/>
      <c r="AC98" s="120" t="s">
        <v>1813</v>
      </c>
      <c r="AD98" s="120" t="s">
        <v>1814</v>
      </c>
      <c r="AE98" s="85">
        <f>IFERROR(__xludf.DUMMYFUNCTION("INDEX(SPLIT(SUBSTITUTE(AF98,CHAR(10), """"),"",:""), MATCH(Z98, SPLIT(SUBSTITUTE(AF98,CHAR(10), """"),"",:""), 0) + 1)"),3.0)</f>
        <v>3</v>
      </c>
      <c r="AF98" s="85" t="s">
        <v>2304</v>
      </c>
      <c r="AG98" s="53" t="s">
        <v>2305</v>
      </c>
      <c r="AH98" s="91" t="s">
        <v>2303</v>
      </c>
      <c r="AI98" s="84">
        <v>0.0</v>
      </c>
      <c r="AJ98" s="84">
        <v>1.0</v>
      </c>
      <c r="AK98" s="87"/>
      <c r="AL98" s="81">
        <v>0.0</v>
      </c>
      <c r="AM98" s="21"/>
      <c r="AN98" s="16">
        <v>0.0</v>
      </c>
      <c r="AO98" s="90"/>
      <c r="AP98" s="16">
        <v>0.0</v>
      </c>
      <c r="AQ98" s="16">
        <v>0.0</v>
      </c>
      <c r="AR98" s="39"/>
      <c r="AS98" s="81">
        <v>0.0</v>
      </c>
      <c r="AT98" s="81">
        <v>0.0</v>
      </c>
      <c r="AU98" s="39"/>
      <c r="AV98" s="7" t="s">
        <v>2277</v>
      </c>
      <c r="AW98" s="82"/>
      <c r="AX98" s="82"/>
      <c r="AY98" s="7" t="s">
        <v>2278</v>
      </c>
      <c r="AZ98" s="7"/>
      <c r="BA98" s="7"/>
      <c r="BB98" s="7"/>
      <c r="BC98" s="7"/>
      <c r="BD98" s="7"/>
      <c r="BE98" s="7"/>
      <c r="BF98" s="7">
        <v>250000.0</v>
      </c>
      <c r="BG98" s="82">
        <f t="shared" si="18"/>
        <v>1</v>
      </c>
      <c r="BH98" s="82"/>
      <c r="BI98" s="82"/>
      <c r="BJ98" s="82"/>
      <c r="BK98" s="82"/>
      <c r="BL98" s="82"/>
      <c r="BM98" s="82"/>
      <c r="BN98" s="7"/>
      <c r="BO98" s="7">
        <v>4.0</v>
      </c>
      <c r="BP98" s="82"/>
      <c r="BQ98" s="7"/>
      <c r="BR98" s="7" t="s">
        <v>433</v>
      </c>
    </row>
    <row r="99">
      <c r="A99" s="16">
        <v>23.0</v>
      </c>
      <c r="B99" s="16" t="s">
        <v>424</v>
      </c>
      <c r="C99" s="53">
        <v>2.0</v>
      </c>
      <c r="D99" s="53" t="s">
        <v>2272</v>
      </c>
      <c r="E99" s="7">
        <v>260.0</v>
      </c>
      <c r="F99" s="53"/>
      <c r="G99" s="7"/>
      <c r="H99" s="16">
        <v>1.0</v>
      </c>
      <c r="I99" s="16">
        <v>1.0</v>
      </c>
      <c r="J99" s="39" t="s">
        <v>399</v>
      </c>
      <c r="K99" s="53" t="s">
        <v>2117</v>
      </c>
      <c r="L99" s="53" t="s">
        <v>2117</v>
      </c>
      <c r="M99" s="39" t="str">
        <f t="shared" si="1"/>
        <v>[https://www.ncbi.nlm.nih.gov/pmc/articles/PMC427531/ David Sankoff (1972)]</v>
      </c>
      <c r="N99" s="16" t="s">
        <v>2306</v>
      </c>
      <c r="O99" s="81">
        <v>1972.0</v>
      </c>
      <c r="P99" s="28" t="s">
        <v>2307</v>
      </c>
      <c r="Q99" s="82"/>
      <c r="R99" s="82"/>
      <c r="S99" s="82"/>
      <c r="T99" s="81">
        <v>0.0</v>
      </c>
      <c r="U99" s="16">
        <v>0.0</v>
      </c>
      <c r="V99" s="89">
        <f>IFERROR(__xludf.DUMMYFUNCTION("INDEX(SPLIT(SUBSTITUTE(W99,CHAR(10), """"),"",:""), MATCH(Z99, SPLIT(SUBSTITUTE(W99,CHAR(10), """"),"",:""), 0) + 1)"),5.0)</f>
        <v>5</v>
      </c>
      <c r="W99" s="85" t="s">
        <v>2244</v>
      </c>
      <c r="X99" s="16" t="s">
        <v>2270</v>
      </c>
      <c r="Y99" s="120" t="s">
        <v>2275</v>
      </c>
      <c r="Z99" s="53" t="str">
        <f t="array" ref="Z99">INDEX(Problems!J:J, MATCH(1, (Problems!B:B=B99)*1, 0))</f>
        <v>m+n</v>
      </c>
      <c r="AA99" s="120"/>
      <c r="AB99" s="120"/>
      <c r="AC99" s="120" t="s">
        <v>1813</v>
      </c>
      <c r="AD99" s="120" t="s">
        <v>1814</v>
      </c>
      <c r="AE99" s="85">
        <f>IFERROR(__xludf.DUMMYFUNCTION("INDEX(SPLIT(SUBSTITUTE(AF99,CHAR(10), """"),"",:""), MATCH(Z99, SPLIT(SUBSTITUTE(AF99,CHAR(10), """"),"",:""), 0) + 1)"),5.0)</f>
        <v>5</v>
      </c>
      <c r="AF99" s="85" t="s">
        <v>2244</v>
      </c>
      <c r="AG99" s="123" t="s">
        <v>399</v>
      </c>
      <c r="AH99" s="53" t="s">
        <v>2299</v>
      </c>
      <c r="AI99" s="84">
        <v>1.0</v>
      </c>
      <c r="AJ99" s="84">
        <v>0.0</v>
      </c>
      <c r="AK99" s="87"/>
      <c r="AL99" s="81">
        <v>0.0</v>
      </c>
      <c r="AM99" s="21"/>
      <c r="AN99" s="16">
        <v>0.0</v>
      </c>
      <c r="AO99" s="90"/>
      <c r="AP99" s="16">
        <v>0.0</v>
      </c>
      <c r="AQ99" s="16">
        <v>0.0</v>
      </c>
      <c r="AR99" s="39"/>
      <c r="AS99" s="81">
        <v>0.0</v>
      </c>
      <c r="AT99" s="81">
        <v>0.0</v>
      </c>
      <c r="AU99" s="39"/>
      <c r="AV99" s="7" t="s">
        <v>2277</v>
      </c>
      <c r="AW99" s="82"/>
      <c r="AX99" s="82"/>
      <c r="AY99" s="7" t="s">
        <v>2278</v>
      </c>
      <c r="AZ99" s="7"/>
      <c r="BA99" s="7"/>
      <c r="BB99" s="7"/>
      <c r="BC99" s="7"/>
      <c r="BD99" s="7"/>
      <c r="BE99" s="7"/>
      <c r="BF99" s="7">
        <v>250000.0</v>
      </c>
      <c r="BG99" s="82">
        <f t="shared" si="18"/>
        <v>1</v>
      </c>
      <c r="BH99" s="82"/>
      <c r="BI99" s="82"/>
      <c r="BJ99" s="82"/>
      <c r="BK99" s="82"/>
      <c r="BL99" s="82"/>
      <c r="BM99" s="82"/>
      <c r="BN99" s="7"/>
      <c r="BO99" s="7">
        <v>4.0</v>
      </c>
      <c r="BP99" s="82"/>
      <c r="BQ99" s="7"/>
      <c r="BR99" s="7" t="s">
        <v>433</v>
      </c>
    </row>
    <row r="100">
      <c r="A100" s="16">
        <v>25.0</v>
      </c>
      <c r="B100" s="16" t="s">
        <v>441</v>
      </c>
      <c r="C100" s="53">
        <v>2.0</v>
      </c>
      <c r="D100" s="53" t="s">
        <v>442</v>
      </c>
      <c r="E100" s="7">
        <v>265.0</v>
      </c>
      <c r="F100" s="53"/>
      <c r="G100" s="7"/>
      <c r="H100" s="16">
        <v>1.0</v>
      </c>
      <c r="I100" s="81">
        <v>1.0</v>
      </c>
      <c r="J100" s="39" t="s">
        <v>35</v>
      </c>
      <c r="K100" s="53" t="s">
        <v>1945</v>
      </c>
      <c r="L100" s="53" t="s">
        <v>1946</v>
      </c>
      <c r="M100" s="39" t="str">
        <f t="shared" si="1"/>
        <v>[https://books.google.com/books/about/Principles_of_interactive_computer_graph.html?id=inJ8AAAAIAAJ Cohen–Sutherland (1967)]</v>
      </c>
      <c r="N100" s="39" t="s">
        <v>2308</v>
      </c>
      <c r="O100" s="81">
        <v>1967.0</v>
      </c>
      <c r="P100" s="17" t="s">
        <v>2309</v>
      </c>
      <c r="Q100" s="7">
        <v>1.0</v>
      </c>
      <c r="R100" s="7">
        <v>1.0</v>
      </c>
      <c r="S100" s="47" t="s">
        <v>2310</v>
      </c>
      <c r="T100" s="81">
        <v>1.0</v>
      </c>
      <c r="U100" s="81">
        <v>0.0</v>
      </c>
      <c r="V100" s="89">
        <f>IFERROR(__xludf.DUMMYFUNCTION("INDEX(SPLIT(SUBSTITUTE(W100,CHAR(10), """"),"",:""), MATCH(Z100, SPLIT(SUBSTITUTE(W100,CHAR(10), """"),"",:""), 0) + 1)"),3.0)</f>
        <v>3</v>
      </c>
      <c r="W100" s="85" t="s">
        <v>1763</v>
      </c>
      <c r="X100" s="39" t="s">
        <v>35</v>
      </c>
      <c r="Y100" s="53" t="s">
        <v>2311</v>
      </c>
      <c r="Z100" s="53" t="str">
        <f t="array" ref="Z100">INDEX(Problems!J:J, MATCH(1, (Problems!B:B=B100)*1, 0))</f>
        <v>n</v>
      </c>
      <c r="AA100" s="53"/>
      <c r="AB100" s="53"/>
      <c r="AC100" s="53" t="s">
        <v>2312</v>
      </c>
      <c r="AD100" s="53" t="s">
        <v>1814</v>
      </c>
      <c r="AE100" s="85">
        <f>IFERROR(__xludf.DUMMYFUNCTION("INDEX(SPLIT(SUBSTITUTE(AF100,CHAR(10), """"),"",:""), MATCH(Z100, SPLIT(SUBSTITUTE(AF100,CHAR(10), """"),"",:""), 0) + 1)"),1.0)</f>
        <v>1</v>
      </c>
      <c r="AF100" s="85" t="s">
        <v>1774</v>
      </c>
      <c r="AG100" s="53" t="s">
        <v>34</v>
      </c>
      <c r="AH100" s="53" t="s">
        <v>2313</v>
      </c>
      <c r="AI100" s="84">
        <v>1.0</v>
      </c>
      <c r="AJ100" s="84">
        <v>0.0</v>
      </c>
      <c r="AK100" s="87"/>
      <c r="AL100" s="81">
        <v>0.0</v>
      </c>
      <c r="AM100" s="87"/>
      <c r="AN100" s="81">
        <v>0.0</v>
      </c>
      <c r="AO100" s="90"/>
      <c r="AP100" s="81">
        <v>0.0</v>
      </c>
      <c r="AQ100" s="81">
        <v>0.0</v>
      </c>
      <c r="AR100" s="39"/>
      <c r="AS100" s="81">
        <v>0.0</v>
      </c>
      <c r="AT100" s="81">
        <v>0.0</v>
      </c>
      <c r="AU100" s="39"/>
      <c r="AV100" s="7" t="s">
        <v>2314</v>
      </c>
      <c r="AW100" s="82"/>
      <c r="AX100" s="82"/>
      <c r="AY100" s="7"/>
      <c r="AZ100" s="7"/>
      <c r="BA100" s="7"/>
      <c r="BB100" s="7"/>
      <c r="BC100" s="7"/>
      <c r="BD100" s="7"/>
      <c r="BE100" s="7"/>
      <c r="BF100" s="7">
        <v>1000.0</v>
      </c>
      <c r="BG100" s="82">
        <f t="shared" ref="BG100:BG104" si="19">1000/BF100</f>
        <v>1</v>
      </c>
      <c r="BH100" s="7"/>
      <c r="BI100" s="7">
        <v>1000000.0</v>
      </c>
      <c r="BJ100" s="7">
        <v>1.0</v>
      </c>
      <c r="BK100" s="7"/>
      <c r="BL100" s="7">
        <v>1.0E9</v>
      </c>
      <c r="BM100" s="7">
        <v>1.0</v>
      </c>
      <c r="BN100" s="7"/>
      <c r="BO100" s="7">
        <v>6.0</v>
      </c>
      <c r="BP100" s="82"/>
      <c r="BQ100" s="7"/>
      <c r="BR100" s="7" t="s">
        <v>196</v>
      </c>
    </row>
    <row r="101">
      <c r="A101" s="16">
        <v>25.0</v>
      </c>
      <c r="B101" s="16" t="s">
        <v>441</v>
      </c>
      <c r="C101" s="53">
        <v>2.0</v>
      </c>
      <c r="D101" s="53" t="s">
        <v>442</v>
      </c>
      <c r="E101" s="7">
        <v>266.0</v>
      </c>
      <c r="F101" s="53"/>
      <c r="G101" s="7"/>
      <c r="H101" s="16">
        <v>1.0</v>
      </c>
      <c r="I101" s="81">
        <v>1.0</v>
      </c>
      <c r="J101" s="39" t="s">
        <v>35</v>
      </c>
      <c r="K101" s="53" t="s">
        <v>2027</v>
      </c>
      <c r="L101" s="53" t="s">
        <v>2027</v>
      </c>
      <c r="M101" s="39" t="str">
        <f t="shared" si="1"/>
        <v>[https://dl.acm.org/doi/10.1145/357332.357333 Liang–Barsky (1984)]</v>
      </c>
      <c r="N101" s="39" t="s">
        <v>2315</v>
      </c>
      <c r="O101" s="81">
        <v>1984.0</v>
      </c>
      <c r="P101" s="28" t="s">
        <v>2316</v>
      </c>
      <c r="Q101" s="82"/>
      <c r="R101" s="82"/>
      <c r="S101" s="82"/>
      <c r="T101" s="81">
        <v>0.0</v>
      </c>
      <c r="U101" s="83">
        <v>0.0</v>
      </c>
      <c r="V101" s="89">
        <f>IFERROR(__xludf.DUMMYFUNCTION("INDEX(SPLIT(SUBSTITUTE(W101,CHAR(10), """"),"",:""), MATCH(Z101, SPLIT(SUBSTITUTE(W101,CHAR(10), """"),"",:""), 0) + 1)"),3.0)</f>
        <v>3</v>
      </c>
      <c r="W101" s="85" t="s">
        <v>1763</v>
      </c>
      <c r="X101" s="39" t="s">
        <v>35</v>
      </c>
      <c r="Y101" s="53" t="s">
        <v>2311</v>
      </c>
      <c r="Z101" s="53" t="str">
        <f t="array" ref="Z101">INDEX(Problems!J:J, MATCH(1, (Problems!B:B=B101)*1, 0))</f>
        <v>n</v>
      </c>
      <c r="AA101" s="53"/>
      <c r="AB101" s="53"/>
      <c r="AC101" s="53" t="s">
        <v>2312</v>
      </c>
      <c r="AD101" s="53" t="s">
        <v>1814</v>
      </c>
      <c r="AE101" s="85">
        <f>IFERROR(__xludf.DUMMYFUNCTION("INDEX(SPLIT(SUBSTITUTE(AF101,CHAR(10), """"),"",:""), MATCH(Z101, SPLIT(SUBSTITUTE(AF101,CHAR(10), """"),"",:""), 0) + 1)"),1.0)</f>
        <v>1</v>
      </c>
      <c r="AF101" s="85" t="s">
        <v>1774</v>
      </c>
      <c r="AG101" s="53" t="s">
        <v>34</v>
      </c>
      <c r="AH101" s="53" t="s">
        <v>2313</v>
      </c>
      <c r="AI101" s="84">
        <v>1.0</v>
      </c>
      <c r="AJ101" s="84">
        <v>0.0</v>
      </c>
      <c r="AK101" s="87"/>
      <c r="AL101" s="81">
        <v>0.0</v>
      </c>
      <c r="AM101" s="87"/>
      <c r="AN101" s="81">
        <v>0.0</v>
      </c>
      <c r="AO101" s="90"/>
      <c r="AP101" s="81">
        <v>0.0</v>
      </c>
      <c r="AQ101" s="81">
        <v>0.0</v>
      </c>
      <c r="AR101" s="39"/>
      <c r="AS101" s="81">
        <v>0.0</v>
      </c>
      <c r="AT101" s="81">
        <v>0.0</v>
      </c>
      <c r="AU101" s="39"/>
      <c r="AV101" s="7" t="s">
        <v>2314</v>
      </c>
      <c r="AW101" s="82"/>
      <c r="AX101" s="82"/>
      <c r="AY101" s="7"/>
      <c r="AZ101" s="7"/>
      <c r="BA101" s="7"/>
      <c r="BB101" s="7"/>
      <c r="BC101" s="7"/>
      <c r="BD101" s="7"/>
      <c r="BE101" s="7"/>
      <c r="BF101" s="7">
        <v>1000.0</v>
      </c>
      <c r="BG101" s="82">
        <f t="shared" si="19"/>
        <v>1</v>
      </c>
      <c r="BH101" s="82"/>
      <c r="BI101" s="82"/>
      <c r="BJ101" s="82"/>
      <c r="BK101" s="82"/>
      <c r="BL101" s="82"/>
      <c r="BM101" s="82"/>
      <c r="BN101" s="7"/>
      <c r="BO101" s="7">
        <v>6.0</v>
      </c>
      <c r="BP101" s="82"/>
      <c r="BQ101" s="7"/>
      <c r="BR101" s="7" t="s">
        <v>196</v>
      </c>
    </row>
    <row r="102">
      <c r="A102" s="16">
        <v>25.0</v>
      </c>
      <c r="B102" s="16" t="s">
        <v>441</v>
      </c>
      <c r="C102" s="53">
        <v>2.0</v>
      </c>
      <c r="D102" s="53" t="s">
        <v>2317</v>
      </c>
      <c r="E102" s="7">
        <v>267.0</v>
      </c>
      <c r="F102" s="53"/>
      <c r="G102" s="7"/>
      <c r="H102" s="16">
        <v>1.0</v>
      </c>
      <c r="I102" s="81">
        <v>1.0</v>
      </c>
      <c r="J102" s="21" t="s">
        <v>458</v>
      </c>
      <c r="K102" s="53" t="s">
        <v>2027</v>
      </c>
      <c r="L102" s="53" t="s">
        <v>2027</v>
      </c>
      <c r="M102" s="39" t="str">
        <f t="shared" si="1"/>
        <v>[https://www.sciencedirect.com/science/article/pii/0097849378900213 Cyrus–Beck (1978)]</v>
      </c>
      <c r="N102" s="39" t="s">
        <v>2318</v>
      </c>
      <c r="O102" s="81">
        <v>1978.0</v>
      </c>
      <c r="P102" s="28" t="s">
        <v>450</v>
      </c>
      <c r="Q102" s="82"/>
      <c r="R102" s="82"/>
      <c r="S102" s="82"/>
      <c r="T102" s="81">
        <v>0.0</v>
      </c>
      <c r="U102" s="83">
        <v>0.0</v>
      </c>
      <c r="V102" s="89">
        <f>IFERROR(__xludf.DUMMYFUNCTION("INDEX(SPLIT(SUBSTITUTE(W102,CHAR(10), """"),"",:""), MATCH(Z102, SPLIT(SUBSTITUTE(W102,CHAR(10), """"),"",:""), 0) + 1)"),3.0)</f>
        <v>3</v>
      </c>
      <c r="W102" s="85" t="s">
        <v>2319</v>
      </c>
      <c r="X102" s="21" t="s">
        <v>458</v>
      </c>
      <c r="Y102" s="53" t="s">
        <v>2320</v>
      </c>
      <c r="Z102" s="53" t="str">
        <f t="array" ref="Z102">INDEX(Problems!J:J, MATCH(1, (Problems!B:B=B102)*1, 0))</f>
        <v>n</v>
      </c>
      <c r="AA102" s="53"/>
      <c r="AB102" s="53"/>
      <c r="AC102" s="53" t="s">
        <v>2312</v>
      </c>
      <c r="AD102" s="53" t="s">
        <v>1814</v>
      </c>
      <c r="AE102" s="85">
        <f>IFERROR(__xludf.DUMMYFUNCTION("INDEX(SPLIT(SUBSTITUTE(AF102,CHAR(10), """"),"",:""), MATCH(Z102, SPLIT(SUBSTITUTE(AF102,CHAR(10), """"),"",:""), 0) + 1)"),1.0)</f>
        <v>1</v>
      </c>
      <c r="AF102" s="85" t="s">
        <v>1774</v>
      </c>
      <c r="AG102" s="53" t="s">
        <v>34</v>
      </c>
      <c r="AH102" s="53" t="s">
        <v>2321</v>
      </c>
      <c r="AI102" s="84">
        <v>1.0</v>
      </c>
      <c r="AJ102" s="84">
        <v>0.0</v>
      </c>
      <c r="AK102" s="87"/>
      <c r="AL102" s="81">
        <v>0.0</v>
      </c>
      <c r="AM102" s="87"/>
      <c r="AN102" s="81">
        <v>0.0</v>
      </c>
      <c r="AO102" s="90"/>
      <c r="AP102" s="81">
        <v>0.0</v>
      </c>
      <c r="AQ102" s="81">
        <v>0.0</v>
      </c>
      <c r="AR102" s="39"/>
      <c r="AS102" s="81">
        <v>0.0</v>
      </c>
      <c r="AT102" s="81">
        <v>0.0</v>
      </c>
      <c r="AU102" s="39"/>
      <c r="AV102" s="7" t="s">
        <v>2314</v>
      </c>
      <c r="AW102" s="82"/>
      <c r="AX102" s="82"/>
      <c r="AY102" s="7"/>
      <c r="AZ102" s="7"/>
      <c r="BA102" s="7"/>
      <c r="BB102" s="7"/>
      <c r="BC102" s="7"/>
      <c r="BD102" s="7"/>
      <c r="BE102" s="7"/>
      <c r="BF102" s="7">
        <v>1000.0</v>
      </c>
      <c r="BG102" s="82">
        <f t="shared" si="19"/>
        <v>1</v>
      </c>
      <c r="BH102" s="82"/>
      <c r="BI102" s="82"/>
      <c r="BJ102" s="82"/>
      <c r="BK102" s="82"/>
      <c r="BL102" s="82"/>
      <c r="BM102" s="82"/>
      <c r="BN102" s="7"/>
      <c r="BO102" s="7">
        <v>6.0</v>
      </c>
      <c r="BP102" s="82"/>
      <c r="BQ102" s="7"/>
      <c r="BR102" s="7" t="s">
        <v>196</v>
      </c>
    </row>
    <row r="103">
      <c r="A103" s="16">
        <v>25.0</v>
      </c>
      <c r="B103" s="16" t="s">
        <v>441</v>
      </c>
      <c r="C103" s="53">
        <v>2.0</v>
      </c>
      <c r="D103" s="53" t="s">
        <v>442</v>
      </c>
      <c r="E103" s="7">
        <v>268.0</v>
      </c>
      <c r="F103" s="53"/>
      <c r="G103" s="7"/>
      <c r="H103" s="16">
        <v>1.0</v>
      </c>
      <c r="I103" s="81">
        <v>1.0</v>
      </c>
      <c r="J103" s="39" t="s">
        <v>35</v>
      </c>
      <c r="K103" s="53" t="s">
        <v>2027</v>
      </c>
      <c r="L103" s="53" t="s">
        <v>2027</v>
      </c>
      <c r="M103" s="39" t="str">
        <f t="shared" si="1"/>
        <v>[https://dl.acm.org/doi/10.1145/37401.37432 Nicholl–Lee–Nicholl (1987)]</v>
      </c>
      <c r="N103" s="39" t="s">
        <v>2322</v>
      </c>
      <c r="O103" s="81">
        <v>1987.0</v>
      </c>
      <c r="P103" s="96" t="s">
        <v>2323</v>
      </c>
      <c r="Q103" s="82"/>
      <c r="R103" s="82"/>
      <c r="S103" s="82"/>
      <c r="T103" s="81">
        <v>0.0</v>
      </c>
      <c r="U103" s="83">
        <v>0.0</v>
      </c>
      <c r="V103" s="89">
        <f>IFERROR(__xludf.DUMMYFUNCTION("INDEX(SPLIT(SUBSTITUTE(W103,CHAR(10), """"),"",:""), MATCH(Z103, SPLIT(SUBSTITUTE(W103,CHAR(10), """"),"",:""), 0) + 1)"),3.0)</f>
        <v>3</v>
      </c>
      <c r="W103" s="85" t="s">
        <v>1763</v>
      </c>
      <c r="X103" s="39" t="s">
        <v>35</v>
      </c>
      <c r="Y103" s="53" t="s">
        <v>2311</v>
      </c>
      <c r="Z103" s="53" t="str">
        <f t="array" ref="Z103">INDEX(Problems!J:J, MATCH(1, (Problems!B:B=B103)*1, 0))</f>
        <v>n</v>
      </c>
      <c r="AA103" s="53"/>
      <c r="AB103" s="53"/>
      <c r="AC103" s="53" t="s">
        <v>2312</v>
      </c>
      <c r="AD103" s="53" t="s">
        <v>1814</v>
      </c>
      <c r="AE103" s="85">
        <f>IFERROR(__xludf.DUMMYFUNCTION("INDEX(SPLIT(SUBSTITUTE(AF103,CHAR(10), """"),"",:""), MATCH(Z103, SPLIT(SUBSTITUTE(AF103,CHAR(10), """"),"",:""), 0) + 1)"),1.0)</f>
        <v>1</v>
      </c>
      <c r="AF103" s="85" t="s">
        <v>1774</v>
      </c>
      <c r="AG103" s="53" t="s">
        <v>34</v>
      </c>
      <c r="AH103" s="53" t="s">
        <v>2313</v>
      </c>
      <c r="AI103" s="84">
        <v>1.0</v>
      </c>
      <c r="AJ103" s="84">
        <v>0.0</v>
      </c>
      <c r="AK103" s="87"/>
      <c r="AL103" s="81">
        <v>0.0</v>
      </c>
      <c r="AM103" s="87"/>
      <c r="AN103" s="81">
        <v>0.0</v>
      </c>
      <c r="AO103" s="90"/>
      <c r="AP103" s="81">
        <v>0.0</v>
      </c>
      <c r="AQ103" s="81">
        <v>0.0</v>
      </c>
      <c r="AR103" s="39"/>
      <c r="AS103" s="81">
        <v>0.0</v>
      </c>
      <c r="AT103" s="81">
        <v>0.0</v>
      </c>
      <c r="AU103" s="121" t="s">
        <v>2324</v>
      </c>
      <c r="AV103" s="7" t="s">
        <v>2314</v>
      </c>
      <c r="AW103" s="82"/>
      <c r="AX103" s="82"/>
      <c r="AY103" s="7"/>
      <c r="AZ103" s="7"/>
      <c r="BA103" s="7"/>
      <c r="BB103" s="7"/>
      <c r="BC103" s="7"/>
      <c r="BD103" s="7"/>
      <c r="BE103" s="7"/>
      <c r="BF103" s="7">
        <v>1000.0</v>
      </c>
      <c r="BG103" s="82">
        <f t="shared" si="19"/>
        <v>1</v>
      </c>
      <c r="BH103" s="82"/>
      <c r="BI103" s="82"/>
      <c r="BJ103" s="82"/>
      <c r="BK103" s="82"/>
      <c r="BL103" s="82"/>
      <c r="BM103" s="82"/>
      <c r="BN103" s="7"/>
      <c r="BO103" s="7">
        <v>6.0</v>
      </c>
      <c r="BP103" s="82"/>
      <c r="BQ103" s="7"/>
      <c r="BR103" s="7" t="s">
        <v>196</v>
      </c>
    </row>
    <row r="104">
      <c r="A104" s="16">
        <v>25.0</v>
      </c>
      <c r="B104" s="16" t="s">
        <v>441</v>
      </c>
      <c r="C104" s="53">
        <v>2.0</v>
      </c>
      <c r="D104" s="53" t="s">
        <v>442</v>
      </c>
      <c r="E104" s="7">
        <v>269.0</v>
      </c>
      <c r="F104" s="53"/>
      <c r="G104" s="7"/>
      <c r="H104" s="16">
        <v>1.0</v>
      </c>
      <c r="I104" s="81">
        <v>1.0</v>
      </c>
      <c r="J104" s="39" t="s">
        <v>35</v>
      </c>
      <c r="K104" s="53" t="s">
        <v>2027</v>
      </c>
      <c r="L104" s="53" t="s">
        <v>2027</v>
      </c>
      <c r="M104" s="39" t="str">
        <f t="shared" si="1"/>
        <v>[https://www.sciencedirect.com/science/article/pii/0097849387900616 Fast clipping (1987)]</v>
      </c>
      <c r="N104" s="39" t="s">
        <v>2325</v>
      </c>
      <c r="O104" s="81">
        <v>1987.0</v>
      </c>
      <c r="P104" s="28" t="s">
        <v>2326</v>
      </c>
      <c r="Q104" s="82"/>
      <c r="R104" s="82"/>
      <c r="S104" s="82"/>
      <c r="T104" s="81">
        <v>0.0</v>
      </c>
      <c r="U104" s="83">
        <v>0.0</v>
      </c>
      <c r="V104" s="89">
        <f>IFERROR(__xludf.DUMMYFUNCTION("INDEX(SPLIT(SUBSTITUTE(W104,CHAR(10), """"),"",:""), MATCH(Z104, SPLIT(SUBSTITUTE(W104,CHAR(10), """"),"",:""), 0) + 1)"),3.0)</f>
        <v>3</v>
      </c>
      <c r="W104" s="85" t="s">
        <v>1763</v>
      </c>
      <c r="X104" s="39" t="s">
        <v>35</v>
      </c>
      <c r="Y104" s="53" t="s">
        <v>2311</v>
      </c>
      <c r="Z104" s="53" t="str">
        <f t="array" ref="Z104">INDEX(Problems!J:J, MATCH(1, (Problems!B:B=B104)*1, 0))</f>
        <v>n</v>
      </c>
      <c r="AA104" s="53"/>
      <c r="AB104" s="53"/>
      <c r="AC104" s="53" t="s">
        <v>2312</v>
      </c>
      <c r="AD104" s="53" t="s">
        <v>1814</v>
      </c>
      <c r="AE104" s="85">
        <f>IFERROR(__xludf.DUMMYFUNCTION("INDEX(SPLIT(SUBSTITUTE(AF104,CHAR(10), """"),"",:""), MATCH(Z104, SPLIT(SUBSTITUTE(AF104,CHAR(10), """"),"",:""), 0) + 1)"),1.0)</f>
        <v>1</v>
      </c>
      <c r="AF104" s="85" t="s">
        <v>1774</v>
      </c>
      <c r="AG104" s="53" t="s">
        <v>34</v>
      </c>
      <c r="AH104" s="53" t="s">
        <v>2313</v>
      </c>
      <c r="AI104" s="84">
        <v>1.0</v>
      </c>
      <c r="AJ104" s="84">
        <v>0.0</v>
      </c>
      <c r="AK104" s="87"/>
      <c r="AL104" s="81">
        <v>0.0</v>
      </c>
      <c r="AM104" s="87"/>
      <c r="AN104" s="81">
        <v>0.0</v>
      </c>
      <c r="AO104" s="90"/>
      <c r="AP104" s="81">
        <v>0.0</v>
      </c>
      <c r="AQ104" s="81">
        <v>0.0</v>
      </c>
      <c r="AR104" s="39"/>
      <c r="AS104" s="81">
        <v>0.0</v>
      </c>
      <c r="AT104" s="81">
        <v>0.0</v>
      </c>
      <c r="AU104" s="39"/>
      <c r="AV104" s="7" t="s">
        <v>2314</v>
      </c>
      <c r="AW104" s="82"/>
      <c r="AX104" s="82"/>
      <c r="AY104" s="7"/>
      <c r="AZ104" s="7"/>
      <c r="BA104" s="7"/>
      <c r="BB104" s="7"/>
      <c r="BC104" s="7"/>
      <c r="BD104" s="7"/>
      <c r="BE104" s="7"/>
      <c r="BF104" s="7">
        <v>1000.0</v>
      </c>
      <c r="BG104" s="82">
        <f t="shared" si="19"/>
        <v>1</v>
      </c>
      <c r="BH104" s="82"/>
      <c r="BI104" s="82"/>
      <c r="BJ104" s="82"/>
      <c r="BK104" s="82"/>
      <c r="BL104" s="82"/>
      <c r="BM104" s="82"/>
      <c r="BN104" s="7"/>
      <c r="BO104" s="7">
        <v>6.0</v>
      </c>
      <c r="BP104" s="82"/>
      <c r="BQ104" s="7"/>
      <c r="BR104" s="7" t="s">
        <v>196</v>
      </c>
    </row>
    <row r="105">
      <c r="A105" s="16">
        <v>26.0</v>
      </c>
      <c r="B105" s="16" t="s">
        <v>460</v>
      </c>
      <c r="C105" s="53">
        <v>2.0</v>
      </c>
      <c r="D105" s="53"/>
      <c r="E105" s="7">
        <v>272.0</v>
      </c>
      <c r="F105" s="53"/>
      <c r="G105" s="7"/>
      <c r="H105" s="16">
        <v>1.0</v>
      </c>
      <c r="I105" s="16">
        <v>1.0</v>
      </c>
      <c r="J105" s="39" t="s">
        <v>789</v>
      </c>
      <c r="K105" s="53"/>
      <c r="L105" s="53"/>
      <c r="M105" s="39" t="str">
        <f t="shared" si="1"/>
        <v>[https://ieeexplore.ieee.org/document/5392601 Rabin–Scott powerset construction (1959)]</v>
      </c>
      <c r="N105" s="39" t="s">
        <v>2327</v>
      </c>
      <c r="O105" s="81">
        <v>1959.0</v>
      </c>
      <c r="P105" s="17" t="s">
        <v>462</v>
      </c>
      <c r="Q105" s="7">
        <v>1.0</v>
      </c>
      <c r="R105" s="7">
        <v>1.0</v>
      </c>
      <c r="S105" s="47" t="s">
        <v>2328</v>
      </c>
      <c r="T105" s="16">
        <v>1.0</v>
      </c>
      <c r="U105" s="16">
        <v>0.0</v>
      </c>
      <c r="V105" s="89">
        <f>IFERROR(__xludf.DUMMYFUNCTION("INDEX(SPLIT(SUBSTITUTE(W105,CHAR(10), """"),"",:""), MATCH(Z105, SPLIT(SUBSTITUTE(W105,CHAR(10), """"),"",:""), 0) + 1)"),8.0)</f>
        <v>8</v>
      </c>
      <c r="W105" s="85" t="s">
        <v>2001</v>
      </c>
      <c r="X105" s="39" t="s">
        <v>789</v>
      </c>
      <c r="Y105" s="53" t="s">
        <v>2329</v>
      </c>
      <c r="Z105" s="53" t="str">
        <f t="array" ref="Z105">INDEX(Problems!J:J, MATCH(1, (Problems!B:B=B105)*1, 0))</f>
        <v>n</v>
      </c>
      <c r="AA105" s="53"/>
      <c r="AB105" s="53"/>
      <c r="AC105" s="53"/>
      <c r="AD105" s="53"/>
      <c r="AE105" s="85">
        <f>IFERROR(__xludf.DUMMYFUNCTION("INDEX(SPLIT(SUBSTITUTE(AF105,CHAR(10), """"),"",:""), MATCH(Z105, SPLIT(SUBSTITUTE(AF105,CHAR(10), """"),"",:""), 0) + 1)"),1.0)</f>
        <v>1</v>
      </c>
      <c r="AF105" s="85" t="s">
        <v>1774</v>
      </c>
      <c r="AG105" s="53" t="s">
        <v>34</v>
      </c>
      <c r="AH105" s="53" t="s">
        <v>2330</v>
      </c>
      <c r="AI105" s="21">
        <v>1.0</v>
      </c>
      <c r="AJ105" s="84">
        <v>0.0</v>
      </c>
      <c r="AK105" s="90"/>
      <c r="AL105" s="39">
        <v>0.0</v>
      </c>
      <c r="AM105" s="21"/>
      <c r="AN105" s="16">
        <v>0.0</v>
      </c>
      <c r="AO105" s="90"/>
      <c r="AP105" s="16">
        <v>0.0</v>
      </c>
      <c r="AQ105" s="16">
        <v>0.0</v>
      </c>
      <c r="AR105" s="39"/>
      <c r="AS105" s="81">
        <v>0.0</v>
      </c>
      <c r="AT105" s="81">
        <v>0.0</v>
      </c>
      <c r="AU105" s="39"/>
      <c r="AV105" s="82"/>
      <c r="AW105" s="82"/>
      <c r="AX105" s="82"/>
      <c r="AY105" s="7"/>
      <c r="AZ105" s="7"/>
      <c r="BA105" s="7"/>
      <c r="BB105" s="7"/>
      <c r="BC105" s="7"/>
      <c r="BD105" s="7"/>
      <c r="BE105" s="7"/>
      <c r="BF105" s="7" t="s">
        <v>1781</v>
      </c>
      <c r="BG105" s="7">
        <v>1.0</v>
      </c>
      <c r="BH105" s="7"/>
      <c r="BI105" s="7" t="s">
        <v>1781</v>
      </c>
      <c r="BJ105" s="7">
        <v>1.0</v>
      </c>
      <c r="BK105" s="7"/>
      <c r="BL105" s="7" t="s">
        <v>1781</v>
      </c>
      <c r="BM105" s="7">
        <v>1.0</v>
      </c>
      <c r="BN105" s="7"/>
      <c r="BO105" s="7">
        <v>1.0</v>
      </c>
      <c r="BP105" s="82"/>
      <c r="BQ105" s="7"/>
      <c r="BR105" s="7" t="s">
        <v>23</v>
      </c>
    </row>
    <row r="106">
      <c r="A106" s="16">
        <v>27.0</v>
      </c>
      <c r="B106" s="16" t="s">
        <v>464</v>
      </c>
      <c r="C106" s="53">
        <v>2.0</v>
      </c>
      <c r="D106" s="53"/>
      <c r="E106" s="7">
        <v>273.0</v>
      </c>
      <c r="F106" s="53"/>
      <c r="G106" s="7"/>
      <c r="H106" s="16">
        <v>1.0</v>
      </c>
      <c r="I106" s="81">
        <v>1.0</v>
      </c>
      <c r="J106" s="39" t="s">
        <v>2331</v>
      </c>
      <c r="K106" s="53" t="s">
        <v>1945</v>
      </c>
      <c r="L106" s="53" t="s">
        <v>1946</v>
      </c>
      <c r="M106" s="39" t="str">
        <f t="shared" si="1"/>
        <v>[http://www.mathnet.ru/php/archive.phtml?wshow=paper&amp;jrnid=dan&amp;paperid=26729&amp;option_lang=eng Karatsuba Algorithm (1962)]</v>
      </c>
      <c r="N106" s="39" t="s">
        <v>2332</v>
      </c>
      <c r="O106" s="81">
        <v>1962.0</v>
      </c>
      <c r="P106" s="28" t="s">
        <v>2333</v>
      </c>
      <c r="Q106" s="82"/>
      <c r="R106" s="82"/>
      <c r="S106" s="82"/>
      <c r="T106" s="81">
        <v>1.0</v>
      </c>
      <c r="U106" s="16">
        <v>0.0</v>
      </c>
      <c r="V106" s="89">
        <f>IFERROR(__xludf.DUMMYFUNCTION("INDEX(SPLIT(SUBSTITUTE(W106,CHAR(10), """"),"",:""), MATCH(Z106, SPLIT(SUBSTITUTE(W106,CHAR(10), """"),"",:""), 0) + 1)"),4.58)</f>
        <v>4.58</v>
      </c>
      <c r="W106" s="85" t="s">
        <v>2334</v>
      </c>
      <c r="X106" s="16" t="s">
        <v>2335</v>
      </c>
      <c r="Y106" s="53" t="s">
        <v>2336</v>
      </c>
      <c r="Z106" s="53" t="str">
        <f t="array" ref="Z106">INDEX(Problems!J:J, MATCH(1, (Problems!B:B=B106)*1, 0))</f>
        <v>n</v>
      </c>
      <c r="AA106" s="53"/>
      <c r="AB106" s="53"/>
      <c r="AC106" s="53" t="s">
        <v>2337</v>
      </c>
      <c r="AD106" s="53" t="s">
        <v>2338</v>
      </c>
      <c r="AE106" s="85">
        <f>IFERROR(__xludf.DUMMYFUNCTION("INDEX(SPLIT(SUBSTITUTE(AF106,CHAR(10), """"),"",:""), MATCH(Z106, SPLIT(SUBSTITUTE(AF106,CHAR(10), """"),"",:""), 0) + 1)"),3.0)</f>
        <v>3</v>
      </c>
      <c r="AF106" s="85" t="s">
        <v>1763</v>
      </c>
      <c r="AG106" s="53" t="s">
        <v>35</v>
      </c>
      <c r="AH106" s="53" t="s">
        <v>2339</v>
      </c>
      <c r="AI106" s="84">
        <v>1.0</v>
      </c>
      <c r="AJ106" s="84">
        <v>0.0</v>
      </c>
      <c r="AK106" s="87"/>
      <c r="AL106" s="81">
        <v>0.0</v>
      </c>
      <c r="AM106" s="87"/>
      <c r="AN106" s="81">
        <v>0.0</v>
      </c>
      <c r="AO106" s="90"/>
      <c r="AP106" s="81">
        <v>0.0</v>
      </c>
      <c r="AQ106" s="81">
        <v>0.0</v>
      </c>
      <c r="AR106" s="39"/>
      <c r="AS106" s="81">
        <v>0.0</v>
      </c>
      <c r="AT106" s="81">
        <v>0.0</v>
      </c>
      <c r="AU106" s="39"/>
      <c r="AV106" s="7" t="s">
        <v>2340</v>
      </c>
      <c r="AW106" s="82"/>
      <c r="AX106" s="82"/>
      <c r="AY106" s="7" t="s">
        <v>2341</v>
      </c>
      <c r="AZ106" s="7"/>
      <c r="BA106" s="7"/>
      <c r="BB106" s="7"/>
      <c r="BC106" s="7"/>
      <c r="BD106" s="7"/>
      <c r="BE106" s="7"/>
      <c r="BF106" s="7">
        <f>POW(1000,1.58)</f>
        <v>54954.08739</v>
      </c>
      <c r="BG106" s="7">
        <f>BF108/BF106</f>
        <v>18.19700859</v>
      </c>
      <c r="BH106" s="82">
        <f>POW(BG106,1/($O106-$O108)) - 1</f>
        <v>0.1409660639</v>
      </c>
      <c r="BI106" s="82">
        <f>POW(1000000,1.58)</f>
        <v>3019951720</v>
      </c>
      <c r="BJ106" s="7">
        <f>BI108/BI106</f>
        <v>331.1311215</v>
      </c>
      <c r="BK106" s="82">
        <f>POW(BJ106,1/($O106-$O108)) - 1</f>
        <v>0.3018035591</v>
      </c>
      <c r="BL106" s="82">
        <f>POW(1000000000,1.58)</f>
        <v>165958690743756</v>
      </c>
      <c r="BM106" s="7">
        <f>BL108/BL106</f>
        <v>6025.595861</v>
      </c>
      <c r="BN106" s="82">
        <f>POW(BM106,1/($O106-$O108)) - 1</f>
        <v>0.4853136828</v>
      </c>
      <c r="BO106" s="7">
        <v>4.0</v>
      </c>
      <c r="BP106" s="82"/>
      <c r="BQ106" s="7"/>
      <c r="BR106" s="7" t="s">
        <v>144</v>
      </c>
    </row>
    <row r="107">
      <c r="A107" s="16">
        <v>27.0</v>
      </c>
      <c r="B107" s="16" t="s">
        <v>464</v>
      </c>
      <c r="C107" s="53">
        <v>2.0</v>
      </c>
      <c r="D107" s="53"/>
      <c r="E107" s="7">
        <v>274.0</v>
      </c>
      <c r="F107" s="53"/>
      <c r="G107" s="7"/>
      <c r="H107" s="16">
        <v>1.0</v>
      </c>
      <c r="I107" s="81">
        <v>1.0</v>
      </c>
      <c r="J107" s="39" t="s">
        <v>2342</v>
      </c>
      <c r="K107" s="53" t="s">
        <v>2117</v>
      </c>
      <c r="L107" s="53" t="s">
        <v>2117</v>
      </c>
      <c r="M107" s="39" t="str">
        <f t="shared" si="1"/>
        <v>[https://www.ams.org/journals/tran/1969-142-00/S0002-9947-1969-0249212-8/S0002-9947-1969-0249212-8.pdf Toom-3 (1969)]</v>
      </c>
      <c r="N107" s="39" t="s">
        <v>2343</v>
      </c>
      <c r="O107" s="81">
        <v>1969.0</v>
      </c>
      <c r="P107" s="28" t="s">
        <v>2344</v>
      </c>
      <c r="Q107" s="82"/>
      <c r="R107" s="82"/>
      <c r="S107" s="82"/>
      <c r="T107" s="81">
        <v>1.0</v>
      </c>
      <c r="U107" s="16">
        <v>0.0</v>
      </c>
      <c r="V107" s="89">
        <f>IFERROR(__xludf.DUMMYFUNCTION("INDEX(SPLIT(SUBSTITUTE(W107,CHAR(10), """"),"",:""), MATCH(Z107, SPLIT(SUBSTITUTE(W107,CHAR(10), """"),"",:""), 0) + 1)"),4.46)</f>
        <v>4.46</v>
      </c>
      <c r="W107" s="85" t="s">
        <v>2345</v>
      </c>
      <c r="X107" s="16" t="s">
        <v>2346</v>
      </c>
      <c r="Y107" s="53" t="s">
        <v>2336</v>
      </c>
      <c r="Z107" s="53" t="str">
        <f t="array" ref="Z107">INDEX(Problems!J:J, MATCH(1, (Problems!B:B=B107)*1, 0))</f>
        <v>n</v>
      </c>
      <c r="AA107" s="53"/>
      <c r="AB107" s="53"/>
      <c r="AC107" s="53" t="s">
        <v>2337</v>
      </c>
      <c r="AD107" s="53" t="s">
        <v>2338</v>
      </c>
      <c r="AE107" s="85">
        <f>IFERROR(__xludf.DUMMYFUNCTION("INDEX(SPLIT(SUBSTITUTE(AF107,CHAR(10), """"),"",:""), MATCH(Z107, SPLIT(SUBSTITUTE(AF107,CHAR(10), """"),"",:""), 0) + 1)"),3.0)</f>
        <v>3</v>
      </c>
      <c r="AF107" s="85" t="s">
        <v>1763</v>
      </c>
      <c r="AG107" s="53" t="s">
        <v>35</v>
      </c>
      <c r="AH107" s="53" t="s">
        <v>2347</v>
      </c>
      <c r="AI107" s="84">
        <v>1.0</v>
      </c>
      <c r="AJ107" s="84">
        <v>0.0</v>
      </c>
      <c r="AK107" s="87"/>
      <c r="AL107" s="81">
        <v>0.0</v>
      </c>
      <c r="AM107" s="87"/>
      <c r="AN107" s="81">
        <v>0.0</v>
      </c>
      <c r="AO107" s="90"/>
      <c r="AP107" s="81">
        <v>0.0</v>
      </c>
      <c r="AQ107" s="81">
        <v>0.0</v>
      </c>
      <c r="AR107" s="39"/>
      <c r="AS107" s="81">
        <v>0.0</v>
      </c>
      <c r="AT107" s="81">
        <v>0.0</v>
      </c>
      <c r="AU107" s="39"/>
      <c r="AV107" s="7" t="s">
        <v>2340</v>
      </c>
      <c r="AW107" s="82"/>
      <c r="AX107" s="82"/>
      <c r="AY107" s="7" t="s">
        <v>2341</v>
      </c>
      <c r="AZ107" s="7"/>
      <c r="BA107" s="7"/>
      <c r="BB107" s="7"/>
      <c r="BC107" s="7"/>
      <c r="BD107" s="7"/>
      <c r="BE107" s="7"/>
      <c r="BF107" s="7">
        <v>23988.0</v>
      </c>
      <c r="BG107" s="7">
        <f t="shared" ref="BG107:BG108" si="20">1000000/BF107</f>
        <v>41.68751042</v>
      </c>
      <c r="BH107" s="82">
        <f>POW(BG107,1/($O107-$O$108)) - 1</f>
        <v>0.1372665733</v>
      </c>
      <c r="BI107" s="82">
        <f>POW(100000,1.46)</f>
        <v>19952623.15</v>
      </c>
      <c r="BJ107" s="82">
        <f>BI108/BI107</f>
        <v>50118.72336</v>
      </c>
      <c r="BK107" s="82">
        <f>POW(BJ107,1/($O107-$O$108)) - 1</f>
        <v>0.4523422297</v>
      </c>
      <c r="BL107" s="82">
        <f>POW(100000,1.46)</f>
        <v>19952623.15</v>
      </c>
      <c r="BM107" s="82">
        <f>BL108/BL107</f>
        <v>50118723363</v>
      </c>
      <c r="BN107" s="82">
        <f>POW(BM107,1/($O107-$O$108)) - 1</f>
        <v>1.338651544</v>
      </c>
      <c r="BO107" s="7">
        <v>4.0</v>
      </c>
      <c r="BP107" s="82"/>
      <c r="BQ107" s="7"/>
      <c r="BR107" s="7" t="s">
        <v>144</v>
      </c>
    </row>
    <row r="108">
      <c r="A108" s="16">
        <v>27.0</v>
      </c>
      <c r="B108" s="16" t="s">
        <v>464</v>
      </c>
      <c r="C108" s="53">
        <v>2.0</v>
      </c>
      <c r="D108" s="53"/>
      <c r="E108" s="7">
        <v>275.0</v>
      </c>
      <c r="F108" s="53"/>
      <c r="G108" s="7"/>
      <c r="H108" s="16">
        <v>1.0</v>
      </c>
      <c r="I108" s="81">
        <v>1.0</v>
      </c>
      <c r="J108" s="39" t="s">
        <v>115</v>
      </c>
      <c r="K108" s="53" t="s">
        <v>2117</v>
      </c>
      <c r="L108" s="53" t="s">
        <v>2117</v>
      </c>
      <c r="M108" s="39" t="str">
        <f t="shared" si="1"/>
        <v>[ Long Multiplication (1940)]</v>
      </c>
      <c r="N108" s="39" t="s">
        <v>2348</v>
      </c>
      <c r="O108" s="81">
        <v>1940.0</v>
      </c>
      <c r="P108" s="39"/>
      <c r="Q108" s="7">
        <v>1.0</v>
      </c>
      <c r="R108" s="7">
        <v>1.0</v>
      </c>
      <c r="S108" s="47" t="s">
        <v>2349</v>
      </c>
      <c r="T108" s="81">
        <v>1.0</v>
      </c>
      <c r="U108" s="16">
        <v>0.0</v>
      </c>
      <c r="V108" s="89">
        <f>IFERROR(__xludf.DUMMYFUNCTION("INDEX(SPLIT(SUBSTITUTE(W108,CHAR(10), """"),"",:""), MATCH(Z108, SPLIT(SUBSTITUTE(W108,CHAR(10), """"),"",:""), 0) + 1)"),5.0)</f>
        <v>5</v>
      </c>
      <c r="W108" s="85" t="s">
        <v>1938</v>
      </c>
      <c r="X108" s="16" t="s">
        <v>61</v>
      </c>
      <c r="Y108" s="53" t="s">
        <v>2336</v>
      </c>
      <c r="Z108" s="53" t="str">
        <f t="array" ref="Z108">INDEX(Problems!J:J, MATCH(1, (Problems!B:B=B108)*1, 0))</f>
        <v>n</v>
      </c>
      <c r="AA108" s="53"/>
      <c r="AB108" s="53"/>
      <c r="AC108" s="53" t="s">
        <v>2337</v>
      </c>
      <c r="AD108" s="53" t="s">
        <v>2338</v>
      </c>
      <c r="AE108" s="85">
        <f>IFERROR(__xludf.DUMMYFUNCTION("INDEX(SPLIT(SUBSTITUTE(AF108,CHAR(10), """"),"",:""), MATCH(Z108, SPLIT(SUBSTITUTE(AF108,CHAR(10), """"),"",:""), 0) + 1)"),3.0)</f>
        <v>3</v>
      </c>
      <c r="AF108" s="85" t="s">
        <v>1763</v>
      </c>
      <c r="AG108" s="53" t="s">
        <v>35</v>
      </c>
      <c r="AH108" s="53" t="s">
        <v>2350</v>
      </c>
      <c r="AI108" s="84">
        <v>1.0</v>
      </c>
      <c r="AJ108" s="84">
        <v>0.0</v>
      </c>
      <c r="AK108" s="87"/>
      <c r="AL108" s="81">
        <v>0.0</v>
      </c>
      <c r="AM108" s="87"/>
      <c r="AN108" s="81">
        <v>0.0</v>
      </c>
      <c r="AO108" s="90"/>
      <c r="AP108" s="81">
        <v>0.0</v>
      </c>
      <c r="AQ108" s="81">
        <v>0.0</v>
      </c>
      <c r="AR108" s="39"/>
      <c r="AS108" s="81">
        <v>0.0</v>
      </c>
      <c r="AT108" s="81">
        <v>0.0</v>
      </c>
      <c r="AU108" s="39"/>
      <c r="AV108" s="7" t="s">
        <v>2340</v>
      </c>
      <c r="AW108" s="82"/>
      <c r="AX108" s="82"/>
      <c r="AY108" s="7" t="s">
        <v>2341</v>
      </c>
      <c r="AZ108" s="7"/>
      <c r="BA108" s="7"/>
      <c r="BB108" s="7"/>
      <c r="BC108" s="7"/>
      <c r="BD108" s="7"/>
      <c r="BE108" s="7"/>
      <c r="BF108" s="7">
        <v>1000000.0</v>
      </c>
      <c r="BG108" s="7">
        <f t="shared" si="20"/>
        <v>1</v>
      </c>
      <c r="BH108" s="7"/>
      <c r="BI108" s="7">
        <v>1.0E12</v>
      </c>
      <c r="BJ108" s="7">
        <v>1.0</v>
      </c>
      <c r="BK108" s="7"/>
      <c r="BL108" s="7">
        <v>1.0E18</v>
      </c>
      <c r="BM108" s="7">
        <v>1.0</v>
      </c>
      <c r="BN108" s="7"/>
      <c r="BO108" s="7">
        <v>4.0</v>
      </c>
      <c r="BP108" s="82"/>
      <c r="BQ108" s="7"/>
      <c r="BR108" s="7" t="s">
        <v>144</v>
      </c>
    </row>
    <row r="109">
      <c r="A109" s="16">
        <v>46.0</v>
      </c>
      <c r="B109" s="16" t="s">
        <v>603</v>
      </c>
      <c r="C109" s="53">
        <v>2.0</v>
      </c>
      <c r="D109" s="53"/>
      <c r="E109" s="7">
        <v>391.0</v>
      </c>
      <c r="F109" s="53"/>
      <c r="G109" s="7">
        <v>0.0</v>
      </c>
      <c r="H109" s="16">
        <v>0.0</v>
      </c>
      <c r="I109" s="16">
        <v>1.0</v>
      </c>
      <c r="J109" s="39" t="s">
        <v>115</v>
      </c>
      <c r="K109" s="53"/>
      <c r="L109" s="53"/>
      <c r="M109" s="39" t="str">
        <f t="shared" si="1"/>
        <v>[https://www.sciencedirect.com/science/article/abs/pii/S0146664X72800170 Ramer–Douglas–Peucker algorithm (1972)]</v>
      </c>
      <c r="N109" s="39" t="s">
        <v>2351</v>
      </c>
      <c r="O109" s="83">
        <v>1972.0</v>
      </c>
      <c r="P109" s="25" t="s">
        <v>2352</v>
      </c>
      <c r="Q109" s="82"/>
      <c r="R109" s="82"/>
      <c r="S109" s="82"/>
      <c r="T109" s="16">
        <v>0.0</v>
      </c>
      <c r="U109" s="16">
        <v>0.0</v>
      </c>
      <c r="V109" s="84">
        <v>5.0</v>
      </c>
      <c r="W109" s="85" t="s">
        <v>1938</v>
      </c>
      <c r="X109" s="39" t="s">
        <v>115</v>
      </c>
      <c r="Y109" s="53" t="s">
        <v>2353</v>
      </c>
      <c r="Z109" s="53" t="str">
        <f t="array" ref="Z109">INDEX(Problems!J:J, MATCH(1, (Problems!B:B=B109)*1, 0))</f>
        <v>n</v>
      </c>
      <c r="AA109" s="53"/>
      <c r="AB109" s="53"/>
      <c r="AC109" s="53" t="s">
        <v>2152</v>
      </c>
      <c r="AD109" s="53"/>
      <c r="AE109" s="85">
        <f>IFERROR(__xludf.DUMMYFUNCTION("INDEX(SPLIT(SUBSTITUTE(AF109,CHAR(10), """"),"",:""), MATCH(Z109, SPLIT(SUBSTITUTE(AF109,CHAR(10), """"),"",:""), 0) + 1)"),3.0)</f>
        <v>3</v>
      </c>
      <c r="AF109" s="85" t="s">
        <v>1763</v>
      </c>
      <c r="AG109" s="53" t="s">
        <v>35</v>
      </c>
      <c r="AH109" s="53" t="s">
        <v>2354</v>
      </c>
      <c r="AI109" s="84">
        <v>1.0</v>
      </c>
      <c r="AJ109" s="84">
        <v>0.0</v>
      </c>
      <c r="AK109" s="87"/>
      <c r="AL109" s="81">
        <v>0.0</v>
      </c>
      <c r="AM109" s="21"/>
      <c r="AN109" s="16">
        <v>0.0</v>
      </c>
      <c r="AO109" s="90"/>
      <c r="AP109" s="16">
        <v>0.0</v>
      </c>
      <c r="AQ109" s="16">
        <v>0.0</v>
      </c>
      <c r="AR109" s="39"/>
      <c r="AS109" s="81">
        <v>0.0</v>
      </c>
      <c r="AT109" s="81">
        <v>0.0</v>
      </c>
      <c r="AU109" s="82"/>
      <c r="AV109" s="82"/>
      <c r="AW109" s="82"/>
      <c r="AX109" s="82"/>
      <c r="AY109" s="7"/>
      <c r="AZ109" s="7"/>
      <c r="BA109" s="7"/>
      <c r="BB109" s="7"/>
      <c r="BC109" s="7"/>
      <c r="BD109" s="7"/>
      <c r="BE109" s="7"/>
      <c r="BF109" s="7">
        <v>1000000.0</v>
      </c>
      <c r="BG109" s="82"/>
      <c r="BH109" s="82"/>
      <c r="BI109" s="82"/>
      <c r="BJ109" s="82"/>
      <c r="BK109" s="82"/>
      <c r="BL109" s="82"/>
      <c r="BM109" s="82"/>
      <c r="BN109" s="7"/>
      <c r="BO109" s="7">
        <v>4.0</v>
      </c>
      <c r="BP109" s="82"/>
      <c r="BQ109" s="7"/>
      <c r="BR109" s="7" t="s">
        <v>196</v>
      </c>
    </row>
    <row r="110">
      <c r="A110" s="16">
        <v>46.0</v>
      </c>
      <c r="B110" s="16" t="s">
        <v>603</v>
      </c>
      <c r="C110" s="53">
        <v>2.0</v>
      </c>
      <c r="D110" s="53"/>
      <c r="E110" s="7">
        <v>392.0</v>
      </c>
      <c r="F110" s="53"/>
      <c r="G110" s="7">
        <v>0.0</v>
      </c>
      <c r="H110" s="16">
        <v>0.0</v>
      </c>
      <c r="I110" s="16">
        <v>1.0</v>
      </c>
      <c r="J110" s="39" t="s">
        <v>115</v>
      </c>
      <c r="K110" s="53"/>
      <c r="L110" s="53"/>
      <c r="M110" s="39" t="str">
        <f t="shared" si="1"/>
        <v>[https://hull-repository.worktribe.com/output/459275 Visvalingam–Whyatt (1993)]</v>
      </c>
      <c r="N110" s="39" t="s">
        <v>2355</v>
      </c>
      <c r="O110" s="81">
        <v>1993.0</v>
      </c>
      <c r="P110" s="25" t="s">
        <v>2356</v>
      </c>
      <c r="Q110" s="82"/>
      <c r="R110" s="82"/>
      <c r="S110" s="82"/>
      <c r="T110" s="16">
        <v>0.0</v>
      </c>
      <c r="U110" s="16">
        <v>0.0</v>
      </c>
      <c r="V110" s="84">
        <v>5.0</v>
      </c>
      <c r="W110" s="85" t="s">
        <v>1938</v>
      </c>
      <c r="X110" s="39" t="s">
        <v>115</v>
      </c>
      <c r="Y110" s="53" t="s">
        <v>2353</v>
      </c>
      <c r="Z110" s="53" t="str">
        <f t="array" ref="Z110">INDEX(Problems!J:J, MATCH(1, (Problems!B:B=B110)*1, 0))</f>
        <v>n</v>
      </c>
      <c r="AA110" s="53"/>
      <c r="AB110" s="53"/>
      <c r="AC110" s="53" t="s">
        <v>2152</v>
      </c>
      <c r="AD110" s="53"/>
      <c r="AE110" s="85">
        <f>IFERROR(__xludf.DUMMYFUNCTION("INDEX(SPLIT(SUBSTITUTE(AF110,CHAR(10), """"),"",:""), MATCH(Z110, SPLIT(SUBSTITUTE(AF110,CHAR(10), """"),"",:""), 0) + 1)"),3.0)</f>
        <v>3</v>
      </c>
      <c r="AF110" s="85" t="s">
        <v>1763</v>
      </c>
      <c r="AG110" s="53" t="s">
        <v>35</v>
      </c>
      <c r="AH110" s="53" t="s">
        <v>2357</v>
      </c>
      <c r="AI110" s="84">
        <v>1.0</v>
      </c>
      <c r="AJ110" s="84">
        <v>0.0</v>
      </c>
      <c r="AK110" s="87"/>
      <c r="AL110" s="81">
        <v>0.0</v>
      </c>
      <c r="AM110" s="21"/>
      <c r="AN110" s="16">
        <v>0.0</v>
      </c>
      <c r="AO110" s="90"/>
      <c r="AP110" s="16">
        <v>0.0</v>
      </c>
      <c r="AQ110" s="16">
        <v>0.0</v>
      </c>
      <c r="AR110" s="39"/>
      <c r="AS110" s="81">
        <v>0.0</v>
      </c>
      <c r="AT110" s="81">
        <v>0.0</v>
      </c>
      <c r="AU110" s="82"/>
      <c r="AV110" s="82"/>
      <c r="AW110" s="82"/>
      <c r="AX110" s="82"/>
      <c r="AY110" s="7"/>
      <c r="AZ110" s="7"/>
      <c r="BA110" s="7"/>
      <c r="BB110" s="7"/>
      <c r="BC110" s="7"/>
      <c r="BD110" s="7"/>
      <c r="BE110" s="7"/>
      <c r="BF110" s="7">
        <v>1000000.0</v>
      </c>
      <c r="BG110" s="82"/>
      <c r="BH110" s="82"/>
      <c r="BI110" s="82"/>
      <c r="BJ110" s="82"/>
      <c r="BK110" s="82"/>
      <c r="BL110" s="82"/>
      <c r="BM110" s="82"/>
      <c r="BN110" s="7"/>
      <c r="BO110" s="7">
        <v>4.0</v>
      </c>
      <c r="BP110" s="82"/>
      <c r="BQ110" s="7"/>
      <c r="BR110" s="7" t="s">
        <v>196</v>
      </c>
    </row>
    <row r="111">
      <c r="A111" s="16">
        <v>46.0</v>
      </c>
      <c r="B111" s="16" t="s">
        <v>603</v>
      </c>
      <c r="C111" s="53">
        <v>2.0</v>
      </c>
      <c r="D111" s="53"/>
      <c r="E111" s="7">
        <v>393.0</v>
      </c>
      <c r="F111" s="53"/>
      <c r="G111" s="7">
        <v>0.0</v>
      </c>
      <c r="H111" s="16">
        <v>0.0</v>
      </c>
      <c r="I111" s="16">
        <v>1.0</v>
      </c>
      <c r="J111" s="39" t="s">
        <v>35</v>
      </c>
      <c r="K111" s="53"/>
      <c r="L111" s="53"/>
      <c r="M111" s="39" t="str">
        <f t="shared" si="1"/>
        <v>[ Reumann–Witkam (1974)]</v>
      </c>
      <c r="N111" s="39" t="s">
        <v>2358</v>
      </c>
      <c r="O111" s="81">
        <v>1974.0</v>
      </c>
      <c r="P111" s="39"/>
      <c r="Q111" s="82"/>
      <c r="R111" s="82"/>
      <c r="S111" s="82"/>
      <c r="T111" s="16">
        <v>0.0</v>
      </c>
      <c r="U111" s="16">
        <v>0.0</v>
      </c>
      <c r="V111" s="84">
        <v>3.0</v>
      </c>
      <c r="W111" s="85" t="s">
        <v>1763</v>
      </c>
      <c r="X111" s="39" t="s">
        <v>35</v>
      </c>
      <c r="Y111" s="53" t="s">
        <v>2353</v>
      </c>
      <c r="Z111" s="53" t="str">
        <f t="array" ref="Z111">INDEX(Problems!J:J, MATCH(1, (Problems!B:B=B111)*1, 0))</f>
        <v>n</v>
      </c>
      <c r="AA111" s="53"/>
      <c r="AB111" s="53"/>
      <c r="AC111" s="53" t="s">
        <v>2152</v>
      </c>
      <c r="AD111" s="53"/>
      <c r="AE111" s="85">
        <f>IFERROR(__xludf.DUMMYFUNCTION("INDEX(SPLIT(SUBSTITUTE(AF111,CHAR(10), """"),"",:""), MATCH(Z111, SPLIT(SUBSTITUTE(AF111,CHAR(10), """"),"",:""), 0) + 1)"),1.0)</f>
        <v>1</v>
      </c>
      <c r="AF111" s="85" t="s">
        <v>1774</v>
      </c>
      <c r="AG111" s="53" t="s">
        <v>34</v>
      </c>
      <c r="AH111" s="53" t="s">
        <v>2359</v>
      </c>
      <c r="AI111" s="84">
        <v>1.0</v>
      </c>
      <c r="AJ111" s="84">
        <v>0.0</v>
      </c>
      <c r="AK111" s="87"/>
      <c r="AL111" s="81">
        <v>0.0</v>
      </c>
      <c r="AM111" s="21"/>
      <c r="AN111" s="16">
        <v>0.0</v>
      </c>
      <c r="AO111" s="90"/>
      <c r="AP111" s="16">
        <v>0.0</v>
      </c>
      <c r="AQ111" s="16">
        <v>0.0</v>
      </c>
      <c r="AR111" s="39"/>
      <c r="AS111" s="81">
        <v>0.0</v>
      </c>
      <c r="AT111" s="81">
        <v>0.0</v>
      </c>
      <c r="AU111" s="47" t="s">
        <v>2360</v>
      </c>
      <c r="AV111" s="82"/>
      <c r="AW111" s="82"/>
      <c r="AX111" s="82"/>
      <c r="AY111" s="7"/>
      <c r="AZ111" s="7"/>
      <c r="BA111" s="7"/>
      <c r="BB111" s="7"/>
      <c r="BC111" s="7"/>
      <c r="BD111" s="7"/>
      <c r="BE111" s="7"/>
      <c r="BF111" s="7">
        <v>1000.0</v>
      </c>
      <c r="BG111" s="82"/>
      <c r="BH111" s="82"/>
      <c r="BI111" s="82"/>
      <c r="BJ111" s="82"/>
      <c r="BK111" s="82"/>
      <c r="BL111" s="82"/>
      <c r="BM111" s="82"/>
      <c r="BN111" s="7"/>
      <c r="BO111" s="7">
        <v>4.0</v>
      </c>
      <c r="BP111" s="82"/>
      <c r="BQ111" s="7"/>
      <c r="BR111" s="7" t="s">
        <v>196</v>
      </c>
    </row>
    <row r="112">
      <c r="A112" s="16">
        <v>46.0</v>
      </c>
      <c r="B112" s="16" t="s">
        <v>603</v>
      </c>
      <c r="C112" s="53">
        <v>2.0</v>
      </c>
      <c r="D112" s="53"/>
      <c r="E112" s="7">
        <v>394.0</v>
      </c>
      <c r="F112" s="53"/>
      <c r="G112" s="7">
        <v>0.0</v>
      </c>
      <c r="H112" s="16">
        <v>0.0</v>
      </c>
      <c r="I112" s="16">
        <v>1.0</v>
      </c>
      <c r="J112" s="39" t="s">
        <v>35</v>
      </c>
      <c r="K112" s="53"/>
      <c r="L112" s="53"/>
      <c r="M112" s="39" t="str">
        <f t="shared" si="1"/>
        <v>[http://dx.doi.org/10.2312/eg.19811012 Opheim simplification (1981)]</v>
      </c>
      <c r="N112" s="39" t="s">
        <v>2361</v>
      </c>
      <c r="O112" s="81">
        <v>1981.0</v>
      </c>
      <c r="P112" s="25" t="s">
        <v>2362</v>
      </c>
      <c r="Q112" s="82"/>
      <c r="R112" s="82"/>
      <c r="S112" s="82"/>
      <c r="T112" s="16">
        <v>0.0</v>
      </c>
      <c r="U112" s="16">
        <v>0.0</v>
      </c>
      <c r="V112" s="84">
        <v>3.0</v>
      </c>
      <c r="W112" s="85" t="s">
        <v>1763</v>
      </c>
      <c r="X112" s="39" t="s">
        <v>35</v>
      </c>
      <c r="Y112" s="53" t="s">
        <v>2353</v>
      </c>
      <c r="Z112" s="53" t="str">
        <f t="array" ref="Z112">INDEX(Problems!J:J, MATCH(1, (Problems!B:B=B112)*1, 0))</f>
        <v>n</v>
      </c>
      <c r="AA112" s="53"/>
      <c r="AB112" s="53"/>
      <c r="AC112" s="53" t="s">
        <v>2152</v>
      </c>
      <c r="AD112" s="53"/>
      <c r="AE112" s="85">
        <f>IFERROR(__xludf.DUMMYFUNCTION("INDEX(SPLIT(SUBSTITUTE(AF112,CHAR(10), """"),"",:""), MATCH(Z112, SPLIT(SUBSTITUTE(AF112,CHAR(10), """"),"",:""), 0) + 1)"),1.0)</f>
        <v>1</v>
      </c>
      <c r="AF112" s="85" t="s">
        <v>1774</v>
      </c>
      <c r="AG112" s="53" t="s">
        <v>34</v>
      </c>
      <c r="AH112" s="53" t="s">
        <v>2363</v>
      </c>
      <c r="AI112" s="84">
        <v>1.0</v>
      </c>
      <c r="AJ112" s="84">
        <v>0.0</v>
      </c>
      <c r="AK112" s="87"/>
      <c r="AL112" s="81">
        <v>0.0</v>
      </c>
      <c r="AM112" s="21"/>
      <c r="AN112" s="16">
        <v>0.0</v>
      </c>
      <c r="AO112" s="90"/>
      <c r="AP112" s="16">
        <v>0.0</v>
      </c>
      <c r="AQ112" s="16">
        <v>0.0</v>
      </c>
      <c r="AR112" s="39"/>
      <c r="AS112" s="81">
        <v>0.0</v>
      </c>
      <c r="AT112" s="81">
        <v>0.0</v>
      </c>
      <c r="AU112" s="82"/>
      <c r="AV112" s="82"/>
      <c r="AW112" s="82"/>
      <c r="AX112" s="82"/>
      <c r="AY112" s="7"/>
      <c r="AZ112" s="7"/>
      <c r="BA112" s="7"/>
      <c r="BB112" s="7"/>
      <c r="BC112" s="7"/>
      <c r="BD112" s="7"/>
      <c r="BE112" s="7"/>
      <c r="BF112" s="7">
        <v>1000.0</v>
      </c>
      <c r="BG112" s="82"/>
      <c r="BH112" s="82"/>
      <c r="BI112" s="82"/>
      <c r="BJ112" s="82"/>
      <c r="BK112" s="82"/>
      <c r="BL112" s="82"/>
      <c r="BM112" s="82"/>
      <c r="BN112" s="7"/>
      <c r="BO112" s="7">
        <v>4.0</v>
      </c>
      <c r="BP112" s="82"/>
      <c r="BQ112" s="7"/>
      <c r="BR112" s="7" t="s">
        <v>196</v>
      </c>
    </row>
    <row r="113">
      <c r="A113" s="16">
        <v>46.0</v>
      </c>
      <c r="B113" s="16" t="s">
        <v>603</v>
      </c>
      <c r="C113" s="53">
        <v>2.0</v>
      </c>
      <c r="D113" s="53"/>
      <c r="E113" s="7">
        <v>395.0</v>
      </c>
      <c r="F113" s="53"/>
      <c r="G113" s="7">
        <v>0.0</v>
      </c>
      <c r="H113" s="16">
        <v>0.0</v>
      </c>
      <c r="I113" s="16">
        <v>1.0</v>
      </c>
      <c r="J113" s="39" t="s">
        <v>35</v>
      </c>
      <c r="K113" s="53"/>
      <c r="L113" s="53"/>
      <c r="M113" s="39" t="str">
        <f t="shared" si="1"/>
        <v>[- Lang simplification (1969)]</v>
      </c>
      <c r="N113" s="39" t="s">
        <v>2364</v>
      </c>
      <c r="O113" s="81">
        <v>1969.0</v>
      </c>
      <c r="P113" s="16" t="s">
        <v>1937</v>
      </c>
      <c r="Q113" s="82"/>
      <c r="R113" s="82"/>
      <c r="S113" s="82"/>
      <c r="T113" s="16">
        <v>1.0</v>
      </c>
      <c r="U113" s="16">
        <v>0.0</v>
      </c>
      <c r="V113" s="84">
        <v>3.0</v>
      </c>
      <c r="W113" s="85" t="s">
        <v>1763</v>
      </c>
      <c r="X113" s="39" t="s">
        <v>35</v>
      </c>
      <c r="Y113" s="53" t="s">
        <v>2353</v>
      </c>
      <c r="Z113" s="53" t="str">
        <f t="array" ref="Z113">INDEX(Problems!J:J, MATCH(1, (Problems!B:B=B113)*1, 0))</f>
        <v>n</v>
      </c>
      <c r="AA113" s="53"/>
      <c r="AB113" s="53"/>
      <c r="AC113" s="53" t="s">
        <v>2152</v>
      </c>
      <c r="AD113" s="53"/>
      <c r="AE113" s="85">
        <f>IFERROR(__xludf.DUMMYFUNCTION("INDEX(SPLIT(SUBSTITUTE(AF113,CHAR(10), """"),"",:""), MATCH(Z113, SPLIT(SUBSTITUTE(AF113,CHAR(10), """"),"",:""), 0) + 1)"),1.0)</f>
        <v>1</v>
      </c>
      <c r="AF113" s="85" t="s">
        <v>1774</v>
      </c>
      <c r="AG113" s="53" t="s">
        <v>34</v>
      </c>
      <c r="AH113" s="53" t="s">
        <v>2365</v>
      </c>
      <c r="AI113" s="84">
        <v>1.0</v>
      </c>
      <c r="AJ113" s="84">
        <v>0.0</v>
      </c>
      <c r="AK113" s="87"/>
      <c r="AL113" s="81">
        <v>0.0</v>
      </c>
      <c r="AM113" s="21"/>
      <c r="AN113" s="16">
        <v>0.0</v>
      </c>
      <c r="AO113" s="90"/>
      <c r="AP113" s="16">
        <v>0.0</v>
      </c>
      <c r="AQ113" s="16">
        <v>0.0</v>
      </c>
      <c r="AR113" s="39"/>
      <c r="AS113" s="81">
        <v>0.0</v>
      </c>
      <c r="AT113" s="81">
        <v>0.0</v>
      </c>
      <c r="AU113" s="47" t="s">
        <v>2366</v>
      </c>
      <c r="AV113" s="82"/>
      <c r="AW113" s="82"/>
      <c r="AX113" s="82"/>
      <c r="AY113" s="7"/>
      <c r="AZ113" s="7"/>
      <c r="BA113" s="7"/>
      <c r="BB113" s="7"/>
      <c r="BC113" s="7"/>
      <c r="BD113" s="7"/>
      <c r="BE113" s="7"/>
      <c r="BF113" s="7">
        <v>1000.0</v>
      </c>
      <c r="BG113" s="82"/>
      <c r="BH113" s="82"/>
      <c r="BI113" s="82"/>
      <c r="BJ113" s="82"/>
      <c r="BK113" s="82"/>
      <c r="BL113" s="82"/>
      <c r="BM113" s="82"/>
      <c r="BN113" s="7"/>
      <c r="BO113" s="7">
        <v>4.0</v>
      </c>
      <c r="BP113" s="82"/>
      <c r="BQ113" s="7"/>
      <c r="BR113" s="7" t="s">
        <v>196</v>
      </c>
    </row>
    <row r="114">
      <c r="A114" s="16">
        <v>46.0</v>
      </c>
      <c r="B114" s="16" t="s">
        <v>603</v>
      </c>
      <c r="C114" s="53">
        <v>2.0</v>
      </c>
      <c r="D114" s="53"/>
      <c r="E114" s="7">
        <v>396.0</v>
      </c>
      <c r="F114" s="53"/>
      <c r="G114" s="7">
        <v>0.0</v>
      </c>
      <c r="H114" s="16">
        <v>0.0</v>
      </c>
      <c r="I114" s="16">
        <v>1.0</v>
      </c>
      <c r="J114" s="39" t="s">
        <v>35</v>
      </c>
      <c r="K114" s="53"/>
      <c r="L114" s="53"/>
      <c r="M114" s="39" t="str">
        <f t="shared" si="1"/>
        <v>[http://citeseerx.ist.psu.edu/viewdoc/summary?doi=10.1.1.494.7321 Zhao-Saalfeld (1997)]</v>
      </c>
      <c r="N114" s="39" t="s">
        <v>2367</v>
      </c>
      <c r="O114" s="81">
        <v>1997.0</v>
      </c>
      <c r="P114" s="25" t="s">
        <v>2368</v>
      </c>
      <c r="Q114" s="82"/>
      <c r="R114" s="82"/>
      <c r="S114" s="82"/>
      <c r="T114" s="16">
        <v>0.0</v>
      </c>
      <c r="U114" s="16">
        <v>0.0</v>
      </c>
      <c r="V114" s="84">
        <v>3.0</v>
      </c>
      <c r="W114" s="85" t="s">
        <v>1763</v>
      </c>
      <c r="X114" s="39" t="s">
        <v>35</v>
      </c>
      <c r="Y114" s="53" t="s">
        <v>2353</v>
      </c>
      <c r="Z114" s="53" t="str">
        <f t="array" ref="Z114">INDEX(Problems!J:J, MATCH(1, (Problems!B:B=B114)*1, 0))</f>
        <v>n</v>
      </c>
      <c r="AA114" s="53"/>
      <c r="AB114" s="53"/>
      <c r="AC114" s="53" t="s">
        <v>2152</v>
      </c>
      <c r="AD114" s="53"/>
      <c r="AE114" s="85">
        <f>IFERROR(__xludf.DUMMYFUNCTION("INDEX(SPLIT(SUBSTITUTE(AF114,CHAR(10), """"),"",:""), MATCH(Z114, SPLIT(SUBSTITUTE(AF114,CHAR(10), """"),"",:""), 0) + 1)"),3.0)</f>
        <v>3</v>
      </c>
      <c r="AF114" s="85" t="s">
        <v>1763</v>
      </c>
      <c r="AG114" s="53" t="s">
        <v>35</v>
      </c>
      <c r="AH114" s="53" t="s">
        <v>2369</v>
      </c>
      <c r="AI114" s="84">
        <v>1.0</v>
      </c>
      <c r="AJ114" s="84">
        <v>0.0</v>
      </c>
      <c r="AK114" s="87"/>
      <c r="AL114" s="81">
        <v>0.0</v>
      </c>
      <c r="AM114" s="21"/>
      <c r="AN114" s="16">
        <v>0.0</v>
      </c>
      <c r="AO114" s="90"/>
      <c r="AP114" s="16">
        <v>0.0</v>
      </c>
      <c r="AQ114" s="16">
        <v>0.0</v>
      </c>
      <c r="AR114" s="39"/>
      <c r="AS114" s="81">
        <v>0.0</v>
      </c>
      <c r="AT114" s="81">
        <v>0.0</v>
      </c>
      <c r="AU114" s="82"/>
      <c r="AV114" s="82"/>
      <c r="AW114" s="82"/>
      <c r="AX114" s="82"/>
      <c r="AY114" s="7"/>
      <c r="AZ114" s="7"/>
      <c r="BA114" s="7"/>
      <c r="BB114" s="7"/>
      <c r="BC114" s="7"/>
      <c r="BD114" s="7"/>
      <c r="BE114" s="7"/>
      <c r="BF114" s="7">
        <v>1000.0</v>
      </c>
      <c r="BG114" s="82"/>
      <c r="BH114" s="82"/>
      <c r="BI114" s="82"/>
      <c r="BJ114" s="82"/>
      <c r="BK114" s="82"/>
      <c r="BL114" s="82"/>
      <c r="BM114" s="82"/>
      <c r="BN114" s="7"/>
      <c r="BO114" s="7">
        <v>4.0</v>
      </c>
      <c r="BP114" s="82"/>
      <c r="BQ114" s="7"/>
      <c r="BR114" s="7" t="s">
        <v>196</v>
      </c>
    </row>
    <row r="115">
      <c r="A115" s="16">
        <v>49.0</v>
      </c>
      <c r="B115" s="16" t="s">
        <v>629</v>
      </c>
      <c r="C115" s="53">
        <v>2.0</v>
      </c>
      <c r="D115" s="53" t="s">
        <v>2370</v>
      </c>
      <c r="E115" s="7">
        <v>416.0</v>
      </c>
      <c r="F115" s="53"/>
      <c r="G115" s="7"/>
      <c r="H115" s="16">
        <v>1.0</v>
      </c>
      <c r="I115" s="16">
        <v>1.0</v>
      </c>
      <c r="J115" s="21" t="s">
        <v>35</v>
      </c>
      <c r="K115" s="53"/>
      <c r="L115" s="53"/>
      <c r="M115" s="39" t="str">
        <f t="shared" si="1"/>
        <v>[- Linear search (1940)]</v>
      </c>
      <c r="N115" s="39" t="s">
        <v>2371</v>
      </c>
      <c r="O115" s="81">
        <v>1940.0</v>
      </c>
      <c r="P115" s="16" t="s">
        <v>1937</v>
      </c>
      <c r="Q115" s="7">
        <v>1.0</v>
      </c>
      <c r="R115" s="7">
        <v>1.0</v>
      </c>
      <c r="S115" s="82"/>
      <c r="T115" s="16">
        <v>1.0</v>
      </c>
      <c r="U115" s="16">
        <v>0.0</v>
      </c>
      <c r="V115" s="89">
        <f>IFERROR(__xludf.DUMMYFUNCTION("INDEX(SPLIT(SUBSTITUTE(W115,CHAR(10), """"),"",:""), MATCH(Z115, SPLIT(SUBSTITUTE(W115,CHAR(10), """"),"",:""), 0) + 1)"),3.0)</f>
        <v>3</v>
      </c>
      <c r="W115" s="85" t="s">
        <v>1763</v>
      </c>
      <c r="X115" s="21" t="s">
        <v>35</v>
      </c>
      <c r="Y115" s="53"/>
      <c r="Z115" s="53" t="str">
        <f t="array" ref="Z115">INDEX(Problems!J:J, MATCH(1, (Problems!B:B=B115)*1, 0))</f>
        <v>n</v>
      </c>
      <c r="AA115" s="53"/>
      <c r="AB115" s="53"/>
      <c r="AC115" s="53" t="s">
        <v>2152</v>
      </c>
      <c r="AD115" s="53"/>
      <c r="AE115" s="85">
        <f>IFERROR(__xludf.DUMMYFUNCTION("INDEX(SPLIT(SUBSTITUTE(AF115,CHAR(10), """"),"",:""), MATCH(Z115, SPLIT(SUBSTITUTE(AF115,CHAR(10), """"),"",:""), 0) + 1)"),1.0)</f>
        <v>1</v>
      </c>
      <c r="AF115" s="85" t="s">
        <v>1774</v>
      </c>
      <c r="AG115" s="53" t="s">
        <v>34</v>
      </c>
      <c r="AH115" s="53" t="s">
        <v>2372</v>
      </c>
      <c r="AI115" s="21">
        <v>1.0</v>
      </c>
      <c r="AJ115" s="84">
        <v>0.0</v>
      </c>
      <c r="AK115" s="21"/>
      <c r="AL115" s="16">
        <v>0.0</v>
      </c>
      <c r="AM115" s="21"/>
      <c r="AN115" s="16">
        <v>0.0</v>
      </c>
      <c r="AO115" s="90"/>
      <c r="AP115" s="16">
        <v>0.0</v>
      </c>
      <c r="AQ115" s="16">
        <v>0.0</v>
      </c>
      <c r="AR115" s="39"/>
      <c r="AS115" s="81">
        <v>0.0</v>
      </c>
      <c r="AT115" s="81">
        <v>0.0</v>
      </c>
      <c r="AU115" s="82"/>
      <c r="AV115" s="82"/>
      <c r="AW115" s="82"/>
      <c r="AX115" s="82"/>
      <c r="AY115" s="7"/>
      <c r="AZ115" s="7"/>
      <c r="BA115" s="7"/>
      <c r="BB115" s="7"/>
      <c r="BC115" s="7"/>
      <c r="BD115" s="7"/>
      <c r="BE115" s="7"/>
      <c r="BF115" s="7">
        <v>1000000.0</v>
      </c>
      <c r="BG115" s="7">
        <v>1.0</v>
      </c>
      <c r="BH115" s="7"/>
      <c r="BI115" s="7">
        <v>1.0E12</v>
      </c>
      <c r="BJ115" s="7">
        <v>1.0</v>
      </c>
      <c r="BK115" s="82"/>
      <c r="BL115" s="82">
        <f>POW(1000000000,2)</f>
        <v>1E+18</v>
      </c>
      <c r="BM115" s="7">
        <v>1.0</v>
      </c>
      <c r="BN115" s="7"/>
      <c r="BO115" s="7">
        <v>4.0</v>
      </c>
      <c r="BP115" s="82"/>
      <c r="BQ115" s="7"/>
      <c r="BR115" s="7" t="s">
        <v>23</v>
      </c>
    </row>
    <row r="116">
      <c r="A116" s="16">
        <v>49.0</v>
      </c>
      <c r="B116" s="16" t="s">
        <v>629</v>
      </c>
      <c r="C116" s="53">
        <v>2.0</v>
      </c>
      <c r="D116" s="53" t="s">
        <v>2370</v>
      </c>
      <c r="E116" s="7">
        <v>417.0</v>
      </c>
      <c r="F116" s="53"/>
      <c r="G116" s="7"/>
      <c r="H116" s="16">
        <v>1.0</v>
      </c>
      <c r="I116" s="16">
        <v>1.0</v>
      </c>
      <c r="J116" s="21" t="s">
        <v>2373</v>
      </c>
      <c r="K116" s="53" t="s">
        <v>2374</v>
      </c>
      <c r="L116" s="113" t="s">
        <v>633</v>
      </c>
      <c r="M116" s="39" t="str">
        <f t="shared" si="1"/>
        <v>[https://dl.acm.org/doi/pdf/10.1145/355744.355745 k-d Tree (1975)]</v>
      </c>
      <c r="N116" s="39" t="s">
        <v>2375</v>
      </c>
      <c r="O116" s="83">
        <v>1975.0</v>
      </c>
      <c r="P116" s="17" t="s">
        <v>633</v>
      </c>
      <c r="Q116" s="7">
        <v>1.0</v>
      </c>
      <c r="R116" s="7">
        <v>1.0</v>
      </c>
      <c r="S116" s="47" t="s">
        <v>2376</v>
      </c>
      <c r="T116" s="16">
        <v>1.0</v>
      </c>
      <c r="U116" s="16" t="s">
        <v>1952</v>
      </c>
      <c r="V116" s="89">
        <f>IFERROR(__xludf.DUMMYFUNCTION("INDEX(SPLIT(SUBSTITUTE(W116,CHAR(10), """"),"",:""), MATCH(Z116, SPLIT(SUBSTITUTE(W116,CHAR(10), """"),"",:""), 0) + 1)"),4.0)</f>
        <v>4</v>
      </c>
      <c r="W116" s="85" t="s">
        <v>1791</v>
      </c>
      <c r="X116" s="21" t="s">
        <v>2377</v>
      </c>
      <c r="Y116" s="53" t="s">
        <v>1773</v>
      </c>
      <c r="Z116" s="53" t="str">
        <f t="array" ref="Z116">INDEX(Problems!J:J, MATCH(1, (Problems!B:B=B116)*1, 0))</f>
        <v>n</v>
      </c>
      <c r="AA116" s="53"/>
      <c r="AB116" s="53"/>
      <c r="AC116" s="53" t="s">
        <v>2152</v>
      </c>
      <c r="AD116" s="53"/>
      <c r="AE116" s="85">
        <f>IFERROR(__xludf.DUMMYFUNCTION("INDEX(SPLIT(SUBSTITUTE(AF116,CHAR(10), """"),"",:""), MATCH(Z116, SPLIT(SUBSTITUTE(AF116,CHAR(10), """"),"",:""), 0) + 1)"),3.0)</f>
        <v>3</v>
      </c>
      <c r="AF116" s="85" t="s">
        <v>1763</v>
      </c>
      <c r="AG116" s="53" t="s">
        <v>35</v>
      </c>
      <c r="AH116" s="113" t="s">
        <v>633</v>
      </c>
      <c r="AI116" s="21">
        <v>0.0</v>
      </c>
      <c r="AJ116" s="84">
        <v>1.0</v>
      </c>
      <c r="AK116" s="21"/>
      <c r="AL116" s="16">
        <v>0.0</v>
      </c>
      <c r="AM116" s="21"/>
      <c r="AN116" s="16">
        <v>0.0</v>
      </c>
      <c r="AO116" s="90"/>
      <c r="AP116" s="16">
        <v>0.0</v>
      </c>
      <c r="AQ116" s="16">
        <v>0.0</v>
      </c>
      <c r="AR116" s="39"/>
      <c r="AS116" s="81">
        <v>0.0</v>
      </c>
      <c r="AT116" s="81">
        <v>0.0</v>
      </c>
      <c r="AU116" s="82"/>
      <c r="AV116" s="82"/>
      <c r="AW116" s="82"/>
      <c r="AX116" s="82"/>
      <c r="AY116" s="7"/>
      <c r="AZ116" s="7"/>
      <c r="BA116" s="7"/>
      <c r="BB116" s="7"/>
      <c r="BC116" s="7"/>
      <c r="BD116" s="7"/>
      <c r="BE116" s="7"/>
      <c r="BF116" s="7">
        <v>9965.0</v>
      </c>
      <c r="BG116" s="82">
        <f>BF115/BF116</f>
        <v>100.3512293</v>
      </c>
      <c r="BH116" s="82"/>
      <c r="BI116" s="82">
        <f>1000000*LOG(1000000,2)</f>
        <v>19931568.57</v>
      </c>
      <c r="BJ116" s="82">
        <f>BI115/BI116</f>
        <v>50171.66594</v>
      </c>
      <c r="BK116" s="82"/>
      <c r="BL116" s="82">
        <f>1000000000*LOG(1000000000,2)</f>
        <v>29897352854</v>
      </c>
      <c r="BM116" s="82">
        <f>BL115/BL116</f>
        <v>33447777.3</v>
      </c>
      <c r="BN116" s="7"/>
      <c r="BO116" s="7">
        <v>4.0</v>
      </c>
      <c r="BP116" s="82"/>
      <c r="BQ116" s="7"/>
      <c r="BR116" s="7" t="s">
        <v>23</v>
      </c>
    </row>
    <row r="117">
      <c r="A117" s="16">
        <v>49.0</v>
      </c>
      <c r="B117" s="16" t="s">
        <v>629</v>
      </c>
      <c r="C117" s="53">
        <v>2.0</v>
      </c>
      <c r="D117" s="53" t="s">
        <v>2370</v>
      </c>
      <c r="E117" s="7">
        <v>418.0</v>
      </c>
      <c r="F117" s="53"/>
      <c r="G117" s="7"/>
      <c r="H117" s="16">
        <v>1.0</v>
      </c>
      <c r="I117" s="16">
        <v>1.0</v>
      </c>
      <c r="J117" s="21" t="s">
        <v>2378</v>
      </c>
      <c r="K117" s="53"/>
      <c r="L117" s="53"/>
      <c r="M117" s="39" t="str">
        <f t="shared" si="1"/>
        <v>[http://www-db.deis.unibo.it/courses/SI-LS/papers/Gut84.pdf R-tree (1984)]</v>
      </c>
      <c r="N117" s="16" t="s">
        <v>2379</v>
      </c>
      <c r="O117" s="83">
        <v>1984.0</v>
      </c>
      <c r="P117" s="25" t="s">
        <v>2380</v>
      </c>
      <c r="Q117" s="82"/>
      <c r="R117" s="82"/>
      <c r="S117" s="82"/>
      <c r="T117" s="16">
        <v>0.0</v>
      </c>
      <c r="U117" s="16">
        <v>0.0</v>
      </c>
      <c r="V117" s="89">
        <f>IFERROR(__xludf.DUMMYFUNCTION("INDEX(SPLIT(SUBSTITUTE(W117,CHAR(10), """"),"",:""), MATCH(Z117, SPLIT(SUBSTITUTE(W117,CHAR(10), """"),"",:""), 0) + 1)"),4.0)</f>
        <v>4</v>
      </c>
      <c r="W117" s="85" t="s">
        <v>1791</v>
      </c>
      <c r="X117" s="21" t="s">
        <v>2381</v>
      </c>
      <c r="Y117" s="53" t="s">
        <v>1773</v>
      </c>
      <c r="Z117" s="53" t="str">
        <f t="array" ref="Z117">INDEX(Problems!J:J, MATCH(1, (Problems!B:B=B117)*1, 0))</f>
        <v>n</v>
      </c>
      <c r="AA117" s="53"/>
      <c r="AB117" s="53"/>
      <c r="AC117" s="53" t="s">
        <v>2152</v>
      </c>
      <c r="AD117" s="53"/>
      <c r="AE117" s="85">
        <f>IFERROR(__xludf.DUMMYFUNCTION("INDEX(SPLIT(SUBSTITUTE(AF117,CHAR(10), """"),"",:""), MATCH(Z117, SPLIT(SUBSTITUTE(AF117,CHAR(10), """"),"",:""), 0) + 1)"),2.0)</f>
        <v>2</v>
      </c>
      <c r="AF117" s="85" t="s">
        <v>1962</v>
      </c>
      <c r="AG117" s="53" t="s">
        <v>2382</v>
      </c>
      <c r="AH117" s="86" t="s">
        <v>2383</v>
      </c>
      <c r="AI117" s="21">
        <v>0.0</v>
      </c>
      <c r="AJ117" s="84">
        <v>0.0</v>
      </c>
      <c r="AK117" s="21"/>
      <c r="AL117" s="16">
        <v>0.0</v>
      </c>
      <c r="AM117" s="21"/>
      <c r="AN117" s="16">
        <v>0.0</v>
      </c>
      <c r="AO117" s="90"/>
      <c r="AP117" s="16">
        <v>0.0</v>
      </c>
      <c r="AQ117" s="16">
        <v>0.0</v>
      </c>
      <c r="AR117" s="39"/>
      <c r="AS117" s="81">
        <v>0.0</v>
      </c>
      <c r="AT117" s="81">
        <v>0.0</v>
      </c>
      <c r="AU117" s="82"/>
      <c r="AV117" s="82"/>
      <c r="AW117" s="82"/>
      <c r="AX117" s="82"/>
      <c r="AY117" s="7"/>
      <c r="AZ117" s="7"/>
      <c r="BA117" s="7"/>
      <c r="BB117" s="7"/>
      <c r="BC117" s="7"/>
      <c r="BD117" s="7"/>
      <c r="BE117" s="7"/>
      <c r="BF117" s="7">
        <v>9965.0</v>
      </c>
      <c r="BG117" s="82"/>
      <c r="BH117" s="82"/>
      <c r="BI117" s="82"/>
      <c r="BJ117" s="82"/>
      <c r="BK117" s="82"/>
      <c r="BL117" s="82"/>
      <c r="BM117" s="82"/>
      <c r="BN117" s="7"/>
      <c r="BO117" s="7">
        <v>4.0</v>
      </c>
      <c r="BP117" s="82"/>
      <c r="BQ117" s="7"/>
      <c r="BR117" s="7" t="s">
        <v>23</v>
      </c>
    </row>
    <row r="118">
      <c r="A118" s="16">
        <v>66.0</v>
      </c>
      <c r="B118" s="16" t="s">
        <v>775</v>
      </c>
      <c r="C118" s="53">
        <v>2.0</v>
      </c>
      <c r="D118" s="53" t="s">
        <v>776</v>
      </c>
      <c r="E118" s="7">
        <v>541.0</v>
      </c>
      <c r="F118" s="53"/>
      <c r="G118" s="7"/>
      <c r="H118" s="16">
        <v>1.0</v>
      </c>
      <c r="I118" s="16">
        <v>1.0</v>
      </c>
      <c r="J118" s="16" t="s">
        <v>2384</v>
      </c>
      <c r="K118" s="53"/>
      <c r="L118" s="53"/>
      <c r="M118" s="39" t="str">
        <f t="shared" si="1"/>
        <v>[https://dl.acm.org/doi/10.1145/321812.321823 Horowitz and Sahni (1974)]</v>
      </c>
      <c r="N118" s="39" t="s">
        <v>2385</v>
      </c>
      <c r="O118" s="81">
        <v>1974.0</v>
      </c>
      <c r="P118" s="25" t="s">
        <v>2386</v>
      </c>
      <c r="Q118" s="82"/>
      <c r="R118" s="82"/>
      <c r="S118" s="82"/>
      <c r="T118" s="16">
        <v>1.0</v>
      </c>
      <c r="U118" s="16">
        <v>0.0</v>
      </c>
      <c r="V118" s="89">
        <f>IFERROR(__xludf.DUMMYFUNCTION("INDEX(SPLIT(SUBSTITUTE(W118,CHAR(10), """"),"",:""), MATCH(Z118, SPLIT(SUBSTITUTE(W118,CHAR(10), """"),"",:""), 0) + 1)"),8.0)</f>
        <v>8</v>
      </c>
      <c r="W118" s="85" t="s">
        <v>2001</v>
      </c>
      <c r="X118" s="16" t="s">
        <v>2387</v>
      </c>
      <c r="Y118" s="53" t="s">
        <v>2388</v>
      </c>
      <c r="Z118" s="53" t="str">
        <f t="array" ref="Z118">INDEX(Problems!J:J, MATCH(1, (Problems!B:B=B118)*1, 0))</f>
        <v>n</v>
      </c>
      <c r="AA118" s="53"/>
      <c r="AB118" s="53"/>
      <c r="AC118" s="53" t="s">
        <v>1813</v>
      </c>
      <c r="AD118" s="53" t="s">
        <v>1814</v>
      </c>
      <c r="AE118" s="85">
        <f>IFERROR(__xludf.DUMMYFUNCTION("INDEX(SPLIT(SUBSTITUTE(AF118,CHAR(10), """"),"",:""), MATCH(Z118, SPLIT(SUBSTITUTE(AF118,CHAR(10), """"),"",:""), 0) + 1)"),8.0)</f>
        <v>8</v>
      </c>
      <c r="AF118" s="85" t="s">
        <v>2389</v>
      </c>
      <c r="AG118" s="53" t="s">
        <v>2384</v>
      </c>
      <c r="AH118" s="86" t="s">
        <v>2386</v>
      </c>
      <c r="AI118" s="84">
        <v>0.0</v>
      </c>
      <c r="AJ118" s="84">
        <v>1.0</v>
      </c>
      <c r="AK118" s="87"/>
      <c r="AL118" s="81">
        <v>0.0</v>
      </c>
      <c r="AM118" s="87"/>
      <c r="AN118" s="81">
        <v>0.0</v>
      </c>
      <c r="AO118" s="90"/>
      <c r="AP118" s="81">
        <v>0.0</v>
      </c>
      <c r="AQ118" s="81">
        <v>0.0</v>
      </c>
      <c r="AR118" s="39"/>
      <c r="AS118" s="81">
        <v>0.0</v>
      </c>
      <c r="AT118" s="81">
        <v>0.0</v>
      </c>
      <c r="AU118" s="39"/>
      <c r="AV118" s="82"/>
      <c r="AW118" s="82"/>
      <c r="AX118" s="82"/>
      <c r="AY118" s="7"/>
      <c r="AZ118" s="7"/>
      <c r="BA118" s="7"/>
      <c r="BB118" s="7"/>
      <c r="BC118" s="7"/>
      <c r="BD118" s="7"/>
      <c r="BE118" s="7"/>
      <c r="BF118" s="7" t="s">
        <v>1781</v>
      </c>
      <c r="BG118" s="7">
        <v>1.0</v>
      </c>
      <c r="BH118" s="7"/>
      <c r="BI118" s="7" t="s">
        <v>1781</v>
      </c>
      <c r="BJ118" s="7">
        <v>1.0</v>
      </c>
      <c r="BK118" s="7"/>
      <c r="BL118" s="7" t="s">
        <v>1781</v>
      </c>
      <c r="BM118" s="7">
        <v>1.0</v>
      </c>
      <c r="BN118" s="7"/>
      <c r="BO118" s="7">
        <v>1.0</v>
      </c>
      <c r="BP118" s="82"/>
      <c r="BQ118" s="7"/>
      <c r="BR118" s="7" t="s">
        <v>23</v>
      </c>
    </row>
    <row r="119">
      <c r="A119" s="16">
        <v>66.0</v>
      </c>
      <c r="B119" s="16" t="s">
        <v>775</v>
      </c>
      <c r="C119" s="53">
        <v>2.0</v>
      </c>
      <c r="D119" s="53" t="s">
        <v>776</v>
      </c>
      <c r="E119" s="7">
        <v>542.0</v>
      </c>
      <c r="F119" s="53"/>
      <c r="G119" s="7"/>
      <c r="H119" s="16">
        <v>1.0</v>
      </c>
      <c r="I119" s="16">
        <v>1.0</v>
      </c>
      <c r="J119" s="21" t="s">
        <v>2390</v>
      </c>
      <c r="K119" s="53"/>
      <c r="L119" s="53"/>
      <c r="M119" s="39" t="str">
        <f t="shared" si="1"/>
        <v>[https://onlinelibrary.wiley.com/doi/10.1002/nav.3800030107 Bellman dynamic programming algorithm (1956)]</v>
      </c>
      <c r="N119" s="16" t="s">
        <v>2391</v>
      </c>
      <c r="O119" s="81">
        <v>1956.0</v>
      </c>
      <c r="P119" s="25" t="s">
        <v>2392</v>
      </c>
      <c r="Q119" s="82"/>
      <c r="R119" s="82"/>
      <c r="S119" s="82"/>
      <c r="T119" s="16">
        <v>1.0</v>
      </c>
      <c r="U119" s="16">
        <v>0.0</v>
      </c>
      <c r="V119" s="89">
        <f>IFERROR(__xludf.DUMMYFUNCTION("INDEX(SPLIT(SUBSTITUTE(W119,CHAR(10), """"),"",:""), MATCH(Z119, SPLIT(SUBSTITUTE(W119,CHAR(10), """"),"",:""), 0) + 1)"),3.0)</f>
        <v>3</v>
      </c>
      <c r="W119" s="85" t="s">
        <v>2393</v>
      </c>
      <c r="X119" s="21" t="s">
        <v>2394</v>
      </c>
      <c r="Y119" s="53" t="s">
        <v>2395</v>
      </c>
      <c r="Z119" s="53" t="str">
        <f t="array" ref="Z119">INDEX(Problems!J:J, MATCH(1, (Problems!B:B=B119)*1, 0))</f>
        <v>n</v>
      </c>
      <c r="AA119" s="53"/>
      <c r="AB119" s="53"/>
      <c r="AC119" s="53" t="s">
        <v>1813</v>
      </c>
      <c r="AD119" s="53" t="s">
        <v>1814</v>
      </c>
      <c r="AE119" s="85">
        <f>IFERROR(__xludf.DUMMYFUNCTION("INDEX(SPLIT(SUBSTITUTE(AF119,CHAR(10), """"),"",:""), MATCH(Z119, SPLIT(SUBSTITUTE(AF119,CHAR(10), """"),"",:""), 0) + 1)"),1.0)</f>
        <v>1</v>
      </c>
      <c r="AF119" s="85" t="s">
        <v>1832</v>
      </c>
      <c r="AG119" s="53" t="s">
        <v>1833</v>
      </c>
      <c r="AH119" s="86" t="s">
        <v>2396</v>
      </c>
      <c r="AI119" s="84">
        <v>0.0</v>
      </c>
      <c r="AJ119" s="84">
        <v>0.0</v>
      </c>
      <c r="AK119" s="87"/>
      <c r="AL119" s="81">
        <v>0.0</v>
      </c>
      <c r="AM119" s="87"/>
      <c r="AN119" s="81">
        <v>0.0</v>
      </c>
      <c r="AO119" s="90"/>
      <c r="AP119" s="81">
        <v>0.0</v>
      </c>
      <c r="AQ119" s="81">
        <v>0.0</v>
      </c>
      <c r="AR119" s="39"/>
      <c r="AS119" s="81">
        <v>0.0</v>
      </c>
      <c r="AT119" s="81">
        <v>0.0</v>
      </c>
      <c r="AU119" s="25" t="s">
        <v>2397</v>
      </c>
      <c r="AV119" s="82"/>
      <c r="AW119" s="82"/>
      <c r="AX119" s="82"/>
      <c r="AY119" s="7"/>
      <c r="AZ119" s="7">
        <v>1.0</v>
      </c>
      <c r="BA119" s="7">
        <f>POW(AZ715/AZ119,1/($O119-$O715)) - 1</f>
        <v>0.5399265261</v>
      </c>
      <c r="BB119" s="7">
        <v>1.0</v>
      </c>
      <c r="BC119" s="7">
        <f>POW(BB715/BB119,1/($O119-$O715)) - 1</f>
        <v>1.371373706</v>
      </c>
      <c r="BD119" s="7">
        <v>1.0</v>
      </c>
      <c r="BE119" s="7">
        <f>POW(BD715/BD119,1/($O119-$O715)) - 1</f>
        <v>2.651741273</v>
      </c>
      <c r="BF119" s="7" t="s">
        <v>1781</v>
      </c>
      <c r="BG119" s="7">
        <v>1.0</v>
      </c>
      <c r="BH119" s="7"/>
      <c r="BI119" s="7" t="s">
        <v>1781</v>
      </c>
      <c r="BJ119" s="7">
        <v>1.0</v>
      </c>
      <c r="BK119" s="7"/>
      <c r="BL119" s="7" t="s">
        <v>1781</v>
      </c>
      <c r="BM119" s="7">
        <v>1.0</v>
      </c>
      <c r="BN119" s="7"/>
      <c r="BO119" s="7">
        <v>1.0</v>
      </c>
      <c r="BP119" s="82"/>
      <c r="BQ119" s="7"/>
      <c r="BR119" s="7" t="s">
        <v>23</v>
      </c>
    </row>
    <row r="120">
      <c r="A120" s="16">
        <v>66.0</v>
      </c>
      <c r="B120" s="16" t="s">
        <v>775</v>
      </c>
      <c r="C120" s="53">
        <v>2.0</v>
      </c>
      <c r="D120" s="53" t="s">
        <v>776</v>
      </c>
      <c r="E120" s="7">
        <v>543.0</v>
      </c>
      <c r="F120" s="53"/>
      <c r="G120" s="7"/>
      <c r="H120" s="16">
        <v>1.0</v>
      </c>
      <c r="I120" s="16">
        <v>1.0</v>
      </c>
      <c r="J120" s="21" t="s">
        <v>2398</v>
      </c>
      <c r="K120" s="53"/>
      <c r="L120" s="53"/>
      <c r="M120" s="39" t="str">
        <f t="shared" si="1"/>
        <v>[https://www.sciencedirect.com/science/article/abs/pii/S0196677499910349 Psinger (1999)]</v>
      </c>
      <c r="N120" s="16" t="s">
        <v>2399</v>
      </c>
      <c r="O120" s="81">
        <v>1999.0</v>
      </c>
      <c r="P120" s="25" t="s">
        <v>2400</v>
      </c>
      <c r="Q120" s="82"/>
      <c r="R120" s="82"/>
      <c r="S120" s="82"/>
      <c r="T120" s="16">
        <v>1.0</v>
      </c>
      <c r="U120" s="16">
        <v>0.0</v>
      </c>
      <c r="V120" s="89">
        <f>IFERROR(__xludf.DUMMYFUNCTION("INDEX(SPLIT(SUBSTITUTE(W120,CHAR(10), """"),"",:""), MATCH(Z120, SPLIT(SUBSTITUTE(W120,CHAR(10), """"),"",:""), 0) + 1)"),3.0)</f>
        <v>3</v>
      </c>
      <c r="W120" s="85" t="s">
        <v>2401</v>
      </c>
      <c r="X120" s="21" t="s">
        <v>2402</v>
      </c>
      <c r="Y120" s="53" t="s">
        <v>2403</v>
      </c>
      <c r="Z120" s="53" t="str">
        <f t="array" ref="Z120">INDEX(Problems!J:J, MATCH(1, (Problems!B:B=B120)*1, 0))</f>
        <v>n</v>
      </c>
      <c r="AA120" s="53"/>
      <c r="AB120" s="53"/>
      <c r="AC120" s="53" t="s">
        <v>1813</v>
      </c>
      <c r="AD120" s="53" t="s">
        <v>1814</v>
      </c>
      <c r="AE120" s="85">
        <f>IFERROR(__xludf.DUMMYFUNCTION("INDEX(SPLIT(SUBSTITUTE(AF120,CHAR(10), """"),"",:""), MATCH(Z120, SPLIT(SUBSTITUTE(AF120,CHAR(10), """"),"",:""), 0) + 1)"),1.0)</f>
        <v>1</v>
      </c>
      <c r="AF120" s="85" t="s">
        <v>1832</v>
      </c>
      <c r="AG120" s="53" t="s">
        <v>1833</v>
      </c>
      <c r="AH120" s="86" t="s">
        <v>2404</v>
      </c>
      <c r="AI120" s="84">
        <v>0.0</v>
      </c>
      <c r="AJ120" s="84">
        <v>0.0</v>
      </c>
      <c r="AK120" s="87"/>
      <c r="AL120" s="81">
        <v>0.0</v>
      </c>
      <c r="AM120" s="87"/>
      <c r="AN120" s="81">
        <v>0.0</v>
      </c>
      <c r="AO120" s="90"/>
      <c r="AP120" s="81">
        <v>0.0</v>
      </c>
      <c r="AQ120" s="81">
        <v>0.0</v>
      </c>
      <c r="AR120" s="39"/>
      <c r="AS120" s="81">
        <v>0.0</v>
      </c>
      <c r="AT120" s="81">
        <v>0.0</v>
      </c>
      <c r="AU120" s="39"/>
      <c r="AV120" s="82"/>
      <c r="AW120" s="82"/>
      <c r="AX120" s="82"/>
      <c r="AY120" s="7"/>
      <c r="AZ120" s="7"/>
      <c r="BA120" s="7"/>
      <c r="BB120" s="7"/>
      <c r="BC120" s="7"/>
      <c r="BD120" s="7"/>
      <c r="BE120" s="7"/>
      <c r="BF120" s="7" t="s">
        <v>1781</v>
      </c>
      <c r="BG120" s="7">
        <v>1.0</v>
      </c>
      <c r="BH120" s="7"/>
      <c r="BI120" s="7" t="s">
        <v>1781</v>
      </c>
      <c r="BJ120" s="7">
        <v>1.0</v>
      </c>
      <c r="BK120" s="7"/>
      <c r="BL120" s="7" t="s">
        <v>1781</v>
      </c>
      <c r="BM120" s="7">
        <v>1.0</v>
      </c>
      <c r="BN120" s="7"/>
      <c r="BO120" s="7">
        <v>1.0</v>
      </c>
      <c r="BP120" s="82"/>
      <c r="BQ120" s="7"/>
      <c r="BR120" s="7" t="s">
        <v>23</v>
      </c>
    </row>
    <row r="121">
      <c r="A121" s="16">
        <v>66.0</v>
      </c>
      <c r="B121" s="16" t="s">
        <v>775</v>
      </c>
      <c r="C121" s="53">
        <v>2.0</v>
      </c>
      <c r="D121" s="53" t="s">
        <v>776</v>
      </c>
      <c r="E121" s="7">
        <v>544.0</v>
      </c>
      <c r="F121" s="53"/>
      <c r="G121" s="7"/>
      <c r="H121" s="16">
        <v>1.0</v>
      </c>
      <c r="I121" s="16">
        <v>1.0</v>
      </c>
      <c r="J121" s="21" t="s">
        <v>780</v>
      </c>
      <c r="K121" s="53"/>
      <c r="L121" s="53"/>
      <c r="M121" s="39" t="str">
        <f t="shared" si="1"/>
        <v>[https://dl.acm.org/doi/pdf/10.1145/3329863 Koiliaris and Xu (2019)]</v>
      </c>
      <c r="N121" s="16" t="s">
        <v>2405</v>
      </c>
      <c r="O121" s="83">
        <v>2019.0</v>
      </c>
      <c r="P121" s="17" t="s">
        <v>778</v>
      </c>
      <c r="Q121" s="82"/>
      <c r="R121" s="82"/>
      <c r="S121" s="82"/>
      <c r="T121" s="16">
        <v>1.0</v>
      </c>
      <c r="U121" s="16">
        <v>0.0</v>
      </c>
      <c r="V121" s="89">
        <f>IFERROR(__xludf.DUMMYFUNCTION("INDEX(SPLIT(SUBSTITUTE(W121,CHAR(10), """"),"",:""), MATCH(Z121, SPLIT(SUBSTITUTE(W121,CHAR(10), """"),"",:""), 0) + 1)"),4.0)</f>
        <v>4</v>
      </c>
      <c r="W121" s="85" t="s">
        <v>2406</v>
      </c>
      <c r="X121" s="21" t="s">
        <v>2407</v>
      </c>
      <c r="Y121" s="41" t="s">
        <v>2408</v>
      </c>
      <c r="Z121" s="53" t="str">
        <f t="array" ref="Z121">INDEX(Problems!J:J, MATCH(1, (Problems!B:B=B121)*1, 0))</f>
        <v>n</v>
      </c>
      <c r="AA121" s="41"/>
      <c r="AB121" s="41"/>
      <c r="AC121" s="53" t="s">
        <v>1813</v>
      </c>
      <c r="AD121" s="53" t="s">
        <v>1814</v>
      </c>
      <c r="AE121" s="85">
        <f>IFERROR(__xludf.DUMMYFUNCTION("INDEX(SPLIT(SUBSTITUTE(AF121,CHAR(10), """"),"",:""), MATCH(Z121, SPLIT(SUBSTITUTE(AF121,CHAR(10), """"),"",:""), 0) + 1)"),1.0)</f>
        <v>1</v>
      </c>
      <c r="AF121" s="85" t="s">
        <v>1832</v>
      </c>
      <c r="AG121" s="53" t="s">
        <v>1833</v>
      </c>
      <c r="AH121" s="86" t="s">
        <v>2409</v>
      </c>
      <c r="AI121" s="84">
        <v>0.0</v>
      </c>
      <c r="AJ121" s="84">
        <v>1.0</v>
      </c>
      <c r="AK121" s="87"/>
      <c r="AL121" s="81">
        <v>0.0</v>
      </c>
      <c r="AM121" s="87"/>
      <c r="AN121" s="81">
        <v>0.0</v>
      </c>
      <c r="AO121" s="90"/>
      <c r="AP121" s="81">
        <v>0.0</v>
      </c>
      <c r="AQ121" s="81">
        <v>0.0</v>
      </c>
      <c r="AR121" s="39"/>
      <c r="AS121" s="81">
        <v>0.0</v>
      </c>
      <c r="AT121" s="81">
        <v>0.0</v>
      </c>
      <c r="AU121" s="39"/>
      <c r="AV121" s="82"/>
      <c r="AW121" s="82"/>
      <c r="AX121" s="82"/>
      <c r="AY121" s="7"/>
      <c r="AZ121" s="7"/>
      <c r="BA121" s="7"/>
      <c r="BB121" s="7"/>
      <c r="BC121" s="7"/>
      <c r="BD121" s="7"/>
      <c r="BE121" s="7"/>
      <c r="BF121" s="7" t="s">
        <v>1781</v>
      </c>
      <c r="BG121" s="7">
        <v>1.0</v>
      </c>
      <c r="BH121" s="7"/>
      <c r="BI121" s="7" t="s">
        <v>1781</v>
      </c>
      <c r="BJ121" s="7">
        <v>1.0</v>
      </c>
      <c r="BK121" s="7"/>
      <c r="BL121" s="7" t="s">
        <v>1781</v>
      </c>
      <c r="BM121" s="7">
        <v>1.0</v>
      </c>
      <c r="BN121" s="7"/>
      <c r="BO121" s="7">
        <v>1.0</v>
      </c>
      <c r="BP121" s="82"/>
      <c r="BQ121" s="7"/>
      <c r="BR121" s="7" t="s">
        <v>23</v>
      </c>
    </row>
    <row r="122">
      <c r="A122" s="16">
        <v>66.0</v>
      </c>
      <c r="B122" s="16" t="s">
        <v>775</v>
      </c>
      <c r="C122" s="53">
        <v>2.0</v>
      </c>
      <c r="D122" s="53" t="s">
        <v>776</v>
      </c>
      <c r="E122" s="7">
        <v>545.0</v>
      </c>
      <c r="F122" s="53"/>
      <c r="G122" s="7"/>
      <c r="H122" s="16">
        <v>1.0</v>
      </c>
      <c r="I122" s="16">
        <v>1.0</v>
      </c>
      <c r="J122" s="21" t="s">
        <v>2410</v>
      </c>
      <c r="K122" s="53"/>
      <c r="L122" s="53"/>
      <c r="M122" s="39" t="str">
        <f t="shared" si="1"/>
        <v>[https://arxiv.org/abs/1610.04712 Bringman (2017)]</v>
      </c>
      <c r="N122" s="16" t="s">
        <v>2411</v>
      </c>
      <c r="O122" s="81">
        <v>2017.0</v>
      </c>
      <c r="P122" s="25" t="s">
        <v>2412</v>
      </c>
      <c r="Q122" s="82"/>
      <c r="R122" s="82"/>
      <c r="S122" s="82"/>
      <c r="T122" s="16">
        <v>1.0</v>
      </c>
      <c r="U122" s="16">
        <v>0.0</v>
      </c>
      <c r="V122" s="89">
        <f>IFERROR(__xludf.DUMMYFUNCTION("INDEX(SPLIT(SUBSTITUTE(W122,CHAR(10), """"),"",:""), MATCH(Z122, SPLIT(SUBSTITUTE(W122,CHAR(10), """"),"",:""), 0) + 1)"),4.0)</f>
        <v>4</v>
      </c>
      <c r="W122" s="85" t="s">
        <v>2413</v>
      </c>
      <c r="X122" s="21" t="s">
        <v>2414</v>
      </c>
      <c r="Y122" s="53" t="s">
        <v>2415</v>
      </c>
      <c r="Z122" s="53" t="str">
        <f t="array" ref="Z122">INDEX(Problems!J:J, MATCH(1, (Problems!B:B=B122)*1, 0))</f>
        <v>n</v>
      </c>
      <c r="AA122" s="53"/>
      <c r="AB122" s="53"/>
      <c r="AC122" s="53" t="s">
        <v>1813</v>
      </c>
      <c r="AD122" s="53" t="s">
        <v>1814</v>
      </c>
      <c r="AE122" s="85">
        <f>IFERROR(__xludf.DUMMYFUNCTION("INDEX(SPLIT(SUBSTITUTE(AF122,CHAR(10), """"),"",:""), MATCH(Z122, SPLIT(SUBSTITUTE(AF122,CHAR(10), """"),"",:""), 0) + 1)"),3.0)</f>
        <v>3</v>
      </c>
      <c r="AF122" s="85" t="s">
        <v>2416</v>
      </c>
      <c r="AG122" s="53" t="s">
        <v>2417</v>
      </c>
      <c r="AH122" s="86" t="s">
        <v>2412</v>
      </c>
      <c r="AI122" s="21">
        <v>0.0</v>
      </c>
      <c r="AJ122" s="84">
        <v>1.0</v>
      </c>
      <c r="AK122" s="21"/>
      <c r="AL122" s="16">
        <v>1.0</v>
      </c>
      <c r="AM122" s="84" t="s">
        <v>1907</v>
      </c>
      <c r="AN122" s="88">
        <v>1.0</v>
      </c>
      <c r="AO122" s="21" t="s">
        <v>2418</v>
      </c>
      <c r="AP122" s="81">
        <v>0.0</v>
      </c>
      <c r="AQ122" s="81">
        <v>0.0</v>
      </c>
      <c r="AR122" s="39"/>
      <c r="AS122" s="81">
        <v>0.0</v>
      </c>
      <c r="AT122" s="81">
        <v>0.0</v>
      </c>
      <c r="AU122" s="39"/>
      <c r="AV122" s="82"/>
      <c r="AW122" s="82"/>
      <c r="AX122" s="82"/>
      <c r="AY122" s="7"/>
      <c r="AZ122" s="82"/>
      <c r="BA122" s="82"/>
      <c r="BB122" s="82"/>
      <c r="BC122" s="82"/>
      <c r="BD122" s="82"/>
      <c r="BE122" s="82"/>
      <c r="BF122" s="82"/>
      <c r="BG122" s="82"/>
      <c r="BH122" s="82"/>
      <c r="BI122" s="82"/>
      <c r="BJ122" s="82"/>
      <c r="BK122" s="82"/>
      <c r="BL122" s="82"/>
      <c r="BM122" s="82"/>
      <c r="BN122" s="7"/>
      <c r="BO122" s="7">
        <v>1.0</v>
      </c>
      <c r="BP122" s="82"/>
      <c r="BQ122" s="7"/>
      <c r="BR122" s="7" t="s">
        <v>23</v>
      </c>
    </row>
    <row r="123">
      <c r="A123" s="16">
        <v>80.0</v>
      </c>
      <c r="B123" s="16" t="s">
        <v>889</v>
      </c>
      <c r="C123" s="53">
        <v>2.0</v>
      </c>
      <c r="D123" s="53" t="s">
        <v>895</v>
      </c>
      <c r="E123" s="7">
        <v>622.0</v>
      </c>
      <c r="F123" s="53"/>
      <c r="G123" s="7"/>
      <c r="H123" s="16">
        <v>1.0</v>
      </c>
      <c r="I123" s="81">
        <v>1.0</v>
      </c>
      <c r="J123" s="39" t="s">
        <v>834</v>
      </c>
      <c r="K123" s="41" t="s">
        <v>2419</v>
      </c>
      <c r="L123" s="41" t="s">
        <v>2420</v>
      </c>
      <c r="M123" s="39" t="str">
        <f t="shared" si="1"/>
        <v>[- Brute Force (1977)]</v>
      </c>
      <c r="N123" s="16" t="s">
        <v>1999</v>
      </c>
      <c r="O123" s="81">
        <v>1977.0</v>
      </c>
      <c r="P123" s="39" t="s">
        <v>1937</v>
      </c>
      <c r="Q123" s="7">
        <v>1.0</v>
      </c>
      <c r="R123" s="7">
        <v>1.0</v>
      </c>
      <c r="S123" s="82"/>
      <c r="T123" s="81">
        <v>1.0</v>
      </c>
      <c r="U123" s="81">
        <v>0.0</v>
      </c>
      <c r="V123" s="89">
        <f>IFERROR(__xludf.DUMMYFUNCTION("INDEX(SPLIT(SUBSTITUTE(W123,CHAR(10), """"),"",:""), MATCH(Z123, SPLIT(SUBSTITUTE(W123,CHAR(10), """"),"",:""), 0) + 1)"),6.0)</f>
        <v>6</v>
      </c>
      <c r="W123" s="85" t="s">
        <v>2008</v>
      </c>
      <c r="X123" s="39" t="s">
        <v>834</v>
      </c>
      <c r="Y123" s="53" t="s">
        <v>2421</v>
      </c>
      <c r="Z123" s="53" t="str">
        <f t="array" ref="Z123">INDEX(Problems!J:J, MATCH(1, (Problems!B:B=B123)*(Problems!C:C=D123), 0))</f>
        <v>n</v>
      </c>
      <c r="AA123" s="53"/>
      <c r="AB123" s="53"/>
      <c r="AC123" s="53" t="s">
        <v>2312</v>
      </c>
      <c r="AD123" s="53" t="s">
        <v>1814</v>
      </c>
      <c r="AE123" s="85">
        <f>IFERROR(__xludf.DUMMYFUNCTION("INDEX(SPLIT(SUBSTITUTE(AF123,CHAR(10), """"),"",:""), MATCH(Z123, SPLIT(SUBSTITUTE(AF123,CHAR(10), """"),"",:""), 0) + 1)"),1.0)</f>
        <v>1</v>
      </c>
      <c r="AF123" s="85" t="s">
        <v>1774</v>
      </c>
      <c r="AG123" s="53" t="s">
        <v>34</v>
      </c>
      <c r="AH123" s="53" t="s">
        <v>2422</v>
      </c>
      <c r="AI123" s="84">
        <v>1.0</v>
      </c>
      <c r="AJ123" s="84">
        <v>0.0</v>
      </c>
      <c r="AK123" s="87"/>
      <c r="AL123" s="81">
        <v>0.0</v>
      </c>
      <c r="AM123" s="87"/>
      <c r="AN123" s="81">
        <v>0.0</v>
      </c>
      <c r="AO123" s="90"/>
      <c r="AP123" s="81">
        <v>0.0</v>
      </c>
      <c r="AQ123" s="81">
        <v>0.0</v>
      </c>
      <c r="AR123" s="39"/>
      <c r="AS123" s="81">
        <v>0.0</v>
      </c>
      <c r="AT123" s="81">
        <v>0.0</v>
      </c>
      <c r="AU123" s="28" t="s">
        <v>2423</v>
      </c>
      <c r="AV123" s="82"/>
      <c r="AW123" s="82"/>
      <c r="AX123" s="82"/>
      <c r="AY123" s="7"/>
      <c r="AZ123" s="7"/>
      <c r="BA123" s="7"/>
      <c r="BB123" s="7"/>
      <c r="BC123" s="7"/>
      <c r="BD123" s="7"/>
      <c r="BE123" s="7"/>
      <c r="BF123" s="7">
        <f>POW(1000,3)</f>
        <v>1000000000</v>
      </c>
      <c r="BG123" s="6">
        <v>1.0</v>
      </c>
      <c r="BH123" s="82"/>
      <c r="BI123" s="82">
        <f>POW(1000000,3)</f>
        <v>1E+18</v>
      </c>
      <c r="BJ123" s="7">
        <v>1.0</v>
      </c>
      <c r="BK123" s="82"/>
      <c r="BL123" s="82">
        <f>POW(1000000000,3)</f>
        <v>1E+27</v>
      </c>
      <c r="BM123" s="7">
        <v>1.0</v>
      </c>
      <c r="BN123" s="7"/>
      <c r="BO123" s="7">
        <v>3.0</v>
      </c>
      <c r="BP123" s="82"/>
      <c r="BQ123" s="7"/>
      <c r="BR123" s="7" t="s">
        <v>23</v>
      </c>
    </row>
    <row r="124">
      <c r="A124" s="127">
        <v>80.0</v>
      </c>
      <c r="B124" s="16" t="s">
        <v>889</v>
      </c>
      <c r="C124" s="53">
        <v>2.0</v>
      </c>
      <c r="D124" s="53" t="s">
        <v>895</v>
      </c>
      <c r="E124" s="7">
        <v>623.0</v>
      </c>
      <c r="F124" s="53"/>
      <c r="G124" s="7"/>
      <c r="H124" s="16">
        <v>1.0</v>
      </c>
      <c r="I124" s="81">
        <v>1.0</v>
      </c>
      <c r="J124" s="39" t="s">
        <v>115</v>
      </c>
      <c r="K124" s="41" t="s">
        <v>2117</v>
      </c>
      <c r="L124" s="41" t="s">
        <v>2117</v>
      </c>
      <c r="M124" s="39" t="str">
        <f t="shared" si="1"/>
        <v>[- Grenander (1977)]</v>
      </c>
      <c r="N124" s="39" t="s">
        <v>2424</v>
      </c>
      <c r="O124" s="81">
        <v>1977.0</v>
      </c>
      <c r="P124" s="39" t="s">
        <v>1937</v>
      </c>
      <c r="Q124" s="82"/>
      <c r="R124" s="82"/>
      <c r="S124" s="82"/>
      <c r="T124" s="81">
        <v>1.0</v>
      </c>
      <c r="U124" s="39" t="s">
        <v>2425</v>
      </c>
      <c r="V124" s="89">
        <f>IFERROR(__xludf.DUMMYFUNCTION("INDEX(SPLIT(SUBSTITUTE(W124,CHAR(10), """"),"",:""), MATCH(Z124, SPLIT(SUBSTITUTE(W124,CHAR(10), """"),"",:""), 0) + 1)"),5.0)</f>
        <v>5</v>
      </c>
      <c r="W124" s="85" t="s">
        <v>1938</v>
      </c>
      <c r="X124" s="39" t="s">
        <v>115</v>
      </c>
      <c r="Y124" s="53" t="s">
        <v>2421</v>
      </c>
      <c r="Z124" s="53" t="str">
        <f t="array" ref="Z124">INDEX(Problems!J:J, MATCH(1, (Problems!B:B=B124)*(Problems!C:C=D124), 0))</f>
        <v>n</v>
      </c>
      <c r="AA124" s="53"/>
      <c r="AB124" s="53"/>
      <c r="AC124" s="53" t="s">
        <v>2312</v>
      </c>
      <c r="AD124" s="53" t="s">
        <v>1814</v>
      </c>
      <c r="AE124" s="85">
        <f>IFERROR(__xludf.DUMMYFUNCTION("INDEX(SPLIT(SUBSTITUTE(AF124,CHAR(10), """"),"",:""), MATCH(Z124, SPLIT(SUBSTITUTE(AF124,CHAR(10), """"),"",:""), 0) + 1)"),3.0)</f>
        <v>3</v>
      </c>
      <c r="AF124" s="85" t="s">
        <v>1763</v>
      </c>
      <c r="AG124" s="53" t="s">
        <v>35</v>
      </c>
      <c r="AH124" s="53" t="s">
        <v>2426</v>
      </c>
      <c r="AI124" s="84">
        <v>1.0</v>
      </c>
      <c r="AJ124" s="84">
        <v>0.0</v>
      </c>
      <c r="AK124" s="87"/>
      <c r="AL124" s="81">
        <v>0.0</v>
      </c>
      <c r="AM124" s="87"/>
      <c r="AN124" s="81">
        <v>0.0</v>
      </c>
      <c r="AO124" s="90"/>
      <c r="AP124" s="81">
        <v>0.0</v>
      </c>
      <c r="AQ124" s="81">
        <v>0.0</v>
      </c>
      <c r="AR124" s="39"/>
      <c r="AS124" s="81">
        <v>0.0</v>
      </c>
      <c r="AT124" s="81">
        <v>0.0</v>
      </c>
      <c r="AU124" s="28" t="s">
        <v>2423</v>
      </c>
      <c r="AV124" s="82"/>
      <c r="AW124" s="82"/>
      <c r="AX124" s="82"/>
      <c r="AY124" s="7"/>
      <c r="AZ124" s="7"/>
      <c r="BA124" s="7"/>
      <c r="BB124" s="7"/>
      <c r="BC124" s="7"/>
      <c r="BD124" s="7"/>
      <c r="BE124" s="7"/>
      <c r="BF124" s="7">
        <f>pow(1000, 2)</f>
        <v>1000000</v>
      </c>
      <c r="BG124" s="6">
        <v>1000.0</v>
      </c>
      <c r="BH124" s="82">
        <f>POW(BG124,1/($O124-1940))-1</f>
        <v>0.2052609369</v>
      </c>
      <c r="BI124" s="7">
        <f>pow(1000000, 2)</f>
        <v>1000000000000</v>
      </c>
      <c r="BJ124" s="7">
        <v>1000000.0</v>
      </c>
      <c r="BK124" s="82">
        <f>POW(BJ124,1/($O124-1940))-1</f>
        <v>0.4526539259</v>
      </c>
      <c r="BL124" s="7">
        <f>pow(1000000000, 2)</f>
        <v>1E+18</v>
      </c>
      <c r="BM124" s="7">
        <v>1.0E9</v>
      </c>
      <c r="BN124" s="82">
        <f>POW(BM124,1/($O124-1940))-1</f>
        <v>0.7508270317</v>
      </c>
      <c r="BO124" s="7">
        <v>3.0</v>
      </c>
      <c r="BP124" s="82"/>
      <c r="BQ124" s="7">
        <f t="shared" ref="BQ124:BQ125" si="21">POW(2,40)</f>
        <v>1099511627776</v>
      </c>
      <c r="BR124" s="7" t="s">
        <v>23</v>
      </c>
    </row>
    <row r="125">
      <c r="A125" s="127">
        <v>80.0</v>
      </c>
      <c r="B125" s="16" t="s">
        <v>889</v>
      </c>
      <c r="C125" s="53">
        <v>2.0</v>
      </c>
      <c r="D125" s="53" t="s">
        <v>895</v>
      </c>
      <c r="E125" s="7">
        <v>623.0</v>
      </c>
      <c r="F125" s="53"/>
      <c r="G125" s="7"/>
      <c r="H125" s="16">
        <v>1.0</v>
      </c>
      <c r="I125" s="81">
        <v>1.0</v>
      </c>
      <c r="J125" s="39" t="s">
        <v>115</v>
      </c>
      <c r="K125" s="41" t="s">
        <v>2117</v>
      </c>
      <c r="L125" s="41" t="s">
        <v>2117</v>
      </c>
      <c r="M125" s="39" t="str">
        <f t="shared" si="1"/>
        <v>[https://dl.acm.org/doi/pdf/10.1145/358234.381162 Faster Brute Force (via x[L:U] = x[L:U-1]+x[U]) (1977)]</v>
      </c>
      <c r="N125" s="16" t="s">
        <v>2427</v>
      </c>
      <c r="O125" s="81">
        <v>1977.0</v>
      </c>
      <c r="P125" s="25" t="s">
        <v>2428</v>
      </c>
      <c r="Q125" s="82"/>
      <c r="R125" s="82"/>
      <c r="S125" s="82"/>
      <c r="T125" s="83">
        <v>0.0</v>
      </c>
      <c r="U125" s="16">
        <v>0.0</v>
      </c>
      <c r="V125" s="89">
        <f>IFERROR(__xludf.DUMMYFUNCTION("INDEX(SPLIT(SUBSTITUTE(W125,CHAR(10), """"),"",:""), MATCH(Z125, SPLIT(SUBSTITUTE(W125,CHAR(10), """"),"",:""), 0) + 1)"),5.0)</f>
        <v>5</v>
      </c>
      <c r="W125" s="85" t="s">
        <v>1938</v>
      </c>
      <c r="X125" s="39" t="s">
        <v>115</v>
      </c>
      <c r="Y125" s="53" t="s">
        <v>2421</v>
      </c>
      <c r="Z125" s="53" t="str">
        <f t="array" ref="Z125">INDEX(Problems!J:J, MATCH(1, (Problems!B:B=B125)*(Problems!C:C=D125), 0))</f>
        <v>n</v>
      </c>
      <c r="AA125" s="53"/>
      <c r="AB125" s="53"/>
      <c r="AC125" s="53" t="s">
        <v>2312</v>
      </c>
      <c r="AD125" s="53" t="s">
        <v>1814</v>
      </c>
      <c r="AE125" s="85">
        <f>IFERROR(__xludf.DUMMYFUNCTION("INDEX(SPLIT(SUBSTITUTE(AF125,CHAR(10), """"),"",:""), MATCH(Z125, SPLIT(SUBSTITUTE(AF125,CHAR(10), """"),"",:""), 0) + 1)"),1.0)</f>
        <v>1</v>
      </c>
      <c r="AF125" s="85" t="s">
        <v>1774</v>
      </c>
      <c r="AG125" s="53" t="s">
        <v>34</v>
      </c>
      <c r="AH125" s="53" t="s">
        <v>2422</v>
      </c>
      <c r="AI125" s="84">
        <v>1.0</v>
      </c>
      <c r="AJ125" s="84">
        <v>0.0</v>
      </c>
      <c r="AK125" s="87"/>
      <c r="AL125" s="81">
        <v>0.0</v>
      </c>
      <c r="AM125" s="87"/>
      <c r="AN125" s="81">
        <v>0.0</v>
      </c>
      <c r="AO125" s="90"/>
      <c r="AP125" s="81">
        <v>0.0</v>
      </c>
      <c r="AQ125" s="81">
        <v>0.0</v>
      </c>
      <c r="AR125" s="39"/>
      <c r="AS125" s="81">
        <v>0.0</v>
      </c>
      <c r="AT125" s="81">
        <v>0.0</v>
      </c>
      <c r="AU125" s="28" t="s">
        <v>2423</v>
      </c>
      <c r="AV125" s="82"/>
      <c r="AW125" s="82"/>
      <c r="AX125" s="82"/>
      <c r="AY125" s="7"/>
      <c r="AZ125" s="7"/>
      <c r="BA125" s="7"/>
      <c r="BB125" s="7"/>
      <c r="BC125" s="7"/>
      <c r="BD125" s="7"/>
      <c r="BE125" s="7"/>
      <c r="BF125" s="7">
        <v>1000000.0</v>
      </c>
      <c r="BG125" s="6">
        <v>1000.0</v>
      </c>
      <c r="BH125" s="82"/>
      <c r="BI125" s="82">
        <f>POW(1000000,2)</f>
        <v>1000000000000</v>
      </c>
      <c r="BJ125" s="7">
        <v>1000000.0</v>
      </c>
      <c r="BK125" s="82"/>
      <c r="BL125" s="82">
        <f>POW(1000000000,2)</f>
        <v>1E+18</v>
      </c>
      <c r="BM125" s="7">
        <v>1.0E9</v>
      </c>
      <c r="BN125" s="7"/>
      <c r="BO125" s="7">
        <v>3.0</v>
      </c>
      <c r="BP125" s="82"/>
      <c r="BQ125" s="7">
        <f t="shared" si="21"/>
        <v>1099511627776</v>
      </c>
      <c r="BR125" s="7" t="s">
        <v>23</v>
      </c>
    </row>
    <row r="126">
      <c r="A126" s="127">
        <v>80.0</v>
      </c>
      <c r="B126" s="16" t="s">
        <v>889</v>
      </c>
      <c r="C126" s="53">
        <v>2.0</v>
      </c>
      <c r="D126" s="53" t="s">
        <v>895</v>
      </c>
      <c r="E126" s="7">
        <v>624.0</v>
      </c>
      <c r="F126" s="53"/>
      <c r="G126" s="7"/>
      <c r="H126" s="16">
        <v>1.0</v>
      </c>
      <c r="I126" s="81">
        <v>1.0</v>
      </c>
      <c r="J126" s="39" t="s">
        <v>1788</v>
      </c>
      <c r="K126" s="41" t="s">
        <v>2117</v>
      </c>
      <c r="L126" s="41" t="s">
        <v>2117</v>
      </c>
      <c r="M126" s="39" t="str">
        <f t="shared" si="1"/>
        <v>[- Shamos (1978)]</v>
      </c>
      <c r="N126" s="39" t="s">
        <v>2429</v>
      </c>
      <c r="O126" s="81">
        <v>1978.0</v>
      </c>
      <c r="P126" s="39" t="s">
        <v>1937</v>
      </c>
      <c r="Q126" s="82"/>
      <c r="R126" s="82"/>
      <c r="S126" s="82"/>
      <c r="T126" s="81">
        <v>1.0</v>
      </c>
      <c r="U126" s="39" t="s">
        <v>1952</v>
      </c>
      <c r="V126" s="89">
        <f>IFERROR(__xludf.DUMMYFUNCTION("INDEX(SPLIT(SUBSTITUTE(W126,CHAR(10), """"),"",:""), MATCH(Z126, SPLIT(SUBSTITUTE(W126,CHAR(10), """"),"",:""), 0) + 1)"),4.0)</f>
        <v>4</v>
      </c>
      <c r="W126" s="85" t="s">
        <v>1791</v>
      </c>
      <c r="X126" s="16" t="s">
        <v>1953</v>
      </c>
      <c r="Y126" s="53" t="s">
        <v>2421</v>
      </c>
      <c r="Z126" s="53" t="str">
        <f t="array" ref="Z126">INDEX(Problems!J:J, MATCH(1, (Problems!B:B=B126)*(Problems!C:C=D126), 0))</f>
        <v>n</v>
      </c>
      <c r="AA126" s="53"/>
      <c r="AB126" s="53"/>
      <c r="AC126" s="53" t="s">
        <v>2312</v>
      </c>
      <c r="AD126" s="53" t="s">
        <v>1814</v>
      </c>
      <c r="AE126" s="85">
        <f>IFERROR(__xludf.DUMMYFUNCTION("INDEX(SPLIT(SUBSTITUTE(AF126,CHAR(10), """"),"",:""), MATCH(Z126, SPLIT(SUBSTITUTE(AF126,CHAR(10), """"),"",:""), 0) + 1)"),2.0)</f>
        <v>2</v>
      </c>
      <c r="AF126" s="85" t="s">
        <v>1962</v>
      </c>
      <c r="AG126" s="53" t="s">
        <v>2430</v>
      </c>
      <c r="AH126" s="53" t="s">
        <v>2431</v>
      </c>
      <c r="AI126" s="84">
        <v>1.0</v>
      </c>
      <c r="AJ126" s="84">
        <v>0.0</v>
      </c>
      <c r="AK126" s="87"/>
      <c r="AL126" s="81">
        <v>0.0</v>
      </c>
      <c r="AM126" s="87"/>
      <c r="AN126" s="81">
        <v>0.0</v>
      </c>
      <c r="AO126" s="90"/>
      <c r="AP126" s="81">
        <v>0.0</v>
      </c>
      <c r="AQ126" s="81">
        <v>0.0</v>
      </c>
      <c r="AR126" s="39"/>
      <c r="AS126" s="81">
        <v>0.0</v>
      </c>
      <c r="AT126" s="81">
        <v>0.0</v>
      </c>
      <c r="AU126" s="28" t="s">
        <v>2423</v>
      </c>
      <c r="AV126" s="82"/>
      <c r="AW126" s="82"/>
      <c r="AX126" s="82"/>
      <c r="AY126" s="7"/>
      <c r="AZ126" s="7"/>
      <c r="BA126" s="7"/>
      <c r="BB126" s="7"/>
      <c r="BC126" s="7"/>
      <c r="BD126" s="7"/>
      <c r="BE126" s="7"/>
      <c r="BF126" s="7">
        <f>1000*LOG(1000,2)</f>
        <v>9965.784285</v>
      </c>
      <c r="BG126" s="13">
        <f>BF123/BF126</f>
        <v>100343.3319</v>
      </c>
      <c r="BH126" s="82">
        <f t="shared" ref="BH126:BH127" si="22">POW(BG126,1/($O126-1940))-1</f>
        <v>0.3539982994</v>
      </c>
      <c r="BI126" s="7">
        <f>1000000*LOG(1000000,2)</f>
        <v>19931568.57</v>
      </c>
      <c r="BJ126" s="13">
        <f>BI123/BI126</f>
        <v>50171665944</v>
      </c>
      <c r="BK126" s="82">
        <f t="shared" ref="BK126:BK127" si="23">POW(BJ126,1/($O126-1940))-1</f>
        <v>0.9124540696</v>
      </c>
      <c r="BL126" s="7">
        <f>1000000000*LOG(1000000000,2)</f>
        <v>29897352854</v>
      </c>
      <c r="BM126" s="13">
        <f>BL123/BL126</f>
        <v>3.34478E+16</v>
      </c>
      <c r="BN126" s="82">
        <f t="shared" ref="BN126:BN127" si="24">POW(BM126,1/($O126-1940))-1</f>
        <v>1.721772176</v>
      </c>
      <c r="BO126" s="7">
        <v>3.0</v>
      </c>
      <c r="BP126" s="82"/>
      <c r="BQ126" s="7"/>
      <c r="BR126" s="7" t="s">
        <v>23</v>
      </c>
    </row>
    <row r="127">
      <c r="A127" s="127">
        <v>80.0</v>
      </c>
      <c r="B127" s="16" t="s">
        <v>889</v>
      </c>
      <c r="C127" s="53">
        <v>2.0</v>
      </c>
      <c r="D127" s="53" t="s">
        <v>895</v>
      </c>
      <c r="E127" s="7">
        <v>625.0</v>
      </c>
      <c r="F127" s="53"/>
      <c r="G127" s="7"/>
      <c r="H127" s="16">
        <v>1.0</v>
      </c>
      <c r="I127" s="81">
        <v>1.0</v>
      </c>
      <c r="J127" s="39" t="s">
        <v>35</v>
      </c>
      <c r="K127" s="41" t="s">
        <v>2117</v>
      </c>
      <c r="L127" s="41" t="s">
        <v>2117</v>
      </c>
      <c r="M127" s="39" t="str">
        <f t="shared" si="1"/>
        <v>[- Kadane's Algorithm (1982)]</v>
      </c>
      <c r="N127" s="16" t="s">
        <v>2432</v>
      </c>
      <c r="O127" s="81">
        <v>1982.0</v>
      </c>
      <c r="P127" s="39" t="s">
        <v>1937</v>
      </c>
      <c r="Q127" s="7">
        <v>1.0</v>
      </c>
      <c r="R127" s="7">
        <v>1.0</v>
      </c>
      <c r="S127" s="82"/>
      <c r="T127" s="81">
        <v>1.0</v>
      </c>
      <c r="U127" s="39" t="s">
        <v>1818</v>
      </c>
      <c r="V127" s="89">
        <f>IFERROR(__xludf.DUMMYFUNCTION("INDEX(SPLIT(SUBSTITUTE(W127,CHAR(10), """"),"",:""), MATCH(Z127, SPLIT(SUBSTITUTE(W127,CHAR(10), """"),"",:""), 0) + 1)"),3.0)</f>
        <v>3</v>
      </c>
      <c r="W127" s="85" t="s">
        <v>1763</v>
      </c>
      <c r="X127" s="39" t="s">
        <v>35</v>
      </c>
      <c r="Y127" s="53" t="s">
        <v>2421</v>
      </c>
      <c r="Z127" s="53" t="str">
        <f t="array" ref="Z127">INDEX(Problems!J:J, MATCH(1, (Problems!B:B=B127)*(Problems!C:C=D127), 0))</f>
        <v>n</v>
      </c>
      <c r="AA127" s="53"/>
      <c r="AB127" s="53"/>
      <c r="AC127" s="53" t="s">
        <v>2312</v>
      </c>
      <c r="AD127" s="53" t="s">
        <v>1814</v>
      </c>
      <c r="AE127" s="85">
        <f>IFERROR(__xludf.DUMMYFUNCTION("INDEX(SPLIT(SUBSTITUTE(AF127,CHAR(10), """"),"",:""), MATCH(Z127, SPLIT(SUBSTITUTE(AF127,CHAR(10), """"),"",:""), 0) + 1)"),1.0)</f>
        <v>1</v>
      </c>
      <c r="AF127" s="85" t="s">
        <v>1774</v>
      </c>
      <c r="AG127" s="53" t="s">
        <v>2052</v>
      </c>
      <c r="AH127" s="53" t="s">
        <v>2433</v>
      </c>
      <c r="AI127" s="84">
        <v>1.0</v>
      </c>
      <c r="AJ127" s="84">
        <v>0.0</v>
      </c>
      <c r="AK127" s="87"/>
      <c r="AL127" s="81">
        <v>0.0</v>
      </c>
      <c r="AM127" s="87"/>
      <c r="AN127" s="81">
        <v>0.0</v>
      </c>
      <c r="AO127" s="90"/>
      <c r="AP127" s="81">
        <v>0.0</v>
      </c>
      <c r="AQ127" s="81">
        <v>0.0</v>
      </c>
      <c r="AR127" s="39"/>
      <c r="AS127" s="81">
        <v>0.0</v>
      </c>
      <c r="AT127" s="81">
        <v>0.0</v>
      </c>
      <c r="AU127" s="28" t="s">
        <v>2423</v>
      </c>
      <c r="AV127" s="82"/>
      <c r="AW127" s="82"/>
      <c r="AX127" s="82"/>
      <c r="AY127" s="7"/>
      <c r="AZ127" s="7"/>
      <c r="BA127" s="7"/>
      <c r="BB127" s="7"/>
      <c r="BC127" s="7"/>
      <c r="BD127" s="7"/>
      <c r="BE127" s="7"/>
      <c r="BF127" s="7">
        <f> 1000</f>
        <v>1000</v>
      </c>
      <c r="BG127" s="82">
        <f>BF123/BF127</f>
        <v>1000000</v>
      </c>
      <c r="BH127" s="82">
        <f t="shared" si="22"/>
        <v>0.3894954944</v>
      </c>
      <c r="BI127" s="7">
        <f> 1000000</f>
        <v>1000000</v>
      </c>
      <c r="BJ127" s="82">
        <f>BI123/BI127</f>
        <v>1000000000000</v>
      </c>
      <c r="BK127" s="82">
        <f t="shared" si="23"/>
        <v>0.9306977289</v>
      </c>
      <c r="BL127" s="7">
        <f> 1000000000</f>
        <v>1000000000</v>
      </c>
      <c r="BM127" s="82">
        <f>BL123/BL127</f>
        <v>1E+18</v>
      </c>
      <c r="BN127" s="82">
        <f t="shared" si="24"/>
        <v>1.682695795</v>
      </c>
      <c r="BO127" s="7">
        <v>3.0</v>
      </c>
      <c r="BP127" s="82"/>
      <c r="BQ127" s="7"/>
      <c r="BR127" s="7" t="s">
        <v>23</v>
      </c>
    </row>
    <row r="128">
      <c r="A128" s="127">
        <v>80.0</v>
      </c>
      <c r="B128" s="16" t="s">
        <v>889</v>
      </c>
      <c r="C128" s="53">
        <v>2.0</v>
      </c>
      <c r="D128" s="53" t="s">
        <v>895</v>
      </c>
      <c r="E128" s="7">
        <v>628.0</v>
      </c>
      <c r="F128" s="53"/>
      <c r="G128" s="7"/>
      <c r="H128" s="16">
        <v>1.0</v>
      </c>
      <c r="I128" s="81">
        <v>1.0</v>
      </c>
      <c r="J128" s="21" t="s">
        <v>2382</v>
      </c>
      <c r="K128" s="41" t="s">
        <v>2117</v>
      </c>
      <c r="L128" s="41" t="s">
        <v>2117</v>
      </c>
      <c r="M128" s="39" t="str">
        <f t="shared" si="1"/>
        <v>[https://citeseerx.ist.psu.edu/viewdoc/download?doi=10.1.1.24.1291&amp;rep=rep1&amp;type=pdf Perumalla and Deo (1995)]</v>
      </c>
      <c r="N128" s="7" t="s">
        <v>2434</v>
      </c>
      <c r="O128" s="81">
        <v>1995.0</v>
      </c>
      <c r="P128" s="96" t="s">
        <v>2435</v>
      </c>
      <c r="Q128" s="7" t="s">
        <v>2434</v>
      </c>
      <c r="R128" s="82"/>
      <c r="S128" s="82"/>
      <c r="T128" s="81">
        <v>0.0</v>
      </c>
      <c r="U128" s="81">
        <v>0.0</v>
      </c>
      <c r="V128" s="89">
        <f>IFERROR(__xludf.DUMMYFUNCTION("INDEX(SPLIT(SUBSTITUTE(W128,CHAR(10), """"),"",:""), MATCH(Z128, SPLIT(SUBSTITUTE(W128,CHAR(10), """"),"",:""), 0) + 1)"),2.0)</f>
        <v>2</v>
      </c>
      <c r="W128" s="85" t="s">
        <v>1962</v>
      </c>
      <c r="X128" s="21" t="s">
        <v>2430</v>
      </c>
      <c r="Y128" s="53" t="s">
        <v>2421</v>
      </c>
      <c r="Z128" s="53" t="str">
        <f t="array" ref="Z128">INDEX(Problems!J:J, MATCH(1, (Problems!B:B=B128)*(Problems!C:C=D128), 0))</f>
        <v>n</v>
      </c>
      <c r="AA128" s="53"/>
      <c r="AB128" s="53"/>
      <c r="AC128" s="53" t="s">
        <v>2436</v>
      </c>
      <c r="AD128" s="53" t="s">
        <v>1814</v>
      </c>
      <c r="AE128" s="85">
        <f>IFERROR(__xludf.DUMMYFUNCTION("INDEX(SPLIT(SUBSTITUTE(AF128,CHAR(10), """"),"",:""), MATCH(Z128, SPLIT(SUBSTITUTE(AF128,CHAR(10), """"),"",:""), 0) + 1)"),3.0)</f>
        <v>3</v>
      </c>
      <c r="AF128" s="85" t="s">
        <v>1763</v>
      </c>
      <c r="AG128" s="53" t="s">
        <v>2103</v>
      </c>
      <c r="AH128" s="53" t="s">
        <v>2437</v>
      </c>
      <c r="AI128" s="84">
        <v>1.0</v>
      </c>
      <c r="AJ128" s="84">
        <v>0.0</v>
      </c>
      <c r="AK128" s="87"/>
      <c r="AL128" s="81">
        <v>0.0</v>
      </c>
      <c r="AM128" s="87"/>
      <c r="AN128" s="81">
        <v>0.0</v>
      </c>
      <c r="AO128" s="90"/>
      <c r="AP128" s="81">
        <v>0.0</v>
      </c>
      <c r="AQ128" s="81">
        <v>1.0</v>
      </c>
      <c r="AR128" s="21" t="s">
        <v>2438</v>
      </c>
      <c r="AS128" s="81">
        <v>0.0</v>
      </c>
      <c r="AT128" s="81">
        <v>0.0</v>
      </c>
      <c r="AU128" s="39"/>
      <c r="AV128" s="82"/>
      <c r="AW128" s="82"/>
      <c r="AX128" s="82"/>
      <c r="AY128" s="7"/>
      <c r="AZ128" s="7"/>
      <c r="BA128" s="7"/>
      <c r="BB128" s="7"/>
      <c r="BC128" s="7"/>
      <c r="BD128" s="7"/>
      <c r="BE128" s="7"/>
      <c r="BF128" s="7">
        <v>9965.0</v>
      </c>
      <c r="BG128" s="13"/>
      <c r="BH128" s="82"/>
      <c r="BI128" s="82"/>
      <c r="BJ128" s="82"/>
      <c r="BK128" s="82"/>
      <c r="BL128" s="82"/>
      <c r="BM128" s="82"/>
      <c r="BN128" s="7"/>
      <c r="BO128" s="7">
        <v>3.0</v>
      </c>
      <c r="BP128" s="82"/>
      <c r="BQ128" s="7"/>
      <c r="BR128" s="7" t="s">
        <v>23</v>
      </c>
    </row>
    <row r="129">
      <c r="A129" s="35">
        <v>99.0</v>
      </c>
      <c r="B129" s="35" t="s">
        <v>1012</v>
      </c>
      <c r="C129" s="53">
        <v>2.0</v>
      </c>
      <c r="D129" s="53" t="s">
        <v>1012</v>
      </c>
      <c r="E129" s="7">
        <v>788.0</v>
      </c>
      <c r="F129" s="53"/>
      <c r="G129" s="6"/>
      <c r="H129" s="35">
        <v>1.0</v>
      </c>
      <c r="I129" s="35">
        <v>1.0</v>
      </c>
      <c r="J129" s="35" t="s">
        <v>2439</v>
      </c>
      <c r="K129" s="99"/>
      <c r="L129" s="99"/>
      <c r="M129" s="39" t="str">
        <f t="shared" si="1"/>
        <v>[https://link.springer.com/chapter/10.1007/BFb0054337 Speller (1998)]</v>
      </c>
      <c r="N129" s="35" t="s">
        <v>2440</v>
      </c>
      <c r="O129" s="111">
        <v>1998.0</v>
      </c>
      <c r="P129" s="106" t="s">
        <v>2441</v>
      </c>
      <c r="Q129" s="13"/>
      <c r="R129" s="13"/>
      <c r="S129" s="13"/>
      <c r="T129" s="35">
        <v>0.0</v>
      </c>
      <c r="U129" s="35">
        <v>0.0</v>
      </c>
      <c r="V129" s="89">
        <f>IFERROR(__xludf.DUMMYFUNCTION("INDEX(SPLIT(SUBSTITUTE(W129,CHAR(10), """"),"",:""), MATCH(Z129, SPLIT(SUBSTITUTE(W129,CHAR(10), """"),"",:""), 0) + 1)"),5.5)</f>
        <v>5.5</v>
      </c>
      <c r="W129" s="102" t="s">
        <v>2442</v>
      </c>
      <c r="X129" s="35" t="s">
        <v>2443</v>
      </c>
      <c r="Y129" s="41" t="s">
        <v>2444</v>
      </c>
      <c r="Z129" s="53" t="str">
        <f t="array" ref="Z129">INDEX(Problems!J:J, MATCH(1, (Problems!B:B=B129)*1, 0))</f>
        <v>mn</v>
      </c>
      <c r="AA129" s="41"/>
      <c r="AB129" s="41"/>
      <c r="AC129" s="41" t="s">
        <v>1813</v>
      </c>
      <c r="AD129" s="41" t="s">
        <v>1814</v>
      </c>
      <c r="AE129" s="85">
        <f>IFERROR(__xludf.DUMMYFUNCTION("INDEX(SPLIT(SUBSTITUTE(AF129,CHAR(10), """"),"",:""), MATCH(Z129, SPLIT(SUBSTITUTE(AF129,CHAR(10), """"),"",:""), 0) + 1)"),5.5)</f>
        <v>5.5</v>
      </c>
      <c r="AF129" s="102" t="s">
        <v>2445</v>
      </c>
      <c r="AG129" s="41" t="s">
        <v>2446</v>
      </c>
      <c r="AH129" s="109" t="s">
        <v>2447</v>
      </c>
      <c r="AI129" s="104">
        <v>0.0</v>
      </c>
      <c r="AJ129" s="84">
        <v>0.0</v>
      </c>
      <c r="AK129" s="104"/>
      <c r="AL129" s="35">
        <v>0.0</v>
      </c>
      <c r="AM129" s="104"/>
      <c r="AN129" s="35">
        <v>0.0</v>
      </c>
      <c r="AO129" s="104"/>
      <c r="AP129" s="35">
        <v>0.0</v>
      </c>
      <c r="AQ129" s="35">
        <v>0.0</v>
      </c>
      <c r="AR129" s="69"/>
      <c r="AS129" s="35">
        <v>0.0</v>
      </c>
      <c r="AT129" s="35">
        <v>0.0</v>
      </c>
      <c r="AU129" s="69"/>
      <c r="AV129" s="13"/>
      <c r="AW129" s="13"/>
      <c r="AX129" s="13"/>
      <c r="AY129" s="13"/>
      <c r="AZ129" s="13"/>
      <c r="BA129" s="13"/>
      <c r="BB129" s="13"/>
      <c r="BC129" s="13"/>
      <c r="BD129" s="13"/>
      <c r="BE129" s="13"/>
      <c r="BF129" s="13"/>
      <c r="BG129" s="13"/>
      <c r="BH129" s="13"/>
      <c r="BI129" s="13"/>
      <c r="BJ129" s="13"/>
      <c r="BK129" s="13"/>
      <c r="BL129" s="13"/>
      <c r="BM129" s="13"/>
      <c r="BN129" s="6"/>
      <c r="BO129" s="6">
        <v>4.0</v>
      </c>
      <c r="BP129" s="13"/>
      <c r="BQ129" s="13"/>
      <c r="BR129" s="6" t="s">
        <v>433</v>
      </c>
    </row>
    <row r="130">
      <c r="A130" s="35">
        <v>99.0</v>
      </c>
      <c r="B130" s="35" t="s">
        <v>1012</v>
      </c>
      <c r="C130" s="53">
        <v>2.0</v>
      </c>
      <c r="D130" s="53" t="s">
        <v>1012</v>
      </c>
      <c r="E130" s="7"/>
      <c r="F130" s="53"/>
      <c r="G130" s="6"/>
      <c r="H130" s="35">
        <v>1.0</v>
      </c>
      <c r="I130" s="35">
        <v>1.0</v>
      </c>
      <c r="J130" s="35" t="s">
        <v>2448</v>
      </c>
      <c r="K130" s="99"/>
      <c r="L130" s="99"/>
      <c r="M130" s="39" t="str">
        <f t="shared" si="1"/>
        <v>[https://pubmed.ncbi.nlm.nih.gov/12169566/ Mitra (2002)]</v>
      </c>
      <c r="N130" s="35" t="s">
        <v>2449</v>
      </c>
      <c r="O130" s="111">
        <v>2002.0</v>
      </c>
      <c r="P130" s="106" t="s">
        <v>2450</v>
      </c>
      <c r="Q130" s="13"/>
      <c r="R130" s="13"/>
      <c r="S130" s="13"/>
      <c r="T130" s="35">
        <v>0.0</v>
      </c>
      <c r="U130" s="35">
        <v>0.0</v>
      </c>
      <c r="V130" s="89">
        <f>IFERROR(__xludf.DUMMYFUNCTION("INDEX(SPLIT(SUBSTITUTE(W130,CHAR(10), """"),"",:""), MATCH(Z130, SPLIT(SUBSTITUTE(W130,CHAR(10), """"),"",:""), 0) + 1)"),3.0)</f>
        <v>3</v>
      </c>
      <c r="W130" s="102" t="s">
        <v>2451</v>
      </c>
      <c r="X130" s="35" t="s">
        <v>2452</v>
      </c>
      <c r="Y130" s="41" t="s">
        <v>2444</v>
      </c>
      <c r="Z130" s="53" t="str">
        <f t="array" ref="Z130">INDEX(Problems!J:J, MATCH(1, (Problems!B:B=B130)*1, 0))</f>
        <v>mn</v>
      </c>
      <c r="AA130" s="41"/>
      <c r="AB130" s="41"/>
      <c r="AC130" s="41" t="s">
        <v>1813</v>
      </c>
      <c r="AD130" s="41" t="s">
        <v>1814</v>
      </c>
      <c r="AE130" s="85">
        <f>IFERROR(__xludf.DUMMYFUNCTION("INDEX(SPLIT(SUBSTITUTE(AF130,CHAR(10), """"),"",:""), MATCH(Z130, SPLIT(SUBSTITUTE(AF130,CHAR(10), """"),"",:""), 0) + 1)"),3.0)</f>
        <v>3</v>
      </c>
      <c r="AF130" s="102" t="s">
        <v>2453</v>
      </c>
      <c r="AG130" s="41" t="s">
        <v>2454</v>
      </c>
      <c r="AH130" s="109" t="s">
        <v>2447</v>
      </c>
      <c r="AI130" s="104">
        <v>0.0</v>
      </c>
      <c r="AJ130" s="84">
        <v>0.0</v>
      </c>
      <c r="AK130" s="104"/>
      <c r="AL130" s="35">
        <v>0.0</v>
      </c>
      <c r="AM130" s="104"/>
      <c r="AN130" s="35">
        <v>0.0</v>
      </c>
      <c r="AO130" s="104"/>
      <c r="AP130" s="35">
        <v>0.0</v>
      </c>
      <c r="AQ130" s="35">
        <v>0.0</v>
      </c>
      <c r="AR130" s="69"/>
      <c r="AS130" s="35">
        <v>0.0</v>
      </c>
      <c r="AT130" s="35">
        <v>0.0</v>
      </c>
      <c r="AU130" s="69"/>
      <c r="AV130" s="13"/>
      <c r="AW130" s="13"/>
      <c r="AX130" s="13"/>
      <c r="AY130" s="13"/>
      <c r="AZ130" s="13"/>
      <c r="BA130" s="13"/>
      <c r="BB130" s="13"/>
      <c r="BC130" s="13"/>
      <c r="BD130" s="13"/>
      <c r="BE130" s="13"/>
      <c r="BF130" s="13"/>
      <c r="BG130" s="13"/>
      <c r="BH130" s="13"/>
      <c r="BI130" s="13"/>
      <c r="BJ130" s="13"/>
      <c r="BK130" s="13"/>
      <c r="BL130" s="13"/>
      <c r="BM130" s="13"/>
      <c r="BN130" s="6"/>
      <c r="BO130" s="6">
        <v>4.0</v>
      </c>
      <c r="BP130" s="13"/>
      <c r="BQ130" s="13"/>
      <c r="BR130" s="6" t="s">
        <v>433</v>
      </c>
    </row>
    <row r="131">
      <c r="A131" s="35">
        <v>99.0</v>
      </c>
      <c r="B131" s="35" t="s">
        <v>1012</v>
      </c>
      <c r="C131" s="53">
        <v>2.0</v>
      </c>
      <c r="D131" s="53" t="s">
        <v>1012</v>
      </c>
      <c r="E131" s="7"/>
      <c r="F131" s="53"/>
      <c r="G131" s="6"/>
      <c r="H131" s="35">
        <v>1.0</v>
      </c>
      <c r="I131" s="35">
        <v>1.0</v>
      </c>
      <c r="J131" s="35" t="s">
        <v>2448</v>
      </c>
      <c r="K131" s="99"/>
      <c r="L131" s="99"/>
      <c r="M131" s="39" t="str">
        <f t="shared" si="1"/>
        <v>[https://link.springer.com/chapter/10.1007/978-3-540-45078-8_5 Census (2003)]</v>
      </c>
      <c r="N131" s="35" t="s">
        <v>2455</v>
      </c>
      <c r="O131" s="111">
        <v>2003.0</v>
      </c>
      <c r="P131" s="106" t="s">
        <v>2456</v>
      </c>
      <c r="Q131" s="13"/>
      <c r="R131" s="13"/>
      <c r="S131" s="13"/>
      <c r="T131" s="35">
        <v>0.0</v>
      </c>
      <c r="U131" s="35">
        <v>0.0</v>
      </c>
      <c r="V131" s="89">
        <f>IFERROR(__xludf.DUMMYFUNCTION("INDEX(SPLIT(SUBSTITUTE(W131,CHAR(10), """"),"",:""), MATCH(Z131, SPLIT(SUBSTITUTE(W131,CHAR(10), """"),"",:""), 0) + 1)"),3.0)</f>
        <v>3</v>
      </c>
      <c r="W131" s="102" t="s">
        <v>2451</v>
      </c>
      <c r="X131" s="35" t="s">
        <v>2452</v>
      </c>
      <c r="Y131" s="41" t="s">
        <v>2444</v>
      </c>
      <c r="Z131" s="53" t="str">
        <f t="array" ref="Z131">INDEX(Problems!J:J, MATCH(1, (Problems!B:B=B131)*1, 0))</f>
        <v>mn</v>
      </c>
      <c r="AA131" s="41"/>
      <c r="AB131" s="41"/>
      <c r="AC131" s="41" t="s">
        <v>1813</v>
      </c>
      <c r="AD131" s="41" t="s">
        <v>1814</v>
      </c>
      <c r="AE131" s="85">
        <f>IFERROR(__xludf.DUMMYFUNCTION("INDEX(SPLIT(SUBSTITUTE(AF131,CHAR(10), """"),"",:""), MATCH(Z131, SPLIT(SUBSTITUTE(AF131,CHAR(10), """"),"",:""), 0) + 1)"),3.0)</f>
        <v>3</v>
      </c>
      <c r="AF131" s="102" t="s">
        <v>2453</v>
      </c>
      <c r="AG131" s="41" t="s">
        <v>2454</v>
      </c>
      <c r="AH131" s="109" t="s">
        <v>2447</v>
      </c>
      <c r="AI131" s="104">
        <v>0.0</v>
      </c>
      <c r="AJ131" s="84">
        <v>0.0</v>
      </c>
      <c r="AK131" s="104"/>
      <c r="AL131" s="35">
        <v>0.0</v>
      </c>
      <c r="AM131" s="104"/>
      <c r="AN131" s="35">
        <v>0.0</v>
      </c>
      <c r="AO131" s="104"/>
      <c r="AP131" s="35">
        <v>0.0</v>
      </c>
      <c r="AQ131" s="35">
        <v>0.0</v>
      </c>
      <c r="AR131" s="69"/>
      <c r="AS131" s="35">
        <v>0.0</v>
      </c>
      <c r="AT131" s="35">
        <v>0.0</v>
      </c>
      <c r="AU131" s="69"/>
      <c r="AV131" s="13"/>
      <c r="AW131" s="13"/>
      <c r="AX131" s="13"/>
      <c r="AY131" s="13"/>
      <c r="AZ131" s="13"/>
      <c r="BA131" s="13"/>
      <c r="BB131" s="13"/>
      <c r="BC131" s="13"/>
      <c r="BD131" s="13"/>
      <c r="BE131" s="13"/>
      <c r="BF131" s="13"/>
      <c r="BG131" s="13"/>
      <c r="BH131" s="13"/>
      <c r="BI131" s="13"/>
      <c r="BJ131" s="13"/>
      <c r="BK131" s="13"/>
      <c r="BL131" s="13"/>
      <c r="BM131" s="13"/>
      <c r="BN131" s="6"/>
      <c r="BO131" s="6">
        <v>4.0</v>
      </c>
      <c r="BP131" s="13"/>
      <c r="BQ131" s="13"/>
      <c r="BR131" s="6" t="s">
        <v>433</v>
      </c>
    </row>
    <row r="132">
      <c r="A132" s="35">
        <v>99.0</v>
      </c>
      <c r="B132" s="35" t="s">
        <v>1012</v>
      </c>
      <c r="C132" s="53">
        <v>2.0</v>
      </c>
      <c r="D132" s="53" t="s">
        <v>1012</v>
      </c>
      <c r="E132" s="7"/>
      <c r="F132" s="53"/>
      <c r="G132" s="6"/>
      <c r="H132" s="35">
        <v>1.0</v>
      </c>
      <c r="I132" s="35">
        <v>1.0</v>
      </c>
      <c r="J132" s="35" t="s">
        <v>2439</v>
      </c>
      <c r="K132" s="99"/>
      <c r="L132" s="99"/>
      <c r="M132" s="39" t="str">
        <f t="shared" si="1"/>
        <v>[https://link.springer.com/chapter/10.1007/11682462_69 Risotto (2006)]</v>
      </c>
      <c r="N132" s="35" t="s">
        <v>2457</v>
      </c>
      <c r="O132" s="111">
        <v>2006.0</v>
      </c>
      <c r="P132" s="106" t="s">
        <v>2458</v>
      </c>
      <c r="Q132" s="13"/>
      <c r="R132" s="13"/>
      <c r="S132" s="13"/>
      <c r="T132" s="35">
        <v>0.0</v>
      </c>
      <c r="U132" s="35">
        <v>0.0</v>
      </c>
      <c r="V132" s="89">
        <f>IFERROR(__xludf.DUMMYFUNCTION("INDEX(SPLIT(SUBSTITUTE(W132,CHAR(10), """"),"",:""), MATCH(Z132, SPLIT(SUBSTITUTE(W132,CHAR(10), """"),"",:""), 0) + 1)"),5.5)</f>
        <v>5.5</v>
      </c>
      <c r="W132" s="102" t="s">
        <v>2442</v>
      </c>
      <c r="X132" s="35" t="s">
        <v>2443</v>
      </c>
      <c r="Y132" s="41" t="s">
        <v>2444</v>
      </c>
      <c r="Z132" s="53" t="str">
        <f t="array" ref="Z132">INDEX(Problems!J:J, MATCH(1, (Problems!B:B=B132)*1, 0))</f>
        <v>mn</v>
      </c>
      <c r="AA132" s="41"/>
      <c r="AB132" s="41"/>
      <c r="AC132" s="41" t="s">
        <v>1813</v>
      </c>
      <c r="AD132" s="41" t="s">
        <v>1814</v>
      </c>
      <c r="AE132" s="85">
        <f>IFERROR(__xludf.DUMMYFUNCTION("INDEX(SPLIT(SUBSTITUTE(AF132,CHAR(10), """"),"",:""), MATCH(Z132, SPLIT(SUBSTITUTE(AF132,CHAR(10), """"),"",:""), 0) + 1)"),5.5)</f>
        <v>5.5</v>
      </c>
      <c r="AF132" s="102" t="s">
        <v>2445</v>
      </c>
      <c r="AG132" s="41" t="s">
        <v>1382</v>
      </c>
      <c r="AH132" s="109" t="s">
        <v>2447</v>
      </c>
      <c r="AI132" s="104">
        <v>0.0</v>
      </c>
      <c r="AJ132" s="84">
        <v>0.0</v>
      </c>
      <c r="AK132" s="104"/>
      <c r="AL132" s="35">
        <v>0.0</v>
      </c>
      <c r="AM132" s="104"/>
      <c r="AN132" s="35">
        <v>0.0</v>
      </c>
      <c r="AO132" s="104"/>
      <c r="AP132" s="35">
        <v>0.0</v>
      </c>
      <c r="AQ132" s="35">
        <v>0.0</v>
      </c>
      <c r="AR132" s="69"/>
      <c r="AS132" s="35">
        <v>0.0</v>
      </c>
      <c r="AT132" s="35">
        <v>0.0</v>
      </c>
      <c r="AU132" s="69"/>
      <c r="AV132" s="13"/>
      <c r="AW132" s="13"/>
      <c r="AX132" s="13"/>
      <c r="AY132" s="13"/>
      <c r="AZ132" s="13"/>
      <c r="BA132" s="13"/>
      <c r="BB132" s="13"/>
      <c r="BC132" s="13"/>
      <c r="BD132" s="13"/>
      <c r="BE132" s="13"/>
      <c r="BF132" s="13"/>
      <c r="BG132" s="13"/>
      <c r="BH132" s="13"/>
      <c r="BI132" s="13"/>
      <c r="BJ132" s="13"/>
      <c r="BK132" s="13"/>
      <c r="BL132" s="13"/>
      <c r="BM132" s="13"/>
      <c r="BN132" s="6"/>
      <c r="BO132" s="6">
        <v>4.0</v>
      </c>
      <c r="BP132" s="13"/>
      <c r="BQ132" s="13"/>
      <c r="BR132" s="6" t="s">
        <v>433</v>
      </c>
    </row>
    <row r="133">
      <c r="A133" s="35">
        <v>99.0</v>
      </c>
      <c r="B133" s="35" t="s">
        <v>1012</v>
      </c>
      <c r="C133" s="53">
        <v>2.0</v>
      </c>
      <c r="D133" s="53" t="s">
        <v>1012</v>
      </c>
      <c r="E133" s="7"/>
      <c r="F133" s="53"/>
      <c r="G133" s="6"/>
      <c r="H133" s="35">
        <v>1.0</v>
      </c>
      <c r="I133" s="35">
        <v>1.0</v>
      </c>
      <c r="J133" s="35" t="s">
        <v>2459</v>
      </c>
      <c r="K133" s="99"/>
      <c r="L133" s="99"/>
      <c r="M133" s="39" t="str">
        <f t="shared" si="1"/>
        <v>[https://ieeexplore.ieee.org/abstract/document/4359890 PMS (2007)]</v>
      </c>
      <c r="N133" s="35" t="s">
        <v>2460</v>
      </c>
      <c r="O133" s="111">
        <v>2007.0</v>
      </c>
      <c r="P133" s="106" t="s">
        <v>2461</v>
      </c>
      <c r="Q133" s="13"/>
      <c r="R133" s="13"/>
      <c r="S133" s="13"/>
      <c r="T133" s="35">
        <v>0.0</v>
      </c>
      <c r="U133" s="35">
        <v>0.0</v>
      </c>
      <c r="V133" s="89">
        <f>IFERROR(__xludf.DUMMYFUNCTION("INDEX(SPLIT(SUBSTITUTE(W133,CHAR(10), """"),"",:""), MATCH(Z133, SPLIT(SUBSTITUTE(W133,CHAR(10), """"),"",:""), 0) + 1)"),5.5)</f>
        <v>5.5</v>
      </c>
      <c r="W133" s="102" t="s">
        <v>2462</v>
      </c>
      <c r="X133" s="35" t="s">
        <v>2463</v>
      </c>
      <c r="Y133" s="41" t="s">
        <v>2444</v>
      </c>
      <c r="Z133" s="53" t="str">
        <f t="array" ref="Z133">INDEX(Problems!J:J, MATCH(1, (Problems!B:B=B133)*1, 0))</f>
        <v>mn</v>
      </c>
      <c r="AA133" s="41"/>
      <c r="AB133" s="41"/>
      <c r="AC133" s="41" t="s">
        <v>1813</v>
      </c>
      <c r="AD133" s="41" t="s">
        <v>1814</v>
      </c>
      <c r="AE133" s="85">
        <f>IFERROR(__xludf.DUMMYFUNCTION("INDEX(SPLIT(SUBSTITUTE(AF133,CHAR(10), """"),"",:""), MATCH(Z133, SPLIT(SUBSTITUTE(AF133,CHAR(10), """"),"",:""), 0) + 1)"),5.5)</f>
        <v>5.5</v>
      </c>
      <c r="AF133" s="102" t="s">
        <v>2464</v>
      </c>
      <c r="AG133" s="41" t="s">
        <v>2465</v>
      </c>
      <c r="AH133" s="109" t="s">
        <v>2447</v>
      </c>
      <c r="AI133" s="104">
        <v>0.0</v>
      </c>
      <c r="AJ133" s="84">
        <v>0.0</v>
      </c>
      <c r="AK133" s="104"/>
      <c r="AL133" s="35">
        <v>0.0</v>
      </c>
      <c r="AM133" s="104"/>
      <c r="AN133" s="35">
        <v>0.0</v>
      </c>
      <c r="AO133" s="104"/>
      <c r="AP133" s="35">
        <v>0.0</v>
      </c>
      <c r="AQ133" s="35">
        <v>0.0</v>
      </c>
      <c r="AR133" s="69"/>
      <c r="AS133" s="35">
        <v>0.0</v>
      </c>
      <c r="AT133" s="35">
        <v>0.0</v>
      </c>
      <c r="AU133" s="69"/>
      <c r="AV133" s="13"/>
      <c r="AW133" s="13"/>
      <c r="AX133" s="13"/>
      <c r="AY133" s="13"/>
      <c r="AZ133" s="13"/>
      <c r="BA133" s="13"/>
      <c r="BB133" s="13"/>
      <c r="BC133" s="13"/>
      <c r="BD133" s="13"/>
      <c r="BE133" s="13"/>
      <c r="BF133" s="13"/>
      <c r="BG133" s="13"/>
      <c r="BH133" s="13"/>
      <c r="BI133" s="13"/>
      <c r="BJ133" s="13"/>
      <c r="BK133" s="13"/>
      <c r="BL133" s="13"/>
      <c r="BM133" s="13"/>
      <c r="BN133" s="6"/>
      <c r="BO133" s="6">
        <v>4.0</v>
      </c>
      <c r="BP133" s="13"/>
      <c r="BQ133" s="13"/>
      <c r="BR133" s="6" t="s">
        <v>433</v>
      </c>
    </row>
    <row r="134">
      <c r="A134" s="35">
        <v>124.0</v>
      </c>
      <c r="B134" s="35" t="s">
        <v>1125</v>
      </c>
      <c r="C134" s="53">
        <v>2.0</v>
      </c>
      <c r="D134" s="53" t="s">
        <v>1125</v>
      </c>
      <c r="E134" s="7">
        <v>947.0</v>
      </c>
      <c r="F134" s="53"/>
      <c r="G134" s="6"/>
      <c r="H134" s="35">
        <v>1.0</v>
      </c>
      <c r="I134" s="111">
        <v>1.0</v>
      </c>
      <c r="J134" s="104" t="s">
        <v>2466</v>
      </c>
      <c r="K134" s="41" t="s">
        <v>2419</v>
      </c>
      <c r="L134" s="41" t="s">
        <v>2420</v>
      </c>
      <c r="M134" s="39" t="str">
        <f t="shared" si="1"/>
        <v>[ Brute Force (1940)]</v>
      </c>
      <c r="N134" s="107" t="s">
        <v>1999</v>
      </c>
      <c r="O134" s="111">
        <v>1940.0</v>
      </c>
      <c r="P134" s="128"/>
      <c r="Q134" s="6">
        <v>1.0</v>
      </c>
      <c r="R134" s="6">
        <v>1.0</v>
      </c>
      <c r="S134" s="18" t="s">
        <v>1127</v>
      </c>
      <c r="T134" s="111">
        <v>1.0</v>
      </c>
      <c r="U134" s="35">
        <v>0.0</v>
      </c>
      <c r="V134" s="89">
        <f>IFERROR(__xludf.DUMMYFUNCTION("INDEX(SPLIT(SUBSTITUTE(W134,CHAR(10), """"),"",:""), MATCH(Z134, SPLIT(SUBSTITUTE(W134,CHAR(10), """"),"",:""), 0) + 1)"),8.0)</f>
        <v>8</v>
      </c>
      <c r="W134" s="102" t="s">
        <v>2001</v>
      </c>
      <c r="X134" s="104" t="s">
        <v>2467</v>
      </c>
      <c r="Y134" s="41" t="s">
        <v>2468</v>
      </c>
      <c r="Z134" s="53" t="str">
        <f t="array" ref="Z134">INDEX(Problems!J:J, MATCH(1, (Problems!B:B=B134)*1, 0))</f>
        <v>n</v>
      </c>
      <c r="AA134" s="41"/>
      <c r="AB134" s="41"/>
      <c r="AC134" s="41" t="s">
        <v>1813</v>
      </c>
      <c r="AD134" s="41" t="s">
        <v>1814</v>
      </c>
      <c r="AE134" s="85">
        <f>IFERROR(__xludf.DUMMYFUNCTION("INDEX(SPLIT(SUBSTITUTE(AF134,CHAR(10), """"),"",:""), MATCH(Z134, SPLIT(SUBSTITUTE(AF134,CHAR(10), """"),"",:""), 0) + 1)"),3.0)</f>
        <v>3</v>
      </c>
      <c r="AF134" s="102" t="s">
        <v>1763</v>
      </c>
      <c r="AG134" s="41" t="s">
        <v>35</v>
      </c>
      <c r="AH134" s="41" t="s">
        <v>2469</v>
      </c>
      <c r="AI134" s="108">
        <v>1.0</v>
      </c>
      <c r="AJ134" s="84">
        <v>0.0</v>
      </c>
      <c r="AK134" s="108"/>
      <c r="AL134" s="111">
        <v>0.0</v>
      </c>
      <c r="AM134" s="108"/>
      <c r="AN134" s="111">
        <v>0.0</v>
      </c>
      <c r="AO134" s="104"/>
      <c r="AP134" s="111">
        <v>0.0</v>
      </c>
      <c r="AQ134" s="111">
        <v>0.0</v>
      </c>
      <c r="AR134" s="69"/>
      <c r="AS134" s="111">
        <v>0.0</v>
      </c>
      <c r="AT134" s="111">
        <v>0.0</v>
      </c>
      <c r="AU134" s="50" t="s">
        <v>2470</v>
      </c>
      <c r="AV134" s="13"/>
      <c r="AW134" s="13"/>
      <c r="AX134" s="13"/>
      <c r="AY134" s="13"/>
      <c r="AZ134" s="6"/>
      <c r="BA134" s="6"/>
      <c r="BB134" s="6"/>
      <c r="BC134" s="6"/>
      <c r="BD134" s="6"/>
      <c r="BE134" s="6"/>
      <c r="BF134" s="6" t="s">
        <v>1781</v>
      </c>
      <c r="BG134" s="6">
        <v>1.0</v>
      </c>
      <c r="BH134" s="6"/>
      <c r="BI134" s="6" t="s">
        <v>1781</v>
      </c>
      <c r="BJ134" s="6">
        <v>1.0</v>
      </c>
      <c r="BK134" s="6"/>
      <c r="BL134" s="6" t="s">
        <v>1781</v>
      </c>
      <c r="BM134" s="6">
        <v>1.0</v>
      </c>
      <c r="BN134" s="6"/>
      <c r="BO134" s="6">
        <v>1.0</v>
      </c>
      <c r="BP134" s="13"/>
      <c r="BQ134" s="13"/>
      <c r="BR134" s="6" t="s">
        <v>23</v>
      </c>
    </row>
    <row r="135">
      <c r="A135" s="35">
        <v>124.0</v>
      </c>
      <c r="B135" s="35" t="s">
        <v>1125</v>
      </c>
      <c r="C135" s="53">
        <v>2.0</v>
      </c>
      <c r="D135" s="53" t="s">
        <v>1125</v>
      </c>
      <c r="E135" s="7">
        <v>948.0</v>
      </c>
      <c r="F135" s="53"/>
      <c r="G135" s="6"/>
      <c r="H135" s="35">
        <v>1.0</v>
      </c>
      <c r="I135" s="111">
        <v>1.0</v>
      </c>
      <c r="J135" s="35" t="s">
        <v>115</v>
      </c>
      <c r="K135" s="41" t="s">
        <v>2419</v>
      </c>
      <c r="L135" s="41" t="s">
        <v>2420</v>
      </c>
      <c r="M135" s="39" t="str">
        <f t="shared" si="1"/>
        <v>[ Dynamic Programming (1953)]</v>
      </c>
      <c r="N135" s="107" t="s">
        <v>1835</v>
      </c>
      <c r="O135" s="111">
        <v>1953.0</v>
      </c>
      <c r="P135" s="128"/>
      <c r="Q135" s="6">
        <v>0.5</v>
      </c>
      <c r="R135" s="6">
        <v>1.0</v>
      </c>
      <c r="S135" s="18" t="s">
        <v>2471</v>
      </c>
      <c r="T135" s="111">
        <v>1.0</v>
      </c>
      <c r="U135" s="35" t="s">
        <v>2472</v>
      </c>
      <c r="V135" s="89">
        <f>IFERROR(__xludf.DUMMYFUNCTION("INDEX(SPLIT(SUBSTITUTE(W135,CHAR(10), """"),"",:""), MATCH(Z135, SPLIT(SUBSTITUTE(W135,CHAR(10), """"),"",:""), 0) + 1)"),5.0)</f>
        <v>5</v>
      </c>
      <c r="W135" s="102" t="s">
        <v>1938</v>
      </c>
      <c r="X135" s="35" t="s">
        <v>61</v>
      </c>
      <c r="Y135" s="41" t="s">
        <v>2468</v>
      </c>
      <c r="Z135" s="53" t="str">
        <f t="array" ref="Z135">INDEX(Problems!J:J, MATCH(1, (Problems!B:B=B135)*1, 0))</f>
        <v>n</v>
      </c>
      <c r="AA135" s="41"/>
      <c r="AB135" s="41"/>
      <c r="AC135" s="41" t="s">
        <v>1813</v>
      </c>
      <c r="AD135" s="41" t="s">
        <v>1814</v>
      </c>
      <c r="AE135" s="85">
        <f>IFERROR(__xludf.DUMMYFUNCTION("INDEX(SPLIT(SUBSTITUTE(AF135,CHAR(10), """"),"",:""), MATCH(Z135, SPLIT(SUBSTITUTE(AF135,CHAR(10), """"),"",:""), 0) + 1)"),3.0)</f>
        <v>3</v>
      </c>
      <c r="AF135" s="102" t="s">
        <v>1763</v>
      </c>
      <c r="AG135" s="41" t="s">
        <v>35</v>
      </c>
      <c r="AH135" s="41" t="s">
        <v>2469</v>
      </c>
      <c r="AI135" s="108">
        <v>1.0</v>
      </c>
      <c r="AJ135" s="84">
        <v>0.0</v>
      </c>
      <c r="AK135" s="108"/>
      <c r="AL135" s="111">
        <v>0.0</v>
      </c>
      <c r="AM135" s="108"/>
      <c r="AN135" s="111">
        <v>0.0</v>
      </c>
      <c r="AO135" s="104"/>
      <c r="AP135" s="111">
        <v>0.0</v>
      </c>
      <c r="AQ135" s="111">
        <v>0.0</v>
      </c>
      <c r="AR135" s="69"/>
      <c r="AS135" s="111">
        <v>0.0</v>
      </c>
      <c r="AT135" s="111">
        <v>0.0</v>
      </c>
      <c r="AU135" s="35" t="s">
        <v>2473</v>
      </c>
      <c r="AV135" s="13"/>
      <c r="AW135" s="13"/>
      <c r="AX135" s="13"/>
      <c r="AY135" s="13"/>
      <c r="AZ135" s="6"/>
      <c r="BA135" s="6"/>
      <c r="BB135" s="6"/>
      <c r="BC135" s="6"/>
      <c r="BD135" s="6"/>
      <c r="BE135" s="6"/>
      <c r="BF135" s="6">
        <v>1000000.0</v>
      </c>
      <c r="BG135" s="6" t="s">
        <v>1781</v>
      </c>
      <c r="BH135" s="6" t="s">
        <v>1781</v>
      </c>
      <c r="BI135" s="13">
        <f>POW(1000000,2)</f>
        <v>1000000000000</v>
      </c>
      <c r="BJ135" s="6" t="s">
        <v>1781</v>
      </c>
      <c r="BK135" s="6" t="s">
        <v>1781</v>
      </c>
      <c r="BL135" s="13">
        <f>POW(1000000000,2)</f>
        <v>1E+18</v>
      </c>
      <c r="BM135" s="6" t="s">
        <v>1781</v>
      </c>
      <c r="BN135" s="6" t="s">
        <v>1781</v>
      </c>
      <c r="BO135" s="6">
        <v>1.0</v>
      </c>
      <c r="BP135" s="13"/>
      <c r="BQ135" s="13"/>
      <c r="BR135" s="6" t="s">
        <v>23</v>
      </c>
    </row>
    <row r="136">
      <c r="A136" s="35">
        <v>130.0</v>
      </c>
      <c r="B136" s="35" t="s">
        <v>1146</v>
      </c>
      <c r="C136" s="53">
        <v>2.0</v>
      </c>
      <c r="D136" s="53" t="s">
        <v>1146</v>
      </c>
      <c r="E136" s="7">
        <v>960.0</v>
      </c>
      <c r="F136" s="53"/>
      <c r="G136" s="6"/>
      <c r="H136" s="35">
        <v>1.0</v>
      </c>
      <c r="I136" s="111">
        <v>1.0</v>
      </c>
      <c r="J136" s="35" t="s">
        <v>2474</v>
      </c>
      <c r="K136" s="41" t="s">
        <v>2419</v>
      </c>
      <c r="L136" s="41" t="s">
        <v>2420</v>
      </c>
      <c r="M136" s="39" t="str">
        <f t="shared" si="1"/>
        <v>[NA Brute Force (1940)]</v>
      </c>
      <c r="N136" s="107" t="s">
        <v>1999</v>
      </c>
      <c r="O136" s="111">
        <v>1940.0</v>
      </c>
      <c r="P136" s="129" t="s">
        <v>1944</v>
      </c>
      <c r="Q136" s="6">
        <v>1.0</v>
      </c>
      <c r="R136" s="6">
        <v>1.0</v>
      </c>
      <c r="S136" s="18" t="s">
        <v>2475</v>
      </c>
      <c r="T136" s="111">
        <v>1.0</v>
      </c>
      <c r="U136" s="35">
        <v>0.0</v>
      </c>
      <c r="V136" s="89">
        <f>IFERROR(__xludf.DUMMYFUNCTION("INDEX(SPLIT(SUBSTITUTE(W136,CHAR(10), """"),"",:""), MATCH(Z136, SPLIT(SUBSTITUTE(W136,CHAR(10), """"),"",:""), 0) + 1)"),8.0)</f>
        <v>8</v>
      </c>
      <c r="W136" s="102" t="s">
        <v>2476</v>
      </c>
      <c r="X136" s="35" t="s">
        <v>2477</v>
      </c>
      <c r="Y136" s="41" t="s">
        <v>2478</v>
      </c>
      <c r="Z136" s="53" t="str">
        <f t="array" ref="Z136">INDEX(Problems!J:J, MATCH(1, (Problems!B:B=B136)*1, 0))</f>
        <v>n</v>
      </c>
      <c r="AA136" s="41"/>
      <c r="AB136" s="41"/>
      <c r="AC136" s="41" t="s">
        <v>1813</v>
      </c>
      <c r="AD136" s="41" t="s">
        <v>1814</v>
      </c>
      <c r="AE136" s="85">
        <f>IFERROR(__xludf.DUMMYFUNCTION("INDEX(SPLIT(SUBSTITUTE(AF136,CHAR(10), """"),"",:""), MATCH(Z136, SPLIT(SUBSTITUTE(AF136,CHAR(10), """"),"",:""), 0) + 1)"),3.0)</f>
        <v>3</v>
      </c>
      <c r="AF136" s="102" t="s">
        <v>1763</v>
      </c>
      <c r="AG136" s="41" t="s">
        <v>35</v>
      </c>
      <c r="AH136" s="41" t="s">
        <v>38</v>
      </c>
      <c r="AI136" s="108">
        <v>1.0</v>
      </c>
      <c r="AJ136" s="84">
        <v>0.0</v>
      </c>
      <c r="AK136" s="108"/>
      <c r="AL136" s="111">
        <v>0.0</v>
      </c>
      <c r="AM136" s="108"/>
      <c r="AN136" s="111">
        <v>0.0</v>
      </c>
      <c r="AO136" s="104"/>
      <c r="AP136" s="111">
        <v>0.0</v>
      </c>
      <c r="AQ136" s="111">
        <v>0.0</v>
      </c>
      <c r="AR136" s="69"/>
      <c r="AS136" s="111">
        <v>0.0</v>
      </c>
      <c r="AT136" s="111">
        <v>0.0</v>
      </c>
      <c r="AU136" s="106" t="s">
        <v>2479</v>
      </c>
      <c r="AV136" s="13"/>
      <c r="AW136" s="13"/>
      <c r="AX136" s="13"/>
      <c r="AY136" s="13"/>
      <c r="AZ136" s="6"/>
      <c r="BA136" s="6"/>
      <c r="BB136" s="6"/>
      <c r="BC136" s="6"/>
      <c r="BD136" s="6"/>
      <c r="BE136" s="6"/>
      <c r="BF136" s="6" t="s">
        <v>1781</v>
      </c>
      <c r="BG136" s="6">
        <v>1.0</v>
      </c>
      <c r="BH136" s="6"/>
      <c r="BI136" s="6" t="s">
        <v>1781</v>
      </c>
      <c r="BJ136" s="6">
        <v>1.0</v>
      </c>
      <c r="BK136" s="6"/>
      <c r="BL136" s="6" t="s">
        <v>1781</v>
      </c>
      <c r="BM136" s="6">
        <v>1.0</v>
      </c>
      <c r="BN136" s="6"/>
      <c r="BO136" s="6">
        <v>1.0</v>
      </c>
      <c r="BP136" s="13"/>
      <c r="BQ136" s="13"/>
      <c r="BR136" s="6" t="s">
        <v>23</v>
      </c>
    </row>
    <row r="137">
      <c r="A137" s="35">
        <v>130.0</v>
      </c>
      <c r="B137" s="35" t="s">
        <v>1146</v>
      </c>
      <c r="C137" s="53">
        <v>2.0</v>
      </c>
      <c r="D137" s="53" t="s">
        <v>1146</v>
      </c>
      <c r="E137" s="7">
        <v>961.0</v>
      </c>
      <c r="F137" s="53"/>
      <c r="G137" s="6"/>
      <c r="H137" s="35">
        <v>1.0</v>
      </c>
      <c r="I137" s="111">
        <v>1.0</v>
      </c>
      <c r="J137" s="35" t="s">
        <v>2480</v>
      </c>
      <c r="K137" s="41" t="s">
        <v>2419</v>
      </c>
      <c r="L137" s="41" t="s">
        <v>2420</v>
      </c>
      <c r="M137" s="39" t="str">
        <f t="shared" si="1"/>
        <v>[https://dl.acm.org/doi/10.1145/321864.321874 Dynamic Programming (1953)]</v>
      </c>
      <c r="N137" s="107" t="s">
        <v>1835</v>
      </c>
      <c r="O137" s="111">
        <v>1953.0</v>
      </c>
      <c r="P137" s="106" t="s">
        <v>1148</v>
      </c>
      <c r="Q137" s="6">
        <v>2.0</v>
      </c>
      <c r="R137" s="6">
        <v>1.0</v>
      </c>
      <c r="S137" s="18" t="s">
        <v>2475</v>
      </c>
      <c r="T137" s="111">
        <v>1.0</v>
      </c>
      <c r="U137" s="35" t="s">
        <v>2472</v>
      </c>
      <c r="V137" s="89">
        <f>IFERROR(__xludf.DUMMYFUNCTION("INDEX(SPLIT(SUBSTITUTE(W137,CHAR(10), """"),"",:""), MATCH(Z137, SPLIT(SUBSTITUTE(W137,CHAR(10), """"),"",:""), 0) + 1)"),5.0)</f>
        <v>5</v>
      </c>
      <c r="W137" s="102" t="s">
        <v>2481</v>
      </c>
      <c r="X137" s="35" t="s">
        <v>2482</v>
      </c>
      <c r="Y137" s="41" t="s">
        <v>2478</v>
      </c>
      <c r="Z137" s="53" t="str">
        <f t="array" ref="Z137">INDEX(Problems!J:J, MATCH(1, (Problems!B:B=B137)*1, 0))</f>
        <v>n</v>
      </c>
      <c r="AA137" s="41"/>
      <c r="AB137" s="41"/>
      <c r="AC137" s="41" t="s">
        <v>1813</v>
      </c>
      <c r="AD137" s="41" t="s">
        <v>1814</v>
      </c>
      <c r="AE137" s="85">
        <f>IFERROR(__xludf.DUMMYFUNCTION("INDEX(SPLIT(SUBSTITUTE(AF137,CHAR(10), """"),"",:""), MATCH(Z137, SPLIT(SUBSTITUTE(AF137,CHAR(10), """"),"",:""), 0) + 1)"),5.0)</f>
        <v>5</v>
      </c>
      <c r="AF137" s="102" t="s">
        <v>2481</v>
      </c>
      <c r="AG137" s="41" t="s">
        <v>2480</v>
      </c>
      <c r="AH137" s="41" t="s">
        <v>38</v>
      </c>
      <c r="AI137" s="108">
        <v>1.0</v>
      </c>
      <c r="AJ137" s="84">
        <v>0.0</v>
      </c>
      <c r="AK137" s="108"/>
      <c r="AL137" s="111">
        <v>0.0</v>
      </c>
      <c r="AM137" s="108"/>
      <c r="AN137" s="111">
        <v>0.0</v>
      </c>
      <c r="AO137" s="104"/>
      <c r="AP137" s="111">
        <v>0.0</v>
      </c>
      <c r="AQ137" s="111">
        <v>0.0</v>
      </c>
      <c r="AR137" s="69"/>
      <c r="AS137" s="111">
        <v>0.0</v>
      </c>
      <c r="AT137" s="111">
        <v>0.0</v>
      </c>
      <c r="AU137" s="106" t="s">
        <v>2479</v>
      </c>
      <c r="AV137" s="13"/>
      <c r="AW137" s="13"/>
      <c r="AX137" s="13"/>
      <c r="AY137" s="13"/>
      <c r="AZ137" s="13"/>
      <c r="BA137" s="13"/>
      <c r="BB137" s="13"/>
      <c r="BC137" s="13"/>
      <c r="BD137" s="13"/>
      <c r="BE137" s="13"/>
      <c r="BF137" s="13">
        <f>1000*50</f>
        <v>50000</v>
      </c>
      <c r="BG137" s="6" t="s">
        <v>1781</v>
      </c>
      <c r="BH137" s="6" t="s">
        <v>1781</v>
      </c>
      <c r="BI137" s="13">
        <f>1000000*50</f>
        <v>50000000</v>
      </c>
      <c r="BJ137" s="6" t="s">
        <v>1781</v>
      </c>
      <c r="BK137" s="6" t="s">
        <v>1781</v>
      </c>
      <c r="BL137" s="13">
        <f>1000000000*50</f>
        <v>50000000000</v>
      </c>
      <c r="BM137" s="6" t="s">
        <v>1781</v>
      </c>
      <c r="BN137" s="6" t="s">
        <v>1781</v>
      </c>
      <c r="BO137" s="6">
        <v>1.0</v>
      </c>
      <c r="BP137" s="13"/>
      <c r="BQ137" s="13"/>
      <c r="BR137" s="6" t="s">
        <v>23</v>
      </c>
    </row>
    <row r="138">
      <c r="A138" s="16">
        <v>3.0</v>
      </c>
      <c r="B138" s="16" t="s">
        <v>39</v>
      </c>
      <c r="C138" s="53">
        <v>2.0</v>
      </c>
      <c r="D138" s="53" t="s">
        <v>47</v>
      </c>
      <c r="E138" s="7">
        <v>35.0</v>
      </c>
      <c r="F138" s="53"/>
      <c r="G138" s="7"/>
      <c r="H138" s="16">
        <v>1.0</v>
      </c>
      <c r="I138" s="81">
        <v>0.0</v>
      </c>
      <c r="J138" s="16" t="s">
        <v>2483</v>
      </c>
      <c r="K138" s="53"/>
      <c r="L138" s="53"/>
      <c r="M138" s="39" t="str">
        <f t="shared" si="1"/>
        <v>[https://citeseerx.ist.psu.edu/viewdoc/download?doi=10.1.1.218.8168&amp;rep=rep1&amp;type=pdf Czumaj (1996)]</v>
      </c>
      <c r="N138" s="16" t="s">
        <v>2484</v>
      </c>
      <c r="O138" s="81">
        <v>1996.0</v>
      </c>
      <c r="P138" s="25" t="s">
        <v>50</v>
      </c>
      <c r="Q138" s="82"/>
      <c r="R138" s="82"/>
      <c r="S138" s="82"/>
      <c r="T138" s="81">
        <v>0.0</v>
      </c>
      <c r="U138" s="81">
        <v>0.0</v>
      </c>
      <c r="V138" s="89">
        <f>IFERROR(__xludf.DUMMYFUNCTION("INDEX(SPLIT(SUBSTITUTE(W138,CHAR(10), """"),"",:""), MATCH(Z138, SPLIT(SUBSTITUTE(W138,CHAR(10), """"),"",:""), 0) + 1)"),2.0)</f>
        <v>2</v>
      </c>
      <c r="W138" s="85" t="s">
        <v>1962</v>
      </c>
      <c r="X138" s="16" t="s">
        <v>2483</v>
      </c>
      <c r="Y138" s="53" t="s">
        <v>2485</v>
      </c>
      <c r="Z138" s="53" t="str">
        <f t="array" ref="Z138">INDEX(Problems!J:J, MATCH(1, (Problems!B:B=B138)*1, 0))</f>
        <v>n</v>
      </c>
      <c r="AA138" s="53"/>
      <c r="AB138" s="53"/>
      <c r="AC138" s="53" t="s">
        <v>2486</v>
      </c>
      <c r="AD138" s="53" t="s">
        <v>2487</v>
      </c>
      <c r="AE138" s="85">
        <f>IFERROR(__xludf.DUMMYFUNCTION("INDEX(SPLIT(SUBSTITUTE(AF138,CHAR(10), """"),"",:""), MATCH(Z138, SPLIT(SUBSTITUTE(AF138,CHAR(10), """"),"",:""), 0) + 1)"),3.0)</f>
        <v>3</v>
      </c>
      <c r="AF138" s="85" t="s">
        <v>1763</v>
      </c>
      <c r="AG138" s="53" t="s">
        <v>584</v>
      </c>
      <c r="AH138" s="53" t="s">
        <v>2488</v>
      </c>
      <c r="AI138" s="84">
        <v>1.0</v>
      </c>
      <c r="AJ138" s="84">
        <v>0.0</v>
      </c>
      <c r="AK138" s="87"/>
      <c r="AL138" s="81">
        <v>0.0</v>
      </c>
      <c r="AM138" s="84" t="s">
        <v>2489</v>
      </c>
      <c r="AN138" s="81">
        <v>1.0</v>
      </c>
      <c r="AO138" s="21">
        <v>1.1547</v>
      </c>
      <c r="AP138" s="81">
        <v>0.0</v>
      </c>
      <c r="AQ138" s="81">
        <v>1.0</v>
      </c>
      <c r="AR138" s="16" t="s">
        <v>2490</v>
      </c>
      <c r="AS138" s="81">
        <v>0.0</v>
      </c>
      <c r="AT138" s="81">
        <v>0.0</v>
      </c>
      <c r="AU138" s="82"/>
      <c r="AV138" s="7" t="s">
        <v>2005</v>
      </c>
      <c r="AW138" s="82"/>
      <c r="AX138" s="82"/>
      <c r="AY138" s="7"/>
      <c r="AZ138" s="7"/>
      <c r="BA138" s="7"/>
      <c r="BB138" s="7"/>
      <c r="BC138" s="7"/>
      <c r="BD138" s="7"/>
      <c r="BE138" s="7"/>
      <c r="BF138" s="7">
        <v>9.965</v>
      </c>
      <c r="BG138" s="7" t="s">
        <v>1781</v>
      </c>
      <c r="BH138" s="82"/>
      <c r="BI138" s="82"/>
      <c r="BJ138" s="82"/>
      <c r="BK138" s="82"/>
      <c r="BL138" s="82"/>
      <c r="BM138" s="82"/>
      <c r="BN138" s="7"/>
      <c r="BO138" s="7">
        <v>1.0</v>
      </c>
      <c r="BP138" s="82"/>
      <c r="BQ138" s="7"/>
      <c r="BR138" s="6" t="s">
        <v>23</v>
      </c>
    </row>
    <row r="139">
      <c r="A139" s="16">
        <v>3.0</v>
      </c>
      <c r="B139" s="16" t="s">
        <v>39</v>
      </c>
      <c r="C139" s="53">
        <v>2.0</v>
      </c>
      <c r="D139" s="53" t="s">
        <v>47</v>
      </c>
      <c r="E139" s="7">
        <v>35.1</v>
      </c>
      <c r="F139" s="53"/>
      <c r="G139" s="7"/>
      <c r="H139" s="16">
        <v>1.0</v>
      </c>
      <c r="I139" s="81">
        <v>0.0</v>
      </c>
      <c r="J139" s="16" t="s">
        <v>49</v>
      </c>
      <c r="K139" s="53"/>
      <c r="L139" s="53"/>
      <c r="M139" s="39" t="str">
        <f t="shared" si="1"/>
        <v>[https://citeseerx.ist.psu.edu/viewdoc/download?doi=10.1.1.218.8168&amp;rep=rep1&amp;type=pdf Czumaj (1996)]</v>
      </c>
      <c r="N139" s="16" t="s">
        <v>2484</v>
      </c>
      <c r="O139" s="81">
        <v>1996.0</v>
      </c>
      <c r="P139" s="25" t="s">
        <v>50</v>
      </c>
      <c r="Q139" s="82"/>
      <c r="R139" s="82"/>
      <c r="S139" s="82"/>
      <c r="T139" s="81">
        <v>0.0</v>
      </c>
      <c r="U139" s="81">
        <v>0.0</v>
      </c>
      <c r="V139" s="89">
        <f>IFERROR(__xludf.DUMMYFUNCTION("INDEX(SPLIT(SUBSTITUTE(W139,CHAR(10), """"),"",:""), MATCH(Z139, SPLIT(SUBSTITUTE(W139,CHAR(10), """"),"",:""), 0) + 1)"),1.99)</f>
        <v>1.99</v>
      </c>
      <c r="W139" s="85" t="s">
        <v>2491</v>
      </c>
      <c r="X139" s="16" t="s">
        <v>49</v>
      </c>
      <c r="Y139" s="53" t="s">
        <v>2485</v>
      </c>
      <c r="Z139" s="53" t="str">
        <f t="array" ref="Z139">INDEX(Problems!J:J, MATCH(1, (Problems!B:B=B139)*1, 0))</f>
        <v>n</v>
      </c>
      <c r="AA139" s="53"/>
      <c r="AB139" s="53"/>
      <c r="AC139" s="53" t="s">
        <v>2492</v>
      </c>
      <c r="AD139" s="53" t="s">
        <v>2487</v>
      </c>
      <c r="AE139" s="85">
        <f>IFERROR(__xludf.DUMMYFUNCTION("INDEX(SPLIT(SUBSTITUTE(AF139,CHAR(10), """"),"",:""), MATCH(Z139, SPLIT(SUBSTITUTE(AF139,CHAR(10), """"),"",:""), 0) + 1)"),3.0)</f>
        <v>3</v>
      </c>
      <c r="AF139" s="85" t="s">
        <v>1763</v>
      </c>
      <c r="AG139" s="53" t="s">
        <v>584</v>
      </c>
      <c r="AH139" s="53" t="s">
        <v>2488</v>
      </c>
      <c r="AI139" s="84">
        <v>1.0</v>
      </c>
      <c r="AJ139" s="84">
        <v>0.0</v>
      </c>
      <c r="AK139" s="87"/>
      <c r="AL139" s="81">
        <v>0.0</v>
      </c>
      <c r="AM139" s="84" t="s">
        <v>2489</v>
      </c>
      <c r="AN139" s="81">
        <v>1.0</v>
      </c>
      <c r="AO139" s="21">
        <v>1.1547</v>
      </c>
      <c r="AP139" s="81">
        <v>0.0</v>
      </c>
      <c r="AQ139" s="81">
        <v>1.0</v>
      </c>
      <c r="AR139" s="16" t="s">
        <v>2493</v>
      </c>
      <c r="AS139" s="81">
        <v>0.0</v>
      </c>
      <c r="AT139" s="81">
        <v>0.0</v>
      </c>
      <c r="AU139" s="82"/>
      <c r="AV139" s="7" t="s">
        <v>2005</v>
      </c>
      <c r="AW139" s="82"/>
      <c r="AX139" s="82"/>
      <c r="AY139" s="7"/>
      <c r="AZ139" s="7"/>
      <c r="BA139" s="7"/>
      <c r="BB139" s="7"/>
      <c r="BC139" s="7"/>
      <c r="BD139" s="7"/>
      <c r="BE139" s="7"/>
      <c r="BF139" s="7">
        <v>9.965</v>
      </c>
      <c r="BG139" s="7" t="s">
        <v>1781</v>
      </c>
      <c r="BH139" s="82"/>
      <c r="BI139" s="82"/>
      <c r="BJ139" s="82"/>
      <c r="BK139" s="82"/>
      <c r="BL139" s="82"/>
      <c r="BM139" s="82"/>
      <c r="BN139" s="7"/>
      <c r="BO139" s="7">
        <v>1.0</v>
      </c>
      <c r="BP139" s="82"/>
      <c r="BQ139" s="7"/>
      <c r="BR139" s="7" t="s">
        <v>23</v>
      </c>
    </row>
    <row r="140">
      <c r="A140" s="16">
        <v>3.0</v>
      </c>
      <c r="B140" s="16" t="s">
        <v>39</v>
      </c>
      <c r="C140" s="53">
        <v>1.0</v>
      </c>
      <c r="D140" s="53" t="s">
        <v>47</v>
      </c>
      <c r="E140" s="7">
        <v>36.0</v>
      </c>
      <c r="F140" s="53"/>
      <c r="G140" s="7"/>
      <c r="H140" s="16">
        <v>1.0</v>
      </c>
      <c r="I140" s="81">
        <v>0.0</v>
      </c>
      <c r="J140" s="39" t="s">
        <v>35</v>
      </c>
      <c r="K140" s="53"/>
      <c r="L140" s="53"/>
      <c r="M140" s="39" t="str">
        <f t="shared" si="1"/>
        <v>[https://www.worldcat.org/title/computing-matrix-chain-products-in-near-optimal-time/oclc/727708286 Chandra (1975)]</v>
      </c>
      <c r="N140" s="16" t="s">
        <v>2494</v>
      </c>
      <c r="O140" s="81">
        <v>1975.0</v>
      </c>
      <c r="P140" s="28" t="s">
        <v>2495</v>
      </c>
      <c r="Q140" s="82"/>
      <c r="R140" s="82"/>
      <c r="S140" s="82"/>
      <c r="T140" s="81">
        <v>0.0</v>
      </c>
      <c r="U140" s="81">
        <v>0.0</v>
      </c>
      <c r="V140" s="89">
        <f>IFERROR(__xludf.DUMMYFUNCTION("INDEX(SPLIT(SUBSTITUTE(W140,CHAR(10), """"),"",:""), MATCH(Z140, SPLIT(SUBSTITUTE(W140,CHAR(10), """"),"",:""), 0) + 1)"),3.0)</f>
        <v>3</v>
      </c>
      <c r="W140" s="85" t="s">
        <v>1763</v>
      </c>
      <c r="X140" s="16" t="s">
        <v>584</v>
      </c>
      <c r="Y140" s="53" t="s">
        <v>2485</v>
      </c>
      <c r="Z140" s="53" t="str">
        <f t="array" ref="Z140">INDEX(Problems!J:J, MATCH(1, (Problems!B:B=B140)*1, 0))</f>
        <v>n</v>
      </c>
      <c r="AA140" s="53"/>
      <c r="AB140" s="53"/>
      <c r="AC140" s="53" t="s">
        <v>1813</v>
      </c>
      <c r="AD140" s="53" t="s">
        <v>1814</v>
      </c>
      <c r="AE140" s="85">
        <f>IFERROR(__xludf.DUMMYFUNCTION("INDEX(SPLIT(SUBSTITUTE(AF140,CHAR(10), """"),"",:""), MATCH(Z140, SPLIT(SUBSTITUTE(AF140,CHAR(10), """"),"",:""), 0) + 1)"),3.0)</f>
        <v>3</v>
      </c>
      <c r="AF140" s="85" t="s">
        <v>1763</v>
      </c>
      <c r="AG140" s="53" t="s">
        <v>2496</v>
      </c>
      <c r="AH140" s="53" t="s">
        <v>2497</v>
      </c>
      <c r="AI140" s="84">
        <v>1.0</v>
      </c>
      <c r="AJ140" s="84">
        <v>0.0</v>
      </c>
      <c r="AK140" s="87"/>
      <c r="AL140" s="81">
        <v>0.0</v>
      </c>
      <c r="AM140" s="84" t="s">
        <v>2489</v>
      </c>
      <c r="AN140" s="81">
        <v>1.0</v>
      </c>
      <c r="AO140" s="21">
        <v>2.0</v>
      </c>
      <c r="AP140" s="81">
        <v>1.0</v>
      </c>
      <c r="AQ140" s="81">
        <v>0.0</v>
      </c>
      <c r="AR140" s="39"/>
      <c r="AS140" s="81">
        <v>0.0</v>
      </c>
      <c r="AT140" s="81">
        <v>0.0</v>
      </c>
      <c r="AU140" s="82"/>
      <c r="AV140" s="7" t="s">
        <v>2005</v>
      </c>
      <c r="AW140" s="82"/>
      <c r="AX140" s="82"/>
      <c r="AY140" s="7"/>
      <c r="AZ140" s="7"/>
      <c r="BA140" s="7"/>
      <c r="BB140" s="7"/>
      <c r="BC140" s="7"/>
      <c r="BD140" s="7"/>
      <c r="BE140" s="7"/>
      <c r="BF140" s="7">
        <v>1000.0</v>
      </c>
      <c r="BG140" s="7" t="s">
        <v>1781</v>
      </c>
      <c r="BH140" s="82"/>
      <c r="BI140" s="82"/>
      <c r="BJ140" s="82"/>
      <c r="BK140" s="82"/>
      <c r="BL140" s="82"/>
      <c r="BM140" s="82"/>
      <c r="BN140" s="7"/>
      <c r="BO140" s="7">
        <v>1.0</v>
      </c>
      <c r="BP140" s="82"/>
      <c r="BQ140" s="7"/>
      <c r="BR140" s="7" t="s">
        <v>23</v>
      </c>
    </row>
    <row r="141">
      <c r="A141" s="16">
        <v>3.0</v>
      </c>
      <c r="B141" s="16" t="s">
        <v>39</v>
      </c>
      <c r="C141" s="53">
        <v>2.0</v>
      </c>
      <c r="D141" s="53" t="s">
        <v>47</v>
      </c>
      <c r="E141" s="7">
        <v>37.0</v>
      </c>
      <c r="F141" s="53"/>
      <c r="G141" s="7"/>
      <c r="H141" s="16">
        <v>1.0</v>
      </c>
      <c r="I141" s="81">
        <v>0.0</v>
      </c>
      <c r="J141" s="39" t="s">
        <v>35</v>
      </c>
      <c r="K141" s="53"/>
      <c r="L141" s="53"/>
      <c r="M141" s="39" t="str">
        <f t="shared" si="1"/>
        <v>[https://dl.acm.org/citation.cfm?id=359556 Chin (1978)]</v>
      </c>
      <c r="N141" s="16" t="s">
        <v>2498</v>
      </c>
      <c r="O141" s="81">
        <v>1978.0</v>
      </c>
      <c r="P141" s="28" t="s">
        <v>2499</v>
      </c>
      <c r="Q141" s="82"/>
      <c r="R141" s="82"/>
      <c r="S141" s="82"/>
      <c r="T141" s="81">
        <v>0.0</v>
      </c>
      <c r="U141" s="81">
        <v>0.0</v>
      </c>
      <c r="V141" s="89">
        <f>IFERROR(__xludf.DUMMYFUNCTION("INDEX(SPLIT(SUBSTITUTE(W141,CHAR(10), """"),"",:""), MATCH(Z141, SPLIT(SUBSTITUTE(W141,CHAR(10), """"),"",:""), 0) + 1)"),3.0)</f>
        <v>3</v>
      </c>
      <c r="W141" s="85" t="s">
        <v>1763</v>
      </c>
      <c r="X141" s="16" t="s">
        <v>584</v>
      </c>
      <c r="Y141" s="53" t="s">
        <v>2485</v>
      </c>
      <c r="Z141" s="53" t="str">
        <f t="array" ref="Z141">INDEX(Problems!J:J, MATCH(1, (Problems!B:B=B141)*1, 0))</f>
        <v>n</v>
      </c>
      <c r="AA141" s="53"/>
      <c r="AB141" s="53"/>
      <c r="AC141" s="53" t="s">
        <v>1813</v>
      </c>
      <c r="AD141" s="53" t="s">
        <v>1814</v>
      </c>
      <c r="AE141" s="85">
        <f>IFERROR(__xludf.DUMMYFUNCTION("INDEX(SPLIT(SUBSTITUTE(AF141,CHAR(10), """"),"",:""), MATCH(Z141, SPLIT(SUBSTITUTE(AF141,CHAR(10), """"),"",:""), 0) + 1)"),3.0)</f>
        <v>3</v>
      </c>
      <c r="AF141" s="85" t="s">
        <v>1763</v>
      </c>
      <c r="AG141" s="53" t="s">
        <v>584</v>
      </c>
      <c r="AH141" s="53" t="s">
        <v>2500</v>
      </c>
      <c r="AI141" s="84">
        <v>1.0</v>
      </c>
      <c r="AJ141" s="84">
        <v>0.0</v>
      </c>
      <c r="AK141" s="87"/>
      <c r="AL141" s="81">
        <v>0.0</v>
      </c>
      <c r="AM141" s="84" t="s">
        <v>2489</v>
      </c>
      <c r="AN141" s="81">
        <v>1.0</v>
      </c>
      <c r="AO141" s="21">
        <v>1.2485</v>
      </c>
      <c r="AP141" s="81">
        <v>1.0</v>
      </c>
      <c r="AQ141" s="81">
        <v>0.0</v>
      </c>
      <c r="AR141" s="39"/>
      <c r="AS141" s="81">
        <v>0.0</v>
      </c>
      <c r="AT141" s="81">
        <v>0.0</v>
      </c>
      <c r="AU141" s="82"/>
      <c r="AV141" s="7" t="s">
        <v>2005</v>
      </c>
      <c r="AW141" s="82"/>
      <c r="AX141" s="82"/>
      <c r="AY141" s="7"/>
      <c r="AZ141" s="7"/>
      <c r="BA141" s="7"/>
      <c r="BB141" s="7"/>
      <c r="BC141" s="7"/>
      <c r="BD141" s="7"/>
      <c r="BE141" s="7"/>
      <c r="BF141" s="7">
        <v>1000.0</v>
      </c>
      <c r="BG141" s="7" t="s">
        <v>1781</v>
      </c>
      <c r="BH141" s="82"/>
      <c r="BI141" s="82"/>
      <c r="BJ141" s="82"/>
      <c r="BK141" s="82"/>
      <c r="BL141" s="82"/>
      <c r="BM141" s="82"/>
      <c r="BN141" s="7"/>
      <c r="BO141" s="7">
        <v>1.0</v>
      </c>
      <c r="BP141" s="82"/>
      <c r="BQ141" s="7"/>
      <c r="BR141" s="7" t="s">
        <v>23</v>
      </c>
    </row>
    <row r="142">
      <c r="A142" s="16">
        <v>6.0</v>
      </c>
      <c r="B142" s="16" t="s">
        <v>109</v>
      </c>
      <c r="C142" s="53">
        <v>2.0</v>
      </c>
      <c r="D142" s="53" t="s">
        <v>110</v>
      </c>
      <c r="E142" s="7">
        <v>77.0</v>
      </c>
      <c r="F142" s="53"/>
      <c r="G142" s="7"/>
      <c r="H142" s="16">
        <v>1.0</v>
      </c>
      <c r="I142" s="81">
        <v>0.0</v>
      </c>
      <c r="J142" s="21" t="s">
        <v>2501</v>
      </c>
      <c r="K142" s="53"/>
      <c r="L142" s="53"/>
      <c r="M142" s="39" t="str">
        <f t="shared" si="1"/>
        <v>[https://doi.org/10.1016/0020-0190(79)90113-3 Bini's algorithm (1979)]</v>
      </c>
      <c r="N142" s="39" t="s">
        <v>2502</v>
      </c>
      <c r="O142" s="81">
        <v>1979.0</v>
      </c>
      <c r="P142" s="96" t="s">
        <v>2503</v>
      </c>
      <c r="Q142" s="82"/>
      <c r="R142" s="82"/>
      <c r="S142" s="82"/>
      <c r="T142" s="81">
        <v>1.0</v>
      </c>
      <c r="U142" s="81">
        <v>0.0</v>
      </c>
      <c r="V142" s="89">
        <f>IFERROR(__xludf.DUMMYFUNCTION("INDEX(SPLIT(SUBSTITUTE(W142,CHAR(10), """"),"",:""), MATCH(Z142, SPLIT(SUBSTITUTE(W142,CHAR(10), """"),"",:""), 0) + 1)"),4.38995)</f>
        <v>4.38995</v>
      </c>
      <c r="W142" s="85" t="s">
        <v>2504</v>
      </c>
      <c r="X142" s="21" t="s">
        <v>2505</v>
      </c>
      <c r="Y142" s="53" t="s">
        <v>2050</v>
      </c>
      <c r="Z142" s="53" t="str">
        <f t="array" ref="Z142">INDEX(Problems!J:J, MATCH(1, (Problems!B:B=B142)*1, 0))</f>
        <v>n^2</v>
      </c>
      <c r="AA142" s="96" t="s">
        <v>2503</v>
      </c>
      <c r="AB142" s="53">
        <v>0.0</v>
      </c>
      <c r="AC142" s="53" t="s">
        <v>1813</v>
      </c>
      <c r="AD142" s="53" t="s">
        <v>1814</v>
      </c>
      <c r="AE142" s="85">
        <f>IFERROR(__xludf.DUMMYFUNCTION("INDEX(SPLIT(SUBSTITUTE(AF142,CHAR(10), """"),"",:""), MATCH(Z142, SPLIT(SUBSTITUTE(AF142,CHAR(10), """"),"",:""), 0) + 1)"),3.0)</f>
        <v>3</v>
      </c>
      <c r="AF142" s="85" t="s">
        <v>2059</v>
      </c>
      <c r="AG142" s="53" t="s">
        <v>61</v>
      </c>
      <c r="AH142" s="53" t="s">
        <v>2506</v>
      </c>
      <c r="AI142" s="84">
        <v>1.0</v>
      </c>
      <c r="AJ142" s="84">
        <v>0.0</v>
      </c>
      <c r="AK142" s="87"/>
      <c r="AL142" s="81">
        <v>0.0</v>
      </c>
      <c r="AM142" s="84" t="s">
        <v>2489</v>
      </c>
      <c r="AN142" s="81">
        <v>1.0</v>
      </c>
      <c r="AO142" s="21" t="s">
        <v>2507</v>
      </c>
      <c r="AP142" s="81">
        <v>0.0</v>
      </c>
      <c r="AQ142" s="81">
        <v>0.0</v>
      </c>
      <c r="AR142" s="39"/>
      <c r="AS142" s="81">
        <v>0.0</v>
      </c>
      <c r="AT142" s="81">
        <v>0.0</v>
      </c>
      <c r="AU142" s="39"/>
      <c r="AV142" s="7" t="s">
        <v>2053</v>
      </c>
      <c r="AW142" s="82"/>
      <c r="AX142" s="82"/>
      <c r="AY142" s="7"/>
      <c r="AZ142" s="7"/>
      <c r="BA142" s="7"/>
      <c r="BB142" s="7"/>
      <c r="BC142" s="7"/>
      <c r="BD142" s="7"/>
      <c r="BE142" s="7"/>
      <c r="BF142" s="7">
        <f>POW(1000,2.78)</f>
        <v>218776162.4</v>
      </c>
      <c r="BG142" s="82">
        <f>BF138/BF142</f>
        <v>0.0000000455488381</v>
      </c>
      <c r="BH142" s="82"/>
      <c r="BI142" s="82">
        <f>POW(1000000,2.78)</f>
        <v>4.7863E+16</v>
      </c>
      <c r="BJ142" s="82">
        <f>BI138/BI142</f>
        <v>0</v>
      </c>
      <c r="BK142" s="82"/>
      <c r="BL142" s="82">
        <f>POW(1000000000,2.78)</f>
        <v>1.04713E+25</v>
      </c>
      <c r="BM142" s="82">
        <f>BL138/BL142</f>
        <v>0</v>
      </c>
      <c r="BN142" s="7"/>
      <c r="BO142" s="7">
        <v>3.0</v>
      </c>
      <c r="BP142" s="82"/>
      <c r="BQ142" s="7"/>
      <c r="BR142" s="7" t="s">
        <v>23</v>
      </c>
    </row>
    <row r="143">
      <c r="A143" s="16">
        <v>6.0</v>
      </c>
      <c r="B143" s="16" t="s">
        <v>109</v>
      </c>
      <c r="C143" s="53">
        <v>2.0</v>
      </c>
      <c r="D143" s="53" t="s">
        <v>110</v>
      </c>
      <c r="E143" s="7">
        <v>78.0</v>
      </c>
      <c r="F143" s="53"/>
      <c r="G143" s="7"/>
      <c r="H143" s="16">
        <v>1.0</v>
      </c>
      <c r="I143" s="81">
        <v>0.0</v>
      </c>
      <c r="J143" s="21" t="s">
        <v>2508</v>
      </c>
      <c r="K143" s="53"/>
      <c r="L143" s="53"/>
      <c r="M143" s="39" t="str">
        <f t="shared" si="1"/>
        <v>[https://epubs.siam.org/doi/abs/10.1137/0210032 Schonhage's algorithm (1980)]</v>
      </c>
      <c r="N143" s="39" t="s">
        <v>2509</v>
      </c>
      <c r="O143" s="81">
        <v>1980.0</v>
      </c>
      <c r="P143" s="28" t="s">
        <v>2510</v>
      </c>
      <c r="Q143" s="82"/>
      <c r="R143" s="82"/>
      <c r="S143" s="82"/>
      <c r="T143" s="81">
        <v>1.0</v>
      </c>
      <c r="U143" s="81">
        <v>0.0</v>
      </c>
      <c r="V143" s="89">
        <f>IFERROR(__xludf.DUMMYFUNCTION("INDEX(SPLIT(SUBSTITUTE(W143,CHAR(10), """"),"",:""), MATCH(Z143, SPLIT(SUBSTITUTE(W143,CHAR(10), """"),"",:""), 0) + 1)"),4.2609)</f>
        <v>4.2609</v>
      </c>
      <c r="W143" s="85" t="s">
        <v>2511</v>
      </c>
      <c r="X143" s="21" t="s">
        <v>2512</v>
      </c>
      <c r="Y143" s="53" t="s">
        <v>2050</v>
      </c>
      <c r="Z143" s="53" t="str">
        <f t="array" ref="Z143">INDEX(Problems!J:J, MATCH(1, (Problems!B:B=B143)*1, 0))</f>
        <v>n^2</v>
      </c>
      <c r="AA143" s="91" t="s">
        <v>2510</v>
      </c>
      <c r="AB143" s="53">
        <v>0.0</v>
      </c>
      <c r="AC143" s="53" t="s">
        <v>1813</v>
      </c>
      <c r="AD143" s="53" t="s">
        <v>1814</v>
      </c>
      <c r="AE143" s="85">
        <f>IFERROR(__xludf.DUMMYFUNCTION("INDEX(SPLIT(SUBSTITUTE(AF143,CHAR(10), """"),"",:""), MATCH(Z143, SPLIT(SUBSTITUTE(AF143,CHAR(10), """"),"",:""), 0) + 1)"),3.0)</f>
        <v>3</v>
      </c>
      <c r="AF143" s="85" t="s">
        <v>2059</v>
      </c>
      <c r="AG143" s="53" t="s">
        <v>61</v>
      </c>
      <c r="AH143" s="53" t="s">
        <v>2506</v>
      </c>
      <c r="AI143" s="84">
        <v>1.0</v>
      </c>
      <c r="AJ143" s="84">
        <v>0.0</v>
      </c>
      <c r="AK143" s="87"/>
      <c r="AL143" s="81">
        <v>0.0</v>
      </c>
      <c r="AM143" s="84" t="s">
        <v>2489</v>
      </c>
      <c r="AN143" s="81">
        <v>1.0</v>
      </c>
      <c r="AO143" s="21" t="s">
        <v>1182</v>
      </c>
      <c r="AP143" s="81">
        <v>0.0</v>
      </c>
      <c r="AQ143" s="81">
        <v>0.0</v>
      </c>
      <c r="AR143" s="39"/>
      <c r="AS143" s="81">
        <v>0.0</v>
      </c>
      <c r="AT143" s="81">
        <v>0.0</v>
      </c>
      <c r="AU143" s="39"/>
      <c r="AV143" s="7" t="s">
        <v>2053</v>
      </c>
      <c r="AW143" s="82"/>
      <c r="AX143" s="82"/>
      <c r="AY143" s="7"/>
      <c r="AZ143" s="7"/>
      <c r="BA143" s="7"/>
      <c r="BB143" s="7"/>
      <c r="BC143" s="7"/>
      <c r="BD143" s="7"/>
      <c r="BE143" s="7"/>
      <c r="BF143" s="7">
        <f>POW(1000,2.52)</f>
        <v>36307805.48</v>
      </c>
      <c r="BG143" s="82">
        <f>BF138/BF143</f>
        <v>0.0000002744588903</v>
      </c>
      <c r="BH143" s="82"/>
      <c r="BI143" s="82">
        <f>POW(1000000,2.52)</f>
        <v>1.31826E+15</v>
      </c>
      <c r="BJ143" s="82">
        <f>BI138/BI143</f>
        <v>0</v>
      </c>
      <c r="BK143" s="82"/>
      <c r="BL143" s="82">
        <f>POW(1000000000,2.52)</f>
        <v>4.7863E+22</v>
      </c>
      <c r="BM143" s="82">
        <f>BL138/BL143</f>
        <v>0</v>
      </c>
      <c r="BN143" s="7"/>
      <c r="BO143" s="7">
        <v>3.0</v>
      </c>
      <c r="BP143" s="82"/>
      <c r="BQ143" s="7"/>
      <c r="BR143" s="7" t="s">
        <v>23</v>
      </c>
    </row>
    <row r="144">
      <c r="A144" s="16">
        <v>7.0</v>
      </c>
      <c r="B144" s="16" t="s">
        <v>1261</v>
      </c>
      <c r="C144" s="53">
        <v>0.001</v>
      </c>
      <c r="D144" s="130" t="s">
        <v>2513</v>
      </c>
      <c r="E144" s="7">
        <v>95.0</v>
      </c>
      <c r="F144" s="53"/>
      <c r="G144" s="7"/>
      <c r="H144" s="16">
        <v>1.0</v>
      </c>
      <c r="I144" s="81">
        <v>0.0</v>
      </c>
      <c r="J144" s="16" t="s">
        <v>2514</v>
      </c>
      <c r="K144" s="53"/>
      <c r="L144" s="53"/>
      <c r="M144" s="39" t="str">
        <f t="shared" si="1"/>
        <v>[http://citeseerx.ist.psu.edu/viewdoc/summary?doi=10.1.1.36.4204 Karger, Blum (1997)]</v>
      </c>
      <c r="N144" s="39" t="s">
        <v>2515</v>
      </c>
      <c r="O144" s="81">
        <v>1997.0</v>
      </c>
      <c r="P144" s="17" t="s">
        <v>2516</v>
      </c>
      <c r="Q144" s="82"/>
      <c r="R144" s="82"/>
      <c r="S144" s="82"/>
      <c r="T144" s="16">
        <v>0.0</v>
      </c>
      <c r="U144" s="16">
        <v>0.0</v>
      </c>
      <c r="V144" s="89">
        <f>IFERROR(__xludf.DUMMYFUNCTION("INDEX(SPLIT(SUBSTITUTE(W144,CHAR(10), """"),"",:""), MATCH(Z144, SPLIT(SUBSTITUTE(W144,CHAR(10), """"),"",:""), 0) + 1)"),7.0)</f>
        <v>7</v>
      </c>
      <c r="W144" s="85" t="s">
        <v>2517</v>
      </c>
      <c r="X144" s="16" t="s">
        <v>2518</v>
      </c>
      <c r="Y144" s="53" t="s">
        <v>2519</v>
      </c>
      <c r="Z144" s="53" t="str">
        <f t="array" ref="Z144">INDEX(Problems!J:J, MATCH(1, (Problems!B:B=B144)*1, 0))</f>
        <v>n</v>
      </c>
      <c r="AA144" s="53"/>
      <c r="AB144" s="53"/>
      <c r="AC144" s="53"/>
      <c r="AD144" s="53"/>
      <c r="AE144" s="85" t="str">
        <f>IFERROR(__xludf.DUMMYFUNCTION("INDEX(SPLIT(SUBSTITUTE(AF144,CHAR(10), """"),"",:""), MATCH(Z144, SPLIT(SUBSTITUTE(AF144,CHAR(10), """"),"",:""), 0) + 1)"),"#VALUE!")</f>
        <v>#VALUE!</v>
      </c>
      <c r="AF144" s="131"/>
      <c r="AG144" s="53"/>
      <c r="AH144" s="53"/>
      <c r="AI144" s="87"/>
      <c r="AJ144" s="84" t="s">
        <v>2520</v>
      </c>
      <c r="AK144" s="87"/>
      <c r="AL144" s="81">
        <v>0.0</v>
      </c>
      <c r="AM144" s="84" t="s">
        <v>2489</v>
      </c>
      <c r="AN144" s="81">
        <v>1.0</v>
      </c>
      <c r="AO144" s="21" t="s">
        <v>2521</v>
      </c>
      <c r="AP144" s="81">
        <v>0.0</v>
      </c>
      <c r="AQ144" s="81">
        <v>0.0</v>
      </c>
      <c r="AR144" s="39"/>
      <c r="AS144" s="81">
        <v>0.0</v>
      </c>
      <c r="AT144" s="81">
        <v>0.0</v>
      </c>
      <c r="AU144" s="39"/>
      <c r="AV144" s="7" t="s">
        <v>2104</v>
      </c>
      <c r="AW144" s="82"/>
      <c r="AX144" s="82"/>
      <c r="AY144" s="7"/>
      <c r="AZ144" s="7"/>
      <c r="BA144" s="7"/>
      <c r="BB144" s="7"/>
      <c r="BC144" s="7"/>
      <c r="BD144" s="7"/>
      <c r="BE144" s="7"/>
      <c r="BF144" s="7">
        <v>4.38</v>
      </c>
      <c r="BG144" s="7" t="s">
        <v>1781</v>
      </c>
      <c r="BH144" s="82"/>
      <c r="BI144" s="82"/>
      <c r="BJ144" s="82"/>
      <c r="BK144" s="82"/>
      <c r="BL144" s="82"/>
      <c r="BM144" s="82"/>
      <c r="BN144" s="7"/>
      <c r="BO144" s="7">
        <v>1.0</v>
      </c>
      <c r="BP144" s="82"/>
      <c r="BQ144" s="7"/>
      <c r="BR144" s="7" t="s">
        <v>23</v>
      </c>
    </row>
    <row r="145">
      <c r="A145" s="16">
        <v>7.0</v>
      </c>
      <c r="B145" s="16" t="s">
        <v>1261</v>
      </c>
      <c r="C145" s="53">
        <v>2.0</v>
      </c>
      <c r="D145" s="53" t="s">
        <v>1276</v>
      </c>
      <c r="E145" s="7">
        <v>97.0</v>
      </c>
      <c r="F145" s="53"/>
      <c r="G145" s="7"/>
      <c r="H145" s="16">
        <v>1.0</v>
      </c>
      <c r="I145" s="84">
        <v>1.0</v>
      </c>
      <c r="J145" s="16" t="s">
        <v>251</v>
      </c>
      <c r="K145" s="53"/>
      <c r="L145" s="53"/>
      <c r="M145" s="39" t="str">
        <f t="shared" si="1"/>
        <v>[https://dl.acm.org/doi/10.1145/359094.359101 Brélaz (DSatur) (1979)]</v>
      </c>
      <c r="N145" s="85" t="s">
        <v>2522</v>
      </c>
      <c r="O145" s="132">
        <v>1979.0</v>
      </c>
      <c r="P145" s="113" t="s">
        <v>2523</v>
      </c>
      <c r="Q145" s="82"/>
      <c r="R145" s="82"/>
      <c r="S145" s="82"/>
      <c r="T145" s="16">
        <v>0.0</v>
      </c>
      <c r="U145" s="16">
        <v>0.0</v>
      </c>
      <c r="V145" s="89">
        <f>IFERROR(__xludf.DUMMYFUNCTION("INDEX(SPLIT(SUBSTITUTE(W145,CHAR(10), """"),"",:""), MATCH(Z145, SPLIT(SUBSTITUTE(W145,CHAR(10), """"),"",:""), 0) + 1)"),5.0)</f>
        <v>5</v>
      </c>
      <c r="W145" s="85" t="s">
        <v>1938</v>
      </c>
      <c r="X145" s="16" t="s">
        <v>61</v>
      </c>
      <c r="Y145" s="53" t="s">
        <v>2519</v>
      </c>
      <c r="Z145" s="53" t="str">
        <f t="array" ref="Z145">INDEX(Problems!J:J, MATCH(1, (Problems!B:B=B145)*1, 0))</f>
        <v>n</v>
      </c>
      <c r="AA145" s="53"/>
      <c r="AB145" s="53"/>
      <c r="AC145" s="53" t="s">
        <v>1813</v>
      </c>
      <c r="AD145" s="53" t="s">
        <v>1814</v>
      </c>
      <c r="AE145" s="85">
        <f>IFERROR(__xludf.DUMMYFUNCTION("INDEX(SPLIT(SUBSTITUTE(AF145,CHAR(10), """"),"",:""), MATCH(Z145, SPLIT(SUBSTITUTE(AF145,CHAR(10), """"),"",:""), 0) + 1)"),5.0)</f>
        <v>5</v>
      </c>
      <c r="AF145" s="93" t="s">
        <v>2524</v>
      </c>
      <c r="AG145" s="93" t="s">
        <v>562</v>
      </c>
      <c r="AH145" s="93" t="s">
        <v>2525</v>
      </c>
      <c r="AI145" s="84">
        <v>1.0</v>
      </c>
      <c r="AJ145" s="84">
        <v>0.0</v>
      </c>
      <c r="AK145" s="87"/>
      <c r="AL145" s="81">
        <v>0.0</v>
      </c>
      <c r="AM145" s="84"/>
      <c r="AN145" s="84">
        <v>0.0</v>
      </c>
      <c r="AO145" s="90"/>
      <c r="AP145" s="84">
        <v>1.0</v>
      </c>
      <c r="AQ145" s="84">
        <v>0.0</v>
      </c>
      <c r="AR145" s="39"/>
      <c r="AS145" s="81">
        <v>0.0</v>
      </c>
      <c r="AT145" s="81">
        <v>0.0</v>
      </c>
      <c r="AU145" s="39"/>
      <c r="AV145" s="7" t="s">
        <v>2104</v>
      </c>
      <c r="AW145" s="82"/>
      <c r="AX145" s="82"/>
      <c r="AY145" s="7"/>
      <c r="AZ145" s="7"/>
      <c r="BA145" s="7"/>
      <c r="BB145" s="7"/>
      <c r="BC145" s="7"/>
      <c r="BD145" s="7"/>
      <c r="BE145" s="7"/>
      <c r="BF145" s="7">
        <v>1000000.0</v>
      </c>
      <c r="BG145" s="7" t="s">
        <v>1781</v>
      </c>
      <c r="BH145" s="7" t="s">
        <v>1781</v>
      </c>
      <c r="BI145" s="82"/>
      <c r="BJ145" s="82"/>
      <c r="BK145" s="7" t="s">
        <v>1781</v>
      </c>
      <c r="BL145" s="82"/>
      <c r="BM145" s="82"/>
      <c r="BN145" s="7" t="s">
        <v>1781</v>
      </c>
      <c r="BO145" s="7">
        <v>1.0</v>
      </c>
      <c r="BP145" s="82"/>
      <c r="BQ145" s="7"/>
      <c r="BR145" s="7" t="s">
        <v>23</v>
      </c>
    </row>
    <row r="146">
      <c r="A146" s="16">
        <v>28.0</v>
      </c>
      <c r="B146" s="16" t="s">
        <v>470</v>
      </c>
      <c r="C146" s="53">
        <v>1.0</v>
      </c>
      <c r="D146" s="53"/>
      <c r="E146" s="7">
        <v>286.0</v>
      </c>
      <c r="F146" s="53"/>
      <c r="G146" s="7"/>
      <c r="H146" s="16">
        <v>1.0</v>
      </c>
      <c r="I146" s="16">
        <v>0.0</v>
      </c>
      <c r="J146" s="16" t="s">
        <v>2526</v>
      </c>
      <c r="K146" s="53"/>
      <c r="L146" s="91" t="s">
        <v>2527</v>
      </c>
      <c r="M146" s="39" t="str">
        <f t="shared" si="1"/>
        <v>[https://ieeexplore.ieee.org/document/4567800 Micali and Vazirani (1980)]</v>
      </c>
      <c r="N146" s="39" t="s">
        <v>2528</v>
      </c>
      <c r="O146" s="81">
        <v>1980.0</v>
      </c>
      <c r="P146" s="47" t="s">
        <v>2529</v>
      </c>
      <c r="Q146" s="82"/>
      <c r="R146" s="82"/>
      <c r="S146" s="82"/>
      <c r="T146" s="16">
        <v>0.0</v>
      </c>
      <c r="U146" s="16">
        <v>0.0</v>
      </c>
      <c r="V146" s="89">
        <f>IFERROR(__xludf.DUMMYFUNCTION("INDEX(SPLIT(SUBSTITUTE(W146,CHAR(10), """"),"",:""), MATCH(Z146, SPLIT(SUBSTITUTE(W146,CHAR(10), """"),"",:""), 0) + 1)"),5.5)</f>
        <v>5.5</v>
      </c>
      <c r="W146" s="85" t="s">
        <v>2530</v>
      </c>
      <c r="X146" s="16" t="s">
        <v>2531</v>
      </c>
      <c r="Y146" s="53" t="s">
        <v>2532</v>
      </c>
      <c r="Z146" s="53" t="str">
        <f t="array" ref="Z146">INDEX(Problems!J:J, MATCH(1, (Problems!B:B=B146)*1, 0))</f>
        <v>V</v>
      </c>
      <c r="AA146" s="53"/>
      <c r="AB146" s="53"/>
      <c r="AC146" s="53" t="s">
        <v>2533</v>
      </c>
      <c r="AD146" s="53" t="s">
        <v>1928</v>
      </c>
      <c r="AE146" s="85">
        <f>IFERROR(__xludf.DUMMYFUNCTION("INDEX(SPLIT(SUBSTITUTE(AF146,CHAR(10), """"),"",:""), MATCH(Z146, SPLIT(SUBSTITUTE(AF146,CHAR(10), """"),"",:""), 0) + 1)"),3.0)</f>
        <v>3</v>
      </c>
      <c r="AF146" s="85" t="s">
        <v>2534</v>
      </c>
      <c r="AG146" s="53" t="s">
        <v>268</v>
      </c>
      <c r="AH146" s="91" t="s">
        <v>2527</v>
      </c>
      <c r="AI146" s="84">
        <v>0.0</v>
      </c>
      <c r="AJ146" s="84">
        <v>0.0</v>
      </c>
      <c r="AK146" s="87"/>
      <c r="AL146" s="81">
        <v>0.0</v>
      </c>
      <c r="AM146" s="21" t="s">
        <v>2489</v>
      </c>
      <c r="AN146" s="16">
        <v>1.0</v>
      </c>
      <c r="AO146" s="90"/>
      <c r="AP146" s="16">
        <v>0.0</v>
      </c>
      <c r="AQ146" s="81">
        <v>0.0</v>
      </c>
      <c r="AR146" s="39"/>
      <c r="AS146" s="81">
        <v>0.0</v>
      </c>
      <c r="AT146" s="81">
        <v>0.0</v>
      </c>
      <c r="AU146" s="25" t="s">
        <v>2535</v>
      </c>
      <c r="AV146" s="7" t="s">
        <v>2536</v>
      </c>
      <c r="AW146" s="82"/>
      <c r="AX146" s="82"/>
      <c r="AY146" s="7"/>
      <c r="AZ146" s="82"/>
      <c r="BA146" s="82"/>
      <c r="BB146" s="82"/>
      <c r="BC146" s="82"/>
      <c r="BD146" s="82"/>
      <c r="BE146" s="82"/>
      <c r="BF146" s="82"/>
      <c r="BG146" s="82"/>
      <c r="BH146" s="82"/>
      <c r="BI146" s="82"/>
      <c r="BJ146" s="82"/>
      <c r="BK146" s="82"/>
      <c r="BL146" s="82"/>
      <c r="BM146" s="82"/>
      <c r="BN146" s="7"/>
      <c r="BO146" s="7">
        <v>4.0</v>
      </c>
      <c r="BP146" s="82"/>
      <c r="BQ146" s="7"/>
      <c r="BR146" s="7" t="s">
        <v>23</v>
      </c>
    </row>
    <row r="147">
      <c r="A147" s="16">
        <v>61.0</v>
      </c>
      <c r="B147" s="16" t="s">
        <v>743</v>
      </c>
      <c r="C147" s="53">
        <v>2.0</v>
      </c>
      <c r="D147" s="53" t="s">
        <v>744</v>
      </c>
      <c r="E147" s="7">
        <v>488.0</v>
      </c>
      <c r="F147" s="53" t="s">
        <v>2537</v>
      </c>
      <c r="G147" s="7"/>
      <c r="H147" s="16">
        <v>1.0</v>
      </c>
      <c r="I147" s="48">
        <v>1.0</v>
      </c>
      <c r="J147" s="48" t="s">
        <v>715</v>
      </c>
      <c r="K147" s="53"/>
      <c r="L147" s="53"/>
      <c r="M147" s="39" t="str">
        <f t="shared" si="1"/>
        <v>[https://dl.acm.org/doi/10.1145/321043.321046 Miller-Tucker-Zemlin (MTZ) formulation  (1960)]</v>
      </c>
      <c r="N147" s="16" t="s">
        <v>2538</v>
      </c>
      <c r="O147" s="83">
        <v>1960.0</v>
      </c>
      <c r="P147" s="25" t="s">
        <v>2539</v>
      </c>
      <c r="Q147" s="82"/>
      <c r="R147" s="82"/>
      <c r="S147" s="82"/>
      <c r="T147" s="16">
        <v>0.0</v>
      </c>
      <c r="U147" s="16">
        <v>0.0</v>
      </c>
      <c r="V147" s="89">
        <f>IFERROR(__xludf.DUMMYFUNCTION("INDEX(SPLIT(SUBSTITUTE(W147,CHAR(10), """"),"",:""), MATCH(Z147, SPLIT(SUBSTITUTE(W147,CHAR(10), """"),"",:""), 0) + 1)"),8.0)</f>
        <v>8</v>
      </c>
      <c r="W147" s="85" t="s">
        <v>2540</v>
      </c>
      <c r="X147" s="48" t="s">
        <v>2541</v>
      </c>
      <c r="Y147" s="53" t="s">
        <v>2542</v>
      </c>
      <c r="Z147" s="53" t="str">
        <f t="array" ref="Z147">INDEX(Problems!J:J, MATCH(1, (Problems!B:B=B147)*1, 0))</f>
        <v>V</v>
      </c>
      <c r="AA147" s="53" t="s">
        <v>2543</v>
      </c>
      <c r="AB147" s="53">
        <v>1.0</v>
      </c>
      <c r="AC147" s="53" t="s">
        <v>1813</v>
      </c>
      <c r="AD147" s="53" t="s">
        <v>1814</v>
      </c>
      <c r="AE147" s="85">
        <f>IFERROR(__xludf.DUMMYFUNCTION("INDEX(SPLIT(SUBSTITUTE(AF147,CHAR(10), """"),"",:""), MATCH(Z147, SPLIT(SUBSTITUTE(AF147,CHAR(10), """"),"",:""), 0) + 1)"),7.0)</f>
        <v>7</v>
      </c>
      <c r="AF147" s="85" t="s">
        <v>2544</v>
      </c>
      <c r="AG147" s="53" t="s">
        <v>2545</v>
      </c>
      <c r="AH147" s="53" t="s">
        <v>2546</v>
      </c>
      <c r="AI147" s="84">
        <v>1.0</v>
      </c>
      <c r="AJ147" s="84">
        <v>0.0</v>
      </c>
      <c r="AK147" s="87"/>
      <c r="AL147" s="81">
        <v>0.0</v>
      </c>
      <c r="AM147" s="21"/>
      <c r="AN147" s="48">
        <v>0.0</v>
      </c>
      <c r="AO147" s="90"/>
      <c r="AP147" s="16">
        <v>1.0</v>
      </c>
      <c r="AQ147" s="16">
        <v>0.0</v>
      </c>
      <c r="AR147" s="39"/>
      <c r="AS147" s="81">
        <v>0.0</v>
      </c>
      <c r="AT147" s="81">
        <v>0.0</v>
      </c>
      <c r="AU147" s="39"/>
      <c r="AV147" s="82"/>
      <c r="AW147" s="82"/>
      <c r="AX147" s="82"/>
      <c r="AY147" s="7"/>
      <c r="AZ147" s="82">
        <f>POW(1000, 4)</f>
        <v>1000000000000</v>
      </c>
      <c r="BA147" s="7" t="s">
        <v>1781</v>
      </c>
      <c r="BB147" s="82">
        <f>POW(1000000, 4)</f>
        <v>1E+24</v>
      </c>
      <c r="BC147" s="7" t="s">
        <v>1781</v>
      </c>
      <c r="BD147" s="82">
        <f>POW(1000000000, 4)</f>
        <v>1E+36</v>
      </c>
      <c r="BE147" s="7" t="s">
        <v>1781</v>
      </c>
      <c r="BF147" s="82"/>
      <c r="BG147" s="82"/>
      <c r="BH147" s="82"/>
      <c r="BI147" s="82"/>
      <c r="BJ147" s="82"/>
      <c r="BK147" s="82"/>
      <c r="BL147" s="82"/>
      <c r="BM147" s="82"/>
      <c r="BN147" s="7"/>
      <c r="BO147" s="7">
        <v>1.0</v>
      </c>
      <c r="BP147" s="82"/>
      <c r="BQ147" s="7"/>
      <c r="BR147" s="7" t="s">
        <v>23</v>
      </c>
    </row>
    <row r="148">
      <c r="A148" s="16">
        <v>61.0</v>
      </c>
      <c r="B148" s="16" t="s">
        <v>743</v>
      </c>
      <c r="C148" s="53">
        <v>2.0</v>
      </c>
      <c r="D148" s="53" t="s">
        <v>744</v>
      </c>
      <c r="E148" s="7">
        <v>489.0</v>
      </c>
      <c r="F148" s="53" t="s">
        <v>2537</v>
      </c>
      <c r="G148" s="7"/>
      <c r="H148" s="16">
        <v>1.0</v>
      </c>
      <c r="I148" s="48">
        <v>1.0</v>
      </c>
      <c r="J148" s="39" t="s">
        <v>2547</v>
      </c>
      <c r="K148" s="53"/>
      <c r="L148" s="53"/>
      <c r="M148" s="39" t="str">
        <f t="shared" si="1"/>
        <v>[https://doi.org/10.1287/opre.2.4.393 Dantzig-Fulkerson-Johnson (DFJ) formulation (1954)]</v>
      </c>
      <c r="N148" s="16" t="s">
        <v>2548</v>
      </c>
      <c r="O148" s="84">
        <v>1954.0</v>
      </c>
      <c r="P148" s="96" t="s">
        <v>2549</v>
      </c>
      <c r="Q148" s="82"/>
      <c r="R148" s="82"/>
      <c r="S148" s="82"/>
      <c r="T148" s="16">
        <v>0.0</v>
      </c>
      <c r="U148" s="16">
        <v>0.0</v>
      </c>
      <c r="V148" s="89">
        <f>IFERROR(__xludf.DUMMYFUNCTION("INDEX(SPLIT(SUBSTITUTE(W148,CHAR(10), """"),"",:""), MATCH(Z148, SPLIT(SUBSTITUTE(W148,CHAR(10), """"),"",:""), 0) + 1)"),8.0)</f>
        <v>8</v>
      </c>
      <c r="W148" s="85" t="s">
        <v>2550</v>
      </c>
      <c r="X148" s="16" t="s">
        <v>2551</v>
      </c>
      <c r="Y148" s="53" t="s">
        <v>2542</v>
      </c>
      <c r="Z148" s="53" t="str">
        <f t="array" ref="Z148">INDEX(Problems!J:J, MATCH(1, (Problems!B:B=B148)*1, 0))</f>
        <v>V</v>
      </c>
      <c r="AA148" s="53"/>
      <c r="AB148" s="53"/>
      <c r="AC148" s="53" t="s">
        <v>1813</v>
      </c>
      <c r="AD148" s="53" t="s">
        <v>1814</v>
      </c>
      <c r="AE148" s="85">
        <f>IFERROR(__xludf.DUMMYFUNCTION("INDEX(SPLIT(SUBSTITUTE(AF148,CHAR(10), """"),"",:""), MATCH(Z148, SPLIT(SUBSTITUTE(AF148,CHAR(10), """"),"",:""), 0) + 1)"),8.0)</f>
        <v>8</v>
      </c>
      <c r="AF148" s="85" t="s">
        <v>2540</v>
      </c>
      <c r="AG148" s="53" t="s">
        <v>2552</v>
      </c>
      <c r="AH148" s="91" t="s">
        <v>2553</v>
      </c>
      <c r="AI148" s="84">
        <v>0.0</v>
      </c>
      <c r="AJ148" s="84">
        <v>0.0</v>
      </c>
      <c r="AK148" s="87"/>
      <c r="AL148" s="81">
        <v>0.0</v>
      </c>
      <c r="AM148" s="21"/>
      <c r="AN148" s="48">
        <v>0.0</v>
      </c>
      <c r="AO148" s="90"/>
      <c r="AP148" s="16">
        <v>1.0</v>
      </c>
      <c r="AQ148" s="16">
        <v>0.0</v>
      </c>
      <c r="AR148" s="39"/>
      <c r="AS148" s="81">
        <v>0.0</v>
      </c>
      <c r="AT148" s="81">
        <v>0.0</v>
      </c>
      <c r="AU148" s="39"/>
      <c r="AV148" s="82"/>
      <c r="AW148" s="82"/>
      <c r="AX148" s="82"/>
      <c r="AY148" s="7"/>
      <c r="AZ148" s="7" t="s">
        <v>1781</v>
      </c>
      <c r="BA148" s="82"/>
      <c r="BB148" s="7" t="s">
        <v>1781</v>
      </c>
      <c r="BC148" s="82"/>
      <c r="BD148" s="7" t="s">
        <v>1781</v>
      </c>
      <c r="BE148" s="82"/>
      <c r="BF148" s="82"/>
      <c r="BG148" s="82"/>
      <c r="BH148" s="82"/>
      <c r="BI148" s="82"/>
      <c r="BJ148" s="82"/>
      <c r="BK148" s="82"/>
      <c r="BL148" s="82"/>
      <c r="BM148" s="82"/>
      <c r="BN148" s="7"/>
      <c r="BO148" s="7">
        <v>1.0</v>
      </c>
      <c r="BP148" s="82"/>
      <c r="BQ148" s="7"/>
      <c r="BR148" s="7" t="s">
        <v>23</v>
      </c>
    </row>
    <row r="149">
      <c r="A149" s="16">
        <v>61.0</v>
      </c>
      <c r="B149" s="16" t="s">
        <v>743</v>
      </c>
      <c r="C149" s="53">
        <v>1.0</v>
      </c>
      <c r="D149" s="53" t="s">
        <v>2554</v>
      </c>
      <c r="E149" s="7">
        <v>490.0</v>
      </c>
      <c r="F149" s="53" t="s">
        <v>2555</v>
      </c>
      <c r="G149" s="7"/>
      <c r="H149" s="16">
        <v>1.0</v>
      </c>
      <c r="I149" s="16">
        <v>0.0</v>
      </c>
      <c r="J149" s="48" t="s">
        <v>2556</v>
      </c>
      <c r="K149" s="53"/>
      <c r="L149" s="53"/>
      <c r="M149" s="39" t="str">
        <f t="shared" si="1"/>
        <v>[https://dl.acm.org/doi/10.1145/876638.876640 Barvinok (2003)]</v>
      </c>
      <c r="N149" s="21" t="s">
        <v>2557</v>
      </c>
      <c r="O149" s="81">
        <v>2003.0</v>
      </c>
      <c r="P149" s="25" t="s">
        <v>2558</v>
      </c>
      <c r="Q149" s="82"/>
      <c r="R149" s="82"/>
      <c r="S149" s="82"/>
      <c r="T149" s="16">
        <v>0.0</v>
      </c>
      <c r="U149" s="16">
        <v>0.0</v>
      </c>
      <c r="V149" s="89">
        <f>IFERROR(__xludf.DUMMYFUNCTION("INDEX(SPLIT(SUBSTITUTE(W149,CHAR(10), """"),"",:""), MATCH(Z149, SPLIT(SUBSTITUTE(W149,CHAR(10), """"),"",:""), 0) + 1)"),5.01)</f>
        <v>5.01</v>
      </c>
      <c r="W149" s="85" t="s">
        <v>2559</v>
      </c>
      <c r="X149" s="48" t="s">
        <v>2560</v>
      </c>
      <c r="Y149" s="53" t="s">
        <v>2542</v>
      </c>
      <c r="Z149" s="53" t="str">
        <f t="array" ref="Z149">INDEX(Problems!J:J, MATCH(1, (Problems!B:B=B149)*1, 0))</f>
        <v>V</v>
      </c>
      <c r="AA149" s="86" t="s">
        <v>2558</v>
      </c>
      <c r="AB149" s="53">
        <v>0.0</v>
      </c>
      <c r="AC149" s="53" t="s">
        <v>2152</v>
      </c>
      <c r="AD149" s="53" t="s">
        <v>2561</v>
      </c>
      <c r="AE149" s="85">
        <f>IFERROR(__xludf.DUMMYFUNCTION("INDEX(SPLIT(SUBSTITUTE(AF149,CHAR(10), """"),"",:""), MATCH(Z149, SPLIT(SUBSTITUTE(AF149,CHAR(10), """"),"",:""), 0) + 1)"),3.0)</f>
        <v>3</v>
      </c>
      <c r="AF149" s="85" t="s">
        <v>2534</v>
      </c>
      <c r="AG149" s="53" t="s">
        <v>2562</v>
      </c>
      <c r="AH149" s="53" t="s">
        <v>2563</v>
      </c>
      <c r="AI149" s="84">
        <v>1.0</v>
      </c>
      <c r="AJ149" s="84">
        <v>0.0</v>
      </c>
      <c r="AK149" s="87"/>
      <c r="AL149" s="81">
        <v>0.0</v>
      </c>
      <c r="AM149" s="21"/>
      <c r="AN149" s="16">
        <v>1.0</v>
      </c>
      <c r="AO149" s="21" t="s">
        <v>1182</v>
      </c>
      <c r="AP149" s="16">
        <v>1.0</v>
      </c>
      <c r="AQ149" s="16">
        <v>0.0</v>
      </c>
      <c r="AR149" s="39"/>
      <c r="AS149" s="81">
        <v>0.0</v>
      </c>
      <c r="AT149" s="81">
        <v>0.0</v>
      </c>
      <c r="AU149" s="39"/>
      <c r="AV149" s="82"/>
      <c r="AW149" s="82"/>
      <c r="AX149" s="82"/>
      <c r="AY149" s="7"/>
      <c r="AZ149" s="82"/>
      <c r="BA149" s="82"/>
      <c r="BB149" s="82"/>
      <c r="BC149" s="82"/>
      <c r="BD149" s="82"/>
      <c r="BE149" s="82"/>
      <c r="BF149" s="82"/>
      <c r="BG149" s="82"/>
      <c r="BH149" s="82"/>
      <c r="BI149" s="82"/>
      <c r="BJ149" s="82"/>
      <c r="BK149" s="82"/>
      <c r="BL149" s="82"/>
      <c r="BM149" s="82"/>
      <c r="BN149" s="7"/>
      <c r="BO149" s="7">
        <v>1.0</v>
      </c>
      <c r="BP149" s="82"/>
      <c r="BQ149" s="7"/>
      <c r="BR149" s="7" t="s">
        <v>23</v>
      </c>
    </row>
    <row r="150">
      <c r="A150" s="35">
        <v>93.0</v>
      </c>
      <c r="B150" s="35" t="s">
        <v>984</v>
      </c>
      <c r="C150" s="53">
        <v>1.0</v>
      </c>
      <c r="D150" s="53" t="s">
        <v>985</v>
      </c>
      <c r="E150" s="7">
        <v>718.0</v>
      </c>
      <c r="F150" s="53"/>
      <c r="G150" s="6"/>
      <c r="H150" s="35">
        <v>0.0</v>
      </c>
      <c r="I150" s="98">
        <v>1.0</v>
      </c>
      <c r="J150" s="69" t="s">
        <v>115</v>
      </c>
      <c r="K150" s="99"/>
      <c r="L150" s="133" t="s">
        <v>2564</v>
      </c>
      <c r="M150" s="39" t="str">
        <f t="shared" si="1"/>
        <v>[http://www.bmva.org/bmvc/1988/avc-88-023.pdf Harris and Stephens algorithm (1988)]</v>
      </c>
      <c r="N150" s="35" t="s">
        <v>2565</v>
      </c>
      <c r="O150" s="98">
        <v>1988.0</v>
      </c>
      <c r="P150" s="106" t="s">
        <v>2566</v>
      </c>
      <c r="Q150" s="13"/>
      <c r="R150" s="13"/>
      <c r="S150" s="13"/>
      <c r="T150" s="35">
        <v>1.0</v>
      </c>
      <c r="U150" s="35" t="s">
        <v>2425</v>
      </c>
      <c r="V150" s="89">
        <f>IFERROR(__xludf.DUMMYFUNCTION("INDEX(SPLIT(SUBSTITUTE(W150,CHAR(10), """"),"",:""), MATCH(Z150, SPLIT(SUBSTITUTE(W150,CHAR(10), """"),"",:""), 0) + 1)"),5.0)</f>
        <v>5</v>
      </c>
      <c r="W150" s="102" t="s">
        <v>1938</v>
      </c>
      <c r="X150" s="35" t="s">
        <v>61</v>
      </c>
      <c r="Y150" s="41"/>
      <c r="Z150" s="53" t="str">
        <f t="array" ref="Z150">INDEX(Problems!J:J, MATCH(1, (Problems!B:B=B150)*1, 0))</f>
        <v>n</v>
      </c>
      <c r="AA150" s="41"/>
      <c r="AB150" s="41"/>
      <c r="AC150" s="41"/>
      <c r="AD150" s="41"/>
      <c r="AE150" s="85" t="str">
        <f>IFERROR(__xludf.DUMMYFUNCTION("INDEX(SPLIT(SUBSTITUTE(AF150,CHAR(10), """"),"",:""), MATCH(Z150, SPLIT(SUBSTITUTE(AF150,CHAR(10), """"),"",:""), 0) + 1)"),"#VALUE!")</f>
        <v>#VALUE!</v>
      </c>
      <c r="AF150" s="102"/>
      <c r="AG150" s="41"/>
      <c r="AH150" s="41"/>
      <c r="AI150" s="104"/>
      <c r="AJ150" s="84" t="s">
        <v>2520</v>
      </c>
      <c r="AK150" s="104"/>
      <c r="AL150" s="35">
        <v>0.0</v>
      </c>
      <c r="AM150" s="104"/>
      <c r="AN150" s="35">
        <v>1.0</v>
      </c>
      <c r="AO150" s="110"/>
      <c r="AP150" s="35">
        <v>0.0</v>
      </c>
      <c r="AQ150" s="35">
        <v>0.0</v>
      </c>
      <c r="AR150" s="69"/>
      <c r="AS150" s="98">
        <v>0.0</v>
      </c>
      <c r="AT150" s="98">
        <v>0.0</v>
      </c>
      <c r="AU150" s="100" t="s">
        <v>2567</v>
      </c>
      <c r="AV150" s="13"/>
      <c r="AW150" s="13"/>
      <c r="AX150" s="13"/>
      <c r="AY150" s="13"/>
      <c r="AZ150" s="6"/>
      <c r="BA150" s="6"/>
      <c r="BB150" s="6"/>
      <c r="BC150" s="6"/>
      <c r="BD150" s="6"/>
      <c r="BE150" s="6"/>
      <c r="BF150" s="6">
        <v>1000000.0</v>
      </c>
      <c r="BG150" s="13"/>
      <c r="BH150" s="13"/>
      <c r="BI150" s="13"/>
      <c r="BJ150" s="13"/>
      <c r="BK150" s="13"/>
      <c r="BL150" s="13"/>
      <c r="BM150" s="13"/>
      <c r="BN150" s="6"/>
      <c r="BO150" s="6">
        <v>3.0</v>
      </c>
      <c r="BP150" s="13"/>
      <c r="BQ150" s="13"/>
      <c r="BR150" s="6" t="s">
        <v>196</v>
      </c>
    </row>
    <row r="151">
      <c r="A151" s="35">
        <v>93.0</v>
      </c>
      <c r="B151" s="35" t="s">
        <v>984</v>
      </c>
      <c r="C151" s="53">
        <v>1.0</v>
      </c>
      <c r="D151" s="53" t="s">
        <v>985</v>
      </c>
      <c r="E151" s="7">
        <v>720.0</v>
      </c>
      <c r="F151" s="53"/>
      <c r="G151" s="6"/>
      <c r="H151" s="35">
        <v>0.0</v>
      </c>
      <c r="I151" s="35">
        <v>0.0</v>
      </c>
      <c r="J151" s="69" t="s">
        <v>834</v>
      </c>
      <c r="K151" s="99"/>
      <c r="L151" s="99"/>
      <c r="M151" s="39" t="str">
        <f t="shared" si="1"/>
        <v>[https://www.sciencedirect.com/science/article/abs/pii/0167865582900204 L. Kitchen and A. Rosenfeld (1982)]</v>
      </c>
      <c r="N151" s="35" t="s">
        <v>2568</v>
      </c>
      <c r="O151" s="98">
        <v>1982.0</v>
      </c>
      <c r="P151" s="106" t="s">
        <v>2569</v>
      </c>
      <c r="Q151" s="13"/>
      <c r="R151" s="13"/>
      <c r="S151" s="13"/>
      <c r="T151" s="35">
        <v>0.0</v>
      </c>
      <c r="U151" s="35">
        <v>0.0</v>
      </c>
      <c r="V151" s="89">
        <f>IFERROR(__xludf.DUMMYFUNCTION("INDEX(SPLIT(SUBSTITUTE(W151,CHAR(10), """"),"",:""), MATCH(Z151, SPLIT(SUBSTITUTE(W151,CHAR(10), """"),"",:""), 0) + 1)"),6.0)</f>
        <v>6</v>
      </c>
      <c r="W151" s="102" t="s">
        <v>2008</v>
      </c>
      <c r="X151" s="35" t="s">
        <v>2112</v>
      </c>
      <c r="Y151" s="41" t="s">
        <v>2570</v>
      </c>
      <c r="Z151" s="53" t="str">
        <f t="array" ref="Z151">INDEX(Problems!J:J, MATCH(1, (Problems!B:B=B151)*1, 0))</f>
        <v>n</v>
      </c>
      <c r="AA151" s="41"/>
      <c r="AB151" s="41"/>
      <c r="AC151" s="41"/>
      <c r="AD151" s="41"/>
      <c r="AE151" s="85" t="str">
        <f>IFERROR(__xludf.DUMMYFUNCTION("INDEX(SPLIT(SUBSTITUTE(AF151,CHAR(10), """"),"",:""), MATCH(Z151, SPLIT(SUBSTITUTE(AF151,CHAR(10), """"),"",:""), 0) + 1)"),"#VALUE!")</f>
        <v>#VALUE!</v>
      </c>
      <c r="AF151" s="102"/>
      <c r="AG151" s="41"/>
      <c r="AH151" s="41"/>
      <c r="AI151" s="104"/>
      <c r="AJ151" s="84" t="s">
        <v>2520</v>
      </c>
      <c r="AK151" s="104"/>
      <c r="AL151" s="35">
        <v>0.0</v>
      </c>
      <c r="AM151" s="104"/>
      <c r="AN151" s="35">
        <v>1.0</v>
      </c>
      <c r="AO151" s="110"/>
      <c r="AP151" s="35">
        <v>0.0</v>
      </c>
      <c r="AQ151" s="35">
        <v>0.0</v>
      </c>
      <c r="AR151" s="69"/>
      <c r="AS151" s="98">
        <v>0.0</v>
      </c>
      <c r="AT151" s="98">
        <v>0.0</v>
      </c>
      <c r="AU151" s="69"/>
      <c r="AV151" s="13"/>
      <c r="AW151" s="13"/>
      <c r="AX151" s="13"/>
      <c r="AY151" s="13"/>
      <c r="AZ151" s="122"/>
      <c r="BA151" s="122"/>
      <c r="BB151" s="122"/>
      <c r="BC151" s="122"/>
      <c r="BD151" s="122"/>
      <c r="BE151" s="122"/>
      <c r="BF151" s="122">
        <v>1.0E9</v>
      </c>
      <c r="BG151" s="13"/>
      <c r="BH151" s="13"/>
      <c r="BI151" s="13"/>
      <c r="BJ151" s="13"/>
      <c r="BK151" s="13"/>
      <c r="BL151" s="13"/>
      <c r="BM151" s="13"/>
      <c r="BN151" s="6"/>
      <c r="BO151" s="6">
        <v>3.0</v>
      </c>
      <c r="BP151" s="13"/>
      <c r="BQ151" s="13"/>
      <c r="BR151" s="6" t="s">
        <v>196</v>
      </c>
    </row>
    <row r="152">
      <c r="A152" s="35">
        <v>93.0</v>
      </c>
      <c r="B152" s="35" t="s">
        <v>984</v>
      </c>
      <c r="C152" s="53">
        <v>1.0</v>
      </c>
      <c r="D152" s="53" t="s">
        <v>985</v>
      </c>
      <c r="E152" s="7">
        <v>729.0</v>
      </c>
      <c r="F152" s="53"/>
      <c r="G152" s="6"/>
      <c r="H152" s="35">
        <v>0.0</v>
      </c>
      <c r="I152" s="35">
        <v>0.0</v>
      </c>
      <c r="J152" s="69" t="s">
        <v>834</v>
      </c>
      <c r="K152" s="99"/>
      <c r="L152" s="133" t="s">
        <v>2571</v>
      </c>
      <c r="M152" s="39" t="str">
        <f t="shared" si="1"/>
        <v>[ The SUSAN corner detector (1997)]</v>
      </c>
      <c r="N152" s="35" t="s">
        <v>2572</v>
      </c>
      <c r="O152" s="98">
        <v>1997.0</v>
      </c>
      <c r="P152" s="69"/>
      <c r="Q152" s="13"/>
      <c r="R152" s="13"/>
      <c r="S152" s="13"/>
      <c r="T152" s="35">
        <v>0.0</v>
      </c>
      <c r="U152" s="35">
        <v>0.0</v>
      </c>
      <c r="V152" s="89">
        <f>IFERROR(__xludf.DUMMYFUNCTION("INDEX(SPLIT(SUBSTITUTE(W152,CHAR(10), """"),"",:""), MATCH(Z152, SPLIT(SUBSTITUTE(W152,CHAR(10), """"),"",:""), 0) + 1)"),6.0)</f>
        <v>6</v>
      </c>
      <c r="W152" s="102" t="s">
        <v>2008</v>
      </c>
      <c r="X152" s="35" t="s">
        <v>2112</v>
      </c>
      <c r="Y152" s="41"/>
      <c r="Z152" s="53" t="str">
        <f t="array" ref="Z152">INDEX(Problems!J:J, MATCH(1, (Problems!B:B=B152)*1, 0))</f>
        <v>n</v>
      </c>
      <c r="AA152" s="41"/>
      <c r="AB152" s="41"/>
      <c r="AC152" s="41"/>
      <c r="AD152" s="41"/>
      <c r="AE152" s="85" t="str">
        <f>IFERROR(__xludf.DUMMYFUNCTION("INDEX(SPLIT(SUBSTITUTE(AF152,CHAR(10), """"),"",:""), MATCH(Z152, SPLIT(SUBSTITUTE(AF152,CHAR(10), """"),"",:""), 0) + 1)"),"#VALUE!")</f>
        <v>#VALUE!</v>
      </c>
      <c r="AF152" s="102"/>
      <c r="AG152" s="41"/>
      <c r="AH152" s="41"/>
      <c r="AI152" s="104"/>
      <c r="AJ152" s="84" t="s">
        <v>2520</v>
      </c>
      <c r="AK152" s="104"/>
      <c r="AL152" s="35">
        <v>0.0</v>
      </c>
      <c r="AM152" s="104"/>
      <c r="AN152" s="35">
        <v>1.0</v>
      </c>
      <c r="AO152" s="110"/>
      <c r="AP152" s="35">
        <v>0.0</v>
      </c>
      <c r="AQ152" s="35">
        <v>0.0</v>
      </c>
      <c r="AR152" s="69"/>
      <c r="AS152" s="98">
        <v>0.0</v>
      </c>
      <c r="AT152" s="98">
        <v>0.0</v>
      </c>
      <c r="AU152" s="69"/>
      <c r="AV152" s="13"/>
      <c r="AW152" s="13"/>
      <c r="AX152" s="13"/>
      <c r="AY152" s="13"/>
      <c r="AZ152" s="6"/>
      <c r="BA152" s="6"/>
      <c r="BB152" s="6"/>
      <c r="BC152" s="6"/>
      <c r="BD152" s="6"/>
      <c r="BE152" s="6"/>
      <c r="BF152" s="6">
        <v>1.0E9</v>
      </c>
      <c r="BG152" s="13"/>
      <c r="BH152" s="13"/>
      <c r="BI152" s="13"/>
      <c r="BJ152" s="13"/>
      <c r="BK152" s="13"/>
      <c r="BL152" s="13"/>
      <c r="BM152" s="13"/>
      <c r="BN152" s="6"/>
      <c r="BO152" s="6">
        <v>3.0</v>
      </c>
      <c r="BP152" s="13"/>
      <c r="BQ152" s="13"/>
      <c r="BR152" s="6" t="s">
        <v>196</v>
      </c>
    </row>
    <row r="153">
      <c r="A153" s="35">
        <v>98.0</v>
      </c>
      <c r="B153" s="35" t="s">
        <v>1002</v>
      </c>
      <c r="C153" s="53">
        <v>1.0</v>
      </c>
      <c r="D153" s="53" t="s">
        <v>1004</v>
      </c>
      <c r="E153" s="7">
        <v>767.0</v>
      </c>
      <c r="F153" s="53"/>
      <c r="G153" s="6"/>
      <c r="H153" s="35">
        <v>1.0</v>
      </c>
      <c r="I153" s="35">
        <v>0.0</v>
      </c>
      <c r="J153" s="104" t="s">
        <v>2573</v>
      </c>
      <c r="K153" s="99"/>
      <c r="L153" s="99"/>
      <c r="M153" s="39" t="str">
        <f t="shared" si="1"/>
        <v>[https://www.jstor.org/stable/3689577#metadata_info_tab_contents Chvatal greedy heuristic (1979)]</v>
      </c>
      <c r="N153" s="35" t="s">
        <v>2574</v>
      </c>
      <c r="O153" s="98">
        <v>1979.0</v>
      </c>
      <c r="P153" s="106" t="s">
        <v>2575</v>
      </c>
      <c r="Q153" s="13"/>
      <c r="R153" s="13"/>
      <c r="S153" s="13"/>
      <c r="T153" s="35">
        <v>1.0</v>
      </c>
      <c r="U153" s="35">
        <v>0.0</v>
      </c>
      <c r="V153" s="89">
        <f>IFERROR(__xludf.DUMMYFUNCTION("INDEX(SPLIT(SUBSTITUTE(W153,CHAR(10), """"),"",:""), MATCH(Z153, SPLIT(SUBSTITUTE(W153,CHAR(10), """"),"",:""), 0) + 1)"),5.0)</f>
        <v>5</v>
      </c>
      <c r="W153" s="102" t="s">
        <v>2576</v>
      </c>
      <c r="X153" s="104" t="s">
        <v>2577</v>
      </c>
      <c r="Y153" s="41" t="s">
        <v>2578</v>
      </c>
      <c r="Z153" s="53" t="str">
        <f t="array" ref="Z153">INDEX(Problems!J:J, MATCH(1, (Problems!B:B=B153)*1, 0))</f>
        <v>n</v>
      </c>
      <c r="AA153" s="41"/>
      <c r="AB153" s="41"/>
      <c r="AC153" s="41"/>
      <c r="AD153" s="41"/>
      <c r="AE153" s="85">
        <f>IFERROR(__xludf.DUMMYFUNCTION("INDEX(SPLIT(SUBSTITUTE(AF153,CHAR(10), """"),"",:""), MATCH(Z153, SPLIT(SUBSTITUTE(AF153,CHAR(10), """"),"",:""), 0) + 1)"),5.0)</f>
        <v>5</v>
      </c>
      <c r="AF153" s="102" t="s">
        <v>2579</v>
      </c>
      <c r="AG153" s="41" t="s">
        <v>2580</v>
      </c>
      <c r="AH153" s="41" t="s">
        <v>2581</v>
      </c>
      <c r="AI153" s="104">
        <v>1.0</v>
      </c>
      <c r="AJ153" s="84">
        <v>0.0</v>
      </c>
      <c r="AK153" s="104"/>
      <c r="AL153" s="35">
        <v>0.0</v>
      </c>
      <c r="AM153" s="104"/>
      <c r="AN153" s="35">
        <v>1.0</v>
      </c>
      <c r="AO153" s="134" t="s">
        <v>2582</v>
      </c>
      <c r="AP153" s="35">
        <v>1.0</v>
      </c>
      <c r="AQ153" s="35">
        <v>0.0</v>
      </c>
      <c r="AR153" s="69"/>
      <c r="AS153" s="98">
        <v>0.0</v>
      </c>
      <c r="AT153" s="98">
        <v>0.0</v>
      </c>
      <c r="AU153" s="106" t="s">
        <v>2583</v>
      </c>
      <c r="AV153" s="13"/>
      <c r="AW153" s="13"/>
      <c r="AX153" s="13"/>
      <c r="AY153" s="13"/>
      <c r="AZ153" s="13"/>
      <c r="BA153" s="13"/>
      <c r="BB153" s="13"/>
      <c r="BC153" s="13"/>
      <c r="BD153" s="13"/>
      <c r="BE153" s="13"/>
      <c r="BF153" s="13"/>
      <c r="BG153" s="13"/>
      <c r="BH153" s="13"/>
      <c r="BI153" s="13"/>
      <c r="BJ153" s="13"/>
      <c r="BK153" s="13"/>
      <c r="BL153" s="13"/>
      <c r="BM153" s="13"/>
      <c r="BN153" s="6"/>
      <c r="BO153" s="6">
        <v>1.0</v>
      </c>
      <c r="BP153" s="13"/>
      <c r="BQ153" s="13"/>
      <c r="BR153" s="6" t="s">
        <v>23</v>
      </c>
    </row>
    <row r="154">
      <c r="A154" s="35">
        <v>98.0</v>
      </c>
      <c r="B154" s="35" t="s">
        <v>1002</v>
      </c>
      <c r="C154" s="53">
        <v>0.001</v>
      </c>
      <c r="D154" s="53" t="s">
        <v>1003</v>
      </c>
      <c r="E154" s="7">
        <v>772.0</v>
      </c>
      <c r="F154" s="53"/>
      <c r="G154" s="6"/>
      <c r="H154" s="35">
        <v>1.0</v>
      </c>
      <c r="I154" s="35">
        <v>0.0</v>
      </c>
      <c r="J154" s="69" t="s">
        <v>1788</v>
      </c>
      <c r="K154" s="99"/>
      <c r="L154" s="99"/>
      <c r="M154" s="39" t="str">
        <f t="shared" si="1"/>
        <v>[https://dl.acm.org/doi/pdf/10.1145/1150334.1150336 Alon; Moshkovitz &amp; Safra (2006)]</v>
      </c>
      <c r="N154" s="35" t="s">
        <v>2584</v>
      </c>
      <c r="O154" s="98">
        <v>2006.0</v>
      </c>
      <c r="P154" s="135" t="s">
        <v>2585</v>
      </c>
      <c r="Q154" s="13"/>
      <c r="R154" s="13"/>
      <c r="S154" s="13"/>
      <c r="T154" s="35">
        <v>1.0</v>
      </c>
      <c r="U154" s="35" t="s">
        <v>1952</v>
      </c>
      <c r="V154" s="89">
        <f>IFERROR(__xludf.DUMMYFUNCTION("INDEX(SPLIT(SUBSTITUTE(W154,CHAR(10), """"),"",:""), MATCH(Z154, SPLIT(SUBSTITUTE(W154,CHAR(10), """"),"",:""), 0) + 1)"),4.0)</f>
        <v>4</v>
      </c>
      <c r="W154" s="102" t="s">
        <v>1791</v>
      </c>
      <c r="X154" s="35" t="s">
        <v>2586</v>
      </c>
      <c r="Y154" s="41" t="s">
        <v>2587</v>
      </c>
      <c r="Z154" s="53" t="str">
        <f t="array" ref="Z154">INDEX(Problems!J:J, MATCH(1, (Problems!B:B=B154)*1, 0))</f>
        <v>n</v>
      </c>
      <c r="AA154" s="41"/>
      <c r="AB154" s="41"/>
      <c r="AC154" s="41"/>
      <c r="AD154" s="41"/>
      <c r="AE154" s="85" t="str">
        <f>IFERROR(__xludf.DUMMYFUNCTION("INDEX(SPLIT(SUBSTITUTE(AF154,CHAR(10), """"),"",:""), MATCH(Z154, SPLIT(SUBSTITUTE(AF154,CHAR(10), """"),"",:""), 0) + 1)"),"#VALUE!")</f>
        <v>#VALUE!</v>
      </c>
      <c r="AF154" s="102"/>
      <c r="AG154" s="41"/>
      <c r="AH154" s="41"/>
      <c r="AI154" s="104"/>
      <c r="AJ154" s="84" t="s">
        <v>2520</v>
      </c>
      <c r="AK154" s="104"/>
      <c r="AL154" s="35">
        <v>0.0</v>
      </c>
      <c r="AM154" s="104"/>
      <c r="AN154" s="35">
        <v>1.0</v>
      </c>
      <c r="AO154" s="110"/>
      <c r="AP154" s="35">
        <v>0.0</v>
      </c>
      <c r="AQ154" s="35">
        <v>0.0</v>
      </c>
      <c r="AR154" s="69"/>
      <c r="AS154" s="98">
        <v>0.0</v>
      </c>
      <c r="AT154" s="98">
        <v>0.0</v>
      </c>
      <c r="AU154" s="69"/>
      <c r="AV154" s="13"/>
      <c r="AW154" s="13"/>
      <c r="AX154" s="13"/>
      <c r="AY154" s="13"/>
      <c r="AZ154" s="6"/>
      <c r="BA154" s="6"/>
      <c r="BB154" s="6"/>
      <c r="BC154" s="6"/>
      <c r="BD154" s="6"/>
      <c r="BE154" s="6"/>
      <c r="BF154" s="6"/>
      <c r="BG154" s="13"/>
      <c r="BH154" s="13"/>
      <c r="BI154" s="13"/>
      <c r="BJ154" s="13"/>
      <c r="BK154" s="13"/>
      <c r="BL154" s="13"/>
      <c r="BM154" s="13"/>
      <c r="BN154" s="6"/>
      <c r="BO154" s="6">
        <v>1.0</v>
      </c>
      <c r="BP154" s="13"/>
      <c r="BQ154" s="13"/>
      <c r="BR154" s="6" t="s">
        <v>23</v>
      </c>
    </row>
    <row r="155">
      <c r="A155" s="35">
        <v>99.0</v>
      </c>
      <c r="B155" s="35" t="s">
        <v>1012</v>
      </c>
      <c r="C155" s="53">
        <v>1.0</v>
      </c>
      <c r="D155" s="53" t="s">
        <v>1012</v>
      </c>
      <c r="E155" s="7">
        <v>786.0</v>
      </c>
      <c r="F155" s="53"/>
      <c r="G155" s="6"/>
      <c r="H155" s="35">
        <v>1.0</v>
      </c>
      <c r="I155" s="98">
        <v>0.0</v>
      </c>
      <c r="J155" s="50" t="s">
        <v>1873</v>
      </c>
      <c r="K155" s="99"/>
      <c r="L155" s="99"/>
      <c r="M155" s="39" t="str">
        <f t="shared" si="1"/>
        <v>[https://www.ncbi.nlm.nih.gov/pubmed/9788350 Roth AlignACE (1998)]</v>
      </c>
      <c r="N155" s="35" t="s">
        <v>2588</v>
      </c>
      <c r="O155" s="98">
        <v>1998.0</v>
      </c>
      <c r="P155" s="100" t="s">
        <v>2589</v>
      </c>
      <c r="Q155" s="13"/>
      <c r="R155" s="13"/>
      <c r="S155" s="13"/>
      <c r="T155" s="35">
        <v>0.0</v>
      </c>
      <c r="U155" s="35">
        <v>0.0</v>
      </c>
      <c r="V155" s="89">
        <f>IFERROR(__xludf.DUMMYFUNCTION("INDEX(SPLIT(SUBSTITUTE(W155,CHAR(10), """"),"",:""), MATCH(Z155, SPLIT(SUBSTITUTE(W155,CHAR(10), """"),"",:""), 0) + 1)"),3.0)</f>
        <v>3</v>
      </c>
      <c r="W155" s="136" t="s">
        <v>1876</v>
      </c>
      <c r="X155" s="50" t="s">
        <v>2590</v>
      </c>
      <c r="Y155" s="41" t="s">
        <v>1877</v>
      </c>
      <c r="Z155" s="53" t="str">
        <f t="array" ref="Z155">INDEX(Problems!J:J, MATCH(1, (Problems!B:B=B155)*1, 0))</f>
        <v>mn</v>
      </c>
      <c r="AA155" s="41"/>
      <c r="AB155" s="41"/>
      <c r="AC155" s="53" t="s">
        <v>1813</v>
      </c>
      <c r="AD155" s="53" t="s">
        <v>1814</v>
      </c>
      <c r="AE155" s="85">
        <f>IFERROR(__xludf.DUMMYFUNCTION("INDEX(SPLIT(SUBSTITUTE(AF155,CHAR(10), """"),"",:""), MATCH(Z155, SPLIT(SUBSTITUTE(AF155,CHAR(10), """"),"",:""), 0) + 1)"),2.0)</f>
        <v>2</v>
      </c>
      <c r="AF155" s="102" t="s">
        <v>2591</v>
      </c>
      <c r="AG155" s="41" t="s">
        <v>1883</v>
      </c>
      <c r="AH155" s="41" t="s">
        <v>1887</v>
      </c>
      <c r="AI155" s="104">
        <v>1.0</v>
      </c>
      <c r="AJ155" s="84">
        <v>0.0</v>
      </c>
      <c r="AK155" s="104"/>
      <c r="AL155" s="35">
        <v>0.0</v>
      </c>
      <c r="AM155" s="105"/>
      <c r="AN155" s="98">
        <v>1.0</v>
      </c>
      <c r="AO155" s="101"/>
      <c r="AP155" s="35">
        <v>0.0</v>
      </c>
      <c r="AQ155" s="35">
        <v>0.0</v>
      </c>
      <c r="AR155" s="69"/>
      <c r="AS155" s="98">
        <v>0.0</v>
      </c>
      <c r="AT155" s="98">
        <v>0.0</v>
      </c>
      <c r="AU155" s="106" t="s">
        <v>1878</v>
      </c>
      <c r="AV155" s="13"/>
      <c r="AW155" s="13"/>
      <c r="AX155" s="13"/>
      <c r="AY155" s="13"/>
      <c r="AZ155" s="13"/>
      <c r="BA155" s="13"/>
      <c r="BB155" s="13"/>
      <c r="BC155" s="13"/>
      <c r="BD155" s="13"/>
      <c r="BE155" s="13"/>
      <c r="BF155" s="13"/>
      <c r="BG155" s="13"/>
      <c r="BH155" s="13"/>
      <c r="BI155" s="13"/>
      <c r="BJ155" s="13"/>
      <c r="BK155" s="13"/>
      <c r="BL155" s="13"/>
      <c r="BM155" s="13"/>
      <c r="BN155" s="6"/>
      <c r="BO155" s="6">
        <v>4.0</v>
      </c>
      <c r="BP155" s="13"/>
      <c r="BQ155" s="13"/>
      <c r="BR155" s="6" t="s">
        <v>433</v>
      </c>
    </row>
    <row r="156">
      <c r="A156" s="35">
        <v>102.0</v>
      </c>
      <c r="B156" s="35" t="s">
        <v>1028</v>
      </c>
      <c r="C156" s="53">
        <v>1.0</v>
      </c>
      <c r="D156" s="53" t="s">
        <v>1028</v>
      </c>
      <c r="E156" s="7">
        <v>804.0</v>
      </c>
      <c r="F156" s="53"/>
      <c r="G156" s="6"/>
      <c r="H156" s="35">
        <v>0.0</v>
      </c>
      <c r="I156" s="35">
        <v>0.0</v>
      </c>
      <c r="J156" s="137" t="s">
        <v>2592</v>
      </c>
      <c r="K156" s="99"/>
      <c r="L156" s="99"/>
      <c r="M156" s="39" t="str">
        <f t="shared" si="1"/>
        <v>[ Petro Vlahos Algorithm (1985)]</v>
      </c>
      <c r="N156" s="35" t="s">
        <v>2593</v>
      </c>
      <c r="O156" s="98">
        <v>1985.0</v>
      </c>
      <c r="P156" s="69"/>
      <c r="Q156" s="13"/>
      <c r="R156" s="13"/>
      <c r="S156" s="13"/>
      <c r="T156" s="35">
        <v>1.0</v>
      </c>
      <c r="U156" s="35">
        <v>0.0</v>
      </c>
      <c r="V156" s="89">
        <f>IFERROR(__xludf.DUMMYFUNCTION("INDEX(SPLIT(SUBSTITUTE(W156,CHAR(10), """"),"",:""), MATCH(Z156, SPLIT(SUBSTITUTE(W156,CHAR(10), """"),"",:""), 0) + 1)"),5.0)</f>
        <v>5</v>
      </c>
      <c r="W156" s="102" t="s">
        <v>2190</v>
      </c>
      <c r="X156" s="138" t="s">
        <v>2594</v>
      </c>
      <c r="Y156" s="41" t="s">
        <v>2595</v>
      </c>
      <c r="Z156" s="53" t="str">
        <f t="array" ref="Z156">INDEX(Problems!J:J, MATCH(1, (Problems!B:B=B156)*1, 0))</f>
        <v>n</v>
      </c>
      <c r="AA156" s="41"/>
      <c r="AB156" s="41"/>
      <c r="AC156" s="53" t="s">
        <v>2337</v>
      </c>
      <c r="AD156" s="53" t="s">
        <v>1814</v>
      </c>
      <c r="AE156" s="85">
        <f>IFERROR(__xludf.DUMMYFUNCTION("INDEX(SPLIT(SUBSTITUTE(AF156,CHAR(10), """"),"",:""), MATCH(Z156, SPLIT(SUBSTITUTE(AF156,CHAR(10), """"),"",:""), 0) + 1)"),3.0)</f>
        <v>3</v>
      </c>
      <c r="AF156" s="102" t="s">
        <v>1975</v>
      </c>
      <c r="AG156" s="41" t="s">
        <v>2596</v>
      </c>
      <c r="AH156" s="41" t="s">
        <v>2597</v>
      </c>
      <c r="AI156" s="104">
        <v>1.0</v>
      </c>
      <c r="AJ156" s="84">
        <v>0.0</v>
      </c>
      <c r="AK156" s="104"/>
      <c r="AL156" s="35">
        <v>0.0</v>
      </c>
      <c r="AM156" s="104"/>
      <c r="AN156" s="35">
        <v>1.0</v>
      </c>
      <c r="AO156" s="110"/>
      <c r="AP156" s="35">
        <v>0.0</v>
      </c>
      <c r="AQ156" s="35">
        <v>0.0</v>
      </c>
      <c r="AR156" s="69"/>
      <c r="AS156" s="98">
        <v>0.0</v>
      </c>
      <c r="AT156" s="98">
        <v>0.0</v>
      </c>
      <c r="AU156" s="69"/>
      <c r="AV156" s="13"/>
      <c r="AW156" s="13"/>
      <c r="AX156" s="13"/>
      <c r="AY156" s="13"/>
      <c r="AZ156" s="13"/>
      <c r="BA156" s="13"/>
      <c r="BB156" s="13"/>
      <c r="BC156" s="13"/>
      <c r="BD156" s="13"/>
      <c r="BE156" s="13"/>
      <c r="BF156" s="13"/>
      <c r="BG156" s="13"/>
      <c r="BH156" s="13"/>
      <c r="BI156" s="13"/>
      <c r="BJ156" s="13"/>
      <c r="BK156" s="13"/>
      <c r="BL156" s="13"/>
      <c r="BM156" s="13"/>
      <c r="BN156" s="6"/>
      <c r="BO156" s="6">
        <v>4.0</v>
      </c>
      <c r="BP156" s="13"/>
      <c r="BQ156" s="13"/>
      <c r="BR156" s="6" t="s">
        <v>196</v>
      </c>
    </row>
    <row r="157">
      <c r="A157" s="35">
        <v>103.1</v>
      </c>
      <c r="B157" s="35" t="s">
        <v>1031</v>
      </c>
      <c r="C157" s="53">
        <v>1.0</v>
      </c>
      <c r="D157" s="53" t="s">
        <v>1031</v>
      </c>
      <c r="E157" s="7">
        <v>808.0</v>
      </c>
      <c r="F157" s="53"/>
      <c r="G157" s="6"/>
      <c r="H157" s="35">
        <v>0.0</v>
      </c>
      <c r="I157" s="35">
        <v>0.0</v>
      </c>
      <c r="J157" s="69" t="s">
        <v>834</v>
      </c>
      <c r="K157" s="99"/>
      <c r="L157" s="99"/>
      <c r="M157" s="39" t="str">
        <f t="shared" si="1"/>
        <v>[https://ieeexplore.ieee.org/abstract/document/790383 non-parametric sampling Efros and Leung (1999)]</v>
      </c>
      <c r="N157" s="35" t="s">
        <v>2598</v>
      </c>
      <c r="O157" s="98">
        <v>1999.0</v>
      </c>
      <c r="P157" s="106" t="s">
        <v>2599</v>
      </c>
      <c r="Q157" s="13"/>
      <c r="R157" s="13"/>
      <c r="S157" s="13"/>
      <c r="T157" s="35">
        <v>0.0</v>
      </c>
      <c r="U157" s="35">
        <v>0.0</v>
      </c>
      <c r="V157" s="89">
        <f>IFERROR(__xludf.DUMMYFUNCTION("INDEX(SPLIT(SUBSTITUTE(W157,CHAR(10), """"),"",:""), MATCH(Z157, SPLIT(SUBSTITUTE(W157,CHAR(10), """"),"",:""), 0) + 1)"),6.0)</f>
        <v>6</v>
      </c>
      <c r="W157" s="102" t="s">
        <v>2008</v>
      </c>
      <c r="X157" s="35" t="s">
        <v>2112</v>
      </c>
      <c r="Y157" s="41" t="s">
        <v>2600</v>
      </c>
      <c r="Z157" s="53" t="str">
        <f t="array" ref="Z157">INDEX(Problems!J:J, MATCH(1, (Problems!B:B=B157)*1, 0))</f>
        <v>n</v>
      </c>
      <c r="AA157" s="41"/>
      <c r="AB157" s="41"/>
      <c r="AC157" s="41"/>
      <c r="AD157" s="41"/>
      <c r="AE157" s="85" t="str">
        <f>IFERROR(__xludf.DUMMYFUNCTION("INDEX(SPLIT(SUBSTITUTE(AF157,CHAR(10), """"),"",:""), MATCH(Z157, SPLIT(SUBSTITUTE(AF157,CHAR(10), """"),"",:""), 0) + 1)"),"#VALUE!")</f>
        <v>#VALUE!</v>
      </c>
      <c r="AF157" s="102"/>
      <c r="AG157" s="41"/>
      <c r="AH157" s="41"/>
      <c r="AI157" s="104"/>
      <c r="AJ157" s="84" t="s">
        <v>2520</v>
      </c>
      <c r="AK157" s="104"/>
      <c r="AL157" s="35">
        <v>0.0</v>
      </c>
      <c r="AM157" s="104"/>
      <c r="AN157" s="35">
        <v>1.0</v>
      </c>
      <c r="AO157" s="110"/>
      <c r="AP157" s="35">
        <v>0.0</v>
      </c>
      <c r="AQ157" s="35">
        <v>0.0</v>
      </c>
      <c r="AR157" s="69"/>
      <c r="AS157" s="98">
        <v>0.0</v>
      </c>
      <c r="AT157" s="98">
        <v>0.0</v>
      </c>
      <c r="AU157" s="69"/>
      <c r="AV157" s="13"/>
      <c r="AW157" s="13"/>
      <c r="AX157" s="13"/>
      <c r="AY157" s="13"/>
      <c r="AZ157" s="6"/>
      <c r="BA157" s="6"/>
      <c r="BB157" s="6"/>
      <c r="BC157" s="6"/>
      <c r="BD157" s="6"/>
      <c r="BE157" s="6"/>
      <c r="BF157" s="6">
        <v>1.0E9</v>
      </c>
      <c r="BG157" s="13"/>
      <c r="BH157" s="13"/>
      <c r="BI157" s="13"/>
      <c r="BJ157" s="13"/>
      <c r="BK157" s="13"/>
      <c r="BL157" s="13"/>
      <c r="BM157" s="13"/>
      <c r="BN157" s="6"/>
      <c r="BO157" s="6">
        <v>3.0</v>
      </c>
      <c r="BP157" s="13"/>
      <c r="BQ157" s="13"/>
      <c r="BR157" s="6" t="s">
        <v>196</v>
      </c>
    </row>
    <row r="158">
      <c r="A158" s="35">
        <v>103.1</v>
      </c>
      <c r="B158" s="35" t="s">
        <v>1031</v>
      </c>
      <c r="C158" s="53">
        <v>1.0</v>
      </c>
      <c r="D158" s="53" t="s">
        <v>1031</v>
      </c>
      <c r="E158" s="7">
        <v>810.0</v>
      </c>
      <c r="F158" s="53"/>
      <c r="G158" s="6"/>
      <c r="H158" s="35">
        <v>0.0</v>
      </c>
      <c r="I158" s="35">
        <v>0.0</v>
      </c>
      <c r="J158" s="104" t="s">
        <v>2601</v>
      </c>
      <c r="K158" s="99"/>
      <c r="L158" s="99"/>
      <c r="M158" s="39" t="str">
        <f t="shared" si="1"/>
        <v>[https://dl.acm.org/doi/abs/10.1145/383259.383295 image analogies Hertzmann (2001)]</v>
      </c>
      <c r="N158" s="35" t="s">
        <v>2602</v>
      </c>
      <c r="O158" s="98">
        <v>2001.0</v>
      </c>
      <c r="P158" s="106" t="s">
        <v>2603</v>
      </c>
      <c r="Q158" s="13"/>
      <c r="R158" s="13"/>
      <c r="S158" s="13"/>
      <c r="T158" s="35">
        <v>0.0</v>
      </c>
      <c r="U158" s="35">
        <v>0.0</v>
      </c>
      <c r="V158" s="89">
        <f>IFERROR(__xludf.DUMMYFUNCTION("INDEX(SPLIT(SUBSTITUTE(W158,CHAR(10), """"),"",:""), MATCH(Z158, SPLIT(SUBSTITUTE(W158,CHAR(10), """"),"",:""), 0) + 1)"),3.0)</f>
        <v>3</v>
      </c>
      <c r="W158" s="102" t="s">
        <v>2604</v>
      </c>
      <c r="X158" s="104" t="s">
        <v>2605</v>
      </c>
      <c r="Y158" s="41" t="s">
        <v>2606</v>
      </c>
      <c r="Z158" s="53" t="str">
        <f t="array" ref="Z158">INDEX(Problems!J:J, MATCH(1, (Problems!B:B=B158)*1, 0))</f>
        <v>n</v>
      </c>
      <c r="AA158" s="41"/>
      <c r="AB158" s="41"/>
      <c r="AC158" s="41"/>
      <c r="AD158" s="41"/>
      <c r="AE158" s="85" t="str">
        <f>IFERROR(__xludf.DUMMYFUNCTION("INDEX(SPLIT(SUBSTITUTE(AF158,CHAR(10), """"),"",:""), MATCH(Z158, SPLIT(SUBSTITUTE(AF158,CHAR(10), """"),"",:""), 0) + 1)"),"#VALUE!")</f>
        <v>#VALUE!</v>
      </c>
      <c r="AF158" s="102"/>
      <c r="AG158" s="41"/>
      <c r="AH158" s="41"/>
      <c r="AI158" s="104"/>
      <c r="AJ158" s="84" t="s">
        <v>2520</v>
      </c>
      <c r="AK158" s="104"/>
      <c r="AL158" s="35">
        <v>0.0</v>
      </c>
      <c r="AM158" s="104"/>
      <c r="AN158" s="35">
        <v>1.0</v>
      </c>
      <c r="AO158" s="110"/>
      <c r="AP158" s="35">
        <v>0.0</v>
      </c>
      <c r="AQ158" s="35">
        <v>0.0</v>
      </c>
      <c r="AR158" s="69"/>
      <c r="AS158" s="98">
        <v>0.0</v>
      </c>
      <c r="AT158" s="98">
        <v>0.0</v>
      </c>
      <c r="AU158" s="69"/>
      <c r="AV158" s="13"/>
      <c r="AW158" s="13"/>
      <c r="AX158" s="13"/>
      <c r="AY158" s="13"/>
      <c r="AZ158" s="6"/>
      <c r="BA158" s="6"/>
      <c r="BB158" s="6"/>
      <c r="BC158" s="6"/>
      <c r="BD158" s="6"/>
      <c r="BE158" s="6"/>
      <c r="BF158" s="6">
        <v>1.0E9</v>
      </c>
      <c r="BG158" s="13"/>
      <c r="BH158" s="13"/>
      <c r="BI158" s="13"/>
      <c r="BJ158" s="13"/>
      <c r="BK158" s="13"/>
      <c r="BL158" s="13"/>
      <c r="BM158" s="13"/>
      <c r="BN158" s="6"/>
      <c r="BO158" s="6">
        <v>3.0</v>
      </c>
      <c r="BP158" s="13"/>
      <c r="BQ158" s="13"/>
      <c r="BR158" s="6" t="s">
        <v>196</v>
      </c>
    </row>
    <row r="159">
      <c r="A159" s="35">
        <v>103.1</v>
      </c>
      <c r="B159" s="35" t="s">
        <v>1031</v>
      </c>
      <c r="C159" s="53">
        <v>1.0</v>
      </c>
      <c r="D159" s="53" t="s">
        <v>1031</v>
      </c>
      <c r="E159" s="7">
        <v>811.0</v>
      </c>
      <c r="F159" s="53"/>
      <c r="G159" s="6"/>
      <c r="H159" s="35">
        <v>0.0</v>
      </c>
      <c r="I159" s="35">
        <v>0.0</v>
      </c>
      <c r="J159" s="69" t="s">
        <v>834</v>
      </c>
      <c r="K159" s="99"/>
      <c r="L159" s="99"/>
      <c r="M159" s="39" t="str">
        <f t="shared" si="1"/>
        <v>[https://ieeexplore.ieee.org/abstract/document/679446 R. Paget ; I.D. Longstaff (1998)]</v>
      </c>
      <c r="N159" s="35" t="s">
        <v>2607</v>
      </c>
      <c r="O159" s="111">
        <v>1998.0</v>
      </c>
      <c r="P159" s="106" t="s">
        <v>2608</v>
      </c>
      <c r="Q159" s="13"/>
      <c r="R159" s="13"/>
      <c r="S159" s="13"/>
      <c r="T159" s="35">
        <v>1.0</v>
      </c>
      <c r="U159" s="35">
        <v>0.0</v>
      </c>
      <c r="V159" s="89">
        <f>IFERROR(__xludf.DUMMYFUNCTION("INDEX(SPLIT(SUBSTITUTE(W159,CHAR(10), """"),"",:""), MATCH(Z159, SPLIT(SUBSTITUTE(W159,CHAR(10), """"),"",:""), 0) + 1)"),6.0)</f>
        <v>6</v>
      </c>
      <c r="W159" s="102" t="s">
        <v>2008</v>
      </c>
      <c r="X159" s="35" t="s">
        <v>2112</v>
      </c>
      <c r="Y159" s="41"/>
      <c r="Z159" s="53" t="str">
        <f t="array" ref="Z159">INDEX(Problems!J:J, MATCH(1, (Problems!B:B=B159)*1, 0))</f>
        <v>n</v>
      </c>
      <c r="AA159" s="41"/>
      <c r="AB159" s="41"/>
      <c r="AC159" s="41"/>
      <c r="AD159" s="41"/>
      <c r="AE159" s="85" t="str">
        <f>IFERROR(__xludf.DUMMYFUNCTION("INDEX(SPLIT(SUBSTITUTE(AF159,CHAR(10), """"),"",:""), MATCH(Z159, SPLIT(SUBSTITUTE(AF159,CHAR(10), """"),"",:""), 0) + 1)"),"#VALUE!")</f>
        <v>#VALUE!</v>
      </c>
      <c r="AF159" s="102"/>
      <c r="AG159" s="41"/>
      <c r="AH159" s="41"/>
      <c r="AI159" s="104"/>
      <c r="AJ159" s="84" t="s">
        <v>2520</v>
      </c>
      <c r="AK159" s="104"/>
      <c r="AL159" s="35">
        <v>0.0</v>
      </c>
      <c r="AM159" s="104"/>
      <c r="AN159" s="35">
        <v>1.0</v>
      </c>
      <c r="AO159" s="110"/>
      <c r="AP159" s="35">
        <v>0.0</v>
      </c>
      <c r="AQ159" s="35">
        <v>0.0</v>
      </c>
      <c r="AR159" s="69"/>
      <c r="AS159" s="98">
        <v>0.0</v>
      </c>
      <c r="AT159" s="98">
        <v>0.0</v>
      </c>
      <c r="AU159" s="69"/>
      <c r="AV159" s="13"/>
      <c r="AW159" s="13"/>
      <c r="AX159" s="13"/>
      <c r="AY159" s="13"/>
      <c r="AZ159" s="6"/>
      <c r="BA159" s="6"/>
      <c r="BB159" s="6"/>
      <c r="BC159" s="6"/>
      <c r="BD159" s="6"/>
      <c r="BE159" s="6"/>
      <c r="BF159" s="6">
        <v>1.0E9</v>
      </c>
      <c r="BG159" s="13"/>
      <c r="BH159" s="13"/>
      <c r="BI159" s="13"/>
      <c r="BJ159" s="13"/>
      <c r="BK159" s="13"/>
      <c r="BL159" s="13"/>
      <c r="BM159" s="13"/>
      <c r="BN159" s="6"/>
      <c r="BO159" s="6">
        <v>3.0</v>
      </c>
      <c r="BP159" s="13"/>
      <c r="BQ159" s="13"/>
      <c r="BR159" s="6" t="s">
        <v>196</v>
      </c>
    </row>
    <row r="160">
      <c r="A160" s="35">
        <v>103.1</v>
      </c>
      <c r="B160" s="35" t="s">
        <v>1031</v>
      </c>
      <c r="C160" s="53">
        <v>1.0</v>
      </c>
      <c r="D160" s="53" t="s">
        <v>1031</v>
      </c>
      <c r="E160" s="7">
        <v>813.0</v>
      </c>
      <c r="F160" s="53"/>
      <c r="G160" s="6"/>
      <c r="H160" s="35">
        <v>0.0</v>
      </c>
      <c r="I160" s="35">
        <v>0.0</v>
      </c>
      <c r="J160" s="69" t="s">
        <v>834</v>
      </c>
      <c r="K160" s="99"/>
      <c r="L160" s="99"/>
      <c r="M160" s="39" t="str">
        <f t="shared" si="1"/>
        <v>[https://dl.acm.org/doi/abs/10.1145/383259.383296 Image quilting Efros-Freeman (2001)]</v>
      </c>
      <c r="N160" s="35" t="s">
        <v>2609</v>
      </c>
      <c r="O160" s="98">
        <v>2001.0</v>
      </c>
      <c r="P160" s="106" t="s">
        <v>2610</v>
      </c>
      <c r="Q160" s="13"/>
      <c r="R160" s="13"/>
      <c r="S160" s="13"/>
      <c r="T160" s="35">
        <v>0.0</v>
      </c>
      <c r="U160" s="35">
        <v>0.0</v>
      </c>
      <c r="V160" s="89">
        <f>IFERROR(__xludf.DUMMYFUNCTION("INDEX(SPLIT(SUBSTITUTE(W160,CHAR(10), """"),"",:""), MATCH(Z160, SPLIT(SUBSTITUTE(W160,CHAR(10), """"),"",:""), 0) + 1)"),6.0)</f>
        <v>6</v>
      </c>
      <c r="W160" s="102" t="s">
        <v>2008</v>
      </c>
      <c r="X160" s="35" t="s">
        <v>2112</v>
      </c>
      <c r="Y160" s="41"/>
      <c r="Z160" s="53" t="str">
        <f t="array" ref="Z160">INDEX(Problems!J:J, MATCH(1, (Problems!B:B=B160)*1, 0))</f>
        <v>n</v>
      </c>
      <c r="AA160" s="41"/>
      <c r="AB160" s="41"/>
      <c r="AC160" s="41"/>
      <c r="AD160" s="41"/>
      <c r="AE160" s="85" t="str">
        <f>IFERROR(__xludf.DUMMYFUNCTION("INDEX(SPLIT(SUBSTITUTE(AF160,CHAR(10), """"),"",:""), MATCH(Z160, SPLIT(SUBSTITUTE(AF160,CHAR(10), """"),"",:""), 0) + 1)"),"#VALUE!")</f>
        <v>#VALUE!</v>
      </c>
      <c r="AF160" s="102"/>
      <c r="AG160" s="41"/>
      <c r="AH160" s="41"/>
      <c r="AI160" s="104"/>
      <c r="AJ160" s="84" t="s">
        <v>2520</v>
      </c>
      <c r="AK160" s="104"/>
      <c r="AL160" s="35">
        <v>0.0</v>
      </c>
      <c r="AM160" s="104"/>
      <c r="AN160" s="35">
        <v>1.0</v>
      </c>
      <c r="AO160" s="110"/>
      <c r="AP160" s="35">
        <v>0.0</v>
      </c>
      <c r="AQ160" s="35">
        <v>0.0</v>
      </c>
      <c r="AR160" s="69"/>
      <c r="AS160" s="98">
        <v>0.0</v>
      </c>
      <c r="AT160" s="98">
        <v>0.0</v>
      </c>
      <c r="AU160" s="69"/>
      <c r="AV160" s="13"/>
      <c r="AW160" s="13"/>
      <c r="AX160" s="13"/>
      <c r="AY160" s="13"/>
      <c r="AZ160" s="6"/>
      <c r="BA160" s="6"/>
      <c r="BB160" s="6"/>
      <c r="BC160" s="6"/>
      <c r="BD160" s="6"/>
      <c r="BE160" s="6"/>
      <c r="BF160" s="6">
        <v>1.0E9</v>
      </c>
      <c r="BG160" s="13"/>
      <c r="BH160" s="13"/>
      <c r="BI160" s="13"/>
      <c r="BJ160" s="13"/>
      <c r="BK160" s="13"/>
      <c r="BL160" s="13"/>
      <c r="BM160" s="13"/>
      <c r="BN160" s="6"/>
      <c r="BO160" s="6">
        <v>3.0</v>
      </c>
      <c r="BP160" s="13"/>
      <c r="BQ160" s="13"/>
      <c r="BR160" s="6" t="s">
        <v>196</v>
      </c>
    </row>
    <row r="161">
      <c r="A161" s="35">
        <v>115.0</v>
      </c>
      <c r="B161" s="35" t="s">
        <v>1079</v>
      </c>
      <c r="C161" s="53">
        <v>1.0</v>
      </c>
      <c r="D161" s="53" t="s">
        <v>1079</v>
      </c>
      <c r="E161" s="7">
        <v>905.0</v>
      </c>
      <c r="F161" s="53"/>
      <c r="G161" s="6">
        <v>0.0</v>
      </c>
      <c r="H161" s="35">
        <v>1.0</v>
      </c>
      <c r="I161" s="98">
        <v>0.0</v>
      </c>
      <c r="J161" s="69" t="s">
        <v>834</v>
      </c>
      <c r="K161" s="41" t="s">
        <v>2611</v>
      </c>
      <c r="L161" s="41" t="s">
        <v>484</v>
      </c>
      <c r="M161" s="39" t="str">
        <f t="shared" si="1"/>
        <v>[http://ais.informatik.uni-freiburg.de/teaching/ss12/robotics/slides/12-slam.pdf EKF SLAM (1998)]</v>
      </c>
      <c r="N161" s="69" t="s">
        <v>2612</v>
      </c>
      <c r="O161" s="98">
        <v>1998.0</v>
      </c>
      <c r="P161" s="100" t="s">
        <v>1081</v>
      </c>
      <c r="Q161" s="13"/>
      <c r="R161" s="13"/>
      <c r="S161" s="13"/>
      <c r="T161" s="35">
        <v>1.0</v>
      </c>
      <c r="U161" s="35">
        <v>0.0</v>
      </c>
      <c r="V161" s="89">
        <f>IFERROR(__xludf.DUMMYFUNCTION("INDEX(SPLIT(SUBSTITUTE(W161,CHAR(10), """"),"",:""), MATCH(Z161, SPLIT(SUBSTITUTE(W161,CHAR(10), """"),"",:""), 0) + 1)"),6.0)</f>
        <v>6</v>
      </c>
      <c r="W161" s="102" t="s">
        <v>2008</v>
      </c>
      <c r="X161" s="35" t="s">
        <v>2112</v>
      </c>
      <c r="Y161" s="41" t="s">
        <v>2613</v>
      </c>
      <c r="Z161" s="53" t="str">
        <f t="array" ref="Z161">INDEX(Problems!J:J, MATCH(1, (Problems!B:B=B161)*1, 0))</f>
        <v>n</v>
      </c>
      <c r="AA161" s="41"/>
      <c r="AB161" s="41"/>
      <c r="AC161" s="41" t="s">
        <v>2614</v>
      </c>
      <c r="AD161" s="41" t="s">
        <v>2487</v>
      </c>
      <c r="AE161" s="85">
        <f>IFERROR(__xludf.DUMMYFUNCTION("INDEX(SPLIT(SUBSTITUTE(AF161,CHAR(10), """"),"",:""), MATCH(Z161, SPLIT(SUBSTITUTE(AF161,CHAR(10), """"),"",:""), 0) + 1)"),5.0)</f>
        <v>5</v>
      </c>
      <c r="AF161" s="102" t="s">
        <v>1938</v>
      </c>
      <c r="AG161" s="41" t="s">
        <v>2615</v>
      </c>
      <c r="AH161" s="41" t="s">
        <v>2616</v>
      </c>
      <c r="AI161" s="104">
        <v>1.0</v>
      </c>
      <c r="AJ161" s="84">
        <v>0.0</v>
      </c>
      <c r="AK161" s="104"/>
      <c r="AL161" s="35">
        <v>0.0</v>
      </c>
      <c r="AM161" s="105"/>
      <c r="AN161" s="98">
        <v>1.0</v>
      </c>
      <c r="AO161" s="110"/>
      <c r="AP161" s="98">
        <v>0.0</v>
      </c>
      <c r="AQ161" s="98">
        <v>0.0</v>
      </c>
      <c r="AR161" s="69"/>
      <c r="AS161" s="98">
        <v>0.0</v>
      </c>
      <c r="AT161" s="98">
        <v>0.0</v>
      </c>
      <c r="AU161" s="69" t="s">
        <v>2617</v>
      </c>
      <c r="AV161" s="13"/>
      <c r="AW161" s="13"/>
      <c r="AX161" s="13"/>
      <c r="AY161" s="13"/>
      <c r="AZ161" s="6"/>
      <c r="BA161" s="6"/>
      <c r="BB161" s="6"/>
      <c r="BC161" s="6"/>
      <c r="BD161" s="6"/>
      <c r="BE161" s="6"/>
      <c r="BF161" s="6">
        <v>1.0E9</v>
      </c>
      <c r="BG161" s="6">
        <v>1.0</v>
      </c>
      <c r="BH161" s="13"/>
      <c r="BI161" s="13">
        <f>POW(1000000,3)</f>
        <v>1E+18</v>
      </c>
      <c r="BJ161" s="6">
        <v>1.0</v>
      </c>
      <c r="BK161" s="13"/>
      <c r="BL161" s="13">
        <f>POW(1000000000,3)</f>
        <v>1E+27</v>
      </c>
      <c r="BM161" s="6">
        <v>1.0</v>
      </c>
      <c r="BN161" s="6"/>
      <c r="BO161" s="6">
        <v>3.0</v>
      </c>
      <c r="BP161" s="13"/>
      <c r="BQ161" s="13"/>
      <c r="BR161" s="6" t="s">
        <v>411</v>
      </c>
    </row>
    <row r="162">
      <c r="A162" s="35">
        <v>115.0</v>
      </c>
      <c r="B162" s="35" t="s">
        <v>1079</v>
      </c>
      <c r="C162" s="53">
        <v>1.0</v>
      </c>
      <c r="D162" s="53" t="s">
        <v>1079</v>
      </c>
      <c r="E162" s="7">
        <v>906.0</v>
      </c>
      <c r="F162" s="53"/>
      <c r="G162" s="6">
        <v>0.0</v>
      </c>
      <c r="H162" s="35">
        <v>1.0</v>
      </c>
      <c r="I162" s="98">
        <v>0.0</v>
      </c>
      <c r="J162" s="69" t="s">
        <v>834</v>
      </c>
      <c r="K162" s="41" t="s">
        <v>2117</v>
      </c>
      <c r="L162" s="41" t="s">
        <v>484</v>
      </c>
      <c r="M162" s="39" t="str">
        <f t="shared" si="1"/>
        <v>[https://www.seas.harvard.edu/courses/cs281/papers/unscented.pdf UKF (2000)]</v>
      </c>
      <c r="N162" s="69" t="s">
        <v>2618</v>
      </c>
      <c r="O162" s="98">
        <v>2000.0</v>
      </c>
      <c r="P162" s="100" t="s">
        <v>2619</v>
      </c>
      <c r="Q162" s="13"/>
      <c r="R162" s="13"/>
      <c r="S162" s="13"/>
      <c r="T162" s="35">
        <v>0.0</v>
      </c>
      <c r="U162" s="35">
        <v>0.0</v>
      </c>
      <c r="V162" s="89">
        <f>IFERROR(__xludf.DUMMYFUNCTION("INDEX(SPLIT(SUBSTITUTE(W162,CHAR(10), """"),"",:""), MATCH(Z162, SPLIT(SUBSTITUTE(W162,CHAR(10), """"),"",:""), 0) + 1)"),6.0)</f>
        <v>6</v>
      </c>
      <c r="W162" s="102" t="s">
        <v>2008</v>
      </c>
      <c r="X162" s="35" t="s">
        <v>2112</v>
      </c>
      <c r="Y162" s="41" t="s">
        <v>2613</v>
      </c>
      <c r="Z162" s="53" t="str">
        <f t="array" ref="Z162">INDEX(Problems!J:J, MATCH(1, (Problems!B:B=B162)*1, 0))</f>
        <v>n</v>
      </c>
      <c r="AA162" s="41"/>
      <c r="AB162" s="41"/>
      <c r="AC162" s="41" t="s">
        <v>2614</v>
      </c>
      <c r="AD162" s="41" t="s">
        <v>2487</v>
      </c>
      <c r="AE162" s="85">
        <f>IFERROR(__xludf.DUMMYFUNCTION("INDEX(SPLIT(SUBSTITUTE(AF162,CHAR(10), """"),"",:""), MATCH(Z162, SPLIT(SUBSTITUTE(AF162,CHAR(10), """"),"",:""), 0) + 1)"),5.0)</f>
        <v>5</v>
      </c>
      <c r="AF162" s="102" t="s">
        <v>1938</v>
      </c>
      <c r="AG162" s="41" t="s">
        <v>2615</v>
      </c>
      <c r="AH162" s="41" t="s">
        <v>2616</v>
      </c>
      <c r="AI162" s="104">
        <v>1.0</v>
      </c>
      <c r="AJ162" s="84">
        <v>0.0</v>
      </c>
      <c r="AK162" s="104"/>
      <c r="AL162" s="35">
        <v>0.0</v>
      </c>
      <c r="AM162" s="105"/>
      <c r="AN162" s="98">
        <v>1.0</v>
      </c>
      <c r="AO162" s="110"/>
      <c r="AP162" s="98">
        <v>0.0</v>
      </c>
      <c r="AQ162" s="98">
        <v>0.0</v>
      </c>
      <c r="AR162" s="69"/>
      <c r="AS162" s="98">
        <v>0.0</v>
      </c>
      <c r="AT162" s="98">
        <v>0.0</v>
      </c>
      <c r="AU162" s="104" t="s">
        <v>2620</v>
      </c>
      <c r="AV162" s="13"/>
      <c r="AW162" s="13"/>
      <c r="AX162" s="13"/>
      <c r="AY162" s="13"/>
      <c r="AZ162" s="6"/>
      <c r="BA162" s="6"/>
      <c r="BB162" s="6"/>
      <c r="BC162" s="6"/>
      <c r="BD162" s="6"/>
      <c r="BE162" s="6"/>
      <c r="BF162" s="6">
        <v>1.0E9</v>
      </c>
      <c r="BG162" s="13"/>
      <c r="BH162" s="13"/>
      <c r="BI162" s="13"/>
      <c r="BJ162" s="13"/>
      <c r="BK162" s="13"/>
      <c r="BL162" s="13"/>
      <c r="BM162" s="13"/>
      <c r="BN162" s="6"/>
      <c r="BO162" s="6">
        <v>3.0</v>
      </c>
      <c r="BP162" s="13"/>
      <c r="BQ162" s="13"/>
      <c r="BR162" s="6" t="s">
        <v>411</v>
      </c>
    </row>
    <row r="163">
      <c r="A163" s="35">
        <v>115.0</v>
      </c>
      <c r="B163" s="35" t="s">
        <v>1079</v>
      </c>
      <c r="C163" s="53">
        <v>1.0</v>
      </c>
      <c r="D163" s="53" t="s">
        <v>1079</v>
      </c>
      <c r="E163" s="7">
        <v>907.0</v>
      </c>
      <c r="F163" s="53"/>
      <c r="G163" s="6">
        <v>0.0</v>
      </c>
      <c r="H163" s="35">
        <v>1.0</v>
      </c>
      <c r="I163" s="98">
        <v>0.0</v>
      </c>
      <c r="J163" s="69" t="s">
        <v>834</v>
      </c>
      <c r="K163" s="41" t="s">
        <v>2117</v>
      </c>
      <c r="L163" s="41" t="s">
        <v>484</v>
      </c>
      <c r="M163" s="39" t="str">
        <f t="shared" si="1"/>
        <v>[https://citeseerx.ist.psu.edu/viewdoc/download?doi=10.1.1.206.999&amp;rep=rep1&amp;type=pdf Compressed Extended KF (2002)]</v>
      </c>
      <c r="N163" s="69" t="s">
        <v>2621</v>
      </c>
      <c r="O163" s="98">
        <v>2002.0</v>
      </c>
      <c r="P163" s="134" t="s">
        <v>2622</v>
      </c>
      <c r="Q163" s="13"/>
      <c r="R163" s="13"/>
      <c r="S163" s="13"/>
      <c r="T163" s="35">
        <v>0.0</v>
      </c>
      <c r="U163" s="35">
        <v>0.0</v>
      </c>
      <c r="V163" s="89">
        <f>IFERROR(__xludf.DUMMYFUNCTION("INDEX(SPLIT(SUBSTITUTE(W163,CHAR(10), """"),"",:""), MATCH(Z163, SPLIT(SUBSTITUTE(W163,CHAR(10), """"),"",:""), 0) + 1)"),6.0)</f>
        <v>6</v>
      </c>
      <c r="W163" s="102" t="s">
        <v>2008</v>
      </c>
      <c r="X163" s="35" t="s">
        <v>2112</v>
      </c>
      <c r="Y163" s="41" t="s">
        <v>2613</v>
      </c>
      <c r="Z163" s="53" t="str">
        <f t="array" ref="Z163">INDEX(Problems!J:J, MATCH(1, (Problems!B:B=B163)*1, 0))</f>
        <v>n</v>
      </c>
      <c r="AA163" s="41"/>
      <c r="AB163" s="41"/>
      <c r="AC163" s="41" t="s">
        <v>2614</v>
      </c>
      <c r="AD163" s="41" t="s">
        <v>2487</v>
      </c>
      <c r="AE163" s="85">
        <f>IFERROR(__xludf.DUMMYFUNCTION("INDEX(SPLIT(SUBSTITUTE(AF163,CHAR(10), """"),"",:""), MATCH(Z163, SPLIT(SUBSTITUTE(AF163,CHAR(10), """"),"",:""), 0) + 1)"),5.0)</f>
        <v>5</v>
      </c>
      <c r="AF163" s="102" t="s">
        <v>1938</v>
      </c>
      <c r="AG163" s="41" t="s">
        <v>2615</v>
      </c>
      <c r="AH163" s="41" t="s">
        <v>2616</v>
      </c>
      <c r="AI163" s="104">
        <v>1.0</v>
      </c>
      <c r="AJ163" s="84">
        <v>0.0</v>
      </c>
      <c r="AK163" s="104"/>
      <c r="AL163" s="35">
        <v>0.0</v>
      </c>
      <c r="AM163" s="105"/>
      <c r="AN163" s="98">
        <v>1.0</v>
      </c>
      <c r="AO163" s="110"/>
      <c r="AP163" s="98">
        <v>0.0</v>
      </c>
      <c r="AQ163" s="98">
        <v>0.0</v>
      </c>
      <c r="AR163" s="69"/>
      <c r="AS163" s="98">
        <v>0.0</v>
      </c>
      <c r="AT163" s="98">
        <v>0.0</v>
      </c>
      <c r="AU163" s="104" t="s">
        <v>2620</v>
      </c>
      <c r="AV163" s="13"/>
      <c r="AW163" s="13"/>
      <c r="AX163" s="13"/>
      <c r="AY163" s="13"/>
      <c r="AZ163" s="6"/>
      <c r="BA163" s="6"/>
      <c r="BB163" s="6"/>
      <c r="BC163" s="6"/>
      <c r="BD163" s="6"/>
      <c r="BE163" s="6"/>
      <c r="BF163" s="6">
        <v>1.0E9</v>
      </c>
      <c r="BG163" s="13"/>
      <c r="BH163" s="13"/>
      <c r="BI163" s="13"/>
      <c r="BJ163" s="13"/>
      <c r="BK163" s="13"/>
      <c r="BL163" s="13"/>
      <c r="BM163" s="13"/>
      <c r="BN163" s="6"/>
      <c r="BO163" s="6">
        <v>3.0</v>
      </c>
      <c r="BP163" s="13"/>
      <c r="BQ163" s="13"/>
      <c r="BR163" s="6" t="s">
        <v>411</v>
      </c>
    </row>
    <row r="164">
      <c r="A164" s="35">
        <v>115.0</v>
      </c>
      <c r="B164" s="35" t="s">
        <v>1079</v>
      </c>
      <c r="C164" s="53">
        <v>1.0</v>
      </c>
      <c r="D164" s="53" t="s">
        <v>1079</v>
      </c>
      <c r="E164" s="7">
        <v>909.0</v>
      </c>
      <c r="F164" s="53"/>
      <c r="G164" s="6">
        <v>0.0</v>
      </c>
      <c r="H164" s="35">
        <v>1.0</v>
      </c>
      <c r="I164" s="111">
        <v>1.0</v>
      </c>
      <c r="J164" s="69" t="s">
        <v>115</v>
      </c>
      <c r="K164" s="41" t="s">
        <v>2117</v>
      </c>
      <c r="L164" s="41" t="s">
        <v>484</v>
      </c>
      <c r="M164" s="39" t="str">
        <f t="shared" si="1"/>
        <v>[https://papers.nips.cc/paper/1716-bayesian-map-learning-in-dynamic-environments.pdf Rao-Blackwellized Particle Filtering SLAM (2001)]</v>
      </c>
      <c r="N164" s="104" t="s">
        <v>2623</v>
      </c>
      <c r="O164" s="98">
        <v>2001.0</v>
      </c>
      <c r="P164" s="100" t="s">
        <v>2624</v>
      </c>
      <c r="Q164" s="13"/>
      <c r="R164" s="13"/>
      <c r="S164" s="13"/>
      <c r="T164" s="35">
        <v>1.0</v>
      </c>
      <c r="U164" s="35" t="s">
        <v>2425</v>
      </c>
      <c r="V164" s="89">
        <f>IFERROR(__xludf.DUMMYFUNCTION("INDEX(SPLIT(SUBSTITUTE(W164,CHAR(10), """"),"",:""), MATCH(Z164, SPLIT(SUBSTITUTE(W164,CHAR(10), """"),"",:""), 0) + 1)"),5.0)</f>
        <v>5</v>
      </c>
      <c r="W164" s="102" t="s">
        <v>1938</v>
      </c>
      <c r="X164" s="35" t="s">
        <v>61</v>
      </c>
      <c r="Y164" s="41" t="s">
        <v>2613</v>
      </c>
      <c r="Z164" s="53" t="str">
        <f t="array" ref="Z164">INDEX(Problems!J:J, MATCH(1, (Problems!B:B=B164)*1, 0))</f>
        <v>n</v>
      </c>
      <c r="AA164" s="41"/>
      <c r="AB164" s="41"/>
      <c r="AC164" s="41" t="s">
        <v>2614</v>
      </c>
      <c r="AD164" s="41" t="s">
        <v>2487</v>
      </c>
      <c r="AE164" s="85">
        <f>IFERROR(__xludf.DUMMYFUNCTION("INDEX(SPLIT(SUBSTITUTE(AF164,CHAR(10), """"),"",:""), MATCH(Z164, SPLIT(SUBSTITUTE(AF164,CHAR(10), """"),"",:""), 0) + 1)"),3.0)</f>
        <v>3</v>
      </c>
      <c r="AF164" s="102" t="s">
        <v>1763</v>
      </c>
      <c r="AG164" s="41" t="s">
        <v>2625</v>
      </c>
      <c r="AH164" s="41" t="s">
        <v>2626</v>
      </c>
      <c r="AI164" s="108">
        <v>0.0</v>
      </c>
      <c r="AJ164" s="84">
        <v>1.0</v>
      </c>
      <c r="AK164" s="105"/>
      <c r="AL164" s="98">
        <v>0.0</v>
      </c>
      <c r="AM164" s="108"/>
      <c r="AN164" s="111">
        <v>1.0</v>
      </c>
      <c r="AO164" s="110"/>
      <c r="AP164" s="98">
        <v>0.0</v>
      </c>
      <c r="AQ164" s="98">
        <v>0.0</v>
      </c>
      <c r="AR164" s="69"/>
      <c r="AS164" s="98">
        <v>0.0</v>
      </c>
      <c r="AT164" s="98">
        <v>0.0</v>
      </c>
      <c r="AU164" s="104" t="s">
        <v>2620</v>
      </c>
      <c r="AV164" s="13"/>
      <c r="AW164" s="13"/>
      <c r="AX164" s="13"/>
      <c r="AY164" s="13"/>
      <c r="AZ164" s="6"/>
      <c r="BA164" s="6"/>
      <c r="BB164" s="6"/>
      <c r="BC164" s="6"/>
      <c r="BD164" s="6"/>
      <c r="BE164" s="6"/>
      <c r="BF164" s="6">
        <v>1000000.0</v>
      </c>
      <c r="BG164" s="6">
        <v>1.0</v>
      </c>
      <c r="BH164" s="6"/>
      <c r="BI164" s="6">
        <v>1.0E12</v>
      </c>
      <c r="BJ164" s="6">
        <v>1000000.0</v>
      </c>
      <c r="BK164" s="6"/>
      <c r="BL164" s="6">
        <v>1.0E18</v>
      </c>
      <c r="BM164" s="6">
        <v>1.0E9</v>
      </c>
      <c r="BN164" s="6"/>
      <c r="BO164" s="6">
        <v>3.0</v>
      </c>
      <c r="BP164" s="13"/>
      <c r="BQ164" s="13"/>
      <c r="BR164" s="6" t="s">
        <v>411</v>
      </c>
    </row>
    <row r="165">
      <c r="A165" s="16">
        <v>7.0</v>
      </c>
      <c r="B165" s="16" t="s">
        <v>1261</v>
      </c>
      <c r="C165" s="53">
        <v>2.0</v>
      </c>
      <c r="D165" s="53" t="s">
        <v>1276</v>
      </c>
      <c r="E165" s="7">
        <v>96.0</v>
      </c>
      <c r="F165" s="53"/>
      <c r="G165" s="7"/>
      <c r="H165" s="16">
        <v>1.0</v>
      </c>
      <c r="I165" s="83">
        <v>1.0</v>
      </c>
      <c r="J165" s="39" t="s">
        <v>1788</v>
      </c>
      <c r="K165" s="53"/>
      <c r="L165" s="53"/>
      <c r="M165" s="39" t="str">
        <f t="shared" si="1"/>
        <v>[https://www.sciencedirect.com/science/article/pii/0012365X89902148 Petford and Welsh (1989)]</v>
      </c>
      <c r="N165" s="39" t="s">
        <v>2627</v>
      </c>
      <c r="O165" s="81">
        <v>1989.0</v>
      </c>
      <c r="P165" s="28" t="s">
        <v>2628</v>
      </c>
      <c r="Q165" s="82"/>
      <c r="R165" s="82"/>
      <c r="S165" s="82"/>
      <c r="T165" s="16">
        <v>1.0</v>
      </c>
      <c r="U165" s="16" t="s">
        <v>2629</v>
      </c>
      <c r="V165" s="89">
        <f>IFERROR(__xludf.DUMMYFUNCTION("INDEX(SPLIT(SUBSTITUTE(W165,CHAR(10), """"),"",:""), MATCH(Z165, SPLIT(SUBSTITUTE(W165,CHAR(10), """"),"",:""), 0) + 1)"),4.0)</f>
        <v>4</v>
      </c>
      <c r="W165" s="85" t="s">
        <v>1791</v>
      </c>
      <c r="X165" s="16" t="s">
        <v>45</v>
      </c>
      <c r="Y165" s="53" t="s">
        <v>2630</v>
      </c>
      <c r="Z165" s="53" t="str">
        <f t="array" ref="Z165">INDEX(Problems!J:J, MATCH(1, (Problems!B:B=B165)*1, 0))</f>
        <v>n</v>
      </c>
      <c r="AA165" s="53"/>
      <c r="AB165" s="53"/>
      <c r="AC165" s="53" t="s">
        <v>1813</v>
      </c>
      <c r="AD165" s="53" t="s">
        <v>1814</v>
      </c>
      <c r="AE165" s="85">
        <f>IFERROR(__xludf.DUMMYFUNCTION("INDEX(SPLIT(SUBSTITUTE(AF165,CHAR(10), """"),"",:""), MATCH(Z165, SPLIT(SUBSTITUTE(AF165,CHAR(10), """"),"",:""), 0) + 1)"),3.0)</f>
        <v>3</v>
      </c>
      <c r="AF165" s="85" t="s">
        <v>1763</v>
      </c>
      <c r="AG165" s="53" t="s">
        <v>35</v>
      </c>
      <c r="AH165" s="53" t="s">
        <v>2631</v>
      </c>
      <c r="AI165" s="84">
        <v>1.0</v>
      </c>
      <c r="AJ165" s="84">
        <v>0.0</v>
      </c>
      <c r="AK165" s="87"/>
      <c r="AL165" s="81">
        <v>1.0</v>
      </c>
      <c r="AM165" s="84" t="s">
        <v>1907</v>
      </c>
      <c r="AN165" s="83">
        <v>0.0</v>
      </c>
      <c r="AO165" s="21" t="s">
        <v>2489</v>
      </c>
      <c r="AP165" s="81">
        <v>0.0</v>
      </c>
      <c r="AQ165" s="81">
        <v>0.0</v>
      </c>
      <c r="AR165" s="39"/>
      <c r="AS165" s="81">
        <v>0.0</v>
      </c>
      <c r="AT165" s="81">
        <v>0.0</v>
      </c>
      <c r="AU165" s="39"/>
      <c r="AV165" s="7" t="s">
        <v>2104</v>
      </c>
      <c r="AW165" s="82"/>
      <c r="AX165" s="82"/>
      <c r="AY165" s="7"/>
      <c r="AZ165" s="7"/>
      <c r="BA165" s="7"/>
      <c r="BB165" s="7"/>
      <c r="BC165" s="7"/>
      <c r="BD165" s="7"/>
      <c r="BE165" s="7"/>
      <c r="BF165" s="7">
        <v>9965.0</v>
      </c>
      <c r="BG165" s="7" t="s">
        <v>1781</v>
      </c>
      <c r="BH165" s="7" t="s">
        <v>1781</v>
      </c>
      <c r="BI165" s="82"/>
      <c r="BJ165" s="82"/>
      <c r="BK165" s="7" t="s">
        <v>1781</v>
      </c>
      <c r="BL165" s="82"/>
      <c r="BM165" s="82"/>
      <c r="BN165" s="7" t="s">
        <v>1781</v>
      </c>
      <c r="BO165" s="7">
        <v>1.0</v>
      </c>
      <c r="BP165" s="82"/>
      <c r="BQ165" s="7"/>
      <c r="BR165" s="7" t="s">
        <v>23</v>
      </c>
    </row>
    <row r="166">
      <c r="A166" s="16">
        <v>8.0</v>
      </c>
      <c r="B166" s="16" t="s">
        <v>1261</v>
      </c>
      <c r="C166" s="53">
        <v>2.0</v>
      </c>
      <c r="D166" s="53" t="s">
        <v>1280</v>
      </c>
      <c r="E166" s="7">
        <v>101.0</v>
      </c>
      <c r="F166" s="53"/>
      <c r="G166" s="7"/>
      <c r="H166" s="16">
        <v>1.0</v>
      </c>
      <c r="I166" s="83">
        <v>1.0</v>
      </c>
      <c r="J166" s="39" t="s">
        <v>1282</v>
      </c>
      <c r="K166" s="53"/>
      <c r="L166" s="53"/>
      <c r="M166" s="39" t="str">
        <f t="shared" si="1"/>
        <v>[https://link.springer.com/chapter/10.1007/978-3-540-73545-8_9 Fomin; Gaspers &amp; Saurabh (2007)]</v>
      </c>
      <c r="N166" s="16" t="s">
        <v>2632</v>
      </c>
      <c r="O166" s="81">
        <v>2007.0</v>
      </c>
      <c r="P166" s="17" t="s">
        <v>1283</v>
      </c>
      <c r="Q166" s="7">
        <v>1.0</v>
      </c>
      <c r="R166" s="7">
        <v>0.0</v>
      </c>
      <c r="S166" s="47" t="s">
        <v>2633</v>
      </c>
      <c r="T166" s="16">
        <v>1.0</v>
      </c>
      <c r="U166" s="16">
        <v>0.0</v>
      </c>
      <c r="V166" s="89">
        <f>IFERROR(__xludf.DUMMYFUNCTION("INDEX(SPLIT(SUBSTITUTE(W166,CHAR(10), """"),"",:""), MATCH(Z166, SPLIT(SUBSTITUTE(W166,CHAR(10), """"),"",:""), 0) + 1)"),8.0)</f>
        <v>8</v>
      </c>
      <c r="W166" s="85" t="s">
        <v>2001</v>
      </c>
      <c r="X166" s="16" t="s">
        <v>2634</v>
      </c>
      <c r="Y166" s="53" t="s">
        <v>2635</v>
      </c>
      <c r="Z166" s="53" t="str">
        <f t="array" ref="Z166">INDEX(Problems!J:J, MATCH(1, (Problems!B:B=B166)*1, 0))</f>
        <v>n</v>
      </c>
      <c r="AA166" s="53"/>
      <c r="AB166" s="53"/>
      <c r="AC166" s="53" t="s">
        <v>1813</v>
      </c>
      <c r="AD166" s="53" t="s">
        <v>1814</v>
      </c>
      <c r="AE166" s="85">
        <f>IFERROR(__xludf.DUMMYFUNCTION("INDEX(SPLIT(SUBSTITUTE(AF166,CHAR(10), """"),"",:""), MATCH(Z166, SPLIT(SUBSTITUTE(AF166,CHAR(10), """"),"",:""), 0) + 1)"),3.0)</f>
        <v>3</v>
      </c>
      <c r="AF166" s="85" t="s">
        <v>1763</v>
      </c>
      <c r="AG166" s="53" t="s">
        <v>35</v>
      </c>
      <c r="AH166" s="53" t="s">
        <v>2636</v>
      </c>
      <c r="AI166" s="84">
        <v>1.0</v>
      </c>
      <c r="AJ166" s="84">
        <v>0.0</v>
      </c>
      <c r="AK166" s="84"/>
      <c r="AL166" s="83">
        <v>0.0</v>
      </c>
      <c r="AM166" s="84" t="s">
        <v>2489</v>
      </c>
      <c r="AN166" s="83">
        <v>0.0</v>
      </c>
      <c r="AO166" s="21" t="s">
        <v>2489</v>
      </c>
      <c r="AP166" s="81">
        <v>0.0</v>
      </c>
      <c r="AQ166" s="81">
        <v>0.0</v>
      </c>
      <c r="AR166" s="39"/>
      <c r="AS166" s="81">
        <v>0.0</v>
      </c>
      <c r="AT166" s="81">
        <v>0.0</v>
      </c>
      <c r="AU166" s="39"/>
      <c r="AV166" s="7" t="s">
        <v>2104</v>
      </c>
      <c r="AW166" s="82"/>
      <c r="AX166" s="82"/>
      <c r="AY166" s="7"/>
      <c r="AZ166" s="7"/>
      <c r="BA166" s="7"/>
      <c r="BB166" s="7"/>
      <c r="BC166" s="7"/>
      <c r="BD166" s="7"/>
      <c r="BE166" s="7"/>
      <c r="BF166" s="7" t="s">
        <v>1781</v>
      </c>
      <c r="BG166" s="7">
        <v>1.0</v>
      </c>
      <c r="BH166" s="7"/>
      <c r="BI166" s="7" t="s">
        <v>1781</v>
      </c>
      <c r="BJ166" s="7">
        <v>1.0</v>
      </c>
      <c r="BK166" s="7"/>
      <c r="BL166" s="7" t="s">
        <v>1781</v>
      </c>
      <c r="BM166" s="7">
        <v>1.0</v>
      </c>
      <c r="BN166" s="7"/>
      <c r="BO166" s="7">
        <v>1.0</v>
      </c>
      <c r="BP166" s="82"/>
      <c r="BQ166" s="7"/>
      <c r="BR166" s="7" t="s">
        <v>23</v>
      </c>
    </row>
    <row r="167">
      <c r="A167" s="16">
        <v>15.0</v>
      </c>
      <c r="B167" s="16" t="s">
        <v>291</v>
      </c>
      <c r="C167" s="53">
        <v>1.0</v>
      </c>
      <c r="D167" s="53"/>
      <c r="E167" s="7">
        <v>172.0</v>
      </c>
      <c r="F167" s="53" t="s">
        <v>2637</v>
      </c>
      <c r="G167" s="7"/>
      <c r="H167" s="16">
        <v>1.0</v>
      </c>
      <c r="I167" s="83">
        <v>1.0</v>
      </c>
      <c r="J167" s="16" t="s">
        <v>35</v>
      </c>
      <c r="K167" s="53"/>
      <c r="L167" s="53"/>
      <c r="M167" s="39" t="str">
        <f t="shared" si="1"/>
        <v>[https://www.sciencedirect.com/science/article/pii/S0890540185710498 Khuller; Matias (1995)]</v>
      </c>
      <c r="N167" s="16" t="s">
        <v>2638</v>
      </c>
      <c r="O167" s="81">
        <v>1995.0</v>
      </c>
      <c r="P167" s="96" t="s">
        <v>2639</v>
      </c>
      <c r="Q167" s="82"/>
      <c r="R167" s="82"/>
      <c r="S167" s="82"/>
      <c r="T167" s="81">
        <v>0.0</v>
      </c>
      <c r="U167" s="16">
        <v>0.0</v>
      </c>
      <c r="V167" s="89">
        <f>IFERROR(__xludf.DUMMYFUNCTION("INDEX(SPLIT(SUBSTITUTE(W167,CHAR(10), """"),"",:""), MATCH(Z167, SPLIT(SUBSTITUTE(W167,CHAR(10), """"),"",:""), 0) + 1)"),3.0)</f>
        <v>3</v>
      </c>
      <c r="W167" s="85" t="s">
        <v>1763</v>
      </c>
      <c r="X167" s="16" t="s">
        <v>584</v>
      </c>
      <c r="Y167" s="53" t="s">
        <v>2640</v>
      </c>
      <c r="Z167" s="53" t="str">
        <f t="array" ref="Z167">INDEX(Problems!J:J, MATCH(1, (Problems!B:B=B167)*1, 0))</f>
        <v>n</v>
      </c>
      <c r="AA167" s="53"/>
      <c r="AB167" s="53"/>
      <c r="AC167" s="53" t="s">
        <v>1928</v>
      </c>
      <c r="AD167" s="53" t="s">
        <v>1928</v>
      </c>
      <c r="AE167" s="85">
        <f>IFERROR(__xludf.DUMMYFUNCTION("INDEX(SPLIT(SUBSTITUTE(AF167,CHAR(10), """"),"",:""), MATCH(Z167, SPLIT(SUBSTITUTE(AF167,CHAR(10), """"),"",:""), 0) + 1)"),3.0)</f>
        <v>3</v>
      </c>
      <c r="AF167" s="102" t="s">
        <v>1763</v>
      </c>
      <c r="AG167" s="53" t="s">
        <v>2641</v>
      </c>
      <c r="AH167" s="86" t="s">
        <v>2642</v>
      </c>
      <c r="AI167" s="84">
        <v>0.0</v>
      </c>
      <c r="AJ167" s="84">
        <v>1.0</v>
      </c>
      <c r="AK167" s="87"/>
      <c r="AL167" s="81">
        <v>1.0</v>
      </c>
      <c r="AM167" s="84" t="s">
        <v>2187</v>
      </c>
      <c r="AN167" s="83">
        <v>0.0</v>
      </c>
      <c r="AO167" s="21" t="s">
        <v>2489</v>
      </c>
      <c r="AP167" s="81">
        <v>0.0</v>
      </c>
      <c r="AQ167" s="81">
        <v>0.0</v>
      </c>
      <c r="AR167" s="39"/>
      <c r="AS167" s="81">
        <v>0.0</v>
      </c>
      <c r="AT167" s="81">
        <v>0.0</v>
      </c>
      <c r="AU167" s="39"/>
      <c r="AV167" s="7" t="s">
        <v>2192</v>
      </c>
      <c r="AW167" s="82"/>
      <c r="AX167" s="82"/>
      <c r="AY167" s="7"/>
      <c r="AZ167" s="7"/>
      <c r="BA167" s="7"/>
      <c r="BB167" s="7"/>
      <c r="BC167" s="7"/>
      <c r="BD167" s="7"/>
      <c r="BE167" s="7"/>
      <c r="BF167" s="7">
        <v>1000.0</v>
      </c>
      <c r="BG167" s="82">
        <f t="shared" ref="BG167:BG168" si="25">BF72/BF167</f>
        <v>1000</v>
      </c>
      <c r="BH167" s="82">
        <f>POW(BG167,1/($O167-$O72)) - 1</f>
        <v>0.4125375446</v>
      </c>
      <c r="BI167" s="82">
        <f> 1000000</f>
        <v>1000000</v>
      </c>
      <c r="BJ167" s="82">
        <f t="shared" ref="BJ167:BJ168" si="26">BI72/BI167</f>
        <v>1000000</v>
      </c>
      <c r="BK167" s="82">
        <f>POW(BJ167,1/($O167-$O72)) - 1</f>
        <v>0.995262315</v>
      </c>
      <c r="BL167" s="82">
        <f> 1000000000</f>
        <v>1000000000</v>
      </c>
      <c r="BM167" s="82">
        <f t="shared" ref="BM167:BM168" si="27">BL72/BL167</f>
        <v>1000000000</v>
      </c>
      <c r="BN167" s="82">
        <f>POW(BM167,1/($O167-$O72)) - 1</f>
        <v>1.818382931</v>
      </c>
      <c r="BO167" s="7">
        <v>4.0</v>
      </c>
      <c r="BP167" s="82"/>
      <c r="BQ167" s="7"/>
      <c r="BR167" s="7" t="s">
        <v>196</v>
      </c>
    </row>
    <row r="168">
      <c r="A168" s="16">
        <v>20.0</v>
      </c>
      <c r="B168" s="16" t="s">
        <v>393</v>
      </c>
      <c r="C168" s="53">
        <v>2.0</v>
      </c>
      <c r="D168" s="53" t="s">
        <v>400</v>
      </c>
      <c r="E168" s="7">
        <v>212.0</v>
      </c>
      <c r="F168" s="53"/>
      <c r="G168" s="7"/>
      <c r="H168" s="16">
        <v>1.0</v>
      </c>
      <c r="I168" s="83">
        <v>1.0</v>
      </c>
      <c r="J168" s="39" t="s">
        <v>2643</v>
      </c>
      <c r="K168" s="53"/>
      <c r="L168" s="53"/>
      <c r="M168" s="39" t="str">
        <f t="shared" si="1"/>
        <v>[https://dl.acm.org/citation.cfm?id=248979 Bunch; Hopcroft (1974)]</v>
      </c>
      <c r="N168" s="16" t="s">
        <v>2644</v>
      </c>
      <c r="O168" s="81">
        <v>1974.0</v>
      </c>
      <c r="P168" s="28" t="s">
        <v>2645</v>
      </c>
      <c r="Q168" s="7">
        <v>1.0</v>
      </c>
      <c r="R168" s="7">
        <v>1.0</v>
      </c>
      <c r="S168" s="114" t="s">
        <v>2646</v>
      </c>
      <c r="T168" s="81">
        <v>1.0</v>
      </c>
      <c r="U168" s="81">
        <v>0.0</v>
      </c>
      <c r="V168" s="89">
        <f>IFERROR(__xludf.DUMMYFUNCTION("INDEX(SPLIT(SUBSTITUTE(W168,CHAR(10), """"),"",:""), MATCH(Z168, SPLIT(SUBSTITUTE(W168,CHAR(10), """"),"",:""), 0) + 1)"),4.188)</f>
        <v>4.188</v>
      </c>
      <c r="W168" s="85" t="s">
        <v>2647</v>
      </c>
      <c r="X168" s="16" t="s">
        <v>2648</v>
      </c>
      <c r="Y168" s="53" t="s">
        <v>2050</v>
      </c>
      <c r="Z168" s="53" t="str">
        <f t="array" ref="Z168">INDEX(Problems!J:J, MATCH(1, (Problems!B:B=B168)*(Problems!C:C=D168), 0))</f>
        <v>n^2</v>
      </c>
      <c r="AA168" s="53"/>
      <c r="AB168" s="53"/>
      <c r="AC168" s="53" t="s">
        <v>1813</v>
      </c>
      <c r="AD168" s="53" t="s">
        <v>1814</v>
      </c>
      <c r="AE168" s="85">
        <f>IFERROR(__xludf.DUMMYFUNCTION("INDEX(SPLIT(SUBSTITUTE(AF168,CHAR(10), """"),"",:""), MATCH(Z168, SPLIT(SUBSTITUTE(AF168,CHAR(10), """"),"",:""), 0) + 1)"),4.0)</f>
        <v>4</v>
      </c>
      <c r="AF168" s="102" t="s">
        <v>2649</v>
      </c>
      <c r="AG168" s="53" t="s">
        <v>2650</v>
      </c>
      <c r="AH168" s="139" t="s">
        <v>2651</v>
      </c>
      <c r="AI168" s="84">
        <v>1.0</v>
      </c>
      <c r="AJ168" s="84">
        <v>0.0</v>
      </c>
      <c r="AK168" s="87"/>
      <c r="AL168" s="81">
        <v>0.0</v>
      </c>
      <c r="AM168" s="84" t="s">
        <v>2489</v>
      </c>
      <c r="AN168" s="83">
        <v>0.0</v>
      </c>
      <c r="AO168" s="21" t="s">
        <v>2489</v>
      </c>
      <c r="AP168" s="81">
        <v>0.0</v>
      </c>
      <c r="AQ168" s="81">
        <v>0.0</v>
      </c>
      <c r="AR168" s="39"/>
      <c r="AS168" s="81">
        <v>0.0</v>
      </c>
      <c r="AT168" s="81">
        <v>0.0</v>
      </c>
      <c r="AU168" s="39"/>
      <c r="AV168" s="7" t="s">
        <v>2198</v>
      </c>
      <c r="AW168" s="82"/>
      <c r="AX168" s="82"/>
      <c r="AY168" s="7"/>
      <c r="AZ168" s="7"/>
      <c r="BA168" s="7"/>
      <c r="BB168" s="7"/>
      <c r="BC168" s="7"/>
      <c r="BD168" s="7"/>
      <c r="BE168" s="7"/>
      <c r="BF168" s="7">
        <f>POW(1000, 2.376)</f>
        <v>13427649.61</v>
      </c>
      <c r="BG168" s="82">
        <f t="shared" si="25"/>
        <v>74.47319739</v>
      </c>
      <c r="BH168" s="82">
        <f>POW(BG168,1/($O168-1940))-1</f>
        <v>0.135164559</v>
      </c>
      <c r="BI168" s="7">
        <f>POW(1000000, 2.376)</f>
        <v>180301774085957</v>
      </c>
      <c r="BJ168" s="82">
        <f t="shared" si="26"/>
        <v>5546.25713</v>
      </c>
      <c r="BK168" s="82">
        <f>POW(BJ168,1/($O168-1940))-1</f>
        <v>0.2885985759</v>
      </c>
      <c r="BL168" s="7">
        <f>POW(1000000000, 2.376)</f>
        <v>2.42103E+21</v>
      </c>
      <c r="BM168" s="82">
        <f t="shared" si="27"/>
        <v>413047.502</v>
      </c>
      <c r="BN168" s="82">
        <f>POW(BM168,1/($O168-1940))-1</f>
        <v>0.4627714341</v>
      </c>
      <c r="BO168" s="7">
        <v>3.0</v>
      </c>
      <c r="BP168" s="82"/>
      <c r="BQ168" s="7"/>
      <c r="BR168" s="7" t="s">
        <v>144</v>
      </c>
    </row>
    <row r="169">
      <c r="A169" s="16">
        <v>22.0</v>
      </c>
      <c r="B169" s="16" t="s">
        <v>412</v>
      </c>
      <c r="C169" s="53">
        <v>2.0</v>
      </c>
      <c r="D169" s="53" t="s">
        <v>413</v>
      </c>
      <c r="E169" s="7">
        <v>242.0</v>
      </c>
      <c r="F169" s="53"/>
      <c r="G169" s="7"/>
      <c r="H169" s="16">
        <v>1.0</v>
      </c>
      <c r="I169" s="83">
        <v>1.0</v>
      </c>
      <c r="J169" s="16" t="s">
        <v>399</v>
      </c>
      <c r="K169" s="53"/>
      <c r="L169" s="53"/>
      <c r="M169" s="39" t="str">
        <f t="shared" si="1"/>
        <v>[https://en.wikipedia.org/wiki/Bitap_algorithm Bitap algorithm (1964)]</v>
      </c>
      <c r="N169" s="39" t="s">
        <v>2652</v>
      </c>
      <c r="O169" s="81">
        <v>1964.0</v>
      </c>
      <c r="P169" s="25" t="s">
        <v>2653</v>
      </c>
      <c r="Q169" s="82"/>
      <c r="R169" s="82"/>
      <c r="S169" s="82"/>
      <c r="T169" s="16">
        <v>0.0</v>
      </c>
      <c r="U169" s="16">
        <v>0.0</v>
      </c>
      <c r="V169" s="89">
        <f>IFERROR(__xludf.DUMMYFUNCTION("INDEX(SPLIT(SUBSTITUTE(W169,CHAR(10), """"),"",:""), MATCH(Z169, SPLIT(SUBSTITUTE(W169,CHAR(10), """"),"",:""), 0) + 1)"),5.0)</f>
        <v>5</v>
      </c>
      <c r="W169" s="85" t="s">
        <v>2244</v>
      </c>
      <c r="X169" s="16" t="s">
        <v>2270</v>
      </c>
      <c r="Y169" s="53" t="s">
        <v>2654</v>
      </c>
      <c r="Z169" s="53" t="str">
        <f t="array" ref="Z169">INDEX(Problems!J:J, MATCH(1, (Problems!B:B=B169)*1, 0))</f>
        <v>m+n</v>
      </c>
      <c r="AA169" s="53"/>
      <c r="AB169" s="53"/>
      <c r="AC169" s="53" t="s">
        <v>1813</v>
      </c>
      <c r="AD169" s="53" t="s">
        <v>1814</v>
      </c>
      <c r="AE169" s="85">
        <f>IFERROR(__xludf.DUMMYFUNCTION("INDEX(SPLIT(SUBSTITUTE(AF169,CHAR(10), """"),"",:""), MATCH(Z169, SPLIT(SUBSTITUTE(AF169,CHAR(10), """"),"",:""), 0) + 1)"),3.0)</f>
        <v>3</v>
      </c>
      <c r="AF169" s="85" t="s">
        <v>2655</v>
      </c>
      <c r="AG169" s="53" t="s">
        <v>2656</v>
      </c>
      <c r="AH169" s="53" t="s">
        <v>2657</v>
      </c>
      <c r="AI169" s="84">
        <v>1.0</v>
      </c>
      <c r="AJ169" s="84">
        <v>0.0</v>
      </c>
      <c r="AK169" s="87"/>
      <c r="AL169" s="81">
        <v>0.0</v>
      </c>
      <c r="AM169" s="84" t="s">
        <v>2489</v>
      </c>
      <c r="AN169" s="83">
        <v>0.0</v>
      </c>
      <c r="AO169" s="21" t="s">
        <v>2489</v>
      </c>
      <c r="AP169" s="16">
        <v>0.0</v>
      </c>
      <c r="AQ169" s="16">
        <v>0.0</v>
      </c>
      <c r="AR169" s="39"/>
      <c r="AS169" s="81">
        <v>0.0</v>
      </c>
      <c r="AT169" s="81">
        <v>0.0</v>
      </c>
      <c r="AU169" s="39"/>
      <c r="AV169" s="7" t="s">
        <v>2249</v>
      </c>
      <c r="AW169" s="82"/>
      <c r="AX169" s="82"/>
      <c r="AY169" s="7" t="s">
        <v>2658</v>
      </c>
      <c r="AZ169" s="82"/>
      <c r="BA169" s="82"/>
      <c r="BB169" s="82"/>
      <c r="BC169" s="82"/>
      <c r="BD169" s="82"/>
      <c r="BE169" s="82"/>
      <c r="BF169" s="82"/>
      <c r="BG169" s="82"/>
      <c r="BH169" s="82"/>
      <c r="BI169" s="82"/>
      <c r="BJ169" s="82"/>
      <c r="BK169" s="82"/>
      <c r="BL169" s="82"/>
      <c r="BM169" s="82"/>
      <c r="BN169" s="7"/>
      <c r="BO169" s="7">
        <v>4.0</v>
      </c>
      <c r="BP169" s="82"/>
      <c r="BQ169" s="7"/>
      <c r="BR169" s="7" t="s">
        <v>23</v>
      </c>
    </row>
    <row r="170">
      <c r="A170" s="16">
        <v>1.0</v>
      </c>
      <c r="B170" s="16" t="s">
        <v>18</v>
      </c>
      <c r="C170" s="53">
        <v>2.0</v>
      </c>
      <c r="D170" s="53" t="s">
        <v>24</v>
      </c>
      <c r="E170" s="7">
        <v>4.0</v>
      </c>
      <c r="F170" s="53"/>
      <c r="G170" s="7"/>
      <c r="H170" s="16">
        <v>1.0</v>
      </c>
      <c r="I170" s="81">
        <v>1.0</v>
      </c>
      <c r="J170" s="115" t="s">
        <v>1949</v>
      </c>
      <c r="K170" s="53" t="s">
        <v>1934</v>
      </c>
      <c r="L170" s="41" t="s">
        <v>2659</v>
      </c>
      <c r="M170" s="39" t="str">
        <f t="shared" si="1"/>
        <v>[https://link.springer.com/chapter/10.1007/978-1-349-08147-9_4 Tree sort (1986)]</v>
      </c>
      <c r="N170" s="140" t="s">
        <v>2660</v>
      </c>
      <c r="O170" s="141">
        <v>1986.0</v>
      </c>
      <c r="P170" s="142" t="s">
        <v>2661</v>
      </c>
      <c r="Q170" s="82"/>
      <c r="R170" s="82"/>
      <c r="S170" s="82"/>
      <c r="T170" s="81">
        <v>0.0</v>
      </c>
      <c r="U170" s="81">
        <v>0.0</v>
      </c>
      <c r="V170" s="89">
        <f>IFERROR(__xludf.DUMMYFUNCTION("INDEX(SPLIT(SUBSTITUTE(W170,CHAR(10), """"),"",:""), MATCH(Z170, SPLIT(SUBSTITUTE(W170,CHAR(10), """"),"",:""), 0) + 1)"),4.0)</f>
        <v>4</v>
      </c>
      <c r="W170" s="85" t="s">
        <v>1791</v>
      </c>
      <c r="X170" s="16" t="s">
        <v>45</v>
      </c>
      <c r="Y170" s="53" t="s">
        <v>1939</v>
      </c>
      <c r="Z170" s="53" t="str">
        <f t="array" ref="Z170">INDEX(Problems!J:J, MATCH(1, (Problems!B:B=B170)*1, 0))</f>
        <v>n</v>
      </c>
      <c r="AA170" s="53"/>
      <c r="AB170" s="53"/>
      <c r="AC170" s="53" t="s">
        <v>1813</v>
      </c>
      <c r="AD170" s="53" t="s">
        <v>1814</v>
      </c>
      <c r="AE170" s="85">
        <f>IFERROR(__xludf.DUMMYFUNCTION("INDEX(SPLIT(SUBSTITUTE(AF170,CHAR(10), """"),"",:""), MATCH(Z170, SPLIT(SUBSTITUTE(AF170,CHAR(10), """"),"",:""), 0) + 1)"),3.0)</f>
        <v>3</v>
      </c>
      <c r="AF170" s="85" t="s">
        <v>1763</v>
      </c>
      <c r="AG170" s="53" t="s">
        <v>35</v>
      </c>
      <c r="AH170" s="53" t="s">
        <v>2662</v>
      </c>
      <c r="AI170" s="84">
        <v>1.0</v>
      </c>
      <c r="AJ170" s="84">
        <v>0.0</v>
      </c>
      <c r="AK170" s="87"/>
      <c r="AL170" s="81">
        <v>0.0</v>
      </c>
      <c r="AM170" s="87"/>
      <c r="AN170" s="81">
        <v>0.0</v>
      </c>
      <c r="AO170" s="116"/>
      <c r="AP170" s="81">
        <v>0.0</v>
      </c>
      <c r="AQ170" s="81">
        <v>0.0</v>
      </c>
      <c r="AR170" s="39"/>
      <c r="AS170" s="81">
        <v>0.0</v>
      </c>
      <c r="AT170" s="81">
        <v>0.0</v>
      </c>
      <c r="AU170" s="39" t="s">
        <v>1937</v>
      </c>
      <c r="AV170" s="7" t="s">
        <v>1942</v>
      </c>
      <c r="AW170" s="7">
        <v>1.0</v>
      </c>
      <c r="AX170" s="7" t="s">
        <v>1943</v>
      </c>
      <c r="AZ170" s="7"/>
      <c r="BA170" s="7"/>
      <c r="BB170" s="7"/>
      <c r="BC170" s="7"/>
      <c r="BD170" s="7"/>
      <c r="BE170" s="7"/>
      <c r="BF170" s="7">
        <v>9965.0</v>
      </c>
      <c r="BG170" s="82">
        <f t="shared" ref="BG170:BG184" si="28">1000000/BF170</f>
        <v>100.3512293</v>
      </c>
      <c r="BH170" s="82"/>
      <c r="BI170" s="82"/>
      <c r="BJ170" s="82"/>
      <c r="BK170" s="82"/>
      <c r="BL170" s="82"/>
      <c r="BM170" s="82"/>
      <c r="BN170" s="7"/>
      <c r="BO170" s="7">
        <v>4.0</v>
      </c>
      <c r="BP170" s="82"/>
      <c r="BQ170" s="7"/>
      <c r="BR170" s="7" t="s">
        <v>23</v>
      </c>
    </row>
    <row r="171">
      <c r="A171" s="16">
        <v>1.0</v>
      </c>
      <c r="B171" s="16" t="s">
        <v>18</v>
      </c>
      <c r="C171" s="53">
        <v>2.0</v>
      </c>
      <c r="D171" s="53" t="s">
        <v>24</v>
      </c>
      <c r="E171" s="7">
        <v>6.0</v>
      </c>
      <c r="F171" s="53"/>
      <c r="G171" s="7"/>
      <c r="H171" s="16">
        <v>1.0</v>
      </c>
      <c r="I171" s="81">
        <v>1.0</v>
      </c>
      <c r="J171" s="115" t="s">
        <v>1949</v>
      </c>
      <c r="K171" s="41" t="s">
        <v>1934</v>
      </c>
      <c r="L171" s="109" t="s">
        <v>2663</v>
      </c>
      <c r="M171" s="39" t="str">
        <f t="shared" si="1"/>
        <v>[https://apps.dtic.mil/dtic/tr/fulltext/u2/740110.pdf Quick Sort (1961)]</v>
      </c>
      <c r="N171" s="39" t="s">
        <v>2664</v>
      </c>
      <c r="O171" s="81">
        <v>1961.0</v>
      </c>
      <c r="P171" s="28" t="s">
        <v>2665</v>
      </c>
      <c r="Q171" s="82"/>
      <c r="R171" s="82"/>
      <c r="S171" s="82"/>
      <c r="T171" s="81">
        <v>0.0</v>
      </c>
      <c r="U171" s="81">
        <v>0.0</v>
      </c>
      <c r="V171" s="89">
        <f>IFERROR(__xludf.DUMMYFUNCTION("INDEX(SPLIT(SUBSTITUTE(W171,CHAR(10), """"),"",:""), MATCH(Z171, SPLIT(SUBSTITUTE(W171,CHAR(10), """"),"",:""), 0) + 1)"),5.0)</f>
        <v>5</v>
      </c>
      <c r="W171" s="85" t="s">
        <v>1938</v>
      </c>
      <c r="X171" s="16" t="s">
        <v>61</v>
      </c>
      <c r="Y171" s="53" t="s">
        <v>1939</v>
      </c>
      <c r="Z171" s="53" t="str">
        <f t="array" ref="Z171">INDEX(Problems!J:J, MATCH(1, (Problems!B:B=B171)*1, 0))</f>
        <v>n</v>
      </c>
      <c r="AA171" s="53"/>
      <c r="AB171" s="53"/>
      <c r="AC171" s="53" t="s">
        <v>1813</v>
      </c>
      <c r="AD171" s="53" t="s">
        <v>1814</v>
      </c>
      <c r="AE171" s="85">
        <f>IFERROR(__xludf.DUMMYFUNCTION("INDEX(SPLIT(SUBSTITUTE(AF171,CHAR(10), """"),"",:""), MATCH(Z171, SPLIT(SUBSTITUTE(AF171,CHAR(10), """"),"",:""), 0) + 1)"),2.0)</f>
        <v>2</v>
      </c>
      <c r="AF171" s="85" t="s">
        <v>1962</v>
      </c>
      <c r="AG171" s="53" t="s">
        <v>2430</v>
      </c>
      <c r="AH171" s="94" t="s">
        <v>2663</v>
      </c>
      <c r="AI171" s="84">
        <v>0.0</v>
      </c>
      <c r="AJ171" s="84">
        <v>0.0</v>
      </c>
      <c r="AK171" s="87"/>
      <c r="AL171" s="81">
        <v>0.0</v>
      </c>
      <c r="AM171" s="87"/>
      <c r="AN171" s="81">
        <v>0.0</v>
      </c>
      <c r="AO171" s="116"/>
      <c r="AP171" s="81">
        <v>0.0</v>
      </c>
      <c r="AQ171" s="81">
        <v>0.0</v>
      </c>
      <c r="AR171" s="39"/>
      <c r="AS171" s="81">
        <v>0.0</v>
      </c>
      <c r="AT171" s="81">
        <v>0.0</v>
      </c>
      <c r="AU171" s="28" t="s">
        <v>1958</v>
      </c>
      <c r="AV171" s="7" t="s">
        <v>1942</v>
      </c>
      <c r="AW171" s="7">
        <v>1.0</v>
      </c>
      <c r="AX171" s="7" t="s">
        <v>1943</v>
      </c>
      <c r="AZ171" s="7"/>
      <c r="BA171" s="7"/>
      <c r="BB171" s="7"/>
      <c r="BC171" s="7"/>
      <c r="BD171" s="7"/>
      <c r="BE171" s="7"/>
      <c r="BF171" s="7">
        <v>1000000.0</v>
      </c>
      <c r="BG171" s="82">
        <f t="shared" si="28"/>
        <v>1</v>
      </c>
      <c r="BH171" s="82"/>
      <c r="BI171" s="82"/>
      <c r="BJ171" s="82"/>
      <c r="BK171" s="82"/>
      <c r="BL171" s="82"/>
      <c r="BM171" s="82"/>
      <c r="BN171" s="7"/>
      <c r="BO171" s="7">
        <v>4.0</v>
      </c>
      <c r="BP171" s="82"/>
      <c r="BQ171" s="7"/>
      <c r="BR171" s="7" t="s">
        <v>23</v>
      </c>
    </row>
    <row r="172">
      <c r="A172" s="16">
        <v>1.0</v>
      </c>
      <c r="B172" s="16" t="s">
        <v>18</v>
      </c>
      <c r="C172" s="53">
        <v>2.0</v>
      </c>
      <c r="D172" s="53" t="s">
        <v>24</v>
      </c>
      <c r="E172" s="7">
        <v>9.0</v>
      </c>
      <c r="F172" s="53"/>
      <c r="G172" s="7"/>
      <c r="H172" s="16">
        <v>1.0</v>
      </c>
      <c r="I172" s="81">
        <v>1.0</v>
      </c>
      <c r="J172" s="117" t="s">
        <v>2666</v>
      </c>
      <c r="K172" s="41" t="s">
        <v>2667</v>
      </c>
      <c r="L172" s="109" t="s">
        <v>2668</v>
      </c>
      <c r="M172" s="39" t="str">
        <f t="shared" si="1"/>
        <v>[- Tim Sort (2002)]</v>
      </c>
      <c r="N172" s="39" t="s">
        <v>2669</v>
      </c>
      <c r="O172" s="81">
        <v>2002.0</v>
      </c>
      <c r="P172" s="39" t="s">
        <v>1937</v>
      </c>
      <c r="Q172" s="82"/>
      <c r="R172" s="82"/>
      <c r="S172" s="82"/>
      <c r="T172" s="81">
        <v>0.0</v>
      </c>
      <c r="U172" s="81">
        <v>0.0</v>
      </c>
      <c r="V172" s="89">
        <f>IFERROR(__xludf.DUMMYFUNCTION("INDEX(SPLIT(SUBSTITUTE(W172,CHAR(10), """"),"",:""), MATCH(Z172, SPLIT(SUBSTITUTE(W172,CHAR(10), """"),"",:""), 0) + 1)"),4.0)</f>
        <v>4</v>
      </c>
      <c r="W172" s="85" t="s">
        <v>1791</v>
      </c>
      <c r="X172" s="16" t="s">
        <v>2670</v>
      </c>
      <c r="Y172" s="53" t="s">
        <v>1939</v>
      </c>
      <c r="Z172" s="53" t="str">
        <f t="array" ref="Z172">INDEX(Problems!J:J, MATCH(1, (Problems!B:B=B172)*1, 0))</f>
        <v>n</v>
      </c>
      <c r="AA172" s="53"/>
      <c r="AB172" s="53"/>
      <c r="AC172" s="53" t="s">
        <v>1813</v>
      </c>
      <c r="AD172" s="53" t="s">
        <v>1814</v>
      </c>
      <c r="AE172" s="85">
        <f>IFERROR(__xludf.DUMMYFUNCTION("INDEX(SPLIT(SUBSTITUTE(AF172,CHAR(10), """"),"",:""), MATCH(Z172, SPLIT(SUBSTITUTE(AF172,CHAR(10), """"),"",:""), 0) + 1)"),3.0)</f>
        <v>3</v>
      </c>
      <c r="AF172" s="85" t="s">
        <v>1763</v>
      </c>
      <c r="AG172" s="53" t="s">
        <v>35</v>
      </c>
      <c r="AH172" s="53" t="s">
        <v>1956</v>
      </c>
      <c r="AI172" s="84">
        <v>1.0</v>
      </c>
      <c r="AJ172" s="84">
        <v>0.0</v>
      </c>
      <c r="AK172" s="87"/>
      <c r="AL172" s="81">
        <v>0.0</v>
      </c>
      <c r="AM172" s="87"/>
      <c r="AN172" s="81">
        <v>0.0</v>
      </c>
      <c r="AO172" s="116"/>
      <c r="AP172" s="81">
        <v>0.0</v>
      </c>
      <c r="AQ172" s="81">
        <v>0.0</v>
      </c>
      <c r="AR172" s="39"/>
      <c r="AS172" s="81">
        <v>0.0</v>
      </c>
      <c r="AT172" s="81">
        <v>0.0</v>
      </c>
      <c r="AU172" s="28" t="s">
        <v>2671</v>
      </c>
      <c r="AV172" s="7" t="s">
        <v>1942</v>
      </c>
      <c r="AW172" s="7">
        <v>1.0</v>
      </c>
      <c r="AX172" s="7" t="s">
        <v>1943</v>
      </c>
      <c r="AZ172" s="7"/>
      <c r="BA172" s="7"/>
      <c r="BB172" s="7"/>
      <c r="BC172" s="7"/>
      <c r="BD172" s="7"/>
      <c r="BE172" s="7"/>
      <c r="BF172" s="7">
        <v>9965.0</v>
      </c>
      <c r="BG172" s="82">
        <f t="shared" si="28"/>
        <v>100.3512293</v>
      </c>
      <c r="BH172" s="82"/>
      <c r="BI172" s="82"/>
      <c r="BJ172" s="82"/>
      <c r="BK172" s="82"/>
      <c r="BL172" s="82"/>
      <c r="BM172" s="82"/>
      <c r="BN172" s="7"/>
      <c r="BO172" s="7">
        <v>4.0</v>
      </c>
      <c r="BP172" s="82"/>
      <c r="BQ172" s="7"/>
      <c r="BR172" s="7" t="s">
        <v>23</v>
      </c>
    </row>
    <row r="173">
      <c r="A173" s="16">
        <v>1.0</v>
      </c>
      <c r="B173" s="16" t="s">
        <v>18</v>
      </c>
      <c r="C173" s="53">
        <v>1.0</v>
      </c>
      <c r="D173" s="53" t="s">
        <v>24</v>
      </c>
      <c r="E173" s="7">
        <v>10.0</v>
      </c>
      <c r="F173" s="53"/>
      <c r="G173" s="7"/>
      <c r="H173" s="16">
        <v>1.0</v>
      </c>
      <c r="I173" s="81">
        <v>1.0</v>
      </c>
      <c r="J173" s="115" t="s">
        <v>1949</v>
      </c>
      <c r="K173" s="143"/>
      <c r="L173" s="143"/>
      <c r="M173" s="39" t="str">
        <f t="shared" si="1"/>
        <v>[https://www.sciencedirect.com/science/article/pii/0196677492900166?via%3Dihub Cube Sort Parallel Implementation (1992)]</v>
      </c>
      <c r="N173" s="16" t="s">
        <v>2672</v>
      </c>
      <c r="O173" s="81">
        <v>1992.0</v>
      </c>
      <c r="P173" s="28" t="s">
        <v>2673</v>
      </c>
      <c r="Q173" s="82"/>
      <c r="R173" s="82"/>
      <c r="S173" s="82"/>
      <c r="T173" s="81">
        <v>0.0</v>
      </c>
      <c r="U173" s="81">
        <v>0.0</v>
      </c>
      <c r="V173" s="89">
        <f>IFERROR(__xludf.DUMMYFUNCTION("INDEX(SPLIT(SUBSTITUTE(W173,CHAR(10), """"),"",:""), MATCH(Z173, SPLIT(SUBSTITUTE(W173,CHAR(10), """"),"",:""), 0) + 1)"),4.0)</f>
        <v>4</v>
      </c>
      <c r="W173" s="85" t="s">
        <v>1791</v>
      </c>
      <c r="X173" s="16" t="s">
        <v>2670</v>
      </c>
      <c r="Y173" s="53" t="s">
        <v>1939</v>
      </c>
      <c r="Z173" s="53" t="str">
        <f t="array" ref="Z173">INDEX(Problems!J:J, MATCH(1, (Problems!B:B=B173)*1, 0))</f>
        <v>n</v>
      </c>
      <c r="AA173" s="53"/>
      <c r="AB173" s="53"/>
      <c r="AC173" s="53" t="s">
        <v>2674</v>
      </c>
      <c r="AD173" s="53" t="s">
        <v>1814</v>
      </c>
      <c r="AE173" s="85">
        <f>IFERROR(__xludf.DUMMYFUNCTION("INDEX(SPLIT(SUBSTITUTE(AF173,CHAR(10), """"),"",:""), MATCH(Z173, SPLIT(SUBSTITUTE(AF173,CHAR(10), """"),"",:""), 0) + 1)"),3.0)</f>
        <v>3</v>
      </c>
      <c r="AF173" s="85" t="s">
        <v>1763</v>
      </c>
      <c r="AG173" s="53" t="s">
        <v>35</v>
      </c>
      <c r="AH173" s="53" t="s">
        <v>1956</v>
      </c>
      <c r="AI173" s="84">
        <v>1.0</v>
      </c>
      <c r="AJ173" s="84">
        <v>0.0</v>
      </c>
      <c r="AK173" s="87"/>
      <c r="AL173" s="81">
        <v>0.0</v>
      </c>
      <c r="AM173" s="87"/>
      <c r="AN173" s="81">
        <v>0.0</v>
      </c>
      <c r="AO173" s="116"/>
      <c r="AP173" s="81">
        <v>0.0</v>
      </c>
      <c r="AQ173" s="81">
        <v>1.0</v>
      </c>
      <c r="AR173" s="39"/>
      <c r="AS173" s="81">
        <v>0.0</v>
      </c>
      <c r="AT173" s="81">
        <v>0.0</v>
      </c>
      <c r="AU173" s="28" t="s">
        <v>2675</v>
      </c>
      <c r="AV173" s="7" t="s">
        <v>1942</v>
      </c>
      <c r="AW173" s="7">
        <v>1.0</v>
      </c>
      <c r="AX173" s="7" t="s">
        <v>1943</v>
      </c>
      <c r="AZ173" s="7"/>
      <c r="BA173" s="7"/>
      <c r="BB173" s="7"/>
      <c r="BC173" s="7"/>
      <c r="BD173" s="7"/>
      <c r="BE173" s="7"/>
      <c r="BF173" s="7">
        <v>9965.0</v>
      </c>
      <c r="BG173" s="82">
        <f t="shared" si="28"/>
        <v>100.3512293</v>
      </c>
      <c r="BH173" s="82"/>
      <c r="BI173" s="82"/>
      <c r="BJ173" s="82"/>
      <c r="BK173" s="82"/>
      <c r="BL173" s="82"/>
      <c r="BM173" s="82"/>
      <c r="BN173" s="7"/>
      <c r="BO173" s="7">
        <v>4.0</v>
      </c>
      <c r="BP173" s="82"/>
      <c r="BQ173" s="7"/>
      <c r="BR173" s="7" t="s">
        <v>23</v>
      </c>
    </row>
    <row r="174">
      <c r="A174" s="16">
        <v>1.0</v>
      </c>
      <c r="B174" s="16" t="s">
        <v>18</v>
      </c>
      <c r="C174" s="53">
        <v>1.0</v>
      </c>
      <c r="D174" s="53" t="s">
        <v>24</v>
      </c>
      <c r="E174" s="7">
        <v>11.0</v>
      </c>
      <c r="F174" s="53"/>
      <c r="G174" s="7"/>
      <c r="H174" s="16">
        <v>1.0</v>
      </c>
      <c r="I174" s="81">
        <v>1.0</v>
      </c>
      <c r="J174" s="115" t="s">
        <v>1933</v>
      </c>
      <c r="K174" s="53" t="s">
        <v>2676</v>
      </c>
      <c r="L174" s="53"/>
      <c r="M174" s="39" t="str">
        <f t="shared" si="1"/>
        <v>[https://dl.acm.org/citation.cfm?doid=368370.368387 Shell Sort (Shell) (1959)]</v>
      </c>
      <c r="N174" s="16" t="s">
        <v>2677</v>
      </c>
      <c r="O174" s="81">
        <v>1959.0</v>
      </c>
      <c r="P174" s="28" t="s">
        <v>2678</v>
      </c>
      <c r="Q174" s="82"/>
      <c r="R174" s="82"/>
      <c r="S174" s="82"/>
      <c r="T174" s="81">
        <v>0.0</v>
      </c>
      <c r="U174" s="81">
        <v>0.0</v>
      </c>
      <c r="V174" s="89">
        <f>IFERROR(__xludf.DUMMYFUNCTION("INDEX(SPLIT(SUBSTITUTE(W174,CHAR(10), """"),"",:""), MATCH(Z174, SPLIT(SUBSTITUTE(W174,CHAR(10), """"),"",:""), 0) + 1)"),5.0)</f>
        <v>5</v>
      </c>
      <c r="W174" s="85" t="s">
        <v>1938</v>
      </c>
      <c r="X174" s="16" t="s">
        <v>61</v>
      </c>
      <c r="Y174" s="53" t="s">
        <v>1939</v>
      </c>
      <c r="Z174" s="53" t="str">
        <f t="array" ref="Z174">INDEX(Problems!J:J, MATCH(1, (Problems!B:B=B174)*1, 0))</f>
        <v>n</v>
      </c>
      <c r="AA174" s="53"/>
      <c r="AB174" s="53"/>
      <c r="AC174" s="53" t="s">
        <v>1813</v>
      </c>
      <c r="AD174" s="53" t="s">
        <v>1814</v>
      </c>
      <c r="AE174" s="85">
        <f>IFERROR(__xludf.DUMMYFUNCTION("INDEX(SPLIT(SUBSTITUTE(AF174,CHAR(10), """"),"",:""), MATCH(Z174, SPLIT(SUBSTITUTE(AF174,CHAR(10), """"),"",:""), 0) + 1)"),1.0)</f>
        <v>1</v>
      </c>
      <c r="AF174" s="85" t="s">
        <v>1774</v>
      </c>
      <c r="AG174" s="53" t="s">
        <v>34</v>
      </c>
      <c r="AH174" s="53" t="s">
        <v>2679</v>
      </c>
      <c r="AI174" s="84">
        <v>1.0</v>
      </c>
      <c r="AJ174" s="84">
        <v>0.0</v>
      </c>
      <c r="AK174" s="87"/>
      <c r="AL174" s="81">
        <v>0.0</v>
      </c>
      <c r="AM174" s="87"/>
      <c r="AN174" s="81">
        <v>0.0</v>
      </c>
      <c r="AO174" s="116"/>
      <c r="AP174" s="81">
        <v>0.0</v>
      </c>
      <c r="AQ174" s="81">
        <v>0.0</v>
      </c>
      <c r="AR174" s="39"/>
      <c r="AS174" s="81">
        <v>0.0</v>
      </c>
      <c r="AT174" s="81">
        <v>0.0</v>
      </c>
      <c r="AU174" s="28" t="s">
        <v>2680</v>
      </c>
      <c r="AV174" s="7" t="s">
        <v>1942</v>
      </c>
      <c r="AW174" s="7">
        <v>1.0</v>
      </c>
      <c r="AX174" s="7" t="s">
        <v>1943</v>
      </c>
      <c r="AY174" s="7"/>
      <c r="AZ174" s="7"/>
      <c r="BA174" s="7"/>
      <c r="BB174" s="7"/>
      <c r="BC174" s="7"/>
      <c r="BD174" s="7"/>
      <c r="BE174" s="7"/>
      <c r="BF174" s="7">
        <v>1000000.0</v>
      </c>
      <c r="BG174" s="82">
        <f t="shared" si="28"/>
        <v>1</v>
      </c>
      <c r="BH174" s="82"/>
      <c r="BI174" s="82"/>
      <c r="BJ174" s="82"/>
      <c r="BK174" s="82"/>
      <c r="BL174" s="82"/>
      <c r="BM174" s="82"/>
      <c r="BN174" s="7"/>
      <c r="BO174" s="7">
        <v>4.0</v>
      </c>
      <c r="BP174" s="82"/>
      <c r="BQ174" s="7"/>
      <c r="BR174" s="7" t="s">
        <v>23</v>
      </c>
    </row>
    <row r="175">
      <c r="A175" s="16">
        <v>1.0</v>
      </c>
      <c r="B175" s="16" t="s">
        <v>18</v>
      </c>
      <c r="C175" s="53">
        <v>1.0</v>
      </c>
      <c r="D175" s="53" t="s">
        <v>24</v>
      </c>
      <c r="E175" s="7">
        <v>12.0</v>
      </c>
      <c r="F175" s="53"/>
      <c r="G175" s="7"/>
      <c r="H175" s="16">
        <v>1.0</v>
      </c>
      <c r="I175" s="81">
        <v>1.0</v>
      </c>
      <c r="J175" s="23" t="s">
        <v>2681</v>
      </c>
      <c r="K175" s="53" t="s">
        <v>2682</v>
      </c>
      <c r="L175" s="53"/>
      <c r="M175" s="39" t="str">
        <f t="shared" si="1"/>
        <v>[https://dl.acm.org/citation.cfm?doid=366947.366957 Shell Sort (Frank &amp; Lazarus) (1960)]</v>
      </c>
      <c r="N175" s="16" t="s">
        <v>2683</v>
      </c>
      <c r="O175" s="81">
        <v>1960.0</v>
      </c>
      <c r="P175" s="28" t="s">
        <v>2684</v>
      </c>
      <c r="Q175" s="82"/>
      <c r="R175" s="82"/>
      <c r="S175" s="82"/>
      <c r="T175" s="81">
        <v>0.0</v>
      </c>
      <c r="U175" s="81">
        <v>0.0</v>
      </c>
      <c r="V175" s="89">
        <f>IFERROR(__xludf.DUMMYFUNCTION("INDEX(SPLIT(SUBSTITUTE(W175,CHAR(10), """"),"",:""), MATCH(Z175, SPLIT(SUBSTITUTE(W175,CHAR(10), """"),"",:""), 0) + 1)"),4.5)</f>
        <v>4.5</v>
      </c>
      <c r="W175" s="85" t="s">
        <v>2685</v>
      </c>
      <c r="X175" s="16" t="s">
        <v>2686</v>
      </c>
      <c r="Y175" s="53" t="s">
        <v>1939</v>
      </c>
      <c r="Z175" s="53" t="str">
        <f t="array" ref="Z175">INDEX(Problems!J:J, MATCH(1, (Problems!B:B=B175)*1, 0))</f>
        <v>n</v>
      </c>
      <c r="AA175" s="53"/>
      <c r="AB175" s="53"/>
      <c r="AC175" s="53" t="s">
        <v>1813</v>
      </c>
      <c r="AD175" s="53" t="s">
        <v>1814</v>
      </c>
      <c r="AE175" s="85">
        <f>IFERROR(__xludf.DUMMYFUNCTION("INDEX(SPLIT(SUBSTITUTE(AF175,CHAR(10), """"),"",:""), MATCH(Z175, SPLIT(SUBSTITUTE(AF175,CHAR(10), """"),"",:""), 0) + 1)"),1.0)</f>
        <v>1</v>
      </c>
      <c r="AF175" s="85" t="s">
        <v>1774</v>
      </c>
      <c r="AG175" s="53" t="s">
        <v>34</v>
      </c>
      <c r="AH175" s="53" t="s">
        <v>2679</v>
      </c>
      <c r="AI175" s="84">
        <v>1.0</v>
      </c>
      <c r="AJ175" s="84">
        <v>0.0</v>
      </c>
      <c r="AK175" s="87"/>
      <c r="AL175" s="81">
        <v>0.0</v>
      </c>
      <c r="AM175" s="87"/>
      <c r="AN175" s="81">
        <v>0.0</v>
      </c>
      <c r="AO175" s="116"/>
      <c r="AP175" s="81">
        <v>0.0</v>
      </c>
      <c r="AQ175" s="81">
        <v>0.0</v>
      </c>
      <c r="AR175" s="39"/>
      <c r="AS175" s="81">
        <v>0.0</v>
      </c>
      <c r="AT175" s="81">
        <v>0.0</v>
      </c>
      <c r="AU175" s="28" t="s">
        <v>2680</v>
      </c>
      <c r="AV175" s="7" t="s">
        <v>1942</v>
      </c>
      <c r="AW175" s="7">
        <v>1.0</v>
      </c>
      <c r="AX175" s="7" t="s">
        <v>1943</v>
      </c>
      <c r="AY175" s="7" t="s">
        <v>2687</v>
      </c>
      <c r="AZ175" s="7"/>
      <c r="BA175" s="7"/>
      <c r="BB175" s="7"/>
      <c r="BC175" s="7"/>
      <c r="BD175" s="7"/>
      <c r="BE175" s="7"/>
      <c r="BF175" s="7">
        <v>31622.0</v>
      </c>
      <c r="BG175" s="82">
        <f t="shared" si="28"/>
        <v>31.62355322</v>
      </c>
      <c r="BH175" s="82"/>
      <c r="BI175" s="82"/>
      <c r="BJ175" s="82"/>
      <c r="BK175" s="82"/>
      <c r="BL175" s="82"/>
      <c r="BM175" s="82"/>
      <c r="BN175" s="7"/>
      <c r="BO175" s="7">
        <v>4.0</v>
      </c>
      <c r="BP175" s="82"/>
      <c r="BQ175" s="7"/>
      <c r="BR175" s="7" t="s">
        <v>23</v>
      </c>
    </row>
    <row r="176">
      <c r="A176" s="16">
        <v>1.0</v>
      </c>
      <c r="B176" s="16" t="s">
        <v>18</v>
      </c>
      <c r="C176" s="53">
        <v>1.0</v>
      </c>
      <c r="D176" s="53" t="s">
        <v>24</v>
      </c>
      <c r="E176" s="7">
        <v>13.0</v>
      </c>
      <c r="F176" s="53"/>
      <c r="G176" s="7"/>
      <c r="H176" s="16">
        <v>1.0</v>
      </c>
      <c r="I176" s="81">
        <v>1.0</v>
      </c>
      <c r="J176" s="115" t="s">
        <v>2688</v>
      </c>
      <c r="K176" s="53" t="s">
        <v>2682</v>
      </c>
      <c r="L176" s="53"/>
      <c r="M176" s="39" t="str">
        <f t="shared" si="1"/>
        <v>[https://apps.dtic.mil/sti/pdfs/AD0740110.pdf Shell Sort (Pratt) (1971)]</v>
      </c>
      <c r="N176" s="16" t="s">
        <v>2689</v>
      </c>
      <c r="O176" s="81">
        <v>1971.0</v>
      </c>
      <c r="P176" s="25" t="s">
        <v>2690</v>
      </c>
      <c r="Q176" s="82"/>
      <c r="R176" s="82"/>
      <c r="S176" s="82"/>
      <c r="T176" s="81">
        <v>0.0</v>
      </c>
      <c r="U176" s="81">
        <v>0.0</v>
      </c>
      <c r="V176" s="89">
        <f>IFERROR(__xludf.DUMMYFUNCTION("INDEX(SPLIT(SUBSTITUTE(W176,CHAR(10), """"),"",:""), MATCH(Z176, SPLIT(SUBSTITUTE(W176,CHAR(10), """"),"",:""), 0) + 1)"),4.01)</f>
        <v>4.01</v>
      </c>
      <c r="W176" s="85" t="s">
        <v>2691</v>
      </c>
      <c r="X176" s="16" t="s">
        <v>2692</v>
      </c>
      <c r="Y176" s="53" t="s">
        <v>1939</v>
      </c>
      <c r="Z176" s="53" t="str">
        <f t="array" ref="Z176">INDEX(Problems!J:J, MATCH(1, (Problems!B:B=B176)*1, 0))</f>
        <v>n</v>
      </c>
      <c r="AA176" s="53"/>
      <c r="AB176" s="53"/>
      <c r="AC176" s="53" t="s">
        <v>1813</v>
      </c>
      <c r="AD176" s="53" t="s">
        <v>1814</v>
      </c>
      <c r="AE176" s="85">
        <f>IFERROR(__xludf.DUMMYFUNCTION("INDEX(SPLIT(SUBSTITUTE(AF176,CHAR(10), """"),"",:""), MATCH(Z176, SPLIT(SUBSTITUTE(AF176,CHAR(10), """"),"",:""), 0) + 1)"),1.0)</f>
        <v>1</v>
      </c>
      <c r="AF176" s="85" t="s">
        <v>1774</v>
      </c>
      <c r="AG176" s="53" t="s">
        <v>34</v>
      </c>
      <c r="AH176" s="53" t="s">
        <v>2679</v>
      </c>
      <c r="AI176" s="84">
        <v>1.0</v>
      </c>
      <c r="AJ176" s="84">
        <v>0.0</v>
      </c>
      <c r="AK176" s="87"/>
      <c r="AL176" s="81">
        <v>0.0</v>
      </c>
      <c r="AM176" s="87"/>
      <c r="AN176" s="81">
        <v>0.0</v>
      </c>
      <c r="AO176" s="116"/>
      <c r="AP176" s="81">
        <v>0.0</v>
      </c>
      <c r="AQ176" s="81">
        <v>0.0</v>
      </c>
      <c r="AR176" s="39"/>
      <c r="AS176" s="81">
        <v>0.0</v>
      </c>
      <c r="AT176" s="81">
        <v>0.0</v>
      </c>
      <c r="AU176" s="28" t="s">
        <v>2680</v>
      </c>
      <c r="AV176" s="7" t="s">
        <v>1942</v>
      </c>
      <c r="AW176" s="7">
        <v>1.0</v>
      </c>
      <c r="AX176" s="7" t="s">
        <v>1943</v>
      </c>
      <c r="AY176" s="7"/>
      <c r="AZ176" s="7"/>
      <c r="BA176" s="7"/>
      <c r="BB176" s="7"/>
      <c r="BC176" s="7"/>
      <c r="BD176" s="7"/>
      <c r="BE176" s="7"/>
      <c r="BF176" s="7">
        <v>99301.0</v>
      </c>
      <c r="BG176" s="82">
        <f t="shared" si="28"/>
        <v>10.07039204</v>
      </c>
      <c r="BH176" s="82"/>
      <c r="BI176" s="82"/>
      <c r="BJ176" s="82"/>
      <c r="BK176" s="82"/>
      <c r="BL176" s="82"/>
      <c r="BM176" s="82"/>
      <c r="BN176" s="7"/>
      <c r="BO176" s="7">
        <v>4.0</v>
      </c>
      <c r="BP176" s="82"/>
      <c r="BQ176" s="7"/>
      <c r="BR176" s="7" t="s">
        <v>23</v>
      </c>
    </row>
    <row r="177">
      <c r="A177" s="16">
        <v>1.0</v>
      </c>
      <c r="B177" s="16" t="s">
        <v>18</v>
      </c>
      <c r="C177" s="53">
        <v>1.0</v>
      </c>
      <c r="D177" s="53" t="s">
        <v>24</v>
      </c>
      <c r="E177" s="7">
        <v>14.0</v>
      </c>
      <c r="F177" s="53"/>
      <c r="G177" s="7"/>
      <c r="H177" s="16">
        <v>1.0</v>
      </c>
      <c r="I177" s="81">
        <v>1.0</v>
      </c>
      <c r="J177" s="23" t="s">
        <v>2693</v>
      </c>
      <c r="K177" s="53" t="s">
        <v>2682</v>
      </c>
      <c r="L177" s="53"/>
      <c r="M177" s="39" t="str">
        <f t="shared" si="1"/>
        <v>[https://www.sciencedirect.com/science/article/pii/0196677486900015?via%3Dihub Shell Sort (Sedgewick) (1986)]</v>
      </c>
      <c r="N177" s="16" t="s">
        <v>2694</v>
      </c>
      <c r="O177" s="81">
        <v>1986.0</v>
      </c>
      <c r="P177" s="28" t="s">
        <v>2695</v>
      </c>
      <c r="Q177" s="82"/>
      <c r="R177" s="82"/>
      <c r="S177" s="82"/>
      <c r="T177" s="81">
        <v>0.0</v>
      </c>
      <c r="U177" s="81">
        <v>0.0</v>
      </c>
      <c r="V177" s="89">
        <f>IFERROR(__xludf.DUMMYFUNCTION("INDEX(SPLIT(SUBSTITUTE(W177,CHAR(10), """"),"",:""), MATCH(Z177, SPLIT(SUBSTITUTE(W177,CHAR(10), """"),"",:""), 0) + 1)"),4.33)</f>
        <v>4.33</v>
      </c>
      <c r="W177" s="85" t="s">
        <v>2696</v>
      </c>
      <c r="X177" s="16" t="s">
        <v>2697</v>
      </c>
      <c r="Y177" s="53" t="s">
        <v>1939</v>
      </c>
      <c r="Z177" s="53" t="str">
        <f t="array" ref="Z177">INDEX(Problems!J:J, MATCH(1, (Problems!B:B=B177)*1, 0))</f>
        <v>n</v>
      </c>
      <c r="AA177" s="53"/>
      <c r="AB177" s="53"/>
      <c r="AC177" s="53" t="s">
        <v>1813</v>
      </c>
      <c r="AD177" s="53" t="s">
        <v>1814</v>
      </c>
      <c r="AE177" s="85">
        <f>IFERROR(__xludf.DUMMYFUNCTION("INDEX(SPLIT(SUBSTITUTE(AF177,CHAR(10), """"),"",:""), MATCH(Z177, SPLIT(SUBSTITUTE(AF177,CHAR(10), """"),"",:""), 0) + 1)"),1.0)</f>
        <v>1</v>
      </c>
      <c r="AF177" s="85" t="s">
        <v>1774</v>
      </c>
      <c r="AG177" s="53" t="s">
        <v>34</v>
      </c>
      <c r="AH177" s="53" t="s">
        <v>2679</v>
      </c>
      <c r="AI177" s="84">
        <v>1.0</v>
      </c>
      <c r="AJ177" s="84">
        <v>0.0</v>
      </c>
      <c r="AK177" s="87"/>
      <c r="AL177" s="81">
        <v>0.0</v>
      </c>
      <c r="AM177" s="87"/>
      <c r="AN177" s="81">
        <v>0.0</v>
      </c>
      <c r="AO177" s="116"/>
      <c r="AP177" s="81">
        <v>0.0</v>
      </c>
      <c r="AQ177" s="81">
        <v>0.0</v>
      </c>
      <c r="AR177" s="39"/>
      <c r="AS177" s="81">
        <v>0.0</v>
      </c>
      <c r="AT177" s="81">
        <v>0.0</v>
      </c>
      <c r="AU177" s="28" t="s">
        <v>2680</v>
      </c>
      <c r="AV177" s="7" t="s">
        <v>1942</v>
      </c>
      <c r="AW177" s="7">
        <v>1.0</v>
      </c>
      <c r="AX177" s="7" t="s">
        <v>1943</v>
      </c>
      <c r="AY177" s="7"/>
      <c r="AZ177" s="7"/>
      <c r="BA177" s="7"/>
      <c r="BB177" s="7"/>
      <c r="BC177" s="7"/>
      <c r="BD177" s="7"/>
      <c r="BE177" s="7"/>
      <c r="BF177" s="7">
        <v>9772.0</v>
      </c>
      <c r="BG177" s="82">
        <f t="shared" si="28"/>
        <v>102.3331969</v>
      </c>
      <c r="BH177" s="82"/>
      <c r="BI177" s="82"/>
      <c r="BJ177" s="82"/>
      <c r="BK177" s="82"/>
      <c r="BL177" s="82"/>
      <c r="BM177" s="82"/>
      <c r="BN177" s="7"/>
      <c r="BO177" s="7">
        <v>4.0</v>
      </c>
      <c r="BP177" s="82"/>
      <c r="BQ177" s="7"/>
      <c r="BR177" s="7" t="s">
        <v>23</v>
      </c>
    </row>
    <row r="178" ht="63.75" customHeight="1">
      <c r="A178" s="16">
        <v>1.0</v>
      </c>
      <c r="B178" s="16" t="s">
        <v>18</v>
      </c>
      <c r="C178" s="53">
        <v>2.0</v>
      </c>
      <c r="D178" s="53" t="s">
        <v>24</v>
      </c>
      <c r="E178" s="7">
        <v>17.0</v>
      </c>
      <c r="F178" s="53"/>
      <c r="G178" s="7"/>
      <c r="H178" s="16">
        <v>1.0</v>
      </c>
      <c r="I178" s="81">
        <v>1.0</v>
      </c>
      <c r="J178" s="115" t="s">
        <v>2698</v>
      </c>
      <c r="K178" s="53"/>
      <c r="L178" s="53"/>
      <c r="M178" s="39" t="str">
        <f t="shared" si="1"/>
        <v>[https://epubs.siam.org/doi/abs/10.1137/0218014 Bitonic Merge Sort Parallel Implementation (1968)]</v>
      </c>
      <c r="N178" s="39" t="s">
        <v>2699</v>
      </c>
      <c r="O178" s="81">
        <v>1968.0</v>
      </c>
      <c r="P178" s="25" t="s">
        <v>2700</v>
      </c>
      <c r="Q178" s="82"/>
      <c r="R178" s="82"/>
      <c r="S178" s="82"/>
      <c r="T178" s="81">
        <v>0.0</v>
      </c>
      <c r="U178" s="81">
        <v>0.0</v>
      </c>
      <c r="V178" s="89">
        <f>IFERROR(__xludf.DUMMYFUNCTION("INDEX(SPLIT(SUBSTITUTE(W178,CHAR(10), """"),"",:""), MATCH(Z178, SPLIT(SUBSTITUTE(W178,CHAR(10), """"),"",:""), 0) + 1)"),2.0)</f>
        <v>2</v>
      </c>
      <c r="W178" s="85" t="s">
        <v>1962</v>
      </c>
      <c r="X178" s="16" t="s">
        <v>2701</v>
      </c>
      <c r="Y178" s="53" t="s">
        <v>1939</v>
      </c>
      <c r="Z178" s="53" t="str">
        <f t="array" ref="Z178">INDEX(Problems!J:J, MATCH(1, (Problems!B:B=B178)*1, 0))</f>
        <v>n</v>
      </c>
      <c r="AA178" s="53"/>
      <c r="AB178" s="53"/>
      <c r="AC178" s="53" t="s">
        <v>2702</v>
      </c>
      <c r="AD178" s="53" t="s">
        <v>1814</v>
      </c>
      <c r="AE178" s="85">
        <f>IFERROR(__xludf.DUMMYFUNCTION("INDEX(SPLIT(SUBSTITUTE(AF178,CHAR(10), """"),"",:""), MATCH(Z178, SPLIT(SUBSTITUTE(AF178,CHAR(10), """"),"",:""), 0) + 1)"),1.0)</f>
        <v>1</v>
      </c>
      <c r="AF178" s="85" t="s">
        <v>1774</v>
      </c>
      <c r="AG178" s="53" t="s">
        <v>34</v>
      </c>
      <c r="AH178" s="53" t="s">
        <v>2703</v>
      </c>
      <c r="AI178" s="84">
        <v>0.0</v>
      </c>
      <c r="AJ178" s="84">
        <v>1.0</v>
      </c>
      <c r="AK178" s="87"/>
      <c r="AL178" s="81">
        <v>0.0</v>
      </c>
      <c r="AM178" s="87"/>
      <c r="AN178" s="81">
        <v>0.0</v>
      </c>
      <c r="AO178" s="116"/>
      <c r="AP178" s="81">
        <v>0.0</v>
      </c>
      <c r="AQ178" s="81">
        <v>1.0</v>
      </c>
      <c r="AR178" s="21" t="s">
        <v>2704</v>
      </c>
      <c r="AS178" s="81">
        <v>0.0</v>
      </c>
      <c r="AT178" s="81">
        <v>0.0</v>
      </c>
      <c r="AU178" s="39" t="s">
        <v>1937</v>
      </c>
      <c r="AV178" s="7" t="s">
        <v>1942</v>
      </c>
      <c r="AW178" s="7">
        <v>1.0</v>
      </c>
      <c r="AX178" s="7" t="s">
        <v>1943</v>
      </c>
      <c r="AY178" s="7"/>
      <c r="AZ178" s="7"/>
      <c r="BA178" s="7"/>
      <c r="BB178" s="7"/>
      <c r="BC178" s="7"/>
      <c r="BD178" s="7"/>
      <c r="BE178" s="7"/>
      <c r="BF178" s="7">
        <v>99.0</v>
      </c>
      <c r="BG178" s="82">
        <f t="shared" si="28"/>
        <v>10101.0101</v>
      </c>
      <c r="BH178" s="82"/>
      <c r="BI178" s="82"/>
      <c r="BJ178" s="82"/>
      <c r="BK178" s="82"/>
      <c r="BL178" s="82"/>
      <c r="BM178" s="82"/>
      <c r="BN178" s="7"/>
      <c r="BO178" s="7">
        <v>4.0</v>
      </c>
      <c r="BP178" s="82"/>
      <c r="BQ178" s="7"/>
      <c r="BR178" s="7" t="s">
        <v>23</v>
      </c>
    </row>
    <row r="179">
      <c r="A179" s="16">
        <v>1.0</v>
      </c>
      <c r="B179" s="16" t="s">
        <v>18</v>
      </c>
      <c r="C179" s="53">
        <v>2.0</v>
      </c>
      <c r="D179" s="53" t="s">
        <v>24</v>
      </c>
      <c r="E179" s="7">
        <v>22.0</v>
      </c>
      <c r="F179" s="53"/>
      <c r="G179" s="7"/>
      <c r="H179" s="16">
        <v>1.0</v>
      </c>
      <c r="I179" s="81">
        <v>1.0</v>
      </c>
      <c r="J179" s="115" t="s">
        <v>2705</v>
      </c>
      <c r="K179" s="53"/>
      <c r="L179" s="53"/>
      <c r="M179" s="39" t="str">
        <f t="shared" si="1"/>
        <v>[https://www.sciencedirect.com/science/article/pii/S0196677402912113 Thorup's Sorting Algorithm (2002)]</v>
      </c>
      <c r="N179" s="39" t="s">
        <v>2706</v>
      </c>
      <c r="O179" s="81">
        <v>2002.0</v>
      </c>
      <c r="P179" s="25" t="s">
        <v>2707</v>
      </c>
      <c r="Q179" s="82"/>
      <c r="R179" s="82"/>
      <c r="S179" s="82"/>
      <c r="T179" s="81">
        <v>0.0</v>
      </c>
      <c r="U179" s="81">
        <v>0.0</v>
      </c>
      <c r="V179" s="89">
        <f>IFERROR(__xludf.DUMMYFUNCTION("INDEX(SPLIT(SUBSTITUTE(W179,CHAR(10), """"),"",:""), MATCH(Z179, SPLIT(SUBSTITUTE(W179,CHAR(10), """"),"",:""), 0) + 1)"),4.0)</f>
        <v>4</v>
      </c>
      <c r="W179" s="85" t="s">
        <v>1791</v>
      </c>
      <c r="X179" s="16" t="s">
        <v>2708</v>
      </c>
      <c r="Y179" s="53" t="s">
        <v>1939</v>
      </c>
      <c r="Z179" s="53" t="str">
        <f t="array" ref="Z179">INDEX(Problems!J:J, MATCH(1, (Problems!B:B=B179)*1, 0))</f>
        <v>n</v>
      </c>
      <c r="AA179" s="53"/>
      <c r="AB179" s="53"/>
      <c r="AC179" s="53" t="s">
        <v>1813</v>
      </c>
      <c r="AD179" s="53" t="s">
        <v>1814</v>
      </c>
      <c r="AE179" s="85">
        <f>IFERROR(__xludf.DUMMYFUNCTION("INDEX(SPLIT(SUBSTITUTE(AF179,CHAR(10), """"),"",:""), MATCH(Z179, SPLIT(SUBSTITUTE(AF179,CHAR(10), """"),"",:""), 0) + 1)"),3.0)</f>
        <v>3</v>
      </c>
      <c r="AF179" s="85" t="s">
        <v>1763</v>
      </c>
      <c r="AG179" s="53" t="s">
        <v>35</v>
      </c>
      <c r="AH179" s="86" t="s">
        <v>2707</v>
      </c>
      <c r="AI179" s="84">
        <v>0.0</v>
      </c>
      <c r="AJ179" s="84">
        <v>1.0</v>
      </c>
      <c r="AK179" s="87"/>
      <c r="AL179" s="81">
        <v>0.0</v>
      </c>
      <c r="AM179" s="87"/>
      <c r="AN179" s="81">
        <v>0.0</v>
      </c>
      <c r="AO179" s="116"/>
      <c r="AP179" s="81">
        <v>0.0</v>
      </c>
      <c r="AQ179" s="81">
        <v>0.0</v>
      </c>
      <c r="AR179" s="81">
        <v>0.0</v>
      </c>
      <c r="AS179" s="81">
        <v>0.0</v>
      </c>
      <c r="AT179" s="81">
        <v>0.0</v>
      </c>
      <c r="AU179" s="39"/>
      <c r="AV179" s="7" t="s">
        <v>1942</v>
      </c>
      <c r="AW179" s="7">
        <v>1.0</v>
      </c>
      <c r="AX179" s="7" t="s">
        <v>1943</v>
      </c>
      <c r="AY179" s="7"/>
      <c r="AZ179" s="7"/>
      <c r="BA179" s="7"/>
      <c r="BB179" s="7"/>
      <c r="BC179" s="7"/>
      <c r="BD179" s="7"/>
      <c r="BE179" s="7"/>
      <c r="BF179" s="7">
        <v>3316.0</v>
      </c>
      <c r="BG179" s="82">
        <f t="shared" si="28"/>
        <v>301.5681544</v>
      </c>
      <c r="BH179" s="82"/>
      <c r="BI179" s="82"/>
      <c r="BJ179" s="82"/>
      <c r="BK179" s="82"/>
      <c r="BL179" s="82"/>
      <c r="BM179" s="82"/>
      <c r="BN179" s="7"/>
      <c r="BO179" s="7">
        <v>4.0</v>
      </c>
      <c r="BP179" s="82"/>
      <c r="BQ179" s="7"/>
      <c r="BR179" s="7" t="s">
        <v>23</v>
      </c>
    </row>
    <row r="180">
      <c r="A180" s="16">
        <v>1.0</v>
      </c>
      <c r="B180" s="16" t="s">
        <v>18</v>
      </c>
      <c r="C180" s="53">
        <v>2.0</v>
      </c>
      <c r="D180" s="53" t="s">
        <v>29</v>
      </c>
      <c r="E180" s="7">
        <v>1500.0</v>
      </c>
      <c r="F180" s="53"/>
      <c r="G180" s="7"/>
      <c r="H180" s="16">
        <v>1.0</v>
      </c>
      <c r="I180" s="81">
        <v>1.0</v>
      </c>
      <c r="J180" s="115" t="s">
        <v>1933</v>
      </c>
      <c r="K180" s="53" t="s">
        <v>2709</v>
      </c>
      <c r="L180" s="53" t="s">
        <v>2710</v>
      </c>
      <c r="M180" s="39" t="str">
        <f t="shared" si="1"/>
        <v>[- Naive sorting (1940)]</v>
      </c>
      <c r="N180" s="39" t="s">
        <v>1936</v>
      </c>
      <c r="O180" s="81">
        <v>1940.0</v>
      </c>
      <c r="P180" s="39" t="s">
        <v>1937</v>
      </c>
      <c r="Q180" s="7">
        <v>1.0</v>
      </c>
      <c r="R180" s="7">
        <v>1.0</v>
      </c>
      <c r="S180" s="7"/>
      <c r="T180" s="81">
        <v>1.0</v>
      </c>
      <c r="U180" s="81">
        <v>0.0</v>
      </c>
      <c r="V180" s="89">
        <f>IFERROR(__xludf.DUMMYFUNCTION("INDEX(SPLIT(SUBSTITUTE(W180,CHAR(10), """"),"",:""), MATCH(Z180, SPLIT(SUBSTITUTE(W180,CHAR(10), """"),"",:""), 0) + 1)"),5.0)</f>
        <v>5</v>
      </c>
      <c r="W180" s="85" t="s">
        <v>1938</v>
      </c>
      <c r="X180" s="16" t="s">
        <v>61</v>
      </c>
      <c r="Y180" s="53" t="s">
        <v>1939</v>
      </c>
      <c r="Z180" s="53" t="str">
        <f t="array" ref="Z180">INDEX(Problems!J:J, MATCH(1, (Problems!B:B=B180)*1, 0))</f>
        <v>n</v>
      </c>
      <c r="AA180" s="53"/>
      <c r="AB180" s="53"/>
      <c r="AC180" s="53" t="s">
        <v>1813</v>
      </c>
      <c r="AD180" s="53" t="s">
        <v>1814</v>
      </c>
      <c r="AE180" s="85">
        <f>IFERROR(__xludf.DUMMYFUNCTION("INDEX(SPLIT(SUBSTITUTE(AF180,CHAR(10), """"),"",:""), MATCH(Z180, SPLIT(SUBSTITUTE(AF180,CHAR(10), """"),"",:""), 0) + 1)"),1.0)</f>
        <v>1</v>
      </c>
      <c r="AF180" s="85" t="s">
        <v>1774</v>
      </c>
      <c r="AG180" s="53" t="s">
        <v>34</v>
      </c>
      <c r="AH180" s="53" t="s">
        <v>2679</v>
      </c>
      <c r="AI180" s="84">
        <v>1.0</v>
      </c>
      <c r="AJ180" s="84">
        <v>0.0</v>
      </c>
      <c r="AK180" s="87"/>
      <c r="AL180" s="81">
        <v>0.0</v>
      </c>
      <c r="AM180" s="87"/>
      <c r="AN180" s="81">
        <v>0.0</v>
      </c>
      <c r="AO180" s="116"/>
      <c r="AP180" s="81">
        <v>0.0</v>
      </c>
      <c r="AQ180" s="81">
        <v>0.0</v>
      </c>
      <c r="AR180" s="39"/>
      <c r="AS180" s="81">
        <v>0.0</v>
      </c>
      <c r="AT180" s="81">
        <v>0.0</v>
      </c>
      <c r="AU180" s="39" t="s">
        <v>1937</v>
      </c>
      <c r="AV180" s="7" t="s">
        <v>1942</v>
      </c>
      <c r="AW180" s="7">
        <v>1.0</v>
      </c>
      <c r="AX180" s="7" t="s">
        <v>1943</v>
      </c>
      <c r="AY180" s="7" t="s">
        <v>1944</v>
      </c>
      <c r="AZ180" s="7"/>
      <c r="BA180" s="7"/>
      <c r="BB180" s="7"/>
      <c r="BC180" s="7"/>
      <c r="BD180" s="7"/>
      <c r="BE180" s="7"/>
      <c r="BF180" s="7">
        <v>1000000.0</v>
      </c>
      <c r="BG180" s="82">
        <f t="shared" si="28"/>
        <v>1</v>
      </c>
      <c r="BH180" s="7"/>
      <c r="BI180" s="7">
        <v>1000000.0</v>
      </c>
      <c r="BJ180" s="7">
        <v>1.0</v>
      </c>
      <c r="BK180" s="7"/>
      <c r="BL180" s="7">
        <v>1.0E9</v>
      </c>
      <c r="BM180" s="7">
        <v>1.0</v>
      </c>
      <c r="BN180" s="7"/>
      <c r="BO180" s="7">
        <v>4.0</v>
      </c>
      <c r="BP180" s="7" t="s">
        <v>1944</v>
      </c>
      <c r="BQ180" s="7" t="s">
        <v>1944</v>
      </c>
      <c r="BR180" s="7" t="s">
        <v>23</v>
      </c>
    </row>
    <row r="181">
      <c r="A181" s="16">
        <v>1.0</v>
      </c>
      <c r="B181" s="16" t="s">
        <v>18</v>
      </c>
      <c r="C181" s="53">
        <v>2.0</v>
      </c>
      <c r="D181" s="53" t="s">
        <v>29</v>
      </c>
      <c r="E181" s="7">
        <v>15.0</v>
      </c>
      <c r="F181" s="53"/>
      <c r="G181" s="7"/>
      <c r="H181" s="16">
        <v>1.0</v>
      </c>
      <c r="I181" s="81">
        <v>1.0</v>
      </c>
      <c r="J181" s="115" t="s">
        <v>35</v>
      </c>
      <c r="K181" s="53" t="s">
        <v>1972</v>
      </c>
      <c r="L181" s="53" t="s">
        <v>1956</v>
      </c>
      <c r="M181" s="39" t="str">
        <f t="shared" si="1"/>
        <v>[http://www.neubert.net/FSOIntro.html Flash Sort (1998)]</v>
      </c>
      <c r="N181" s="39" t="s">
        <v>2711</v>
      </c>
      <c r="O181" s="81">
        <v>1998.0</v>
      </c>
      <c r="P181" s="28" t="s">
        <v>2712</v>
      </c>
      <c r="Q181" s="82"/>
      <c r="R181" s="82"/>
      <c r="S181" s="82"/>
      <c r="T181" s="81">
        <v>0.0</v>
      </c>
      <c r="U181" s="81">
        <v>0.0</v>
      </c>
      <c r="V181" s="89">
        <f>IFERROR(__xludf.DUMMYFUNCTION("INDEX(SPLIT(SUBSTITUTE(W181,CHAR(10), """"),"",:""), MATCH(Z181, SPLIT(SUBSTITUTE(W181,CHAR(10), """"),"",:""), 0) + 1)"),5.0)</f>
        <v>5</v>
      </c>
      <c r="W181" s="85" t="s">
        <v>1938</v>
      </c>
      <c r="X181" s="16" t="s">
        <v>61</v>
      </c>
      <c r="Y181" s="53" t="s">
        <v>1939</v>
      </c>
      <c r="Z181" s="53" t="str">
        <f t="array" ref="Z181">INDEX(Problems!J:J, MATCH(1, (Problems!B:B=B181)*1, 0))</f>
        <v>n</v>
      </c>
      <c r="AA181" s="53"/>
      <c r="AB181" s="53"/>
      <c r="AC181" s="53" t="s">
        <v>1813</v>
      </c>
      <c r="AD181" s="53" t="s">
        <v>1814</v>
      </c>
      <c r="AE181" s="85">
        <f>IFERROR(__xludf.DUMMYFUNCTION("INDEX(SPLIT(SUBSTITUTE(AF181,CHAR(10), """"),"",:""), MATCH(Z181, SPLIT(SUBSTITUTE(AF181,CHAR(10), """"),"",:""), 0) + 1)"),3.0)</f>
        <v>3</v>
      </c>
      <c r="AF181" s="85" t="s">
        <v>1763</v>
      </c>
      <c r="AG181" s="53" t="s">
        <v>35</v>
      </c>
      <c r="AH181" s="86" t="s">
        <v>2713</v>
      </c>
      <c r="AI181" s="84">
        <v>0.0</v>
      </c>
      <c r="AJ181" s="84">
        <v>1.0</v>
      </c>
      <c r="AK181" s="87"/>
      <c r="AL181" s="81">
        <v>0.0</v>
      </c>
      <c r="AM181" s="87"/>
      <c r="AN181" s="81">
        <v>0.0</v>
      </c>
      <c r="AO181" s="116"/>
      <c r="AP181" s="81">
        <v>0.0</v>
      </c>
      <c r="AQ181" s="81">
        <v>0.0</v>
      </c>
      <c r="AR181" s="39"/>
      <c r="AS181" s="81">
        <v>0.0</v>
      </c>
      <c r="AT181" s="81">
        <v>0.0</v>
      </c>
      <c r="AU181" s="39" t="s">
        <v>1937</v>
      </c>
      <c r="AV181" s="7" t="s">
        <v>1942</v>
      </c>
      <c r="AW181" s="7">
        <v>1.0</v>
      </c>
      <c r="AX181" s="7" t="s">
        <v>1943</v>
      </c>
      <c r="AY181" s="7"/>
      <c r="AZ181" s="7"/>
      <c r="BA181" s="7"/>
      <c r="BB181" s="7"/>
      <c r="BC181" s="7"/>
      <c r="BD181" s="7"/>
      <c r="BE181" s="7"/>
      <c r="BF181" s="7">
        <v>1000.0</v>
      </c>
      <c r="BG181" s="82">
        <f t="shared" si="28"/>
        <v>1000</v>
      </c>
      <c r="BH181" s="82"/>
      <c r="BI181" s="82"/>
      <c r="BJ181" s="82"/>
      <c r="BK181" s="82"/>
      <c r="BL181" s="82"/>
      <c r="BM181" s="82"/>
      <c r="BN181" s="7"/>
      <c r="BO181" s="7">
        <v>4.0</v>
      </c>
      <c r="BP181" s="82"/>
      <c r="BQ181" s="7"/>
      <c r="BR181" s="7" t="s">
        <v>23</v>
      </c>
    </row>
    <row r="182">
      <c r="A182" s="16">
        <v>1.0</v>
      </c>
      <c r="B182" s="16" t="s">
        <v>18</v>
      </c>
      <c r="C182" s="53">
        <v>1.0</v>
      </c>
      <c r="D182" s="53" t="s">
        <v>29</v>
      </c>
      <c r="E182" s="7">
        <v>18.0</v>
      </c>
      <c r="F182" s="53"/>
      <c r="G182" s="7"/>
      <c r="H182" s="16">
        <v>1.0</v>
      </c>
      <c r="I182" s="81">
        <v>1.0</v>
      </c>
      <c r="J182" s="115" t="s">
        <v>35</v>
      </c>
      <c r="K182" s="53" t="s">
        <v>2714</v>
      </c>
      <c r="L182" s="53" t="s">
        <v>1956</v>
      </c>
      <c r="M182" s="39" t="str">
        <f t="shared" si="1"/>
        <v>[https://web.archive.org/web/20170809110409/https://www.cs.auckland.ac.nz/~jaru003/research/publications/journals/beadsort.pdf Bead Sort (2002)]</v>
      </c>
      <c r="N182" s="39" t="s">
        <v>2715</v>
      </c>
      <c r="O182" s="81">
        <v>2002.0</v>
      </c>
      <c r="P182" s="28" t="s">
        <v>2716</v>
      </c>
      <c r="Q182" s="82"/>
      <c r="R182" s="82"/>
      <c r="S182" s="82"/>
      <c r="T182" s="81">
        <v>0.0</v>
      </c>
      <c r="U182" s="81">
        <v>0.0</v>
      </c>
      <c r="V182" s="89">
        <f>IFERROR(__xludf.DUMMYFUNCTION("INDEX(SPLIT(SUBSTITUTE(W182,CHAR(10), """"),"",:""), MATCH(Z182, SPLIT(SUBSTITUTE(W182,CHAR(10), """"),"",:""), 0) + 1)"),3.0)</f>
        <v>3</v>
      </c>
      <c r="W182" s="85" t="s">
        <v>1763</v>
      </c>
      <c r="X182" s="16" t="s">
        <v>584</v>
      </c>
      <c r="Y182" s="53" t="s">
        <v>1939</v>
      </c>
      <c r="Z182" s="53" t="str">
        <f t="array" ref="Z182">INDEX(Problems!J:J, MATCH(1, (Problems!B:B=B182)*1, 0))</f>
        <v>n</v>
      </c>
      <c r="AA182" s="53"/>
      <c r="AB182" s="53"/>
      <c r="AC182" s="53" t="s">
        <v>1813</v>
      </c>
      <c r="AD182" s="53" t="s">
        <v>1814</v>
      </c>
      <c r="AE182" s="85">
        <f>IFERROR(__xludf.DUMMYFUNCTION("INDEX(SPLIT(SUBSTITUTE(AF182,CHAR(10), """"),"",:""), MATCH(Z182, SPLIT(SUBSTITUTE(AF182,CHAR(10), """"),"",:""), 0) + 1)"),5.0)</f>
        <v>5</v>
      </c>
      <c r="AF182" s="85" t="s">
        <v>1938</v>
      </c>
      <c r="AG182" s="53" t="s">
        <v>115</v>
      </c>
      <c r="AH182" s="53" t="s">
        <v>1987</v>
      </c>
      <c r="AI182" s="84">
        <v>0.0</v>
      </c>
      <c r="AJ182" s="84">
        <v>0.0</v>
      </c>
      <c r="AK182" s="87"/>
      <c r="AL182" s="81">
        <v>0.0</v>
      </c>
      <c r="AM182" s="87"/>
      <c r="AN182" s="81">
        <v>0.0</v>
      </c>
      <c r="AO182" s="116"/>
      <c r="AP182" s="81">
        <v>0.0</v>
      </c>
      <c r="AQ182" s="81">
        <v>0.0</v>
      </c>
      <c r="AR182" s="39"/>
      <c r="AS182" s="81">
        <v>0.0</v>
      </c>
      <c r="AT182" s="81">
        <v>0.0</v>
      </c>
      <c r="AU182" s="39"/>
      <c r="AV182" s="7" t="s">
        <v>1942</v>
      </c>
      <c r="AW182" s="7">
        <v>1.0</v>
      </c>
      <c r="AX182" s="7" t="s">
        <v>1943</v>
      </c>
      <c r="AY182" s="7"/>
      <c r="AZ182" s="7"/>
      <c r="BA182" s="7"/>
      <c r="BB182" s="7"/>
      <c r="BC182" s="7"/>
      <c r="BD182" s="7"/>
      <c r="BE182" s="7"/>
      <c r="BF182" s="7">
        <v>1000.0</v>
      </c>
      <c r="BG182" s="82">
        <f t="shared" si="28"/>
        <v>1000</v>
      </c>
      <c r="BH182" s="82"/>
      <c r="BI182" s="82"/>
      <c r="BJ182" s="82"/>
      <c r="BK182" s="82"/>
      <c r="BL182" s="82"/>
      <c r="BM182" s="82"/>
      <c r="BN182" s="7"/>
      <c r="BO182" s="7">
        <v>4.0</v>
      </c>
      <c r="BP182" s="82"/>
      <c r="BQ182" s="7"/>
      <c r="BR182" s="7" t="s">
        <v>23</v>
      </c>
    </row>
    <row r="183">
      <c r="A183" s="16">
        <v>1.0</v>
      </c>
      <c r="B183" s="16" t="s">
        <v>18</v>
      </c>
      <c r="C183" s="53">
        <v>1.0</v>
      </c>
      <c r="D183" s="53" t="s">
        <v>29</v>
      </c>
      <c r="E183" s="7">
        <v>20.0</v>
      </c>
      <c r="F183" s="53"/>
      <c r="G183" s="7"/>
      <c r="H183" s="16">
        <v>1.0</v>
      </c>
      <c r="I183" s="81">
        <v>1.0</v>
      </c>
      <c r="J183" s="21" t="s">
        <v>1980</v>
      </c>
      <c r="K183" s="53" t="s">
        <v>2717</v>
      </c>
      <c r="L183" s="53" t="s">
        <v>1946</v>
      </c>
      <c r="M183" s="39" t="str">
        <f t="shared" si="1"/>
        <v>[https://dl.acm.org/citation.cfm?doid=1005813.1041517 Burst Sort (2004)]</v>
      </c>
      <c r="N183" s="39" t="s">
        <v>2718</v>
      </c>
      <c r="O183" s="81">
        <v>2004.0</v>
      </c>
      <c r="P183" s="28" t="s">
        <v>2719</v>
      </c>
      <c r="Q183" s="82"/>
      <c r="R183" s="82"/>
      <c r="S183" s="82"/>
      <c r="T183" s="81">
        <v>0.0</v>
      </c>
      <c r="U183" s="81">
        <v>0.0</v>
      </c>
      <c r="V183" s="89">
        <f>IFERROR(__xludf.DUMMYFUNCTION("INDEX(SPLIT(SUBSTITUTE(W183,CHAR(10), """"),"",:""), MATCH(Z183, SPLIT(SUBSTITUTE(W183,CHAR(10), """"),"",:""), 0) + 1)"),4.0)</f>
        <v>4</v>
      </c>
      <c r="W183" s="85" t="s">
        <v>2720</v>
      </c>
      <c r="X183" s="21" t="s">
        <v>2721</v>
      </c>
      <c r="Y183" s="53" t="s">
        <v>1985</v>
      </c>
      <c r="Z183" s="53" t="str">
        <f t="array" ref="Z183">INDEX(Problems!J:J, MATCH(1, (Problems!B:B=B183)*1, 0))</f>
        <v>n</v>
      </c>
      <c r="AA183" s="53"/>
      <c r="AB183" s="53"/>
      <c r="AC183" s="53" t="s">
        <v>1813</v>
      </c>
      <c r="AD183" s="53" t="s">
        <v>1814</v>
      </c>
      <c r="AE183" s="85">
        <f>IFERROR(__xludf.DUMMYFUNCTION("INDEX(SPLIT(SUBSTITUTE(AF183,CHAR(10), """"),"",:""), MATCH(Z183, SPLIT(SUBSTITUTE(AF183,CHAR(10), """"),"",:""), 0) + 1)"),4.0)</f>
        <v>4</v>
      </c>
      <c r="AF183" s="85" t="s">
        <v>2720</v>
      </c>
      <c r="AG183" s="53" t="s">
        <v>1980</v>
      </c>
      <c r="AH183" s="53" t="s">
        <v>1987</v>
      </c>
      <c r="AI183" s="84">
        <v>0.0</v>
      </c>
      <c r="AJ183" s="84">
        <v>0.0</v>
      </c>
      <c r="AK183" s="87"/>
      <c r="AL183" s="81">
        <v>0.0</v>
      </c>
      <c r="AM183" s="87"/>
      <c r="AN183" s="81">
        <v>0.0</v>
      </c>
      <c r="AO183" s="116"/>
      <c r="AP183" s="81">
        <v>0.0</v>
      </c>
      <c r="AQ183" s="81">
        <v>0.0</v>
      </c>
      <c r="AR183" s="39"/>
      <c r="AS183" s="81">
        <v>0.0</v>
      </c>
      <c r="AT183" s="81">
        <v>0.0</v>
      </c>
      <c r="AU183" s="39" t="s">
        <v>1937</v>
      </c>
      <c r="AV183" s="7" t="s">
        <v>1942</v>
      </c>
      <c r="AW183" s="7">
        <v>1.0</v>
      </c>
      <c r="AX183" s="7" t="s">
        <v>1943</v>
      </c>
      <c r="AY183" s="7"/>
      <c r="AZ183" s="7"/>
      <c r="BA183" s="7"/>
      <c r="BB183" s="7"/>
      <c r="BC183" s="7"/>
      <c r="BD183" s="7"/>
      <c r="BE183" s="7"/>
      <c r="BF183" s="7">
        <v>1000.0</v>
      </c>
      <c r="BG183" s="82">
        <f t="shared" si="28"/>
        <v>1000</v>
      </c>
      <c r="BH183" s="82"/>
      <c r="BI183" s="82"/>
      <c r="BJ183" s="82"/>
      <c r="BK183" s="82"/>
      <c r="BL183" s="82"/>
      <c r="BM183" s="82"/>
      <c r="BN183" s="7"/>
      <c r="BO183" s="7">
        <v>4.0</v>
      </c>
      <c r="BP183" s="82"/>
      <c r="BQ183" s="7"/>
      <c r="BR183" s="7" t="s">
        <v>23</v>
      </c>
    </row>
    <row r="184">
      <c r="A184" s="16">
        <v>1.0</v>
      </c>
      <c r="B184" s="16" t="s">
        <v>18</v>
      </c>
      <c r="C184" s="53">
        <v>1.0</v>
      </c>
      <c r="D184" s="53" t="s">
        <v>29</v>
      </c>
      <c r="E184" s="7">
        <v>23.0</v>
      </c>
      <c r="F184" s="53"/>
      <c r="G184" s="7"/>
      <c r="H184" s="16">
        <v>1.0</v>
      </c>
      <c r="I184" s="81">
        <v>1.0</v>
      </c>
      <c r="J184" s="23" t="s">
        <v>35</v>
      </c>
      <c r="K184" s="53" t="s">
        <v>2722</v>
      </c>
      <c r="L184" s="94" t="s">
        <v>2723</v>
      </c>
      <c r="M184" s="39" t="str">
        <f t="shared" si="1"/>
        <v>[https://www.semanticscholar.org/paper/The-Spreadsort-High-performance-General-case-Ross/41f5b49e9843b2d98b6b22a84924dae5761e6e52 Spreadsort (2002)]</v>
      </c>
      <c r="N184" s="39" t="s">
        <v>2724</v>
      </c>
      <c r="O184" s="81">
        <v>2002.0</v>
      </c>
      <c r="P184" s="28" t="s">
        <v>2723</v>
      </c>
      <c r="Q184" s="82"/>
      <c r="R184" s="82"/>
      <c r="S184" s="82"/>
      <c r="T184" s="81">
        <v>0.0</v>
      </c>
      <c r="U184" s="81">
        <v>0.0</v>
      </c>
      <c r="V184" s="89">
        <f>IFERROR(__xludf.DUMMYFUNCTION("INDEX(SPLIT(SUBSTITUTE(W184,CHAR(10), """"),"",:""), MATCH(Z184, SPLIT(SUBSTITUTE(W184,CHAR(10), """"),"",:""), 0) + 1)"),4.0)</f>
        <v>4</v>
      </c>
      <c r="W184" s="85" t="s">
        <v>1791</v>
      </c>
      <c r="X184" s="16" t="s">
        <v>45</v>
      </c>
      <c r="Y184" s="53" t="s">
        <v>1939</v>
      </c>
      <c r="Z184" s="53" t="str">
        <f t="array" ref="Z184">INDEX(Problems!J:J, MATCH(1, (Problems!B:B=B184)*1, 0))</f>
        <v>n</v>
      </c>
      <c r="AA184" s="53"/>
      <c r="AB184" s="53"/>
      <c r="AC184" s="53" t="s">
        <v>1813</v>
      </c>
      <c r="AD184" s="53" t="s">
        <v>1814</v>
      </c>
      <c r="AE184" s="85">
        <f>IFERROR(__xludf.DUMMYFUNCTION("INDEX(SPLIT(SUBSTITUTE(AF184,CHAR(10), """"),"",:""), MATCH(Z184, SPLIT(SUBSTITUTE(AF184,CHAR(10), """"),"",:""), 0) + 1)"),3.0)</f>
        <v>3</v>
      </c>
      <c r="AF184" s="85" t="s">
        <v>1763</v>
      </c>
      <c r="AG184" s="53" t="s">
        <v>2625</v>
      </c>
      <c r="AH184" s="53" t="s">
        <v>2725</v>
      </c>
      <c r="AI184" s="84">
        <v>1.0</v>
      </c>
      <c r="AJ184" s="84">
        <v>0.0</v>
      </c>
      <c r="AK184" s="87"/>
      <c r="AL184" s="81">
        <v>0.0</v>
      </c>
      <c r="AM184" s="87"/>
      <c r="AN184" s="81">
        <v>0.0</v>
      </c>
      <c r="AO184" s="116"/>
      <c r="AP184" s="81">
        <v>0.0</v>
      </c>
      <c r="AQ184" s="81">
        <v>0.0</v>
      </c>
      <c r="AR184" s="81">
        <v>0.0</v>
      </c>
      <c r="AS184" s="81">
        <v>0.0</v>
      </c>
      <c r="AT184" s="81">
        <v>0.0</v>
      </c>
      <c r="AU184" s="39" t="s">
        <v>2726</v>
      </c>
      <c r="AV184" s="7" t="s">
        <v>1942</v>
      </c>
      <c r="AW184" s="7">
        <v>1.0</v>
      </c>
      <c r="AX184" s="7" t="s">
        <v>1943</v>
      </c>
      <c r="AY184" s="7"/>
      <c r="AZ184" s="7"/>
      <c r="BA184" s="7"/>
      <c r="BB184" s="7"/>
      <c r="BC184" s="7"/>
      <c r="BD184" s="7"/>
      <c r="BE184" s="7"/>
      <c r="BF184" s="7">
        <v>1000.0</v>
      </c>
      <c r="BG184" s="82">
        <f t="shared" si="28"/>
        <v>1000</v>
      </c>
      <c r="BH184" s="82"/>
      <c r="BI184" s="82"/>
      <c r="BJ184" s="82"/>
      <c r="BK184" s="82"/>
      <c r="BL184" s="82"/>
      <c r="BM184" s="82"/>
      <c r="BN184" s="7"/>
      <c r="BO184" s="7">
        <v>4.0</v>
      </c>
      <c r="BP184" s="82"/>
      <c r="BQ184" s="7"/>
      <c r="BR184" s="7" t="s">
        <v>23</v>
      </c>
    </row>
    <row r="185">
      <c r="A185" s="16">
        <v>2.0</v>
      </c>
      <c r="B185" s="6" t="s">
        <v>31</v>
      </c>
      <c r="C185" s="53">
        <v>1.0</v>
      </c>
      <c r="D185" s="53" t="s">
        <v>31</v>
      </c>
      <c r="E185" s="7">
        <v>28.0</v>
      </c>
      <c r="F185" s="53"/>
      <c r="G185" s="7"/>
      <c r="H185" s="16">
        <v>1.0</v>
      </c>
      <c r="I185" s="81">
        <v>1.0</v>
      </c>
      <c r="J185" s="39" t="s">
        <v>35</v>
      </c>
      <c r="K185" s="53" t="s">
        <v>2727</v>
      </c>
      <c r="L185" s="53"/>
      <c r="M185" s="39" t="str">
        <f t="shared" si="1"/>
        <v>[- Hashing (1940)]</v>
      </c>
      <c r="N185" s="39" t="s">
        <v>2728</v>
      </c>
      <c r="O185" s="81">
        <v>1940.0</v>
      </c>
      <c r="P185" s="39" t="s">
        <v>1937</v>
      </c>
      <c r="Q185" s="7">
        <v>2.0</v>
      </c>
      <c r="R185" s="7">
        <v>1.0</v>
      </c>
      <c r="S185" s="47" t="s">
        <v>1992</v>
      </c>
      <c r="T185" s="81">
        <v>1.0</v>
      </c>
      <c r="U185" s="81" t="s">
        <v>1818</v>
      </c>
      <c r="V185" s="89">
        <f>IFERROR(__xludf.DUMMYFUNCTION("INDEX(SPLIT(SUBSTITUTE(W185,CHAR(10), """"),"",:""), MATCH(Z185, SPLIT(SUBSTITUTE(W185,CHAR(10), """"),"",:""), 0) + 1)"),3.0)</f>
        <v>3</v>
      </c>
      <c r="W185" s="85" t="s">
        <v>1763</v>
      </c>
      <c r="X185" s="16" t="s">
        <v>584</v>
      </c>
      <c r="Y185" s="53" t="s">
        <v>1939</v>
      </c>
      <c r="Z185" s="53" t="str">
        <f t="array" ref="Z185">INDEX(Problems!J:J, MATCH(1, (Problems!B:B=B185)*1, 0))</f>
        <v>n</v>
      </c>
      <c r="AA185" s="53"/>
      <c r="AB185" s="53"/>
      <c r="AC185" s="53" t="s">
        <v>1813</v>
      </c>
      <c r="AD185" s="53" t="s">
        <v>1814</v>
      </c>
      <c r="AE185" s="85">
        <f>IFERROR(__xludf.DUMMYFUNCTION("INDEX(SPLIT(SUBSTITUTE(AF185,CHAR(10), """"),"",:""), MATCH(Z185, SPLIT(SUBSTITUTE(AF185,CHAR(10), """"),"",:""), 0) + 1)"),3.0)</f>
        <v>3</v>
      </c>
      <c r="AF185" s="85" t="s">
        <v>1763</v>
      </c>
      <c r="AG185" s="53" t="s">
        <v>584</v>
      </c>
      <c r="AH185" s="53" t="s">
        <v>2729</v>
      </c>
      <c r="AI185" s="84">
        <v>1.0</v>
      </c>
      <c r="AJ185" s="84">
        <v>0.0</v>
      </c>
      <c r="AK185" s="87"/>
      <c r="AL185" s="81">
        <v>0.0</v>
      </c>
      <c r="AM185" s="87"/>
      <c r="AN185" s="81">
        <v>0.0</v>
      </c>
      <c r="AO185" s="90"/>
      <c r="AP185" s="81">
        <v>0.0</v>
      </c>
      <c r="AQ185" s="81">
        <v>0.0</v>
      </c>
      <c r="AR185" s="39"/>
      <c r="AS185" s="81">
        <v>0.0</v>
      </c>
      <c r="AT185" s="81">
        <v>0.0</v>
      </c>
      <c r="AU185" s="39"/>
      <c r="AV185" s="14" t="s">
        <v>1994</v>
      </c>
      <c r="AW185" s="7">
        <v>1.0</v>
      </c>
      <c r="AX185" s="7" t="s">
        <v>1995</v>
      </c>
      <c r="AY185" s="7"/>
      <c r="AZ185" s="7"/>
      <c r="BA185" s="7"/>
      <c r="BB185" s="7"/>
      <c r="BC185" s="7"/>
      <c r="BD185" s="7"/>
      <c r="BE185" s="7"/>
      <c r="BF185" s="7">
        <v>1000.0</v>
      </c>
      <c r="BG185" s="82">
        <f>BF36/BF185</f>
        <v>9.965</v>
      </c>
      <c r="BH185" s="7">
        <f>POW(BG185, 1)-1</f>
        <v>8.965</v>
      </c>
      <c r="BI185" s="7">
        <v>1000000.0</v>
      </c>
      <c r="BJ185" s="82">
        <f>BI36/BI185</f>
        <v>19.931568</v>
      </c>
      <c r="BK185" s="7">
        <f>POW(BJ185, 1)-1</f>
        <v>18.931568</v>
      </c>
      <c r="BL185" s="7">
        <v>1.0E9</v>
      </c>
      <c r="BM185" s="82">
        <f>BL36/BL185</f>
        <v>29.89735285</v>
      </c>
      <c r="BN185" s="7">
        <f>POW(BM185, 1)-1</f>
        <v>28.89735285</v>
      </c>
      <c r="BO185" s="7">
        <v>5.0</v>
      </c>
      <c r="BP185" s="82"/>
      <c r="BQ185" s="7"/>
      <c r="BR185" s="7" t="s">
        <v>23</v>
      </c>
    </row>
    <row r="186">
      <c r="A186" s="16">
        <v>3.0</v>
      </c>
      <c r="B186" s="16" t="s">
        <v>39</v>
      </c>
      <c r="C186" s="53">
        <v>2.0</v>
      </c>
      <c r="D186" s="53" t="s">
        <v>40</v>
      </c>
      <c r="E186" s="7">
        <v>31.0</v>
      </c>
      <c r="F186" s="53"/>
      <c r="G186" s="7"/>
      <c r="H186" s="16">
        <v>1.0</v>
      </c>
      <c r="I186" s="81">
        <v>1.0</v>
      </c>
      <c r="J186" s="39" t="s">
        <v>1788</v>
      </c>
      <c r="K186" s="53" t="s">
        <v>1945</v>
      </c>
      <c r="L186" s="53" t="s">
        <v>2730</v>
      </c>
      <c r="M186" s="39" t="str">
        <f t="shared" si="1"/>
        <v>[https://doi.org/10.1137/0211028 T. C. Hu ; M. T. Shing (1982)]</v>
      </c>
      <c r="N186" s="16" t="s">
        <v>2731</v>
      </c>
      <c r="O186" s="81">
        <v>1982.0</v>
      </c>
      <c r="P186" s="113" t="s">
        <v>2732</v>
      </c>
      <c r="Q186" s="7">
        <v>3.0</v>
      </c>
      <c r="R186" s="7">
        <v>1.0</v>
      </c>
      <c r="S186" s="47" t="s">
        <v>2733</v>
      </c>
      <c r="T186" s="81">
        <v>1.0</v>
      </c>
      <c r="U186" s="81" t="s">
        <v>2734</v>
      </c>
      <c r="V186" s="89">
        <f>IFERROR(__xludf.DUMMYFUNCTION("INDEX(SPLIT(SUBSTITUTE(W186,CHAR(10), """"),"",:""), MATCH(Z186, SPLIT(SUBSTITUTE(W186,CHAR(10), """"),"",:""), 0) + 1)"),4.0)</f>
        <v>4</v>
      </c>
      <c r="W186" s="85" t="s">
        <v>1791</v>
      </c>
      <c r="X186" s="16" t="s">
        <v>45</v>
      </c>
      <c r="Y186" s="53" t="s">
        <v>2003</v>
      </c>
      <c r="Z186" s="53" t="str">
        <f t="array" ref="Z186">INDEX(Problems!J:J, MATCH(1, (Problems!B:B=B186)*1, 0))</f>
        <v>n</v>
      </c>
      <c r="AA186" s="53"/>
      <c r="AB186" s="53"/>
      <c r="AC186" s="53" t="s">
        <v>1813</v>
      </c>
      <c r="AD186" s="53" t="s">
        <v>1814</v>
      </c>
      <c r="AE186" s="85">
        <f>IFERROR(__xludf.DUMMYFUNCTION("INDEX(SPLIT(SUBSTITUTE(AF186,CHAR(10), """"),"",:""), MATCH(Z186, SPLIT(SUBSTITUTE(AF186,CHAR(10), """"),"",:""), 0) + 1)"),3.0)</f>
        <v>3</v>
      </c>
      <c r="AF186" s="85" t="s">
        <v>1763</v>
      </c>
      <c r="AG186" s="53" t="s">
        <v>35</v>
      </c>
      <c r="AH186" s="53" t="s">
        <v>2735</v>
      </c>
      <c r="AI186" s="84">
        <v>1.0</v>
      </c>
      <c r="AJ186" s="84">
        <v>0.0</v>
      </c>
      <c r="AK186" s="87"/>
      <c r="AL186" s="81">
        <v>0.0</v>
      </c>
      <c r="AM186" s="87"/>
      <c r="AN186" s="81">
        <v>0.0</v>
      </c>
      <c r="AO186" s="90"/>
      <c r="AP186" s="81">
        <v>0.0</v>
      </c>
      <c r="AQ186" s="81">
        <v>0.0</v>
      </c>
      <c r="AR186" s="39"/>
      <c r="AS186" s="81">
        <v>0.0</v>
      </c>
      <c r="AT186" s="81">
        <v>0.0</v>
      </c>
      <c r="AU186" s="82"/>
      <c r="AV186" s="7" t="s">
        <v>2005</v>
      </c>
      <c r="AW186" s="82"/>
      <c r="AX186" s="82"/>
      <c r="AY186" s="7"/>
      <c r="AZ186" s="7"/>
      <c r="BA186" s="7"/>
      <c r="BB186" s="7"/>
      <c r="BC186" s="7"/>
      <c r="BD186" s="7"/>
      <c r="BE186" s="7"/>
      <c r="BF186" s="7">
        <v>9965.0</v>
      </c>
      <c r="BG186" s="7" t="s">
        <v>1781</v>
      </c>
      <c r="BH186" s="7" t="s">
        <v>1781</v>
      </c>
      <c r="BI186" s="7">
        <v>1.9931568E7</v>
      </c>
      <c r="BJ186" s="7" t="s">
        <v>1781</v>
      </c>
      <c r="BK186" s="7" t="s">
        <v>1781</v>
      </c>
      <c r="BL186" s="7">
        <v>2.9897352854E10</v>
      </c>
      <c r="BM186" s="7" t="s">
        <v>1781</v>
      </c>
      <c r="BN186" s="7" t="s">
        <v>1781</v>
      </c>
      <c r="BO186" s="7">
        <v>1.0</v>
      </c>
      <c r="BP186" s="82"/>
      <c r="BQ186" s="7"/>
      <c r="BR186" s="7" t="s">
        <v>23</v>
      </c>
    </row>
    <row r="187">
      <c r="A187" s="16">
        <v>4.0</v>
      </c>
      <c r="B187" s="16" t="s">
        <v>63</v>
      </c>
      <c r="C187" s="53">
        <v>2.0</v>
      </c>
      <c r="D187" s="53" t="s">
        <v>64</v>
      </c>
      <c r="E187" s="7">
        <v>39.0</v>
      </c>
      <c r="F187" s="53"/>
      <c r="G187" s="7"/>
      <c r="H187" s="16">
        <v>1.0</v>
      </c>
      <c r="I187" s="81">
        <v>1.0</v>
      </c>
      <c r="J187" s="21" t="s">
        <v>2736</v>
      </c>
      <c r="K187" s="53" t="s">
        <v>2737</v>
      </c>
      <c r="L187" s="91" t="s">
        <v>2738</v>
      </c>
      <c r="M187" s="39" t="str">
        <f t="shared" si="1"/>
        <v>[http://www.cs.ust.hk/mjg_lib/bibs/DPSu/DPSu.Files/HuSz77.pdf Hunt and Szymanski (1977)]</v>
      </c>
      <c r="N187" s="39" t="s">
        <v>2739</v>
      </c>
      <c r="O187" s="81">
        <v>1977.0</v>
      </c>
      <c r="P187" s="28" t="s">
        <v>2740</v>
      </c>
      <c r="Q187" s="82"/>
      <c r="R187" s="82"/>
      <c r="S187" s="82"/>
      <c r="T187" s="81">
        <v>1.0</v>
      </c>
      <c r="U187" s="81" t="s">
        <v>1937</v>
      </c>
      <c r="V187" s="89">
        <f>IFERROR(__xludf.DUMMYFUNCTION("INDEX(SPLIT(SUBSTITUTE(W187,CHAR(10), """"),"",:""), MATCH(Z187, SPLIT(SUBSTITUTE(W187,CHAR(10), """"),"",:""), 0) + 1)"),3.0)</f>
        <v>3</v>
      </c>
      <c r="W187" s="85" t="s">
        <v>2741</v>
      </c>
      <c r="X187" s="21" t="s">
        <v>2742</v>
      </c>
      <c r="Y187" s="53" t="s">
        <v>2743</v>
      </c>
      <c r="Z187" s="53" t="str">
        <f t="array" ref="Z187">INDEX(Problems!J:J, MATCH(1, (Problems!B:B=B187)*1, 0))</f>
        <v>m+n</v>
      </c>
      <c r="AA187" s="53"/>
      <c r="AB187" s="53"/>
      <c r="AC187" s="53" t="s">
        <v>1813</v>
      </c>
      <c r="AD187" s="53" t="s">
        <v>1814</v>
      </c>
      <c r="AE187" s="85">
        <f>IFERROR(__xludf.DUMMYFUNCTION("INDEX(SPLIT(SUBSTITUTE(AF187,CHAR(10), """"),"",:""), MATCH(Z187, SPLIT(SUBSTITUTE(AF187,CHAR(10), """"),"",:""), 0) + 1)"),3.0)</f>
        <v>3</v>
      </c>
      <c r="AF187" s="85" t="s">
        <v>2744</v>
      </c>
      <c r="AG187" s="53" t="s">
        <v>2745</v>
      </c>
      <c r="AH187" s="91" t="s">
        <v>66</v>
      </c>
      <c r="AI187" s="84">
        <v>0.0</v>
      </c>
      <c r="AJ187" s="84">
        <v>1.0</v>
      </c>
      <c r="AK187" s="87"/>
      <c r="AL187" s="81">
        <v>0.0</v>
      </c>
      <c r="AM187" s="87"/>
      <c r="AN187" s="81">
        <v>0.0</v>
      </c>
      <c r="AO187" s="90"/>
      <c r="AP187" s="81">
        <v>0.0</v>
      </c>
      <c r="AQ187" s="81">
        <v>0.0</v>
      </c>
      <c r="AR187" s="39"/>
      <c r="AS187" s="81">
        <v>0.0</v>
      </c>
      <c r="AT187" s="81">
        <v>0.0</v>
      </c>
      <c r="AU187" s="82"/>
      <c r="AV187" s="14" t="s">
        <v>65</v>
      </c>
      <c r="AW187" s="82"/>
      <c r="AX187" s="82"/>
      <c r="AY187" s="7"/>
      <c r="AZ187" s="7">
        <f> 1000</f>
        <v>1000</v>
      </c>
      <c r="BA187" s="7">
        <f>POW(AZ40/AZ187,1/($O187-$O40)) - 1</f>
        <v>9</v>
      </c>
      <c r="BB187" s="7">
        <f> 1000000</f>
        <v>1000000</v>
      </c>
      <c r="BC187" s="7">
        <f>POW(BB40/BB187,1/($O187-$O40)) - 1</f>
        <v>99</v>
      </c>
      <c r="BD187" s="7">
        <f> 1000000000</f>
        <v>1000000000</v>
      </c>
      <c r="BE187" s="7">
        <f>POW(BD40/BD187,1/($O187-$O40)) - 1</f>
        <v>999</v>
      </c>
      <c r="BF187" s="53">
        <f>1000*LOG(1000,2)</f>
        <v>9965.784285</v>
      </c>
      <c r="BG187" s="101">
        <f>BF40/BF187</f>
        <v>25.08583297</v>
      </c>
      <c r="BH187" s="82">
        <f>POW(BG187,1/($O187-$O40)) - 1</f>
        <v>1.927360278</v>
      </c>
      <c r="BI187" s="53">
        <f>1000000*LOG(1000000,2)</f>
        <v>19931568.57</v>
      </c>
      <c r="BJ187" s="101">
        <f>BI40/BI187</f>
        <v>12542.91649</v>
      </c>
      <c r="BK187" s="82">
        <f>POW(BJ187,1/($O187-$O40)) - 1</f>
        <v>22.23447392</v>
      </c>
      <c r="BL187" s="53">
        <f>1000000000*LOG(1000000000,2)</f>
        <v>29897352854</v>
      </c>
      <c r="BM187" s="101">
        <f>BL40/BL187</f>
        <v>8361944.324</v>
      </c>
      <c r="BN187" s="82">
        <f>POW(BM187,1/($O187-$O40)) - 1</f>
        <v>201.9718253</v>
      </c>
      <c r="BO187" s="7">
        <v>4.0</v>
      </c>
      <c r="BP187" s="82"/>
      <c r="BQ187" s="7"/>
      <c r="BR187" s="7" t="s">
        <v>23</v>
      </c>
    </row>
    <row r="188">
      <c r="A188" s="16">
        <v>4.0</v>
      </c>
      <c r="B188" s="16" t="s">
        <v>63</v>
      </c>
      <c r="C188" s="53">
        <v>2.0</v>
      </c>
      <c r="D188" s="53" t="s">
        <v>64</v>
      </c>
      <c r="E188" s="7">
        <v>40.0</v>
      </c>
      <c r="F188" s="53"/>
      <c r="G188" s="7"/>
      <c r="H188" s="16">
        <v>1.0</v>
      </c>
      <c r="I188" s="81">
        <v>1.0</v>
      </c>
      <c r="J188" s="21" t="s">
        <v>2746</v>
      </c>
      <c r="K188" s="53" t="s">
        <v>2747</v>
      </c>
      <c r="L188" s="91" t="s">
        <v>2748</v>
      </c>
      <c r="M188" s="39" t="str">
        <f t="shared" si="1"/>
        <v>[https://www.sciencedirect.com/science/article/pii/0020025580900250 Mukhopadhyay (1980)]</v>
      </c>
      <c r="N188" s="39" t="s">
        <v>2749</v>
      </c>
      <c r="O188" s="81">
        <v>1980.0</v>
      </c>
      <c r="P188" s="28" t="s">
        <v>2748</v>
      </c>
      <c r="Q188" s="82"/>
      <c r="R188" s="82"/>
      <c r="S188" s="82"/>
      <c r="T188" s="81">
        <v>0.0</v>
      </c>
      <c r="U188" s="81" t="s">
        <v>1937</v>
      </c>
      <c r="V188" s="89">
        <f>IFERROR(__xludf.DUMMYFUNCTION("INDEX(SPLIT(SUBSTITUTE(W188,CHAR(10), """"),"",:""), MATCH(Z188, SPLIT(SUBSTITUTE(W188,CHAR(10), """"),"",:""), 0) + 1)"),3.0)</f>
        <v>3</v>
      </c>
      <c r="W188" s="85" t="s">
        <v>2741</v>
      </c>
      <c r="X188" s="21" t="s">
        <v>2742</v>
      </c>
      <c r="Y188" s="53" t="s">
        <v>2743</v>
      </c>
      <c r="Z188" s="53" t="str">
        <f t="array" ref="Z188">INDEX(Problems!J:J, MATCH(1, (Problems!B:B=B188)*1, 0))</f>
        <v>m+n</v>
      </c>
      <c r="AA188" s="53"/>
      <c r="AB188" s="53"/>
      <c r="AC188" s="53" t="s">
        <v>1813</v>
      </c>
      <c r="AD188" s="53" t="s">
        <v>1814</v>
      </c>
      <c r="AE188" s="85">
        <f>IFERROR(__xludf.DUMMYFUNCTION("INDEX(SPLIT(SUBSTITUTE(AF188,CHAR(10), """"),"",:""), MATCH(Z188, SPLIT(SUBSTITUTE(AF188,CHAR(10), """"),"",:""), 0) + 1)"),3.0)</f>
        <v>3</v>
      </c>
      <c r="AF188" s="85" t="s">
        <v>2744</v>
      </c>
      <c r="AG188" s="53" t="s">
        <v>2745</v>
      </c>
      <c r="AH188" s="91" t="s">
        <v>2748</v>
      </c>
      <c r="AI188" s="84">
        <v>0.0</v>
      </c>
      <c r="AJ188" s="84">
        <v>1.0</v>
      </c>
      <c r="AK188" s="87"/>
      <c r="AL188" s="81">
        <v>0.0</v>
      </c>
      <c r="AM188" s="87"/>
      <c r="AN188" s="81">
        <v>0.0</v>
      </c>
      <c r="AO188" s="90"/>
      <c r="AP188" s="81">
        <v>0.0</v>
      </c>
      <c r="AQ188" s="81">
        <v>0.0</v>
      </c>
      <c r="AR188" s="39"/>
      <c r="AS188" s="81">
        <v>0.0</v>
      </c>
      <c r="AT188" s="81">
        <v>0.0</v>
      </c>
      <c r="AU188" s="82"/>
      <c r="AV188" s="14" t="s">
        <v>65</v>
      </c>
      <c r="AW188" s="82"/>
      <c r="AX188" s="82"/>
      <c r="AY188" s="7"/>
      <c r="AZ188" s="7"/>
      <c r="BA188" s="7"/>
      <c r="BB188" s="7"/>
      <c r="BC188" s="7"/>
      <c r="BD188" s="7"/>
      <c r="BE188" s="7"/>
      <c r="BF188" s="7" t="s">
        <v>1944</v>
      </c>
      <c r="BG188" s="50" t="s">
        <v>1944</v>
      </c>
      <c r="BH188" s="82"/>
      <c r="BI188" s="82"/>
      <c r="BJ188" s="82"/>
      <c r="BK188" s="82"/>
      <c r="BL188" s="82"/>
      <c r="BM188" s="82"/>
      <c r="BN188" s="7"/>
      <c r="BO188" s="7">
        <v>4.0</v>
      </c>
      <c r="BP188" s="82"/>
      <c r="BQ188" s="7"/>
      <c r="BR188" s="7" t="s">
        <v>23</v>
      </c>
    </row>
    <row r="189">
      <c r="A189" s="16">
        <v>5.0</v>
      </c>
      <c r="B189" s="16" t="s">
        <v>76</v>
      </c>
      <c r="C189" s="53">
        <v>1.0</v>
      </c>
      <c r="D189" s="53"/>
      <c r="E189" s="7">
        <v>53.0</v>
      </c>
      <c r="F189" s="53"/>
      <c r="G189" s="7"/>
      <c r="H189" s="16">
        <v>1.0</v>
      </c>
      <c r="I189" s="81">
        <v>1.0</v>
      </c>
      <c r="J189" s="39" t="s">
        <v>2750</v>
      </c>
      <c r="K189" s="53" t="s">
        <v>2016</v>
      </c>
      <c r="L189" s="53"/>
      <c r="M189" s="39" t="str">
        <f t="shared" si="1"/>
        <v>[ Dantzig (1951)]</v>
      </c>
      <c r="N189" s="39" t="s">
        <v>2751</v>
      </c>
      <c r="O189" s="81">
        <v>1951.0</v>
      </c>
      <c r="P189" s="39"/>
      <c r="Q189" s="82"/>
      <c r="R189" s="82"/>
      <c r="S189" s="82"/>
      <c r="T189" s="81">
        <v>1.0</v>
      </c>
      <c r="U189" s="83">
        <v>0.0</v>
      </c>
      <c r="V189" s="89">
        <f>IFERROR(__xludf.DUMMYFUNCTION("INDEX(SPLIT(SUBSTITUTE(W189,CHAR(10), """"),"",:""), MATCH(Z189, SPLIT(SUBSTITUTE(W189,CHAR(10), """"),"",:""), 0) + 1)"),7.0)</f>
        <v>7</v>
      </c>
      <c r="W189" s="85" t="s">
        <v>2752</v>
      </c>
      <c r="X189" s="16" t="s">
        <v>2753</v>
      </c>
      <c r="Y189" s="53" t="s">
        <v>2031</v>
      </c>
      <c r="Z189" s="53" t="str">
        <f t="array" ref="Z189">INDEX(Problems!J:J, MATCH(1, (Problems!B:B=B189)*1, 0))</f>
        <v>V</v>
      </c>
      <c r="AA189" s="53"/>
      <c r="AB189" s="53"/>
      <c r="AC189" s="53" t="s">
        <v>1813</v>
      </c>
      <c r="AD189" s="53" t="s">
        <v>1814</v>
      </c>
      <c r="AE189" s="85">
        <f>IFERROR(__xludf.DUMMYFUNCTION("INDEX(SPLIT(SUBSTITUTE(AF189,CHAR(10), """"),"",:""), MATCH(Z189, SPLIT(SUBSTITUTE(AF189,CHAR(10), """"),"",:""), 0) + 1)"),6.0)</f>
        <v>6</v>
      </c>
      <c r="AF189" s="85" t="s">
        <v>2754</v>
      </c>
      <c r="AG189" s="53" t="s">
        <v>2755</v>
      </c>
      <c r="AH189" s="53" t="s">
        <v>2756</v>
      </c>
      <c r="AI189" s="84">
        <v>1.0</v>
      </c>
      <c r="AJ189" s="84">
        <v>0.0</v>
      </c>
      <c r="AK189" s="87"/>
      <c r="AL189" s="81">
        <v>0.0</v>
      </c>
      <c r="AM189" s="87"/>
      <c r="AN189" s="81">
        <v>0.0</v>
      </c>
      <c r="AO189" s="90"/>
      <c r="AP189" s="81">
        <v>0.0</v>
      </c>
      <c r="AQ189" s="81">
        <v>0.0</v>
      </c>
      <c r="AR189" s="39"/>
      <c r="AS189" s="81">
        <v>0.0</v>
      </c>
      <c r="AT189" s="81">
        <v>0.0</v>
      </c>
      <c r="AU189" s="39"/>
      <c r="AV189" s="14" t="s">
        <v>2024</v>
      </c>
      <c r="AW189" s="82"/>
      <c r="AX189" s="82"/>
      <c r="AY189" s="7" t="s">
        <v>2025</v>
      </c>
      <c r="AZ189" s="7">
        <f>1000 * (1000/0.6)</f>
        <v>1666666.667</v>
      </c>
      <c r="BA189" s="7"/>
      <c r="BB189" s="7">
        <f>1000000 * (1000000/0.6)</f>
        <v>1666666666667</v>
      </c>
      <c r="BC189" s="7"/>
      <c r="BD189" s="7">
        <f>1000000000 * (1000000000/0.6)</f>
        <v>1.66667E+18</v>
      </c>
      <c r="BE189" s="7"/>
      <c r="BF189" s="7">
        <v>7.877875424E9</v>
      </c>
      <c r="BG189" s="82">
        <f>7877875424/BF189</f>
        <v>1</v>
      </c>
      <c r="BH189" s="82"/>
      <c r="BI189" s="82">
        <f>0.00787787542*1E+24</f>
        <v>7.87788E+21</v>
      </c>
      <c r="BJ189" s="7">
        <v>1.0</v>
      </c>
      <c r="BK189" s="82"/>
      <c r="BL189" s="82">
        <f>BI189*1000000000000</f>
        <v>7.87788E+33</v>
      </c>
      <c r="BM189" s="7">
        <v>1.0</v>
      </c>
      <c r="BN189" s="7"/>
      <c r="BO189" s="7">
        <v>2.0</v>
      </c>
      <c r="BP189" s="82"/>
      <c r="BQ189" s="7"/>
      <c r="BR189" s="7" t="s">
        <v>23</v>
      </c>
    </row>
    <row r="190">
      <c r="A190" s="16">
        <v>5.0</v>
      </c>
      <c r="B190" s="16" t="s">
        <v>76</v>
      </c>
      <c r="C190" s="53">
        <v>2.0</v>
      </c>
      <c r="D190" s="53"/>
      <c r="E190" s="7">
        <v>57.0</v>
      </c>
      <c r="F190" s="53"/>
      <c r="G190" s="7"/>
      <c r="H190" s="16">
        <v>1.0</v>
      </c>
      <c r="I190" s="81">
        <v>1.0</v>
      </c>
      <c r="J190" s="39" t="s">
        <v>2757</v>
      </c>
      <c r="K190" s="53" t="s">
        <v>2027</v>
      </c>
      <c r="L190" s="53"/>
      <c r="M190" s="39" t="str">
        <f t="shared" si="1"/>
        <v>[https://www.scirp.org/(S(lz5mqp453edsnp55rrgjct55))/reference/ReferencesPapers.aspx?ReferenceID=1690549 Dinitz (with dynamic trees) (1973)]</v>
      </c>
      <c r="N190" s="16" t="s">
        <v>2758</v>
      </c>
      <c r="O190" s="81">
        <v>1973.0</v>
      </c>
      <c r="P190" s="28" t="s">
        <v>2029</v>
      </c>
      <c r="Q190" s="82"/>
      <c r="R190" s="82"/>
      <c r="S190" s="82"/>
      <c r="T190" s="83">
        <v>0.0</v>
      </c>
      <c r="U190" s="83">
        <v>0.0</v>
      </c>
      <c r="V190" s="89">
        <f>IFERROR(__xludf.DUMMYFUNCTION("INDEX(SPLIT(SUBSTITUTE(W190,CHAR(10), """"),"",:""), MATCH(Z190, SPLIT(SUBSTITUTE(W190,CHAR(10), """"),"",:""), 0) + 1)"),6.0)</f>
        <v>6</v>
      </c>
      <c r="W190" s="85" t="s">
        <v>2759</v>
      </c>
      <c r="X190" s="16" t="s">
        <v>2760</v>
      </c>
      <c r="Y190" s="53" t="s">
        <v>2031</v>
      </c>
      <c r="Z190" s="53" t="str">
        <f t="array" ref="Z190">INDEX(Problems!J:J, MATCH(1, (Problems!B:B=B190)*1, 0))</f>
        <v>V</v>
      </c>
      <c r="AA190" s="53"/>
      <c r="AB190" s="53"/>
      <c r="AC190" s="53" t="s">
        <v>1813</v>
      </c>
      <c r="AD190" s="53" t="s">
        <v>1814</v>
      </c>
      <c r="AE190" s="85">
        <f>IFERROR(__xludf.DUMMYFUNCTION("INDEX(SPLIT(SUBSTITUTE(AF190,CHAR(10), """"),"",:""), MATCH(Z190, SPLIT(SUBSTITUTE(AF190,CHAR(10), """"),"",:""), 0) + 1)"),5.0)</f>
        <v>5</v>
      </c>
      <c r="AF190" s="85" t="s">
        <v>2185</v>
      </c>
      <c r="AG190" s="53" t="s">
        <v>92</v>
      </c>
      <c r="AH190" s="139" t="s">
        <v>2761</v>
      </c>
      <c r="AI190" s="84">
        <v>1.0</v>
      </c>
      <c r="AJ190" s="84">
        <v>0.0</v>
      </c>
      <c r="AK190" s="87"/>
      <c r="AL190" s="81">
        <v>0.0</v>
      </c>
      <c r="AM190" s="87"/>
      <c r="AN190" s="81">
        <v>0.0</v>
      </c>
      <c r="AO190" s="90"/>
      <c r="AP190" s="81">
        <v>0.0</v>
      </c>
      <c r="AQ190" s="81">
        <v>0.0</v>
      </c>
      <c r="AR190" s="39"/>
      <c r="AS190" s="81">
        <v>0.0</v>
      </c>
      <c r="AT190" s="81">
        <v>0.0</v>
      </c>
      <c r="AU190" s="39"/>
      <c r="AV190" s="14" t="s">
        <v>2024</v>
      </c>
      <c r="AW190" s="82"/>
      <c r="AX190" s="82"/>
      <c r="AY190" s="7" t="s">
        <v>2025</v>
      </c>
      <c r="AZ190" s="7"/>
      <c r="BA190" s="7"/>
      <c r="BB190" s="7"/>
      <c r="BC190" s="7"/>
      <c r="BD190" s="7"/>
      <c r="BE190" s="7"/>
      <c r="BF190" s="7">
        <f>1000*(0.6/2.6) * 1000 * 1/2.6 * LOG(1000 * 1/2.6, 2)</f>
        <v>762183.964</v>
      </c>
      <c r="BG190" s="82">
        <f>BF189/BF190</f>
        <v>10335.92387</v>
      </c>
      <c r="BH190" s="82">
        <f>POW(BG190,1/($O190-$O189)) - 1</f>
        <v>0.5221954617</v>
      </c>
      <c r="BI190" s="7">
        <f>1000000*(0.6/2.6) * 1000000 * 1/2.6 * LOG(1000000 * 1/2.6, 2)</f>
        <v>1646721030716</v>
      </c>
      <c r="BJ190" s="82">
        <f>BI189/BI190</f>
        <v>4783976929</v>
      </c>
      <c r="BK190" s="82">
        <f>POW(BJ190,1/($O190-$O189)) - 1</f>
        <v>1.754167902</v>
      </c>
      <c r="BL190" s="7">
        <f>1000000000*(0.6/2.6) * 1000000000 * 1/2.6 * LOG(1000000000 * 1/2.6, 2)</f>
        <v>2.53126E+18</v>
      </c>
      <c r="BM190" s="82">
        <f>BL189/BL190</f>
        <v>3.11224E+15</v>
      </c>
      <c r="BN190" s="82">
        <f>POW(BM190,1/($O190-$O189)) - 1</f>
        <v>4.060932865</v>
      </c>
      <c r="BO190" s="7">
        <v>2.0</v>
      </c>
      <c r="BP190" s="82"/>
      <c r="BQ190" s="7"/>
      <c r="BR190" s="7" t="s">
        <v>23</v>
      </c>
    </row>
    <row r="191">
      <c r="A191" s="16">
        <v>5.0</v>
      </c>
      <c r="B191" s="16" t="s">
        <v>76</v>
      </c>
      <c r="C191" s="53">
        <v>2.0</v>
      </c>
      <c r="D191" s="53"/>
      <c r="E191" s="7">
        <v>59.0</v>
      </c>
      <c r="F191" s="53"/>
      <c r="G191" s="7"/>
      <c r="H191" s="16">
        <v>1.0</v>
      </c>
      <c r="I191" s="81">
        <v>1.0</v>
      </c>
      <c r="J191" s="39" t="s">
        <v>2762</v>
      </c>
      <c r="K191" s="53" t="s">
        <v>2027</v>
      </c>
      <c r="L191" s="53"/>
      <c r="M191" s="39" t="str">
        <f t="shared" si="1"/>
        <v>[https://www.sciencedirect.com/science/article/abs/pii/S037722179600269X Cherkassky (1977)]</v>
      </c>
      <c r="N191" s="39" t="s">
        <v>2763</v>
      </c>
      <c r="O191" s="81">
        <v>1977.0</v>
      </c>
      <c r="P191" s="28" t="s">
        <v>2764</v>
      </c>
      <c r="Q191" s="82"/>
      <c r="R191" s="82"/>
      <c r="S191" s="82"/>
      <c r="T191" s="83">
        <v>0.0</v>
      </c>
      <c r="U191" s="83">
        <v>0.0</v>
      </c>
      <c r="V191" s="89">
        <f>IFERROR(__xludf.DUMMYFUNCTION("INDEX(SPLIT(SUBSTITUTE(W191,CHAR(10), """"),"",:""), MATCH(Z191, SPLIT(SUBSTITUTE(W191,CHAR(10), """"),"",:""), 0) + 1)"),6.0)</f>
        <v>6</v>
      </c>
      <c r="W191" s="85" t="s">
        <v>2765</v>
      </c>
      <c r="X191" s="16" t="s">
        <v>2766</v>
      </c>
      <c r="Y191" s="53" t="s">
        <v>2031</v>
      </c>
      <c r="Z191" s="53" t="str">
        <f t="array" ref="Z191">INDEX(Problems!J:J, MATCH(1, (Problems!B:B=B191)*1, 0))</f>
        <v>V</v>
      </c>
      <c r="AA191" s="53"/>
      <c r="AB191" s="53"/>
      <c r="AC191" s="53" t="s">
        <v>1813</v>
      </c>
      <c r="AD191" s="53" t="s">
        <v>1814</v>
      </c>
      <c r="AE191" s="85">
        <f>IFERROR(__xludf.DUMMYFUNCTION("INDEX(SPLIT(SUBSTITUTE(AF191,CHAR(10), """"),"",:""), MATCH(Z191, SPLIT(SUBSTITUTE(AF191,CHAR(10), """"),"",:""), 0) + 1)"),5.0)</f>
        <v>5</v>
      </c>
      <c r="AF191" s="85" t="s">
        <v>2185</v>
      </c>
      <c r="AG191" s="53" t="s">
        <v>92</v>
      </c>
      <c r="AH191" s="91" t="s">
        <v>2023</v>
      </c>
      <c r="AI191" s="84">
        <v>0.0</v>
      </c>
      <c r="AJ191" s="84">
        <v>0.0</v>
      </c>
      <c r="AK191" s="87"/>
      <c r="AL191" s="81">
        <v>0.0</v>
      </c>
      <c r="AM191" s="87"/>
      <c r="AN191" s="81">
        <v>0.0</v>
      </c>
      <c r="AO191" s="90"/>
      <c r="AP191" s="81">
        <v>0.0</v>
      </c>
      <c r="AQ191" s="81">
        <v>0.0</v>
      </c>
      <c r="AR191" s="39"/>
      <c r="AS191" s="81">
        <v>0.0</v>
      </c>
      <c r="AT191" s="81">
        <v>0.0</v>
      </c>
      <c r="AU191" s="39"/>
      <c r="AV191" s="14" t="s">
        <v>2024</v>
      </c>
      <c r="AW191" s="82"/>
      <c r="AX191" s="82"/>
      <c r="AY191" s="7" t="s">
        <v>2025</v>
      </c>
      <c r="AZ191" s="7"/>
      <c r="BA191" s="7"/>
      <c r="BB191" s="7"/>
      <c r="BC191" s="7"/>
      <c r="BD191" s="7"/>
      <c r="BE191" s="7"/>
      <c r="BF191" s="7">
        <v>1044405.0</v>
      </c>
      <c r="BG191" s="82">
        <f t="shared" ref="BG191:BG196" si="29">7877875424/BF191</f>
        <v>7542.931549</v>
      </c>
      <c r="BH191" s="82"/>
      <c r="BI191" s="82"/>
      <c r="BJ191" s="82"/>
      <c r="BK191" s="82"/>
      <c r="BL191" s="82"/>
      <c r="BM191" s="82"/>
      <c r="BN191" s="7"/>
      <c r="BO191" s="7">
        <v>2.0</v>
      </c>
      <c r="BP191" s="82"/>
      <c r="BQ191" s="7"/>
      <c r="BR191" s="7" t="s">
        <v>23</v>
      </c>
    </row>
    <row r="192">
      <c r="A192" s="16">
        <v>5.0</v>
      </c>
      <c r="B192" s="16" t="s">
        <v>76</v>
      </c>
      <c r="C192" s="53">
        <v>1.0</v>
      </c>
      <c r="D192" s="53"/>
      <c r="E192" s="7">
        <v>61.0</v>
      </c>
      <c r="F192" s="53"/>
      <c r="G192" s="7"/>
      <c r="H192" s="16">
        <v>1.0</v>
      </c>
      <c r="I192" s="81">
        <v>1.0</v>
      </c>
      <c r="J192" s="39" t="s">
        <v>2767</v>
      </c>
      <c r="K192" s="53" t="s">
        <v>2027</v>
      </c>
      <c r="L192" s="53"/>
      <c r="M192" s="39" t="str">
        <f t="shared" si="1"/>
        <v>[https://www.sciencedirect.com/science/article/pii/0022000083900065 Sleator &amp; Tarjan (1983)]</v>
      </c>
      <c r="N192" s="39" t="s">
        <v>2768</v>
      </c>
      <c r="O192" s="81">
        <v>1983.0</v>
      </c>
      <c r="P192" s="28" t="s">
        <v>2769</v>
      </c>
      <c r="Q192" s="82"/>
      <c r="R192" s="82"/>
      <c r="S192" s="82"/>
      <c r="T192" s="83">
        <v>0.0</v>
      </c>
      <c r="U192" s="83">
        <v>0.0</v>
      </c>
      <c r="V192" s="89">
        <f>IFERROR(__xludf.DUMMYFUNCTION("INDEX(SPLIT(SUBSTITUTE(W192,CHAR(10), """"),"",:""), MATCH(Z192, SPLIT(SUBSTITUTE(W192,CHAR(10), """"),"",:""), 0) + 1)"),6.01)</f>
        <v>6.01</v>
      </c>
      <c r="W192" s="85" t="s">
        <v>2770</v>
      </c>
      <c r="X192" s="16" t="s">
        <v>2771</v>
      </c>
      <c r="Y192" s="53" t="s">
        <v>2031</v>
      </c>
      <c r="Z192" s="53" t="str">
        <f t="array" ref="Z192">INDEX(Problems!J:J, MATCH(1, (Problems!B:B=B192)*1, 0))</f>
        <v>V</v>
      </c>
      <c r="AA192" s="53"/>
      <c r="AB192" s="53"/>
      <c r="AC192" s="53" t="s">
        <v>1813</v>
      </c>
      <c r="AD192" s="53" t="s">
        <v>1814</v>
      </c>
      <c r="AE192" s="85">
        <f>IFERROR(__xludf.DUMMYFUNCTION("INDEX(SPLIT(SUBSTITUTE(AF192,CHAR(10), """"),"",:""), MATCH(Z192, SPLIT(SUBSTITUTE(AF192,CHAR(10), """"),"",:""), 0) + 1)"),5.0)</f>
        <v>5</v>
      </c>
      <c r="AF192" s="85" t="s">
        <v>2185</v>
      </c>
      <c r="AG192" s="53" t="s">
        <v>92</v>
      </c>
      <c r="AH192" s="53" t="s">
        <v>2735</v>
      </c>
      <c r="AI192" s="84">
        <v>1.0</v>
      </c>
      <c r="AJ192" s="84">
        <v>0.0</v>
      </c>
      <c r="AK192" s="87"/>
      <c r="AL192" s="81">
        <v>0.0</v>
      </c>
      <c r="AM192" s="87"/>
      <c r="AN192" s="81">
        <v>0.0</v>
      </c>
      <c r="AO192" s="90"/>
      <c r="AP192" s="81">
        <v>0.0</v>
      </c>
      <c r="AQ192" s="81">
        <v>0.0</v>
      </c>
      <c r="AR192" s="39"/>
      <c r="AS192" s="81">
        <v>0.0</v>
      </c>
      <c r="AT192" s="81">
        <v>0.0</v>
      </c>
      <c r="AU192" s="39"/>
      <c r="AV192" s="14" t="s">
        <v>2024</v>
      </c>
      <c r="AW192" s="82"/>
      <c r="AX192" s="82"/>
      <c r="AY192" s="7" t="s">
        <v>2025</v>
      </c>
      <c r="AZ192" s="7"/>
      <c r="BA192" s="7"/>
      <c r="BB192" s="7"/>
      <c r="BC192" s="7"/>
      <c r="BD192" s="7"/>
      <c r="BE192" s="7"/>
      <c r="BF192" s="7">
        <v>761538.0</v>
      </c>
      <c r="BG192" s="82">
        <f t="shared" si="29"/>
        <v>10344.69117</v>
      </c>
      <c r="BH192" s="82"/>
      <c r="BI192" s="82"/>
      <c r="BJ192" s="82"/>
      <c r="BK192" s="82"/>
      <c r="BL192" s="82"/>
      <c r="BM192" s="82"/>
      <c r="BN192" s="7"/>
      <c r="BO192" s="7">
        <v>2.0</v>
      </c>
      <c r="BP192" s="82"/>
      <c r="BQ192" s="7"/>
      <c r="BR192" s="7" t="s">
        <v>23</v>
      </c>
    </row>
    <row r="193">
      <c r="A193" s="16">
        <v>5.0</v>
      </c>
      <c r="B193" s="16" t="s">
        <v>76</v>
      </c>
      <c r="C193" s="53">
        <v>1.0</v>
      </c>
      <c r="D193" s="53"/>
      <c r="E193" s="7">
        <v>62.0</v>
      </c>
      <c r="F193" s="53"/>
      <c r="G193" s="7"/>
      <c r="H193" s="16">
        <v>1.0</v>
      </c>
      <c r="I193" s="81">
        <v>1.0</v>
      </c>
      <c r="J193" s="39" t="s">
        <v>2772</v>
      </c>
      <c r="K193" s="53" t="s">
        <v>2027</v>
      </c>
      <c r="L193" s="53"/>
      <c r="M193" s="39" t="str">
        <f t="shared" si="1"/>
        <v>[https://www.cs.princeton.edu/courses/archive/fall03/cs528/handouts/a%20new%20approach.pdf Goldberg &amp; Tarjan (1986)]</v>
      </c>
      <c r="N193" s="39" t="s">
        <v>2773</v>
      </c>
      <c r="O193" s="81">
        <v>1986.0</v>
      </c>
      <c r="P193" s="28" t="s">
        <v>2774</v>
      </c>
      <c r="Q193" s="82"/>
      <c r="R193" s="82"/>
      <c r="S193" s="82"/>
      <c r="T193" s="83">
        <v>0.0</v>
      </c>
      <c r="U193" s="83">
        <v>0.0</v>
      </c>
      <c r="V193" s="89">
        <f>IFERROR(__xludf.DUMMYFUNCTION("INDEX(SPLIT(SUBSTITUTE(W193,CHAR(10), """"),"",:""), MATCH(Z193, SPLIT(SUBSTITUTE(W193,CHAR(10), """"),"",:""), 0) + 1)"),6.0)</f>
        <v>6</v>
      </c>
      <c r="W193" s="85" t="s">
        <v>2754</v>
      </c>
      <c r="X193" s="16" t="s">
        <v>2775</v>
      </c>
      <c r="Y193" s="53" t="s">
        <v>2031</v>
      </c>
      <c r="Z193" s="53" t="str">
        <f t="array" ref="Z193">INDEX(Problems!J:J, MATCH(1, (Problems!B:B=B193)*1, 0))</f>
        <v>V</v>
      </c>
      <c r="AA193" s="53"/>
      <c r="AB193" s="53"/>
      <c r="AC193" s="53" t="s">
        <v>1813</v>
      </c>
      <c r="AD193" s="53" t="s">
        <v>1814</v>
      </c>
      <c r="AE193" s="85">
        <f>IFERROR(__xludf.DUMMYFUNCTION("INDEX(SPLIT(SUBSTITUTE(AF193,CHAR(10), """"),"",:""), MATCH(Z193, SPLIT(SUBSTITUTE(AF193,CHAR(10), """"),"",:""), 0) + 1)"),5.0)</f>
        <v>5</v>
      </c>
      <c r="AF193" s="85" t="s">
        <v>2185</v>
      </c>
      <c r="AG193" s="53" t="s">
        <v>92</v>
      </c>
      <c r="AH193" s="53" t="s">
        <v>2776</v>
      </c>
      <c r="AI193" s="84">
        <v>1.0</v>
      </c>
      <c r="AJ193" s="84">
        <v>0.0</v>
      </c>
      <c r="AK193" s="87"/>
      <c r="AL193" s="81">
        <v>0.0</v>
      </c>
      <c r="AM193" s="87"/>
      <c r="AN193" s="81">
        <v>0.0</v>
      </c>
      <c r="AO193" s="90"/>
      <c r="AP193" s="81">
        <v>0.0</v>
      </c>
      <c r="AQ193" s="81">
        <v>0.0</v>
      </c>
      <c r="AR193" s="39"/>
      <c r="AS193" s="81">
        <v>0.0</v>
      </c>
      <c r="AT193" s="81">
        <v>0.0</v>
      </c>
      <c r="AU193" s="39"/>
      <c r="AV193" s="14" t="s">
        <v>2024</v>
      </c>
      <c r="AW193" s="82"/>
      <c r="AX193" s="82"/>
      <c r="AY193" s="7" t="s">
        <v>2025</v>
      </c>
      <c r="AZ193" s="7"/>
      <c r="BA193" s="7"/>
      <c r="BB193" s="7"/>
      <c r="BC193" s="7"/>
      <c r="BD193" s="7"/>
      <c r="BE193" s="7"/>
      <c r="BF193" s="7">
        <v>753550.0</v>
      </c>
      <c r="BG193" s="82">
        <f t="shared" si="29"/>
        <v>10454.34998</v>
      </c>
      <c r="BH193" s="82"/>
      <c r="BI193" s="82"/>
      <c r="BJ193" s="82"/>
      <c r="BK193" s="82"/>
      <c r="BL193" s="82"/>
      <c r="BM193" s="82"/>
      <c r="BN193" s="7"/>
      <c r="BO193" s="7">
        <v>2.0</v>
      </c>
      <c r="BP193" s="82"/>
      <c r="BQ193" s="7"/>
      <c r="BR193" s="7" t="s">
        <v>23</v>
      </c>
    </row>
    <row r="194">
      <c r="A194" s="16">
        <v>5.0</v>
      </c>
      <c r="B194" s="16" t="s">
        <v>76</v>
      </c>
      <c r="C194" s="53">
        <v>1.0</v>
      </c>
      <c r="D194" s="53"/>
      <c r="E194" s="7">
        <v>63.0</v>
      </c>
      <c r="F194" s="53"/>
      <c r="G194" s="7"/>
      <c r="H194" s="16">
        <v>1.0</v>
      </c>
      <c r="I194" s="81">
        <v>1.0</v>
      </c>
      <c r="J194" s="39" t="s">
        <v>2777</v>
      </c>
      <c r="K194" s="53" t="s">
        <v>2027</v>
      </c>
      <c r="L194" s="53"/>
      <c r="M194" s="39" t="str">
        <f t="shared" si="1"/>
        <v>[https://www.researchgate.net/publication/38008130_A_Fast_and_Simple_Algorithm_for_the_Maximum_Flow_Problem Ahuja &amp; Orlin (1987)]</v>
      </c>
      <c r="N194" s="39" t="s">
        <v>2778</v>
      </c>
      <c r="O194" s="81">
        <v>1987.0</v>
      </c>
      <c r="P194" s="28" t="s">
        <v>2779</v>
      </c>
      <c r="Q194" s="82"/>
      <c r="R194" s="82"/>
      <c r="S194" s="82"/>
      <c r="T194" s="83">
        <v>0.0</v>
      </c>
      <c r="U194" s="83">
        <v>0.0</v>
      </c>
      <c r="V194" s="89">
        <f>IFERROR(__xludf.DUMMYFUNCTION("INDEX(SPLIT(SUBSTITUTE(W194,CHAR(10), """"),"",:""), MATCH(Z194, SPLIT(SUBSTITUTE(W194,CHAR(10), """"),"",:""), 0) + 1)"),6.0)</f>
        <v>6</v>
      </c>
      <c r="W194" s="85" t="s">
        <v>2759</v>
      </c>
      <c r="X194" s="16" t="s">
        <v>2780</v>
      </c>
      <c r="Y194" s="53" t="s">
        <v>2031</v>
      </c>
      <c r="Z194" s="53" t="str">
        <f t="array" ref="Z194">INDEX(Problems!J:J, MATCH(1, (Problems!B:B=B194)*1, 0))</f>
        <v>V</v>
      </c>
      <c r="AA194" s="53"/>
      <c r="AB194" s="53"/>
      <c r="AC194" s="53" t="s">
        <v>1813</v>
      </c>
      <c r="AD194" s="53" t="s">
        <v>1814</v>
      </c>
      <c r="AE194" s="85">
        <f>IFERROR(__xludf.DUMMYFUNCTION("INDEX(SPLIT(SUBSTITUTE(AF194,CHAR(10), """"),"",:""), MATCH(Z194, SPLIT(SUBSTITUTE(AF194,CHAR(10), """"),"",:""), 0) + 1)"),5.0)</f>
        <v>5</v>
      </c>
      <c r="AF194" s="85" t="s">
        <v>2781</v>
      </c>
      <c r="AG194" s="53" t="s">
        <v>2782</v>
      </c>
      <c r="AH194" s="53" t="s">
        <v>2783</v>
      </c>
      <c r="AI194" s="84">
        <v>1.0</v>
      </c>
      <c r="AJ194" s="84">
        <v>0.0</v>
      </c>
      <c r="AK194" s="87"/>
      <c r="AL194" s="81">
        <v>0.0</v>
      </c>
      <c r="AM194" s="87"/>
      <c r="AN194" s="81">
        <v>0.0</v>
      </c>
      <c r="AO194" s="90"/>
      <c r="AP194" s="81">
        <v>0.0</v>
      </c>
      <c r="AQ194" s="81">
        <v>0.0</v>
      </c>
      <c r="AR194" s="39"/>
      <c r="AS194" s="81">
        <v>0.0</v>
      </c>
      <c r="AT194" s="81">
        <v>0.0</v>
      </c>
      <c r="AU194" s="39"/>
      <c r="AV194" s="14" t="s">
        <v>2024</v>
      </c>
      <c r="AW194" s="82"/>
      <c r="AX194" s="82"/>
      <c r="AY194" s="7" t="s">
        <v>2025</v>
      </c>
      <c r="AZ194" s="7"/>
      <c r="BA194" s="7"/>
      <c r="BB194" s="7"/>
      <c r="BC194" s="7"/>
      <c r="BD194" s="7"/>
      <c r="BE194" s="7"/>
      <c r="BF194" s="7">
        <v>545676.0</v>
      </c>
      <c r="BG194" s="82">
        <f t="shared" si="29"/>
        <v>14436.91023</v>
      </c>
      <c r="BH194" s="82"/>
      <c r="BI194" s="82"/>
      <c r="BJ194" s="82"/>
      <c r="BK194" s="82"/>
      <c r="BL194" s="82"/>
      <c r="BM194" s="82"/>
      <c r="BN194" s="7"/>
      <c r="BO194" s="7">
        <v>2.0</v>
      </c>
      <c r="BP194" s="82"/>
      <c r="BQ194" s="7"/>
      <c r="BR194" s="7" t="s">
        <v>23</v>
      </c>
    </row>
    <row r="195">
      <c r="A195" s="16">
        <v>5.0</v>
      </c>
      <c r="B195" s="16" t="s">
        <v>76</v>
      </c>
      <c r="C195" s="53">
        <v>2.0</v>
      </c>
      <c r="D195" s="53" t="s">
        <v>77</v>
      </c>
      <c r="E195" s="7">
        <v>65.0</v>
      </c>
      <c r="F195" s="53" t="s">
        <v>2784</v>
      </c>
      <c r="G195" s="7"/>
      <c r="H195" s="16">
        <v>1.0</v>
      </c>
      <c r="I195" s="83">
        <v>1.0</v>
      </c>
      <c r="J195" s="16" t="s">
        <v>2785</v>
      </c>
      <c r="K195" s="53" t="s">
        <v>2786</v>
      </c>
      <c r="L195" s="94" t="s">
        <v>2787</v>
      </c>
      <c r="M195" s="39" t="str">
        <f t="shared" si="1"/>
        <v>[https://ieeexplore.ieee.org/document/63465 Cheriyan &amp; Hagerup (1989)]</v>
      </c>
      <c r="N195" s="39" t="s">
        <v>2788</v>
      </c>
      <c r="O195" s="81">
        <v>1989.0</v>
      </c>
      <c r="P195" s="28" t="s">
        <v>2787</v>
      </c>
      <c r="Q195" s="82"/>
      <c r="R195" s="82"/>
      <c r="S195" s="82"/>
      <c r="T195" s="83">
        <v>0.0</v>
      </c>
      <c r="U195" s="83">
        <v>0.0</v>
      </c>
      <c r="V195" s="89">
        <f>IFERROR(__xludf.DUMMYFUNCTION("INDEX(SPLIT(SUBSTITUTE(W195,CHAR(10), """"),"",:""), MATCH(Z195, SPLIT(SUBSTITUTE(W195,CHAR(10), """"),"",:""), 0) + 1)"),6.01)</f>
        <v>6.01</v>
      </c>
      <c r="W195" s="85" t="s">
        <v>2770</v>
      </c>
      <c r="X195" s="21" t="s">
        <v>2771</v>
      </c>
      <c r="Y195" s="53" t="s">
        <v>2031</v>
      </c>
      <c r="Z195" s="53" t="str">
        <f t="array" ref="Z195">INDEX(Problems!J:J, MATCH(1, (Problems!B:B=B195)*1, 0))</f>
        <v>V</v>
      </c>
      <c r="AA195" s="91" t="s">
        <v>2787</v>
      </c>
      <c r="AB195" s="53">
        <v>0.0</v>
      </c>
      <c r="AC195" s="53" t="s">
        <v>1813</v>
      </c>
      <c r="AD195" s="53" t="s">
        <v>1814</v>
      </c>
      <c r="AE195" s="85">
        <f>IFERROR(__xludf.DUMMYFUNCTION("INDEX(SPLIT(SUBSTITUTE(AF195,CHAR(10), """"),"",:""), MATCH(Z195, SPLIT(SUBSTITUTE(AF195,CHAR(10), """"),"",:""), 0) + 1)"),5.0)</f>
        <v>5</v>
      </c>
      <c r="AF195" s="85" t="s">
        <v>2185</v>
      </c>
      <c r="AG195" s="53" t="s">
        <v>2789</v>
      </c>
      <c r="AH195" s="53" t="s">
        <v>2790</v>
      </c>
      <c r="AI195" s="84">
        <v>1.0</v>
      </c>
      <c r="AJ195" s="84">
        <v>0.0</v>
      </c>
      <c r="AK195" s="87"/>
      <c r="AL195" s="81">
        <v>1.0</v>
      </c>
      <c r="AM195" s="84" t="s">
        <v>2187</v>
      </c>
      <c r="AN195" s="81">
        <v>0.0</v>
      </c>
      <c r="AO195" s="90"/>
      <c r="AP195" s="81">
        <v>0.0</v>
      </c>
      <c r="AQ195" s="81">
        <v>0.0</v>
      </c>
      <c r="AR195" s="39"/>
      <c r="AS195" s="81">
        <v>0.0</v>
      </c>
      <c r="AT195" s="81">
        <v>0.0</v>
      </c>
      <c r="AU195" s="39"/>
      <c r="AV195" s="14" t="s">
        <v>2024</v>
      </c>
      <c r="AW195" s="82"/>
      <c r="AX195" s="82"/>
      <c r="AY195" s="7" t="s">
        <v>2025</v>
      </c>
      <c r="AZ195" s="7"/>
      <c r="BA195" s="7"/>
      <c r="BB195" s="7"/>
      <c r="BC195" s="7"/>
      <c r="BD195" s="7"/>
      <c r="BE195" s="7"/>
      <c r="BF195" s="7">
        <v>3362046.0</v>
      </c>
      <c r="BG195" s="82">
        <f t="shared" si="29"/>
        <v>2343.178952</v>
      </c>
      <c r="BH195" s="82"/>
      <c r="BI195" s="82"/>
      <c r="BJ195" s="82"/>
      <c r="BK195" s="82"/>
      <c r="BL195" s="82"/>
      <c r="BM195" s="82"/>
      <c r="BN195" s="7"/>
      <c r="BO195" s="7">
        <v>2.0</v>
      </c>
      <c r="BP195" s="82"/>
      <c r="BQ195" s="7"/>
      <c r="BR195" s="7" t="s">
        <v>23</v>
      </c>
    </row>
    <row r="196">
      <c r="A196" s="16">
        <v>5.0</v>
      </c>
      <c r="B196" s="16" t="s">
        <v>76</v>
      </c>
      <c r="C196" s="53">
        <v>2.0</v>
      </c>
      <c r="D196" s="53" t="s">
        <v>77</v>
      </c>
      <c r="E196" s="7">
        <v>66.0</v>
      </c>
      <c r="F196" s="53" t="s">
        <v>2791</v>
      </c>
      <c r="G196" s="7"/>
      <c r="H196" s="16">
        <v>1.0</v>
      </c>
      <c r="I196" s="81">
        <v>1.0</v>
      </c>
      <c r="J196" s="39" t="s">
        <v>2792</v>
      </c>
      <c r="K196" s="53" t="s">
        <v>2793</v>
      </c>
      <c r="L196" s="53"/>
      <c r="M196" s="39" t="str">
        <f t="shared" si="1"/>
        <v>[https://link.springer.com/chapter/10.1007/BFb0032035 Cheriyan et al. (1990)]</v>
      </c>
      <c r="N196" s="39" t="s">
        <v>2794</v>
      </c>
      <c r="O196" s="81">
        <v>1990.0</v>
      </c>
      <c r="P196" s="28" t="s">
        <v>2795</v>
      </c>
      <c r="Q196" s="82"/>
      <c r="R196" s="82"/>
      <c r="S196" s="82"/>
      <c r="T196" s="83">
        <v>0.0</v>
      </c>
      <c r="U196" s="83">
        <v>0.0</v>
      </c>
      <c r="V196" s="89">
        <f>IFERROR(__xludf.DUMMYFUNCTION("INDEX(SPLIT(SUBSTITUTE(W196,CHAR(10), """"),"",:""), MATCH(Z196, SPLIT(SUBSTITUTE(W196,CHAR(10), """"),"",:""), 0) + 1)"),5.99)</f>
        <v>5.99</v>
      </c>
      <c r="W196" s="85" t="s">
        <v>2796</v>
      </c>
      <c r="X196" s="16" t="s">
        <v>2797</v>
      </c>
      <c r="Y196" s="53" t="s">
        <v>2031</v>
      </c>
      <c r="Z196" s="53" t="str">
        <f t="array" ref="Z196">INDEX(Problems!J:J, MATCH(1, (Problems!B:B=B196)*1, 0))</f>
        <v>V</v>
      </c>
      <c r="AA196" s="86" t="s">
        <v>2795</v>
      </c>
      <c r="AB196" s="53">
        <v>0.0</v>
      </c>
      <c r="AC196" s="53" t="s">
        <v>2798</v>
      </c>
      <c r="AD196" s="53" t="s">
        <v>1814</v>
      </c>
      <c r="AE196" s="85">
        <f>IFERROR(__xludf.DUMMYFUNCTION("INDEX(SPLIT(SUBSTITUTE(AF196,CHAR(10), """"),"",:""), MATCH(Z196, SPLIT(SUBSTITUTE(AF196,CHAR(10), """"),"",:""), 0) + 1)"),5.0)</f>
        <v>5</v>
      </c>
      <c r="AF196" s="85" t="s">
        <v>2185</v>
      </c>
      <c r="AG196" s="53" t="s">
        <v>2789</v>
      </c>
      <c r="AH196" s="53" t="s">
        <v>2799</v>
      </c>
      <c r="AI196" s="84">
        <v>1.0</v>
      </c>
      <c r="AJ196" s="84">
        <v>0.0</v>
      </c>
      <c r="AK196" s="87"/>
      <c r="AL196" s="81">
        <v>0.0</v>
      </c>
      <c r="AM196" s="87"/>
      <c r="AN196" s="81">
        <v>0.0</v>
      </c>
      <c r="AO196" s="90"/>
      <c r="AP196" s="81">
        <v>0.0</v>
      </c>
      <c r="AQ196" s="81">
        <v>0.0</v>
      </c>
      <c r="AR196" s="39"/>
      <c r="AS196" s="81">
        <v>0.0</v>
      </c>
      <c r="AT196" s="81">
        <v>0.0</v>
      </c>
      <c r="AU196" s="39"/>
      <c r="AV196" s="14" t="s">
        <v>2024</v>
      </c>
      <c r="AW196" s="82"/>
      <c r="AX196" s="82"/>
      <c r="AY196" s="7" t="s">
        <v>2025</v>
      </c>
      <c r="AZ196" s="7"/>
      <c r="BA196" s="7"/>
      <c r="BB196" s="7"/>
      <c r="BC196" s="7"/>
      <c r="BD196" s="7"/>
      <c r="BE196" s="7"/>
      <c r="BF196" s="7">
        <v>1567523.0</v>
      </c>
      <c r="BG196" s="82">
        <f t="shared" si="29"/>
        <v>5025.684104</v>
      </c>
      <c r="BH196" s="82"/>
      <c r="BI196" s="82"/>
      <c r="BJ196" s="82"/>
      <c r="BK196" s="82"/>
      <c r="BL196" s="82"/>
      <c r="BM196" s="82"/>
      <c r="BN196" s="7"/>
      <c r="BO196" s="7">
        <v>2.0</v>
      </c>
      <c r="BP196" s="82"/>
      <c r="BQ196" s="7"/>
      <c r="BR196" s="7" t="s">
        <v>23</v>
      </c>
    </row>
    <row r="197">
      <c r="A197" s="16">
        <v>5.0</v>
      </c>
      <c r="B197" s="16" t="s">
        <v>76</v>
      </c>
      <c r="C197" s="53">
        <v>2.0</v>
      </c>
      <c r="D197" s="53" t="s">
        <v>77</v>
      </c>
      <c r="E197" s="7">
        <v>67.0</v>
      </c>
      <c r="F197" s="53" t="s">
        <v>2791</v>
      </c>
      <c r="G197" s="7"/>
      <c r="H197" s="16">
        <v>1.0</v>
      </c>
      <c r="I197" s="81">
        <v>1.0</v>
      </c>
      <c r="J197" s="16" t="s">
        <v>2800</v>
      </c>
      <c r="K197" s="53" t="s">
        <v>2801</v>
      </c>
      <c r="L197" s="53"/>
      <c r="M197" s="39" t="str">
        <f t="shared" si="1"/>
        <v>[https://www.sciencedirect.com/science/article/pii/002001909090024R Alon (1990)]</v>
      </c>
      <c r="N197" s="39" t="s">
        <v>2802</v>
      </c>
      <c r="O197" s="81">
        <v>1990.0</v>
      </c>
      <c r="P197" s="25" t="s">
        <v>2803</v>
      </c>
      <c r="Q197" s="82"/>
      <c r="R197" s="82"/>
      <c r="S197" s="82"/>
      <c r="T197" s="83">
        <v>0.0</v>
      </c>
      <c r="U197" s="83">
        <v>0.0</v>
      </c>
      <c r="V197" s="89">
        <f>IFERROR(__xludf.DUMMYFUNCTION("INDEX(SPLIT(SUBSTITUTE(W197,CHAR(10), """"),"",:""), MATCH(Z197, SPLIT(SUBSTITUTE(W197,CHAR(10), """"),"",:""), 0) + 1)"),6.0)</f>
        <v>6</v>
      </c>
      <c r="W197" s="85" t="s">
        <v>2754</v>
      </c>
      <c r="X197" s="16" t="s">
        <v>2804</v>
      </c>
      <c r="Y197" s="53" t="s">
        <v>2031</v>
      </c>
      <c r="Z197" s="53" t="str">
        <f t="array" ref="Z197">INDEX(Problems!J:J, MATCH(1, (Problems!B:B=B197)*1, 0))</f>
        <v>V</v>
      </c>
      <c r="AA197" s="86" t="s">
        <v>2803</v>
      </c>
      <c r="AB197" s="53">
        <v>0.0</v>
      </c>
      <c r="AC197" s="53" t="s">
        <v>1813</v>
      </c>
      <c r="AD197" s="53" t="s">
        <v>1814</v>
      </c>
      <c r="AE197" s="85">
        <f>IFERROR(__xludf.DUMMYFUNCTION("INDEX(SPLIT(SUBSTITUTE(AF197,CHAR(10), """"),"",:""), MATCH(Z197, SPLIT(SUBSTITUTE(AF197,CHAR(10), """"),"",:""), 0) + 1)"),5.0)</f>
        <v>5</v>
      </c>
      <c r="AF197" s="85" t="s">
        <v>2185</v>
      </c>
      <c r="AG197" s="53" t="s">
        <v>2789</v>
      </c>
      <c r="AH197" s="53" t="s">
        <v>2799</v>
      </c>
      <c r="AI197" s="84">
        <v>1.0</v>
      </c>
      <c r="AJ197" s="84">
        <v>0.0</v>
      </c>
      <c r="AK197" s="87"/>
      <c r="AL197" s="81">
        <v>0.0</v>
      </c>
      <c r="AM197" s="87"/>
      <c r="AN197" s="81">
        <v>0.0</v>
      </c>
      <c r="AO197" s="90"/>
      <c r="AP197" s="81">
        <v>0.0</v>
      </c>
      <c r="AQ197" s="81">
        <v>0.0</v>
      </c>
      <c r="AR197" s="39"/>
      <c r="AS197" s="81">
        <v>0.0</v>
      </c>
      <c r="AT197" s="81">
        <v>0.0</v>
      </c>
      <c r="AU197" s="39"/>
      <c r="AV197" s="14" t="s">
        <v>2024</v>
      </c>
      <c r="AW197" s="82"/>
      <c r="AX197" s="82"/>
      <c r="AY197" s="7" t="s">
        <v>2025</v>
      </c>
      <c r="AZ197" s="7"/>
      <c r="BA197" s="7"/>
      <c r="BB197" s="7"/>
      <c r="BC197" s="7"/>
      <c r="BD197" s="7"/>
      <c r="BE197" s="7"/>
      <c r="BF197" s="7">
        <v>1.5237244E7</v>
      </c>
      <c r="BG197" s="82">
        <f>BF189/BF197</f>
        <v>517.0144564</v>
      </c>
      <c r="BH197" s="7">
        <f>POW(BG197, 1/($O197-$O$189)) - 1</f>
        <v>0.1737537478</v>
      </c>
      <c r="BI197" s="82">
        <f>POW(1000000, 2)*0.6/2.6*1/2.6+POW(1000000*0.6/2.6, 2.66)*LOG(1000000*0.6/2.6,2)</f>
        <v>3.28759E+15</v>
      </c>
      <c r="BJ197" s="82">
        <f>BI189/BI197</f>
        <v>2396247.828</v>
      </c>
      <c r="BK197" s="7">
        <f>POW(BJ197, 1/($O197-$O189)) - 1</f>
        <v>0.4573965487</v>
      </c>
      <c r="BL197" s="82">
        <f>POW(1000000000, 2)*0.6/2.6*1/2.6+POW(1000000000*0.6/2.6, 2.66)*LOG(1000000000*0.6/2.6,2)</f>
        <v>4.8957E+23</v>
      </c>
      <c r="BM197" s="82">
        <f>BL189/BL197</f>
        <v>16091415411</v>
      </c>
      <c r="BN197" s="7">
        <f>POW(BM197, 1/($O197-$O189)) - 1</f>
        <v>0.8268695823</v>
      </c>
      <c r="BO197" s="7">
        <v>2.0</v>
      </c>
      <c r="BP197" s="82"/>
      <c r="BQ197" s="7"/>
      <c r="BR197" s="7" t="s">
        <v>23</v>
      </c>
    </row>
    <row r="198">
      <c r="A198" s="16">
        <v>5.0</v>
      </c>
      <c r="B198" s="16" t="s">
        <v>76</v>
      </c>
      <c r="C198" s="53">
        <v>2.0</v>
      </c>
      <c r="D198" s="53" t="s">
        <v>77</v>
      </c>
      <c r="E198" s="7">
        <v>68.0</v>
      </c>
      <c r="F198" s="53" t="s">
        <v>2791</v>
      </c>
      <c r="G198" s="7"/>
      <c r="H198" s="16">
        <v>1.0</v>
      </c>
      <c r="I198" s="81">
        <v>1.0</v>
      </c>
      <c r="J198" s="16" t="s">
        <v>2805</v>
      </c>
      <c r="K198" s="53" t="s">
        <v>2801</v>
      </c>
      <c r="L198" s="53"/>
      <c r="M198" s="39" t="str">
        <f t="shared" si="1"/>
        <v>[https://dl.acm.org/citation.cfm?id=139438 King et al. (KRT) (1992)]</v>
      </c>
      <c r="N198" s="21" t="s">
        <v>2806</v>
      </c>
      <c r="O198" s="81">
        <v>1992.0</v>
      </c>
      <c r="P198" s="17" t="s">
        <v>2807</v>
      </c>
      <c r="Q198" s="82"/>
      <c r="R198" s="82"/>
      <c r="S198" s="82"/>
      <c r="T198" s="83">
        <v>0.0</v>
      </c>
      <c r="U198" s="83">
        <v>0.0</v>
      </c>
      <c r="V198" s="89">
        <f>IFERROR(__xludf.DUMMYFUNCTION("INDEX(SPLIT(SUBSTITUTE(W198,CHAR(10), """"),"",:""), MATCH(Z198, SPLIT(SUBSTITUTE(W198,CHAR(10), """"),"",:""), 0) + 1)"),6.0)</f>
        <v>6</v>
      </c>
      <c r="W198" s="85" t="s">
        <v>2754</v>
      </c>
      <c r="X198" s="16" t="s">
        <v>2808</v>
      </c>
      <c r="Y198" s="53" t="s">
        <v>2809</v>
      </c>
      <c r="Z198" s="53" t="str">
        <f t="array" ref="Z198">INDEX(Problems!J:J, MATCH(1, (Problems!B:B=B198)*1, 0))</f>
        <v>V</v>
      </c>
      <c r="AA198" s="91" t="s">
        <v>2807</v>
      </c>
      <c r="AB198" s="53">
        <v>0.0</v>
      </c>
      <c r="AC198" s="53" t="s">
        <v>1813</v>
      </c>
      <c r="AD198" s="53" t="s">
        <v>1814</v>
      </c>
      <c r="AE198" s="85">
        <f>IFERROR(__xludf.DUMMYFUNCTION("INDEX(SPLIT(SUBSTITUTE(AF198,CHAR(10), """"),"",:""), MATCH(Z198, SPLIT(SUBSTITUTE(AF198,CHAR(10), """"),"",:""), 0) + 1)"),5.0)</f>
        <v>5</v>
      </c>
      <c r="AF198" s="85" t="s">
        <v>2185</v>
      </c>
      <c r="AG198" s="53" t="s">
        <v>2789</v>
      </c>
      <c r="AH198" s="53" t="s">
        <v>2799</v>
      </c>
      <c r="AI198" s="84">
        <v>1.0</v>
      </c>
      <c r="AJ198" s="84">
        <v>0.0</v>
      </c>
      <c r="AK198" s="87"/>
      <c r="AL198" s="81">
        <v>0.0</v>
      </c>
      <c r="AM198" s="87"/>
      <c r="AN198" s="81">
        <v>0.0</v>
      </c>
      <c r="AO198" s="90"/>
      <c r="AP198" s="81">
        <v>0.0</v>
      </c>
      <c r="AQ198" s="81">
        <v>0.0</v>
      </c>
      <c r="AR198" s="39"/>
      <c r="AS198" s="81">
        <v>0.0</v>
      </c>
      <c r="AT198" s="81">
        <v>0.0</v>
      </c>
      <c r="AU198" s="39"/>
      <c r="AV198" s="14" t="s">
        <v>2024</v>
      </c>
      <c r="AW198" s="82"/>
      <c r="AX198" s="82"/>
      <c r="AY198" s="7" t="s">
        <v>2025</v>
      </c>
      <c r="AZ198" s="7"/>
      <c r="BA198" s="7"/>
      <c r="BB198" s="7"/>
      <c r="BC198" s="7"/>
      <c r="BD198" s="7"/>
      <c r="BE198" s="7"/>
      <c r="BF198" s="7">
        <v>142011.0</v>
      </c>
      <c r="BG198" s="82">
        <f>7877875424/BF198</f>
        <v>55473.69869</v>
      </c>
      <c r="BH198" s="82"/>
      <c r="BI198" s="82"/>
      <c r="BJ198" s="82"/>
      <c r="BK198" s="82"/>
      <c r="BL198" s="82"/>
      <c r="BM198" s="82"/>
      <c r="BN198" s="7"/>
      <c r="BO198" s="7">
        <v>2.0</v>
      </c>
      <c r="BP198" s="82"/>
      <c r="BQ198" s="7"/>
      <c r="BR198" s="7" t="s">
        <v>23</v>
      </c>
    </row>
    <row r="199">
      <c r="A199" s="16">
        <v>5.0</v>
      </c>
      <c r="B199" s="16" t="s">
        <v>76</v>
      </c>
      <c r="C199" s="53">
        <v>2.0</v>
      </c>
      <c r="D199" s="53" t="s">
        <v>77</v>
      </c>
      <c r="E199" s="7">
        <v>69.0</v>
      </c>
      <c r="F199" s="53" t="s">
        <v>2791</v>
      </c>
      <c r="G199" s="7"/>
      <c r="H199" s="16">
        <v>1.0</v>
      </c>
      <c r="I199" s="81">
        <v>1.0</v>
      </c>
      <c r="J199" s="21" t="s">
        <v>2810</v>
      </c>
      <c r="K199" s="53" t="s">
        <v>2801</v>
      </c>
      <c r="L199" s="53"/>
      <c r="M199" s="39" t="str">
        <f t="shared" si="1"/>
        <v>[https://dl.acm.org/citation.cfm?id=167201 Phillips &amp; Westbrook (1993)]</v>
      </c>
      <c r="N199" s="39" t="s">
        <v>2811</v>
      </c>
      <c r="O199" s="81">
        <v>1993.0</v>
      </c>
      <c r="P199" s="28" t="s">
        <v>2812</v>
      </c>
      <c r="Q199" s="82"/>
      <c r="R199" s="82"/>
      <c r="S199" s="82"/>
      <c r="T199" s="81">
        <v>1.0</v>
      </c>
      <c r="U199" s="83">
        <v>0.0</v>
      </c>
      <c r="V199" s="89">
        <f>IFERROR(__xludf.DUMMYFUNCTION("INDEX(SPLIT(SUBSTITUTE(W199,CHAR(10), """"),"",:""), MATCH(Z199, SPLIT(SUBSTITUTE(W199,CHAR(10), """"),"",:""), 0) + 1)"),6.0)</f>
        <v>6</v>
      </c>
      <c r="W199" s="85" t="s">
        <v>2754</v>
      </c>
      <c r="X199" s="16" t="s">
        <v>2813</v>
      </c>
      <c r="Y199" s="53" t="s">
        <v>2031</v>
      </c>
      <c r="Z199" s="53" t="str">
        <f t="array" ref="Z199">INDEX(Problems!J:J, MATCH(1, (Problems!B:B=B199)*1, 0))</f>
        <v>V</v>
      </c>
      <c r="AA199" s="91" t="s">
        <v>2812</v>
      </c>
      <c r="AB199" s="53">
        <v>0.0</v>
      </c>
      <c r="AC199" s="53" t="s">
        <v>1813</v>
      </c>
      <c r="AD199" s="53" t="s">
        <v>1814</v>
      </c>
      <c r="AE199" s="85">
        <f>IFERROR(__xludf.DUMMYFUNCTION("INDEX(SPLIT(SUBSTITUTE(AF199,CHAR(10), """"),"",:""), MATCH(Z199, SPLIT(SUBSTITUTE(AF199,CHAR(10), """"),"",:""), 0) + 1)"),5.0)</f>
        <v>5</v>
      </c>
      <c r="AF199" s="85" t="s">
        <v>2185</v>
      </c>
      <c r="AG199" s="53" t="s">
        <v>2789</v>
      </c>
      <c r="AH199" s="53" t="s">
        <v>2799</v>
      </c>
      <c r="AI199" s="84">
        <v>1.0</v>
      </c>
      <c r="AJ199" s="84">
        <v>0.0</v>
      </c>
      <c r="AK199" s="87"/>
      <c r="AL199" s="81">
        <v>0.0</v>
      </c>
      <c r="AM199" s="87"/>
      <c r="AN199" s="81">
        <v>0.0</v>
      </c>
      <c r="AO199" s="90"/>
      <c r="AP199" s="81">
        <v>0.0</v>
      </c>
      <c r="AQ199" s="81">
        <v>0.0</v>
      </c>
      <c r="AR199" s="39"/>
      <c r="AS199" s="81">
        <v>0.0</v>
      </c>
      <c r="AT199" s="81">
        <v>0.0</v>
      </c>
      <c r="AU199" s="39"/>
      <c r="AV199" s="14" t="s">
        <v>2024</v>
      </c>
      <c r="AW199" s="82"/>
      <c r="AX199" s="82"/>
      <c r="AY199" s="7" t="s">
        <v>2025</v>
      </c>
      <c r="AZ199" s="7"/>
      <c r="BA199" s="7"/>
      <c r="BB199" s="7"/>
      <c r="BC199" s="7"/>
      <c r="BD199" s="7"/>
      <c r="BE199" s="7"/>
      <c r="BF199" s="7">
        <f>(0.6/2.6)*(1/2.6)*1000*1000*(LOG((0.6/2.6)*1000,0.6)+POW(LOG((0.6/2.6)*1000,2),2))</f>
        <v>4524418.767</v>
      </c>
      <c r="BG199" s="82">
        <f>BF183/BF199</f>
        <v>0.0002210228653</v>
      </c>
      <c r="BH199" s="82"/>
      <c r="BI199" s="82">
        <f>(0.6/2.6)*(1/2.6)*1000000*1000000*(LOG((0.6/2.6)*1000000,0.6)+POW(LOG((0.6/2.6)*1000000,2),2))</f>
        <v>26027057526546</v>
      </c>
      <c r="BJ199" s="82">
        <f>BI183/BI199</f>
        <v>0</v>
      </c>
      <c r="BK199" s="82"/>
      <c r="BL199" s="82">
        <f>(0.6/2.6)*(1/2.6)*1000000000*1000000000*(LOG((0.6/2.6)*1000000000,0.6)+POW(LOG((0.6/2.6)*1000000000,2),2))</f>
        <v>6.51599E+19</v>
      </c>
      <c r="BM199" s="82">
        <f>BL183/BL199</f>
        <v>0</v>
      </c>
      <c r="BN199" s="7"/>
      <c r="BO199" s="7">
        <v>2.0</v>
      </c>
      <c r="BP199" s="82"/>
      <c r="BQ199" s="7"/>
      <c r="BR199" s="7" t="s">
        <v>23</v>
      </c>
    </row>
    <row r="200">
      <c r="A200" s="16">
        <v>5.0</v>
      </c>
      <c r="B200" s="16" t="s">
        <v>76</v>
      </c>
      <c r="C200" s="53">
        <v>2.0</v>
      </c>
      <c r="D200" s="53" t="s">
        <v>84</v>
      </c>
      <c r="E200" s="7">
        <v>71.0</v>
      </c>
      <c r="F200" s="53" t="s">
        <v>2814</v>
      </c>
      <c r="G200" s="7"/>
      <c r="H200" s="16">
        <v>1.0</v>
      </c>
      <c r="I200" s="81">
        <v>1.0</v>
      </c>
      <c r="J200" s="16" t="s">
        <v>2815</v>
      </c>
      <c r="K200" s="53" t="s">
        <v>2801</v>
      </c>
      <c r="L200" s="53"/>
      <c r="M200" s="39" t="str">
        <f t="shared" si="1"/>
        <v>[https://dl.acm.org/citation.cfm?id=290181 Goldberg &amp; Rao (1997)]</v>
      </c>
      <c r="N200" s="39" t="s">
        <v>2816</v>
      </c>
      <c r="O200" s="81">
        <v>1997.0</v>
      </c>
      <c r="P200" s="28" t="s">
        <v>2817</v>
      </c>
      <c r="Q200" s="82"/>
      <c r="R200" s="82"/>
      <c r="S200" s="82"/>
      <c r="T200" s="81">
        <v>1.0</v>
      </c>
      <c r="U200" s="83" t="s">
        <v>2425</v>
      </c>
      <c r="V200" s="89">
        <f>IFERROR(__xludf.DUMMYFUNCTION("INDEX(SPLIT(SUBSTITUTE(W200,CHAR(10), """"),"",:""), MATCH(Z200, SPLIT(SUBSTITUTE(W200,CHAR(10), """"),"",:""), 0) + 1)"),6.0)</f>
        <v>6</v>
      </c>
      <c r="W200" s="85" t="s">
        <v>2818</v>
      </c>
      <c r="X200" s="16" t="s">
        <v>2819</v>
      </c>
      <c r="Y200" s="53" t="s">
        <v>2031</v>
      </c>
      <c r="Z200" s="53" t="str">
        <f t="array" ref="Z200">INDEX(Problems!J:J, MATCH(1, (Problems!B:B=B200)*1, 0))</f>
        <v>V</v>
      </c>
      <c r="AA200" s="91" t="s">
        <v>2817</v>
      </c>
      <c r="AB200" s="53">
        <v>0.0</v>
      </c>
      <c r="AC200" s="53" t="s">
        <v>1813</v>
      </c>
      <c r="AD200" s="53" t="s">
        <v>1814</v>
      </c>
      <c r="AE200" s="85">
        <f>IFERROR(__xludf.DUMMYFUNCTION("INDEX(SPLIT(SUBSTITUTE(AF200,CHAR(10), """"),"",:""), MATCH(Z200, SPLIT(SUBSTITUTE(AF200,CHAR(10), """"),"",:""), 0) + 1)"),5.0)</f>
        <v>5</v>
      </c>
      <c r="AF200" s="85" t="s">
        <v>2185</v>
      </c>
      <c r="AG200" s="53" t="s">
        <v>2789</v>
      </c>
      <c r="AH200" s="53" t="s">
        <v>2820</v>
      </c>
      <c r="AI200" s="84">
        <v>1.0</v>
      </c>
      <c r="AJ200" s="84">
        <v>0.0</v>
      </c>
      <c r="AK200" s="87"/>
      <c r="AL200" s="81">
        <v>0.0</v>
      </c>
      <c r="AM200" s="87"/>
      <c r="AN200" s="81">
        <v>0.0</v>
      </c>
      <c r="AO200" s="90"/>
      <c r="AP200" s="81">
        <v>0.0</v>
      </c>
      <c r="AQ200" s="81">
        <v>0.0</v>
      </c>
      <c r="AR200" s="39"/>
      <c r="AS200" s="81">
        <v>0.0</v>
      </c>
      <c r="AT200" s="81">
        <v>0.0</v>
      </c>
      <c r="AU200" s="39"/>
      <c r="AV200" s="14" t="s">
        <v>2024</v>
      </c>
      <c r="AW200" s="82"/>
      <c r="AX200" s="82"/>
      <c r="AY200" s="7" t="s">
        <v>2025</v>
      </c>
      <c r="AZ200" s="7"/>
      <c r="BA200" s="7"/>
      <c r="BB200" s="7"/>
      <c r="BC200" s="7"/>
      <c r="BD200" s="7"/>
      <c r="BE200" s="7"/>
      <c r="BF200" s="7">
        <f>POW((1/2.6)*1000,1.5)*LOG(POW((0.6/2.6)*1000,2)/((1/2.6)*1000),2)*LOG((1/2.6)*1000,2)</f>
        <v>460753.7601</v>
      </c>
      <c r="BG200" s="82">
        <f>BF45/BF200</f>
        <v>16.40695149</v>
      </c>
      <c r="BH200" s="82"/>
      <c r="BI200" s="82">
        <f>POW((1/2.6)*1000000,1.5)*LOG(POW((0.6/2.6)*1000000,2)/((1/2.6)*1000000),2)*LOG((1/2.6)*1000000,2)</f>
        <v>75582472025</v>
      </c>
      <c r="BJ200" s="82">
        <f>BI183/BI200</f>
        <v>0</v>
      </c>
      <c r="BK200" s="82"/>
      <c r="BL200" s="82">
        <f>POW((1/2.6)*1000000000,1.5)*LOG(POW((0.6/2.6)*1000000000,2)/((1/2.6)*1000000000),2)*LOG((1/2.6)*1000000000,2)</f>
        <v>5.81778E+15</v>
      </c>
      <c r="BM200" s="82">
        <f>BL183/BL200</f>
        <v>0</v>
      </c>
      <c r="BN200" s="7"/>
      <c r="BO200" s="7">
        <v>2.0</v>
      </c>
      <c r="BP200" s="82"/>
      <c r="BQ200" s="7"/>
      <c r="BR200" s="7" t="s">
        <v>23</v>
      </c>
    </row>
    <row r="201">
      <c r="A201" s="16">
        <v>5.0</v>
      </c>
      <c r="B201" s="16" t="s">
        <v>76</v>
      </c>
      <c r="C201" s="53">
        <v>2.0</v>
      </c>
      <c r="D201" s="53" t="s">
        <v>84</v>
      </c>
      <c r="E201" s="7">
        <v>72.0</v>
      </c>
      <c r="F201" s="53" t="s">
        <v>2814</v>
      </c>
      <c r="G201" s="7"/>
      <c r="H201" s="16">
        <v>1.0</v>
      </c>
      <c r="I201" s="81">
        <v>1.0</v>
      </c>
      <c r="J201" s="16" t="s">
        <v>2821</v>
      </c>
      <c r="K201" s="53" t="s">
        <v>2801</v>
      </c>
      <c r="L201" s="53"/>
      <c r="M201" s="39" t="str">
        <f t="shared" si="1"/>
        <v>[https://dl.acm.org/citation.cfm?id=290181 Goldberg &amp; Rao (1997)]</v>
      </c>
      <c r="N201" s="39" t="s">
        <v>2816</v>
      </c>
      <c r="O201" s="81">
        <v>1997.0</v>
      </c>
      <c r="P201" s="28" t="s">
        <v>2817</v>
      </c>
      <c r="Q201" s="82"/>
      <c r="R201" s="82"/>
      <c r="S201" s="82"/>
      <c r="T201" s="83">
        <v>0.0</v>
      </c>
      <c r="U201" s="83">
        <v>0.0</v>
      </c>
      <c r="V201" s="89">
        <f>IFERROR(__xludf.DUMMYFUNCTION("INDEX(SPLIT(SUBSTITUTE(W201,CHAR(10), """"),"",:""), MATCH(Z201, SPLIT(SUBSTITUTE(W201,CHAR(10), """"),"",:""), 0) + 1)"),5.66)</f>
        <v>5.66</v>
      </c>
      <c r="W201" s="85" t="s">
        <v>2822</v>
      </c>
      <c r="X201" s="16" t="s">
        <v>2823</v>
      </c>
      <c r="Y201" s="53" t="s">
        <v>2031</v>
      </c>
      <c r="Z201" s="53" t="str">
        <f t="array" ref="Z201">INDEX(Problems!J:J, MATCH(1, (Problems!B:B=B201)*1, 0))</f>
        <v>V</v>
      </c>
      <c r="AA201" s="91" t="s">
        <v>2817</v>
      </c>
      <c r="AB201" s="53">
        <v>0.0</v>
      </c>
      <c r="AC201" s="53" t="s">
        <v>1813</v>
      </c>
      <c r="AD201" s="53" t="s">
        <v>1814</v>
      </c>
      <c r="AE201" s="85">
        <f>IFERROR(__xludf.DUMMYFUNCTION("INDEX(SPLIT(SUBSTITUTE(AF201,CHAR(10), """"),"",:""), MATCH(Z201, SPLIT(SUBSTITUTE(AF201,CHAR(10), """"),"",:""), 0) + 1)"),5.0)</f>
        <v>5</v>
      </c>
      <c r="AF201" s="85" t="s">
        <v>2185</v>
      </c>
      <c r="AG201" s="53" t="s">
        <v>2789</v>
      </c>
      <c r="AH201" s="53" t="s">
        <v>2820</v>
      </c>
      <c r="AI201" s="84">
        <v>1.0</v>
      </c>
      <c r="AJ201" s="84">
        <v>0.0</v>
      </c>
      <c r="AK201" s="87"/>
      <c r="AL201" s="81">
        <v>0.0</v>
      </c>
      <c r="AM201" s="87"/>
      <c r="AN201" s="81">
        <v>0.0</v>
      </c>
      <c r="AO201" s="90"/>
      <c r="AP201" s="81">
        <v>0.0</v>
      </c>
      <c r="AQ201" s="81">
        <v>0.0</v>
      </c>
      <c r="AR201" s="39"/>
      <c r="AS201" s="81">
        <v>0.0</v>
      </c>
      <c r="AT201" s="81">
        <v>0.0</v>
      </c>
      <c r="AU201" s="39"/>
      <c r="AV201" s="14" t="s">
        <v>2024</v>
      </c>
      <c r="AW201" s="82"/>
      <c r="AX201" s="82"/>
      <c r="AY201" s="7" t="s">
        <v>2025</v>
      </c>
      <c r="AZ201" s="7"/>
      <c r="BA201" s="7"/>
      <c r="BB201" s="7"/>
      <c r="BC201" s="7"/>
      <c r="BD201" s="7"/>
      <c r="BE201" s="7"/>
      <c r="BF201" s="7">
        <v>851225.0</v>
      </c>
      <c r="BG201" s="82">
        <f>BF189/BF201</f>
        <v>9254.751005</v>
      </c>
      <c r="BI201" s="82"/>
      <c r="BJ201" s="82"/>
      <c r="BL201" s="82"/>
      <c r="BM201" s="82"/>
      <c r="BN201" s="7"/>
      <c r="BO201" s="7">
        <v>2.0</v>
      </c>
      <c r="BP201" s="82"/>
      <c r="BQ201" s="7"/>
      <c r="BR201" s="7" t="s">
        <v>23</v>
      </c>
    </row>
    <row r="202">
      <c r="A202" s="16">
        <v>5.0</v>
      </c>
      <c r="B202" s="16" t="s">
        <v>76</v>
      </c>
      <c r="C202" s="53">
        <v>2.0</v>
      </c>
      <c r="D202" s="53" t="s">
        <v>77</v>
      </c>
      <c r="E202" s="7">
        <v>73.0</v>
      </c>
      <c r="F202" s="53" t="s">
        <v>2824</v>
      </c>
      <c r="G202" s="7"/>
      <c r="H202" s="16">
        <v>1.0</v>
      </c>
      <c r="I202" s="81">
        <v>1.0</v>
      </c>
      <c r="J202" s="39" t="s">
        <v>2825</v>
      </c>
      <c r="K202" s="53" t="s">
        <v>2801</v>
      </c>
      <c r="L202" s="53"/>
      <c r="M202" s="39" t="str">
        <f t="shared" si="1"/>
        <v>[https://dl.acm.org/citation.cfm?id=2488705 James B Orlin's + KRT (King; Rao; Tarjan)'s algorithm (2013)]</v>
      </c>
      <c r="N202" s="39" t="s">
        <v>2826</v>
      </c>
      <c r="O202" s="81">
        <v>2013.0</v>
      </c>
      <c r="P202" s="17" t="s">
        <v>2827</v>
      </c>
      <c r="Q202" s="82"/>
      <c r="R202" s="82"/>
      <c r="S202" s="82"/>
      <c r="T202" s="81">
        <v>1.0</v>
      </c>
      <c r="U202" s="83">
        <v>0.0</v>
      </c>
      <c r="V202" s="89">
        <f>IFERROR(__xludf.DUMMYFUNCTION("INDEX(SPLIT(SUBSTITUTE(W202,CHAR(10), """"),"",:""), MATCH(Z202, SPLIT(SUBSTITUTE(W202,CHAR(10), """"),"",:""), 0) + 1)"),6.0)</f>
        <v>6</v>
      </c>
      <c r="W202" s="85" t="s">
        <v>2754</v>
      </c>
      <c r="X202" s="16" t="s">
        <v>960</v>
      </c>
      <c r="Y202" s="53" t="s">
        <v>2031</v>
      </c>
      <c r="Z202" s="53" t="str">
        <f t="array" ref="Z202">INDEX(Problems!J:J, MATCH(1, (Problems!B:B=B202)*1, 0))</f>
        <v>V</v>
      </c>
      <c r="AA202" s="91" t="s">
        <v>2827</v>
      </c>
      <c r="AB202" s="53">
        <v>0.0</v>
      </c>
      <c r="AC202" s="53" t="s">
        <v>1813</v>
      </c>
      <c r="AD202" s="53" t="s">
        <v>1814</v>
      </c>
      <c r="AE202" s="85">
        <f>IFERROR(__xludf.DUMMYFUNCTION("INDEX(SPLIT(SUBSTITUTE(AF202,CHAR(10), """"),"",:""), MATCH(Z202, SPLIT(SUBSTITUTE(AF202,CHAR(10), """"),"",:""), 0) + 1)"),5.0)</f>
        <v>5</v>
      </c>
      <c r="AF202" s="85" t="s">
        <v>2185</v>
      </c>
      <c r="AG202" s="53" t="s">
        <v>2789</v>
      </c>
      <c r="AH202" s="53" t="s">
        <v>2820</v>
      </c>
      <c r="AI202" s="84">
        <v>1.0</v>
      </c>
      <c r="AJ202" s="84">
        <v>0.0</v>
      </c>
      <c r="AK202" s="87"/>
      <c r="AL202" s="81">
        <v>0.0</v>
      </c>
      <c r="AM202" s="87"/>
      <c r="AN202" s="81">
        <v>0.0</v>
      </c>
      <c r="AO202" s="90"/>
      <c r="AP202" s="81">
        <v>0.0</v>
      </c>
      <c r="AQ202" s="81">
        <v>0.0</v>
      </c>
      <c r="AR202" s="39"/>
      <c r="AS202" s="81">
        <v>0.0</v>
      </c>
      <c r="AT202" s="81">
        <v>0.0</v>
      </c>
      <c r="AU202" s="39"/>
      <c r="AV202" s="14" t="s">
        <v>2024</v>
      </c>
      <c r="AW202" s="82"/>
      <c r="AX202" s="82"/>
      <c r="AY202" s="7" t="s">
        <v>2025</v>
      </c>
      <c r="AZ202" s="7"/>
      <c r="BA202" s="7"/>
      <c r="BB202" s="7"/>
      <c r="BC202" s="7"/>
      <c r="BD202" s="7"/>
      <c r="BE202" s="7"/>
      <c r="BF202" s="7">
        <v>88757.0</v>
      </c>
      <c r="BG202" s="82">
        <f>BF189/BF202</f>
        <v>88757.7929</v>
      </c>
      <c r="BH202" s="7">
        <f>POW(BG202, 1/($O202-$O$189)) - 1</f>
        <v>0.2017379668</v>
      </c>
      <c r="BI202" s="82">
        <f>0.08875739644*1000000000000</f>
        <v>88757396440</v>
      </c>
      <c r="BJ202" s="82">
        <f>BI189/BI202</f>
        <v>88757396408</v>
      </c>
      <c r="BK202" s="7">
        <f>POW(BJ202, 1/($O202-$O$189)) - 1</f>
        <v>0.5017026406</v>
      </c>
      <c r="BL202" s="82">
        <f>BI202*1000000</f>
        <v>8.87574E+16</v>
      </c>
      <c r="BM202" s="82">
        <f>BL189/BL202</f>
        <v>8.87574E+16</v>
      </c>
      <c r="BN202" s="7">
        <f>POW(BM202, 1/($O202-$O$189)) - 1</f>
        <v>0.8765413472</v>
      </c>
      <c r="BO202" s="7">
        <v>2.0</v>
      </c>
      <c r="BP202" s="82"/>
      <c r="BQ202" s="7"/>
      <c r="BR202" s="7" t="s">
        <v>23</v>
      </c>
    </row>
    <row r="203">
      <c r="A203" s="16">
        <v>7.0</v>
      </c>
      <c r="B203" s="16" t="s">
        <v>1261</v>
      </c>
      <c r="C203" s="53">
        <v>1.0</v>
      </c>
      <c r="D203" s="53" t="s">
        <v>1276</v>
      </c>
      <c r="E203" s="7">
        <v>86.0</v>
      </c>
      <c r="F203" s="53"/>
      <c r="G203" s="7"/>
      <c r="H203" s="16">
        <v>1.0</v>
      </c>
      <c r="I203" s="81">
        <v>1.0</v>
      </c>
      <c r="J203" s="21" t="s">
        <v>2828</v>
      </c>
      <c r="K203" s="53"/>
      <c r="L203" s="53"/>
      <c r="M203" s="39" t="str">
        <f t="shared" si="1"/>
        <v>[https://www.sciencedirect.com/science/article/pii/002001907690065X?via%3Dihub Lawler (1976)]</v>
      </c>
      <c r="N203" s="16" t="s">
        <v>2829</v>
      </c>
      <c r="O203" s="81">
        <v>1976.0</v>
      </c>
      <c r="P203" s="17" t="s">
        <v>2830</v>
      </c>
      <c r="Q203" s="82"/>
      <c r="R203" s="82"/>
      <c r="S203" s="82"/>
      <c r="T203" s="16">
        <v>1.0</v>
      </c>
      <c r="U203" s="16">
        <v>0.0</v>
      </c>
      <c r="V203" s="89">
        <f>IFERROR(__xludf.DUMMYFUNCTION("INDEX(SPLIT(SUBSTITUTE(W203,CHAR(10), """"),"",:""), MATCH(Z203, SPLIT(SUBSTITUTE(W203,CHAR(10), """"),"",:""), 0) + 1)"),8.0)</f>
        <v>8</v>
      </c>
      <c r="W203" s="85" t="s">
        <v>2100</v>
      </c>
      <c r="X203" s="21" t="s">
        <v>2831</v>
      </c>
      <c r="Y203" s="53" t="s">
        <v>2102</v>
      </c>
      <c r="Z203" s="53" t="str">
        <f t="array" ref="Z203">INDEX(Problems!J:J, MATCH(1, (Problems!B:B=B203)*1, 0))</f>
        <v>n</v>
      </c>
      <c r="AA203" s="53"/>
      <c r="AB203" s="53"/>
      <c r="AC203" s="53" t="s">
        <v>1813</v>
      </c>
      <c r="AD203" s="53" t="s">
        <v>1814</v>
      </c>
      <c r="AE203" s="85">
        <f>IFERROR(__xludf.DUMMYFUNCTION("INDEX(SPLIT(SUBSTITUTE(AF203,CHAR(10), """"),"",:""), MATCH(Z203, SPLIT(SUBSTITUTE(AF203,CHAR(10), """"),"",:""), 0) + 1)"),3.0)</f>
        <v>3</v>
      </c>
      <c r="AF203" s="85" t="s">
        <v>2832</v>
      </c>
      <c r="AG203" s="53" t="s">
        <v>35</v>
      </c>
      <c r="AH203" s="53" t="s">
        <v>2833</v>
      </c>
      <c r="AI203" s="84">
        <v>1.0</v>
      </c>
      <c r="AJ203" s="84">
        <v>0.0</v>
      </c>
      <c r="AK203" s="87"/>
      <c r="AL203" s="81">
        <v>0.0</v>
      </c>
      <c r="AM203" s="87"/>
      <c r="AN203" s="81">
        <v>0.0</v>
      </c>
      <c r="AO203" s="90"/>
      <c r="AP203" s="81">
        <v>0.0</v>
      </c>
      <c r="AQ203" s="81">
        <v>0.0</v>
      </c>
      <c r="AR203" s="39"/>
      <c r="AS203" s="81">
        <v>0.0</v>
      </c>
      <c r="AT203" s="81">
        <v>0.0</v>
      </c>
      <c r="AU203" s="39"/>
      <c r="AV203" s="7" t="s">
        <v>2104</v>
      </c>
      <c r="AW203" s="82"/>
      <c r="AX203" s="82"/>
      <c r="AY203" s="7"/>
      <c r="AZ203" s="7"/>
      <c r="BA203" s="7"/>
      <c r="BB203" s="7"/>
      <c r="BC203" s="7"/>
      <c r="BD203" s="7"/>
      <c r="BE203" s="7"/>
      <c r="BF203" s="7" t="s">
        <v>1781</v>
      </c>
      <c r="BG203" s="7">
        <v>1.0</v>
      </c>
      <c r="BH203" s="7"/>
      <c r="BI203" s="7" t="s">
        <v>1781</v>
      </c>
      <c r="BJ203" s="7">
        <v>1.0</v>
      </c>
      <c r="BK203" s="7"/>
      <c r="BL203" s="7" t="s">
        <v>1781</v>
      </c>
      <c r="BM203" s="7">
        <v>1.0</v>
      </c>
      <c r="BN203" s="7"/>
      <c r="BO203" s="7">
        <v>1.0</v>
      </c>
      <c r="BP203" s="82"/>
      <c r="BQ203" s="7"/>
      <c r="BR203" s="7" t="s">
        <v>23</v>
      </c>
    </row>
    <row r="204">
      <c r="A204" s="16">
        <v>7.0</v>
      </c>
      <c r="B204" s="16" t="s">
        <v>1261</v>
      </c>
      <c r="C204" s="53">
        <v>1.0</v>
      </c>
      <c r="D204" s="53" t="s">
        <v>1276</v>
      </c>
      <c r="E204" s="7">
        <v>87.0</v>
      </c>
      <c r="F204" s="53"/>
      <c r="G204" s="7"/>
      <c r="H204" s="16">
        <v>1.0</v>
      </c>
      <c r="I204" s="81">
        <v>1.0</v>
      </c>
      <c r="J204" s="39" t="s">
        <v>2834</v>
      </c>
      <c r="K204" s="53"/>
      <c r="L204" s="53"/>
      <c r="M204" s="39" t="str">
        <f t="shared" si="1"/>
        <v>[https://link.springer.com/chapter/10.1007/3-540-57899-4_51 Schiermeyer (1994)]</v>
      </c>
      <c r="N204" s="16" t="s">
        <v>2835</v>
      </c>
      <c r="O204" s="81">
        <v>1994.0</v>
      </c>
      <c r="P204" s="47" t="s">
        <v>2836</v>
      </c>
      <c r="Q204" s="7"/>
      <c r="R204" s="82"/>
      <c r="S204" s="82"/>
      <c r="T204" s="16">
        <v>0.0</v>
      </c>
      <c r="U204" s="16">
        <v>0.0</v>
      </c>
      <c r="V204" s="89">
        <f>IFERROR(__xludf.DUMMYFUNCTION("INDEX(SPLIT(SUBSTITUTE(W204,CHAR(10), """"),"",:""), MATCH(Z204, SPLIT(SUBSTITUTE(W204,CHAR(10), """"),"",:""), 0) + 1)"),8.0)</f>
        <v>8</v>
      </c>
      <c r="W204" s="85" t="s">
        <v>2001</v>
      </c>
      <c r="X204" s="16" t="s">
        <v>2837</v>
      </c>
      <c r="Y204" s="53" t="s">
        <v>2102</v>
      </c>
      <c r="Z204" s="53" t="str">
        <f t="array" ref="Z204">INDEX(Problems!J:J, MATCH(1, (Problems!B:B=B204)*1, 0))</f>
        <v>n</v>
      </c>
      <c r="AA204" s="53"/>
      <c r="AB204" s="53"/>
      <c r="AC204" s="53" t="s">
        <v>1813</v>
      </c>
      <c r="AD204" s="53" t="s">
        <v>1814</v>
      </c>
      <c r="AE204" s="85">
        <f>IFERROR(__xludf.DUMMYFUNCTION("INDEX(SPLIT(SUBSTITUTE(AF204,CHAR(10), """"),"",:""), MATCH(Z204, SPLIT(SUBSTITUTE(AF204,CHAR(10), """"),"",:""), 0) + 1)"),6.0)</f>
        <v>6</v>
      </c>
      <c r="AF204" s="85" t="s">
        <v>2838</v>
      </c>
      <c r="AG204" s="53" t="s">
        <v>2839</v>
      </c>
      <c r="AH204" s="53" t="s">
        <v>2840</v>
      </c>
      <c r="AI204" s="84">
        <v>1.0</v>
      </c>
      <c r="AJ204" s="84">
        <v>0.0</v>
      </c>
      <c r="AK204" s="84"/>
      <c r="AL204" s="83">
        <v>0.0</v>
      </c>
      <c r="AM204" s="87"/>
      <c r="AN204" s="81">
        <v>0.0</v>
      </c>
      <c r="AO204" s="90"/>
      <c r="AP204" s="81">
        <v>0.0</v>
      </c>
      <c r="AQ204" s="81">
        <v>0.0</v>
      </c>
      <c r="AR204" s="39"/>
      <c r="AS204" s="81">
        <v>0.0</v>
      </c>
      <c r="AT204" s="81">
        <v>0.0</v>
      </c>
      <c r="AU204" s="39"/>
      <c r="AV204" s="7" t="s">
        <v>2104</v>
      </c>
      <c r="AW204" s="82"/>
      <c r="AX204" s="82"/>
      <c r="AY204" s="7"/>
      <c r="AZ204" s="7"/>
      <c r="BA204" s="7"/>
      <c r="BB204" s="7"/>
      <c r="BC204" s="7"/>
      <c r="BD204" s="7"/>
      <c r="BE204" s="7"/>
      <c r="BF204" s="7" t="s">
        <v>1781</v>
      </c>
      <c r="BG204" s="7">
        <v>1.0</v>
      </c>
      <c r="BH204" s="82"/>
      <c r="BI204" s="82"/>
      <c r="BJ204" s="82"/>
      <c r="BK204" s="82"/>
      <c r="BL204" s="82"/>
      <c r="BM204" s="82"/>
      <c r="BN204" s="7"/>
      <c r="BO204" s="7">
        <v>1.0</v>
      </c>
      <c r="BP204" s="82"/>
      <c r="BQ204" s="7"/>
      <c r="BR204" s="7" t="s">
        <v>23</v>
      </c>
    </row>
    <row r="205">
      <c r="A205" s="16">
        <v>7.0</v>
      </c>
      <c r="B205" s="16" t="s">
        <v>1261</v>
      </c>
      <c r="C205" s="53">
        <v>1.0</v>
      </c>
      <c r="D205" s="53" t="s">
        <v>1276</v>
      </c>
      <c r="E205" s="7">
        <v>88.0</v>
      </c>
      <c r="F205" s="53"/>
      <c r="G205" s="7"/>
      <c r="H205" s="16">
        <v>1.0</v>
      </c>
      <c r="I205" s="81">
        <v>1.0</v>
      </c>
      <c r="J205" s="39" t="s">
        <v>2841</v>
      </c>
      <c r="K205" s="53" t="s">
        <v>2842</v>
      </c>
      <c r="L205" s="53" t="s">
        <v>484</v>
      </c>
      <c r="M205" s="39" t="str">
        <f t="shared" si="1"/>
        <v>[https://ieeexplore.ieee.org/stamp/stamp.jsp?arnumber=492575 Beigel &amp; Eppstein (1995)]</v>
      </c>
      <c r="N205" s="16" t="s">
        <v>2843</v>
      </c>
      <c r="O205" s="81">
        <v>1995.0</v>
      </c>
      <c r="P205" s="113" t="s">
        <v>2844</v>
      </c>
      <c r="Q205" s="82"/>
      <c r="R205" s="82"/>
      <c r="S205" s="82"/>
      <c r="T205" s="16">
        <v>0.0</v>
      </c>
      <c r="U205" s="16">
        <v>0.0</v>
      </c>
      <c r="V205" s="89">
        <f>IFERROR(__xludf.DUMMYFUNCTION("INDEX(SPLIT(SUBSTITUTE(W205,CHAR(10), """"),"",:""), MATCH(Z205, SPLIT(SUBSTITUTE(W205,CHAR(10), """"),"",:""), 0) + 1)"),8.0)</f>
        <v>8</v>
      </c>
      <c r="W205" s="85" t="s">
        <v>2001</v>
      </c>
      <c r="X205" s="16" t="s">
        <v>2845</v>
      </c>
      <c r="Y205" s="53" t="s">
        <v>2102</v>
      </c>
      <c r="Z205" s="53" t="str">
        <f t="array" ref="Z205">INDEX(Problems!J:J, MATCH(1, (Problems!B:B=B205)*1, 0))</f>
        <v>n</v>
      </c>
      <c r="AA205" s="53"/>
      <c r="AB205" s="53"/>
      <c r="AC205" s="53" t="s">
        <v>1813</v>
      </c>
      <c r="AD205" s="53" t="s">
        <v>1814</v>
      </c>
      <c r="AE205" s="85">
        <f>IFERROR(__xludf.DUMMYFUNCTION("INDEX(SPLIT(SUBSTITUTE(AF205,CHAR(10), """"),"",:""), MATCH(Z205, SPLIT(SUBSTITUTE(AF205,CHAR(10), """"),"",:""), 0) + 1)"),5.0)</f>
        <v>5</v>
      </c>
      <c r="AF205" s="85" t="s">
        <v>1938</v>
      </c>
      <c r="AG205" s="53" t="s">
        <v>2615</v>
      </c>
      <c r="AH205" s="53" t="s">
        <v>2846</v>
      </c>
      <c r="AI205" s="84">
        <v>1.0</v>
      </c>
      <c r="AJ205" s="84">
        <v>0.0</v>
      </c>
      <c r="AK205" s="87"/>
      <c r="AL205" s="81">
        <v>0.0</v>
      </c>
      <c r="AM205" s="87"/>
      <c r="AN205" s="81">
        <v>0.0</v>
      </c>
      <c r="AO205" s="90"/>
      <c r="AP205" s="81">
        <v>0.0</v>
      </c>
      <c r="AQ205" s="81">
        <v>0.0</v>
      </c>
      <c r="AR205" s="39"/>
      <c r="AS205" s="81">
        <v>0.0</v>
      </c>
      <c r="AT205" s="81">
        <v>0.0</v>
      </c>
      <c r="AU205" s="39"/>
      <c r="AV205" s="7" t="s">
        <v>2104</v>
      </c>
      <c r="AW205" s="82"/>
      <c r="AX205" s="82"/>
      <c r="AY205" s="7"/>
      <c r="AZ205" s="7"/>
      <c r="BA205" s="7"/>
      <c r="BB205" s="7"/>
      <c r="BC205" s="7"/>
      <c r="BD205" s="7"/>
      <c r="BE205" s="7"/>
      <c r="BF205" s="7" t="s">
        <v>1781</v>
      </c>
      <c r="BG205" s="7">
        <v>1.0</v>
      </c>
      <c r="BH205" s="82"/>
      <c r="BI205" s="82"/>
      <c r="BJ205" s="82"/>
      <c r="BK205" s="82"/>
      <c r="BL205" s="82"/>
      <c r="BM205" s="82"/>
      <c r="BN205" s="7"/>
      <c r="BO205" s="7">
        <v>1.0</v>
      </c>
      <c r="BP205" s="82"/>
      <c r="BQ205" s="7"/>
      <c r="BR205" s="7" t="s">
        <v>23</v>
      </c>
    </row>
    <row r="206">
      <c r="A206" s="16">
        <v>7.0</v>
      </c>
      <c r="B206" s="16" t="s">
        <v>1261</v>
      </c>
      <c r="C206" s="53">
        <v>1.0</v>
      </c>
      <c r="D206" s="53" t="s">
        <v>1276</v>
      </c>
      <c r="E206" s="7">
        <v>89.0</v>
      </c>
      <c r="F206" s="53"/>
      <c r="G206" s="7"/>
      <c r="H206" s="16">
        <v>1.0</v>
      </c>
      <c r="I206" s="81">
        <v>1.0</v>
      </c>
      <c r="J206" s="39" t="s">
        <v>1278</v>
      </c>
      <c r="K206" s="53" t="s">
        <v>2117</v>
      </c>
      <c r="L206" s="53" t="s">
        <v>484</v>
      </c>
      <c r="M206" s="39" t="str">
        <f t="shared" si="1"/>
        <v>[https://www.sciencedirect.com/science/article/pii/S0196677404001117?via%3Dihub Beigel &amp; Eppstein (2000)]</v>
      </c>
      <c r="N206" s="16" t="s">
        <v>2843</v>
      </c>
      <c r="O206" s="81">
        <v>2000.0</v>
      </c>
      <c r="P206" s="28" t="s">
        <v>1279</v>
      </c>
      <c r="Q206" s="82"/>
      <c r="R206" s="82"/>
      <c r="S206" s="82"/>
      <c r="T206" s="16">
        <v>0.0</v>
      </c>
      <c r="U206" s="16">
        <v>0.0</v>
      </c>
      <c r="V206" s="89">
        <f>IFERROR(__xludf.DUMMYFUNCTION("INDEX(SPLIT(SUBSTITUTE(W206,CHAR(10), """"),"",:""), MATCH(Z206, SPLIT(SUBSTITUTE(W206,CHAR(10), """"),"",:""), 0) + 1)"),8.0)</f>
        <v>8</v>
      </c>
      <c r="W206" s="85" t="s">
        <v>2001</v>
      </c>
      <c r="X206" s="16" t="s">
        <v>2847</v>
      </c>
      <c r="Y206" s="53" t="s">
        <v>2102</v>
      </c>
      <c r="Z206" s="53" t="str">
        <f t="array" ref="Z206">INDEX(Problems!J:J, MATCH(1, (Problems!B:B=B206)*1, 0))</f>
        <v>n</v>
      </c>
      <c r="AA206" s="53"/>
      <c r="AB206" s="53"/>
      <c r="AC206" s="53" t="s">
        <v>1813</v>
      </c>
      <c r="AD206" s="53" t="s">
        <v>1814</v>
      </c>
      <c r="AE206" s="85">
        <f>IFERROR(__xludf.DUMMYFUNCTION("INDEX(SPLIT(SUBSTITUTE(AF206,CHAR(10), """"),"",:""), MATCH(Z206, SPLIT(SUBSTITUTE(AF206,CHAR(10), """"),"",:""), 0) + 1)"),5.0)</f>
        <v>5</v>
      </c>
      <c r="AF206" s="85" t="s">
        <v>1938</v>
      </c>
      <c r="AG206" s="53" t="s">
        <v>2615</v>
      </c>
      <c r="AH206" s="53" t="s">
        <v>2848</v>
      </c>
      <c r="AI206" s="84">
        <v>1.0</v>
      </c>
      <c r="AJ206" s="84">
        <v>0.0</v>
      </c>
      <c r="AK206" s="87"/>
      <c r="AL206" s="81">
        <v>0.0</v>
      </c>
      <c r="AM206" s="87"/>
      <c r="AN206" s="81">
        <v>0.0</v>
      </c>
      <c r="AO206" s="90"/>
      <c r="AP206" s="81">
        <v>0.0</v>
      </c>
      <c r="AQ206" s="81">
        <v>0.0</v>
      </c>
      <c r="AR206" s="39"/>
      <c r="AS206" s="81">
        <v>0.0</v>
      </c>
      <c r="AT206" s="81">
        <v>0.0</v>
      </c>
      <c r="AU206" s="39"/>
      <c r="AV206" s="7" t="s">
        <v>2104</v>
      </c>
      <c r="AW206" s="82"/>
      <c r="AX206" s="82"/>
      <c r="AY206" s="7"/>
      <c r="AZ206" s="7"/>
      <c r="BA206" s="7"/>
      <c r="BB206" s="7"/>
      <c r="BC206" s="7"/>
      <c r="BD206" s="7"/>
      <c r="BE206" s="7"/>
      <c r="BF206" s="7" t="s">
        <v>1781</v>
      </c>
      <c r="BG206" s="7">
        <v>1.0</v>
      </c>
      <c r="BH206" s="82"/>
      <c r="BI206" s="82"/>
      <c r="BJ206" s="82"/>
      <c r="BK206" s="82"/>
      <c r="BL206" s="82"/>
      <c r="BM206" s="82"/>
      <c r="BN206" s="7"/>
      <c r="BO206" s="7">
        <v>1.0</v>
      </c>
      <c r="BP206" s="82"/>
      <c r="BQ206" s="7"/>
      <c r="BR206" s="7" t="s">
        <v>23</v>
      </c>
    </row>
    <row r="207">
      <c r="A207" s="16">
        <v>8.0</v>
      </c>
      <c r="B207" s="16" t="s">
        <v>1261</v>
      </c>
      <c r="C207" s="53">
        <v>1.0</v>
      </c>
      <c r="D207" s="53" t="s">
        <v>1280</v>
      </c>
      <c r="E207" s="7">
        <v>99.0</v>
      </c>
      <c r="F207" s="53"/>
      <c r="G207" s="7"/>
      <c r="H207" s="16">
        <v>1.0</v>
      </c>
      <c r="I207" s="81">
        <v>1.0</v>
      </c>
      <c r="J207" s="39" t="s">
        <v>2849</v>
      </c>
      <c r="K207" s="53"/>
      <c r="L207" s="53"/>
      <c r="M207" s="39" t="str">
        <f t="shared" si="1"/>
        <v>[https://www.sciencedirect.com/science/article/pii/002001907690065X?via%3Dihub Lawler (1976)]</v>
      </c>
      <c r="N207" s="16" t="s">
        <v>2829</v>
      </c>
      <c r="O207" s="81">
        <v>1976.0</v>
      </c>
      <c r="P207" s="17" t="s">
        <v>2830</v>
      </c>
      <c r="Q207" s="82"/>
      <c r="R207" s="82"/>
      <c r="S207" s="82"/>
      <c r="T207" s="16">
        <v>1.0</v>
      </c>
      <c r="U207" s="16">
        <v>0.0</v>
      </c>
      <c r="V207" s="89">
        <f>IFERROR(__xludf.DUMMYFUNCTION("INDEX(SPLIT(SUBSTITUTE(W207,CHAR(10), """"),"",:""), MATCH(Z207, SPLIT(SUBSTITUTE(W207,CHAR(10), """"),"",:""), 0) + 1)"),8.0)</f>
        <v>8</v>
      </c>
      <c r="W207" s="85" t="s">
        <v>2100</v>
      </c>
      <c r="X207" s="16" t="s">
        <v>2850</v>
      </c>
      <c r="Y207" s="53" t="s">
        <v>2102</v>
      </c>
      <c r="Z207" s="53" t="str">
        <f t="array" ref="Z207">INDEX(Problems!J:J, MATCH(1, (Problems!B:B=B207)*1, 0))</f>
        <v>n</v>
      </c>
      <c r="AA207" s="53"/>
      <c r="AB207" s="53"/>
      <c r="AC207" s="53" t="s">
        <v>1813</v>
      </c>
      <c r="AD207" s="53" t="s">
        <v>1814</v>
      </c>
      <c r="AE207" s="85">
        <f>IFERROR(__xludf.DUMMYFUNCTION("INDEX(SPLIT(SUBSTITUTE(AF207,CHAR(10), """"),"",:""), MATCH(Z207, SPLIT(SUBSTITUTE(AF207,CHAR(10), """"),"",:""), 0) + 1)"),3.0)</f>
        <v>3</v>
      </c>
      <c r="AF207" s="85" t="s">
        <v>2832</v>
      </c>
      <c r="AG207" s="53" t="s">
        <v>35</v>
      </c>
      <c r="AH207" s="53" t="s">
        <v>2833</v>
      </c>
      <c r="AI207" s="84">
        <v>1.0</v>
      </c>
      <c r="AJ207" s="84">
        <v>0.0</v>
      </c>
      <c r="AK207" s="87"/>
      <c r="AL207" s="81">
        <v>0.0</v>
      </c>
      <c r="AM207" s="87"/>
      <c r="AN207" s="81">
        <v>0.0</v>
      </c>
      <c r="AO207" s="90"/>
      <c r="AP207" s="81">
        <v>0.0</v>
      </c>
      <c r="AQ207" s="81">
        <v>0.0</v>
      </c>
      <c r="AR207" s="39"/>
      <c r="AS207" s="81">
        <v>0.0</v>
      </c>
      <c r="AT207" s="81">
        <v>0.0</v>
      </c>
      <c r="AU207" s="39"/>
      <c r="AV207" s="7" t="s">
        <v>2104</v>
      </c>
      <c r="AW207" s="82"/>
      <c r="AX207" s="82"/>
      <c r="AY207" s="7"/>
      <c r="AZ207" s="7"/>
      <c r="BA207" s="7"/>
      <c r="BB207" s="7"/>
      <c r="BC207" s="7"/>
      <c r="BD207" s="7"/>
      <c r="BE207" s="7"/>
      <c r="BF207" s="7" t="s">
        <v>1781</v>
      </c>
      <c r="BG207" s="7">
        <v>1.0</v>
      </c>
      <c r="BH207" s="7"/>
      <c r="BI207" s="7" t="s">
        <v>1781</v>
      </c>
      <c r="BJ207" s="7">
        <v>1.0</v>
      </c>
      <c r="BK207" s="7"/>
      <c r="BL207" s="7" t="s">
        <v>1781</v>
      </c>
      <c r="BM207" s="7">
        <v>1.0</v>
      </c>
      <c r="BN207" s="7"/>
      <c r="BO207" s="7">
        <v>1.0</v>
      </c>
      <c r="BP207" s="82"/>
      <c r="BQ207" s="7"/>
      <c r="BR207" s="7" t="s">
        <v>23</v>
      </c>
    </row>
    <row r="208">
      <c r="A208" s="16">
        <v>8.0</v>
      </c>
      <c r="B208" s="16" t="s">
        <v>1261</v>
      </c>
      <c r="C208" s="53">
        <v>1.0</v>
      </c>
      <c r="D208" s="53" t="s">
        <v>1280</v>
      </c>
      <c r="E208" s="7">
        <v>100.0</v>
      </c>
      <c r="F208" s="53"/>
      <c r="G208" s="7"/>
      <c r="H208" s="16">
        <v>1.0</v>
      </c>
      <c r="I208" s="81">
        <v>1.0</v>
      </c>
      <c r="J208" s="21" t="s">
        <v>2851</v>
      </c>
      <c r="K208" s="53"/>
      <c r="L208" s="53"/>
      <c r="M208" s="39" t="str">
        <f t="shared" si="1"/>
        <v>[https://www.sciencedirect.com/science/article/abs/pii/S0167637704000409?via%3Dihub Byskov (2004)]</v>
      </c>
      <c r="N208" s="16" t="s">
        <v>2852</v>
      </c>
      <c r="O208" s="16">
        <v>2004.0</v>
      </c>
      <c r="P208" s="25" t="s">
        <v>2853</v>
      </c>
      <c r="Q208" s="82"/>
      <c r="R208" s="82"/>
      <c r="S208" s="82"/>
      <c r="T208" s="16">
        <v>0.0</v>
      </c>
      <c r="U208" s="16">
        <v>0.0</v>
      </c>
      <c r="V208" s="89">
        <f>IFERROR(__xludf.DUMMYFUNCTION("INDEX(SPLIT(SUBSTITUTE(W208,CHAR(10), """"),"",:""), MATCH(Z208, SPLIT(SUBSTITUTE(W208,CHAR(10), """"),"",:""), 0) + 1)"),8.0)</f>
        <v>8</v>
      </c>
      <c r="W208" s="85" t="s">
        <v>2001</v>
      </c>
      <c r="X208" s="21" t="s">
        <v>2854</v>
      </c>
      <c r="Y208" s="53" t="s">
        <v>2102</v>
      </c>
      <c r="Z208" s="53" t="str">
        <f t="array" ref="Z208">INDEX(Problems!J:J, MATCH(1, (Problems!B:B=B208)*1, 0))</f>
        <v>n</v>
      </c>
      <c r="AA208" s="53"/>
      <c r="AB208" s="53"/>
      <c r="AC208" s="53" t="s">
        <v>1813</v>
      </c>
      <c r="AD208" s="53" t="s">
        <v>1814</v>
      </c>
      <c r="AE208" s="85">
        <f>IFERROR(__xludf.DUMMYFUNCTION("INDEX(SPLIT(SUBSTITUTE(AF208,CHAR(10), """"),"",:""), MATCH(Z208, SPLIT(SUBSTITUTE(AF208,CHAR(10), """"),"",:""), 0) + 1)"),5.0)</f>
        <v>5</v>
      </c>
      <c r="AF208" s="85" t="s">
        <v>1938</v>
      </c>
      <c r="AG208" s="53" t="s">
        <v>2615</v>
      </c>
      <c r="AH208" s="53" t="s">
        <v>2855</v>
      </c>
      <c r="AI208" s="84">
        <v>1.0</v>
      </c>
      <c r="AJ208" s="84">
        <v>0.0</v>
      </c>
      <c r="AK208" s="87"/>
      <c r="AL208" s="81">
        <v>0.0</v>
      </c>
      <c r="AM208" s="87"/>
      <c r="AN208" s="81">
        <v>0.0</v>
      </c>
      <c r="AO208" s="90"/>
      <c r="AP208" s="81">
        <v>0.0</v>
      </c>
      <c r="AQ208" s="81">
        <v>0.0</v>
      </c>
      <c r="AR208" s="39"/>
      <c r="AS208" s="81">
        <v>0.0</v>
      </c>
      <c r="AT208" s="81">
        <v>0.0</v>
      </c>
      <c r="AU208" s="39"/>
      <c r="AV208" s="7" t="s">
        <v>2104</v>
      </c>
      <c r="AW208" s="82"/>
      <c r="AX208" s="82"/>
      <c r="AY208" s="7"/>
      <c r="AZ208" s="7"/>
      <c r="BA208" s="7"/>
      <c r="BB208" s="7"/>
      <c r="BC208" s="7"/>
      <c r="BD208" s="7"/>
      <c r="BE208" s="7"/>
      <c r="BF208" s="7" t="s">
        <v>1781</v>
      </c>
      <c r="BG208" s="7">
        <v>1.0</v>
      </c>
      <c r="BH208" s="82"/>
      <c r="BI208" s="82"/>
      <c r="BJ208" s="82"/>
      <c r="BK208" s="82"/>
      <c r="BL208" s="82"/>
      <c r="BM208" s="82"/>
      <c r="BN208" s="7"/>
      <c r="BO208" s="7">
        <v>1.0</v>
      </c>
      <c r="BP208" s="82"/>
      <c r="BQ208" s="7"/>
      <c r="BR208" s="7" t="s">
        <v>23</v>
      </c>
    </row>
    <row r="209">
      <c r="A209" s="16">
        <v>9.0</v>
      </c>
      <c r="B209" s="16" t="s">
        <v>138</v>
      </c>
      <c r="C209" s="53">
        <v>2.0</v>
      </c>
      <c r="D209" s="53" t="s">
        <v>2856</v>
      </c>
      <c r="E209" s="7">
        <v>104.0</v>
      </c>
      <c r="F209" s="53"/>
      <c r="G209" s="7"/>
      <c r="H209" s="16">
        <v>1.0</v>
      </c>
      <c r="I209" s="88">
        <v>0.0</v>
      </c>
      <c r="J209" s="39" t="s">
        <v>2857</v>
      </c>
      <c r="K209" s="53" t="s">
        <v>2858</v>
      </c>
      <c r="L209" s="53" t="s">
        <v>2117</v>
      </c>
      <c r="M209" s="39" t="str">
        <f t="shared" si="1"/>
        <v>[https://nvlpubs.nist.gov/nistpubs/jres/049/jresv49n6p409_A1b.pdf Conjugate Gradient (1952)]</v>
      </c>
      <c r="N209" s="39" t="s">
        <v>2859</v>
      </c>
      <c r="O209" s="81">
        <v>1952.0</v>
      </c>
      <c r="P209" s="28" t="s">
        <v>2860</v>
      </c>
      <c r="Q209" s="7">
        <v>1.0</v>
      </c>
      <c r="R209" s="7">
        <v>1.0</v>
      </c>
      <c r="S209" s="47" t="s">
        <v>2861</v>
      </c>
      <c r="T209" s="81">
        <v>1.0</v>
      </c>
      <c r="U209" s="16" t="s">
        <v>2425</v>
      </c>
      <c r="V209" s="89">
        <f>IFERROR(__xludf.DUMMYFUNCTION("INDEX(SPLIT(SUBSTITUTE(W209,CHAR(10), """"),"",:""), MATCH(Z209, SPLIT(SUBSTITUTE(W209,CHAR(10), """"),"",:""), 0) + 1)"),3.0)</f>
        <v>3</v>
      </c>
      <c r="W209" s="85" t="s">
        <v>2862</v>
      </c>
      <c r="X209" s="16" t="s">
        <v>2863</v>
      </c>
      <c r="Y209" s="53" t="s">
        <v>2864</v>
      </c>
      <c r="Z209" s="53" t="str">
        <f t="array" ref="Z209">INDEX(Problems!J:J, MATCH(1, (Problems!B:B=B209)*1, 0))</f>
        <v>n^2</v>
      </c>
      <c r="AA209" s="53"/>
      <c r="AB209" s="53"/>
      <c r="AC209" s="53" t="s">
        <v>1813</v>
      </c>
      <c r="AD209" s="53" t="s">
        <v>1814</v>
      </c>
      <c r="AE209" s="85">
        <f>IFERROR(__xludf.DUMMYFUNCTION("INDEX(SPLIT(SUBSTITUTE(AF209,CHAR(10), """"),"",:""), MATCH(Z209, SPLIT(SUBSTITUTE(AF209,CHAR(10), """"),"",:""), 0) + 1)"),3.0)</f>
        <v>3</v>
      </c>
      <c r="AF209" s="85" t="s">
        <v>2865</v>
      </c>
      <c r="AG209" s="53" t="s">
        <v>148</v>
      </c>
      <c r="AH209" s="94" t="s">
        <v>2866</v>
      </c>
      <c r="AI209" s="84">
        <v>0.0</v>
      </c>
      <c r="AJ209" s="84">
        <v>0.0</v>
      </c>
      <c r="AK209" s="87"/>
      <c r="AL209" s="81">
        <v>0.0</v>
      </c>
      <c r="AM209" s="87"/>
      <c r="AN209" s="141">
        <v>1.0</v>
      </c>
      <c r="AO209" s="90"/>
      <c r="AP209" s="81">
        <v>0.0</v>
      </c>
      <c r="AQ209" s="81">
        <v>0.0</v>
      </c>
      <c r="AR209" s="39"/>
      <c r="AS209" s="81">
        <v>0.0</v>
      </c>
      <c r="AT209" s="81">
        <v>0.0</v>
      </c>
      <c r="AU209" s="28" t="s">
        <v>2866</v>
      </c>
      <c r="AV209" s="7" t="s">
        <v>2114</v>
      </c>
      <c r="AW209" s="82"/>
      <c r="AX209" s="82"/>
      <c r="AY209" s="7" t="s">
        <v>2115</v>
      </c>
      <c r="AZ209" s="7"/>
      <c r="BA209" s="7"/>
      <c r="BB209" s="7"/>
      <c r="BC209" s="7"/>
      <c r="BD209" s="7"/>
      <c r="BE209" s="7"/>
      <c r="BF209" s="7">
        <v>6076.0</v>
      </c>
      <c r="BG209" s="82">
        <f t="shared" ref="BG209:BG210" si="30">36926037/BF209</f>
        <v>6077.359612</v>
      </c>
      <c r="BH209" s="82">
        <f>POW(BG209,1/($O209-1940))-1</f>
        <v>1.066852945</v>
      </c>
      <c r="BI209" s="82">
        <f>POW((1000000/3),1.5)</f>
        <v>192450089.7</v>
      </c>
      <c r="BJ209" s="82">
        <f>BI57/BI209</f>
        <v>192450089.7</v>
      </c>
      <c r="BK209" s="82">
        <f>POW(BJ209,1/($O209-1940))-1</f>
        <v>3.901848033</v>
      </c>
      <c r="BL209" s="82">
        <f>POW((1000000000/3),1.5)</f>
        <v>6085806194502</v>
      </c>
      <c r="BM209" s="82">
        <f>BL57/BL209</f>
        <v>6085806194502</v>
      </c>
      <c r="BN209" s="82">
        <f>POW(BM209,1/($O209-1940))-1</f>
        <v>10.62411354</v>
      </c>
      <c r="BO209" s="7">
        <v>3.0</v>
      </c>
      <c r="BP209" s="82"/>
      <c r="BQ209" s="7"/>
      <c r="BR209" s="7" t="s">
        <v>144</v>
      </c>
    </row>
    <row r="210">
      <c r="A210" s="16">
        <v>9.0</v>
      </c>
      <c r="B210" s="16" t="s">
        <v>138</v>
      </c>
      <c r="C210" s="53">
        <v>2.0</v>
      </c>
      <c r="D210" s="53" t="s">
        <v>145</v>
      </c>
      <c r="E210" s="7">
        <v>109.0</v>
      </c>
      <c r="F210" s="53" t="s">
        <v>2867</v>
      </c>
      <c r="G210" s="7"/>
      <c r="H210" s="16">
        <v>1.0</v>
      </c>
      <c r="I210" s="81">
        <v>1.0</v>
      </c>
      <c r="J210" s="21" t="s">
        <v>2868</v>
      </c>
      <c r="K210" s="53"/>
      <c r="L210" s="53"/>
      <c r="M210" s="39" t="str">
        <f t="shared" si="1"/>
        <v>[https://journals.aps.org/prl/abstract/10.1103/PhysRevLett.103.150502 Harrow (Quantum) (2009)]</v>
      </c>
      <c r="N210" s="39" t="s">
        <v>2869</v>
      </c>
      <c r="O210" s="81">
        <v>2009.0</v>
      </c>
      <c r="P210" s="17" t="s">
        <v>2870</v>
      </c>
      <c r="Q210" s="82"/>
      <c r="R210" s="82"/>
      <c r="S210" s="82"/>
      <c r="T210" s="83">
        <v>0.0</v>
      </c>
      <c r="U210" s="81">
        <v>0.0</v>
      </c>
      <c r="V210" s="89">
        <f>IFERROR(__xludf.DUMMYFUNCTION("INDEX(SPLIT(SUBSTITUTE(W210,CHAR(10), """"),"",:""), MATCH(Z210, SPLIT(SUBSTITUTE(W210,CHAR(10), """"),"",:""), 0) + 1)"),2.0)</f>
        <v>2</v>
      </c>
      <c r="W210" s="85" t="s">
        <v>2871</v>
      </c>
      <c r="X210" s="21" t="s">
        <v>2872</v>
      </c>
      <c r="Y210" s="53" t="s">
        <v>2873</v>
      </c>
      <c r="Z210" s="53" t="str">
        <f t="array" ref="Z210">INDEX(Problems!J:J, MATCH(1, (Problems!B:B=B210)*1, 0))</f>
        <v>n^2</v>
      </c>
      <c r="AA210" s="53"/>
      <c r="AB210" s="53"/>
      <c r="AC210" s="53" t="s">
        <v>2874</v>
      </c>
      <c r="AD210" s="53" t="s">
        <v>2875</v>
      </c>
      <c r="AE210" s="85">
        <f>IFERROR(__xludf.DUMMYFUNCTION("INDEX(SPLIT(SUBSTITUTE(AF210,CHAR(10), """"),"",:""), MATCH(Z210, SPLIT(SUBSTITUTE(AF210,CHAR(10), """"),"",:""), 0) + 1)"),2.0)</f>
        <v>2</v>
      </c>
      <c r="AF210" s="85" t="s">
        <v>2876</v>
      </c>
      <c r="AG210" s="53" t="s">
        <v>2430</v>
      </c>
      <c r="AH210" s="91" t="s">
        <v>147</v>
      </c>
      <c r="AI210" s="84">
        <v>0.0</v>
      </c>
      <c r="AJ210" s="84">
        <v>1.0</v>
      </c>
      <c r="AK210" s="87"/>
      <c r="AL210" s="81">
        <v>0.0</v>
      </c>
      <c r="AM210" s="87"/>
      <c r="AN210" s="81">
        <v>0.0</v>
      </c>
      <c r="AO210" s="90"/>
      <c r="AP210" s="81">
        <v>0.0</v>
      </c>
      <c r="AQ210" s="81">
        <v>0.0</v>
      </c>
      <c r="AR210" s="39"/>
      <c r="AS210" s="81">
        <v>1.0</v>
      </c>
      <c r="AT210" s="81">
        <v>0.0</v>
      </c>
      <c r="AU210" s="25" t="s">
        <v>2877</v>
      </c>
      <c r="AV210" s="7" t="s">
        <v>2114</v>
      </c>
      <c r="AW210" s="82"/>
      <c r="AX210" s="82"/>
      <c r="AY210" s="7" t="s">
        <v>2115</v>
      </c>
      <c r="AZ210" s="7"/>
      <c r="BA210" s="7"/>
      <c r="BB210" s="7"/>
      <c r="BC210" s="7"/>
      <c r="BD210" s="7"/>
      <c r="BE210" s="7"/>
      <c r="BF210" s="7">
        <v>8.37</v>
      </c>
      <c r="BG210" s="82">
        <f t="shared" si="30"/>
        <v>4411712.903</v>
      </c>
      <c r="BH210" s="82"/>
      <c r="BI210" s="82"/>
      <c r="BJ210" s="82"/>
      <c r="BK210" s="82"/>
      <c r="BL210" s="82"/>
      <c r="BM210" s="82"/>
      <c r="BN210" s="7"/>
      <c r="BO210" s="7">
        <v>3.0</v>
      </c>
      <c r="BP210" s="82"/>
      <c r="BQ210" s="7"/>
      <c r="BR210" s="7" t="s">
        <v>144</v>
      </c>
    </row>
    <row r="211">
      <c r="A211" s="16">
        <v>10.0</v>
      </c>
      <c r="B211" s="16" t="s">
        <v>166</v>
      </c>
      <c r="C211" s="53">
        <v>1.0</v>
      </c>
      <c r="D211" s="53"/>
      <c r="E211" s="7">
        <v>112.0</v>
      </c>
      <c r="F211" s="53"/>
      <c r="G211" s="7"/>
      <c r="H211" s="16">
        <v>1.0</v>
      </c>
      <c r="I211" s="81">
        <v>1.0</v>
      </c>
      <c r="J211" s="39" t="s">
        <v>2878</v>
      </c>
      <c r="K211" s="53"/>
      <c r="L211" s="53"/>
      <c r="M211" s="39" t="str">
        <f t="shared" si="1"/>
        <v>[https://web.archive.org/web/20131228145520/http://retis.sssup.it/~bini/teaching/optim2010/karmarkar.pdf Karmarkar's algorithm (1984)]</v>
      </c>
      <c r="N211" s="39" t="s">
        <v>2879</v>
      </c>
      <c r="O211" s="81">
        <v>1984.0</v>
      </c>
      <c r="P211" s="28" t="s">
        <v>2880</v>
      </c>
      <c r="Q211" s="82"/>
      <c r="R211" s="82"/>
      <c r="S211" s="82"/>
      <c r="T211" s="16">
        <v>1.0</v>
      </c>
      <c r="U211" s="16">
        <v>0.0</v>
      </c>
      <c r="V211" s="89">
        <f>IFERROR(__xludf.DUMMYFUNCTION("INDEX(SPLIT(SUBSTITUTE(W211,CHAR(10), """"),"",:""), MATCH(Z211, SPLIT(SUBSTITUTE(W211,CHAR(10), """"),"",:""), 0) + 1)"),6.5)</f>
        <v>6.5</v>
      </c>
      <c r="W211" s="85" t="s">
        <v>2881</v>
      </c>
      <c r="X211" s="16" t="s">
        <v>2882</v>
      </c>
      <c r="Y211" s="53" t="s">
        <v>2136</v>
      </c>
      <c r="Z211" s="53" t="str">
        <f t="array" ref="Z211">INDEX(Problems!J:J, MATCH(1, (Problems!B:B=B211)*1, 0))</f>
        <v>n</v>
      </c>
      <c r="AA211" s="53"/>
      <c r="AB211" s="53"/>
      <c r="AC211" s="53" t="s">
        <v>1813</v>
      </c>
      <c r="AD211" s="53" t="s">
        <v>1814</v>
      </c>
      <c r="AE211" s="85">
        <f>IFERROR(__xludf.DUMMYFUNCTION("INDEX(SPLIT(SUBSTITUTE(AF211,CHAR(10), """"),"",:""), MATCH(Z211, SPLIT(SUBSTITUTE(AF211,CHAR(10), """"),"",:""), 0) + 1)"),3.0)</f>
        <v>3</v>
      </c>
      <c r="AF211" s="85" t="s">
        <v>2146</v>
      </c>
      <c r="AG211" s="53" t="s">
        <v>2147</v>
      </c>
      <c r="AH211" s="118" t="s">
        <v>2883</v>
      </c>
      <c r="AI211" s="84">
        <v>1.0</v>
      </c>
      <c r="AJ211" s="84">
        <v>0.0</v>
      </c>
      <c r="AK211" s="87"/>
      <c r="AL211" s="81">
        <v>0.0</v>
      </c>
      <c r="AM211" s="87"/>
      <c r="AN211" s="81">
        <v>0.0</v>
      </c>
      <c r="AO211" s="90"/>
      <c r="AP211" s="81">
        <v>0.0</v>
      </c>
      <c r="AQ211" s="81">
        <v>0.0</v>
      </c>
      <c r="AR211" s="39"/>
      <c r="AS211" s="81">
        <v>0.0</v>
      </c>
      <c r="AT211" s="81">
        <v>0.0</v>
      </c>
      <c r="AU211" s="39"/>
      <c r="AV211" s="7" t="s">
        <v>168</v>
      </c>
      <c r="AW211" s="82"/>
      <c r="AX211" s="82"/>
      <c r="AY211" s="7" t="s">
        <v>2884</v>
      </c>
      <c r="AZ211" s="7"/>
      <c r="BA211" s="7"/>
      <c r="BB211" s="7"/>
      <c r="BC211" s="7"/>
      <c r="BD211" s="7"/>
      <c r="BE211" s="7"/>
      <c r="BF211" s="7">
        <f>POW((1000/3),3.5)*100*LOG(10,2)*LOG(LOG(10,2),2)</f>
        <v>389062121651</v>
      </c>
      <c r="BG211" s="7" t="s">
        <v>1781</v>
      </c>
      <c r="BH211" s="82"/>
      <c r="BI211" s="82">
        <f>POW((1000000/3),3.5)*100*LOG(10,2)*LOG(LOG(10,2),2)</f>
        <v>1.23032E+22</v>
      </c>
      <c r="BJ211" s="7" t="s">
        <v>1781</v>
      </c>
      <c r="BK211" s="82"/>
      <c r="BL211" s="82">
        <f>POW((1000000000/3),3.5)*100*LOG(10,2)*LOG(LOG(10,2),2)</f>
        <v>3.89062E+32</v>
      </c>
      <c r="BM211" s="7" t="s">
        <v>1781</v>
      </c>
      <c r="BN211" s="7"/>
      <c r="BO211" s="7">
        <v>1.0</v>
      </c>
      <c r="BP211" s="82"/>
      <c r="BQ211" s="7"/>
      <c r="BR211" s="7" t="s">
        <v>144</v>
      </c>
    </row>
    <row r="212">
      <c r="A212" s="16">
        <v>10.0</v>
      </c>
      <c r="B212" s="16" t="s">
        <v>166</v>
      </c>
      <c r="C212" s="53">
        <v>1.0</v>
      </c>
      <c r="D212" s="53"/>
      <c r="E212" s="7">
        <v>113.0</v>
      </c>
      <c r="F212" s="53"/>
      <c r="G212" s="7"/>
      <c r="H212" s="16">
        <v>1.0</v>
      </c>
      <c r="I212" s="81">
        <v>1.0</v>
      </c>
      <c r="J212" s="21" t="s">
        <v>2885</v>
      </c>
      <c r="K212" s="53"/>
      <c r="L212" s="53"/>
      <c r="M212" s="39" t="str">
        <f t="shared" si="1"/>
        <v>[- Simplex Algorithm (1947)]</v>
      </c>
      <c r="N212" s="39" t="s">
        <v>2886</v>
      </c>
      <c r="O212" s="81">
        <v>1947.0</v>
      </c>
      <c r="P212" s="39" t="s">
        <v>1937</v>
      </c>
      <c r="Q212" s="82"/>
      <c r="R212" s="82"/>
      <c r="S212" s="82"/>
      <c r="T212" s="16">
        <v>0.0</v>
      </c>
      <c r="U212" s="16">
        <v>0.0</v>
      </c>
      <c r="V212" s="89">
        <f>IFERROR(__xludf.DUMMYFUNCTION("INDEX(SPLIT(SUBSTITUTE(W212,CHAR(10), """"),"",:""), MATCH(Z212, SPLIT(SUBSTITUTE(W212,CHAR(10), """"),"",:""), 0) + 1)"),8.0)</f>
        <v>8</v>
      </c>
      <c r="W212" s="85" t="s">
        <v>2135</v>
      </c>
      <c r="X212" s="21" t="s">
        <v>2887</v>
      </c>
      <c r="Y212" s="53" t="s">
        <v>2136</v>
      </c>
      <c r="Z212" s="53" t="str">
        <f t="array" ref="Z212">INDEX(Problems!J:J, MATCH(1, (Problems!B:B=B212)*1, 0))</f>
        <v>n</v>
      </c>
      <c r="AA212" s="53"/>
      <c r="AB212" s="53"/>
      <c r="AC212" s="53" t="s">
        <v>1813</v>
      </c>
      <c r="AD212" s="53" t="s">
        <v>1814</v>
      </c>
      <c r="AE212" s="85">
        <f>IFERROR(__xludf.DUMMYFUNCTION("INDEX(SPLIT(SUBSTITUTE(AF212,CHAR(10), """"),"",:""), MATCH(Z212, SPLIT(SUBSTITUTE(AF212,CHAR(10), """"),"",:""), 0) + 1)"),3.0)</f>
        <v>3</v>
      </c>
      <c r="AF212" s="85" t="s">
        <v>2888</v>
      </c>
      <c r="AG212" s="53" t="s">
        <v>1873</v>
      </c>
      <c r="AH212" s="118" t="s">
        <v>2889</v>
      </c>
      <c r="AI212" s="84">
        <v>1.0</v>
      </c>
      <c r="AJ212" s="84">
        <v>0.0</v>
      </c>
      <c r="AK212" s="87"/>
      <c r="AL212" s="81">
        <v>0.0</v>
      </c>
      <c r="AM212" s="87"/>
      <c r="AN212" s="81">
        <v>0.0</v>
      </c>
      <c r="AO212" s="90"/>
      <c r="AP212" s="81">
        <v>0.0</v>
      </c>
      <c r="AQ212" s="81">
        <v>0.0</v>
      </c>
      <c r="AR212" s="39"/>
      <c r="AS212" s="81">
        <v>0.0</v>
      </c>
      <c r="AT212" s="81">
        <v>0.0</v>
      </c>
      <c r="AU212" s="25" t="s">
        <v>2890</v>
      </c>
      <c r="AV212" s="7" t="s">
        <v>168</v>
      </c>
      <c r="AW212" s="82"/>
      <c r="AX212" s="82"/>
      <c r="AY212" s="7" t="s">
        <v>2884</v>
      </c>
      <c r="AZ212" s="7">
        <f>(1000/3)*(1000)</f>
        <v>333333.3333</v>
      </c>
      <c r="BA212" s="7" t="s">
        <v>1781</v>
      </c>
      <c r="BB212" s="7">
        <f>(1000000/3)*(1000000)</f>
        <v>333333333333</v>
      </c>
      <c r="BC212" s="7" t="s">
        <v>1781</v>
      </c>
      <c r="BD212" s="7">
        <f>(1000000000/3)*(1000000000)</f>
        <v>3.33333E+17</v>
      </c>
      <c r="BE212" s="7" t="s">
        <v>1781</v>
      </c>
      <c r="BF212" s="7" t="s">
        <v>1781</v>
      </c>
      <c r="BG212" s="7">
        <v>1.0</v>
      </c>
      <c r="BH212" s="82"/>
      <c r="BI212" s="82"/>
      <c r="BJ212" s="82"/>
      <c r="BK212" s="82"/>
      <c r="BL212" s="82"/>
      <c r="BM212" s="82"/>
      <c r="BN212" s="7"/>
      <c r="BO212" s="7">
        <v>1.0</v>
      </c>
      <c r="BP212" s="82"/>
      <c r="BQ212" s="7"/>
      <c r="BR212" s="7" t="s">
        <v>144</v>
      </c>
    </row>
    <row r="213">
      <c r="A213" s="16">
        <v>10.0</v>
      </c>
      <c r="B213" s="16" t="s">
        <v>166</v>
      </c>
      <c r="C213" s="53">
        <v>1.0</v>
      </c>
      <c r="D213" s="53"/>
      <c r="E213" s="7">
        <v>114.0</v>
      </c>
      <c r="F213" s="53"/>
      <c r="G213" s="7"/>
      <c r="H213" s="16">
        <v>1.0</v>
      </c>
      <c r="I213" s="81">
        <v>1.0</v>
      </c>
      <c r="J213" s="21" t="s">
        <v>2885</v>
      </c>
      <c r="K213" s="53"/>
      <c r="L213" s="53"/>
      <c r="M213" s="39" t="str">
        <f t="shared" si="1"/>
        <v>[- Terlaky's Criss-cross algorithm (1985)]</v>
      </c>
      <c r="N213" s="39" t="s">
        <v>2891</v>
      </c>
      <c r="O213" s="81">
        <v>1985.0</v>
      </c>
      <c r="P213" s="39" t="s">
        <v>1937</v>
      </c>
      <c r="Q213" s="82"/>
      <c r="R213" s="82"/>
      <c r="S213" s="82"/>
      <c r="T213" s="16">
        <v>0.0</v>
      </c>
      <c r="U213" s="16">
        <v>0.0</v>
      </c>
      <c r="V213" s="89">
        <f>IFERROR(__xludf.DUMMYFUNCTION("INDEX(SPLIT(SUBSTITUTE(W213,CHAR(10), """"),"",:""), MATCH(Z213, SPLIT(SUBSTITUTE(W213,CHAR(10), """"),"",:""), 0) + 1)"),8.0)</f>
        <v>8</v>
      </c>
      <c r="W213" s="85" t="s">
        <v>2135</v>
      </c>
      <c r="X213" s="21" t="s">
        <v>2887</v>
      </c>
      <c r="Y213" s="53" t="s">
        <v>2136</v>
      </c>
      <c r="Z213" s="53" t="str">
        <f t="array" ref="Z213">INDEX(Problems!J:J, MATCH(1, (Problems!B:B=B213)*1, 0))</f>
        <v>n</v>
      </c>
      <c r="AA213" s="53"/>
      <c r="AB213" s="53"/>
      <c r="AC213" s="53" t="s">
        <v>1813</v>
      </c>
      <c r="AD213" s="53" t="s">
        <v>1814</v>
      </c>
      <c r="AE213" s="85">
        <f>IFERROR(__xludf.DUMMYFUNCTION("INDEX(SPLIT(SUBSTITUTE(AF213,CHAR(10), """"),"",:""), MATCH(Z213, SPLIT(SUBSTITUTE(AF213,CHAR(10), """"),"",:""), 0) + 1)"),3.0)</f>
        <v>3</v>
      </c>
      <c r="AF213" s="85" t="s">
        <v>2888</v>
      </c>
      <c r="AG213" s="53" t="s">
        <v>1873</v>
      </c>
      <c r="AH213" s="118" t="s">
        <v>2889</v>
      </c>
      <c r="AI213" s="84">
        <v>1.0</v>
      </c>
      <c r="AJ213" s="84">
        <v>0.0</v>
      </c>
      <c r="AK213" s="87"/>
      <c r="AL213" s="81">
        <v>0.0</v>
      </c>
      <c r="AM213" s="87"/>
      <c r="AN213" s="81">
        <v>0.0</v>
      </c>
      <c r="AO213" s="90"/>
      <c r="AP213" s="81">
        <v>0.0</v>
      </c>
      <c r="AQ213" s="81">
        <v>0.0</v>
      </c>
      <c r="AR213" s="39"/>
      <c r="AS213" s="81">
        <v>0.0</v>
      </c>
      <c r="AT213" s="81">
        <v>0.0</v>
      </c>
      <c r="AU213" s="25" t="s">
        <v>2892</v>
      </c>
      <c r="AV213" s="7" t="s">
        <v>168</v>
      </c>
      <c r="AW213" s="82"/>
      <c r="AX213" s="82"/>
      <c r="AY213" s="7" t="s">
        <v>2884</v>
      </c>
      <c r="AZ213" s="7"/>
      <c r="BA213" s="7"/>
      <c r="BB213" s="7"/>
      <c r="BC213" s="7"/>
      <c r="BD213" s="7"/>
      <c r="BE213" s="7"/>
      <c r="BF213" s="7" t="s">
        <v>1781</v>
      </c>
      <c r="BG213" s="7">
        <v>1.0</v>
      </c>
      <c r="BH213" s="82"/>
      <c r="BI213" s="82"/>
      <c r="BJ213" s="82"/>
      <c r="BK213" s="82"/>
      <c r="BL213" s="82"/>
      <c r="BM213" s="82"/>
      <c r="BN213" s="7"/>
      <c r="BO213" s="7">
        <v>1.0</v>
      </c>
      <c r="BP213" s="82"/>
      <c r="BQ213" s="7"/>
      <c r="BR213" s="7" t="s">
        <v>144</v>
      </c>
    </row>
    <row r="214">
      <c r="A214" s="16">
        <v>10.0</v>
      </c>
      <c r="B214" s="16" t="s">
        <v>166</v>
      </c>
      <c r="C214" s="53">
        <v>1.0</v>
      </c>
      <c r="D214" s="53"/>
      <c r="E214" s="7">
        <v>115.0</v>
      </c>
      <c r="F214" s="53"/>
      <c r="G214" s="7"/>
      <c r="H214" s="16">
        <v>1.0</v>
      </c>
      <c r="I214" s="81">
        <v>1.0</v>
      </c>
      <c r="J214" s="21" t="s">
        <v>2893</v>
      </c>
      <c r="K214" s="53"/>
      <c r="L214" s="53"/>
      <c r="M214" s="39" t="str">
        <f t="shared" si="1"/>
        <v>[- Affine scaling (1967)]</v>
      </c>
      <c r="N214" s="39" t="s">
        <v>2894</v>
      </c>
      <c r="O214" s="81">
        <v>1967.0</v>
      </c>
      <c r="P214" s="39" t="s">
        <v>1937</v>
      </c>
      <c r="Q214" s="82"/>
      <c r="R214" s="82"/>
      <c r="S214" s="82"/>
      <c r="T214" s="16">
        <v>0.0</v>
      </c>
      <c r="U214" s="16">
        <v>0.0</v>
      </c>
      <c r="V214" s="89">
        <f>IFERROR(__xludf.DUMMYFUNCTION("INDEX(SPLIT(SUBSTITUTE(W214,CHAR(10), """"),"",:""), MATCH(Z214, SPLIT(SUBSTITUTE(W214,CHAR(10), """"),"",:""), 0) + 1)"),6.5)</f>
        <v>6.5</v>
      </c>
      <c r="W214" s="85" t="s">
        <v>2895</v>
      </c>
      <c r="X214" s="21" t="s">
        <v>2896</v>
      </c>
      <c r="Y214" s="53" t="s">
        <v>2136</v>
      </c>
      <c r="Z214" s="53" t="str">
        <f t="array" ref="Z214">INDEX(Problems!J:J, MATCH(1, (Problems!B:B=B214)*1, 0))</f>
        <v>n</v>
      </c>
      <c r="AA214" s="53"/>
      <c r="AB214" s="53"/>
      <c r="AC214" s="53" t="s">
        <v>1813</v>
      </c>
      <c r="AD214" s="53" t="s">
        <v>1814</v>
      </c>
      <c r="AE214" s="85">
        <f>IFERROR(__xludf.DUMMYFUNCTION("INDEX(SPLIT(SUBSTITUTE(AF214,CHAR(10), """"),"",:""), MATCH(Z214, SPLIT(SUBSTITUTE(AF214,CHAR(10), """"),"",:""), 0) + 1)"),3.0)</f>
        <v>3</v>
      </c>
      <c r="AF214" s="85" t="s">
        <v>2897</v>
      </c>
      <c r="AG214" s="53" t="s">
        <v>2898</v>
      </c>
      <c r="AH214" s="118" t="s">
        <v>2889</v>
      </c>
      <c r="AI214" s="84">
        <v>1.0</v>
      </c>
      <c r="AJ214" s="84">
        <v>0.0</v>
      </c>
      <c r="AK214" s="87"/>
      <c r="AL214" s="81">
        <v>0.0</v>
      </c>
      <c r="AM214" s="87"/>
      <c r="AN214" s="81">
        <v>0.0</v>
      </c>
      <c r="AO214" s="90"/>
      <c r="AP214" s="81">
        <v>0.0</v>
      </c>
      <c r="AQ214" s="81">
        <v>0.0</v>
      </c>
      <c r="AR214" s="39"/>
      <c r="AS214" s="81">
        <v>0.0</v>
      </c>
      <c r="AT214" s="81">
        <v>0.0</v>
      </c>
      <c r="AU214" s="28" t="s">
        <v>2899</v>
      </c>
      <c r="AV214" s="7" t="s">
        <v>168</v>
      </c>
      <c r="AW214" s="82"/>
      <c r="AX214" s="82"/>
      <c r="AY214" s="7" t="s">
        <v>2884</v>
      </c>
      <c r="AZ214" s="7"/>
      <c r="BA214" s="7"/>
      <c r="BB214" s="7"/>
      <c r="BC214" s="7"/>
      <c r="BD214" s="7"/>
      <c r="BE214" s="7"/>
      <c r="BF214" s="7">
        <v>3.16227766017E11</v>
      </c>
      <c r="BG214" s="7" t="s">
        <v>1781</v>
      </c>
      <c r="BH214" s="7" t="s">
        <v>1781</v>
      </c>
      <c r="BI214" s="82"/>
      <c r="BJ214" s="82"/>
      <c r="BK214" s="7" t="s">
        <v>1781</v>
      </c>
      <c r="BL214" s="82"/>
      <c r="BM214" s="82"/>
      <c r="BN214" s="7" t="s">
        <v>1781</v>
      </c>
      <c r="BO214" s="7">
        <v>1.0</v>
      </c>
      <c r="BP214" s="82"/>
      <c r="BQ214" s="7"/>
      <c r="BR214" s="7" t="s">
        <v>144</v>
      </c>
    </row>
    <row r="215">
      <c r="A215" s="16">
        <v>10.0</v>
      </c>
      <c r="B215" s="16" t="s">
        <v>166</v>
      </c>
      <c r="C215" s="53">
        <v>1.0</v>
      </c>
      <c r="D215" s="53"/>
      <c r="E215" s="7">
        <v>116.0</v>
      </c>
      <c r="F215" s="53"/>
      <c r="G215" s="7"/>
      <c r="H215" s="16">
        <v>1.0</v>
      </c>
      <c r="I215" s="81">
        <v>1.0</v>
      </c>
      <c r="J215" s="21" t="s">
        <v>2900</v>
      </c>
      <c r="K215" s="53"/>
      <c r="L215" s="53"/>
      <c r="M215" s="39" t="str">
        <f t="shared" si="1"/>
        <v>[https://arxiv.org/abs/1810.07896 Cohen; Lee and Song (2018)]</v>
      </c>
      <c r="N215" s="16" t="s">
        <v>2901</v>
      </c>
      <c r="O215" s="81">
        <v>2018.0</v>
      </c>
      <c r="P215" s="17" t="s">
        <v>177</v>
      </c>
      <c r="Q215" s="7">
        <v>1.0</v>
      </c>
      <c r="R215" s="7">
        <v>1.0</v>
      </c>
      <c r="S215" s="47" t="s">
        <v>177</v>
      </c>
      <c r="T215" s="16">
        <v>1.0</v>
      </c>
      <c r="U215" s="16" t="s">
        <v>2019</v>
      </c>
      <c r="V215" s="89">
        <f>IFERROR(__xludf.DUMMYFUNCTION("INDEX(SPLIT(SUBSTITUTE(W215,CHAR(10), """"),"",:""), MATCH(Z215, SPLIT(SUBSTITUTE(W215,CHAR(10), """"),"",:""), 0) + 1)"),6.0)</f>
        <v>6</v>
      </c>
      <c r="W215" s="85" t="s">
        <v>2008</v>
      </c>
      <c r="X215" s="21" t="s">
        <v>2902</v>
      </c>
      <c r="Y215" s="53" t="s">
        <v>2136</v>
      </c>
      <c r="Z215" s="53" t="str">
        <f t="array" ref="Z215">INDEX(Problems!J:J, MATCH(1, (Problems!B:B=B215)*1, 0))</f>
        <v>n</v>
      </c>
      <c r="AA215" s="53"/>
      <c r="AB215" s="53"/>
      <c r="AC215" s="53" t="s">
        <v>1813</v>
      </c>
      <c r="AD215" s="53" t="s">
        <v>1814</v>
      </c>
      <c r="AE215" s="85">
        <f>IFERROR(__xludf.DUMMYFUNCTION("INDEX(SPLIT(SUBSTITUTE(AF215,CHAR(10), """"),"",:""), MATCH(Z215, SPLIT(SUBSTITUTE(AF215,CHAR(10), """"),"",:""), 0) + 1)"),5.0)</f>
        <v>5</v>
      </c>
      <c r="AF215" s="85" t="s">
        <v>2524</v>
      </c>
      <c r="AG215" s="53" t="s">
        <v>2903</v>
      </c>
      <c r="AH215" s="118" t="s">
        <v>2904</v>
      </c>
      <c r="AI215" s="84">
        <v>1.0</v>
      </c>
      <c r="AJ215" s="84">
        <v>0.0</v>
      </c>
      <c r="AK215" s="87"/>
      <c r="AL215" s="81">
        <v>0.0</v>
      </c>
      <c r="AM215" s="87"/>
      <c r="AN215" s="81">
        <v>0.0</v>
      </c>
      <c r="AO215" s="90"/>
      <c r="AP215" s="81">
        <v>0.0</v>
      </c>
      <c r="AQ215" s="81">
        <v>0.0</v>
      </c>
      <c r="AR215" s="39"/>
      <c r="AS215" s="81">
        <v>0.0</v>
      </c>
      <c r="AT215" s="81">
        <v>0.0</v>
      </c>
      <c r="AU215" s="39"/>
      <c r="AV215" s="7" t="s">
        <v>168</v>
      </c>
      <c r="AW215" s="82"/>
      <c r="AX215" s="82"/>
      <c r="AY215" s="7" t="s">
        <v>2884</v>
      </c>
      <c r="AZ215" s="7"/>
      <c r="BA215" s="7"/>
      <c r="BB215" s="7"/>
      <c r="BC215" s="7"/>
      <c r="BD215" s="7"/>
      <c r="BE215" s="7"/>
      <c r="BF215" s="7">
        <v>1.2971792E7</v>
      </c>
      <c r="BG215" s="7" t="s">
        <v>1781</v>
      </c>
      <c r="BH215" s="82"/>
      <c r="BI215" s="82">
        <f>POW(1000000,2.371)</f>
        <v>168267406107047</v>
      </c>
      <c r="BJ215" s="7" t="s">
        <v>1781</v>
      </c>
      <c r="BK215" s="82"/>
      <c r="BL215" s="82">
        <f>POW(1000000000,2.371)</f>
        <v>2.18273E+21</v>
      </c>
      <c r="BM215" s="7" t="s">
        <v>1781</v>
      </c>
      <c r="BN215" s="7"/>
      <c r="BO215" s="7">
        <v>1.0</v>
      </c>
      <c r="BP215" s="82"/>
      <c r="BQ215" s="7"/>
      <c r="BR215" s="7" t="s">
        <v>144</v>
      </c>
    </row>
    <row r="216">
      <c r="A216" s="16">
        <v>10.0</v>
      </c>
      <c r="B216" s="16" t="s">
        <v>166</v>
      </c>
      <c r="C216" s="53">
        <v>1.0</v>
      </c>
      <c r="D216" s="53"/>
      <c r="E216" s="7">
        <v>117.0</v>
      </c>
      <c r="F216" s="53"/>
      <c r="G216" s="7"/>
      <c r="H216" s="16">
        <v>1.0</v>
      </c>
      <c r="I216" s="81">
        <v>1.0</v>
      </c>
      <c r="J216" s="16" t="s">
        <v>2905</v>
      </c>
      <c r="K216" s="53"/>
      <c r="L216" s="53"/>
      <c r="M216" s="39" t="str">
        <f t="shared" si="1"/>
        <v>[https://arxiv.org/abs/1503.01752 Lee and Sidford (2015)]</v>
      </c>
      <c r="N216" s="16" t="s">
        <v>2906</v>
      </c>
      <c r="O216" s="81">
        <v>2015.0</v>
      </c>
      <c r="P216" s="28" t="s">
        <v>2907</v>
      </c>
      <c r="Q216" s="82"/>
      <c r="R216" s="82"/>
      <c r="S216" s="82"/>
      <c r="T216" s="16">
        <v>0.0</v>
      </c>
      <c r="U216" s="16">
        <v>0.0</v>
      </c>
      <c r="V216" s="89">
        <f>IFERROR(__xludf.DUMMYFUNCTION("INDEX(SPLIT(SUBSTITUTE(W216,CHAR(10), """"),"",:""), MATCH(Z216, SPLIT(SUBSTITUTE(W216,CHAR(10), """"),"",:""), 0) + 1)"),5.5)</f>
        <v>5.5</v>
      </c>
      <c r="W216" s="85" t="s">
        <v>2908</v>
      </c>
      <c r="X216" s="16" t="s">
        <v>2909</v>
      </c>
      <c r="Y216" s="53" t="s">
        <v>2136</v>
      </c>
      <c r="Z216" s="53" t="str">
        <f t="array" ref="Z216">INDEX(Problems!J:J, MATCH(1, (Problems!B:B=B216)*1, 0))</f>
        <v>n</v>
      </c>
      <c r="AA216" s="53"/>
      <c r="AB216" s="53"/>
      <c r="AC216" s="53" t="s">
        <v>1813</v>
      </c>
      <c r="AD216" s="53" t="s">
        <v>1814</v>
      </c>
      <c r="AE216" s="85">
        <f>IFERROR(__xludf.DUMMYFUNCTION("INDEX(SPLIT(SUBSTITUTE(AF216,CHAR(10), """"),"",:""), MATCH(Z216, SPLIT(SUBSTITUTE(AF216,CHAR(10), """"),"",:""), 0) + 1)"),5.0)</f>
        <v>5</v>
      </c>
      <c r="AF216" s="85" t="s">
        <v>2524</v>
      </c>
      <c r="AG216" s="53" t="s">
        <v>2910</v>
      </c>
      <c r="AH216" s="118" t="s">
        <v>2911</v>
      </c>
      <c r="AI216" s="84">
        <v>1.0</v>
      </c>
      <c r="AJ216" s="84">
        <v>0.0</v>
      </c>
      <c r="AK216" s="87"/>
      <c r="AL216" s="81">
        <v>0.0</v>
      </c>
      <c r="AM216" s="87"/>
      <c r="AN216" s="81">
        <v>0.0</v>
      </c>
      <c r="AO216" s="90"/>
      <c r="AP216" s="81">
        <v>0.0</v>
      </c>
      <c r="AQ216" s="81">
        <v>0.0</v>
      </c>
      <c r="AR216" s="39"/>
      <c r="AS216" s="81">
        <v>0.0</v>
      </c>
      <c r="AT216" s="81">
        <v>0.0</v>
      </c>
      <c r="AU216" s="39"/>
      <c r="AV216" s="7" t="s">
        <v>168</v>
      </c>
      <c r="AW216" s="82"/>
      <c r="AX216" s="82"/>
      <c r="AY216" s="7" t="s">
        <v>2884</v>
      </c>
      <c r="AZ216" s="7"/>
      <c r="BA216" s="7"/>
      <c r="BB216" s="7"/>
      <c r="BC216" s="7"/>
      <c r="BD216" s="7"/>
      <c r="BE216" s="7"/>
      <c r="BF216" s="7">
        <v>3.1654399E7</v>
      </c>
      <c r="BG216" s="7" t="s">
        <v>1781</v>
      </c>
      <c r="BH216" s="7" t="s">
        <v>1781</v>
      </c>
      <c r="BI216" s="82"/>
      <c r="BJ216" s="82"/>
      <c r="BK216" s="7" t="s">
        <v>1781</v>
      </c>
      <c r="BL216" s="82"/>
      <c r="BM216" s="82"/>
      <c r="BN216" s="7" t="s">
        <v>1781</v>
      </c>
      <c r="BO216" s="7">
        <v>1.0</v>
      </c>
      <c r="BP216" s="82"/>
      <c r="BQ216" s="7"/>
      <c r="BR216" s="7" t="s">
        <v>144</v>
      </c>
    </row>
    <row r="217">
      <c r="A217" s="16">
        <v>11.0</v>
      </c>
      <c r="B217" s="16" t="s">
        <v>186</v>
      </c>
      <c r="C217" s="53">
        <v>1.0</v>
      </c>
      <c r="D217" s="53" t="s">
        <v>187</v>
      </c>
      <c r="E217" s="7">
        <v>120.0</v>
      </c>
      <c r="F217" s="53"/>
      <c r="G217" s="7"/>
      <c r="H217" s="16">
        <v>1.0</v>
      </c>
      <c r="I217" s="81">
        <v>1.0</v>
      </c>
      <c r="J217" s="39" t="s">
        <v>2912</v>
      </c>
      <c r="K217" s="53"/>
      <c r="L217" s="53"/>
      <c r="M217" s="39" t="str">
        <f t="shared" si="1"/>
        <v>[https://dl.acm.org/doi/10.1145/147508.147511 Chazelle &amp; Edelsbrunner (1992)]</v>
      </c>
      <c r="N217" s="16" t="s">
        <v>2913</v>
      </c>
      <c r="O217" s="81">
        <v>1992.0</v>
      </c>
      <c r="P217" s="96" t="s">
        <v>190</v>
      </c>
      <c r="Q217" s="82"/>
      <c r="R217" s="82"/>
      <c r="S217" s="82"/>
      <c r="T217" s="16">
        <v>0.0</v>
      </c>
      <c r="U217" s="16">
        <v>0.0</v>
      </c>
      <c r="V217" s="89">
        <f>IFERROR(__xludf.DUMMYFUNCTION("INDEX(SPLIT(SUBSTITUTE(W217,CHAR(10), """"),"",:""), MATCH(Z217, SPLIT(SUBSTITUTE(W217,CHAR(10), """"),"",:""), 0) + 1)"),4.0)</f>
        <v>4</v>
      </c>
      <c r="W217" s="85" t="s">
        <v>2157</v>
      </c>
      <c r="X217" s="16" t="s">
        <v>2914</v>
      </c>
      <c r="Y217" s="53" t="s">
        <v>2151</v>
      </c>
      <c r="Z217" s="53" t="str">
        <f t="array" ref="Z217">INDEX(Problems!J:J, MATCH(1, (Problems!B:B=B217)*1, 0))</f>
        <v>n</v>
      </c>
      <c r="AA217" s="53"/>
      <c r="AB217" s="53"/>
      <c r="AC217" s="53" t="s">
        <v>2152</v>
      </c>
      <c r="AD217" s="53" t="s">
        <v>1814</v>
      </c>
      <c r="AE217" s="85">
        <f>IFERROR(__xludf.DUMMYFUNCTION("INDEX(SPLIT(SUBSTITUTE(AF217,CHAR(10), """"),"",:""), MATCH(Z217, SPLIT(SUBSTITUTE(AF217,CHAR(10), """"),"",:""), 0) + 1)"),3.0)</f>
        <v>3</v>
      </c>
      <c r="AF217" s="85" t="s">
        <v>1975</v>
      </c>
      <c r="AG217" s="53" t="s">
        <v>2915</v>
      </c>
      <c r="AH217" s="96" t="s">
        <v>190</v>
      </c>
      <c r="AI217" s="84">
        <v>0.0</v>
      </c>
      <c r="AJ217" s="84">
        <v>1.0</v>
      </c>
      <c r="AK217" s="87"/>
      <c r="AL217" s="81">
        <v>0.0</v>
      </c>
      <c r="AM217" s="87"/>
      <c r="AN217" s="81">
        <v>0.0</v>
      </c>
      <c r="AO217" s="90"/>
      <c r="AP217" s="81">
        <v>0.0</v>
      </c>
      <c r="AQ217" s="81">
        <v>0.0</v>
      </c>
      <c r="AR217" s="39"/>
      <c r="AS217" s="81">
        <v>0.0</v>
      </c>
      <c r="AT217" s="81">
        <v>0.0</v>
      </c>
      <c r="AU217" s="39"/>
      <c r="AV217" s="53" t="s">
        <v>2153</v>
      </c>
      <c r="AW217" s="82"/>
      <c r="AX217" s="82"/>
      <c r="AY217" s="7"/>
      <c r="AZ217" s="7"/>
      <c r="BA217" s="7"/>
      <c r="BB217" s="7"/>
      <c r="BC217" s="7"/>
      <c r="BD217" s="7"/>
      <c r="BE217" s="7"/>
      <c r="BF217" s="7">
        <v>9996.0</v>
      </c>
      <c r="BG217" s="82">
        <f t="shared" ref="BG217:BG223" si="31">1000000/BF217</f>
        <v>100.040016</v>
      </c>
      <c r="BH217" s="82"/>
      <c r="BI217" s="82"/>
      <c r="BJ217" s="82"/>
      <c r="BK217" s="82"/>
      <c r="BL217" s="82"/>
      <c r="BM217" s="82"/>
      <c r="BN217" s="7"/>
      <c r="BO217" s="7">
        <v>4.0</v>
      </c>
      <c r="BP217" s="82"/>
      <c r="BQ217" s="7"/>
      <c r="BR217" s="7" t="s">
        <v>196</v>
      </c>
    </row>
    <row r="218">
      <c r="A218" s="16">
        <v>11.0</v>
      </c>
      <c r="B218" s="16" t="s">
        <v>186</v>
      </c>
      <c r="C218" s="53">
        <v>1.0</v>
      </c>
      <c r="D218" s="53" t="s">
        <v>187</v>
      </c>
      <c r="E218" s="7">
        <v>121.0</v>
      </c>
      <c r="F218" s="53"/>
      <c r="G218" s="7"/>
      <c r="H218" s="16">
        <v>1.0</v>
      </c>
      <c r="I218" s="81">
        <v>1.0</v>
      </c>
      <c r="J218" s="21" t="s">
        <v>2916</v>
      </c>
      <c r="K218" s="53"/>
      <c r="L218" s="53"/>
      <c r="M218" s="39" t="str">
        <f t="shared" si="1"/>
        <v>[https://www.sciencedirect.com/science/article/pii/0022000086900255 CHAZELLE (1986)]</v>
      </c>
      <c r="N218" s="16" t="s">
        <v>2917</v>
      </c>
      <c r="O218" s="81">
        <v>1986.0</v>
      </c>
      <c r="P218" s="96" t="s">
        <v>209</v>
      </c>
      <c r="Q218" s="82"/>
      <c r="R218" s="82"/>
      <c r="S218" s="82"/>
      <c r="T218" s="16">
        <v>0.0</v>
      </c>
      <c r="U218" s="16">
        <v>0.0</v>
      </c>
      <c r="V218" s="89">
        <f>IFERROR(__xludf.DUMMYFUNCTION("INDEX(SPLIT(SUBSTITUTE(W218,CHAR(10), """"),"",:""), MATCH(Z218, SPLIT(SUBSTITUTE(W218,CHAR(10), """"),"",:""), 0) + 1)"),4.0)</f>
        <v>4</v>
      </c>
      <c r="W218" s="85" t="s">
        <v>2157</v>
      </c>
      <c r="X218" s="21" t="s">
        <v>2918</v>
      </c>
      <c r="Y218" s="53" t="s">
        <v>2151</v>
      </c>
      <c r="Z218" s="53" t="str">
        <f t="array" ref="Z218">INDEX(Problems!J:J, MATCH(1, (Problems!B:B=B218)*1, 0))</f>
        <v>n</v>
      </c>
      <c r="AA218" s="53"/>
      <c r="AB218" s="53"/>
      <c r="AC218" s="53" t="s">
        <v>2152</v>
      </c>
      <c r="AD218" s="53" t="s">
        <v>1814</v>
      </c>
      <c r="AE218" s="85">
        <f>IFERROR(__xludf.DUMMYFUNCTION("INDEX(SPLIT(SUBSTITUTE(AF218,CHAR(10), """"),"",:""), MATCH(Z218, SPLIT(SUBSTITUTE(AF218,CHAR(10), """"),"",:""), 0) + 1)"),3.0)</f>
        <v>3</v>
      </c>
      <c r="AF218" s="85" t="s">
        <v>1975</v>
      </c>
      <c r="AG218" s="53" t="s">
        <v>2919</v>
      </c>
      <c r="AH218" s="96" t="s">
        <v>209</v>
      </c>
      <c r="AI218" s="84">
        <v>0.0</v>
      </c>
      <c r="AJ218" s="84">
        <v>1.0</v>
      </c>
      <c r="AK218" s="87"/>
      <c r="AL218" s="81">
        <v>0.0</v>
      </c>
      <c r="AM218" s="87"/>
      <c r="AN218" s="81">
        <v>0.0</v>
      </c>
      <c r="AO218" s="90"/>
      <c r="AP218" s="81">
        <v>0.0</v>
      </c>
      <c r="AQ218" s="81">
        <v>0.0</v>
      </c>
      <c r="AR218" s="39"/>
      <c r="AS218" s="81">
        <v>0.0</v>
      </c>
      <c r="AT218" s="81">
        <v>0.0</v>
      </c>
      <c r="AU218" s="39"/>
      <c r="AV218" s="53" t="s">
        <v>2153</v>
      </c>
      <c r="AW218" s="82"/>
      <c r="AX218" s="82"/>
      <c r="AY218" s="7"/>
      <c r="AZ218" s="7"/>
      <c r="BA218" s="7"/>
      <c r="BB218" s="7"/>
      <c r="BC218" s="7"/>
      <c r="BD218" s="7"/>
      <c r="BE218" s="7"/>
      <c r="BF218" s="7">
        <v>3336.9</v>
      </c>
      <c r="BG218" s="82">
        <f t="shared" si="31"/>
        <v>299.6793431</v>
      </c>
      <c r="BH218" s="82"/>
      <c r="BI218" s="82"/>
      <c r="BJ218" s="82"/>
      <c r="BK218" s="82"/>
      <c r="BL218" s="82"/>
      <c r="BM218" s="82"/>
      <c r="BN218" s="7"/>
      <c r="BO218" s="7">
        <v>4.0</v>
      </c>
      <c r="BP218" s="82"/>
      <c r="BQ218" s="7"/>
      <c r="BR218" s="7" t="s">
        <v>196</v>
      </c>
    </row>
    <row r="219">
      <c r="A219" s="16">
        <v>11.0</v>
      </c>
      <c r="B219" s="16" t="s">
        <v>186</v>
      </c>
      <c r="C219" s="53">
        <v>1.0</v>
      </c>
      <c r="D219" s="53" t="s">
        <v>201</v>
      </c>
      <c r="E219" s="7">
        <v>122.0</v>
      </c>
      <c r="F219" s="53"/>
      <c r="G219" s="7"/>
      <c r="H219" s="16">
        <v>1.0</v>
      </c>
      <c r="I219" s="81">
        <v>1.0</v>
      </c>
      <c r="J219" s="39" t="s">
        <v>2912</v>
      </c>
      <c r="K219" s="53"/>
      <c r="L219" s="53"/>
      <c r="M219" s="39" t="str">
        <f t="shared" si="1"/>
        <v>[https://pdfs.semanticscholar.org/a571/cc92218132a1b0e65c2adbf663c79d015737.pdf NIEVERGELT. J.. AND PREPARATA (Section 3) (1982)]</v>
      </c>
      <c r="N219" s="16" t="s">
        <v>2920</v>
      </c>
      <c r="O219" s="81">
        <v>1982.0</v>
      </c>
      <c r="P219" s="17" t="s">
        <v>204</v>
      </c>
      <c r="Q219" s="7">
        <v>3.0</v>
      </c>
      <c r="R219" s="7">
        <v>1.0</v>
      </c>
      <c r="S219" s="47" t="s">
        <v>2921</v>
      </c>
      <c r="T219" s="16">
        <v>1.0</v>
      </c>
      <c r="U219" s="16">
        <v>0.0</v>
      </c>
      <c r="V219" s="89">
        <f>IFERROR(__xludf.DUMMYFUNCTION("INDEX(SPLIT(SUBSTITUTE(W219,CHAR(10), """"),"",:""), MATCH(Z219, SPLIT(SUBSTITUTE(W219,CHAR(10), """"),"",:""), 0) + 1)"),4.0)</f>
        <v>4</v>
      </c>
      <c r="W219" s="85" t="s">
        <v>2157</v>
      </c>
      <c r="X219" s="16" t="s">
        <v>2914</v>
      </c>
      <c r="Y219" s="53" t="s">
        <v>2151</v>
      </c>
      <c r="Z219" s="53" t="str">
        <f t="array" ref="Z219">INDEX(Problems!J:J, MATCH(1, (Problems!B:B=B219)*1, 0))</f>
        <v>n</v>
      </c>
      <c r="AA219" s="53"/>
      <c r="AB219" s="53"/>
      <c r="AC219" s="53" t="s">
        <v>2152</v>
      </c>
      <c r="AD219" s="53" t="s">
        <v>1814</v>
      </c>
      <c r="AE219" s="85">
        <f>IFERROR(__xludf.DUMMYFUNCTION("INDEX(SPLIT(SUBSTITUTE(AF219,CHAR(10), """"),"",:""), MATCH(Z219, SPLIT(SUBSTITUTE(AF219,CHAR(10), """"),"",:""), 0) + 1)"),3.0)</f>
        <v>3</v>
      </c>
      <c r="AF219" s="85" t="s">
        <v>2922</v>
      </c>
      <c r="AG219" s="53" t="s">
        <v>35</v>
      </c>
      <c r="AH219" s="91" t="s">
        <v>2923</v>
      </c>
      <c r="AI219" s="84">
        <v>0.0</v>
      </c>
      <c r="AJ219" s="84">
        <v>0.0</v>
      </c>
      <c r="AK219" s="87"/>
      <c r="AL219" s="81">
        <v>0.0</v>
      </c>
      <c r="AM219" s="87"/>
      <c r="AN219" s="81">
        <v>0.0</v>
      </c>
      <c r="AO219" s="90"/>
      <c r="AP219" s="81">
        <v>0.0</v>
      </c>
      <c r="AQ219" s="81">
        <v>0.0</v>
      </c>
      <c r="AR219" s="39"/>
      <c r="AS219" s="81">
        <v>0.0</v>
      </c>
      <c r="AT219" s="81">
        <v>0.0</v>
      </c>
      <c r="AU219" s="39"/>
      <c r="AV219" s="53" t="s">
        <v>2153</v>
      </c>
      <c r="AW219" s="82"/>
      <c r="AX219" s="82"/>
      <c r="AY219" s="7"/>
      <c r="AZ219" s="7"/>
      <c r="BA219" s="7"/>
      <c r="BB219" s="7"/>
      <c r="BC219" s="7"/>
      <c r="BD219" s="7"/>
      <c r="BE219" s="7"/>
      <c r="BF219" s="7">
        <v>9996.0</v>
      </c>
      <c r="BG219" s="82">
        <f t="shared" si="31"/>
        <v>100.040016</v>
      </c>
      <c r="BH219" s="82"/>
      <c r="BI219" s="82">
        <f>19931568+POW(1000000,0.5)</f>
        <v>19932568</v>
      </c>
      <c r="BJ219" s="82">
        <f>BI215/BI219</f>
        <v>8441832.789</v>
      </c>
      <c r="BK219" s="82"/>
      <c r="BL219" s="82">
        <f>29897352854+POW(1000000000,0.5)</f>
        <v>29897384477</v>
      </c>
      <c r="BM219" s="82">
        <f>BL215/BL219</f>
        <v>73007386768</v>
      </c>
      <c r="BN219" s="7"/>
      <c r="BO219" s="7">
        <v>4.0</v>
      </c>
      <c r="BP219" s="82"/>
      <c r="BQ219" s="7"/>
      <c r="BR219" s="7" t="s">
        <v>196</v>
      </c>
    </row>
    <row r="220">
      <c r="A220" s="16">
        <v>11.0</v>
      </c>
      <c r="B220" s="16" t="s">
        <v>186</v>
      </c>
      <c r="C220" s="53">
        <v>1.0</v>
      </c>
      <c r="D220" s="53" t="s">
        <v>188</v>
      </c>
      <c r="E220" s="7">
        <v>123.0</v>
      </c>
      <c r="F220" s="53"/>
      <c r="G220" s="7"/>
      <c r="H220" s="16">
        <v>1.0</v>
      </c>
      <c r="I220" s="81">
        <v>1.0</v>
      </c>
      <c r="J220" s="39" t="s">
        <v>2154</v>
      </c>
      <c r="K220" s="53"/>
      <c r="L220" s="53"/>
      <c r="M220" s="39" t="str">
        <f t="shared" si="1"/>
        <v>[https://epubs.siam.org/doi/abs/10.1137/S0097539797329373 Jean-Daniel Boissonnat and Franco P.
Preparata.  (1997)]</v>
      </c>
      <c r="N220" s="39" t="s">
        <v>2924</v>
      </c>
      <c r="O220" s="81">
        <v>1997.0</v>
      </c>
      <c r="P220" s="96" t="s">
        <v>198</v>
      </c>
      <c r="Q220" s="82"/>
      <c r="R220" s="82"/>
      <c r="S220" s="82"/>
      <c r="T220" s="16">
        <v>0.0</v>
      </c>
      <c r="U220" s="16">
        <v>0.0</v>
      </c>
      <c r="V220" s="89">
        <f>IFERROR(__xludf.DUMMYFUNCTION("INDEX(SPLIT(SUBSTITUTE(W220,CHAR(10), """"),"",:""), MATCH(Z220, SPLIT(SUBSTITUTE(W220,CHAR(10), """"),"",:""), 0) + 1)"),4.0)</f>
        <v>4</v>
      </c>
      <c r="W220" s="85" t="s">
        <v>2157</v>
      </c>
      <c r="X220" s="16" t="s">
        <v>2925</v>
      </c>
      <c r="Y220" s="53" t="s">
        <v>2151</v>
      </c>
      <c r="Z220" s="53" t="str">
        <f t="array" ref="Z220">INDEX(Problems!J:J, MATCH(1, (Problems!B:B=B220)*1, 0))</f>
        <v>n</v>
      </c>
      <c r="AA220" s="53"/>
      <c r="AB220" s="53"/>
      <c r="AC220" s="53" t="s">
        <v>2926</v>
      </c>
      <c r="AD220" s="53" t="s">
        <v>1814</v>
      </c>
      <c r="AE220" s="85">
        <f>IFERROR(__xludf.DUMMYFUNCTION("INDEX(SPLIT(SUBSTITUTE(AF220,CHAR(10), """"),"",:""), MATCH(Z220, SPLIT(SUBSTITUTE(AF220,CHAR(10), """"),"",:""), 0) + 1)"),3.0)</f>
        <v>3</v>
      </c>
      <c r="AF220" s="85" t="s">
        <v>2922</v>
      </c>
      <c r="AG220" s="53" t="s">
        <v>35</v>
      </c>
      <c r="AH220" s="91" t="s">
        <v>2927</v>
      </c>
      <c r="AI220" s="84">
        <v>0.0</v>
      </c>
      <c r="AJ220" s="84">
        <v>1.0</v>
      </c>
      <c r="AK220" s="87"/>
      <c r="AL220" s="81">
        <v>0.0</v>
      </c>
      <c r="AM220" s="87"/>
      <c r="AN220" s="81">
        <v>0.0</v>
      </c>
      <c r="AO220" s="90"/>
      <c r="AP220" s="81">
        <v>0.0</v>
      </c>
      <c r="AQ220" s="81">
        <v>0.0</v>
      </c>
      <c r="AR220" s="39"/>
      <c r="AS220" s="81">
        <v>0.0</v>
      </c>
      <c r="AT220" s="81">
        <v>0.0</v>
      </c>
      <c r="AU220" s="39"/>
      <c r="AV220" s="53" t="s">
        <v>2153</v>
      </c>
      <c r="AW220" s="82"/>
      <c r="AX220" s="82"/>
      <c r="AY220" s="7"/>
      <c r="AZ220" s="7"/>
      <c r="BA220" s="7"/>
      <c r="BB220" s="7"/>
      <c r="BC220" s="7"/>
      <c r="BD220" s="7"/>
      <c r="BE220" s="7"/>
      <c r="BF220" s="7">
        <v>10280.0</v>
      </c>
      <c r="BG220" s="82">
        <f t="shared" si="31"/>
        <v>97.27626459</v>
      </c>
      <c r="BH220" s="82"/>
      <c r="BI220" s="82"/>
      <c r="BJ220" s="82"/>
      <c r="BK220" s="82"/>
      <c r="BL220" s="82"/>
      <c r="BM220" s="82"/>
      <c r="BN220" s="7"/>
      <c r="BO220" s="7">
        <v>4.0</v>
      </c>
      <c r="BP220" s="82"/>
      <c r="BQ220" s="7"/>
      <c r="BR220" s="7" t="s">
        <v>196</v>
      </c>
    </row>
    <row r="221">
      <c r="A221" s="16">
        <v>11.0</v>
      </c>
      <c r="B221" s="16" t="s">
        <v>186</v>
      </c>
      <c r="C221" s="53">
        <v>1.0</v>
      </c>
      <c r="D221" s="53" t="s">
        <v>188</v>
      </c>
      <c r="E221" s="7">
        <v>124.0</v>
      </c>
      <c r="F221" s="53"/>
      <c r="G221" s="7"/>
      <c r="H221" s="16">
        <v>1.0</v>
      </c>
      <c r="I221" s="81">
        <v>1.0</v>
      </c>
      <c r="J221" s="39" t="s">
        <v>2912</v>
      </c>
      <c r="K221" s="53"/>
      <c r="L221" s="53"/>
      <c r="M221" s="39" t="str">
        <f t="shared" si="1"/>
        <v>[https://dl.acm.org/doi/pdf/10.1145/220279.220302 Balaban. (1995)]</v>
      </c>
      <c r="N221" s="39" t="s">
        <v>2928</v>
      </c>
      <c r="O221" s="81">
        <v>1995.0</v>
      </c>
      <c r="P221" s="96" t="s">
        <v>2929</v>
      </c>
      <c r="Q221" s="82"/>
      <c r="R221" s="82"/>
      <c r="S221" s="82"/>
      <c r="T221" s="16">
        <v>0.0</v>
      </c>
      <c r="U221" s="16">
        <v>0.0</v>
      </c>
      <c r="V221" s="89">
        <f>IFERROR(__xludf.DUMMYFUNCTION("INDEX(SPLIT(SUBSTITUTE(W221,CHAR(10), """"),"",:""), MATCH(Z221, SPLIT(SUBSTITUTE(W221,CHAR(10), """"),"",:""), 0) + 1)"),4.0)</f>
        <v>4</v>
      </c>
      <c r="W221" s="85" t="s">
        <v>2157</v>
      </c>
      <c r="X221" s="16" t="s">
        <v>2930</v>
      </c>
      <c r="Y221" s="53" t="s">
        <v>2151</v>
      </c>
      <c r="Z221" s="53" t="str">
        <f t="array" ref="Z221">INDEX(Problems!J:J, MATCH(1, (Problems!B:B=B221)*1, 0))</f>
        <v>n</v>
      </c>
      <c r="AA221" s="53"/>
      <c r="AB221" s="53"/>
      <c r="AC221" s="53" t="s">
        <v>2152</v>
      </c>
      <c r="AD221" s="53" t="s">
        <v>1814</v>
      </c>
      <c r="AE221" s="85">
        <f>IFERROR(__xludf.DUMMYFUNCTION("INDEX(SPLIT(SUBSTITUTE(AF221,CHAR(10), """"),"",:""), MATCH(Z221, SPLIT(SUBSTITUTE(AF221,CHAR(10), """"),"",:""), 0) + 1)"),3.0)</f>
        <v>3</v>
      </c>
      <c r="AF221" s="85" t="s">
        <v>2922</v>
      </c>
      <c r="AG221" s="53" t="s">
        <v>35</v>
      </c>
      <c r="AH221" s="96" t="s">
        <v>2929</v>
      </c>
      <c r="AI221" s="84">
        <v>0.0</v>
      </c>
      <c r="AJ221" s="84">
        <v>1.0</v>
      </c>
      <c r="AK221" s="87"/>
      <c r="AL221" s="81">
        <v>0.0</v>
      </c>
      <c r="AM221" s="87"/>
      <c r="AN221" s="81">
        <v>0.0</v>
      </c>
      <c r="AO221" s="90"/>
      <c r="AP221" s="81">
        <v>0.0</v>
      </c>
      <c r="AQ221" s="81">
        <v>0.0</v>
      </c>
      <c r="AR221" s="39"/>
      <c r="AS221" s="81">
        <v>0.0</v>
      </c>
      <c r="AT221" s="81">
        <v>0.0</v>
      </c>
      <c r="AU221" s="39"/>
      <c r="AV221" s="53" t="s">
        <v>2153</v>
      </c>
      <c r="AW221" s="82"/>
      <c r="AX221" s="82"/>
      <c r="AY221" s="7"/>
      <c r="AZ221" s="7"/>
      <c r="BA221" s="7"/>
      <c r="BB221" s="7"/>
      <c r="BC221" s="7"/>
      <c r="BD221" s="7"/>
      <c r="BE221" s="7"/>
      <c r="BF221" s="7">
        <v>9996.0</v>
      </c>
      <c r="BG221" s="82">
        <f t="shared" si="31"/>
        <v>100.040016</v>
      </c>
      <c r="BH221" s="82"/>
      <c r="BI221" s="82"/>
      <c r="BJ221" s="82"/>
      <c r="BK221" s="82"/>
      <c r="BL221" s="82"/>
      <c r="BM221" s="82"/>
      <c r="BN221" s="7"/>
      <c r="BO221" s="7">
        <v>4.0</v>
      </c>
      <c r="BP221" s="82"/>
      <c r="BQ221" s="7"/>
      <c r="BR221" s="7" t="s">
        <v>196</v>
      </c>
    </row>
    <row r="222">
      <c r="A222" s="16">
        <v>11.0</v>
      </c>
      <c r="B222" s="16" t="s">
        <v>186</v>
      </c>
      <c r="C222" s="53">
        <v>1.0</v>
      </c>
      <c r="D222" s="53" t="s">
        <v>188</v>
      </c>
      <c r="E222" s="7">
        <v>125.0</v>
      </c>
      <c r="F222" s="53"/>
      <c r="G222" s="7"/>
      <c r="H222" s="16">
        <v>1.0</v>
      </c>
      <c r="I222" s="81">
        <v>1.0</v>
      </c>
      <c r="J222" s="39" t="s">
        <v>2912</v>
      </c>
      <c r="K222" s="53"/>
      <c r="L222" s="53"/>
      <c r="M222" s="39" t="str">
        <f t="shared" si="1"/>
        <v>[https://dl.acm.org/citation.cfm?id=304991 Boissonnat; Snoeyink (1999)]</v>
      </c>
      <c r="N222" s="16" t="s">
        <v>2931</v>
      </c>
      <c r="O222" s="81">
        <v>1999.0</v>
      </c>
      <c r="P222" s="17" t="s">
        <v>199</v>
      </c>
      <c r="Q222" s="82"/>
      <c r="R222" s="82"/>
      <c r="S222" s="82"/>
      <c r="T222" s="16">
        <v>0.0</v>
      </c>
      <c r="U222" s="16">
        <v>0.0</v>
      </c>
      <c r="V222" s="89">
        <f>IFERROR(__xludf.DUMMYFUNCTION("INDEX(SPLIT(SUBSTITUTE(W222,CHAR(10), """"),"",:""), MATCH(Z222, SPLIT(SUBSTITUTE(W222,CHAR(10), """"),"",:""), 0) + 1)"),4.0)</f>
        <v>4</v>
      </c>
      <c r="W222" s="85" t="s">
        <v>2157</v>
      </c>
      <c r="X222" s="16" t="s">
        <v>2930</v>
      </c>
      <c r="Y222" s="53" t="s">
        <v>2151</v>
      </c>
      <c r="Z222" s="53" t="str">
        <f t="array" ref="Z222">INDEX(Problems!J:J, MATCH(1, (Problems!B:B=B222)*1, 0))</f>
        <v>n</v>
      </c>
      <c r="AA222" s="53"/>
      <c r="AB222" s="53"/>
      <c r="AC222" s="53" t="s">
        <v>2932</v>
      </c>
      <c r="AD222" s="53" t="s">
        <v>1814</v>
      </c>
      <c r="AE222" s="85">
        <f>IFERROR(__xludf.DUMMYFUNCTION("INDEX(SPLIT(SUBSTITUTE(AF222,CHAR(10), """"),"",:""), MATCH(Z222, SPLIT(SUBSTITUTE(AF222,CHAR(10), """"),"",:""), 0) + 1)"),3.0)</f>
        <v>3</v>
      </c>
      <c r="AF222" s="85" t="s">
        <v>2922</v>
      </c>
      <c r="AG222" s="53" t="s">
        <v>35</v>
      </c>
      <c r="AH222" s="113" t="s">
        <v>199</v>
      </c>
      <c r="AI222" s="84">
        <v>0.0</v>
      </c>
      <c r="AJ222" s="84">
        <v>1.0</v>
      </c>
      <c r="AK222" s="87"/>
      <c r="AL222" s="81">
        <v>0.0</v>
      </c>
      <c r="AM222" s="87"/>
      <c r="AN222" s="81">
        <v>0.0</v>
      </c>
      <c r="AO222" s="90"/>
      <c r="AP222" s="81">
        <v>0.0</v>
      </c>
      <c r="AQ222" s="81">
        <v>0.0</v>
      </c>
      <c r="AR222" s="39"/>
      <c r="AS222" s="81">
        <v>0.0</v>
      </c>
      <c r="AT222" s="81">
        <v>0.0</v>
      </c>
      <c r="AU222" s="39"/>
      <c r="AV222" s="53" t="s">
        <v>2153</v>
      </c>
      <c r="AW222" s="82"/>
      <c r="AX222" s="82"/>
      <c r="AY222" s="7"/>
      <c r="AZ222" s="122"/>
      <c r="BA222" s="122"/>
      <c r="BB222" s="122"/>
      <c r="BC222" s="122"/>
      <c r="BD222" s="122"/>
      <c r="BE222" s="122"/>
      <c r="BF222" s="122">
        <v>9996.0</v>
      </c>
      <c r="BG222" s="82">
        <f t="shared" si="31"/>
        <v>100.040016</v>
      </c>
      <c r="BH222" s="82"/>
      <c r="BI222" s="82"/>
      <c r="BJ222" s="82"/>
      <c r="BK222" s="82"/>
      <c r="BL222" s="82"/>
      <c r="BM222" s="82"/>
      <c r="BN222" s="7"/>
      <c r="BO222" s="7">
        <v>4.0</v>
      </c>
      <c r="BP222" s="82"/>
      <c r="BQ222" s="7"/>
      <c r="BR222" s="7" t="s">
        <v>196</v>
      </c>
    </row>
    <row r="223">
      <c r="A223" s="16">
        <v>11.0</v>
      </c>
      <c r="B223" s="16" t="s">
        <v>186</v>
      </c>
      <c r="C223" s="53">
        <v>1.0</v>
      </c>
      <c r="D223" s="53" t="s">
        <v>187</v>
      </c>
      <c r="E223" s="7">
        <v>126.0</v>
      </c>
      <c r="F223" s="53"/>
      <c r="G223" s="7"/>
      <c r="H223" s="16">
        <v>1.0</v>
      </c>
      <c r="I223" s="81">
        <v>1.0</v>
      </c>
      <c r="J223" s="21" t="s">
        <v>2933</v>
      </c>
      <c r="K223" s="53"/>
      <c r="L223" s="53"/>
      <c r="M223" s="39" t="str">
        <f t="shared" si="1"/>
        <v>[https://dl.acm.org/citation.cfm?id=72950 Goodrich (1989)]</v>
      </c>
      <c r="N223" s="16" t="s">
        <v>2934</v>
      </c>
      <c r="O223" s="81">
        <v>1989.0</v>
      </c>
      <c r="P223" s="28" t="s">
        <v>2935</v>
      </c>
      <c r="Q223" s="82"/>
      <c r="R223" s="82"/>
      <c r="S223" s="82"/>
      <c r="T223" s="16">
        <v>0.0</v>
      </c>
      <c r="U223" s="16">
        <v>0.0</v>
      </c>
      <c r="V223" s="89">
        <f>IFERROR(__xludf.DUMMYFUNCTION("INDEX(SPLIT(SUBSTITUTE(W223,CHAR(10), """"),"",:""), MATCH(Z223, SPLIT(SUBSTITUTE(W223,CHAR(10), """"),"",:""), 0) + 1)"),2.0)</f>
        <v>2</v>
      </c>
      <c r="W223" s="85" t="s">
        <v>1962</v>
      </c>
      <c r="X223" s="21" t="s">
        <v>2936</v>
      </c>
      <c r="Y223" s="53" t="s">
        <v>2151</v>
      </c>
      <c r="Z223" s="53" t="str">
        <f t="array" ref="Z223">INDEX(Problems!J:J, MATCH(1, (Problems!B:B=B223)*1, 0))</f>
        <v>n</v>
      </c>
      <c r="AA223" s="53"/>
      <c r="AB223" s="53"/>
      <c r="AC223" s="53" t="s">
        <v>2486</v>
      </c>
      <c r="AD223" s="53" t="s">
        <v>1814</v>
      </c>
      <c r="AE223" s="85">
        <f>IFERROR(__xludf.DUMMYFUNCTION("INDEX(SPLIT(SUBSTITUTE(AF223,CHAR(10), """"),"",:""), MATCH(Z223, SPLIT(SUBSTITUTE(AF223,CHAR(10), """"),"",:""), 0) + 1)"),3.0)</f>
        <v>3</v>
      </c>
      <c r="AF223" s="85" t="s">
        <v>1975</v>
      </c>
      <c r="AG223" s="53" t="s">
        <v>2915</v>
      </c>
      <c r="AH223" s="53" t="s">
        <v>2937</v>
      </c>
      <c r="AI223" s="84">
        <v>1.0</v>
      </c>
      <c r="AJ223" s="84">
        <v>0.0</v>
      </c>
      <c r="AK223" s="87"/>
      <c r="AL223" s="81">
        <v>0.0</v>
      </c>
      <c r="AM223" s="87"/>
      <c r="AN223" s="81">
        <v>0.0</v>
      </c>
      <c r="AO223" s="90"/>
      <c r="AP223" s="81">
        <v>0.0</v>
      </c>
      <c r="AQ223" s="81">
        <v>1.0</v>
      </c>
      <c r="AR223" s="144" t="s">
        <v>2938</v>
      </c>
      <c r="AS223" s="81">
        <v>0.0</v>
      </c>
      <c r="AT223" s="81">
        <v>0.0</v>
      </c>
      <c r="AU223" s="39"/>
      <c r="AV223" s="53" t="s">
        <v>2153</v>
      </c>
      <c r="AW223" s="82"/>
      <c r="AX223" s="82"/>
      <c r="AY223" s="7"/>
      <c r="AZ223" s="7"/>
      <c r="BA223" s="7"/>
      <c r="BB223" s="7"/>
      <c r="BC223" s="7"/>
      <c r="BD223" s="7"/>
      <c r="BE223" s="7"/>
      <c r="BF223" s="7">
        <v>99.3</v>
      </c>
      <c r="BG223" s="82">
        <f t="shared" si="31"/>
        <v>10070.49345</v>
      </c>
      <c r="BH223" s="82"/>
      <c r="BI223" s="82"/>
      <c r="BJ223" s="82"/>
      <c r="BK223" s="82"/>
      <c r="BL223" s="82"/>
      <c r="BM223" s="82"/>
      <c r="BN223" s="7"/>
      <c r="BO223" s="7">
        <v>4.0</v>
      </c>
      <c r="BP223" s="82"/>
      <c r="BQ223" s="7"/>
      <c r="BR223" s="7" t="s">
        <v>196</v>
      </c>
    </row>
    <row r="224">
      <c r="A224" s="16">
        <v>12.0</v>
      </c>
      <c r="B224" s="16" t="s">
        <v>213</v>
      </c>
      <c r="C224" s="53">
        <v>1.0</v>
      </c>
      <c r="D224" s="53" t="s">
        <v>2161</v>
      </c>
      <c r="E224" s="7">
        <v>129.0</v>
      </c>
      <c r="F224" s="53"/>
      <c r="G224" s="7"/>
      <c r="H224" s="16">
        <v>1.0</v>
      </c>
      <c r="I224" s="81">
        <v>1.0</v>
      </c>
      <c r="J224" s="39" t="s">
        <v>1788</v>
      </c>
      <c r="K224" s="53" t="s">
        <v>1945</v>
      </c>
      <c r="L224" s="91" t="s">
        <v>2939</v>
      </c>
      <c r="M224" s="39" t="str">
        <f t="shared" si="1"/>
        <v>[https://www.sciencedirect.com/science/article/pii/0020019072900452?via%3Dihub Graham (1972)]</v>
      </c>
      <c r="N224" s="39" t="s">
        <v>2940</v>
      </c>
      <c r="O224" s="81">
        <v>1972.0</v>
      </c>
      <c r="P224" s="17" t="s">
        <v>2941</v>
      </c>
      <c r="Q224" s="82"/>
      <c r="R224" s="82"/>
      <c r="S224" s="82"/>
      <c r="T224" s="81">
        <v>1.0</v>
      </c>
      <c r="U224" s="16" t="s">
        <v>2734</v>
      </c>
      <c r="V224" s="89">
        <f>IFERROR(__xludf.DUMMYFUNCTION("INDEX(SPLIT(SUBSTITUTE(W224,CHAR(10), """"),"",:""), MATCH(Z224, SPLIT(SUBSTITUTE(W224,CHAR(10), """"),"",:""), 0) + 1)"),4.0)</f>
        <v>4</v>
      </c>
      <c r="W224" s="85" t="s">
        <v>1791</v>
      </c>
      <c r="X224" s="16" t="s">
        <v>45</v>
      </c>
      <c r="Y224" s="53" t="s">
        <v>2163</v>
      </c>
      <c r="Z224" s="53" t="str">
        <f t="array" ref="Z224">INDEX(Problems!J:J, MATCH(1, (Problems!B:B=B224)*1, 0))</f>
        <v>n</v>
      </c>
      <c r="AA224" s="53"/>
      <c r="AB224" s="53"/>
      <c r="AC224" s="53" t="s">
        <v>2152</v>
      </c>
      <c r="AD224" s="53" t="s">
        <v>1814</v>
      </c>
      <c r="AE224" s="85">
        <f>IFERROR(__xludf.DUMMYFUNCTION("INDEX(SPLIT(SUBSTITUTE(AF224,CHAR(10), """"),"",:""), MATCH(Z224, SPLIT(SUBSTITUTE(AF224,CHAR(10), """"),"",:""), 0) + 1)"),3.0)</f>
        <v>3</v>
      </c>
      <c r="AF224" s="85" t="s">
        <v>1763</v>
      </c>
      <c r="AG224" s="53" t="s">
        <v>35</v>
      </c>
      <c r="AH224" s="53" t="s">
        <v>1993</v>
      </c>
      <c r="AI224" s="84">
        <v>1.0</v>
      </c>
      <c r="AJ224" s="84">
        <v>0.0</v>
      </c>
      <c r="AK224" s="87"/>
      <c r="AL224" s="81">
        <v>0.0</v>
      </c>
      <c r="AM224" s="87"/>
      <c r="AN224" s="81">
        <v>0.0</v>
      </c>
      <c r="AO224" s="90"/>
      <c r="AP224" s="81">
        <v>0.0</v>
      </c>
      <c r="AQ224" s="81">
        <v>0.0</v>
      </c>
      <c r="AR224" s="39"/>
      <c r="AS224" s="81">
        <v>0.0</v>
      </c>
      <c r="AT224" s="81">
        <v>0.0</v>
      </c>
      <c r="AU224" s="39"/>
      <c r="AV224" s="7" t="s">
        <v>2164</v>
      </c>
      <c r="AW224" s="82"/>
      <c r="AX224" s="82"/>
      <c r="AY224" s="7" t="s">
        <v>2165</v>
      </c>
      <c r="AZ224" s="7"/>
      <c r="BA224" s="7"/>
      <c r="BB224" s="7"/>
      <c r="BC224" s="7"/>
      <c r="BD224" s="7"/>
      <c r="BE224" s="7"/>
      <c r="BF224" s="7">
        <v>9965.0</v>
      </c>
      <c r="BG224" s="82">
        <f>BF67/BF224</f>
        <v>100351.2293</v>
      </c>
      <c r="BH224" s="82">
        <f>POW(BG224,1/($O224-$O67)) - 1</f>
        <v>0.3651371615</v>
      </c>
      <c r="BI224" s="82">
        <f>1000000*LOG(1000000,2)</f>
        <v>19931568.57</v>
      </c>
      <c r="BJ224" s="82">
        <f>BI67/BI224</f>
        <v>50171665944</v>
      </c>
      <c r="BK224" s="82">
        <f>POW(BJ224,1/($O224-$O67)) - 1</f>
        <v>0.9462632475</v>
      </c>
      <c r="BL224" s="82">
        <f>1000000000*LOG(1000000000,2)</f>
        <v>29897352854</v>
      </c>
      <c r="BM224" s="82">
        <f>BL67/BL224</f>
        <v>3.34478E+16</v>
      </c>
      <c r="BN224" s="82">
        <f>POW(BM224,1/($O224-$O$67)) - 1</f>
        <v>1.796433658</v>
      </c>
      <c r="BO224" s="7">
        <v>3.0</v>
      </c>
      <c r="BP224" s="82"/>
      <c r="BQ224" s="7"/>
      <c r="BR224" s="7" t="s">
        <v>196</v>
      </c>
    </row>
    <row r="225">
      <c r="A225" s="16">
        <v>12.0</v>
      </c>
      <c r="B225" s="16" t="s">
        <v>213</v>
      </c>
      <c r="C225" s="53">
        <v>1.0</v>
      </c>
      <c r="D225" s="53" t="s">
        <v>2161</v>
      </c>
      <c r="E225" s="7">
        <v>130.0</v>
      </c>
      <c r="F225" s="53"/>
      <c r="G225" s="7"/>
      <c r="H225" s="16">
        <v>1.0</v>
      </c>
      <c r="I225" s="81">
        <v>1.0</v>
      </c>
      <c r="J225" s="21" t="s">
        <v>2166</v>
      </c>
      <c r="K225" s="53" t="s">
        <v>2942</v>
      </c>
      <c r="L225" s="121" t="s">
        <v>2943</v>
      </c>
      <c r="M225" s="39" t="str">
        <f t="shared" si="1"/>
        <v>[https://dl.acm.org/citation.cfm?id=355766 W. Eddy Quickhull (1977)]</v>
      </c>
      <c r="N225" s="16" t="s">
        <v>2944</v>
      </c>
      <c r="O225" s="81">
        <v>1977.0</v>
      </c>
      <c r="P225" s="28" t="s">
        <v>2943</v>
      </c>
      <c r="Q225" s="82"/>
      <c r="R225" s="82"/>
      <c r="S225" s="82"/>
      <c r="T225" s="81">
        <v>0.0</v>
      </c>
      <c r="U225" s="16">
        <v>0.0</v>
      </c>
      <c r="V225" s="89">
        <f>IFERROR(__xludf.DUMMYFUNCTION("INDEX(SPLIT(SUBSTITUTE(W225,CHAR(10), """"),"",:""), MATCH(Z225, SPLIT(SUBSTITUTE(W225,CHAR(10), """"),"",:""), 0) + 1)"),5.0)</f>
        <v>5</v>
      </c>
      <c r="W225" s="85" t="s">
        <v>2945</v>
      </c>
      <c r="X225" s="21" t="s">
        <v>2946</v>
      </c>
      <c r="Y225" s="53" t="s">
        <v>2163</v>
      </c>
      <c r="Z225" s="53" t="str">
        <f t="array" ref="Z225">INDEX(Problems!J:J, MATCH(1, (Problems!B:B=B225)*1, 0))</f>
        <v>n</v>
      </c>
      <c r="AA225" s="53"/>
      <c r="AB225" s="53"/>
      <c r="AC225" s="53" t="s">
        <v>2152</v>
      </c>
      <c r="AD225" s="53" t="s">
        <v>1814</v>
      </c>
      <c r="AE225" s="85">
        <f>IFERROR(__xludf.DUMMYFUNCTION("INDEX(SPLIT(SUBSTITUTE(AF225,CHAR(10), """"),"",:""), MATCH(Z225, SPLIT(SUBSTITUTE(AF225,CHAR(10), """"),"",:""), 0) + 1)"),3.0)</f>
        <v>3</v>
      </c>
      <c r="AF225" s="85" t="s">
        <v>2169</v>
      </c>
      <c r="AG225" s="119" t="s">
        <v>2947</v>
      </c>
      <c r="AH225" s="53" t="s">
        <v>1993</v>
      </c>
      <c r="AI225" s="84">
        <v>1.0</v>
      </c>
      <c r="AJ225" s="84">
        <v>0.0</v>
      </c>
      <c r="AK225" s="87"/>
      <c r="AL225" s="81">
        <v>0.0</v>
      </c>
      <c r="AM225" s="87"/>
      <c r="AN225" s="81">
        <v>0.0</v>
      </c>
      <c r="AO225" s="90"/>
      <c r="AP225" s="81">
        <v>0.0</v>
      </c>
      <c r="AQ225" s="81">
        <v>0.0</v>
      </c>
      <c r="AR225" s="39"/>
      <c r="AS225" s="81">
        <v>0.0</v>
      </c>
      <c r="AT225" s="81">
        <v>0.0</v>
      </c>
      <c r="AU225" s="39"/>
      <c r="AV225" s="7" t="s">
        <v>2164</v>
      </c>
      <c r="AW225" s="82"/>
      <c r="AX225" s="82"/>
      <c r="AY225" s="7" t="s">
        <v>2165</v>
      </c>
      <c r="AZ225" s="7"/>
      <c r="BA225" s="7"/>
      <c r="BB225" s="7"/>
      <c r="BC225" s="7"/>
      <c r="BD225" s="7"/>
      <c r="BE225" s="7"/>
      <c r="BF225" s="7">
        <v>9965.0</v>
      </c>
      <c r="BG225" s="82">
        <f t="shared" ref="BG225:BG227" si="32">1000000000/BF225</f>
        <v>100351.2293</v>
      </c>
      <c r="BH225" s="82"/>
      <c r="BI225" s="82"/>
      <c r="BJ225" s="82"/>
      <c r="BK225" s="82"/>
      <c r="BL225" s="82"/>
      <c r="BM225" s="82"/>
      <c r="BN225" s="7"/>
      <c r="BO225" s="7">
        <v>3.0</v>
      </c>
      <c r="BP225" s="82"/>
      <c r="BQ225" s="7"/>
      <c r="BR225" s="7" t="s">
        <v>196</v>
      </c>
    </row>
    <row r="226">
      <c r="A226" s="16">
        <v>12.0</v>
      </c>
      <c r="B226" s="16" t="s">
        <v>213</v>
      </c>
      <c r="C226" s="53">
        <v>1.0</v>
      </c>
      <c r="D226" s="53" t="s">
        <v>2948</v>
      </c>
      <c r="E226" s="7">
        <v>131.0</v>
      </c>
      <c r="F226" s="53"/>
      <c r="G226" s="7"/>
      <c r="H226" s="16">
        <v>1.0</v>
      </c>
      <c r="I226" s="81">
        <v>1.0</v>
      </c>
      <c r="J226" s="39" t="s">
        <v>1788</v>
      </c>
      <c r="K226" s="53"/>
      <c r="L226" s="53"/>
      <c r="M226" s="39" t="str">
        <f t="shared" si="1"/>
        <v>[https://dl.acm.org/citation.cfm?id=359430 Preparata and Hong (1977)]</v>
      </c>
      <c r="N226" s="39" t="s">
        <v>2949</v>
      </c>
      <c r="O226" s="81">
        <v>1977.0</v>
      </c>
      <c r="P226" s="28" t="s">
        <v>2950</v>
      </c>
      <c r="Q226" s="82"/>
      <c r="R226" s="82"/>
      <c r="S226" s="82"/>
      <c r="T226" s="81">
        <v>0.0</v>
      </c>
      <c r="U226" s="16">
        <v>0.0</v>
      </c>
      <c r="V226" s="89">
        <f>IFERROR(__xludf.DUMMYFUNCTION("INDEX(SPLIT(SUBSTITUTE(W226,CHAR(10), """"),"",:""), MATCH(Z226, SPLIT(SUBSTITUTE(W226,CHAR(10), """"),"",:""), 0) + 1)"),4.0)</f>
        <v>4</v>
      </c>
      <c r="W226" s="85" t="s">
        <v>1791</v>
      </c>
      <c r="X226" s="16" t="s">
        <v>2586</v>
      </c>
      <c r="Y226" s="53" t="s">
        <v>2163</v>
      </c>
      <c r="Z226" s="53" t="str">
        <f t="array" ref="Z226">INDEX(Problems!J:J, MATCH(1, (Problems!B:B=B226)*1, 0))</f>
        <v>n</v>
      </c>
      <c r="AA226" s="53"/>
      <c r="AB226" s="53"/>
      <c r="AC226" s="53" t="s">
        <v>2152</v>
      </c>
      <c r="AD226" s="53" t="s">
        <v>1814</v>
      </c>
      <c r="AE226" s="85">
        <f>IFERROR(__xludf.DUMMYFUNCTION("INDEX(SPLIT(SUBSTITUTE(AF226,CHAR(10), """"),"",:""), MATCH(Z226, SPLIT(SUBSTITUTE(AF226,CHAR(10), """"),"",:""), 0) + 1)"),3.0)</f>
        <v>3</v>
      </c>
      <c r="AF226" s="85" t="s">
        <v>1763</v>
      </c>
      <c r="AG226" s="53" t="s">
        <v>2625</v>
      </c>
      <c r="AH226" s="53" t="s">
        <v>2951</v>
      </c>
      <c r="AI226" s="84">
        <v>1.0</v>
      </c>
      <c r="AJ226" s="84">
        <v>0.0</v>
      </c>
      <c r="AK226" s="87"/>
      <c r="AL226" s="81">
        <v>0.0</v>
      </c>
      <c r="AM226" s="87"/>
      <c r="AN226" s="81">
        <v>0.0</v>
      </c>
      <c r="AO226" s="90"/>
      <c r="AP226" s="81">
        <v>0.0</v>
      </c>
      <c r="AQ226" s="81">
        <v>0.0</v>
      </c>
      <c r="AR226" s="39"/>
      <c r="AS226" s="81">
        <v>0.0</v>
      </c>
      <c r="AT226" s="81">
        <v>0.0</v>
      </c>
      <c r="AU226" s="39"/>
      <c r="AV226" s="7" t="s">
        <v>2164</v>
      </c>
      <c r="AW226" s="82"/>
      <c r="AX226" s="82"/>
      <c r="AY226" s="7" t="s">
        <v>2165</v>
      </c>
      <c r="AZ226" s="7"/>
      <c r="BA226" s="7"/>
      <c r="BB226" s="7"/>
      <c r="BC226" s="7"/>
      <c r="BD226" s="7"/>
      <c r="BE226" s="7"/>
      <c r="BF226" s="7">
        <v>9965.0</v>
      </c>
      <c r="BG226" s="82">
        <f t="shared" si="32"/>
        <v>100351.2293</v>
      </c>
      <c r="BH226" s="82"/>
      <c r="BI226" s="82"/>
      <c r="BJ226" s="82"/>
      <c r="BK226" s="82"/>
      <c r="BL226" s="82"/>
      <c r="BM226" s="82"/>
      <c r="BN226" s="7"/>
      <c r="BO226" s="7">
        <v>3.0</v>
      </c>
      <c r="BP226" s="82"/>
      <c r="BQ226" s="7"/>
      <c r="BR226" s="7" t="s">
        <v>196</v>
      </c>
    </row>
    <row r="227">
      <c r="A227" s="16">
        <v>12.0</v>
      </c>
      <c r="B227" s="16" t="s">
        <v>213</v>
      </c>
      <c r="C227" s="53">
        <v>1.0</v>
      </c>
      <c r="D227" s="53" t="s">
        <v>2161</v>
      </c>
      <c r="E227" s="7">
        <v>132.0</v>
      </c>
      <c r="F227" s="53"/>
      <c r="G227" s="7"/>
      <c r="H227" s="16">
        <v>1.0</v>
      </c>
      <c r="I227" s="81">
        <v>1.0</v>
      </c>
      <c r="J227" s="39" t="s">
        <v>1788</v>
      </c>
      <c r="K227" s="53"/>
      <c r="L227" s="53"/>
      <c r="M227" s="39" t="str">
        <f t="shared" si="1"/>
        <v>[https://www.sciencedirect.com/science/article/pii/0020019079900723 Andrew's algorithm (1979)]</v>
      </c>
      <c r="N227" s="39" t="s">
        <v>2952</v>
      </c>
      <c r="O227" s="81">
        <v>1979.0</v>
      </c>
      <c r="P227" s="17" t="s">
        <v>2953</v>
      </c>
      <c r="Q227" s="82"/>
      <c r="R227" s="82"/>
      <c r="S227" s="82"/>
      <c r="T227" s="81">
        <v>0.0</v>
      </c>
      <c r="U227" s="16">
        <v>0.0</v>
      </c>
      <c r="V227" s="89">
        <f>IFERROR(__xludf.DUMMYFUNCTION("INDEX(SPLIT(SUBSTITUTE(W227,CHAR(10), """"),"",:""), MATCH(Z227, SPLIT(SUBSTITUTE(W227,CHAR(10), """"),"",:""), 0) + 1)"),4.0)</f>
        <v>4</v>
      </c>
      <c r="W227" s="85" t="s">
        <v>1791</v>
      </c>
      <c r="X227" s="16" t="s">
        <v>2586</v>
      </c>
      <c r="Y227" s="53" t="s">
        <v>2163</v>
      </c>
      <c r="Z227" s="53" t="str">
        <f t="array" ref="Z227">INDEX(Problems!J:J, MATCH(1, (Problems!B:B=B227)*1, 0))</f>
        <v>n</v>
      </c>
      <c r="AA227" s="53"/>
      <c r="AB227" s="53"/>
      <c r="AC227" s="53" t="s">
        <v>2152</v>
      </c>
      <c r="AD227" s="53" t="s">
        <v>1814</v>
      </c>
      <c r="AE227" s="85">
        <f>IFERROR(__xludf.DUMMYFUNCTION("INDEX(SPLIT(SUBSTITUTE(AF227,CHAR(10), """"),"",:""), MATCH(Z227, SPLIT(SUBSTITUTE(AF227,CHAR(10), """"),"",:""), 0) + 1)"),3.0)</f>
        <v>3</v>
      </c>
      <c r="AF227" s="85" t="s">
        <v>1763</v>
      </c>
      <c r="AG227" s="53" t="s">
        <v>35</v>
      </c>
      <c r="AH227" s="53" t="s">
        <v>1993</v>
      </c>
      <c r="AI227" s="84">
        <v>1.0</v>
      </c>
      <c r="AJ227" s="84">
        <v>0.0</v>
      </c>
      <c r="AK227" s="87"/>
      <c r="AL227" s="81">
        <v>0.0</v>
      </c>
      <c r="AM227" s="87"/>
      <c r="AN227" s="81">
        <v>0.0</v>
      </c>
      <c r="AO227" s="90"/>
      <c r="AP227" s="81">
        <v>0.0</v>
      </c>
      <c r="AQ227" s="81">
        <v>0.0</v>
      </c>
      <c r="AR227" s="39"/>
      <c r="AS227" s="81">
        <v>0.0</v>
      </c>
      <c r="AT227" s="81">
        <v>0.0</v>
      </c>
      <c r="AU227" s="39"/>
      <c r="AV227" s="7" t="s">
        <v>2164</v>
      </c>
      <c r="AW227" s="82"/>
      <c r="AX227" s="82"/>
      <c r="AY227" s="7" t="s">
        <v>2165</v>
      </c>
      <c r="AZ227" s="7"/>
      <c r="BA227" s="7"/>
      <c r="BB227" s="7"/>
      <c r="BC227" s="7"/>
      <c r="BD227" s="7"/>
      <c r="BE227" s="7"/>
      <c r="BF227" s="7">
        <v>9965.0</v>
      </c>
      <c r="BG227" s="82">
        <f t="shared" si="32"/>
        <v>100351.2293</v>
      </c>
      <c r="BH227" s="82"/>
      <c r="BI227" s="82"/>
      <c r="BJ227" s="82"/>
      <c r="BK227" s="82"/>
      <c r="BL227" s="82"/>
      <c r="BM227" s="82"/>
      <c r="BN227" s="7"/>
      <c r="BO227" s="7">
        <v>3.0</v>
      </c>
      <c r="BP227" s="82"/>
      <c r="BQ227" s="7"/>
      <c r="BR227" s="7" t="s">
        <v>196</v>
      </c>
    </row>
    <row r="228">
      <c r="A228" s="16">
        <v>12.0</v>
      </c>
      <c r="B228" s="16" t="s">
        <v>213</v>
      </c>
      <c r="C228" s="53">
        <v>1.0</v>
      </c>
      <c r="D228" s="53" t="s">
        <v>2161</v>
      </c>
      <c r="E228" s="7">
        <v>134.0</v>
      </c>
      <c r="F228" s="53"/>
      <c r="G228" s="7"/>
      <c r="H228" s="16">
        <v>1.0</v>
      </c>
      <c r="I228" s="81">
        <v>1.0</v>
      </c>
      <c r="J228" s="39" t="s">
        <v>2954</v>
      </c>
      <c r="K228" s="53"/>
      <c r="L228" s="53"/>
      <c r="M228" s="39" t="str">
        <f t="shared" si="1"/>
        <v>[https://ecommons.cornell.edu/handle/1813/6417 The ultimate planar convex hull algorithm (1986)]</v>
      </c>
      <c r="N228" s="39" t="s">
        <v>2955</v>
      </c>
      <c r="O228" s="81">
        <v>1986.0</v>
      </c>
      <c r="P228" s="28" t="s">
        <v>221</v>
      </c>
      <c r="Q228" s="7">
        <v>2.0</v>
      </c>
      <c r="R228" s="7">
        <v>1.0</v>
      </c>
      <c r="S228" s="47" t="s">
        <v>2956</v>
      </c>
      <c r="T228" s="81">
        <v>1.0</v>
      </c>
      <c r="U228" s="81">
        <v>0.0</v>
      </c>
      <c r="V228" s="89">
        <f>IFERROR(__xludf.DUMMYFUNCTION("INDEX(SPLIT(SUBSTITUTE(W228,CHAR(10), """"),"",:""), MATCH(Z228, SPLIT(SUBSTITUTE(W228,CHAR(10), """"),"",:""), 0) + 1)"),4.0)</f>
        <v>4</v>
      </c>
      <c r="W228" s="85" t="s">
        <v>2957</v>
      </c>
      <c r="X228" s="16" t="s">
        <v>2958</v>
      </c>
      <c r="Y228" s="53" t="s">
        <v>2163</v>
      </c>
      <c r="Z228" s="53" t="str">
        <f t="array" ref="Z228">INDEX(Problems!J:J, MATCH(1, (Problems!B:B=B228)*1, 0))</f>
        <v>n</v>
      </c>
      <c r="AA228" s="53"/>
      <c r="AB228" s="53"/>
      <c r="AC228" s="53" t="s">
        <v>2152</v>
      </c>
      <c r="AD228" s="53" t="s">
        <v>1814</v>
      </c>
      <c r="AE228" s="85">
        <f>IFERROR(__xludf.DUMMYFUNCTION("INDEX(SPLIT(SUBSTITUTE(AF228,CHAR(10), """"),"",:""), MATCH(Z228, SPLIT(SUBSTITUTE(AF228,CHAR(10), """"),"",:""), 0) + 1)"),3.0)</f>
        <v>3</v>
      </c>
      <c r="AF228" s="85" t="s">
        <v>1763</v>
      </c>
      <c r="AG228" s="53" t="s">
        <v>35</v>
      </c>
      <c r="AH228" s="121" t="s">
        <v>221</v>
      </c>
      <c r="AI228" s="84">
        <v>0.0</v>
      </c>
      <c r="AJ228" s="84">
        <v>1.0</v>
      </c>
      <c r="AK228" s="87"/>
      <c r="AL228" s="81">
        <v>0.0</v>
      </c>
      <c r="AM228" s="87"/>
      <c r="AN228" s="81">
        <v>0.0</v>
      </c>
      <c r="AO228" s="90"/>
      <c r="AP228" s="81">
        <v>0.0</v>
      </c>
      <c r="AQ228" s="81">
        <v>0.0</v>
      </c>
      <c r="AR228" s="39"/>
      <c r="AS228" s="81">
        <v>0.0</v>
      </c>
      <c r="AT228" s="81">
        <v>0.0</v>
      </c>
      <c r="AU228" s="39"/>
      <c r="AV228" s="7" t="s">
        <v>2164</v>
      </c>
      <c r="AW228" s="82"/>
      <c r="AX228" s="82"/>
      <c r="AY228" s="7" t="s">
        <v>2165</v>
      </c>
      <c r="AZ228" s="7"/>
      <c r="BA228" s="7"/>
      <c r="BB228" s="7"/>
      <c r="BC228" s="7"/>
      <c r="BD228" s="7"/>
      <c r="BE228" s="7"/>
      <c r="BF228" s="7">
        <f>1000*LOG(1000,2)*0.5</f>
        <v>4982.892142</v>
      </c>
      <c r="BG228" s="82">
        <f>BF221/BF228</f>
        <v>2.006063891</v>
      </c>
      <c r="BH228" s="82"/>
      <c r="BI228" s="82">
        <f>1000000*LOG(1000000,2)*0.5</f>
        <v>9965784.285</v>
      </c>
      <c r="BJ228" s="82">
        <f>BI221/BI228</f>
        <v>0</v>
      </c>
      <c r="BK228" s="82"/>
      <c r="BL228" s="82">
        <f>1000000000*LOG(1000000000,2)*0.5</f>
        <v>14948676427</v>
      </c>
      <c r="BM228" s="82">
        <f>BL221/BL228</f>
        <v>0</v>
      </c>
      <c r="BN228" s="7"/>
      <c r="BO228" s="7">
        <v>3.0</v>
      </c>
      <c r="BP228" s="82"/>
      <c r="BQ228" s="7"/>
      <c r="BR228" s="7" t="s">
        <v>196</v>
      </c>
    </row>
    <row r="229">
      <c r="A229" s="16">
        <v>12.0</v>
      </c>
      <c r="B229" s="16" t="s">
        <v>213</v>
      </c>
      <c r="C229" s="53">
        <v>1.0</v>
      </c>
      <c r="D229" s="53" t="s">
        <v>2948</v>
      </c>
      <c r="E229" s="7">
        <v>135.0</v>
      </c>
      <c r="F229" s="53"/>
      <c r="G229" s="7"/>
      <c r="H229" s="16">
        <v>1.0</v>
      </c>
      <c r="I229" s="81">
        <v>1.0</v>
      </c>
      <c r="J229" s="39" t="s">
        <v>2954</v>
      </c>
      <c r="K229" s="53"/>
      <c r="L229" s="53"/>
      <c r="M229" s="39" t="str">
        <f t="shared" si="1"/>
        <v>[https://link.springer.com/article/10.1007/BF02712873 Chan's algorithm (1996)]</v>
      </c>
      <c r="N229" s="39" t="s">
        <v>2959</v>
      </c>
      <c r="O229" s="81">
        <v>1996.0</v>
      </c>
      <c r="P229" s="17" t="s">
        <v>226</v>
      </c>
      <c r="Q229" s="82"/>
      <c r="R229" s="82"/>
      <c r="S229" s="82"/>
      <c r="T229" s="81">
        <v>0.0</v>
      </c>
      <c r="U229" s="16">
        <v>0.0</v>
      </c>
      <c r="V229" s="89">
        <f>IFERROR(__xludf.DUMMYFUNCTION("INDEX(SPLIT(SUBSTITUTE(W229,CHAR(10), """"),"",:""), MATCH(Z229, SPLIT(SUBSTITUTE(W229,CHAR(10), """"),"",:""), 0) + 1)"),4.0)</f>
        <v>4</v>
      </c>
      <c r="W229" s="85" t="s">
        <v>2957</v>
      </c>
      <c r="X229" s="16" t="s">
        <v>2958</v>
      </c>
      <c r="Y229" s="53" t="s">
        <v>2163</v>
      </c>
      <c r="Z229" s="53" t="str">
        <f t="array" ref="Z229">INDEX(Problems!J:J, MATCH(1, (Problems!B:B=B229)*1, 0))</f>
        <v>n</v>
      </c>
      <c r="AA229" s="53"/>
      <c r="AB229" s="53"/>
      <c r="AC229" s="53" t="s">
        <v>2152</v>
      </c>
      <c r="AD229" s="53" t="s">
        <v>1814</v>
      </c>
      <c r="AE229" s="85">
        <f>IFERROR(__xludf.DUMMYFUNCTION("INDEX(SPLIT(SUBSTITUTE(AF229,CHAR(10), """"),"",:""), MATCH(Z229, SPLIT(SUBSTITUTE(AF229,CHAR(10), """"),"",:""), 0) + 1)"),3.0)</f>
        <v>3</v>
      </c>
      <c r="AF229" s="85" t="s">
        <v>1763</v>
      </c>
      <c r="AG229" s="53" t="s">
        <v>35</v>
      </c>
      <c r="AH229" s="113" t="s">
        <v>226</v>
      </c>
      <c r="AI229" s="84">
        <v>0.0</v>
      </c>
      <c r="AJ229" s="84">
        <v>1.0</v>
      </c>
      <c r="AK229" s="87"/>
      <c r="AL229" s="81">
        <v>0.0</v>
      </c>
      <c r="AM229" s="87"/>
      <c r="AN229" s="81">
        <v>0.0</v>
      </c>
      <c r="AO229" s="90"/>
      <c r="AP229" s="81">
        <v>0.0</v>
      </c>
      <c r="AQ229" s="81">
        <v>0.0</v>
      </c>
      <c r="AR229" s="39"/>
      <c r="AS229" s="81">
        <v>0.0</v>
      </c>
      <c r="AT229" s="81">
        <v>0.0</v>
      </c>
      <c r="AU229" s="39"/>
      <c r="AV229" s="7" t="s">
        <v>2164</v>
      </c>
      <c r="AW229" s="82"/>
      <c r="AX229" s="82"/>
      <c r="AY229" s="7" t="s">
        <v>2165</v>
      </c>
      <c r="AZ229" s="7"/>
      <c r="BA229" s="7"/>
      <c r="BB229" s="7"/>
      <c r="BC229" s="7"/>
      <c r="BD229" s="7"/>
      <c r="BE229" s="7"/>
      <c r="BF229" s="7">
        <v>4982.0</v>
      </c>
      <c r="BG229" s="82">
        <f t="shared" ref="BG229:BG230" si="33">1000000000/BF229</f>
        <v>200722.6014</v>
      </c>
      <c r="BH229" s="82"/>
      <c r="BI229" s="82" t="str">
        <f>BI119*0.5</f>
        <v>#VALUE!</v>
      </c>
      <c r="BJ229" s="82" t="str">
        <f>BI221/BI229</f>
        <v>#VALUE!</v>
      </c>
      <c r="BK229" s="82"/>
      <c r="BL229" s="82" t="str">
        <f>BL119*0.5</f>
        <v>#VALUE!</v>
      </c>
      <c r="BM229" s="82" t="str">
        <f>BL221/BL229</f>
        <v>#VALUE!</v>
      </c>
      <c r="BN229" s="7"/>
      <c r="BO229" s="7">
        <v>3.0</v>
      </c>
      <c r="BP229" s="82"/>
      <c r="BQ229" s="7"/>
      <c r="BR229" s="7" t="s">
        <v>196</v>
      </c>
    </row>
    <row r="230">
      <c r="A230" s="16">
        <v>12.0</v>
      </c>
      <c r="B230" s="16" t="s">
        <v>213</v>
      </c>
      <c r="C230" s="53">
        <v>1.0</v>
      </c>
      <c r="D230" s="53" t="s">
        <v>2161</v>
      </c>
      <c r="E230" s="7">
        <v>136.0</v>
      </c>
      <c r="F230" s="53"/>
      <c r="G230" s="7"/>
      <c r="H230" s="16">
        <v>1.0</v>
      </c>
      <c r="I230" s="81">
        <v>1.0</v>
      </c>
      <c r="J230" s="39" t="s">
        <v>2960</v>
      </c>
      <c r="K230" s="53"/>
      <c r="L230" s="53"/>
      <c r="M230" s="39" t="str">
        <f t="shared" si="1"/>
        <v>[https://cse.buffalo.edu/faculty/miller/Papers/IEEETC88a.pdf Miller; Stout (1988)]</v>
      </c>
      <c r="N230" s="16" t="s">
        <v>2961</v>
      </c>
      <c r="O230" s="81">
        <v>1988.0</v>
      </c>
      <c r="P230" s="28" t="s">
        <v>2962</v>
      </c>
      <c r="Q230" s="82"/>
      <c r="R230" s="82"/>
      <c r="S230" s="82"/>
      <c r="T230" s="81">
        <v>1.0</v>
      </c>
      <c r="U230" s="39" t="s">
        <v>2963</v>
      </c>
      <c r="V230" s="89" t="str">
        <f>IFERROR(__xludf.DUMMYFUNCTION("INDEX(SPLIT(SUBSTITUTE(W230,CHAR(10), """"),"",:""), MATCH(Z230, SPLIT(SUBSTITUTE(W230,CHAR(10), """"),"",:""), 0) + 1)"),"#VALUE!")</f>
        <v>#VALUE!</v>
      </c>
      <c r="W230" s="85"/>
      <c r="X230" s="16" t="s">
        <v>2964</v>
      </c>
      <c r="Y230" s="53" t="s">
        <v>2163</v>
      </c>
      <c r="Z230" s="53" t="str">
        <f t="array" ref="Z230">INDEX(Problems!J:J, MATCH(1, (Problems!B:B=B230)*1, 0))</f>
        <v>n</v>
      </c>
      <c r="AA230" s="53"/>
      <c r="AB230" s="53"/>
      <c r="AC230" s="53" t="s">
        <v>2965</v>
      </c>
      <c r="AD230" s="53" t="s">
        <v>1814</v>
      </c>
      <c r="AE230" s="85">
        <f>IFERROR(__xludf.DUMMYFUNCTION("INDEX(SPLIT(SUBSTITUTE(AF230,CHAR(10), """"),"",:""), MATCH(Z230, SPLIT(SUBSTITUTE(AF230,CHAR(10), """"),"",:""), 0) + 1)"),3.0)</f>
        <v>3</v>
      </c>
      <c r="AF230" s="85" t="s">
        <v>1763</v>
      </c>
      <c r="AG230" s="53" t="s">
        <v>2966</v>
      </c>
      <c r="AH230" s="53" t="s">
        <v>2951</v>
      </c>
      <c r="AI230" s="84">
        <v>1.0</v>
      </c>
      <c r="AJ230" s="84">
        <v>0.0</v>
      </c>
      <c r="AK230" s="87"/>
      <c r="AL230" s="81">
        <v>0.0</v>
      </c>
      <c r="AM230" s="87"/>
      <c r="AN230" s="81">
        <v>0.0</v>
      </c>
      <c r="AO230" s="90"/>
      <c r="AP230" s="81">
        <v>0.0</v>
      </c>
      <c r="AQ230" s="81">
        <v>1.0</v>
      </c>
      <c r="AR230" s="39" t="s">
        <v>35</v>
      </c>
      <c r="AS230" s="81">
        <v>0.0</v>
      </c>
      <c r="AT230" s="81">
        <v>0.0</v>
      </c>
      <c r="AU230" s="39"/>
      <c r="AV230" s="7" t="s">
        <v>2164</v>
      </c>
      <c r="AW230" s="82"/>
      <c r="AX230" s="82"/>
      <c r="AY230" s="7" t="s">
        <v>2165</v>
      </c>
      <c r="AZ230" s="7"/>
      <c r="BA230" s="7"/>
      <c r="BB230" s="7"/>
      <c r="BC230" s="7"/>
      <c r="BD230" s="7"/>
      <c r="BE230" s="7"/>
      <c r="BF230" s="7">
        <v>9.965</v>
      </c>
      <c r="BG230" s="82">
        <f t="shared" si="33"/>
        <v>100351229.3</v>
      </c>
      <c r="BH230" s="82"/>
      <c r="BI230" s="82"/>
      <c r="BJ230" s="82"/>
      <c r="BK230" s="82"/>
      <c r="BL230" s="82"/>
      <c r="BM230" s="82"/>
      <c r="BN230" s="7"/>
      <c r="BO230" s="7">
        <v>3.0</v>
      </c>
      <c r="BP230" s="82"/>
      <c r="BQ230" s="7"/>
      <c r="BR230" s="7" t="s">
        <v>196</v>
      </c>
    </row>
    <row r="231">
      <c r="A231" s="16">
        <v>13.0</v>
      </c>
      <c r="B231" s="16" t="s">
        <v>241</v>
      </c>
      <c r="C231" s="53">
        <v>1.0</v>
      </c>
      <c r="D231" s="53" t="s">
        <v>242</v>
      </c>
      <c r="E231" s="7">
        <v>137.0</v>
      </c>
      <c r="F231" s="53"/>
      <c r="G231" s="7"/>
      <c r="H231" s="16">
        <v>1.0</v>
      </c>
      <c r="I231" s="81">
        <v>1.0</v>
      </c>
      <c r="J231" s="39" t="s">
        <v>245</v>
      </c>
      <c r="K231" s="53"/>
      <c r="L231" s="53"/>
      <c r="M231" s="39" t="str">
        <f t="shared" si="1"/>
        <v>[https://www.sciencedirect.com/science/article/pii/0898122181900080 Kosaraju's algorithm (1978)]</v>
      </c>
      <c r="N231" s="39" t="s">
        <v>2967</v>
      </c>
      <c r="O231" s="81">
        <v>1978.0</v>
      </c>
      <c r="P231" s="28" t="s">
        <v>2968</v>
      </c>
      <c r="Q231" s="82"/>
      <c r="R231" s="82"/>
      <c r="S231" s="82"/>
      <c r="T231" s="81">
        <v>0.0</v>
      </c>
      <c r="U231" s="16">
        <v>0.0</v>
      </c>
      <c r="V231" s="89">
        <f>IFERROR(__xludf.DUMMYFUNCTION("INDEX(SPLIT(SUBSTITUTE(W231,CHAR(10), """"),"",:""), MATCH(Z231, SPLIT(SUBSTITUTE(W231,CHAR(10), """"),"",:""), 0) + 1)"),5.0)</f>
        <v>5</v>
      </c>
      <c r="W231" s="85" t="s">
        <v>2185</v>
      </c>
      <c r="X231" s="16" t="s">
        <v>2969</v>
      </c>
      <c r="Y231" s="53" t="s">
        <v>2542</v>
      </c>
      <c r="Z231" s="53" t="str">
        <f t="array" ref="Z231">INDEX(Problems!J:J, MATCH(1, (Problems!B:B=B231)*1, 0))</f>
        <v>V</v>
      </c>
      <c r="AA231" s="53"/>
      <c r="AB231" s="53"/>
      <c r="AC231" s="53" t="s">
        <v>1813</v>
      </c>
      <c r="AD231" s="53" t="s">
        <v>1814</v>
      </c>
      <c r="AE231" s="85">
        <f>IFERROR(__xludf.DUMMYFUNCTION("INDEX(SPLIT(SUBSTITUTE(AF231,CHAR(10), """"),"",:""), MATCH(Z231, SPLIT(SUBSTITUTE(AF231,CHAR(10), """"),"",:""), 0) + 1)"),5.0)</f>
        <v>5</v>
      </c>
      <c r="AF231" s="85" t="s">
        <v>2185</v>
      </c>
      <c r="AG231" s="53" t="s">
        <v>245</v>
      </c>
      <c r="AH231" s="119" t="s">
        <v>2970</v>
      </c>
      <c r="AI231" s="84">
        <v>1.0</v>
      </c>
      <c r="AJ231" s="84">
        <v>0.0</v>
      </c>
      <c r="AK231" s="87"/>
      <c r="AL231" s="81">
        <v>0.0</v>
      </c>
      <c r="AM231" s="87"/>
      <c r="AN231" s="81">
        <v>0.0</v>
      </c>
      <c r="AO231" s="90"/>
      <c r="AP231" s="81">
        <v>0.0</v>
      </c>
      <c r="AQ231" s="81">
        <v>0.0</v>
      </c>
      <c r="AR231" s="39"/>
      <c r="AS231" s="81">
        <v>0.0</v>
      </c>
      <c r="AT231" s="81">
        <v>0.0</v>
      </c>
      <c r="AU231" s="39"/>
      <c r="AV231" s="7" t="s">
        <v>2971</v>
      </c>
      <c r="AW231" s="82"/>
      <c r="AX231" s="82"/>
      <c r="AY231" s="7" t="s">
        <v>2972</v>
      </c>
      <c r="AZ231" s="7"/>
      <c r="BA231" s="7"/>
      <c r="BB231" s="7"/>
      <c r="BC231" s="7"/>
      <c r="BD231" s="7"/>
      <c r="BE231" s="7"/>
      <c r="BF231" s="7">
        <v>1000.0</v>
      </c>
      <c r="BG231" s="82">
        <f>1000/BF231</f>
        <v>1</v>
      </c>
      <c r="BH231" s="82"/>
      <c r="BI231" s="82"/>
      <c r="BJ231" s="82"/>
      <c r="BK231" s="82"/>
      <c r="BL231" s="82"/>
      <c r="BM231" s="82"/>
      <c r="BN231" s="7"/>
      <c r="BO231" s="7">
        <v>4.0</v>
      </c>
      <c r="BP231" s="82"/>
      <c r="BQ231" s="47" t="s">
        <v>2973</v>
      </c>
      <c r="BR231" s="7" t="s">
        <v>23</v>
      </c>
    </row>
    <row r="232">
      <c r="A232" s="16">
        <v>13.0</v>
      </c>
      <c r="B232" s="16" t="s">
        <v>241</v>
      </c>
      <c r="C232" s="53">
        <v>1.0</v>
      </c>
      <c r="D232" s="53" t="s">
        <v>242</v>
      </c>
      <c r="E232" s="7">
        <v>138.0</v>
      </c>
      <c r="F232" s="53"/>
      <c r="G232" s="7"/>
      <c r="H232" s="16">
        <v>1.0</v>
      </c>
      <c r="I232" s="81">
        <v>1.0</v>
      </c>
      <c r="J232" s="39" t="s">
        <v>245</v>
      </c>
      <c r="K232" s="53"/>
      <c r="L232" s="53"/>
      <c r="M232" s="39" t="str">
        <f t="shared" si="1"/>
        <v>[https://www.semanticscholar.org/paper/Depth-First-Search-and-Linear-Graph-Algorithms-Tarjan/385742fffcf113656f0d3cf6c06ef95cb8439dc6 Tarjan's strongly connected components algorithm (1972)]</v>
      </c>
      <c r="N232" s="39" t="s">
        <v>2974</v>
      </c>
      <c r="O232" s="81">
        <v>1972.0</v>
      </c>
      <c r="P232" s="17" t="s">
        <v>2975</v>
      </c>
      <c r="Q232" s="7">
        <v>2.0</v>
      </c>
      <c r="R232" s="7">
        <v>1.0</v>
      </c>
      <c r="S232" s="47" t="s">
        <v>2976</v>
      </c>
      <c r="T232" s="81">
        <v>1.0</v>
      </c>
      <c r="U232" s="16" t="s">
        <v>1818</v>
      </c>
      <c r="V232" s="89">
        <f>IFERROR(__xludf.DUMMYFUNCTION("INDEX(SPLIT(SUBSTITUTE(W232,CHAR(10), """"),"",:""), MATCH(Z232, SPLIT(SUBSTITUTE(W232,CHAR(10), """"),"",:""), 0) + 1)"),5.0)</f>
        <v>5</v>
      </c>
      <c r="W232" s="85" t="s">
        <v>2185</v>
      </c>
      <c r="X232" s="16" t="s">
        <v>2969</v>
      </c>
      <c r="Y232" s="53" t="s">
        <v>2542</v>
      </c>
      <c r="Z232" s="53" t="str">
        <f t="array" ref="Z232">INDEX(Problems!J:J, MATCH(1, (Problems!B:B=B232)*1, 0))</f>
        <v>V</v>
      </c>
      <c r="AA232" s="53"/>
      <c r="AB232" s="53"/>
      <c r="AC232" s="53" t="s">
        <v>1813</v>
      </c>
      <c r="AD232" s="53" t="s">
        <v>1814</v>
      </c>
      <c r="AE232" s="85">
        <f>IFERROR(__xludf.DUMMYFUNCTION("INDEX(SPLIT(SUBSTITUTE(AF232,CHAR(10), """"),"",:""), MATCH(Z232, SPLIT(SUBSTITUTE(AF232,CHAR(10), """"),"",:""), 0) + 1)"),3.0)</f>
        <v>3</v>
      </c>
      <c r="AF232" s="85" t="s">
        <v>2977</v>
      </c>
      <c r="AG232" s="53" t="s">
        <v>268</v>
      </c>
      <c r="AH232" s="91" t="s">
        <v>2978</v>
      </c>
      <c r="AI232" s="84">
        <v>0.0</v>
      </c>
      <c r="AJ232" s="84">
        <v>0.0</v>
      </c>
      <c r="AK232" s="87"/>
      <c r="AL232" s="81">
        <v>0.0</v>
      </c>
      <c r="AM232" s="87"/>
      <c r="AN232" s="81">
        <v>0.0</v>
      </c>
      <c r="AO232" s="90"/>
      <c r="AP232" s="81">
        <v>0.0</v>
      </c>
      <c r="AQ232" s="81">
        <v>0.0</v>
      </c>
      <c r="AR232" s="39"/>
      <c r="AS232" s="81">
        <v>0.0</v>
      </c>
      <c r="AT232" s="81">
        <v>0.0</v>
      </c>
      <c r="AU232" s="39"/>
      <c r="AV232" s="7" t="s">
        <v>2971</v>
      </c>
      <c r="AW232" s="82"/>
      <c r="AX232" s="82"/>
      <c r="AY232" s="7" t="s">
        <v>2972</v>
      </c>
      <c r="AZ232" s="7"/>
      <c r="BA232" s="7"/>
      <c r="BB232" s="7"/>
      <c r="BC232" s="7"/>
      <c r="BD232" s="7"/>
      <c r="BE232" s="7"/>
      <c r="BF232" s="7">
        <v>1000.0</v>
      </c>
      <c r="BG232" s="82">
        <f>BF237/BF232</f>
        <v>183.673</v>
      </c>
      <c r="BH232" s="7"/>
      <c r="BI232" s="7">
        <v>1000000.0</v>
      </c>
      <c r="BJ232" s="82">
        <f>BI237/BI232</f>
        <v>183673.4694</v>
      </c>
      <c r="BK232" s="7"/>
      <c r="BL232" s="7">
        <v>1.0E9</v>
      </c>
      <c r="BM232" s="82">
        <f>BL237/BL232</f>
        <v>183673469.4</v>
      </c>
      <c r="BN232" s="7"/>
      <c r="BO232" s="7">
        <v>4.0</v>
      </c>
      <c r="BP232" s="82"/>
      <c r="BQ232" s="7"/>
      <c r="BR232" s="7" t="s">
        <v>23</v>
      </c>
    </row>
    <row r="233">
      <c r="A233" s="16">
        <v>13.0</v>
      </c>
      <c r="B233" s="16" t="s">
        <v>241</v>
      </c>
      <c r="C233" s="53">
        <v>1.0</v>
      </c>
      <c r="D233" s="53" t="s">
        <v>242</v>
      </c>
      <c r="E233" s="7">
        <v>139.0</v>
      </c>
      <c r="F233" s="53"/>
      <c r="G233" s="7"/>
      <c r="H233" s="16">
        <v>1.0</v>
      </c>
      <c r="I233" s="81">
        <v>1.0</v>
      </c>
      <c r="J233" s="39" t="s">
        <v>245</v>
      </c>
      <c r="K233" s="53"/>
      <c r="L233" s="53"/>
      <c r="M233" s="39" t="str">
        <f t="shared" si="1"/>
        <v>[https://www.worldcat.org/title/discipline-of-programming/oclc/1958445 Path-based strong components algorithm; Dijkstra (1976)]</v>
      </c>
      <c r="N233" s="107" t="s">
        <v>2979</v>
      </c>
      <c r="O233" s="81">
        <v>1976.0</v>
      </c>
      <c r="P233" s="28" t="s">
        <v>2980</v>
      </c>
      <c r="Q233" s="82"/>
      <c r="R233" s="82"/>
      <c r="S233" s="82"/>
      <c r="T233" s="81">
        <v>0.0</v>
      </c>
      <c r="U233" s="16">
        <v>0.0</v>
      </c>
      <c r="V233" s="89">
        <f>IFERROR(__xludf.DUMMYFUNCTION("INDEX(SPLIT(SUBSTITUTE(W233,CHAR(10), """"),"",:""), MATCH(Z233, SPLIT(SUBSTITUTE(W233,CHAR(10), """"),"",:""), 0) + 1)"),5.0)</f>
        <v>5</v>
      </c>
      <c r="W233" s="85" t="s">
        <v>2185</v>
      </c>
      <c r="X233" s="16" t="s">
        <v>2969</v>
      </c>
      <c r="Y233" s="53" t="s">
        <v>2542</v>
      </c>
      <c r="Z233" s="53" t="str">
        <f t="array" ref="Z233">INDEX(Problems!J:J, MATCH(1, (Problems!B:B=B233)*1, 0))</f>
        <v>V</v>
      </c>
      <c r="AA233" s="53"/>
      <c r="AB233" s="53"/>
      <c r="AC233" s="53" t="s">
        <v>1813</v>
      </c>
      <c r="AD233" s="53" t="s">
        <v>1814</v>
      </c>
      <c r="AE233" s="85">
        <f>IFERROR(__xludf.DUMMYFUNCTION("INDEX(SPLIT(SUBSTITUTE(AF233,CHAR(10), """"),"",:""), MATCH(Z233, SPLIT(SUBSTITUTE(AF233,CHAR(10), """"),"",:""), 0) + 1)"),3.0)</f>
        <v>3</v>
      </c>
      <c r="AF233" s="85" t="s">
        <v>2977</v>
      </c>
      <c r="AG233" s="53" t="s">
        <v>268</v>
      </c>
      <c r="AH233" s="119" t="s">
        <v>2981</v>
      </c>
      <c r="AI233" s="84">
        <v>1.0</v>
      </c>
      <c r="AJ233" s="84">
        <v>0.0</v>
      </c>
      <c r="AK233" s="87"/>
      <c r="AL233" s="81">
        <v>0.0</v>
      </c>
      <c r="AM233" s="87"/>
      <c r="AN233" s="81">
        <v>0.0</v>
      </c>
      <c r="AO233" s="90"/>
      <c r="AP233" s="81">
        <v>0.0</v>
      </c>
      <c r="AQ233" s="81">
        <v>0.0</v>
      </c>
      <c r="AR233" s="39"/>
      <c r="AS233" s="81">
        <v>0.0</v>
      </c>
      <c r="AT233" s="81">
        <v>0.0</v>
      </c>
      <c r="AU233" s="39"/>
      <c r="AV233" s="7" t="s">
        <v>2971</v>
      </c>
      <c r="AW233" s="82"/>
      <c r="AX233" s="82"/>
      <c r="AY233" s="7" t="s">
        <v>2972</v>
      </c>
      <c r="AZ233" s="7"/>
      <c r="BA233" s="7"/>
      <c r="BB233" s="7"/>
      <c r="BC233" s="7"/>
      <c r="BD233" s="7"/>
      <c r="BE233" s="7"/>
      <c r="BF233" s="7">
        <v>1000.0</v>
      </c>
      <c r="BG233" s="82">
        <f t="shared" ref="BG233:BG240" si="34">1000/BF233</f>
        <v>1</v>
      </c>
      <c r="BH233" s="82"/>
      <c r="BI233" s="82"/>
      <c r="BJ233" s="82"/>
      <c r="BK233" s="82"/>
      <c r="BL233" s="82"/>
      <c r="BM233" s="82"/>
      <c r="BN233" s="7"/>
      <c r="BO233" s="7">
        <v>4.0</v>
      </c>
      <c r="BP233" s="82"/>
      <c r="BQ233" s="7"/>
      <c r="BR233" s="7" t="s">
        <v>23</v>
      </c>
    </row>
    <row r="234">
      <c r="A234" s="16">
        <v>13.0</v>
      </c>
      <c r="B234" s="16" t="s">
        <v>241</v>
      </c>
      <c r="C234" s="53">
        <v>1.0</v>
      </c>
      <c r="D234" s="53" t="s">
        <v>242</v>
      </c>
      <c r="E234" s="7">
        <v>140.0</v>
      </c>
      <c r="F234" s="53"/>
      <c r="G234" s="7"/>
      <c r="H234" s="16">
        <v>1.0</v>
      </c>
      <c r="I234" s="81">
        <v>1.0</v>
      </c>
      <c r="J234" s="21" t="s">
        <v>2982</v>
      </c>
      <c r="K234" s="53"/>
      <c r="L234" s="53"/>
      <c r="M234" s="39" t="str">
        <f t="shared" si="1"/>
        <v>[https://ldhulipala.github.io/readings/sequential-scc.pdf Fleischer forward-backward (FB) algorithm (2003)]</v>
      </c>
      <c r="N234" s="21" t="s">
        <v>2983</v>
      </c>
      <c r="O234" s="84">
        <v>2003.0</v>
      </c>
      <c r="P234" s="96" t="s">
        <v>2984</v>
      </c>
      <c r="Q234" s="82"/>
      <c r="R234" s="82"/>
      <c r="S234" s="82"/>
      <c r="T234" s="81">
        <v>0.0</v>
      </c>
      <c r="U234" s="16">
        <v>0.0</v>
      </c>
      <c r="V234" s="89">
        <f>IFERROR(__xludf.DUMMYFUNCTION("INDEX(SPLIT(SUBSTITUTE(W234,CHAR(10), """"),"",:""), MATCH(Z234, SPLIT(SUBSTITUTE(W234,CHAR(10), """"),"",:""), 0) + 1)"),5.01)</f>
        <v>5.01</v>
      </c>
      <c r="W234" s="85" t="s">
        <v>2985</v>
      </c>
      <c r="X234" s="21" t="s">
        <v>2986</v>
      </c>
      <c r="Y234" s="53" t="s">
        <v>2542</v>
      </c>
      <c r="Z234" s="53" t="str">
        <f t="array" ref="Z234">INDEX(Problems!J:J, MATCH(1, (Problems!B:B=B234)*1, 0))</f>
        <v>V</v>
      </c>
      <c r="AA234" s="53"/>
      <c r="AB234" s="53"/>
      <c r="AC234" s="53" t="s">
        <v>1813</v>
      </c>
      <c r="AD234" s="53" t="s">
        <v>1814</v>
      </c>
      <c r="AE234" s="85">
        <f>IFERROR(__xludf.DUMMYFUNCTION("INDEX(SPLIT(SUBSTITUTE(AF234,CHAR(10), """"),"",:""), MATCH(Z234, SPLIT(SUBSTITUTE(AF234,CHAR(10), """"),"",:""), 0) + 1)"),3.0)</f>
        <v>3</v>
      </c>
      <c r="AF234" s="85" t="s">
        <v>2987</v>
      </c>
      <c r="AG234" s="53" t="s">
        <v>245</v>
      </c>
      <c r="AH234" s="119" t="s">
        <v>2988</v>
      </c>
      <c r="AI234" s="84">
        <v>1.0</v>
      </c>
      <c r="AJ234" s="84">
        <v>0.0</v>
      </c>
      <c r="AK234" s="87"/>
      <c r="AL234" s="81">
        <v>0.0</v>
      </c>
      <c r="AM234" s="87"/>
      <c r="AN234" s="81">
        <v>0.0</v>
      </c>
      <c r="AO234" s="90"/>
      <c r="AP234" s="81">
        <v>0.0</v>
      </c>
      <c r="AQ234" s="81">
        <v>1.0</v>
      </c>
      <c r="AR234" s="39"/>
      <c r="AS234" s="81">
        <v>0.0</v>
      </c>
      <c r="AT234" s="81">
        <v>0.0</v>
      </c>
      <c r="AU234" s="39"/>
      <c r="AV234" s="7" t="s">
        <v>2971</v>
      </c>
      <c r="AW234" s="82"/>
      <c r="AX234" s="82"/>
      <c r="AY234" s="7" t="s">
        <v>2972</v>
      </c>
      <c r="AZ234" s="7"/>
      <c r="BA234" s="7"/>
      <c r="BB234" s="7"/>
      <c r="BC234" s="7"/>
      <c r="BD234" s="7"/>
      <c r="BE234" s="7"/>
      <c r="BF234" s="7">
        <v>428571.0</v>
      </c>
      <c r="BG234" s="82">
        <f t="shared" si="34"/>
        <v>0.002333335667</v>
      </c>
      <c r="BH234" s="82"/>
      <c r="BI234" s="82"/>
      <c r="BJ234" s="82"/>
      <c r="BK234" s="82"/>
      <c r="BL234" s="82"/>
      <c r="BM234" s="82"/>
      <c r="BN234" s="7"/>
      <c r="BO234" s="7">
        <v>4.0</v>
      </c>
      <c r="BP234" s="82"/>
      <c r="BQ234" s="7"/>
      <c r="BR234" s="7" t="s">
        <v>23</v>
      </c>
    </row>
    <row r="235">
      <c r="A235" s="16">
        <v>13.0</v>
      </c>
      <c r="B235" s="16" t="s">
        <v>241</v>
      </c>
      <c r="C235" s="53">
        <v>1.0</v>
      </c>
      <c r="D235" s="53" t="s">
        <v>242</v>
      </c>
      <c r="E235" s="7">
        <v>141.0</v>
      </c>
      <c r="F235" s="53"/>
      <c r="G235" s="7"/>
      <c r="H235" s="16">
        <v>1.0</v>
      </c>
      <c r="I235" s="81">
        <v>1.0</v>
      </c>
      <c r="J235" s="39" t="s">
        <v>245</v>
      </c>
      <c r="K235" s="53"/>
      <c r="L235" s="53"/>
      <c r="M235" s="39" t="str">
        <f t="shared" si="1"/>
        <v>[https://www.sciencedirect.com/science/article/pii/S0020019015001532 Pearce (2016)]</v>
      </c>
      <c r="N235" s="16" t="s">
        <v>2989</v>
      </c>
      <c r="O235" s="81">
        <v>2016.0</v>
      </c>
      <c r="P235" s="28" t="s">
        <v>2978</v>
      </c>
      <c r="Q235" s="82"/>
      <c r="R235" s="82"/>
      <c r="S235" s="82"/>
      <c r="T235" s="81">
        <v>0.0</v>
      </c>
      <c r="U235" s="16">
        <v>0.0</v>
      </c>
      <c r="V235" s="89">
        <f>IFERROR(__xludf.DUMMYFUNCTION("INDEX(SPLIT(SUBSTITUTE(W235,CHAR(10), """"),"",:""), MATCH(Z235, SPLIT(SUBSTITUTE(W235,CHAR(10), """"),"",:""), 0) + 1)"),5.0)</f>
        <v>5</v>
      </c>
      <c r="W235" s="85" t="s">
        <v>2185</v>
      </c>
      <c r="X235" s="16" t="s">
        <v>2969</v>
      </c>
      <c r="Y235" s="53" t="s">
        <v>2542</v>
      </c>
      <c r="Z235" s="53" t="str">
        <f t="array" ref="Z235">INDEX(Problems!J:J, MATCH(1, (Problems!B:B=B235)*1, 0))</f>
        <v>V</v>
      </c>
      <c r="AA235" s="53"/>
      <c r="AB235" s="53"/>
      <c r="AC235" s="53" t="s">
        <v>1813</v>
      </c>
      <c r="AD235" s="53" t="s">
        <v>1814</v>
      </c>
      <c r="AE235" s="85">
        <f>IFERROR(__xludf.DUMMYFUNCTION("INDEX(SPLIT(SUBSTITUTE(AF235,CHAR(10), """"),"",:""), MATCH(Z235, SPLIT(SUBSTITUTE(AF235,CHAR(10), """"),"",:""), 0) + 1)"),3.0)</f>
        <v>3</v>
      </c>
      <c r="AF235" s="85" t="s">
        <v>2977</v>
      </c>
      <c r="AG235" s="53" t="s">
        <v>268</v>
      </c>
      <c r="AH235" s="91" t="s">
        <v>2978</v>
      </c>
      <c r="AI235" s="84">
        <v>0.0</v>
      </c>
      <c r="AJ235" s="84">
        <v>1.0</v>
      </c>
      <c r="AK235" s="87"/>
      <c r="AL235" s="81">
        <v>0.0</v>
      </c>
      <c r="AM235" s="87"/>
      <c r="AN235" s="81">
        <v>0.0</v>
      </c>
      <c r="AO235" s="90"/>
      <c r="AP235" s="81">
        <v>0.0</v>
      </c>
      <c r="AQ235" s="81">
        <v>0.0</v>
      </c>
      <c r="AR235" s="39"/>
      <c r="AS235" s="81">
        <v>0.0</v>
      </c>
      <c r="AT235" s="81">
        <v>0.0</v>
      </c>
      <c r="AU235" s="39"/>
      <c r="AV235" s="7" t="s">
        <v>2971</v>
      </c>
      <c r="AW235" s="82"/>
      <c r="AX235" s="82"/>
      <c r="AY235" s="7" t="s">
        <v>2972</v>
      </c>
      <c r="AZ235" s="7"/>
      <c r="BA235" s="7"/>
      <c r="BB235" s="7"/>
      <c r="BC235" s="7"/>
      <c r="BD235" s="7"/>
      <c r="BE235" s="7"/>
      <c r="BF235" s="7">
        <v>1000.0</v>
      </c>
      <c r="BG235" s="82">
        <f t="shared" si="34"/>
        <v>1</v>
      </c>
      <c r="BH235" s="82"/>
      <c r="BI235" s="82"/>
      <c r="BJ235" s="82"/>
      <c r="BK235" s="82"/>
      <c r="BL235" s="82"/>
      <c r="BM235" s="82"/>
      <c r="BN235" s="7"/>
      <c r="BO235" s="7">
        <v>4.0</v>
      </c>
      <c r="BP235" s="82"/>
      <c r="BQ235" s="7"/>
      <c r="BR235" s="7" t="s">
        <v>23</v>
      </c>
    </row>
    <row r="236">
      <c r="A236" s="16">
        <v>13.0</v>
      </c>
      <c r="B236" s="16" t="s">
        <v>241</v>
      </c>
      <c r="C236" s="53">
        <v>1.0</v>
      </c>
      <c r="D236" s="53" t="s">
        <v>242</v>
      </c>
      <c r="E236" s="7">
        <v>142.0</v>
      </c>
      <c r="F236" s="53"/>
      <c r="G236" s="7"/>
      <c r="H236" s="16">
        <v>1.0</v>
      </c>
      <c r="I236" s="81">
        <v>1.0</v>
      </c>
      <c r="J236" s="39" t="s">
        <v>245</v>
      </c>
      <c r="K236" s="53"/>
      <c r="L236" s="53"/>
      <c r="M236" s="39" t="str">
        <f t="shared" si="1"/>
        <v>[https://www.sciencedirect.com/science/article/pii/S002001900000051X?via%3Dihub Path-based depth-first search Gabow (2000)]</v>
      </c>
      <c r="N236" s="39" t="s">
        <v>2990</v>
      </c>
      <c r="O236" s="81">
        <v>2000.0</v>
      </c>
      <c r="P236" s="28" t="s">
        <v>2991</v>
      </c>
      <c r="Q236" s="82"/>
      <c r="R236" s="82"/>
      <c r="S236" s="82"/>
      <c r="T236" s="81">
        <v>0.0</v>
      </c>
      <c r="U236" s="16">
        <v>0.0</v>
      </c>
      <c r="V236" s="89">
        <f>IFERROR(__xludf.DUMMYFUNCTION("INDEX(SPLIT(SUBSTITUTE(W236,CHAR(10), """"),"",:""), MATCH(Z236, SPLIT(SUBSTITUTE(W236,CHAR(10), """"),"",:""), 0) + 1)"),5.0)</f>
        <v>5</v>
      </c>
      <c r="W236" s="85" t="s">
        <v>2185</v>
      </c>
      <c r="X236" s="16" t="s">
        <v>2969</v>
      </c>
      <c r="Y236" s="53" t="s">
        <v>2542</v>
      </c>
      <c r="Z236" s="53" t="str">
        <f t="array" ref="Z236">INDEX(Problems!J:J, MATCH(1, (Problems!B:B=B236)*1, 0))</f>
        <v>V</v>
      </c>
      <c r="AA236" s="53"/>
      <c r="AB236" s="53"/>
      <c r="AC236" s="53" t="s">
        <v>1813</v>
      </c>
      <c r="AD236" s="53" t="s">
        <v>1814</v>
      </c>
      <c r="AE236" s="85">
        <f>IFERROR(__xludf.DUMMYFUNCTION("INDEX(SPLIT(SUBSTITUTE(AF236,CHAR(10), """"),"",:""), MATCH(Z236, SPLIT(SUBSTITUTE(AF236,CHAR(10), """"),"",:""), 0) + 1)"),3.0)</f>
        <v>3</v>
      </c>
      <c r="AF236" s="85" t="s">
        <v>2977</v>
      </c>
      <c r="AG236" s="53" t="s">
        <v>2992</v>
      </c>
      <c r="AH236" s="91" t="s">
        <v>2991</v>
      </c>
      <c r="AI236" s="84">
        <v>0.0</v>
      </c>
      <c r="AJ236" s="84">
        <v>1.0</v>
      </c>
      <c r="AK236" s="87"/>
      <c r="AL236" s="81">
        <v>0.0</v>
      </c>
      <c r="AM236" s="87"/>
      <c r="AN236" s="81">
        <v>0.0</v>
      </c>
      <c r="AO236" s="90"/>
      <c r="AP236" s="81">
        <v>0.0</v>
      </c>
      <c r="AQ236" s="81">
        <v>0.0</v>
      </c>
      <c r="AR236" s="39"/>
      <c r="AS236" s="81">
        <v>0.0</v>
      </c>
      <c r="AT236" s="81">
        <v>0.0</v>
      </c>
      <c r="AU236" s="39"/>
      <c r="AV236" s="7" t="s">
        <v>2971</v>
      </c>
      <c r="AW236" s="82"/>
      <c r="AX236" s="82"/>
      <c r="AY236" s="7" t="s">
        <v>2972</v>
      </c>
      <c r="AZ236" s="7"/>
      <c r="BA236" s="7"/>
      <c r="BB236" s="7"/>
      <c r="BC236" s="7"/>
      <c r="BD236" s="7"/>
      <c r="BE236" s="7"/>
      <c r="BF236" s="7">
        <v>1000.0</v>
      </c>
      <c r="BG236" s="82">
        <f t="shared" si="34"/>
        <v>1</v>
      </c>
      <c r="BH236" s="82"/>
      <c r="BI236" s="82"/>
      <c r="BJ236" s="82"/>
      <c r="BK236" s="82"/>
      <c r="BL236" s="82"/>
      <c r="BM236" s="82"/>
      <c r="BN236" s="7"/>
      <c r="BO236" s="7">
        <v>4.0</v>
      </c>
      <c r="BP236" s="82"/>
      <c r="BQ236" s="7"/>
      <c r="BR236" s="7" t="s">
        <v>23</v>
      </c>
    </row>
    <row r="237">
      <c r="A237" s="16">
        <v>13.0</v>
      </c>
      <c r="B237" s="16" t="s">
        <v>241</v>
      </c>
      <c r="C237" s="53">
        <v>1.0</v>
      </c>
      <c r="D237" s="53" t="s">
        <v>248</v>
      </c>
      <c r="E237" s="7">
        <v>143.0</v>
      </c>
      <c r="F237" s="53"/>
      <c r="G237" s="7"/>
      <c r="H237" s="16">
        <v>1.0</v>
      </c>
      <c r="I237" s="81">
        <v>1.0</v>
      </c>
      <c r="J237" s="39" t="s">
        <v>251</v>
      </c>
      <c r="K237" s="53" t="s">
        <v>2993</v>
      </c>
      <c r="L237" s="91" t="s">
        <v>2994</v>
      </c>
      <c r="M237" s="39" t="str">
        <f t="shared" si="1"/>
        <v>[https://link.springer.com/article/10.1007%2FBF01940892 Paul Purdom (1970)]</v>
      </c>
      <c r="N237" s="16" t="s">
        <v>2995</v>
      </c>
      <c r="O237" s="81">
        <v>1970.0</v>
      </c>
      <c r="P237" s="28" t="s">
        <v>2996</v>
      </c>
      <c r="Q237" s="7">
        <v>4.0</v>
      </c>
      <c r="R237" s="7">
        <v>1.0</v>
      </c>
      <c r="S237" s="47" t="s">
        <v>2994</v>
      </c>
      <c r="T237" s="83">
        <v>1.0</v>
      </c>
      <c r="U237" s="16">
        <v>0.0</v>
      </c>
      <c r="V237" s="89">
        <f>IFERROR(__xludf.DUMMYFUNCTION("INDEX(SPLIT(SUBSTITUTE(W237,CHAR(10), """"),"",:""), MATCH(Z237, SPLIT(SUBSTITUTE(W237,CHAR(10), """"),"",:""), 0) + 1)"),6.0)</f>
        <v>6</v>
      </c>
      <c r="W237" s="85" t="s">
        <v>2754</v>
      </c>
      <c r="X237" s="21" t="s">
        <v>2997</v>
      </c>
      <c r="Y237" s="53" t="s">
        <v>2542</v>
      </c>
      <c r="Z237" s="53" t="str">
        <f t="array" ref="Z237">INDEX(Problems!J:J, MATCH(1, (Problems!B:B=B237)*1, 0))</f>
        <v>V</v>
      </c>
      <c r="AA237" s="53"/>
      <c r="AB237" s="53"/>
      <c r="AC237" s="53" t="s">
        <v>1813</v>
      </c>
      <c r="AD237" s="53" t="s">
        <v>1814</v>
      </c>
      <c r="AE237" s="85">
        <f>IFERROR(__xludf.DUMMYFUNCTION("INDEX(SPLIT(SUBSTITUTE(AF237,CHAR(10), """"),"",:""), MATCH(Z237, SPLIT(SUBSTITUTE(AF237,CHAR(10), """"),"",:""), 0) + 1)"),5.0)</f>
        <v>5</v>
      </c>
      <c r="AF237" s="85" t="s">
        <v>2998</v>
      </c>
      <c r="AG237" s="53" t="s">
        <v>251</v>
      </c>
      <c r="AH237" s="91" t="s">
        <v>2994</v>
      </c>
      <c r="AI237" s="84">
        <v>0.0</v>
      </c>
      <c r="AJ237" s="84">
        <v>1.0</v>
      </c>
      <c r="AK237" s="87"/>
      <c r="AL237" s="81">
        <v>0.0</v>
      </c>
      <c r="AM237" s="87"/>
      <c r="AN237" s="81">
        <v>0.0</v>
      </c>
      <c r="AO237" s="90"/>
      <c r="AP237" s="81">
        <v>0.0</v>
      </c>
      <c r="AQ237" s="81">
        <v>0.0</v>
      </c>
      <c r="AR237" s="39"/>
      <c r="AS237" s="81">
        <v>0.0</v>
      </c>
      <c r="AT237" s="81">
        <v>0.0</v>
      </c>
      <c r="AU237" s="39"/>
      <c r="AV237" s="7" t="s">
        <v>2971</v>
      </c>
      <c r="AW237" s="82"/>
      <c r="AX237" s="82"/>
      <c r="AY237" s="7" t="s">
        <v>2972</v>
      </c>
      <c r="AZ237" s="7">
        <f>POW(1000, 2)</f>
        <v>1000000</v>
      </c>
      <c r="BA237" s="7"/>
      <c r="BB237" s="7">
        <f>POW(1000000,2)</f>
        <v>1000000000000</v>
      </c>
      <c r="BC237" s="7"/>
      <c r="BD237" s="7">
        <f>POW(1000000000,2)</f>
        <v>1E+18</v>
      </c>
      <c r="BE237" s="7"/>
      <c r="BF237" s="7">
        <v>183673.0</v>
      </c>
      <c r="BG237" s="82">
        <f t="shared" si="34"/>
        <v>0.005444458358</v>
      </c>
      <c r="BH237" s="7"/>
      <c r="BI237" s="7">
        <f>(9/49)*POW(1000000,2)</f>
        <v>183673469388</v>
      </c>
      <c r="BJ237" s="7">
        <v>1.0</v>
      </c>
      <c r="BK237" s="82"/>
      <c r="BL237" s="82">
        <f>(9/49)*POW(1000000000,2)</f>
        <v>1.83673E+17</v>
      </c>
      <c r="BM237" s="7">
        <v>1.0</v>
      </c>
      <c r="BN237" s="7"/>
      <c r="BO237" s="7">
        <v>4.0</v>
      </c>
      <c r="BP237" s="82"/>
      <c r="BQ237" s="7"/>
      <c r="BR237" s="7" t="s">
        <v>23</v>
      </c>
    </row>
    <row r="238">
      <c r="A238" s="16">
        <v>13.0</v>
      </c>
      <c r="B238" s="16" t="s">
        <v>241</v>
      </c>
      <c r="C238" s="53">
        <v>1.0</v>
      </c>
      <c r="D238" s="53" t="s">
        <v>242</v>
      </c>
      <c r="E238" s="7">
        <v>144.0</v>
      </c>
      <c r="F238" s="53"/>
      <c r="G238" s="7"/>
      <c r="H238" s="16">
        <v>1.0</v>
      </c>
      <c r="I238" s="81">
        <v>1.0</v>
      </c>
      <c r="J238" s="21" t="s">
        <v>251</v>
      </c>
      <c r="K238" s="53"/>
      <c r="L238" s="53"/>
      <c r="M238" s="39" t="str">
        <f t="shared" si="1"/>
        <v>[http://www.cs.ox.ac.uk/people/gavin.lowe/parallelDFS.html Lowe’s Algorithm (2014)]</v>
      </c>
      <c r="N238" s="16" t="s">
        <v>2999</v>
      </c>
      <c r="O238" s="81">
        <v>2014.0</v>
      </c>
      <c r="P238" s="28" t="s">
        <v>3000</v>
      </c>
      <c r="Q238" s="82"/>
      <c r="R238" s="82"/>
      <c r="S238" s="82"/>
      <c r="T238" s="81">
        <v>0.0</v>
      </c>
      <c r="U238" s="16">
        <v>0.0</v>
      </c>
      <c r="V238" s="89">
        <f>IFERROR(__xludf.DUMMYFUNCTION("INDEX(SPLIT(SUBSTITUTE(W238,CHAR(10), """"),"",:""), MATCH(Z238, SPLIT(SUBSTITUTE(W238,CHAR(10), """"),"",:""), 0) + 1)"),5.0)</f>
        <v>5</v>
      </c>
      <c r="W238" s="85" t="s">
        <v>2185</v>
      </c>
      <c r="X238" s="21" t="s">
        <v>3001</v>
      </c>
      <c r="Y238" s="53" t="s">
        <v>3002</v>
      </c>
      <c r="Z238" s="53" t="str">
        <f t="array" ref="Z238">INDEX(Problems!J:J, MATCH(1, (Problems!B:B=B238)*1, 0))</f>
        <v>V</v>
      </c>
      <c r="AA238" s="53"/>
      <c r="AB238" s="53"/>
      <c r="AC238" s="53" t="s">
        <v>1813</v>
      </c>
      <c r="AD238" s="53" t="s">
        <v>1814</v>
      </c>
      <c r="AE238" s="85">
        <f>IFERROR(__xludf.DUMMYFUNCTION("INDEX(SPLIT(SUBSTITUTE(AF238,CHAR(10), """"),"",:""), MATCH(Z238, SPLIT(SUBSTITUTE(AF238,CHAR(10), """"),"",:""), 0) + 1)"),3.0)</f>
        <v>3</v>
      </c>
      <c r="AF238" s="85" t="s">
        <v>2977</v>
      </c>
      <c r="AG238" s="53" t="s">
        <v>3003</v>
      </c>
      <c r="AH238" s="53" t="s">
        <v>2725</v>
      </c>
      <c r="AI238" s="84">
        <v>1.0</v>
      </c>
      <c r="AJ238" s="84">
        <v>0.0</v>
      </c>
      <c r="AK238" s="87"/>
      <c r="AL238" s="81">
        <v>0.0</v>
      </c>
      <c r="AM238" s="87"/>
      <c r="AN238" s="81">
        <v>0.0</v>
      </c>
      <c r="AO238" s="90"/>
      <c r="AP238" s="81">
        <v>0.0</v>
      </c>
      <c r="AQ238" s="81">
        <v>1.0</v>
      </c>
      <c r="AR238" s="39"/>
      <c r="AS238" s="81">
        <v>0.0</v>
      </c>
      <c r="AT238" s="81">
        <v>0.0</v>
      </c>
      <c r="AU238" s="25" t="s">
        <v>3004</v>
      </c>
      <c r="AV238" s="7" t="s">
        <v>2971</v>
      </c>
      <c r="AW238" s="82"/>
      <c r="AX238" s="82"/>
      <c r="AY238" s="7" t="s">
        <v>2972</v>
      </c>
      <c r="AZ238" s="7"/>
      <c r="BA238" s="7"/>
      <c r="BB238" s="7"/>
      <c r="BC238" s="7"/>
      <c r="BD238" s="7"/>
      <c r="BE238" s="7"/>
      <c r="BF238" s="7">
        <v>184244.0</v>
      </c>
      <c r="BG238" s="82">
        <f t="shared" si="34"/>
        <v>0.005427585159</v>
      </c>
      <c r="BH238" s="82"/>
      <c r="BI238" s="82"/>
      <c r="BJ238" s="82"/>
      <c r="BK238" s="82"/>
      <c r="BL238" s="82"/>
      <c r="BM238" s="82"/>
      <c r="BN238" s="7"/>
      <c r="BO238" s="7">
        <v>4.0</v>
      </c>
      <c r="BP238" s="82"/>
      <c r="BQ238" s="7"/>
      <c r="BR238" s="7" t="s">
        <v>23</v>
      </c>
    </row>
    <row r="239">
      <c r="A239" s="16">
        <v>13.0</v>
      </c>
      <c r="B239" s="16" t="s">
        <v>241</v>
      </c>
      <c r="C239" s="53">
        <v>1.0</v>
      </c>
      <c r="D239" s="53" t="s">
        <v>242</v>
      </c>
      <c r="E239" s="7">
        <v>145.0</v>
      </c>
      <c r="F239" s="53"/>
      <c r="G239" s="7"/>
      <c r="H239" s="16">
        <v>1.0</v>
      </c>
      <c r="I239" s="81">
        <v>1.0</v>
      </c>
      <c r="J239" s="21" t="s">
        <v>3005</v>
      </c>
      <c r="K239" s="53"/>
      <c r="L239" s="53"/>
      <c r="M239" s="39" t="str">
        <f t="shared" si="1"/>
        <v>[https://link.springer.com/chapter/10.1007/978-3-642-45221-5_44 Renault’s Algorithm (2009)]</v>
      </c>
      <c r="N239" s="39" t="s">
        <v>3006</v>
      </c>
      <c r="O239" s="81">
        <v>2009.0</v>
      </c>
      <c r="P239" s="113" t="s">
        <v>3007</v>
      </c>
      <c r="Q239" s="82"/>
      <c r="R239" s="82"/>
      <c r="S239" s="82"/>
      <c r="T239" s="81">
        <v>0.0</v>
      </c>
      <c r="U239" s="16">
        <v>0.0</v>
      </c>
      <c r="V239" s="89">
        <f>IFERROR(__xludf.DUMMYFUNCTION("INDEX(SPLIT(SUBSTITUTE(W239,CHAR(10), """"),"",:""), MATCH(Z239, SPLIT(SUBSTITUTE(W239,CHAR(10), """"),"",:""), 0) + 1)"),5.0)</f>
        <v>5</v>
      </c>
      <c r="W239" s="85" t="s">
        <v>3008</v>
      </c>
      <c r="X239" s="21" t="s">
        <v>3009</v>
      </c>
      <c r="Y239" s="53" t="s">
        <v>3002</v>
      </c>
      <c r="Z239" s="53" t="str">
        <f t="array" ref="Z239">INDEX(Problems!J:J, MATCH(1, (Problems!B:B=B239)*1, 0))</f>
        <v>V</v>
      </c>
      <c r="AA239" s="53"/>
      <c r="AB239" s="53"/>
      <c r="AC239" s="53" t="s">
        <v>1813</v>
      </c>
      <c r="AD239" s="53" t="s">
        <v>1814</v>
      </c>
      <c r="AE239" s="85">
        <f>IFERROR(__xludf.DUMMYFUNCTION("INDEX(SPLIT(SUBSTITUTE(AF239,CHAR(10), """"),"",:""), MATCH(Z239, SPLIT(SUBSTITUTE(AF239,CHAR(10), """"),"",:""), 0) + 1)"),3.0)</f>
        <v>3</v>
      </c>
      <c r="AF239" s="85" t="s">
        <v>2977</v>
      </c>
      <c r="AG239" s="53" t="s">
        <v>3003</v>
      </c>
      <c r="AH239" s="53" t="s">
        <v>2725</v>
      </c>
      <c r="AI239" s="84">
        <v>1.0</v>
      </c>
      <c r="AJ239" s="84">
        <v>0.0</v>
      </c>
      <c r="AK239" s="87"/>
      <c r="AL239" s="81">
        <v>0.0</v>
      </c>
      <c r="AM239" s="87"/>
      <c r="AN239" s="81">
        <v>0.0</v>
      </c>
      <c r="AO239" s="90"/>
      <c r="AP239" s="81">
        <v>0.0</v>
      </c>
      <c r="AQ239" s="81">
        <v>1.0</v>
      </c>
      <c r="AR239" s="39"/>
      <c r="AS239" s="81">
        <v>0.0</v>
      </c>
      <c r="AT239" s="81">
        <v>0.0</v>
      </c>
      <c r="AU239" s="25" t="s">
        <v>3004</v>
      </c>
      <c r="AV239" s="7" t="s">
        <v>2971</v>
      </c>
      <c r="AW239" s="82"/>
      <c r="AX239" s="82"/>
      <c r="AY239" s="7" t="s">
        <v>2972</v>
      </c>
      <c r="AZ239" s="7"/>
      <c r="BA239" s="7"/>
      <c r="BB239" s="7"/>
      <c r="BC239" s="7"/>
      <c r="BD239" s="7"/>
      <c r="BE239" s="7"/>
      <c r="BF239" s="7">
        <v>183673.0</v>
      </c>
      <c r="BG239" s="82">
        <f t="shared" si="34"/>
        <v>0.005444458358</v>
      </c>
      <c r="BH239" s="82"/>
      <c r="BI239" s="82"/>
      <c r="BJ239" s="82"/>
      <c r="BK239" s="82"/>
      <c r="BL239" s="82"/>
      <c r="BM239" s="82"/>
      <c r="BN239" s="7"/>
      <c r="BO239" s="7">
        <v>4.0</v>
      </c>
      <c r="BP239" s="82"/>
      <c r="BQ239" s="7"/>
      <c r="BR239" s="7" t="s">
        <v>23</v>
      </c>
    </row>
    <row r="240">
      <c r="A240" s="16">
        <v>13.0</v>
      </c>
      <c r="B240" s="16" t="s">
        <v>241</v>
      </c>
      <c r="C240" s="53">
        <v>1.0</v>
      </c>
      <c r="D240" s="53" t="s">
        <v>242</v>
      </c>
      <c r="E240" s="7">
        <v>146.0</v>
      </c>
      <c r="F240" s="53"/>
      <c r="G240" s="7"/>
      <c r="H240" s="16">
        <v>1.0</v>
      </c>
      <c r="I240" s="81">
        <v>1.0</v>
      </c>
      <c r="J240" s="39" t="s">
        <v>245</v>
      </c>
      <c r="K240" s="53"/>
      <c r="L240" s="53"/>
      <c r="M240" s="39" t="str">
        <f t="shared" si="1"/>
        <v>[https://link.springer.com/chapter/10.1007/3-540-48119-2_16 Couvreur (1999)]</v>
      </c>
      <c r="N240" s="16" t="s">
        <v>3010</v>
      </c>
      <c r="O240" s="81">
        <v>1999.0</v>
      </c>
      <c r="P240" s="28" t="s">
        <v>3011</v>
      </c>
      <c r="Q240" s="82"/>
      <c r="R240" s="82"/>
      <c r="S240" s="82"/>
      <c r="T240" s="81">
        <v>0.0</v>
      </c>
      <c r="U240" s="16">
        <v>0.0</v>
      </c>
      <c r="V240" s="89">
        <f>IFERROR(__xludf.DUMMYFUNCTION("INDEX(SPLIT(SUBSTITUTE(W240,CHAR(10), """"),"",:""), MATCH(Z240, SPLIT(SUBSTITUTE(W240,CHAR(10), """"),"",:""), 0) + 1)"),5.0)</f>
        <v>5</v>
      </c>
      <c r="W240" s="85" t="s">
        <v>2185</v>
      </c>
      <c r="X240" s="16" t="s">
        <v>2969</v>
      </c>
      <c r="Y240" s="53" t="s">
        <v>2542</v>
      </c>
      <c r="Z240" s="53" t="str">
        <f t="array" ref="Z240">INDEX(Problems!J:J, MATCH(1, (Problems!B:B=B240)*1, 0))</f>
        <v>V</v>
      </c>
      <c r="AA240" s="53"/>
      <c r="AB240" s="53"/>
      <c r="AC240" s="53" t="s">
        <v>1813</v>
      </c>
      <c r="AD240" s="53" t="s">
        <v>1814</v>
      </c>
      <c r="AE240" s="85">
        <f>IFERROR(__xludf.DUMMYFUNCTION("INDEX(SPLIT(SUBSTITUTE(AF240,CHAR(10), """"),"",:""), MATCH(Z240, SPLIT(SUBSTITUTE(AF240,CHAR(10), """"),"",:""), 0) + 1)"),3.0)</f>
        <v>3</v>
      </c>
      <c r="AF240" s="85" t="s">
        <v>2977</v>
      </c>
      <c r="AG240" s="53" t="s">
        <v>2562</v>
      </c>
      <c r="AH240" s="53" t="s">
        <v>2889</v>
      </c>
      <c r="AI240" s="84">
        <v>1.0</v>
      </c>
      <c r="AJ240" s="84">
        <v>0.0</v>
      </c>
      <c r="AK240" s="87"/>
      <c r="AL240" s="81">
        <v>0.0</v>
      </c>
      <c r="AM240" s="87"/>
      <c r="AN240" s="81">
        <v>0.0</v>
      </c>
      <c r="AO240" s="90"/>
      <c r="AP240" s="81">
        <v>0.0</v>
      </c>
      <c r="AQ240" s="81">
        <v>0.0</v>
      </c>
      <c r="AR240" s="39"/>
      <c r="AS240" s="81">
        <v>0.0</v>
      </c>
      <c r="AT240" s="81">
        <v>0.0</v>
      </c>
      <c r="AU240" s="25" t="s">
        <v>3004</v>
      </c>
      <c r="AV240" s="7" t="s">
        <v>2971</v>
      </c>
      <c r="AW240" s="82"/>
      <c r="AX240" s="82"/>
      <c r="AY240" s="7" t="s">
        <v>2972</v>
      </c>
      <c r="AZ240" s="7"/>
      <c r="BA240" s="7"/>
      <c r="BB240" s="7"/>
      <c r="BC240" s="7"/>
      <c r="BD240" s="7"/>
      <c r="BE240" s="7"/>
      <c r="BF240" s="7">
        <v>1000.0</v>
      </c>
      <c r="BG240" s="82">
        <f t="shared" si="34"/>
        <v>1</v>
      </c>
      <c r="BH240" s="82"/>
      <c r="BI240" s="82"/>
      <c r="BJ240" s="82"/>
      <c r="BK240" s="82"/>
      <c r="BL240" s="82"/>
      <c r="BM240" s="82"/>
      <c r="BN240" s="7"/>
      <c r="BO240" s="7">
        <v>4.0</v>
      </c>
      <c r="BP240" s="82"/>
      <c r="BQ240" s="7"/>
      <c r="BR240" s="7" t="s">
        <v>23</v>
      </c>
    </row>
    <row r="241">
      <c r="A241" s="16">
        <v>13.0</v>
      </c>
      <c r="B241" s="16" t="s">
        <v>241</v>
      </c>
      <c r="C241" s="53">
        <v>1.0</v>
      </c>
      <c r="D241" s="53" t="s">
        <v>242</v>
      </c>
      <c r="E241" s="7">
        <v>147.0</v>
      </c>
      <c r="F241" s="53"/>
      <c r="G241" s="7"/>
      <c r="H241" s="16">
        <v>1.0</v>
      </c>
      <c r="I241" s="81">
        <v>1.0</v>
      </c>
      <c r="J241" s="39" t="s">
        <v>3012</v>
      </c>
      <c r="K241" s="53"/>
      <c r="L241" s="53"/>
      <c r="M241" s="39" t="str">
        <f t="shared" si="1"/>
        <v>[https://www.sciencedirect.com/science/article/pii/0020019071900068 Munro’s algorithm (1971)]</v>
      </c>
      <c r="N241" s="39" t="s">
        <v>3013</v>
      </c>
      <c r="O241" s="81">
        <v>1971.0</v>
      </c>
      <c r="P241" s="28" t="s">
        <v>3014</v>
      </c>
      <c r="Q241" s="82"/>
      <c r="R241" s="82"/>
      <c r="S241" s="82"/>
      <c r="T241" s="81">
        <v>1.0</v>
      </c>
      <c r="U241" s="16" t="s">
        <v>1952</v>
      </c>
      <c r="V241" s="89">
        <f>IFERROR(__xludf.DUMMYFUNCTION("INDEX(SPLIT(SUBSTITUTE(W241,CHAR(10), """"),"",:""), MATCH(Z241, SPLIT(SUBSTITUTE(W241,CHAR(10), """"),"",:""), 0) + 1)"),5.0)</f>
        <v>5</v>
      </c>
      <c r="W241" s="85" t="s">
        <v>2185</v>
      </c>
      <c r="X241" s="16" t="s">
        <v>3015</v>
      </c>
      <c r="Y241" s="53" t="s">
        <v>2542</v>
      </c>
      <c r="Z241" s="53" t="str">
        <f t="array" ref="Z241">INDEX(Problems!J:J, MATCH(1, (Problems!B:B=B241)*1, 0))</f>
        <v>V</v>
      </c>
      <c r="AA241" s="53"/>
      <c r="AB241" s="53"/>
      <c r="AC241" s="53" t="s">
        <v>1813</v>
      </c>
      <c r="AD241" s="53" t="s">
        <v>1814</v>
      </c>
      <c r="AE241" s="85">
        <f>IFERROR(__xludf.DUMMYFUNCTION("INDEX(SPLIT(SUBSTITUTE(AF241,CHAR(10), """"),"",:""), MATCH(Z241, SPLIT(SUBSTITUTE(AF241,CHAR(10), """"),"",:""), 0) + 1)"),3.0)</f>
        <v>3</v>
      </c>
      <c r="AF241" s="85" t="s">
        <v>2977</v>
      </c>
      <c r="AG241" s="53" t="s">
        <v>2562</v>
      </c>
      <c r="AH241" s="53" t="s">
        <v>2889</v>
      </c>
      <c r="AI241" s="84">
        <v>1.0</v>
      </c>
      <c r="AJ241" s="84">
        <v>0.0</v>
      </c>
      <c r="AK241" s="87"/>
      <c r="AL241" s="81">
        <v>0.0</v>
      </c>
      <c r="AM241" s="87"/>
      <c r="AN241" s="81">
        <v>0.0</v>
      </c>
      <c r="AO241" s="90"/>
      <c r="AP241" s="81">
        <v>0.0</v>
      </c>
      <c r="AQ241" s="81">
        <v>0.0</v>
      </c>
      <c r="AR241" s="39"/>
      <c r="AS241" s="81">
        <v>0.0</v>
      </c>
      <c r="AT241" s="81">
        <v>0.0</v>
      </c>
      <c r="AU241" s="25" t="s">
        <v>3004</v>
      </c>
      <c r="AV241" s="7" t="s">
        <v>2971</v>
      </c>
      <c r="AW241" s="82"/>
      <c r="AX241" s="82"/>
      <c r="AY241" s="7" t="s">
        <v>2972</v>
      </c>
      <c r="AZ241" s="7">
        <f> 1000</f>
        <v>1000</v>
      </c>
      <c r="BA241" s="7">
        <f>POW(AZ237/AZ241, 1/($O241-$O237))-1</f>
        <v>999</v>
      </c>
      <c r="BB241" s="7">
        <f> 1000000</f>
        <v>1000000</v>
      </c>
      <c r="BC241" s="7">
        <f>POW(BB237/BB241, 1/($O241-$O237))-1</f>
        <v>999999</v>
      </c>
      <c r="BD241" s="7">
        <f> 1000000000</f>
        <v>1000000000</v>
      </c>
      <c r="BE241" s="7">
        <f>POW(BD237/BD241, 1/($O241-$O237))-1</f>
        <v>999999999</v>
      </c>
      <c r="BF241" s="82">
        <f>(4/7)*1000 + (3/7)*1000*LOG((3/7)*1000,2)</f>
        <v>4318.596513</v>
      </c>
      <c r="BG241" s="82">
        <f>BF237/BF241</f>
        <v>42.53071558</v>
      </c>
      <c r="BH241" s="82">
        <f>POW(BG241,1/($O241-$O237)) - 1</f>
        <v>41.53071558</v>
      </c>
      <c r="BI241" s="82">
        <f>(4/7)*1000000 + (3/7)*1000000*LOG((3/7)*1000000,2)</f>
        <v>8589646.921</v>
      </c>
      <c r="BJ241" s="82">
        <f>BI237/BI241</f>
        <v>21383.12216</v>
      </c>
      <c r="BK241" s="82">
        <f>POW(BJ241,1/($O241-$O237)) - 1</f>
        <v>21382.12216</v>
      </c>
      <c r="BL241" s="82">
        <f>(4/7)*1000000000 + (3/7)*1000000000*LOG((3/7)*1000000000,2)</f>
        <v>12860697328</v>
      </c>
      <c r="BM241" s="82">
        <f>BL237/BL241</f>
        <v>14281765.96</v>
      </c>
      <c r="BN241" s="82">
        <f>POW(BM241,1/($O241-$O237)) - 1</f>
        <v>14281764.96</v>
      </c>
      <c r="BO241" s="7">
        <v>4.0</v>
      </c>
      <c r="BP241" s="82"/>
      <c r="BQ241" s="7"/>
      <c r="BR241" s="7" t="s">
        <v>23</v>
      </c>
    </row>
    <row r="242">
      <c r="A242" s="16">
        <v>13.0</v>
      </c>
      <c r="B242" s="16" t="s">
        <v>241</v>
      </c>
      <c r="C242" s="53">
        <v>1.0</v>
      </c>
      <c r="D242" s="53" t="s">
        <v>242</v>
      </c>
      <c r="E242" s="7">
        <v>148.0</v>
      </c>
      <c r="F242" s="53"/>
      <c r="G242" s="7"/>
      <c r="H242" s="16">
        <v>1.0</v>
      </c>
      <c r="I242" s="81">
        <v>1.0</v>
      </c>
      <c r="J242" s="16" t="s">
        <v>3016</v>
      </c>
      <c r="K242" s="53"/>
      <c r="L242" s="53"/>
      <c r="M242" s="39" t="str">
        <f t="shared" si="1"/>
        <v>[https://ieeexplore.ieee.org/document/8133154 OBF Algorithm (2011)]</v>
      </c>
      <c r="N242" s="39" t="s">
        <v>3017</v>
      </c>
      <c r="O242" s="81">
        <v>2011.0</v>
      </c>
      <c r="P242" s="28" t="s">
        <v>3018</v>
      </c>
      <c r="Q242" s="82"/>
      <c r="R242" s="82"/>
      <c r="S242" s="82"/>
      <c r="T242" s="81">
        <v>0.0</v>
      </c>
      <c r="U242" s="16">
        <v>0.0</v>
      </c>
      <c r="V242" s="89">
        <f>IFERROR(__xludf.DUMMYFUNCTION("INDEX(SPLIT(SUBSTITUTE(W242,CHAR(10), """"),"",:""), MATCH(Z242, SPLIT(SUBSTITUTE(W242,CHAR(10), """"),"",:""), 0) + 1)"),6.0)</f>
        <v>6</v>
      </c>
      <c r="W242" s="85" t="s">
        <v>3019</v>
      </c>
      <c r="X242" s="16" t="s">
        <v>3020</v>
      </c>
      <c r="Y242" s="53" t="s">
        <v>3002</v>
      </c>
      <c r="Z242" s="53" t="str">
        <f t="array" ref="Z242">INDEX(Problems!J:J, MATCH(1, (Problems!B:B=B242)*1, 0))</f>
        <v>V</v>
      </c>
      <c r="AA242" s="53"/>
      <c r="AB242" s="53"/>
      <c r="AC242" s="53" t="s">
        <v>1813</v>
      </c>
      <c r="AD242" s="53" t="s">
        <v>1814</v>
      </c>
      <c r="AE242" s="85">
        <f>IFERROR(__xludf.DUMMYFUNCTION("INDEX(SPLIT(SUBSTITUTE(AF242,CHAR(10), """"),"",:""), MATCH(Z242, SPLIT(SUBSTITUTE(AF242,CHAR(10), """"),"",:""), 0) + 1)"),5.0)</f>
        <v>5</v>
      </c>
      <c r="AF242" s="85" t="s">
        <v>2185</v>
      </c>
      <c r="AG242" s="53" t="s">
        <v>3021</v>
      </c>
      <c r="AH242" s="91" t="s">
        <v>3022</v>
      </c>
      <c r="AI242" s="84">
        <v>0.0</v>
      </c>
      <c r="AJ242" s="84">
        <v>1.0</v>
      </c>
      <c r="AK242" s="87"/>
      <c r="AL242" s="81">
        <v>0.0</v>
      </c>
      <c r="AM242" s="87"/>
      <c r="AN242" s="81">
        <v>0.0</v>
      </c>
      <c r="AO242" s="90"/>
      <c r="AP242" s="81">
        <v>0.0</v>
      </c>
      <c r="AQ242" s="81">
        <v>1.0</v>
      </c>
      <c r="AR242" s="39"/>
      <c r="AS242" s="81">
        <v>0.0</v>
      </c>
      <c r="AT242" s="81">
        <v>0.0</v>
      </c>
      <c r="AU242" s="39"/>
      <c r="AV242" s="7" t="s">
        <v>2971</v>
      </c>
      <c r="AW242" s="82"/>
      <c r="AX242" s="82"/>
      <c r="AY242" s="7" t="s">
        <v>2972</v>
      </c>
      <c r="AZ242" s="7"/>
      <c r="BA242" s="7"/>
      <c r="BB242" s="7"/>
      <c r="BC242" s="7"/>
      <c r="BD242" s="7"/>
      <c r="BE242" s="7"/>
      <c r="BF242" s="7">
        <v>428571.0</v>
      </c>
      <c r="BG242" s="82">
        <f t="shared" ref="BG242:BG244" si="35">1000/BF242</f>
        <v>0.002333335667</v>
      </c>
      <c r="BH242" s="82"/>
      <c r="BI242" s="82"/>
      <c r="BJ242" s="82"/>
      <c r="BK242" s="82"/>
      <c r="BL242" s="82"/>
      <c r="BM242" s="82"/>
      <c r="BN242" s="7"/>
      <c r="BO242" s="7">
        <v>4.0</v>
      </c>
      <c r="BP242" s="82"/>
      <c r="BQ242" s="7"/>
      <c r="BR242" s="7" t="s">
        <v>23</v>
      </c>
    </row>
    <row r="243">
      <c r="A243" s="16">
        <v>13.0</v>
      </c>
      <c r="B243" s="16" t="s">
        <v>241</v>
      </c>
      <c r="C243" s="53">
        <v>1.0</v>
      </c>
      <c r="D243" s="53" t="s">
        <v>242</v>
      </c>
      <c r="E243" s="7">
        <v>149.0</v>
      </c>
      <c r="F243" s="53"/>
      <c r="G243" s="7"/>
      <c r="H243" s="16">
        <v>1.0</v>
      </c>
      <c r="I243" s="81">
        <v>1.0</v>
      </c>
      <c r="J243" s="16" t="s">
        <v>2825</v>
      </c>
      <c r="K243" s="53"/>
      <c r="L243" s="53"/>
      <c r="M243" s="39" t="str">
        <f t="shared" si="1"/>
        <v>[https://research.vu.nl/en/publications/on-distributed-verification-and-verified-distribution CH Algorithm (2004)]</v>
      </c>
      <c r="N243" s="39" t="s">
        <v>3023</v>
      </c>
      <c r="O243" s="81">
        <v>2004.0</v>
      </c>
      <c r="P243" s="28" t="s">
        <v>3024</v>
      </c>
      <c r="Q243" s="82"/>
      <c r="R243" s="82"/>
      <c r="S243" s="82"/>
      <c r="T243" s="81">
        <v>0.0</v>
      </c>
      <c r="U243" s="16">
        <v>0.0</v>
      </c>
      <c r="V243" s="89">
        <f>IFERROR(__xludf.DUMMYFUNCTION("INDEX(SPLIT(SUBSTITUTE(W243,CHAR(10), """"),"",:""), MATCH(Z243, SPLIT(SUBSTITUTE(W243,CHAR(10), """"),"",:""), 0) + 1)"),6.0)</f>
        <v>6</v>
      </c>
      <c r="W243" s="85" t="s">
        <v>3019</v>
      </c>
      <c r="X243" s="16" t="s">
        <v>960</v>
      </c>
      <c r="Y243" s="53" t="s">
        <v>3002</v>
      </c>
      <c r="Z243" s="53" t="str">
        <f t="array" ref="Z243">INDEX(Problems!J:J, MATCH(1, (Problems!B:B=B243)*1, 0))</f>
        <v>V</v>
      </c>
      <c r="AA243" s="53"/>
      <c r="AB243" s="53"/>
      <c r="AC243" s="53" t="s">
        <v>1813</v>
      </c>
      <c r="AD243" s="53" t="s">
        <v>1814</v>
      </c>
      <c r="AE243" s="85">
        <f>IFERROR(__xludf.DUMMYFUNCTION("INDEX(SPLIT(SUBSTITUTE(AF243,CHAR(10), """"),"",:""), MATCH(Z243, SPLIT(SUBSTITUTE(AF243,CHAR(10), """"),"",:""), 0) + 1)"),3.0)</f>
        <v>3</v>
      </c>
      <c r="AF243" s="85" t="s">
        <v>2987</v>
      </c>
      <c r="AG243" s="119" t="s">
        <v>3025</v>
      </c>
      <c r="AH243" s="119" t="s">
        <v>3026</v>
      </c>
      <c r="AI243" s="84">
        <v>1.0</v>
      </c>
      <c r="AJ243" s="84">
        <v>0.0</v>
      </c>
      <c r="AK243" s="87"/>
      <c r="AL243" s="81">
        <v>0.0</v>
      </c>
      <c r="AM243" s="87"/>
      <c r="AN243" s="81">
        <v>0.0</v>
      </c>
      <c r="AO243" s="90"/>
      <c r="AP243" s="81">
        <v>0.0</v>
      </c>
      <c r="AQ243" s="81">
        <v>1.0</v>
      </c>
      <c r="AR243" s="39"/>
      <c r="AS243" s="81">
        <v>0.0</v>
      </c>
      <c r="AT243" s="81">
        <v>0.0</v>
      </c>
      <c r="AU243" s="39"/>
      <c r="AV243" s="7" t="s">
        <v>2971</v>
      </c>
      <c r="AW243" s="82"/>
      <c r="AX243" s="82"/>
      <c r="AY243" s="7" t="s">
        <v>2972</v>
      </c>
      <c r="AZ243" s="7"/>
      <c r="BA243" s="7"/>
      <c r="BB243" s="7"/>
      <c r="BC243" s="7"/>
      <c r="BD243" s="7"/>
      <c r="BE243" s="7"/>
      <c r="BF243" s="7">
        <v>244897.0</v>
      </c>
      <c r="BG243" s="82">
        <f t="shared" si="35"/>
        <v>0.004083349326</v>
      </c>
      <c r="BH243" s="82"/>
      <c r="BI243" s="82"/>
      <c r="BJ243" s="82"/>
      <c r="BK243" s="82"/>
      <c r="BL243" s="82"/>
      <c r="BM243" s="82"/>
      <c r="BN243" s="7"/>
      <c r="BO243" s="7">
        <v>4.0</v>
      </c>
      <c r="BP243" s="82"/>
      <c r="BQ243" s="7"/>
      <c r="BR243" s="7" t="s">
        <v>23</v>
      </c>
    </row>
    <row r="244">
      <c r="A244" s="16">
        <v>13.0</v>
      </c>
      <c r="B244" s="16" t="s">
        <v>241</v>
      </c>
      <c r="C244" s="53">
        <v>1.0</v>
      </c>
      <c r="D244" s="53" t="s">
        <v>242</v>
      </c>
      <c r="E244" s="7">
        <v>150.0</v>
      </c>
      <c r="F244" s="53"/>
      <c r="G244" s="7"/>
      <c r="H244" s="16">
        <v>1.0</v>
      </c>
      <c r="I244" s="81">
        <v>1.0</v>
      </c>
      <c r="J244" s="16" t="s">
        <v>3016</v>
      </c>
      <c r="K244" s="53"/>
      <c r="L244" s="53"/>
      <c r="M244" s="39" t="str">
        <f t="shared" si="1"/>
        <v>[https://stanford-ppl.github.io/website/papers/sc13-hong.pdf Hong’s algorithm (2013)]</v>
      </c>
      <c r="N244" s="39" t="s">
        <v>3027</v>
      </c>
      <c r="O244" s="81">
        <v>2013.0</v>
      </c>
      <c r="P244" s="28" t="s">
        <v>3028</v>
      </c>
      <c r="Q244" s="82"/>
      <c r="R244" s="82"/>
      <c r="S244" s="82"/>
      <c r="T244" s="81">
        <v>0.0</v>
      </c>
      <c r="U244" s="16">
        <v>0.0</v>
      </c>
      <c r="V244" s="89">
        <f>IFERROR(__xludf.DUMMYFUNCTION("INDEX(SPLIT(SUBSTITUTE(W244,CHAR(10), """"),"",:""), MATCH(Z244, SPLIT(SUBSTITUTE(W244,CHAR(10), """"),"",:""), 0) + 1)"),6.0)</f>
        <v>6</v>
      </c>
      <c r="W244" s="85" t="s">
        <v>3019</v>
      </c>
      <c r="X244" s="16" t="s">
        <v>3020</v>
      </c>
      <c r="Y244" s="53" t="s">
        <v>3002</v>
      </c>
      <c r="Z244" s="53" t="str">
        <f t="array" ref="Z244">INDEX(Problems!J:J, MATCH(1, (Problems!B:B=B244)*1, 0))</f>
        <v>V</v>
      </c>
      <c r="AA244" s="53"/>
      <c r="AB244" s="53"/>
      <c r="AC244" s="53" t="s">
        <v>1813</v>
      </c>
      <c r="AD244" s="53" t="s">
        <v>1814</v>
      </c>
      <c r="AE244" s="85">
        <f>IFERROR(__xludf.DUMMYFUNCTION("INDEX(SPLIT(SUBSTITUTE(AF244,CHAR(10), """"),"",:""), MATCH(Z244, SPLIT(SUBSTITUTE(AF244,CHAR(10), """"),"",:""), 0) + 1)"),3.0)</f>
        <v>3</v>
      </c>
      <c r="AF244" s="85" t="s">
        <v>2987</v>
      </c>
      <c r="AG244" s="119" t="s">
        <v>3025</v>
      </c>
      <c r="AH244" s="119" t="s">
        <v>3029</v>
      </c>
      <c r="AI244" s="84">
        <v>1.0</v>
      </c>
      <c r="AJ244" s="84">
        <v>0.0</v>
      </c>
      <c r="AK244" s="87"/>
      <c r="AL244" s="81">
        <v>0.0</v>
      </c>
      <c r="AM244" s="87"/>
      <c r="AN244" s="81">
        <v>0.0</v>
      </c>
      <c r="AO244" s="90"/>
      <c r="AP244" s="81">
        <v>0.0</v>
      </c>
      <c r="AQ244" s="81">
        <v>1.0</v>
      </c>
      <c r="AR244" s="39"/>
      <c r="AS244" s="81">
        <v>0.0</v>
      </c>
      <c r="AT244" s="81">
        <v>0.0</v>
      </c>
      <c r="AU244" s="39"/>
      <c r="AV244" s="7" t="s">
        <v>2971</v>
      </c>
      <c r="AW244" s="82"/>
      <c r="AX244" s="82"/>
      <c r="AY244" s="7" t="s">
        <v>2972</v>
      </c>
      <c r="AZ244" s="7"/>
      <c r="BA244" s="7"/>
      <c r="BB244" s="7"/>
      <c r="BC244" s="7"/>
      <c r="BD244" s="7"/>
      <c r="BE244" s="7"/>
      <c r="BF244" s="7">
        <v>428571.0</v>
      </c>
      <c r="BG244" s="82">
        <f t="shared" si="35"/>
        <v>0.002333335667</v>
      </c>
      <c r="BH244" s="82"/>
      <c r="BI244" s="82"/>
      <c r="BJ244" s="82"/>
      <c r="BK244" s="82"/>
      <c r="BL244" s="82"/>
      <c r="BM244" s="82"/>
      <c r="BN244" s="7"/>
      <c r="BO244" s="7">
        <v>4.0</v>
      </c>
      <c r="BP244" s="82"/>
      <c r="BQ244" s="7"/>
      <c r="BR244" s="7" t="s">
        <v>23</v>
      </c>
    </row>
    <row r="245">
      <c r="A245" s="16">
        <v>14.0</v>
      </c>
      <c r="B245" s="16" t="s">
        <v>263</v>
      </c>
      <c r="C245" s="53">
        <v>1.0</v>
      </c>
      <c r="D245" s="53" t="s">
        <v>264</v>
      </c>
      <c r="E245" s="7">
        <v>151.0</v>
      </c>
      <c r="F245" s="53"/>
      <c r="G245" s="7"/>
      <c r="H245" s="16">
        <v>1.0</v>
      </c>
      <c r="I245" s="81">
        <v>1.0</v>
      </c>
      <c r="J245" s="39" t="s">
        <v>3030</v>
      </c>
      <c r="K245" s="53"/>
      <c r="L245" s="53"/>
      <c r="M245" s="39" t="str">
        <f t="shared" si="1"/>
        <v>[- Borůvka's algorithm (1926)]</v>
      </c>
      <c r="N245" s="39" t="s">
        <v>3031</v>
      </c>
      <c r="O245" s="83">
        <v>1926.0</v>
      </c>
      <c r="P245" s="39" t="s">
        <v>1937</v>
      </c>
      <c r="Q245" s="7">
        <v>1.0</v>
      </c>
      <c r="R245" s="7">
        <v>1.0</v>
      </c>
      <c r="S245" s="47" t="s">
        <v>3032</v>
      </c>
      <c r="T245" s="81">
        <v>1.0</v>
      </c>
      <c r="U245" s="16">
        <v>0.0</v>
      </c>
      <c r="V245" s="89">
        <f>IFERROR(__xludf.DUMMYFUNCTION("INDEX(SPLIT(SUBSTITUTE(W245,CHAR(10), """"),"",:""), MATCH(Z245, SPLIT(SUBSTITUTE(W245,CHAR(10), """"),"",:""), 0) + 1)"),5.01)</f>
        <v>5.01</v>
      </c>
      <c r="W245" s="85" t="s">
        <v>2175</v>
      </c>
      <c r="X245" s="16" t="s">
        <v>3033</v>
      </c>
      <c r="Y245" s="53" t="s">
        <v>2177</v>
      </c>
      <c r="Z245" s="53" t="str">
        <f t="array" ref="Z245">INDEX(Problems!J:J, MATCH(1, (Problems!B:B=B245)*1, 0))</f>
        <v>V</v>
      </c>
      <c r="AA245" s="53"/>
      <c r="AB245" s="53"/>
      <c r="AC245" s="53" t="s">
        <v>1813</v>
      </c>
      <c r="AD245" s="53" t="s">
        <v>1814</v>
      </c>
      <c r="AE245" s="85">
        <f>IFERROR(__xludf.DUMMYFUNCTION("INDEX(SPLIT(SUBSTITUTE(AF245,CHAR(10), """"),"",:""), MATCH(Z245, SPLIT(SUBSTITUTE(AF245,CHAR(10), """"),"",:""), 0) + 1)"),3.0)</f>
        <v>3</v>
      </c>
      <c r="AF245" s="85" t="s">
        <v>2977</v>
      </c>
      <c r="AG245" s="53" t="s">
        <v>3034</v>
      </c>
      <c r="AH245" s="53" t="s">
        <v>1993</v>
      </c>
      <c r="AI245" s="84">
        <v>1.0</v>
      </c>
      <c r="AJ245" s="84">
        <v>0.0</v>
      </c>
      <c r="AK245" s="87"/>
      <c r="AL245" s="81">
        <v>0.0</v>
      </c>
      <c r="AM245" s="87"/>
      <c r="AN245" s="81">
        <v>0.0</v>
      </c>
      <c r="AO245" s="90"/>
      <c r="AP245" s="81">
        <v>0.0</v>
      </c>
      <c r="AQ245" s="81">
        <v>0.0</v>
      </c>
      <c r="AR245" s="39"/>
      <c r="AS245" s="81">
        <v>0.0</v>
      </c>
      <c r="AT245" s="81">
        <v>0.0</v>
      </c>
      <c r="AU245" s="39"/>
      <c r="AV245" s="7" t="s">
        <v>2178</v>
      </c>
      <c r="AW245" s="82"/>
      <c r="AX245" s="82"/>
      <c r="AY245" s="7" t="s">
        <v>2179</v>
      </c>
      <c r="AZ245" s="7"/>
      <c r="BA245" s="7"/>
      <c r="BB245" s="7"/>
      <c r="BC245" s="7"/>
      <c r="BD245" s="7"/>
      <c r="BE245" s="7"/>
      <c r="BF245" s="7">
        <v>5075.0</v>
      </c>
      <c r="BG245" s="82">
        <f t="shared" ref="BG245:BG253" si="36">5075/BF245</f>
        <v>1</v>
      </c>
      <c r="BH245" s="82"/>
      <c r="BI245" s="82">
        <f>(7/12)*LOG(((5/12)*1000000),2)*1000000</f>
        <v>10889978.26</v>
      </c>
      <c r="BJ245" s="7">
        <v>1.0</v>
      </c>
      <c r="BK245" s="82"/>
      <c r="BL245" s="82">
        <f>(7/12)*LOG(((5/12)*1000000000),2)*1000000000</f>
        <v>16703352428</v>
      </c>
      <c r="BM245" s="7">
        <v>1.0</v>
      </c>
      <c r="BN245" s="7"/>
      <c r="BO245" s="7">
        <v>5.0</v>
      </c>
      <c r="BP245" s="82"/>
      <c r="BQ245" s="47" t="s">
        <v>3035</v>
      </c>
      <c r="BR245" s="7" t="s">
        <v>23</v>
      </c>
    </row>
    <row r="246">
      <c r="A246" s="16">
        <v>14.0</v>
      </c>
      <c r="B246" s="16" t="s">
        <v>263</v>
      </c>
      <c r="C246" s="53">
        <v>1.0</v>
      </c>
      <c r="D246" s="53" t="s">
        <v>264</v>
      </c>
      <c r="E246" s="7">
        <v>152.0</v>
      </c>
      <c r="F246" s="53"/>
      <c r="G246" s="7"/>
      <c r="H246" s="16">
        <v>1.0</v>
      </c>
      <c r="I246" s="81">
        <v>1.0</v>
      </c>
      <c r="J246" s="39" t="s">
        <v>251</v>
      </c>
      <c r="K246" s="53"/>
      <c r="L246" s="53"/>
      <c r="M246" s="39" t="str">
        <f t="shared" si="1"/>
        <v>[https://ieeexplore.ieee.org/document/6773228 Prim's algorithm + adjacency matrix searching (1957)]</v>
      </c>
      <c r="N246" s="21" t="s">
        <v>3036</v>
      </c>
      <c r="O246" s="81">
        <v>1957.0</v>
      </c>
      <c r="P246" s="28" t="s">
        <v>3037</v>
      </c>
      <c r="Q246" s="82"/>
      <c r="R246" s="82"/>
      <c r="S246" s="82"/>
      <c r="T246" s="81">
        <v>0.0</v>
      </c>
      <c r="U246" s="16">
        <v>0.0</v>
      </c>
      <c r="V246" s="89">
        <f>IFERROR(__xludf.DUMMYFUNCTION("INDEX(SPLIT(SUBSTITUTE(W246,CHAR(10), """"),"",:""), MATCH(Z246, SPLIT(SUBSTITUTE(W246,CHAR(10), """"),"",:""), 0) + 1)"),5.0)</f>
        <v>5</v>
      </c>
      <c r="W246" s="85" t="s">
        <v>3038</v>
      </c>
      <c r="X246" s="16" t="s">
        <v>3001</v>
      </c>
      <c r="Y246" s="53" t="s">
        <v>2177</v>
      </c>
      <c r="Z246" s="53" t="str">
        <f t="array" ref="Z246">INDEX(Problems!J:J, MATCH(1, (Problems!B:B=B246)*1, 0))</f>
        <v>V</v>
      </c>
      <c r="AA246" s="53"/>
      <c r="AB246" s="53"/>
      <c r="AC246" s="53" t="s">
        <v>1813</v>
      </c>
      <c r="AD246" s="53" t="s">
        <v>1814</v>
      </c>
      <c r="AE246" s="85">
        <f>IFERROR(__xludf.DUMMYFUNCTION("INDEX(SPLIT(SUBSTITUTE(AF246,CHAR(10), """"),"",:""), MATCH(Z246, SPLIT(SUBSTITUTE(AF246,CHAR(10), """"),"",:""), 0) + 1)"),3.0)</f>
        <v>3</v>
      </c>
      <c r="AF246" s="85" t="s">
        <v>2977</v>
      </c>
      <c r="AG246" s="53" t="s">
        <v>3034</v>
      </c>
      <c r="AH246" s="53" t="s">
        <v>1993</v>
      </c>
      <c r="AI246" s="84">
        <v>1.0</v>
      </c>
      <c r="AJ246" s="84">
        <v>0.0</v>
      </c>
      <c r="AK246" s="87"/>
      <c r="AL246" s="81">
        <v>0.0</v>
      </c>
      <c r="AM246" s="87"/>
      <c r="AN246" s="81">
        <v>0.0</v>
      </c>
      <c r="AO246" s="90"/>
      <c r="AP246" s="81">
        <v>0.0</v>
      </c>
      <c r="AQ246" s="81">
        <v>0.0</v>
      </c>
      <c r="AR246" s="39"/>
      <c r="AS246" s="81">
        <v>0.0</v>
      </c>
      <c r="AT246" s="81">
        <v>0.0</v>
      </c>
      <c r="AU246" s="39"/>
      <c r="AV246" s="7" t="s">
        <v>2178</v>
      </c>
      <c r="AW246" s="82"/>
      <c r="AX246" s="82"/>
      <c r="AY246" s="7" t="s">
        <v>2179</v>
      </c>
      <c r="AZ246" s="7"/>
      <c r="BA246" s="7"/>
      <c r="BB246" s="7"/>
      <c r="BC246" s="7"/>
      <c r="BD246" s="7"/>
      <c r="BE246" s="7"/>
      <c r="BF246" s="7">
        <v>173611.0</v>
      </c>
      <c r="BG246" s="82">
        <f t="shared" si="36"/>
        <v>0.02923201871</v>
      </c>
      <c r="BH246" s="82"/>
      <c r="BI246" s="82"/>
      <c r="BJ246" s="82"/>
      <c r="BK246" s="82"/>
      <c r="BL246" s="82"/>
      <c r="BM246" s="82"/>
      <c r="BN246" s="7"/>
      <c r="BO246" s="7">
        <v>5.0</v>
      </c>
      <c r="BP246" s="82"/>
      <c r="BQ246" s="7"/>
      <c r="BR246" s="7" t="s">
        <v>23</v>
      </c>
    </row>
    <row r="247">
      <c r="A247" s="16">
        <v>14.0</v>
      </c>
      <c r="B247" s="16" t="s">
        <v>263</v>
      </c>
      <c r="C247" s="53">
        <v>1.0</v>
      </c>
      <c r="D247" s="53" t="s">
        <v>264</v>
      </c>
      <c r="E247" s="7">
        <v>153.0</v>
      </c>
      <c r="F247" s="53"/>
      <c r="G247" s="7"/>
      <c r="H247" s="16">
        <v>1.0</v>
      </c>
      <c r="I247" s="81">
        <v>1.0</v>
      </c>
      <c r="J247" s="39" t="s">
        <v>3012</v>
      </c>
      <c r="K247" s="53"/>
      <c r="L247" s="53"/>
      <c r="M247" s="39" t="str">
        <f t="shared" si="1"/>
        <v>[https://dl.acm.org/citation.cfm?id=28874 Prim's algorithm + Fibonacci heaps; Fredman &amp; Tarjan (1987)]</v>
      </c>
      <c r="N247" s="39" t="s">
        <v>3039</v>
      </c>
      <c r="O247" s="81">
        <v>1987.0</v>
      </c>
      <c r="P247" s="28" t="s">
        <v>3040</v>
      </c>
      <c r="Q247" s="82"/>
      <c r="R247" s="82"/>
      <c r="S247" s="82"/>
      <c r="T247" s="81">
        <v>0.0</v>
      </c>
      <c r="U247" s="16">
        <v>0.0</v>
      </c>
      <c r="V247" s="89">
        <f>IFERROR(__xludf.DUMMYFUNCTION("INDEX(SPLIT(SUBSTITUTE(W247,CHAR(10), """"),"",:""), MATCH(Z247, SPLIT(SUBSTITUTE(W247,CHAR(10), """"),"",:""), 0) + 1)"),5.0)</f>
        <v>5</v>
      </c>
      <c r="W247" s="85" t="s">
        <v>2185</v>
      </c>
      <c r="X247" s="16" t="s">
        <v>3015</v>
      </c>
      <c r="Y247" s="53" t="s">
        <v>2177</v>
      </c>
      <c r="Z247" s="53" t="str">
        <f t="array" ref="Z247">INDEX(Problems!J:J, MATCH(1, (Problems!B:B=B247)*1, 0))</f>
        <v>V</v>
      </c>
      <c r="AA247" s="53"/>
      <c r="AB247" s="53"/>
      <c r="AC247" s="53" t="s">
        <v>1813</v>
      </c>
      <c r="AD247" s="53" t="s">
        <v>1814</v>
      </c>
      <c r="AE247" s="85">
        <f>IFERROR(__xludf.DUMMYFUNCTION("INDEX(SPLIT(SUBSTITUTE(AF247,CHAR(10), """"),"",:""), MATCH(Z247, SPLIT(SUBSTITUTE(AF247,CHAR(10), """"),"",:""), 0) + 1)"),3.0)</f>
        <v>3</v>
      </c>
      <c r="AF247" s="85" t="s">
        <v>2977</v>
      </c>
      <c r="AG247" s="53" t="s">
        <v>3041</v>
      </c>
      <c r="AH247" s="53" t="s">
        <v>1993</v>
      </c>
      <c r="AI247" s="84">
        <v>1.0</v>
      </c>
      <c r="AJ247" s="84">
        <v>0.0</v>
      </c>
      <c r="AK247" s="87"/>
      <c r="AL247" s="81">
        <v>0.0</v>
      </c>
      <c r="AM247" s="87"/>
      <c r="AN247" s="81">
        <v>0.0</v>
      </c>
      <c r="AO247" s="90"/>
      <c r="AP247" s="81">
        <v>0.0</v>
      </c>
      <c r="AQ247" s="81">
        <v>0.0</v>
      </c>
      <c r="AR247" s="39"/>
      <c r="AS247" s="81">
        <v>0.0</v>
      </c>
      <c r="AT247" s="81">
        <v>0.0</v>
      </c>
      <c r="AU247" s="39"/>
      <c r="AV247" s="7" t="s">
        <v>2178</v>
      </c>
      <c r="AW247" s="82"/>
      <c r="AX247" s="82"/>
      <c r="AY247" s="7" t="s">
        <v>2179</v>
      </c>
      <c r="AZ247" s="7"/>
      <c r="BA247" s="7"/>
      <c r="BB247" s="7"/>
      <c r="BC247" s="7"/>
      <c r="BD247" s="7"/>
      <c r="BE247" s="7"/>
      <c r="BF247" s="7">
        <v>4208.0</v>
      </c>
      <c r="BG247" s="82">
        <f t="shared" si="36"/>
        <v>1.206036122</v>
      </c>
      <c r="BH247" s="82"/>
      <c r="BI247" s="82"/>
      <c r="BJ247" s="82"/>
      <c r="BK247" s="82"/>
      <c r="BL247" s="82"/>
      <c r="BM247" s="82"/>
      <c r="BN247" s="7"/>
      <c r="BO247" s="7">
        <v>5.0</v>
      </c>
      <c r="BP247" s="82"/>
      <c r="BQ247" s="7"/>
      <c r="BR247" s="7" t="s">
        <v>23</v>
      </c>
    </row>
    <row r="248">
      <c r="A248" s="16">
        <v>14.0</v>
      </c>
      <c r="B248" s="16" t="s">
        <v>263</v>
      </c>
      <c r="C248" s="53">
        <v>1.0</v>
      </c>
      <c r="D248" s="53" t="s">
        <v>264</v>
      </c>
      <c r="E248" s="7">
        <v>154.0</v>
      </c>
      <c r="F248" s="53"/>
      <c r="G248" s="7"/>
      <c r="H248" s="16">
        <v>1.0</v>
      </c>
      <c r="I248" s="81">
        <v>1.0</v>
      </c>
      <c r="J248" s="39" t="s">
        <v>3042</v>
      </c>
      <c r="K248" s="53"/>
      <c r="L248" s="53"/>
      <c r="M248" s="39" t="str">
        <f t="shared" si="1"/>
        <v>[https://www.jstor.org/stable/2033241 Kruskal's algorithm (1956)]</v>
      </c>
      <c r="N248" s="39" t="s">
        <v>3043</v>
      </c>
      <c r="O248" s="81">
        <v>1956.0</v>
      </c>
      <c r="P248" s="28" t="s">
        <v>3044</v>
      </c>
      <c r="Q248" s="82"/>
      <c r="R248" s="82"/>
      <c r="S248" s="82"/>
      <c r="T248" s="81">
        <v>0.0</v>
      </c>
      <c r="U248" s="16">
        <v>0.0</v>
      </c>
      <c r="V248" s="89">
        <f>IFERROR(__xludf.DUMMYFUNCTION("INDEX(SPLIT(SUBSTITUTE(W248,CHAR(10), """"),"",:""), MATCH(Z248, SPLIT(SUBSTITUTE(W248,CHAR(10), """"),"",:""), 0) + 1)"),5.01)</f>
        <v>5.01</v>
      </c>
      <c r="W248" s="85" t="s">
        <v>3045</v>
      </c>
      <c r="X248" s="16" t="s">
        <v>3046</v>
      </c>
      <c r="Y248" s="53" t="s">
        <v>2177</v>
      </c>
      <c r="Z248" s="53" t="str">
        <f t="array" ref="Z248">INDEX(Problems!J:J, MATCH(1, (Problems!B:B=B248)*1, 0))</f>
        <v>V</v>
      </c>
      <c r="AA248" s="53"/>
      <c r="AB248" s="53"/>
      <c r="AC248" s="53" t="s">
        <v>1813</v>
      </c>
      <c r="AD248" s="53" t="s">
        <v>1814</v>
      </c>
      <c r="AE248" s="85">
        <f>IFERROR(__xludf.DUMMYFUNCTION("INDEX(SPLIT(SUBSTITUTE(AF248,CHAR(10), """"),"",:""), MATCH(Z248, SPLIT(SUBSTITUTE(AF248,CHAR(10), """"),"",:""), 0) + 1)"),5.0)</f>
        <v>5</v>
      </c>
      <c r="AF248" s="85" t="s">
        <v>2185</v>
      </c>
      <c r="AG248" s="53" t="s">
        <v>3047</v>
      </c>
      <c r="AH248" s="53" t="s">
        <v>1993</v>
      </c>
      <c r="AI248" s="84">
        <v>1.0</v>
      </c>
      <c r="AJ248" s="84">
        <v>0.0</v>
      </c>
      <c r="AK248" s="87"/>
      <c r="AL248" s="81">
        <v>0.0</v>
      </c>
      <c r="AM248" s="87"/>
      <c r="AN248" s="81">
        <v>0.0</v>
      </c>
      <c r="AO248" s="90"/>
      <c r="AP248" s="81">
        <v>0.0</v>
      </c>
      <c r="AQ248" s="81">
        <v>0.0</v>
      </c>
      <c r="AR248" s="39"/>
      <c r="AS248" s="81">
        <v>0.0</v>
      </c>
      <c r="AT248" s="81">
        <v>0.0</v>
      </c>
      <c r="AU248" s="39"/>
      <c r="AV248" s="7" t="s">
        <v>2178</v>
      </c>
      <c r="AW248" s="82"/>
      <c r="AX248" s="82"/>
      <c r="AY248" s="7" t="s">
        <v>2179</v>
      </c>
      <c r="AZ248" s="7"/>
      <c r="BA248" s="7"/>
      <c r="BB248" s="7"/>
      <c r="BC248" s="7"/>
      <c r="BD248" s="7"/>
      <c r="BE248" s="7"/>
      <c r="BF248" s="7">
        <v>5355.0</v>
      </c>
      <c r="BG248" s="82">
        <f t="shared" si="36"/>
        <v>0.9477124183</v>
      </c>
      <c r="BH248" s="82"/>
      <c r="BI248" s="82"/>
      <c r="BJ248" s="82"/>
      <c r="BK248" s="82"/>
      <c r="BL248" s="82"/>
      <c r="BM248" s="82"/>
      <c r="BN248" s="7"/>
      <c r="BO248" s="7">
        <v>5.0</v>
      </c>
      <c r="BP248" s="82"/>
      <c r="BQ248" s="7"/>
      <c r="BR248" s="7" t="s">
        <v>23</v>
      </c>
    </row>
    <row r="249">
      <c r="A249" s="16">
        <v>14.0</v>
      </c>
      <c r="B249" s="16" t="s">
        <v>263</v>
      </c>
      <c r="C249" s="53">
        <v>1.0</v>
      </c>
      <c r="D249" s="53" t="s">
        <v>264</v>
      </c>
      <c r="E249" s="7">
        <v>155.0</v>
      </c>
      <c r="F249" s="53"/>
      <c r="G249" s="7"/>
      <c r="H249" s="16">
        <v>1.0</v>
      </c>
      <c r="I249" s="81">
        <v>1.0</v>
      </c>
      <c r="J249" s="39" t="s">
        <v>3048</v>
      </c>
      <c r="K249" s="53"/>
      <c r="L249" s="53"/>
      <c r="M249" s="39" t="str">
        <f t="shared" si="1"/>
        <v>[https://www.sciencedirect.com/science/article/pii/0020019075900563 Yao's algorithm (1975)]</v>
      </c>
      <c r="N249" s="39" t="s">
        <v>3049</v>
      </c>
      <c r="O249" s="81">
        <v>1975.0</v>
      </c>
      <c r="P249" s="28" t="s">
        <v>3050</v>
      </c>
      <c r="Q249" s="82"/>
      <c r="R249" s="82"/>
      <c r="S249" s="82"/>
      <c r="T249" s="83">
        <v>1.0</v>
      </c>
      <c r="U249" s="16">
        <v>0.0</v>
      </c>
      <c r="V249" s="89">
        <f>IFERROR(__xludf.DUMMYFUNCTION("INDEX(SPLIT(SUBSTITUTE(W249,CHAR(10), """"),"",:""), MATCH(Z249, SPLIT(SUBSTITUTE(W249,CHAR(10), """"),"",:""), 0) + 1)"),5.001)</f>
        <v>5.001</v>
      </c>
      <c r="W249" s="85" t="s">
        <v>3051</v>
      </c>
      <c r="X249" s="16" t="s">
        <v>3052</v>
      </c>
      <c r="Y249" s="53" t="s">
        <v>2177</v>
      </c>
      <c r="Z249" s="53" t="str">
        <f t="array" ref="Z249">INDEX(Problems!J:J, MATCH(1, (Problems!B:B=B249)*1, 0))</f>
        <v>V</v>
      </c>
      <c r="AA249" s="53"/>
      <c r="AB249" s="53"/>
      <c r="AC249" s="53" t="s">
        <v>1813</v>
      </c>
      <c r="AD249" s="53" t="s">
        <v>1814</v>
      </c>
      <c r="AE249" s="85">
        <f>IFERROR(__xludf.DUMMYFUNCTION("INDEX(SPLIT(SUBSTITUTE(AF249,CHAR(10), """"),"",:""), MATCH(Z249, SPLIT(SUBSTITUTE(AF249,CHAR(10), """"),"",:""), 0) + 1)"),5.0)</f>
        <v>5</v>
      </c>
      <c r="AF249" s="85" t="s">
        <v>2185</v>
      </c>
      <c r="AG249" s="53" t="s">
        <v>3053</v>
      </c>
      <c r="AH249" s="53" t="s">
        <v>1993</v>
      </c>
      <c r="AI249" s="84">
        <v>1.0</v>
      </c>
      <c r="AJ249" s="84">
        <v>0.0</v>
      </c>
      <c r="AK249" s="87"/>
      <c r="AL249" s="81">
        <v>0.0</v>
      </c>
      <c r="AM249" s="87"/>
      <c r="AN249" s="81">
        <v>0.0</v>
      </c>
      <c r="AO249" s="90"/>
      <c r="AP249" s="81">
        <v>0.0</v>
      </c>
      <c r="AQ249" s="81">
        <v>0.0</v>
      </c>
      <c r="AR249" s="39"/>
      <c r="AS249" s="81">
        <v>0.0</v>
      </c>
      <c r="AT249" s="81">
        <v>0.0</v>
      </c>
      <c r="AU249" s="39"/>
      <c r="AV249" s="7" t="s">
        <v>2178</v>
      </c>
      <c r="AW249" s="82"/>
      <c r="AX249" s="82"/>
      <c r="AY249" s="7" t="s">
        <v>2179</v>
      </c>
      <c r="AZ249" s="7"/>
      <c r="BA249" s="7"/>
      <c r="BB249" s="7"/>
      <c r="BC249" s="7"/>
      <c r="BD249" s="7"/>
      <c r="BE249" s="7"/>
      <c r="BF249" s="7">
        <v>1820.0</v>
      </c>
      <c r="BG249" s="82">
        <f t="shared" si="36"/>
        <v>2.788461538</v>
      </c>
      <c r="BH249" s="82">
        <f>POW(BG249,1/($O249-1940))-1</f>
        <v>0.02973317467</v>
      </c>
      <c r="BI249" s="82">
        <f>(7/12)*1000000*LOG(LOG((5/12)*1000000,2),2)</f>
        <v>2463146.436</v>
      </c>
      <c r="BJ249" s="82">
        <f>BI245/BI249</f>
        <v>4.421165588</v>
      </c>
      <c r="BK249" s="82">
        <f>POW(BJ249,1/($O249-1940))-1</f>
        <v>0.04338336425</v>
      </c>
      <c r="BL249" s="82">
        <f>(7/12)*1000000000*LOG(LOG((5/12)*1000000000,2),2)</f>
        <v>2823142793</v>
      </c>
      <c r="BM249" s="82">
        <f>BL245/BL249</f>
        <v>5.916580794</v>
      </c>
      <c r="BN249" s="82">
        <f>POW(BM249,1/($O249-1940))-1</f>
        <v>0.05210519661</v>
      </c>
      <c r="BO249" s="7">
        <v>5.0</v>
      </c>
      <c r="BP249" s="82"/>
      <c r="BQ249" s="7"/>
      <c r="BR249" s="7" t="s">
        <v>23</v>
      </c>
    </row>
    <row r="250">
      <c r="A250" s="16">
        <v>14.0</v>
      </c>
      <c r="B250" s="16" t="s">
        <v>263</v>
      </c>
      <c r="C250" s="53">
        <v>1.0</v>
      </c>
      <c r="D250" s="53" t="s">
        <v>264</v>
      </c>
      <c r="E250" s="7">
        <v>156.0</v>
      </c>
      <c r="F250" s="53"/>
      <c r="G250" s="7"/>
      <c r="H250" s="16">
        <v>1.0</v>
      </c>
      <c r="I250" s="81">
        <v>1.0</v>
      </c>
      <c r="J250" s="39" t="s">
        <v>3048</v>
      </c>
      <c r="K250" s="53"/>
      <c r="L250" s="53"/>
      <c r="M250" s="39" t="str">
        <f t="shared" si="1"/>
        <v>[https://epubs.siam.org/doi/abs/10.1137/0205051 Cheriton-Tarjan Algorithm (1976)]</v>
      </c>
      <c r="N250" s="39" t="s">
        <v>3054</v>
      </c>
      <c r="O250" s="81">
        <v>1976.0</v>
      </c>
      <c r="P250" s="28" t="s">
        <v>274</v>
      </c>
      <c r="Q250" s="82"/>
      <c r="R250" s="82"/>
      <c r="S250" s="82"/>
      <c r="T250" s="81">
        <v>0.0</v>
      </c>
      <c r="U250" s="16">
        <v>0.0</v>
      </c>
      <c r="V250" s="89">
        <f>IFERROR(__xludf.DUMMYFUNCTION("INDEX(SPLIT(SUBSTITUTE(W250,CHAR(10), """"),"",:""), MATCH(Z250, SPLIT(SUBSTITUTE(W250,CHAR(10), """"),"",:""), 0) + 1)"),5.001)</f>
        <v>5.001</v>
      </c>
      <c r="W250" s="85" t="s">
        <v>3051</v>
      </c>
      <c r="X250" s="16" t="s">
        <v>3052</v>
      </c>
      <c r="Y250" s="53" t="s">
        <v>2177</v>
      </c>
      <c r="Z250" s="53" t="str">
        <f t="array" ref="Z250">INDEX(Problems!J:J, MATCH(1, (Problems!B:B=B250)*1, 0))</f>
        <v>V</v>
      </c>
      <c r="AA250" s="53"/>
      <c r="AB250" s="53"/>
      <c r="AC250" s="53" t="s">
        <v>1813</v>
      </c>
      <c r="AD250" s="53" t="s">
        <v>1814</v>
      </c>
      <c r="AE250" s="85">
        <f>IFERROR(__xludf.DUMMYFUNCTION("INDEX(SPLIT(SUBSTITUTE(AF250,CHAR(10), """"),"",:""), MATCH(Z250, SPLIT(SUBSTITUTE(AF250,CHAR(10), """"),"",:""), 0) + 1)"),5.0)</f>
        <v>5</v>
      </c>
      <c r="AF250" s="85" t="s">
        <v>2185</v>
      </c>
      <c r="AG250" s="53" t="s">
        <v>3053</v>
      </c>
      <c r="AH250" s="53" t="s">
        <v>3055</v>
      </c>
      <c r="AI250" s="84">
        <v>1.0</v>
      </c>
      <c r="AJ250" s="84">
        <v>0.0</v>
      </c>
      <c r="AK250" s="87"/>
      <c r="AL250" s="81">
        <v>0.0</v>
      </c>
      <c r="AM250" s="87"/>
      <c r="AN250" s="81">
        <v>0.0</v>
      </c>
      <c r="AO250" s="90"/>
      <c r="AP250" s="81">
        <v>0.0</v>
      </c>
      <c r="AQ250" s="81">
        <v>0.0</v>
      </c>
      <c r="AR250" s="39"/>
      <c r="AS250" s="81">
        <v>0.0</v>
      </c>
      <c r="AT250" s="81">
        <v>0.0</v>
      </c>
      <c r="AU250" s="39"/>
      <c r="AV250" s="7" t="s">
        <v>2178</v>
      </c>
      <c r="AW250" s="82"/>
      <c r="AX250" s="82"/>
      <c r="AY250" s="7" t="s">
        <v>2179</v>
      </c>
      <c r="AZ250" s="7"/>
      <c r="BA250" s="7"/>
      <c r="BB250" s="7"/>
      <c r="BC250" s="7"/>
      <c r="BD250" s="7"/>
      <c r="BE250" s="7"/>
      <c r="BF250" s="7">
        <v>1820.0</v>
      </c>
      <c r="BG250" s="82">
        <f t="shared" si="36"/>
        <v>2.788461538</v>
      </c>
      <c r="BH250" s="82"/>
      <c r="BI250" s="82"/>
      <c r="BJ250" s="82"/>
      <c r="BK250" s="82"/>
      <c r="BL250" s="82"/>
      <c r="BM250" s="82"/>
      <c r="BN250" s="7"/>
      <c r="BO250" s="7">
        <v>5.0</v>
      </c>
      <c r="BP250" s="82"/>
      <c r="BQ250" s="7"/>
      <c r="BR250" s="7" t="s">
        <v>23</v>
      </c>
    </row>
    <row r="251">
      <c r="A251" s="16">
        <v>14.0</v>
      </c>
      <c r="B251" s="16" t="s">
        <v>263</v>
      </c>
      <c r="C251" s="53">
        <v>1.0</v>
      </c>
      <c r="D251" s="53" t="s">
        <v>264</v>
      </c>
      <c r="E251" s="7">
        <v>159.0</v>
      </c>
      <c r="F251" s="53"/>
      <c r="G251" s="7"/>
      <c r="H251" s="16">
        <v>1.0</v>
      </c>
      <c r="I251" s="81">
        <v>1.0</v>
      </c>
      <c r="J251" s="21" t="s">
        <v>3056</v>
      </c>
      <c r="K251" s="53" t="s">
        <v>3057</v>
      </c>
      <c r="L251" s="91" t="s">
        <v>3058</v>
      </c>
      <c r="M251" s="39" t="str">
        <f t="shared" si="1"/>
        <v>[https://dl.acm.org/citation.cfm?id=2791225 Filter Kruskal algorithm (2009)]</v>
      </c>
      <c r="N251" s="107" t="s">
        <v>3059</v>
      </c>
      <c r="O251" s="81">
        <v>2009.0</v>
      </c>
      <c r="P251" s="28" t="s">
        <v>266</v>
      </c>
      <c r="Q251" s="82"/>
      <c r="R251" s="82"/>
      <c r="S251" s="82"/>
      <c r="T251" s="81">
        <v>0.0</v>
      </c>
      <c r="U251" s="16">
        <v>0.0</v>
      </c>
      <c r="V251" s="89">
        <f>IFERROR(__xludf.DUMMYFUNCTION("INDEX(SPLIT(SUBSTITUTE(W251,CHAR(10), """"),"",:""), MATCH(Z251, SPLIT(SUBSTITUTE(W251,CHAR(10), """"),"",:""), 0) + 1)"),5.01)</f>
        <v>5.01</v>
      </c>
      <c r="W251" s="85" t="s">
        <v>3045</v>
      </c>
      <c r="X251" s="21" t="s">
        <v>3033</v>
      </c>
      <c r="Y251" s="53" t="s">
        <v>2177</v>
      </c>
      <c r="Z251" s="53" t="str">
        <f t="array" ref="Z251">INDEX(Problems!J:J, MATCH(1, (Problems!B:B=B251)*1, 0))</f>
        <v>V</v>
      </c>
      <c r="AA251" s="53"/>
      <c r="AB251" s="53"/>
      <c r="AC251" s="53" t="s">
        <v>1813</v>
      </c>
      <c r="AD251" s="53" t="s">
        <v>1814</v>
      </c>
      <c r="AE251" s="85">
        <f>IFERROR(__xludf.DUMMYFUNCTION("INDEX(SPLIT(SUBSTITUTE(AF251,CHAR(10), """"),"",:""), MATCH(Z251, SPLIT(SUBSTITUTE(AF251,CHAR(10), """"),"",:""), 0) + 1)"),5.0)</f>
        <v>5</v>
      </c>
      <c r="AF251" s="85" t="s">
        <v>2185</v>
      </c>
      <c r="AG251" s="53" t="s">
        <v>3053</v>
      </c>
      <c r="AH251" s="53" t="s">
        <v>3060</v>
      </c>
      <c r="AI251" s="84">
        <v>1.0</v>
      </c>
      <c r="AJ251" s="84">
        <v>0.0</v>
      </c>
      <c r="AK251" s="87"/>
      <c r="AL251" s="81">
        <v>0.0</v>
      </c>
      <c r="AM251" s="87"/>
      <c r="AN251" s="81">
        <v>0.0</v>
      </c>
      <c r="AO251" s="90"/>
      <c r="AP251" s="81">
        <v>0.0</v>
      </c>
      <c r="AQ251" s="81">
        <v>0.0</v>
      </c>
      <c r="AR251" s="39"/>
      <c r="AS251" s="81">
        <v>0.0</v>
      </c>
      <c r="AT251" s="81">
        <v>0.0</v>
      </c>
      <c r="AU251" s="39"/>
      <c r="AV251" s="7" t="s">
        <v>2178</v>
      </c>
      <c r="AW251" s="82"/>
      <c r="AX251" s="82"/>
      <c r="AY251" s="7" t="s">
        <v>2179</v>
      </c>
      <c r="AZ251" s="7"/>
      <c r="BA251" s="7"/>
      <c r="BB251" s="7"/>
      <c r="BC251" s="7"/>
      <c r="BD251" s="7"/>
      <c r="BE251" s="7"/>
      <c r="BF251" s="7">
        <v>12258.0</v>
      </c>
      <c r="BG251" s="82">
        <f t="shared" si="36"/>
        <v>0.4140153369</v>
      </c>
      <c r="BH251" s="82"/>
      <c r="BI251" s="82"/>
      <c r="BJ251" s="82"/>
      <c r="BK251" s="82"/>
      <c r="BL251" s="82"/>
      <c r="BM251" s="82"/>
      <c r="BN251" s="7"/>
      <c r="BO251" s="7">
        <v>5.0</v>
      </c>
      <c r="BP251" s="82"/>
      <c r="BQ251" s="7"/>
      <c r="BR251" s="7" t="s">
        <v>23</v>
      </c>
    </row>
    <row r="252">
      <c r="A252" s="16">
        <v>14.0</v>
      </c>
      <c r="B252" s="16" t="s">
        <v>263</v>
      </c>
      <c r="C252" s="53">
        <v>1.0</v>
      </c>
      <c r="D252" s="53" t="s">
        <v>264</v>
      </c>
      <c r="E252" s="7">
        <v>160.0</v>
      </c>
      <c r="F252" s="53"/>
      <c r="G252" s="7"/>
      <c r="H252" s="16">
        <v>1.0</v>
      </c>
      <c r="I252" s="81">
        <v>1.0</v>
      </c>
      <c r="J252" s="21" t="s">
        <v>3061</v>
      </c>
      <c r="K252" s="53"/>
      <c r="L252" s="53"/>
      <c r="M252" s="39" t="str">
        <f t="shared" si="1"/>
        <v>[https://www.cs.princeton.edu/~chazelle/pubs/mst.pdf Chazelle's algorithm (2000)]</v>
      </c>
      <c r="N252" s="39" t="s">
        <v>3062</v>
      </c>
      <c r="O252" s="81">
        <v>2000.0</v>
      </c>
      <c r="P252" s="17" t="s">
        <v>3063</v>
      </c>
      <c r="Q252" s="82"/>
      <c r="R252" s="82"/>
      <c r="S252" s="82"/>
      <c r="T252" s="83">
        <v>0.0</v>
      </c>
      <c r="U252" s="16">
        <v>0.0</v>
      </c>
      <c r="V252" s="89">
        <f>IFERROR(__xludf.DUMMYFUNCTION("INDEX(SPLIT(SUBSTITUTE(W252,CHAR(10), """"),"",:""), MATCH(Z252, SPLIT(SUBSTITUTE(W252,CHAR(10), """"),"",:""), 0) + 1)"),5.0)</f>
        <v>5</v>
      </c>
      <c r="W252" s="85" t="s">
        <v>2185</v>
      </c>
      <c r="X252" s="21" t="s">
        <v>3064</v>
      </c>
      <c r="Y252" s="53" t="s">
        <v>2177</v>
      </c>
      <c r="Z252" s="53" t="str">
        <f t="array" ref="Z252">INDEX(Problems!J:J, MATCH(1, (Problems!B:B=B252)*1, 0))</f>
        <v>V</v>
      </c>
      <c r="AA252" s="53"/>
      <c r="AB252" s="53"/>
      <c r="AC252" s="53" t="s">
        <v>1813</v>
      </c>
      <c r="AD252" s="53" t="s">
        <v>1814</v>
      </c>
      <c r="AE252" s="85">
        <f>IFERROR(__xludf.DUMMYFUNCTION("INDEX(SPLIT(SUBSTITUTE(AF252,CHAR(10), """"),"",:""), MATCH(Z252, SPLIT(SUBSTITUTE(AF252,CHAR(10), """"),"",:""), 0) + 1)"),5.0)</f>
        <v>5</v>
      </c>
      <c r="AF252" s="85" t="s">
        <v>2185</v>
      </c>
      <c r="AG252" s="53" t="s">
        <v>3065</v>
      </c>
      <c r="AH252" s="53" t="s">
        <v>3066</v>
      </c>
      <c r="AI252" s="87"/>
      <c r="AJ252" s="84" t="s">
        <v>2520</v>
      </c>
      <c r="AK252" s="87"/>
      <c r="AL252" s="81">
        <v>0.0</v>
      </c>
      <c r="AM252" s="87"/>
      <c r="AN252" s="81">
        <v>0.0</v>
      </c>
      <c r="AO252" s="90"/>
      <c r="AP252" s="81">
        <v>0.0</v>
      </c>
      <c r="AQ252" s="81">
        <v>0.0</v>
      </c>
      <c r="AR252" s="39"/>
      <c r="AS252" s="81">
        <v>0.0</v>
      </c>
      <c r="AT252" s="81">
        <v>0.0</v>
      </c>
      <c r="AU252" s="39"/>
      <c r="AV252" s="7" t="s">
        <v>2178</v>
      </c>
      <c r="AW252" s="82"/>
      <c r="AX252" s="82"/>
      <c r="AY252" s="7" t="s">
        <v>2179</v>
      </c>
      <c r="AZ252" s="7"/>
      <c r="BA252" s="7"/>
      <c r="BB252" s="7"/>
      <c r="BC252" s="7"/>
      <c r="BD252" s="7"/>
      <c r="BE252" s="7"/>
      <c r="BF252" s="7">
        <v>583.0</v>
      </c>
      <c r="BG252" s="82">
        <f t="shared" si="36"/>
        <v>8.704974271</v>
      </c>
      <c r="BH252" s="82"/>
      <c r="BI252" s="82"/>
      <c r="BJ252" s="82"/>
      <c r="BK252" s="82"/>
      <c r="BL252" s="82"/>
      <c r="BM252" s="82"/>
      <c r="BN252" s="7"/>
      <c r="BO252" s="7">
        <v>5.0</v>
      </c>
      <c r="BP252" s="82"/>
      <c r="BQ252" s="7"/>
      <c r="BR252" s="7" t="s">
        <v>23</v>
      </c>
    </row>
    <row r="253">
      <c r="A253" s="16">
        <v>14.0</v>
      </c>
      <c r="B253" s="16" t="s">
        <v>263</v>
      </c>
      <c r="C253" s="53">
        <v>1.0</v>
      </c>
      <c r="D253" s="53" t="s">
        <v>264</v>
      </c>
      <c r="E253" s="7">
        <v>161.0</v>
      </c>
      <c r="F253" s="53"/>
      <c r="G253" s="7"/>
      <c r="H253" s="16">
        <v>1.0</v>
      </c>
      <c r="I253" s="81">
        <v>1.0</v>
      </c>
      <c r="J253" s="39" t="s">
        <v>3067</v>
      </c>
      <c r="K253" s="53"/>
      <c r="L253" s="53"/>
      <c r="M253" s="39" t="str">
        <f t="shared" si="1"/>
        <v>[https://www.cs.princeton.edu/courses/archive/spr10/cos423/handouts/NearOpt.pdf Thorup (reverse-delete) (2000)]</v>
      </c>
      <c r="N253" s="16" t="s">
        <v>3068</v>
      </c>
      <c r="O253" s="81">
        <v>2000.0</v>
      </c>
      <c r="P253" s="28" t="s">
        <v>3069</v>
      </c>
      <c r="Q253" s="82"/>
      <c r="R253" s="82"/>
      <c r="S253" s="82"/>
      <c r="T253" s="81">
        <v>0.0</v>
      </c>
      <c r="U253" s="16">
        <v>0.0</v>
      </c>
      <c r="V253" s="89">
        <f>IFERROR(__xludf.DUMMYFUNCTION("INDEX(SPLIT(SUBSTITUTE(W253,CHAR(10), """"),"",:""), MATCH(Z253, SPLIT(SUBSTITUTE(W253,CHAR(10), """"),"",:""), 0) + 1)"),5.02)</f>
        <v>5.02</v>
      </c>
      <c r="W253" s="85" t="s">
        <v>3070</v>
      </c>
      <c r="X253" s="16" t="s">
        <v>3071</v>
      </c>
      <c r="Y253" s="53" t="s">
        <v>2177</v>
      </c>
      <c r="Z253" s="53" t="str">
        <f t="array" ref="Z253">INDEX(Problems!J:J, MATCH(1, (Problems!B:B=B253)*1, 0))</f>
        <v>V</v>
      </c>
      <c r="AA253" s="53"/>
      <c r="AB253" s="53"/>
      <c r="AC253" s="53" t="s">
        <v>1813</v>
      </c>
      <c r="AD253" s="53" t="s">
        <v>1814</v>
      </c>
      <c r="AE253" s="85">
        <f>IFERROR(__xludf.DUMMYFUNCTION("INDEX(SPLIT(SUBSTITUTE(AF253,CHAR(10), """"),"",:""), MATCH(Z253, SPLIT(SUBSTITUTE(AF253,CHAR(10), """"),"",:""), 0) + 1)"),5.0)</f>
        <v>5</v>
      </c>
      <c r="AF253" s="85" t="s">
        <v>2185</v>
      </c>
      <c r="AG253" s="53" t="s">
        <v>3053</v>
      </c>
      <c r="AH253" s="53" t="s">
        <v>1993</v>
      </c>
      <c r="AI253" s="84">
        <v>1.0</v>
      </c>
      <c r="AJ253" s="84">
        <v>0.0</v>
      </c>
      <c r="AK253" s="87"/>
      <c r="AL253" s="81">
        <v>0.0</v>
      </c>
      <c r="AM253" s="87"/>
      <c r="AN253" s="81">
        <v>0.0</v>
      </c>
      <c r="AO253" s="90"/>
      <c r="AP253" s="81">
        <v>0.0</v>
      </c>
      <c r="AQ253" s="81">
        <v>0.0</v>
      </c>
      <c r="AR253" s="39"/>
      <c r="AS253" s="81">
        <v>0.0</v>
      </c>
      <c r="AT253" s="81">
        <v>0.0</v>
      </c>
      <c r="AU253" s="39"/>
      <c r="AV253" s="7" t="s">
        <v>2178</v>
      </c>
      <c r="AW253" s="82"/>
      <c r="AX253" s="82"/>
      <c r="AY253" s="7" t="s">
        <v>2179</v>
      </c>
      <c r="AZ253" s="7"/>
      <c r="BA253" s="7"/>
      <c r="BB253" s="7"/>
      <c r="BC253" s="7"/>
      <c r="BD253" s="7"/>
      <c r="BE253" s="7"/>
      <c r="BF253" s="7">
        <v>154134.0</v>
      </c>
      <c r="BG253" s="82">
        <f t="shared" si="36"/>
        <v>0.03292589565</v>
      </c>
      <c r="BH253" s="82"/>
      <c r="BI253" s="82"/>
      <c r="BJ253" s="82"/>
      <c r="BK253" s="82"/>
      <c r="BL253" s="82"/>
      <c r="BM253" s="82"/>
      <c r="BN253" s="7"/>
      <c r="BO253" s="7">
        <v>5.0</v>
      </c>
      <c r="BP253" s="82"/>
      <c r="BQ253" s="7"/>
      <c r="BR253" s="7" t="s">
        <v>23</v>
      </c>
    </row>
    <row r="254">
      <c r="A254" s="127">
        <v>15.0</v>
      </c>
      <c r="B254" s="127" t="s">
        <v>291</v>
      </c>
      <c r="C254" s="53">
        <v>1.0</v>
      </c>
      <c r="D254" s="53" t="s">
        <v>2188</v>
      </c>
      <c r="E254" s="7">
        <v>165.0</v>
      </c>
      <c r="F254" s="53"/>
      <c r="G254" s="7"/>
      <c r="H254" s="16">
        <v>1.0</v>
      </c>
      <c r="I254" s="81">
        <v>1.0</v>
      </c>
      <c r="J254" s="21" t="s">
        <v>3072</v>
      </c>
      <c r="K254" s="53"/>
      <c r="L254" s="53"/>
      <c r="M254" s="39" t="str">
        <f t="shared" si="1"/>
        <v>[https://www.sciencedirect.com/science/article/pii/0020019079900851 Fortune and Hopcroft (1979)]</v>
      </c>
      <c r="N254" s="39" t="s">
        <v>3073</v>
      </c>
      <c r="O254" s="81">
        <v>1979.0</v>
      </c>
      <c r="P254" s="28" t="s">
        <v>3074</v>
      </c>
      <c r="Q254" s="82"/>
      <c r="R254" s="82"/>
      <c r="S254" s="82"/>
      <c r="T254" s="81">
        <v>0.0</v>
      </c>
      <c r="U254" s="16">
        <v>0.0</v>
      </c>
      <c r="V254" s="89">
        <f>IFERROR(__xludf.DUMMYFUNCTION("INDEX(SPLIT(SUBSTITUTE(W254,CHAR(10), """"),"",:""), MATCH(Z254, SPLIT(SUBSTITUTE(W254,CHAR(10), """"),"",:""), 0) + 1)"),4.0)</f>
        <v>4</v>
      </c>
      <c r="W254" s="85" t="s">
        <v>3075</v>
      </c>
      <c r="X254" s="21" t="s">
        <v>3076</v>
      </c>
      <c r="Y254" s="53" t="s">
        <v>2191</v>
      </c>
      <c r="Z254" s="53" t="str">
        <f t="array" ref="Z254">INDEX(Problems!J:J, MATCH(1, (Problems!B:B=B254)*1, 0))</f>
        <v>n</v>
      </c>
      <c r="AA254" s="53"/>
      <c r="AB254" s="53"/>
      <c r="AC254" s="53" t="s">
        <v>2152</v>
      </c>
      <c r="AD254" s="53" t="s">
        <v>1814</v>
      </c>
      <c r="AE254" s="85">
        <f>IFERROR(__xludf.DUMMYFUNCTION("INDEX(SPLIT(SUBSTITUTE(AF254,CHAR(10), """"),"",:""), MATCH(Z254, SPLIT(SUBSTITUTE(AF254,CHAR(10), """"),"",:""), 0) + 1)"),3.0)</f>
        <v>3</v>
      </c>
      <c r="AF254" s="85" t="s">
        <v>1763</v>
      </c>
      <c r="AG254" s="53" t="s">
        <v>35</v>
      </c>
      <c r="AH254" s="53" t="s">
        <v>3077</v>
      </c>
      <c r="AI254" s="84">
        <v>1.0</v>
      </c>
      <c r="AJ254" s="84">
        <v>0.0</v>
      </c>
      <c r="AK254" s="87"/>
      <c r="AL254" s="81">
        <v>0.0</v>
      </c>
      <c r="AM254" s="87"/>
      <c r="AN254" s="81">
        <v>0.0</v>
      </c>
      <c r="AO254" s="90"/>
      <c r="AP254" s="81">
        <v>0.0</v>
      </c>
      <c r="AQ254" s="81">
        <v>0.0</v>
      </c>
      <c r="AR254" s="39"/>
      <c r="AS254" s="81">
        <v>0.0</v>
      </c>
      <c r="AT254" s="81">
        <v>0.0</v>
      </c>
      <c r="AU254" s="25" t="s">
        <v>3078</v>
      </c>
      <c r="AV254" s="7" t="s">
        <v>2192</v>
      </c>
      <c r="AW254" s="82"/>
      <c r="AX254" s="82"/>
      <c r="AY254" s="7"/>
      <c r="AZ254" s="7"/>
      <c r="BA254" s="7"/>
      <c r="BB254" s="7"/>
      <c r="BC254" s="7"/>
      <c r="BD254" s="7"/>
      <c r="BE254" s="7"/>
      <c r="BF254" s="7">
        <v>3316.0</v>
      </c>
      <c r="BG254" s="82">
        <f t="shared" ref="BG254:BG261" si="37">1000000/BF254</f>
        <v>301.5681544</v>
      </c>
      <c r="BH254" s="82"/>
      <c r="BI254" s="82"/>
      <c r="BJ254" s="82"/>
      <c r="BK254" s="82"/>
      <c r="BL254" s="82"/>
      <c r="BM254" s="82"/>
      <c r="BN254" s="7"/>
      <c r="BO254" s="7">
        <v>4.0</v>
      </c>
      <c r="BP254" s="82"/>
      <c r="BQ254" s="7"/>
      <c r="BR254" s="7" t="s">
        <v>196</v>
      </c>
    </row>
    <row r="255">
      <c r="A255" s="145">
        <v>15.0</v>
      </c>
      <c r="B255" s="145" t="s">
        <v>291</v>
      </c>
      <c r="C255" s="53">
        <v>1.0</v>
      </c>
      <c r="D255" s="53" t="s">
        <v>2188</v>
      </c>
      <c r="E255" s="7">
        <v>166.0</v>
      </c>
      <c r="F255" s="53"/>
      <c r="G255" s="7"/>
      <c r="H255" s="16">
        <v>1.0</v>
      </c>
      <c r="I255" s="81">
        <v>1.0</v>
      </c>
      <c r="J255" s="21" t="s">
        <v>3079</v>
      </c>
      <c r="K255" s="53"/>
      <c r="L255" s="53"/>
      <c r="M255" s="39" t="str">
        <f t="shared" si="1"/>
        <v>[https://www.springer.com/gp/book/9780387961316 F. Preparata and M. Shamos (1986)]</v>
      </c>
      <c r="N255" s="39" t="s">
        <v>3080</v>
      </c>
      <c r="O255" s="81">
        <v>1986.0</v>
      </c>
      <c r="P255" s="28" t="s">
        <v>3081</v>
      </c>
      <c r="Q255" s="82"/>
      <c r="R255" s="82"/>
      <c r="S255" s="82"/>
      <c r="T255" s="81">
        <v>0.0</v>
      </c>
      <c r="U255" s="16">
        <v>0.0</v>
      </c>
      <c r="V255" s="89">
        <f>IFERROR(__xludf.DUMMYFUNCTION("INDEX(SPLIT(SUBSTITUTE(W255,CHAR(10), """"),"",:""), MATCH(Z255, SPLIT(SUBSTITUTE(W255,CHAR(10), """"),"",:""), 0) + 1)"),4.0)</f>
        <v>4</v>
      </c>
      <c r="W255" s="85" t="s">
        <v>3082</v>
      </c>
      <c r="X255" s="21" t="s">
        <v>3083</v>
      </c>
      <c r="Y255" s="53" t="s">
        <v>2191</v>
      </c>
      <c r="Z255" s="53" t="str">
        <f t="array" ref="Z255">INDEX(Problems!J:J, MATCH(1, (Problems!B:B=B255)*1, 0))</f>
        <v>n</v>
      </c>
      <c r="AA255" s="53"/>
      <c r="AB255" s="53"/>
      <c r="AC255" s="53" t="s">
        <v>2152</v>
      </c>
      <c r="AD255" s="53" t="s">
        <v>1814</v>
      </c>
      <c r="AE255" s="85">
        <f>IFERROR(__xludf.DUMMYFUNCTION("INDEX(SPLIT(SUBSTITUTE(AF255,CHAR(10), """"),"",:""), MATCH(Z255, SPLIT(SUBSTITUTE(AF255,CHAR(10), """"),"",:""), 0) + 1)"),3.0)</f>
        <v>3</v>
      </c>
      <c r="AF255" s="85" t="s">
        <v>1975</v>
      </c>
      <c r="AG255" s="53" t="s">
        <v>3084</v>
      </c>
      <c r="AH255" s="53" t="s">
        <v>3085</v>
      </c>
      <c r="AI255" s="84">
        <v>1.0</v>
      </c>
      <c r="AJ255" s="84">
        <v>0.0</v>
      </c>
      <c r="AK255" s="87"/>
      <c r="AL255" s="81">
        <v>0.0</v>
      </c>
      <c r="AM255" s="87"/>
      <c r="AN255" s="81">
        <v>0.0</v>
      </c>
      <c r="AO255" s="90"/>
      <c r="AP255" s="81">
        <v>0.0</v>
      </c>
      <c r="AQ255" s="81">
        <v>0.0</v>
      </c>
      <c r="AR255" s="39"/>
      <c r="AS255" s="81">
        <v>0.0</v>
      </c>
      <c r="AT255" s="81">
        <v>0.0</v>
      </c>
      <c r="AU255" s="39"/>
      <c r="AV255" s="7" t="s">
        <v>2192</v>
      </c>
      <c r="AW255" s="82"/>
      <c r="AX255" s="82"/>
      <c r="AY255" s="7"/>
      <c r="AZ255" s="7"/>
      <c r="BA255" s="7"/>
      <c r="BB255" s="7"/>
      <c r="BC255" s="7"/>
      <c r="BD255" s="7"/>
      <c r="BE255" s="7"/>
      <c r="BF255" s="7">
        <v>9965.0</v>
      </c>
      <c r="BG255" s="82">
        <f t="shared" si="37"/>
        <v>100.3512293</v>
      </c>
      <c r="BH255" s="82"/>
      <c r="BI255" s="82"/>
      <c r="BJ255" s="82"/>
      <c r="BK255" s="82"/>
      <c r="BL255" s="82"/>
      <c r="BM255" s="82"/>
      <c r="BN255" s="7"/>
      <c r="BO255" s="7">
        <v>4.0</v>
      </c>
      <c r="BP255" s="82"/>
      <c r="BQ255" s="7"/>
      <c r="BR255" s="7" t="s">
        <v>196</v>
      </c>
    </row>
    <row r="256">
      <c r="A256" s="127">
        <v>15.0</v>
      </c>
      <c r="B256" s="127" t="s">
        <v>291</v>
      </c>
      <c r="C256" s="53">
        <v>1.0</v>
      </c>
      <c r="D256" s="53" t="s">
        <v>2188</v>
      </c>
      <c r="E256" s="7">
        <v>167.0</v>
      </c>
      <c r="F256" s="53"/>
      <c r="G256" s="7"/>
      <c r="H256" s="16">
        <v>1.0</v>
      </c>
      <c r="I256" s="81">
        <v>1.0</v>
      </c>
      <c r="J256" s="21" t="s">
        <v>3086</v>
      </c>
      <c r="K256" s="53" t="s">
        <v>2182</v>
      </c>
      <c r="L256" s="53"/>
      <c r="M256" s="39" t="str">
        <f t="shared" si="1"/>
        <v>[https://dl.acm.org/citation.cfm?id=540196 Rabin' Algorithm (1976)]</v>
      </c>
      <c r="N256" s="39" t="s">
        <v>3087</v>
      </c>
      <c r="O256" s="81">
        <v>1976.0</v>
      </c>
      <c r="P256" s="17" t="s">
        <v>294</v>
      </c>
      <c r="Q256" s="82"/>
      <c r="R256" s="82"/>
      <c r="S256" s="82"/>
      <c r="T256" s="81">
        <v>1.0</v>
      </c>
      <c r="U256" s="39" t="s">
        <v>1818</v>
      </c>
      <c r="V256" s="89">
        <f>IFERROR(__xludf.DUMMYFUNCTION("INDEX(SPLIT(SUBSTITUTE(W256,CHAR(10), """"),"",:""), MATCH(Z256, SPLIT(SUBSTITUTE(W256,CHAR(10), """"),"",:""), 0) + 1)"),5.0)</f>
        <v>5</v>
      </c>
      <c r="W256" s="85" t="s">
        <v>3088</v>
      </c>
      <c r="X256" s="21" t="s">
        <v>3089</v>
      </c>
      <c r="Y256" s="53" t="s">
        <v>2191</v>
      </c>
      <c r="Z256" s="53" t="str">
        <f t="array" ref="Z256">INDEX(Problems!J:J, MATCH(1, (Problems!B:B=B256)*1, 0))</f>
        <v>n</v>
      </c>
      <c r="AA256" s="53"/>
      <c r="AB256" s="53"/>
      <c r="AC256" s="53" t="s">
        <v>2152</v>
      </c>
      <c r="AD256" s="53" t="s">
        <v>1814</v>
      </c>
      <c r="AE256" s="85">
        <f>IFERROR(__xludf.DUMMYFUNCTION("INDEX(SPLIT(SUBSTITUTE(AF256,CHAR(10), """"),"",:""), MATCH(Z256, SPLIT(SUBSTITUTE(AF256,CHAR(10), """"),"",:""), 0) + 1)"),3.0)</f>
        <v>3</v>
      </c>
      <c r="AF256" s="85" t="s">
        <v>1763</v>
      </c>
      <c r="AG256" s="53" t="s">
        <v>35</v>
      </c>
      <c r="AH256" s="53" t="s">
        <v>1993</v>
      </c>
      <c r="AI256" s="84">
        <v>1.0</v>
      </c>
      <c r="AJ256" s="84">
        <v>0.0</v>
      </c>
      <c r="AK256" s="87"/>
      <c r="AL256" s="81">
        <v>1.0</v>
      </c>
      <c r="AM256" s="84" t="s">
        <v>2187</v>
      </c>
      <c r="AN256" s="81">
        <v>0.0</v>
      </c>
      <c r="AO256" s="90"/>
      <c r="AP256" s="81">
        <v>0.0</v>
      </c>
      <c r="AQ256" s="81">
        <v>0.0</v>
      </c>
      <c r="AR256" s="39"/>
      <c r="AS256" s="81">
        <v>0.0</v>
      </c>
      <c r="AT256" s="81">
        <v>0.0</v>
      </c>
      <c r="AU256" s="39"/>
      <c r="AV256" s="7" t="s">
        <v>2192</v>
      </c>
      <c r="AW256" s="82"/>
      <c r="AX256" s="82"/>
      <c r="AY256" s="7"/>
      <c r="AZ256" s="7"/>
      <c r="BA256" s="7"/>
      <c r="BB256" s="7"/>
      <c r="BC256" s="7"/>
      <c r="BD256" s="7"/>
      <c r="BE256" s="7"/>
      <c r="BF256" s="7">
        <v>1000.0</v>
      </c>
      <c r="BG256" s="82">
        <f t="shared" si="37"/>
        <v>1000</v>
      </c>
      <c r="BH256" s="7"/>
      <c r="BI256" s="7">
        <v>1000000.0</v>
      </c>
      <c r="BJ256" s="7">
        <v>1000000.0</v>
      </c>
      <c r="BK256" s="7"/>
      <c r="BL256" s="7">
        <v>1.0E9</v>
      </c>
      <c r="BM256" s="7">
        <v>1.0E9</v>
      </c>
      <c r="BN256" s="7"/>
      <c r="BO256" s="7">
        <v>4.0</v>
      </c>
      <c r="BP256" s="82"/>
      <c r="BQ256" s="7"/>
      <c r="BR256" s="7" t="s">
        <v>196</v>
      </c>
    </row>
    <row r="257">
      <c r="A257" s="145">
        <v>15.0</v>
      </c>
      <c r="B257" s="145" t="s">
        <v>291</v>
      </c>
      <c r="C257" s="53">
        <v>1.0</v>
      </c>
      <c r="D257" s="53" t="s">
        <v>2188</v>
      </c>
      <c r="E257" s="7">
        <v>168.0</v>
      </c>
      <c r="F257" s="53"/>
      <c r="G257" s="7"/>
      <c r="H257" s="16">
        <v>1.0</v>
      </c>
      <c r="I257" s="81">
        <v>1.0</v>
      </c>
      <c r="J257" s="21" t="s">
        <v>3079</v>
      </c>
      <c r="K257" s="53"/>
      <c r="L257" s="53"/>
      <c r="M257" s="39" t="str">
        <f t="shared" si="1"/>
        <v>[https://dl.acm.org/citation.cfm?id=358850 Bentley (1980)]</v>
      </c>
      <c r="N257" s="39" t="s">
        <v>3090</v>
      </c>
      <c r="O257" s="81">
        <v>1980.0</v>
      </c>
      <c r="P257" s="28" t="s">
        <v>3091</v>
      </c>
      <c r="Q257" s="82"/>
      <c r="R257" s="82"/>
      <c r="S257" s="82"/>
      <c r="T257" s="81">
        <v>0.0</v>
      </c>
      <c r="U257" s="16">
        <v>0.0</v>
      </c>
      <c r="V257" s="89">
        <f>IFERROR(__xludf.DUMMYFUNCTION("INDEX(SPLIT(SUBSTITUTE(W257,CHAR(10), """"),"",:""), MATCH(Z257, SPLIT(SUBSTITUTE(W257,CHAR(10), """"),"",:""), 0) + 1)"),4.0)</f>
        <v>4</v>
      </c>
      <c r="W257" s="85" t="s">
        <v>2157</v>
      </c>
      <c r="X257" s="21" t="s">
        <v>3083</v>
      </c>
      <c r="Y257" s="53" t="s">
        <v>2191</v>
      </c>
      <c r="Z257" s="53" t="str">
        <f t="array" ref="Z257">INDEX(Problems!J:J, MATCH(1, (Problems!B:B=B257)*1, 0))</f>
        <v>n</v>
      </c>
      <c r="AA257" s="53"/>
      <c r="AB257" s="53"/>
      <c r="AC257" s="53" t="s">
        <v>2152</v>
      </c>
      <c r="AD257" s="53" t="s">
        <v>1814</v>
      </c>
      <c r="AE257" s="85">
        <f>IFERROR(__xludf.DUMMYFUNCTION("INDEX(SPLIT(SUBSTITUTE(AF257,CHAR(10), """"),"",:""), MATCH(Z257, SPLIT(SUBSTITUTE(AF257,CHAR(10), """"),"",:""), 0) + 1)"),3.0)</f>
        <v>3</v>
      </c>
      <c r="AF257" s="85" t="s">
        <v>1975</v>
      </c>
      <c r="AG257" s="53" t="s">
        <v>3084</v>
      </c>
      <c r="AH257" s="53" t="s">
        <v>3085</v>
      </c>
      <c r="AI257" s="84">
        <v>1.0</v>
      </c>
      <c r="AJ257" s="84">
        <v>0.0</v>
      </c>
      <c r="AK257" s="87"/>
      <c r="AL257" s="81">
        <v>0.0</v>
      </c>
      <c r="AM257" s="87"/>
      <c r="AN257" s="81">
        <v>0.0</v>
      </c>
      <c r="AO257" s="90"/>
      <c r="AP257" s="81">
        <v>0.0</v>
      </c>
      <c r="AQ257" s="81">
        <v>0.0</v>
      </c>
      <c r="AR257" s="39"/>
      <c r="AS257" s="81">
        <v>0.0</v>
      </c>
      <c r="AT257" s="81">
        <v>0.0</v>
      </c>
      <c r="AU257" s="39"/>
      <c r="AV257" s="7" t="s">
        <v>2192</v>
      </c>
      <c r="AW257" s="82"/>
      <c r="AX257" s="82"/>
      <c r="AY257" s="7"/>
      <c r="AZ257" s="7"/>
      <c r="BA257" s="7"/>
      <c r="BB257" s="7"/>
      <c r="BC257" s="7"/>
      <c r="BD257" s="7"/>
      <c r="BE257" s="7"/>
      <c r="BF257" s="7">
        <v>9965.0</v>
      </c>
      <c r="BG257" s="82">
        <f t="shared" si="37"/>
        <v>100.3512293</v>
      </c>
      <c r="BH257" s="82"/>
      <c r="BI257" s="82"/>
      <c r="BJ257" s="82"/>
      <c r="BK257" s="82"/>
      <c r="BL257" s="82"/>
      <c r="BM257" s="82"/>
      <c r="BN257" s="7"/>
      <c r="BO257" s="7">
        <v>4.0</v>
      </c>
      <c r="BP257" s="82"/>
      <c r="BQ257" s="7"/>
      <c r="BR257" s="7" t="s">
        <v>196</v>
      </c>
    </row>
    <row r="258">
      <c r="A258" s="127">
        <v>15.0</v>
      </c>
      <c r="B258" s="127" t="s">
        <v>291</v>
      </c>
      <c r="C258" s="53">
        <v>1.0</v>
      </c>
      <c r="D258" s="53" t="s">
        <v>2188</v>
      </c>
      <c r="E258" s="7">
        <v>169.0</v>
      </c>
      <c r="F258" s="53"/>
      <c r="G258" s="7"/>
      <c r="H258" s="16">
        <v>1.0</v>
      </c>
      <c r="I258" s="81">
        <v>1.0</v>
      </c>
      <c r="J258" s="21" t="s">
        <v>3079</v>
      </c>
      <c r="K258" s="53"/>
      <c r="L258" s="53"/>
      <c r="M258" s="39" t="str">
        <f t="shared" si="1"/>
        <v>[https://dl.acm.org/citation.cfm?id=803652 Bentley; Shamos (1976)]</v>
      </c>
      <c r="N258" s="39" t="s">
        <v>3092</v>
      </c>
      <c r="O258" s="81">
        <v>1976.0</v>
      </c>
      <c r="P258" s="17" t="s">
        <v>3093</v>
      </c>
      <c r="Q258" s="82"/>
      <c r="R258" s="82"/>
      <c r="S258" s="82"/>
      <c r="T258" s="81">
        <v>0.0</v>
      </c>
      <c r="U258" s="16">
        <v>0.0</v>
      </c>
      <c r="V258" s="89">
        <f>IFERROR(__xludf.DUMMYFUNCTION("INDEX(SPLIT(SUBSTITUTE(W258,CHAR(10), """"),"",:""), MATCH(Z258, SPLIT(SUBSTITUTE(W258,CHAR(10), """"),"",:""), 0) + 1)"),4.0)</f>
        <v>4</v>
      </c>
      <c r="W258" s="85" t="s">
        <v>2157</v>
      </c>
      <c r="X258" s="21" t="s">
        <v>3083</v>
      </c>
      <c r="Y258" s="53" t="s">
        <v>2191</v>
      </c>
      <c r="Z258" s="53" t="str">
        <f t="array" ref="Z258">INDEX(Problems!J:J, MATCH(1, (Problems!B:B=B258)*1, 0))</f>
        <v>n</v>
      </c>
      <c r="AA258" s="53"/>
      <c r="AB258" s="53"/>
      <c r="AC258" s="53" t="s">
        <v>2152</v>
      </c>
      <c r="AD258" s="53" t="s">
        <v>1814</v>
      </c>
      <c r="AE258" s="85">
        <f>IFERROR(__xludf.DUMMYFUNCTION("INDEX(SPLIT(SUBSTITUTE(AF258,CHAR(10), """"),"",:""), MATCH(Z258, SPLIT(SUBSTITUTE(AF258,CHAR(10), """"),"",:""), 0) + 1)"),3.0)</f>
        <v>3</v>
      </c>
      <c r="AF258" s="85" t="s">
        <v>1975</v>
      </c>
      <c r="AG258" s="53" t="s">
        <v>3084</v>
      </c>
      <c r="AH258" s="53" t="s">
        <v>3085</v>
      </c>
      <c r="AI258" s="84">
        <v>1.0</v>
      </c>
      <c r="AJ258" s="84">
        <v>0.0</v>
      </c>
      <c r="AK258" s="87"/>
      <c r="AL258" s="81">
        <v>0.0</v>
      </c>
      <c r="AM258" s="87"/>
      <c r="AN258" s="81">
        <v>0.0</v>
      </c>
      <c r="AO258" s="90"/>
      <c r="AP258" s="81">
        <v>0.0</v>
      </c>
      <c r="AQ258" s="81">
        <v>0.0</v>
      </c>
      <c r="AR258" s="39"/>
      <c r="AS258" s="81">
        <v>0.0</v>
      </c>
      <c r="AT258" s="81">
        <v>0.0</v>
      </c>
      <c r="AU258" s="39"/>
      <c r="AV258" s="7" t="s">
        <v>2192</v>
      </c>
      <c r="AW258" s="82"/>
      <c r="AX258" s="82"/>
      <c r="AY258" s="7"/>
      <c r="AZ258" s="7"/>
      <c r="BA258" s="7"/>
      <c r="BB258" s="7"/>
      <c r="BC258" s="7"/>
      <c r="BD258" s="7"/>
      <c r="BE258" s="7"/>
      <c r="BF258" s="7">
        <v>9965.0</v>
      </c>
      <c r="BG258" s="82">
        <f t="shared" si="37"/>
        <v>100.3512293</v>
      </c>
      <c r="BH258" s="82"/>
      <c r="BI258" s="82"/>
      <c r="BJ258" s="82"/>
      <c r="BK258" s="82"/>
      <c r="BL258" s="82"/>
      <c r="BM258" s="82"/>
      <c r="BN258" s="7"/>
      <c r="BO258" s="7">
        <v>4.0</v>
      </c>
      <c r="BP258" s="82"/>
      <c r="BQ258" s="7"/>
      <c r="BR258" s="7" t="s">
        <v>196</v>
      </c>
    </row>
    <row r="259">
      <c r="A259" s="127">
        <v>15.0</v>
      </c>
      <c r="B259" s="127" t="s">
        <v>291</v>
      </c>
      <c r="C259" s="53">
        <v>1.0</v>
      </c>
      <c r="D259" s="53" t="s">
        <v>3094</v>
      </c>
      <c r="E259" s="7">
        <v>170.0</v>
      </c>
      <c r="F259" s="53"/>
      <c r="G259" s="7"/>
      <c r="H259" s="16">
        <v>1.0</v>
      </c>
      <c r="I259" s="81">
        <v>1.0</v>
      </c>
      <c r="J259" s="39" t="s">
        <v>1949</v>
      </c>
      <c r="K259" s="53"/>
      <c r="L259" s="53"/>
      <c r="M259" s="39" t="str">
        <f t="shared" si="1"/>
        <v>[https://www.sciencedirect.com/science/article/pii/0020019088901500 Hinrichs; Nievergelt; Schorn (1988)]</v>
      </c>
      <c r="N259" s="39" t="s">
        <v>3095</v>
      </c>
      <c r="O259" s="81">
        <v>1988.0</v>
      </c>
      <c r="P259" s="28" t="s">
        <v>301</v>
      </c>
      <c r="Q259" s="82"/>
      <c r="R259" s="82"/>
      <c r="S259" s="82"/>
      <c r="T259" s="81">
        <v>0.0</v>
      </c>
      <c r="U259" s="16">
        <v>0.0</v>
      </c>
      <c r="V259" s="89">
        <f>IFERROR(__xludf.DUMMYFUNCTION("INDEX(SPLIT(SUBSTITUTE(W259,CHAR(10), """"),"",:""), MATCH(Z259, SPLIT(SUBSTITUTE(W259,CHAR(10), """"),"",:""), 0) + 1)"),4.0)</f>
        <v>4</v>
      </c>
      <c r="W259" s="85" t="s">
        <v>1791</v>
      </c>
      <c r="X259" s="16" t="s">
        <v>45</v>
      </c>
      <c r="Y259" s="53" t="s">
        <v>3096</v>
      </c>
      <c r="Z259" s="53" t="str">
        <f t="array" ref="Z259">INDEX(Problems!J:J, MATCH(1, (Problems!B:B=B259)*1, 0))</f>
        <v>n</v>
      </c>
      <c r="AA259" s="53"/>
      <c r="AB259" s="53"/>
      <c r="AC259" s="53" t="s">
        <v>2152</v>
      </c>
      <c r="AD259" s="53" t="s">
        <v>1814</v>
      </c>
      <c r="AE259" s="85">
        <f>IFERROR(__xludf.DUMMYFUNCTION("INDEX(SPLIT(SUBSTITUTE(AF259,CHAR(10), """"),"",:""), MATCH(Z259, SPLIT(SUBSTITUTE(AF259,CHAR(10), """"),"",:""), 0) + 1)"),3.0)</f>
        <v>3</v>
      </c>
      <c r="AF259" s="85" t="s">
        <v>1763</v>
      </c>
      <c r="AG259" s="53" t="s">
        <v>35</v>
      </c>
      <c r="AH259" s="91" t="s">
        <v>301</v>
      </c>
      <c r="AI259" s="84">
        <v>0.0</v>
      </c>
      <c r="AJ259" s="84">
        <v>1.0</v>
      </c>
      <c r="AK259" s="87"/>
      <c r="AL259" s="81">
        <v>0.0</v>
      </c>
      <c r="AM259" s="87"/>
      <c r="AN259" s="81">
        <v>0.0</v>
      </c>
      <c r="AO259" s="90"/>
      <c r="AP259" s="81">
        <v>0.0</v>
      </c>
      <c r="AQ259" s="81">
        <v>0.0</v>
      </c>
      <c r="AR259" s="39"/>
      <c r="AS259" s="81">
        <v>0.0</v>
      </c>
      <c r="AT259" s="81">
        <v>0.0</v>
      </c>
      <c r="AU259" s="39"/>
      <c r="AV259" s="7" t="s">
        <v>2192</v>
      </c>
      <c r="AW259" s="82"/>
      <c r="AX259" s="82"/>
      <c r="AY259" s="7"/>
      <c r="AZ259" s="7"/>
      <c r="BA259" s="7"/>
      <c r="BB259" s="7"/>
      <c r="BC259" s="7"/>
      <c r="BD259" s="7"/>
      <c r="BE259" s="7"/>
      <c r="BF259" s="7">
        <v>9965.0</v>
      </c>
      <c r="BG259" s="82">
        <f t="shared" si="37"/>
        <v>100.3512293</v>
      </c>
      <c r="BH259" s="82"/>
      <c r="BI259" s="82"/>
      <c r="BJ259" s="82"/>
      <c r="BK259" s="82"/>
      <c r="BL259" s="82"/>
      <c r="BM259" s="82"/>
      <c r="BN259" s="7"/>
      <c r="BO259" s="7">
        <v>4.0</v>
      </c>
      <c r="BP259" s="82"/>
      <c r="BQ259" s="7"/>
      <c r="BR259" s="7" t="s">
        <v>196</v>
      </c>
    </row>
    <row r="260">
      <c r="A260" s="127">
        <v>15.0</v>
      </c>
      <c r="B260" s="127" t="s">
        <v>291</v>
      </c>
      <c r="C260" s="53">
        <v>1.0</v>
      </c>
      <c r="D260" s="53" t="s">
        <v>302</v>
      </c>
      <c r="E260" s="7">
        <v>171.0</v>
      </c>
      <c r="F260" s="53"/>
      <c r="G260" s="7"/>
      <c r="H260" s="16">
        <v>1.0</v>
      </c>
      <c r="I260" s="81">
        <v>1.0</v>
      </c>
      <c r="J260" s="39" t="s">
        <v>1949</v>
      </c>
      <c r="K260" s="53"/>
      <c r="L260" s="53"/>
      <c r="M260" s="39" t="str">
        <f t="shared" si="1"/>
        <v>[https://ieeexplore.ieee.org/document/4567872 Shamos; Hoey (1975)]</v>
      </c>
      <c r="N260" s="39" t="s">
        <v>3097</v>
      </c>
      <c r="O260" s="81">
        <v>1975.0</v>
      </c>
      <c r="P260" s="113" t="s">
        <v>304</v>
      </c>
      <c r="Q260" s="7">
        <v>2.0</v>
      </c>
      <c r="R260" s="7">
        <v>1.0</v>
      </c>
      <c r="S260" s="114" t="s">
        <v>3098</v>
      </c>
      <c r="T260" s="81">
        <v>1.0</v>
      </c>
      <c r="U260" s="39" t="s">
        <v>1952</v>
      </c>
      <c r="V260" s="89">
        <f>IFERROR(__xludf.DUMMYFUNCTION("INDEX(SPLIT(SUBSTITUTE(W260,CHAR(10), """"),"",:""), MATCH(Z260, SPLIT(SUBSTITUTE(W260,CHAR(10), """"),"",:""), 0) + 1)"),4.0)</f>
        <v>4</v>
      </c>
      <c r="W260" s="85" t="s">
        <v>1791</v>
      </c>
      <c r="X260" s="16" t="s">
        <v>45</v>
      </c>
      <c r="Y260" s="53" t="s">
        <v>3096</v>
      </c>
      <c r="Z260" s="53" t="str">
        <f t="array" ref="Z260">INDEX(Problems!J:J, MATCH(1, (Problems!B:B=B260)*1, 0))</f>
        <v>n</v>
      </c>
      <c r="AA260" s="53"/>
      <c r="AB260" s="53"/>
      <c r="AC260" s="53" t="s">
        <v>2152</v>
      </c>
      <c r="AD260" s="53" t="s">
        <v>1814</v>
      </c>
      <c r="AE260" s="85">
        <f>IFERROR(__xludf.DUMMYFUNCTION("INDEX(SPLIT(SUBSTITUTE(AF260,CHAR(10), """"),"",:""), MATCH(Z260, SPLIT(SUBSTITUTE(AF260,CHAR(10), """"),"",:""), 0) + 1)"),3.0)</f>
        <v>3</v>
      </c>
      <c r="AF260" s="85" t="s">
        <v>1763</v>
      </c>
      <c r="AG260" s="53" t="s">
        <v>35</v>
      </c>
      <c r="AH260" s="53" t="s">
        <v>3099</v>
      </c>
      <c r="AI260" s="84">
        <v>1.0</v>
      </c>
      <c r="AJ260" s="84">
        <v>0.0</v>
      </c>
      <c r="AK260" s="87"/>
      <c r="AL260" s="81">
        <v>0.0</v>
      </c>
      <c r="AM260" s="87"/>
      <c r="AN260" s="81">
        <v>0.0</v>
      </c>
      <c r="AO260" s="90"/>
      <c r="AP260" s="81">
        <v>0.0</v>
      </c>
      <c r="AQ260" s="81">
        <v>0.0</v>
      </c>
      <c r="AR260" s="39"/>
      <c r="AS260" s="81">
        <v>0.0</v>
      </c>
      <c r="AT260" s="81">
        <v>0.0</v>
      </c>
      <c r="AU260" s="39"/>
      <c r="AV260" s="7" t="s">
        <v>2192</v>
      </c>
      <c r="AW260" s="82"/>
      <c r="AX260" s="82"/>
      <c r="AY260" s="7"/>
      <c r="AZ260" s="7"/>
      <c r="BA260" s="7"/>
      <c r="BB260" s="7"/>
      <c r="BC260" s="7"/>
      <c r="BD260" s="7"/>
      <c r="BE260" s="7"/>
      <c r="BF260" s="7">
        <v>9965.0</v>
      </c>
      <c r="BG260" s="82">
        <f t="shared" si="37"/>
        <v>100.3512293</v>
      </c>
      <c r="BH260" s="82">
        <f>POW(BG260, 1)-1</f>
        <v>99.3512293</v>
      </c>
      <c r="BI260" s="82">
        <f>1000000*LOG(1000000,2)</f>
        <v>19931568.57</v>
      </c>
      <c r="BJ260" s="82">
        <f>BI72/BI260</f>
        <v>50171.66594</v>
      </c>
      <c r="BK260" s="82">
        <f>POW(BJ260, 1)-1</f>
        <v>50170.66594</v>
      </c>
      <c r="BL260" s="82">
        <f>1000000000*LOG(1000000000,2)</f>
        <v>29897352854</v>
      </c>
      <c r="BM260" s="82">
        <f>BL72/BL260</f>
        <v>33447777.3</v>
      </c>
      <c r="BN260" s="82">
        <f>POW(BM260, 1)-1</f>
        <v>33447776.3</v>
      </c>
      <c r="BO260" s="7">
        <v>4.0</v>
      </c>
      <c r="BP260" s="82"/>
      <c r="BQ260" s="7"/>
      <c r="BR260" s="7" t="s">
        <v>196</v>
      </c>
    </row>
    <row r="261">
      <c r="A261" s="127">
        <v>15.0</v>
      </c>
      <c r="B261" s="127" t="s">
        <v>291</v>
      </c>
      <c r="C261" s="53">
        <v>1.0</v>
      </c>
      <c r="D261" s="53" t="s">
        <v>305</v>
      </c>
      <c r="E261" s="7">
        <v>173.0</v>
      </c>
      <c r="F261" s="53"/>
      <c r="G261" s="7"/>
      <c r="H261" s="16">
        <v>1.0</v>
      </c>
      <c r="I261" s="81">
        <v>1.0</v>
      </c>
      <c r="J261" s="16" t="s">
        <v>3100</v>
      </c>
      <c r="K261" s="53"/>
      <c r="L261" s="53"/>
      <c r="M261" s="39" t="str">
        <f t="shared" si="1"/>
        <v>[https://www.sciencedirect.com/science/article/pii/0020019080900356 Dyer (1980)]</v>
      </c>
      <c r="N261" s="39" t="s">
        <v>3101</v>
      </c>
      <c r="O261" s="81">
        <v>1980.0</v>
      </c>
      <c r="P261" s="28" t="s">
        <v>307</v>
      </c>
      <c r="Q261" s="82"/>
      <c r="R261" s="82"/>
      <c r="S261" s="82"/>
      <c r="T261" s="81">
        <v>0.0</v>
      </c>
      <c r="U261" s="16">
        <v>0.0</v>
      </c>
      <c r="V261" s="89">
        <f>IFERROR(__xludf.DUMMYFUNCTION("INDEX(SPLIT(SUBSTITUTE(W261,CHAR(10), """"),"",:""), MATCH(Z261, SPLIT(SUBSTITUTE(W261,CHAR(10), """"),"",:""), 0) + 1)"),3.0)</f>
        <v>3</v>
      </c>
      <c r="W261" s="85" t="s">
        <v>1763</v>
      </c>
      <c r="X261" s="16" t="s">
        <v>3102</v>
      </c>
      <c r="Y261" s="53" t="s">
        <v>3096</v>
      </c>
      <c r="Z261" s="53" t="str">
        <f t="array" ref="Z261">INDEX(Problems!J:J, MATCH(1, (Problems!B:B=B261)*1, 0))</f>
        <v>n</v>
      </c>
      <c r="AA261" s="53"/>
      <c r="AB261" s="53"/>
      <c r="AC261" s="53" t="s">
        <v>3103</v>
      </c>
      <c r="AD261" s="53" t="s">
        <v>1814</v>
      </c>
      <c r="AE261" s="85">
        <f>IFERROR(__xludf.DUMMYFUNCTION("INDEX(SPLIT(SUBSTITUTE(AF261,CHAR(10), """"),"",:""), MATCH(Z261, SPLIT(SUBSTITUTE(AF261,CHAR(10), """"),"",:""), 0) + 1)"),5.0)</f>
        <v>5</v>
      </c>
      <c r="AF261" s="85" t="s">
        <v>1938</v>
      </c>
      <c r="AG261" s="53" t="s">
        <v>115</v>
      </c>
      <c r="AH261" s="121" t="s">
        <v>307</v>
      </c>
      <c r="AI261" s="84">
        <v>0.0</v>
      </c>
      <c r="AJ261" s="84">
        <v>1.0</v>
      </c>
      <c r="AK261" s="87"/>
      <c r="AL261" s="81">
        <v>0.0</v>
      </c>
      <c r="AM261" s="87"/>
      <c r="AN261" s="81">
        <v>0.0</v>
      </c>
      <c r="AO261" s="90"/>
      <c r="AP261" s="81">
        <v>0.0</v>
      </c>
      <c r="AQ261" s="81">
        <v>1.0</v>
      </c>
      <c r="AR261" s="39" t="s">
        <v>115</v>
      </c>
      <c r="AS261" s="81">
        <v>0.0</v>
      </c>
      <c r="AT261" s="81">
        <v>0.0</v>
      </c>
      <c r="AU261" s="39"/>
      <c r="AV261" s="7" t="s">
        <v>2192</v>
      </c>
      <c r="AW261" s="82"/>
      <c r="AX261" s="82"/>
      <c r="AY261" s="7"/>
      <c r="AZ261" s="7"/>
      <c r="BA261" s="7"/>
      <c r="BB261" s="7"/>
      <c r="BC261" s="7"/>
      <c r="BD261" s="7"/>
      <c r="BE261" s="7"/>
      <c r="BF261" s="7">
        <v>1000.0</v>
      </c>
      <c r="BG261" s="82">
        <f t="shared" si="37"/>
        <v>1000</v>
      </c>
      <c r="BH261" s="82"/>
      <c r="BI261" s="82"/>
      <c r="BJ261" s="82"/>
      <c r="BK261" s="82"/>
      <c r="BL261" s="82"/>
      <c r="BM261" s="82"/>
      <c r="BN261" s="7"/>
      <c r="BO261" s="7">
        <v>4.0</v>
      </c>
      <c r="BP261" s="82"/>
      <c r="BQ261" s="7"/>
      <c r="BR261" s="7" t="s">
        <v>196</v>
      </c>
    </row>
    <row r="262">
      <c r="A262" s="16">
        <v>16.0</v>
      </c>
      <c r="B262" s="16" t="s">
        <v>308</v>
      </c>
      <c r="C262" s="53">
        <v>1.0</v>
      </c>
      <c r="D262" s="53" t="s">
        <v>315</v>
      </c>
      <c r="E262" s="7">
        <v>174.0</v>
      </c>
      <c r="F262" s="53"/>
      <c r="G262" s="7"/>
      <c r="H262" s="16">
        <v>1.0</v>
      </c>
      <c r="I262" s="81">
        <v>1.0</v>
      </c>
      <c r="J262" s="39" t="str">
        <f>"O( V"&amp;CHAR(178)&amp;" EL)"</f>
        <v>O( V² EL)</v>
      </c>
      <c r="K262" s="53"/>
      <c r="L262" s="53"/>
      <c r="M262" s="39" t="str">
        <f t="shared" si="1"/>
        <v>[https://apps.dtic.mil/sti/pdfs/AD0422842.pdf Bellman–Ford algorithm (Ford 1956) (1956)]</v>
      </c>
      <c r="N262" s="39" t="s">
        <v>3104</v>
      </c>
      <c r="O262" s="81">
        <v>1956.0</v>
      </c>
      <c r="P262" s="113" t="s">
        <v>311</v>
      </c>
      <c r="Q262" s="7">
        <v>1.0</v>
      </c>
      <c r="R262" s="7">
        <v>1.0</v>
      </c>
      <c r="S262" s="114" t="s">
        <v>3105</v>
      </c>
      <c r="T262" s="16">
        <v>1.0</v>
      </c>
      <c r="U262" s="16">
        <v>0.0</v>
      </c>
      <c r="V262" s="89">
        <f>IFERROR(__xludf.DUMMYFUNCTION("INDEX(SPLIT(SUBSTITUTE(W262,CHAR(10), """"),"",:""), MATCH(Z262, SPLIT(SUBSTITUTE(W262,CHAR(10), """"),"",:""), 0) + 1)"),7.0)</f>
        <v>7</v>
      </c>
      <c r="W262" s="85" t="s">
        <v>3106</v>
      </c>
      <c r="X262" s="16" t="s">
        <v>3107</v>
      </c>
      <c r="Y262" s="53" t="s">
        <v>3108</v>
      </c>
      <c r="Z262" s="53" t="str">
        <f t="array" ref="Z262">INDEX(Problems!J:J, MATCH(1, (Problems!B:B=B262)*1, 0))</f>
        <v>V</v>
      </c>
      <c r="AA262" s="53"/>
      <c r="AB262" s="53"/>
      <c r="AC262" s="53" t="s">
        <v>2312</v>
      </c>
      <c r="AD262" s="53" t="s">
        <v>1814</v>
      </c>
      <c r="AE262" s="85">
        <f>IFERROR(__xludf.DUMMYFUNCTION("INDEX(SPLIT(SUBSTITUTE(AF262,CHAR(10), """"),"",:""), MATCH(Z262, SPLIT(SUBSTITUTE(AF262,CHAR(10), """"),"",:""), 0) + 1)"),5.0)</f>
        <v>5</v>
      </c>
      <c r="AF262" s="85" t="s">
        <v>2022</v>
      </c>
      <c r="AG262" s="53" t="s">
        <v>92</v>
      </c>
      <c r="AH262" s="53" t="s">
        <v>3109</v>
      </c>
      <c r="AI262" s="84">
        <v>1.0</v>
      </c>
      <c r="AJ262" s="84">
        <v>0.0</v>
      </c>
      <c r="AK262" s="87"/>
      <c r="AL262" s="81">
        <v>0.0</v>
      </c>
      <c r="AM262" s="87"/>
      <c r="AN262" s="81">
        <v>0.0</v>
      </c>
      <c r="AO262" s="90"/>
      <c r="AP262" s="81">
        <v>0.0</v>
      </c>
      <c r="AQ262" s="81">
        <v>0.0</v>
      </c>
      <c r="AR262" s="39"/>
      <c r="AS262" s="81">
        <v>0.0</v>
      </c>
      <c r="AT262" s="81">
        <v>0.0</v>
      </c>
      <c r="AU262" s="39"/>
      <c r="AV262" s="7" t="s">
        <v>3110</v>
      </c>
      <c r="AW262" s="82"/>
      <c r="AX262" s="82"/>
      <c r="AY262" s="7" t="s">
        <v>3111</v>
      </c>
      <c r="AZ262" s="7">
        <f>1000*2/3</f>
        <v>666.6666667</v>
      </c>
      <c r="BA262" s="7"/>
      <c r="BB262" s="7">
        <f>1000000*2/3</f>
        <v>666666.6667</v>
      </c>
      <c r="BC262" s="7"/>
      <c r="BD262" s="7">
        <f>1000000000*2/3</f>
        <v>666666666.7</v>
      </c>
      <c r="BE262" s="7"/>
      <c r="BF262" s="7">
        <f>POW((1/3)*1000,2)*(2/3)*1000*100</f>
        <v>7407407407</v>
      </c>
      <c r="BG262" s="7">
        <v>1.0</v>
      </c>
      <c r="BH262" s="82"/>
      <c r="BI262" s="82">
        <f>(1/9)*POW(1000000,3)*100*(2/3)</f>
        <v>7.40741E+18</v>
      </c>
      <c r="BJ262" s="7">
        <v>1.0</v>
      </c>
      <c r="BK262" s="82"/>
      <c r="BL262" s="82">
        <f>(1/9)*POW(1000000000,3)*100*(2/3)</f>
        <v>7.40741E+27</v>
      </c>
      <c r="BM262" s="7">
        <v>1.0</v>
      </c>
      <c r="BN262" s="7"/>
      <c r="BO262" s="7">
        <v>2.0</v>
      </c>
      <c r="BP262" s="82"/>
      <c r="BQ262" s="7"/>
      <c r="BR262" s="7" t="s">
        <v>23</v>
      </c>
    </row>
    <row r="263">
      <c r="A263" s="16">
        <v>16.0</v>
      </c>
      <c r="B263" s="16" t="s">
        <v>308</v>
      </c>
      <c r="C263" s="53">
        <v>1.0</v>
      </c>
      <c r="D263" s="53" t="s">
        <v>315</v>
      </c>
      <c r="E263" s="7">
        <v>175.0</v>
      </c>
      <c r="F263" s="53"/>
      <c r="G263" s="7"/>
      <c r="H263" s="16">
        <v>1.0</v>
      </c>
      <c r="I263" s="81">
        <v>1.0</v>
      </c>
      <c r="J263" s="39" t="s">
        <v>2825</v>
      </c>
      <c r="K263" s="53"/>
      <c r="L263" s="53"/>
      <c r="M263" s="39" t="str">
        <f t="shared" si="1"/>
        <v>[https://www.ams.org/journals/qam/1958-16-01/S0033-569X-1958-0102435-2/S0033-569X-1958-0102435-2.pdf Bellman–Ford algorithm (Shimbel 1955; Bellman 1958; Moore 1959) (1959)]</v>
      </c>
      <c r="N263" s="39" t="s">
        <v>3112</v>
      </c>
      <c r="O263" s="81">
        <v>1959.0</v>
      </c>
      <c r="P263" s="96" t="s">
        <v>3113</v>
      </c>
      <c r="Q263" s="82"/>
      <c r="R263" s="82"/>
      <c r="S263" s="82"/>
      <c r="T263" s="16">
        <v>1.0</v>
      </c>
      <c r="U263" s="16" t="s">
        <v>3114</v>
      </c>
      <c r="V263" s="89">
        <f>IFERROR(__xludf.DUMMYFUNCTION("INDEX(SPLIT(SUBSTITUTE(W263,CHAR(10), """"),"",:""), MATCH(Z263, SPLIT(SUBSTITUTE(W263,CHAR(10), """"),"",:""), 0) + 1)"),6.0)</f>
        <v>6</v>
      </c>
      <c r="W263" s="85" t="s">
        <v>2754</v>
      </c>
      <c r="X263" s="16" t="s">
        <v>960</v>
      </c>
      <c r="Y263" s="53" t="s">
        <v>3108</v>
      </c>
      <c r="Z263" s="53" t="str">
        <f t="array" ref="Z263">INDEX(Problems!J:J, MATCH(1, (Problems!B:B=B263)*1, 0))</f>
        <v>V</v>
      </c>
      <c r="AA263" s="53"/>
      <c r="AB263" s="53"/>
      <c r="AC263" s="53" t="s">
        <v>2312</v>
      </c>
      <c r="AD263" s="53" t="s">
        <v>1814</v>
      </c>
      <c r="AE263" s="85">
        <f>IFERROR(__xludf.DUMMYFUNCTION("INDEX(SPLIT(SUBSTITUTE(AF263,CHAR(10), """"),"",:""), MATCH(Z263, SPLIT(SUBSTITUTE(AF263,CHAR(10), """"),"",:""), 0) + 1)"),3.0)</f>
        <v>3</v>
      </c>
      <c r="AF263" s="85" t="s">
        <v>2534</v>
      </c>
      <c r="AG263" s="53" t="s">
        <v>268</v>
      </c>
      <c r="AH263" s="53" t="s">
        <v>3115</v>
      </c>
      <c r="AI263" s="84">
        <v>1.0</v>
      </c>
      <c r="AJ263" s="84">
        <v>0.0</v>
      </c>
      <c r="AK263" s="87"/>
      <c r="AL263" s="81">
        <v>0.0</v>
      </c>
      <c r="AM263" s="87"/>
      <c r="AN263" s="81">
        <v>0.0</v>
      </c>
      <c r="AO263" s="90"/>
      <c r="AP263" s="81">
        <v>0.0</v>
      </c>
      <c r="AQ263" s="81">
        <v>0.0</v>
      </c>
      <c r="AR263" s="39"/>
      <c r="AS263" s="81">
        <v>0.0</v>
      </c>
      <c r="AT263" s="81">
        <v>0.0</v>
      </c>
      <c r="AU263" s="39"/>
      <c r="AV263" s="7" t="s">
        <v>3110</v>
      </c>
      <c r="AW263" s="82"/>
      <c r="AX263" s="82"/>
      <c r="AY263" s="7" t="s">
        <v>3111</v>
      </c>
      <c r="AZ263" s="7">
        <f>1000/3</f>
        <v>333.3333333</v>
      </c>
      <c r="BA263" s="7">
        <f>POW(AZ262/AZ263, 1/($O263-$O262))-1</f>
        <v>0.2599210499</v>
      </c>
      <c r="BB263" s="7">
        <f>1000000/3</f>
        <v>333333.3333</v>
      </c>
      <c r="BC263" s="7">
        <f>POW(BB262/BB263, 1/($O263-$O262))-1</f>
        <v>0.2599210499</v>
      </c>
      <c r="BD263" s="7">
        <f>1000000000/3</f>
        <v>333333333.3</v>
      </c>
      <c r="BE263" s="7">
        <f>POW(BD262/BD263, 1/($O263-$O262))-1</f>
        <v>0.2599210499</v>
      </c>
      <c r="BF263" s="7">
        <v>222222.0</v>
      </c>
      <c r="BG263" s="82">
        <f>BF262/BF263</f>
        <v>33333.36667</v>
      </c>
      <c r="BH263" s="82">
        <f>POW(BG263,1/($O263-$O$262)) - 1</f>
        <v>31.18299021</v>
      </c>
      <c r="BI263" s="82">
        <f>(2/3)*1000000*(1/3)*1000000</f>
        <v>222222222222</v>
      </c>
      <c r="BJ263" s="82">
        <f>BI262/BI263</f>
        <v>33333333.33</v>
      </c>
      <c r="BK263" s="82">
        <f>POW(BJ263,1/($O263-$O$262)) - 1</f>
        <v>320.8297949</v>
      </c>
      <c r="BL263" s="82">
        <f>(2/3)*1000000000*(1/3)*1000000000</f>
        <v>2.22222E+17</v>
      </c>
      <c r="BM263" s="82">
        <f>BL262/BL263</f>
        <v>33333333333</v>
      </c>
      <c r="BN263" s="82">
        <f>POW(BM263,1/($O263-$O$262)) - 1</f>
        <v>3217.297949</v>
      </c>
      <c r="BO263" s="7">
        <v>2.0</v>
      </c>
      <c r="BP263" s="82"/>
      <c r="BQ263" s="7"/>
      <c r="BR263" s="7" t="s">
        <v>23</v>
      </c>
    </row>
    <row r="264">
      <c r="A264" s="16">
        <v>16.0</v>
      </c>
      <c r="B264" s="16" t="s">
        <v>308</v>
      </c>
      <c r="C264" s="53">
        <v>1.0</v>
      </c>
      <c r="D264" s="53" t="s">
        <v>314</v>
      </c>
      <c r="E264" s="7">
        <v>176.0</v>
      </c>
      <c r="F264" s="53"/>
      <c r="G264" s="7"/>
      <c r="H264" s="16">
        <v>1.0</v>
      </c>
      <c r="I264" s="81">
        <v>1.0</v>
      </c>
      <c r="J264" s="39" t="str">
        <f>"O( V"&amp;CHAR(178)&amp;" logV)"</f>
        <v>O( V² logV)</v>
      </c>
      <c r="K264" s="53"/>
      <c r="L264" s="53"/>
      <c r="M264" s="39" t="str">
        <f t="shared" si="1"/>
        <v>[https://www.jstor.org/stable/pdf/2627005.pdf Bellman–Ford algorithm (Dantzig 1960) (1960)]</v>
      </c>
      <c r="N264" s="39" t="s">
        <v>3116</v>
      </c>
      <c r="O264" s="81">
        <v>1960.0</v>
      </c>
      <c r="P264" s="96" t="s">
        <v>3117</v>
      </c>
      <c r="Q264" s="82"/>
      <c r="R264" s="82"/>
      <c r="S264" s="82"/>
      <c r="T264" s="16">
        <v>0.0</v>
      </c>
      <c r="U264" s="16">
        <v>0.0</v>
      </c>
      <c r="V264" s="89">
        <f>IFERROR(__xludf.DUMMYFUNCTION("INDEX(SPLIT(SUBSTITUTE(W264,CHAR(10), """"),"",:""), MATCH(Z264, SPLIT(SUBSTITUTE(W264,CHAR(10), """"),"",:""), 0) + 1)"),5.01)</f>
        <v>5.01</v>
      </c>
      <c r="W264" s="85" t="s">
        <v>3118</v>
      </c>
      <c r="X264" s="16" t="s">
        <v>3119</v>
      </c>
      <c r="Y264" s="53" t="s">
        <v>3108</v>
      </c>
      <c r="Z264" s="53" t="str">
        <f t="array" ref="Z264">INDEX(Problems!J:J, MATCH(1, (Problems!B:B=B264)*1, 0))</f>
        <v>V</v>
      </c>
      <c r="AA264" s="53"/>
      <c r="AB264" s="53"/>
      <c r="AC264" s="53" t="s">
        <v>2312</v>
      </c>
      <c r="AD264" s="53" t="s">
        <v>1814</v>
      </c>
      <c r="AE264" s="85">
        <f>IFERROR(__xludf.DUMMYFUNCTION("INDEX(SPLIT(SUBSTITUTE(AF264,CHAR(10), """"),"",:""), MATCH(Z264, SPLIT(SUBSTITUTE(AF264,CHAR(10), """"),"",:""), 0) + 1)"),5.0)</f>
        <v>5</v>
      </c>
      <c r="AF264" s="85" t="s">
        <v>2022</v>
      </c>
      <c r="AG264" s="53" t="s">
        <v>3120</v>
      </c>
      <c r="AH264" s="53" t="s">
        <v>1993</v>
      </c>
      <c r="AI264" s="84">
        <v>1.0</v>
      </c>
      <c r="AJ264" s="84">
        <v>0.0</v>
      </c>
      <c r="AK264" s="87"/>
      <c r="AL264" s="81">
        <v>0.0</v>
      </c>
      <c r="AM264" s="87"/>
      <c r="AN264" s="81">
        <v>0.0</v>
      </c>
      <c r="AO264" s="90"/>
      <c r="AP264" s="81">
        <v>0.0</v>
      </c>
      <c r="AQ264" s="81">
        <v>0.0</v>
      </c>
      <c r="AR264" s="39"/>
      <c r="AS264" s="81">
        <v>0.0</v>
      </c>
      <c r="AT264" s="81">
        <v>0.0</v>
      </c>
      <c r="AU264" s="39"/>
      <c r="AV264" s="7" t="s">
        <v>3110</v>
      </c>
      <c r="AW264" s="82"/>
      <c r="AX264" s="82"/>
      <c r="AY264" s="7" t="s">
        <v>3111</v>
      </c>
      <c r="AZ264" s="7"/>
      <c r="BA264" s="7"/>
      <c r="BB264" s="7"/>
      <c r="BC264" s="7"/>
      <c r="BD264" s="7"/>
      <c r="BE264" s="7"/>
      <c r="BF264" s="7">
        <v>931111.0</v>
      </c>
      <c r="BG264" s="82">
        <f t="shared" ref="BG264:BG265" si="38">14814814814/BF264</f>
        <v>15910.90086</v>
      </c>
      <c r="BH264" s="82"/>
      <c r="BI264" s="82"/>
      <c r="BJ264" s="82"/>
      <c r="BK264" s="82"/>
      <c r="BL264" s="82"/>
      <c r="BM264" s="82"/>
      <c r="BN264" s="7"/>
      <c r="BO264" s="7">
        <v>2.0</v>
      </c>
      <c r="BP264" s="82"/>
      <c r="BQ264" s="7"/>
      <c r="BR264" s="7" t="s">
        <v>23</v>
      </c>
    </row>
    <row r="265">
      <c r="A265" s="16">
        <v>16.0</v>
      </c>
      <c r="B265" s="16" t="s">
        <v>308</v>
      </c>
      <c r="C265" s="53">
        <v>1.0</v>
      </c>
      <c r="D265" s="53" t="s">
        <v>314</v>
      </c>
      <c r="E265" s="7">
        <v>177.0</v>
      </c>
      <c r="F265" s="53"/>
      <c r="G265" s="7"/>
      <c r="H265" s="16">
        <v>1.0</v>
      </c>
      <c r="I265" s="81">
        <v>1.0</v>
      </c>
      <c r="J265" s="39" t="str">
        <f>"O( V"&amp;CHAR(178)&amp;" )"</f>
        <v>O( V² )</v>
      </c>
      <c r="K265" s="53"/>
      <c r="L265" s="53"/>
      <c r="M265" s="39" t="str">
        <f t="shared" si="1"/>
        <v>[https://www.jstor.org/stable/3007178?seq=1#page_scan_tab_contents Dijkstra's algorithm with list (Whiting &amp; Hillier 1960) (1960)]</v>
      </c>
      <c r="N265" s="39" t="s">
        <v>3121</v>
      </c>
      <c r="O265" s="81">
        <v>1960.0</v>
      </c>
      <c r="P265" s="28" t="s">
        <v>317</v>
      </c>
      <c r="Q265" s="82"/>
      <c r="R265" s="82"/>
      <c r="S265" s="82"/>
      <c r="T265" s="16">
        <v>0.0</v>
      </c>
      <c r="U265" s="16">
        <v>0.0</v>
      </c>
      <c r="V265" s="89">
        <f>IFERROR(__xludf.DUMMYFUNCTION("INDEX(SPLIT(SUBSTITUTE(W265,CHAR(10), """"),"",:""), MATCH(Z265, SPLIT(SUBSTITUTE(W265,CHAR(10), """"),"",:""), 0) + 1)"),5.0)</f>
        <v>5</v>
      </c>
      <c r="W265" s="85" t="s">
        <v>3038</v>
      </c>
      <c r="X265" s="16" t="s">
        <v>251</v>
      </c>
      <c r="Y265" s="53" t="s">
        <v>3108</v>
      </c>
      <c r="Z265" s="53" t="str">
        <f t="array" ref="Z265">INDEX(Problems!J:J, MATCH(1, (Problems!B:B=B265)*1, 0))</f>
        <v>V</v>
      </c>
      <c r="AA265" s="53"/>
      <c r="AB265" s="53"/>
      <c r="AC265" s="53" t="s">
        <v>2312</v>
      </c>
      <c r="AD265" s="53" t="s">
        <v>1814</v>
      </c>
      <c r="AE265" s="85">
        <f>IFERROR(__xludf.DUMMYFUNCTION("INDEX(SPLIT(SUBSTITUTE(AF265,CHAR(10), """"),"",:""), MATCH(Z265, SPLIT(SUBSTITUTE(AF265,CHAR(10), """"),"",:""), 0) + 1)"),3.0)</f>
        <v>3</v>
      </c>
      <c r="AF265" s="85" t="s">
        <v>2534</v>
      </c>
      <c r="AG265" s="53" t="s">
        <v>268</v>
      </c>
      <c r="AH265" s="53" t="s">
        <v>3122</v>
      </c>
      <c r="AI265" s="84">
        <v>1.0</v>
      </c>
      <c r="AJ265" s="84">
        <v>0.0</v>
      </c>
      <c r="AK265" s="87"/>
      <c r="AL265" s="81">
        <v>0.0</v>
      </c>
      <c r="AM265" s="87"/>
      <c r="AN265" s="81">
        <v>0.0</v>
      </c>
      <c r="AO265" s="90"/>
      <c r="AP265" s="81">
        <v>0.0</v>
      </c>
      <c r="AQ265" s="81">
        <v>0.0</v>
      </c>
      <c r="AR265" s="39"/>
      <c r="AS265" s="81">
        <v>0.0</v>
      </c>
      <c r="AT265" s="81">
        <v>0.0</v>
      </c>
      <c r="AU265" s="39"/>
      <c r="AV265" s="7" t="s">
        <v>3110</v>
      </c>
      <c r="AW265" s="82"/>
      <c r="AX265" s="82"/>
      <c r="AY265" s="7" t="s">
        <v>3111</v>
      </c>
      <c r="AZ265" s="7"/>
      <c r="BA265" s="7"/>
      <c r="BB265" s="7"/>
      <c r="BC265" s="7"/>
      <c r="BD265" s="7"/>
      <c r="BE265" s="7"/>
      <c r="BF265" s="7">
        <v>111111.0</v>
      </c>
      <c r="BG265" s="82">
        <f t="shared" si="38"/>
        <v>133333.4667</v>
      </c>
      <c r="BH265" s="82"/>
      <c r="BI265" s="82"/>
      <c r="BJ265" s="82"/>
      <c r="BK265" s="82"/>
      <c r="BL265" s="82"/>
      <c r="BM265" s="82"/>
      <c r="BN265" s="7"/>
      <c r="BO265" s="7">
        <v>2.0</v>
      </c>
      <c r="BP265" s="82"/>
      <c r="BQ265" s="7"/>
      <c r="BR265" s="7" t="s">
        <v>23</v>
      </c>
    </row>
    <row r="266">
      <c r="A266" s="16">
        <v>16.0</v>
      </c>
      <c r="B266" s="16" t="s">
        <v>308</v>
      </c>
      <c r="C266" s="53">
        <v>1.0</v>
      </c>
      <c r="D266" s="53" t="s">
        <v>314</v>
      </c>
      <c r="E266" s="7">
        <v>178.0</v>
      </c>
      <c r="F266" s="53"/>
      <c r="G266" s="7"/>
      <c r="H266" s="16">
        <v>1.0</v>
      </c>
      <c r="I266" s="81">
        <v>1.0</v>
      </c>
      <c r="J266" s="39" t="s">
        <v>3123</v>
      </c>
      <c r="K266" s="53"/>
      <c r="L266" s="53"/>
      <c r="M266" s="39" t="str">
        <f t="shared" si="1"/>
        <v>[https://dl.acm.org/citation.cfm?id=321993 Dijkstra's algorithm with binary heap (Johnson 1977) (1977)]</v>
      </c>
      <c r="N266" s="39" t="s">
        <v>3124</v>
      </c>
      <c r="O266" s="81">
        <v>1977.0</v>
      </c>
      <c r="P266" s="28" t="s">
        <v>3125</v>
      </c>
      <c r="Q266" s="82"/>
      <c r="R266" s="82"/>
      <c r="S266" s="82"/>
      <c r="T266" s="16">
        <v>1.0</v>
      </c>
      <c r="U266" s="16" t="s">
        <v>1952</v>
      </c>
      <c r="V266" s="89">
        <f>IFERROR(__xludf.DUMMYFUNCTION("INDEX(SPLIT(SUBSTITUTE(W266,CHAR(10), """"),"",:""), MATCH(Z266, SPLIT(SUBSTITUTE(W266,CHAR(10), """"),"",:""), 0) + 1)"),5.01)</f>
        <v>5.01</v>
      </c>
      <c r="W266" s="85" t="s">
        <v>2175</v>
      </c>
      <c r="X266" s="16" t="s">
        <v>3126</v>
      </c>
      <c r="Y266" s="53" t="s">
        <v>3108</v>
      </c>
      <c r="Z266" s="53" t="str">
        <f t="array" ref="Z266">INDEX(Problems!J:J, MATCH(1, (Problems!B:B=B266)*1, 0))</f>
        <v>V</v>
      </c>
      <c r="AA266" s="53"/>
      <c r="AB266" s="53"/>
      <c r="AC266" s="53" t="s">
        <v>2312</v>
      </c>
      <c r="AD266" s="53" t="s">
        <v>1814</v>
      </c>
      <c r="AE266" s="85">
        <f>IFERROR(__xludf.DUMMYFUNCTION("INDEX(SPLIT(SUBSTITUTE(AF266,CHAR(10), """"),"",:""), MATCH(Z266, SPLIT(SUBSTITUTE(AF266,CHAR(10), """"),"",:""), 0) + 1)"),3.0)</f>
        <v>3</v>
      </c>
      <c r="AF266" s="85" t="s">
        <v>2534</v>
      </c>
      <c r="AG266" s="53" t="s">
        <v>268</v>
      </c>
      <c r="AH266" s="53" t="s">
        <v>3127</v>
      </c>
      <c r="AI266" s="84">
        <v>1.0</v>
      </c>
      <c r="AJ266" s="84">
        <v>0.0</v>
      </c>
      <c r="AK266" s="87"/>
      <c r="AL266" s="81">
        <v>0.0</v>
      </c>
      <c r="AM266" s="87"/>
      <c r="AN266" s="81">
        <v>0.0</v>
      </c>
      <c r="AO266" s="90"/>
      <c r="AP266" s="81">
        <v>0.0</v>
      </c>
      <c r="AQ266" s="81">
        <v>0.0</v>
      </c>
      <c r="AR266" s="39"/>
      <c r="AS266" s="81">
        <v>0.0</v>
      </c>
      <c r="AT266" s="81">
        <v>0.0</v>
      </c>
      <c r="AU266" s="39"/>
      <c r="AV266" s="7" t="s">
        <v>3110</v>
      </c>
      <c r="AW266" s="82"/>
      <c r="AX266" s="82"/>
      <c r="AY266" s="7" t="s">
        <v>3111</v>
      </c>
      <c r="AZ266" s="7"/>
      <c r="BA266" s="7"/>
      <c r="BB266" s="7"/>
      <c r="BC266" s="7"/>
      <c r="BD266" s="7"/>
      <c r="BE266" s="7"/>
      <c r="BF266" s="7">
        <f>1000*LOG((1/3)*1000,2)</f>
        <v>8380.821784</v>
      </c>
      <c r="BG266" s="82">
        <f>BF262/BF266</f>
        <v>883852.1566</v>
      </c>
      <c r="BH266" s="82">
        <f>POW(BG266,1/($O266-$O$262)) - 1</f>
        <v>0.9193798649</v>
      </c>
      <c r="BI266" s="82">
        <f>1000000*LOG((1/3)*1000000,2)</f>
        <v>18346606.07</v>
      </c>
      <c r="BJ266" s="82">
        <f>BI262/BI266</f>
        <v>403748103584</v>
      </c>
      <c r="BK266" s="82">
        <f>POW(BJ266,1/($O266-$O$262)) - 1</f>
        <v>2.570030516</v>
      </c>
      <c r="BL266" s="82">
        <f>1000000000*LOG((1/3)*1000000000,2)</f>
        <v>28312390353</v>
      </c>
      <c r="BM266" s="82">
        <f>BL262/BL266</f>
        <v>2.61631E+17</v>
      </c>
      <c r="BN266" s="82">
        <f>POW(BM266,1/($O266-$O$262)) - 1</f>
        <v>5.75171023</v>
      </c>
      <c r="BO266" s="7">
        <v>2.0</v>
      </c>
      <c r="BP266" s="82"/>
      <c r="BQ266" s="7"/>
      <c r="BR266" s="7" t="s">
        <v>23</v>
      </c>
    </row>
    <row r="267">
      <c r="A267" s="16">
        <v>16.0</v>
      </c>
      <c r="B267" s="16" t="s">
        <v>308</v>
      </c>
      <c r="C267" s="53">
        <v>1.0</v>
      </c>
      <c r="D267" s="53" t="s">
        <v>314</v>
      </c>
      <c r="E267" s="7">
        <v>179.0</v>
      </c>
      <c r="F267" s="53"/>
      <c r="G267" s="7"/>
      <c r="H267" s="16">
        <v>1.0</v>
      </c>
      <c r="I267" s="81">
        <v>1.0</v>
      </c>
      <c r="J267" s="39" t="s">
        <v>318</v>
      </c>
      <c r="K267" s="53"/>
      <c r="L267" s="53"/>
      <c r="M267" s="39" t="str">
        <f t="shared" si="1"/>
        <v>[https://www.cs.princeton.edu/courses/archive/fall03/cs528/handouts/fibonacci%20heaps.pdf Dijkstra's algorithm with Fibonacci heap (Fredman &amp; Tarjan 1984; Fredman &amp; Tarjan 1987) (1984)]</v>
      </c>
      <c r="N267" s="39" t="s">
        <v>3128</v>
      </c>
      <c r="O267" s="81">
        <v>1984.0</v>
      </c>
      <c r="P267" s="25" t="s">
        <v>319</v>
      </c>
      <c r="Q267" s="82"/>
      <c r="R267" s="82"/>
      <c r="S267" s="82"/>
      <c r="T267" s="16">
        <v>0.0</v>
      </c>
      <c r="U267" s="16">
        <v>0.0</v>
      </c>
      <c r="V267" s="89">
        <f>IFERROR(__xludf.DUMMYFUNCTION("INDEX(SPLIT(SUBSTITUTE(W267,CHAR(10), """"),"",:""), MATCH(Z267, SPLIT(SUBSTITUTE(W267,CHAR(10), """"),"",:""), 0) + 1)"),5.0)</f>
        <v>5</v>
      </c>
      <c r="W267" s="85" t="s">
        <v>2022</v>
      </c>
      <c r="X267" s="16" t="s">
        <v>3015</v>
      </c>
      <c r="Y267" s="53" t="s">
        <v>3108</v>
      </c>
      <c r="Z267" s="53" t="str">
        <f t="array" ref="Z267">INDEX(Problems!J:J, MATCH(1, (Problems!B:B=B267)*1, 0))</f>
        <v>V</v>
      </c>
      <c r="AA267" s="53"/>
      <c r="AB267" s="53"/>
      <c r="AC267" s="53" t="s">
        <v>2312</v>
      </c>
      <c r="AD267" s="53" t="s">
        <v>1814</v>
      </c>
      <c r="AE267" s="85">
        <f>IFERROR(__xludf.DUMMYFUNCTION("INDEX(SPLIT(SUBSTITUTE(AF267,CHAR(10), """"),"",:""), MATCH(Z267, SPLIT(SUBSTITUTE(AF267,CHAR(10), """"),"",:""), 0) + 1)"),3.0)</f>
        <v>3</v>
      </c>
      <c r="AF267" s="85" t="s">
        <v>2534</v>
      </c>
      <c r="AG267" s="53" t="s">
        <v>268</v>
      </c>
      <c r="AH267" s="53" t="s">
        <v>3127</v>
      </c>
      <c r="AI267" s="84">
        <v>1.0</v>
      </c>
      <c r="AJ267" s="84">
        <v>0.0</v>
      </c>
      <c r="AK267" s="87"/>
      <c r="AL267" s="81">
        <v>0.0</v>
      </c>
      <c r="AM267" s="87"/>
      <c r="AN267" s="81">
        <v>0.0</v>
      </c>
      <c r="AO267" s="90"/>
      <c r="AP267" s="81">
        <v>0.0</v>
      </c>
      <c r="AQ267" s="81">
        <v>0.0</v>
      </c>
      <c r="AR267" s="39"/>
      <c r="AS267" s="81">
        <v>0.0</v>
      </c>
      <c r="AT267" s="81">
        <v>0.0</v>
      </c>
      <c r="AU267" s="39"/>
      <c r="AV267" s="7" t="s">
        <v>3110</v>
      </c>
      <c r="AW267" s="82"/>
      <c r="AX267" s="82"/>
      <c r="AY267" s="7" t="s">
        <v>3111</v>
      </c>
      <c r="AZ267" s="7"/>
      <c r="BA267" s="7"/>
      <c r="BB267" s="7"/>
      <c r="BC267" s="7"/>
      <c r="BD267" s="7"/>
      <c r="BE267" s="7"/>
      <c r="BF267" s="7">
        <v>3460.0</v>
      </c>
      <c r="BG267" s="82">
        <f>14814814814/BF267</f>
        <v>4281738.386</v>
      </c>
      <c r="BH267" s="82"/>
      <c r="BI267" s="82"/>
      <c r="BJ267" s="82"/>
      <c r="BK267" s="82"/>
      <c r="BL267" s="82"/>
      <c r="BM267" s="82"/>
      <c r="BN267" s="7"/>
      <c r="BO267" s="7">
        <v>2.0</v>
      </c>
      <c r="BP267" s="82"/>
      <c r="BQ267" s="7"/>
      <c r="BR267" s="7" t="s">
        <v>23</v>
      </c>
    </row>
    <row r="268">
      <c r="A268" s="16">
        <v>16.0</v>
      </c>
      <c r="B268" s="16" t="s">
        <v>308</v>
      </c>
      <c r="C268" s="53">
        <v>1.0</v>
      </c>
      <c r="D268" s="53" t="s">
        <v>320</v>
      </c>
      <c r="E268" s="7">
        <v>180.0</v>
      </c>
      <c r="F268" s="53"/>
      <c r="G268" s="7"/>
      <c r="H268" s="16">
        <v>1.0</v>
      </c>
      <c r="I268" s="81">
        <v>1.0</v>
      </c>
      <c r="J268" s="39" t="s">
        <v>3129</v>
      </c>
      <c r="K268" s="53"/>
      <c r="L268" s="53"/>
      <c r="M268" s="39" t="str">
        <f t="shared" si="1"/>
        <v>[https://www.sciencedirect.com/science/article/pii/0166218X8390104X?via%3Dihub Dijkstra's algorithm with Fibonacci heap (Johnson 1981; Karlsson &amp; Poblete 1983) (1981)]</v>
      </c>
      <c r="N268" s="39" t="s">
        <v>3130</v>
      </c>
      <c r="O268" s="81">
        <v>1981.0</v>
      </c>
      <c r="P268" s="86" t="s">
        <v>3131</v>
      </c>
      <c r="Q268" s="7">
        <v>2.0</v>
      </c>
      <c r="R268" s="7">
        <v>1.0</v>
      </c>
      <c r="S268" s="94" t="s">
        <v>3132</v>
      </c>
      <c r="T268" s="16">
        <v>1.0</v>
      </c>
      <c r="U268" s="16">
        <v>0.0</v>
      </c>
      <c r="V268" s="89">
        <f>IFERROR(__xludf.DUMMYFUNCTION("INDEX(SPLIT(SUBSTITUTE(W268,CHAR(10), """"),"",:""), MATCH(Z268, SPLIT(SUBSTITUTE(W268,CHAR(10), """"),"",:""), 0) + 1)"),5.0)</f>
        <v>5</v>
      </c>
      <c r="W268" s="85" t="s">
        <v>3133</v>
      </c>
      <c r="X268" s="16" t="s">
        <v>3134</v>
      </c>
      <c r="Y268" s="53" t="s">
        <v>3108</v>
      </c>
      <c r="Z268" s="53" t="str">
        <f t="array" ref="Z268">INDEX(Problems!J:J, MATCH(1, (Problems!B:B=B268)*1, 0))</f>
        <v>V</v>
      </c>
      <c r="AA268" s="53"/>
      <c r="AB268" s="53"/>
      <c r="AC268" s="53" t="s">
        <v>1813</v>
      </c>
      <c r="AD268" s="53" t="s">
        <v>1814</v>
      </c>
      <c r="AE268" s="85">
        <f>IFERROR(__xludf.DUMMYFUNCTION("INDEX(SPLIT(SUBSTITUTE(AF268,CHAR(10), """"),"",:""), MATCH(Z268, SPLIT(SUBSTITUTE(AF268,CHAR(10), """"),"",:""), 0) + 1)"),3.0)</f>
        <v>3</v>
      </c>
      <c r="AF268" s="85" t="s">
        <v>3135</v>
      </c>
      <c r="AG268" s="53" t="s">
        <v>3136</v>
      </c>
      <c r="AH268" s="91" t="s">
        <v>3131</v>
      </c>
      <c r="AI268" s="84">
        <v>0.0</v>
      </c>
      <c r="AJ268" s="84">
        <v>1.0</v>
      </c>
      <c r="AK268" s="87"/>
      <c r="AL268" s="81">
        <v>0.0</v>
      </c>
      <c r="AM268" s="87"/>
      <c r="AN268" s="81">
        <v>0.0</v>
      </c>
      <c r="AO268" s="90"/>
      <c r="AP268" s="81">
        <v>0.0</v>
      </c>
      <c r="AQ268" s="81">
        <v>0.0</v>
      </c>
      <c r="AR268" s="39"/>
      <c r="AS268" s="81">
        <v>0.0</v>
      </c>
      <c r="AT268" s="81">
        <v>0.0</v>
      </c>
      <c r="AU268" s="39"/>
      <c r="AV268" s="7" t="s">
        <v>3110</v>
      </c>
      <c r="AW268" s="82"/>
      <c r="AX268" s="82"/>
      <c r="AY268" s="7" t="s">
        <v>3111</v>
      </c>
      <c r="AZ268" s="7"/>
      <c r="BA268" s="7"/>
      <c r="BB268" s="7"/>
      <c r="BC268" s="7"/>
      <c r="BD268" s="7"/>
      <c r="BE268" s="7"/>
      <c r="BF268" s="7">
        <v>669.3</v>
      </c>
      <c r="BG268" s="82">
        <f>BF262/BF268</f>
        <v>11067394.9</v>
      </c>
      <c r="BH268" s="82">
        <f>POW(BG268,1/($O268-$O$262)) - 1</f>
        <v>0.9132063615</v>
      </c>
      <c r="BI268" s="82">
        <f>(2/3)*1000000*LOG(LOG(100,2),2)</f>
        <v>1821347.23</v>
      </c>
      <c r="BJ268" s="82">
        <f>BI262/BI268</f>
        <v>4066993532946</v>
      </c>
      <c r="BK268" s="82">
        <f>POW(BJ268,1/($O268-$O$262)) - 1</f>
        <v>2.194264973</v>
      </c>
      <c r="BL268" s="82">
        <f>(2/3)*1000000000*LOG(LOG(100,2),2)</f>
        <v>1821347230</v>
      </c>
      <c r="BM268" s="82">
        <f>BL262/BL268</f>
        <v>4.06699E+18</v>
      </c>
      <c r="BN268" s="82">
        <f>POW(BM268,1/($O268-$O$262)) - 1</f>
        <v>4.550996318</v>
      </c>
      <c r="BO268" s="7">
        <v>2.0</v>
      </c>
      <c r="BP268" s="82"/>
      <c r="BQ268" s="7"/>
      <c r="BR268" s="7" t="s">
        <v>23</v>
      </c>
    </row>
    <row r="269">
      <c r="A269" s="16">
        <v>16.0</v>
      </c>
      <c r="B269" s="16" t="s">
        <v>308</v>
      </c>
      <c r="C269" s="53">
        <v>1.0</v>
      </c>
      <c r="D269" s="53" t="s">
        <v>314</v>
      </c>
      <c r="E269" s="7">
        <v>181.0</v>
      </c>
      <c r="F269" s="53"/>
      <c r="G269" s="7"/>
      <c r="H269" s="16">
        <v>1.0</v>
      </c>
      <c r="I269" s="81">
        <v>1.0</v>
      </c>
      <c r="J269" s="21" t="s">
        <v>3137</v>
      </c>
      <c r="K269" s="53"/>
      <c r="L269" s="53"/>
      <c r="M269" s="39" t="str">
        <f t="shared" si="1"/>
        <v>[https://ieeexplore.ieee.org/document/4568085 Gabow's algorithm (1983)]</v>
      </c>
      <c r="N269" s="39" t="s">
        <v>3138</v>
      </c>
      <c r="O269" s="81">
        <v>1983.0</v>
      </c>
      <c r="P269" s="96" t="s">
        <v>3139</v>
      </c>
      <c r="Q269" s="82"/>
      <c r="R269" s="82"/>
      <c r="S269" s="82"/>
      <c r="T269" s="16">
        <v>0.0</v>
      </c>
      <c r="U269" s="16">
        <v>0.0</v>
      </c>
      <c r="V269" s="89">
        <f>IFERROR(__xludf.DUMMYFUNCTION("INDEX(SPLIT(SUBSTITUTE(W269,CHAR(10), """"),"",:""), MATCH(Z269, SPLIT(SUBSTITUTE(W269,CHAR(10), """"),"",:""), 0) + 1)"),5.0)</f>
        <v>5</v>
      </c>
      <c r="W269" s="85" t="s">
        <v>3140</v>
      </c>
      <c r="X269" s="21" t="s">
        <v>3141</v>
      </c>
      <c r="Y269" s="53" t="s">
        <v>3108</v>
      </c>
      <c r="Z269" s="53" t="str">
        <f t="array" ref="Z269">INDEX(Problems!J:J, MATCH(1, (Problems!B:B=B269)*1, 0))</f>
        <v>V</v>
      </c>
      <c r="AA269" s="53"/>
      <c r="AB269" s="53"/>
      <c r="AC269" s="53" t="s">
        <v>2312</v>
      </c>
      <c r="AD269" s="53" t="s">
        <v>1814</v>
      </c>
      <c r="AE269" s="85">
        <f>IFERROR(__xludf.DUMMYFUNCTION("INDEX(SPLIT(SUBSTITUTE(AF269,CHAR(10), """"),"",:""), MATCH(Z269, SPLIT(SUBSTITUTE(AF269,CHAR(10), """"),"",:""), 0) + 1)"),3.0)</f>
        <v>3</v>
      </c>
      <c r="AF269" s="85" t="s">
        <v>2987</v>
      </c>
      <c r="AG269" s="53" t="s">
        <v>3025</v>
      </c>
      <c r="AH269" s="53" t="s">
        <v>3142</v>
      </c>
      <c r="AI269" s="84">
        <v>1.0</v>
      </c>
      <c r="AJ269" s="84">
        <v>0.0</v>
      </c>
      <c r="AK269" s="87"/>
      <c r="AL269" s="81">
        <v>0.0</v>
      </c>
      <c r="AM269" s="87"/>
      <c r="AN269" s="81">
        <v>0.0</v>
      </c>
      <c r="AO269" s="90"/>
      <c r="AP269" s="81">
        <v>0.0</v>
      </c>
      <c r="AQ269" s="81">
        <v>0.0</v>
      </c>
      <c r="AR269" s="39"/>
      <c r="AS269" s="81">
        <v>0.0</v>
      </c>
      <c r="AT269" s="81">
        <v>0.0</v>
      </c>
      <c r="AU269" s="39"/>
      <c r="AV269" s="7" t="s">
        <v>3110</v>
      </c>
      <c r="AW269" s="82"/>
      <c r="AX269" s="82"/>
      <c r="AY269" s="7" t="s">
        <v>3111</v>
      </c>
      <c r="AZ269" s="7"/>
      <c r="BA269" s="7"/>
      <c r="BB269" s="7"/>
      <c r="BC269" s="7"/>
      <c r="BD269" s="7"/>
      <c r="BE269" s="7"/>
      <c r="BF269" s="7">
        <v>4426.0</v>
      </c>
      <c r="BG269" s="82">
        <f t="shared" ref="BG269:BG271" si="39">14814814814/BF269</f>
        <v>3347224.314</v>
      </c>
      <c r="BH269" s="82"/>
      <c r="BI269" s="82"/>
      <c r="BJ269" s="82"/>
      <c r="BK269" s="82"/>
      <c r="BL269" s="82"/>
      <c r="BM269" s="82"/>
      <c r="BN269" s="7"/>
      <c r="BO269" s="7">
        <v>2.0</v>
      </c>
      <c r="BP269" s="82"/>
      <c r="BQ269" s="7"/>
      <c r="BR269" s="7" t="s">
        <v>23</v>
      </c>
    </row>
    <row r="270">
      <c r="A270" s="16">
        <v>16.0</v>
      </c>
      <c r="B270" s="16" t="s">
        <v>308</v>
      </c>
      <c r="C270" s="53">
        <v>2.0</v>
      </c>
      <c r="D270" s="53" t="s">
        <v>320</v>
      </c>
      <c r="E270" s="7">
        <v>182.0</v>
      </c>
      <c r="F270" s="53"/>
      <c r="G270" s="7"/>
      <c r="H270" s="16">
        <v>1.0</v>
      </c>
      <c r="I270" s="81">
        <v>1.0</v>
      </c>
      <c r="J270" s="39" t="s">
        <v>3143</v>
      </c>
      <c r="K270" s="53"/>
      <c r="L270" s="53"/>
      <c r="M270" s="39" t="str">
        <f t="shared" si="1"/>
        <v>[https://dl.acm.org/doi/10.1145/77600.77615 Gabow Ahuja Algorithm (1990)]</v>
      </c>
      <c r="N270" s="16" t="s">
        <v>3144</v>
      </c>
      <c r="O270" s="81">
        <v>1990.0</v>
      </c>
      <c r="P270" s="96" t="s">
        <v>3145</v>
      </c>
      <c r="Q270" s="82"/>
      <c r="R270" s="82"/>
      <c r="S270" s="82"/>
      <c r="T270" s="16">
        <v>0.0</v>
      </c>
      <c r="U270" s="16">
        <v>0.0</v>
      </c>
      <c r="V270" s="89">
        <f>IFERROR(__xludf.DUMMYFUNCTION("INDEX(SPLIT(SUBSTITUTE(W270,CHAR(10), """"),"",:""), MATCH(Z270, SPLIT(SUBSTITUTE(W270,CHAR(10), """"),"",:""), 0) + 1)"),5.0)</f>
        <v>5</v>
      </c>
      <c r="W270" s="85" t="s">
        <v>3146</v>
      </c>
      <c r="X270" s="16" t="s">
        <v>3147</v>
      </c>
      <c r="Y270" s="53" t="s">
        <v>3108</v>
      </c>
      <c r="Z270" s="53" t="str">
        <f t="array" ref="Z270">INDEX(Problems!J:J, MATCH(1, (Problems!B:B=B270)*1, 0))</f>
        <v>V</v>
      </c>
      <c r="AA270" s="53"/>
      <c r="AB270" s="53"/>
      <c r="AC270" s="53" t="s">
        <v>1813</v>
      </c>
      <c r="AD270" s="53" t="s">
        <v>1814</v>
      </c>
      <c r="AE270" s="85">
        <f>IFERROR(__xludf.DUMMYFUNCTION("INDEX(SPLIT(SUBSTITUTE(AF270,CHAR(10), """"),"",:""), MATCH(Z270, SPLIT(SUBSTITUTE(AF270,CHAR(10), """"),"",:""), 0) + 1)"),5.0)</f>
        <v>5</v>
      </c>
      <c r="AF270" s="85" t="s">
        <v>3148</v>
      </c>
      <c r="AG270" s="53" t="s">
        <v>3149</v>
      </c>
      <c r="AH270" s="96" t="s">
        <v>3145</v>
      </c>
      <c r="AI270" s="84">
        <v>0.0</v>
      </c>
      <c r="AJ270" s="84">
        <v>1.0</v>
      </c>
      <c r="AK270" s="87"/>
      <c r="AL270" s="81">
        <v>0.0</v>
      </c>
      <c r="AM270" s="87"/>
      <c r="AN270" s="81">
        <v>0.0</v>
      </c>
      <c r="AO270" s="90"/>
      <c r="AP270" s="81">
        <v>0.0</v>
      </c>
      <c r="AQ270" s="81">
        <v>0.0</v>
      </c>
      <c r="AR270" s="39"/>
      <c r="AS270" s="81">
        <v>0.0</v>
      </c>
      <c r="AT270" s="81">
        <v>0.0</v>
      </c>
      <c r="AU270" s="39"/>
      <c r="AV270" s="7" t="s">
        <v>3110</v>
      </c>
      <c r="AW270" s="82"/>
      <c r="AX270" s="82"/>
      <c r="AY270" s="7" t="s">
        <v>3111</v>
      </c>
      <c r="AZ270" s="7"/>
      <c r="BA270" s="7"/>
      <c r="BB270" s="7"/>
      <c r="BC270" s="7"/>
      <c r="BD270" s="7"/>
      <c r="BE270" s="7"/>
      <c r="BF270" s="7">
        <v>1525.0</v>
      </c>
      <c r="BG270" s="82">
        <f t="shared" si="39"/>
        <v>9714632.665</v>
      </c>
      <c r="BH270" s="82"/>
      <c r="BI270" s="82"/>
      <c r="BJ270" s="82"/>
      <c r="BK270" s="82"/>
      <c r="BL270" s="82"/>
      <c r="BM270" s="82"/>
      <c r="BN270" s="7"/>
      <c r="BO270" s="7">
        <v>2.0</v>
      </c>
      <c r="BP270" s="82"/>
      <c r="BQ270" s="7"/>
      <c r="BR270" s="7" t="s">
        <v>23</v>
      </c>
    </row>
    <row r="271">
      <c r="A271" s="16">
        <v>16.0</v>
      </c>
      <c r="B271" s="16" t="s">
        <v>308</v>
      </c>
      <c r="C271" s="53">
        <v>1.0</v>
      </c>
      <c r="D271" s="53" t="s">
        <v>320</v>
      </c>
      <c r="E271" s="7">
        <v>183.0</v>
      </c>
      <c r="F271" s="53"/>
      <c r="G271" s="7"/>
      <c r="H271" s="16">
        <v>1.0</v>
      </c>
      <c r="I271" s="81">
        <v>1.0</v>
      </c>
      <c r="J271" s="21" t="s">
        <v>324</v>
      </c>
      <c r="K271" s="53"/>
      <c r="L271" s="53"/>
      <c r="M271" s="39" t="str">
        <f t="shared" si="1"/>
        <v>[https://dl.acm.org/doi/10.1016/j.jcss.2004.04.003 Thorup's algorithm (2004)]</v>
      </c>
      <c r="N271" s="39" t="s">
        <v>3150</v>
      </c>
      <c r="O271" s="81">
        <v>2004.0</v>
      </c>
      <c r="P271" s="113" t="s">
        <v>325</v>
      </c>
      <c r="Q271" s="82"/>
      <c r="R271" s="82"/>
      <c r="S271" s="82"/>
      <c r="T271" s="16">
        <v>0.0</v>
      </c>
      <c r="U271" s="16">
        <v>0.0</v>
      </c>
      <c r="V271" s="89">
        <f>IFERROR(__xludf.DUMMYFUNCTION("INDEX(SPLIT(SUBSTITUTE(W271,CHAR(10), """"),"",:""), MATCH(Z271, SPLIT(SUBSTITUTE(W271,CHAR(10), """"),"",:""), 0) + 1)"),5.0)</f>
        <v>5</v>
      </c>
      <c r="W271" s="85" t="s">
        <v>3133</v>
      </c>
      <c r="X271" s="21" t="s">
        <v>3151</v>
      </c>
      <c r="Y271" s="53" t="s">
        <v>3108</v>
      </c>
      <c r="Z271" s="53" t="str">
        <f t="array" ref="Z271">INDEX(Problems!J:J, MATCH(1, (Problems!B:B=B271)*1, 0))</f>
        <v>V</v>
      </c>
      <c r="AA271" s="53"/>
      <c r="AB271" s="53"/>
      <c r="AC271" s="53" t="s">
        <v>2312</v>
      </c>
      <c r="AD271" s="53" t="s">
        <v>1814</v>
      </c>
      <c r="AE271" s="85">
        <f>IFERROR(__xludf.DUMMYFUNCTION("INDEX(SPLIT(SUBSTITUTE(AF271,CHAR(10), """"),"",:""), MATCH(Z271, SPLIT(SUBSTITUTE(AF271,CHAR(10), """"),"",:""), 0) + 1)"),3.0)</f>
        <v>3</v>
      </c>
      <c r="AF271" s="85" t="s">
        <v>2534</v>
      </c>
      <c r="AG271" s="119" t="s">
        <v>3152</v>
      </c>
      <c r="AH271" s="91" t="s">
        <v>325</v>
      </c>
      <c r="AI271" s="84">
        <v>0.0</v>
      </c>
      <c r="AJ271" s="84">
        <v>1.0</v>
      </c>
      <c r="AK271" s="87"/>
      <c r="AL271" s="81">
        <v>0.0</v>
      </c>
      <c r="AM271" s="87"/>
      <c r="AN271" s="81">
        <v>0.0</v>
      </c>
      <c r="AO271" s="90"/>
      <c r="AP271" s="81">
        <v>0.0</v>
      </c>
      <c r="AQ271" s="81">
        <v>0.0</v>
      </c>
      <c r="AR271" s="39"/>
      <c r="AS271" s="81">
        <v>0.0</v>
      </c>
      <c r="AT271" s="81">
        <v>0.0</v>
      </c>
      <c r="AU271" s="39"/>
      <c r="AV271" s="7" t="s">
        <v>3110</v>
      </c>
      <c r="AW271" s="82"/>
      <c r="AX271" s="82"/>
      <c r="AY271" s="7" t="s">
        <v>3111</v>
      </c>
      <c r="AZ271" s="7"/>
      <c r="BA271" s="7"/>
      <c r="BB271" s="7"/>
      <c r="BC271" s="7"/>
      <c r="BD271" s="7"/>
      <c r="BE271" s="7"/>
      <c r="BF271" s="7">
        <v>1686.0</v>
      </c>
      <c r="BG271" s="82">
        <f t="shared" si="39"/>
        <v>8786960.151</v>
      </c>
      <c r="BH271" s="82"/>
      <c r="BI271" s="82"/>
      <c r="BJ271" s="82"/>
      <c r="BK271" s="82"/>
      <c r="BL271" s="82"/>
      <c r="BM271" s="82"/>
      <c r="BN271" s="7"/>
      <c r="BO271" s="7">
        <v>2.0</v>
      </c>
      <c r="BP271" s="82"/>
      <c r="BQ271" s="7"/>
      <c r="BR271" s="7" t="s">
        <v>23</v>
      </c>
    </row>
    <row r="272">
      <c r="A272" s="16">
        <v>17.0</v>
      </c>
      <c r="B272" s="6" t="s">
        <v>342</v>
      </c>
      <c r="C272" s="53">
        <v>2.0</v>
      </c>
      <c r="D272" s="53" t="s">
        <v>348</v>
      </c>
      <c r="E272" s="7">
        <v>184.0</v>
      </c>
      <c r="F272" s="53"/>
      <c r="G272" s="7"/>
      <c r="H272" s="16">
        <v>1.0</v>
      </c>
      <c r="I272" s="81">
        <v>1.0</v>
      </c>
      <c r="J272" s="35" t="s">
        <v>3153</v>
      </c>
      <c r="K272" s="53"/>
      <c r="L272" s="53"/>
      <c r="M272" s="39" t="str">
        <f t="shared" si="1"/>
        <v>[https://link.springer.com/article/10.1007/BF02476438 Shimbel Algorithm (1953)]</v>
      </c>
      <c r="N272" s="16" t="s">
        <v>3154</v>
      </c>
      <c r="O272" s="81">
        <v>1953.0</v>
      </c>
      <c r="P272" s="28" t="s">
        <v>3155</v>
      </c>
      <c r="Q272" s="7">
        <v>1.0</v>
      </c>
      <c r="R272" s="7">
        <v>1.0</v>
      </c>
      <c r="S272" s="114" t="s">
        <v>3156</v>
      </c>
      <c r="T272" s="81">
        <v>1.0</v>
      </c>
      <c r="U272" s="16">
        <v>0.0</v>
      </c>
      <c r="V272" s="89">
        <f>IFERROR(__xludf.DUMMYFUNCTION("INDEX(SPLIT(SUBSTITUTE(W272,CHAR(10), """"),"",:""), MATCH(Z272, SPLIT(SUBSTITUTE(W272,CHAR(10), """"),"",:""), 0) + 1)"),7.0)</f>
        <v>7</v>
      </c>
      <c r="W272" s="102" t="s">
        <v>2517</v>
      </c>
      <c r="X272" s="35" t="s">
        <v>3157</v>
      </c>
      <c r="Y272" s="53" t="s">
        <v>347</v>
      </c>
      <c r="Z272" s="53" t="str">
        <f t="array" ref="Z272">INDEX(Problems!J:J, MATCH(1, (Problems!B:B=B272)*1, 0))</f>
        <v>n</v>
      </c>
      <c r="AA272" s="53"/>
      <c r="AB272" s="53"/>
      <c r="AC272" s="53" t="s">
        <v>1813</v>
      </c>
      <c r="AD272" s="53" t="s">
        <v>1814</v>
      </c>
      <c r="AE272" s="85">
        <f>IFERROR(__xludf.DUMMYFUNCTION("INDEX(SPLIT(SUBSTITUTE(AF272,CHAR(10), """"),"",:""), MATCH(Z272, SPLIT(SUBSTITUTE(AF272,CHAR(10), """"),"",:""), 0) + 1)"),5.0)</f>
        <v>5</v>
      </c>
      <c r="AF272" s="85" t="s">
        <v>1938</v>
      </c>
      <c r="AG272" s="53" t="s">
        <v>61</v>
      </c>
      <c r="AH272" s="53" t="s">
        <v>3158</v>
      </c>
      <c r="AI272" s="84">
        <v>1.0</v>
      </c>
      <c r="AJ272" s="84">
        <v>0.0</v>
      </c>
      <c r="AK272" s="87"/>
      <c r="AL272" s="81">
        <v>0.0</v>
      </c>
      <c r="AM272" s="87"/>
      <c r="AN272" s="81">
        <v>0.0</v>
      </c>
      <c r="AO272" s="90"/>
      <c r="AP272" s="81">
        <v>0.0</v>
      </c>
      <c r="AQ272" s="81">
        <v>0.0</v>
      </c>
      <c r="AR272" s="39"/>
      <c r="AS272" s="81">
        <v>0.0</v>
      </c>
      <c r="AT272" s="81">
        <v>0.0</v>
      </c>
      <c r="AU272" s="39"/>
      <c r="AV272" s="7" t="s">
        <v>3159</v>
      </c>
      <c r="AW272" s="82"/>
      <c r="AX272" s="82"/>
      <c r="AY272" s="7" t="s">
        <v>3160</v>
      </c>
      <c r="AZ272" s="7"/>
      <c r="BA272" s="7"/>
      <c r="BB272" s="7"/>
      <c r="BC272" s="7"/>
      <c r="BD272" s="7"/>
      <c r="BE272" s="7"/>
      <c r="BF272" s="7">
        <v>1.2345679012E10</v>
      </c>
      <c r="BG272" s="82">
        <f>12345679012/BF272</f>
        <v>1</v>
      </c>
      <c r="BH272" s="82"/>
      <c r="BI272" s="82">
        <f>pow((1000000/3),4)</f>
        <v>1.23457E+22</v>
      </c>
      <c r="BJ272" s="7">
        <v>1.0</v>
      </c>
      <c r="BK272" s="82"/>
      <c r="BL272" s="82">
        <f>pow((1000000000/3),4)</f>
        <v>1.23457E+34</v>
      </c>
      <c r="BM272" s="7">
        <v>1.0</v>
      </c>
      <c r="BN272" s="7"/>
      <c r="BO272" s="7">
        <v>2.0</v>
      </c>
      <c r="BP272" s="82"/>
      <c r="BQ272" s="7"/>
      <c r="BR272" s="7" t="s">
        <v>23</v>
      </c>
    </row>
    <row r="273">
      <c r="A273" s="16">
        <v>17.0</v>
      </c>
      <c r="B273" s="6" t="s">
        <v>342</v>
      </c>
      <c r="C273" s="53">
        <v>2.0</v>
      </c>
      <c r="D273" s="53" t="s">
        <v>343</v>
      </c>
      <c r="E273" s="7">
        <v>185.0</v>
      </c>
      <c r="F273" s="53"/>
      <c r="G273" s="7"/>
      <c r="H273" s="16">
        <v>1.0</v>
      </c>
      <c r="I273" s="81">
        <v>1.0</v>
      </c>
      <c r="J273" s="35" t="s">
        <v>834</v>
      </c>
      <c r="K273" s="53"/>
      <c r="L273" s="53"/>
      <c r="M273" s="39" t="str">
        <f t="shared" si="1"/>
        <v>[https://dl.acm.org/citation.cfm?id=368168 Floyd–Warshall algorithm (1962)]</v>
      </c>
      <c r="N273" s="39" t="s">
        <v>3161</v>
      </c>
      <c r="O273" s="81">
        <v>1962.0</v>
      </c>
      <c r="P273" s="28" t="s">
        <v>3162</v>
      </c>
      <c r="Q273" s="82"/>
      <c r="R273" s="82"/>
      <c r="S273" s="82"/>
      <c r="T273" s="81">
        <v>1.0</v>
      </c>
      <c r="U273" s="16" t="s">
        <v>2019</v>
      </c>
      <c r="V273" s="89">
        <f>IFERROR(__xludf.DUMMYFUNCTION("INDEX(SPLIT(SUBSTITUTE(W273,CHAR(10), """"),"",:""), MATCH(Z273, SPLIT(SUBSTITUTE(W273,CHAR(10), """"),"",:""), 0) + 1)"),6.0)</f>
        <v>6</v>
      </c>
      <c r="W273" s="102" t="s">
        <v>2008</v>
      </c>
      <c r="X273" s="35" t="s">
        <v>2112</v>
      </c>
      <c r="Y273" s="53" t="s">
        <v>347</v>
      </c>
      <c r="Z273" s="53" t="str">
        <f t="array" ref="Z273">INDEX(Problems!J:J, MATCH(1, (Problems!B:B=B273)*1, 0))</f>
        <v>n</v>
      </c>
      <c r="AA273" s="53"/>
      <c r="AB273" s="53"/>
      <c r="AC273" s="53" t="s">
        <v>1813</v>
      </c>
      <c r="AD273" s="53" t="s">
        <v>1814</v>
      </c>
      <c r="AE273" s="85">
        <f>IFERROR(__xludf.DUMMYFUNCTION("INDEX(SPLIT(SUBSTITUTE(AF273,CHAR(10), """"),"",:""), MATCH(Z273, SPLIT(SUBSTITUTE(AF273,CHAR(10), """"),"",:""), 0) + 1)"),5.0)</f>
        <v>5</v>
      </c>
      <c r="AF273" s="85" t="s">
        <v>1938</v>
      </c>
      <c r="AG273" s="53" t="s">
        <v>61</v>
      </c>
      <c r="AH273" s="53" t="s">
        <v>3158</v>
      </c>
      <c r="AI273" s="84">
        <v>1.0</v>
      </c>
      <c r="AJ273" s="84">
        <v>0.0</v>
      </c>
      <c r="AK273" s="87"/>
      <c r="AL273" s="81">
        <v>0.0</v>
      </c>
      <c r="AM273" s="87"/>
      <c r="AN273" s="81">
        <v>0.0</v>
      </c>
      <c r="AO273" s="90"/>
      <c r="AP273" s="81">
        <v>0.0</v>
      </c>
      <c r="AQ273" s="81">
        <v>0.0</v>
      </c>
      <c r="AR273" s="39"/>
      <c r="AS273" s="81">
        <v>0.0</v>
      </c>
      <c r="AT273" s="81">
        <v>0.0</v>
      </c>
      <c r="AU273" s="39"/>
      <c r="AV273" s="7" t="s">
        <v>3159</v>
      </c>
      <c r="AW273" s="82"/>
      <c r="AX273" s="82"/>
      <c r="AY273" s="7" t="s">
        <v>3160</v>
      </c>
      <c r="AZ273" s="7"/>
      <c r="BA273" s="7"/>
      <c r="BB273" s="7"/>
      <c r="BC273" s="7"/>
      <c r="BD273" s="7"/>
      <c r="BE273" s="7"/>
      <c r="BF273" s="7">
        <v>3.7037037E7</v>
      </c>
      <c r="BG273" s="82">
        <f>BF272/BF273</f>
        <v>333.3333337</v>
      </c>
      <c r="BH273" s="82">
        <f t="shared" ref="BH273:BH274" si="40">POW(BG273,1/($O273-$O$272)) - 1</f>
        <v>0.9068646188</v>
      </c>
      <c r="BI273" s="82">
        <f>POW((1000000/3),3)</f>
        <v>3.7037E+16</v>
      </c>
      <c r="BJ273" s="82">
        <f>BI272/BI273</f>
        <v>333333.3333</v>
      </c>
      <c r="BK273" s="82">
        <f t="shared" ref="BK273:BK274" si="41">POW(BJ273,1/($O273-$O$272)) - 1</f>
        <v>3.108215283</v>
      </c>
      <c r="BL273" s="82">
        <f>POW((1000000000/3),3)</f>
        <v>3.7037E+25</v>
      </c>
      <c r="BM273" s="82">
        <f>BL272/BL273</f>
        <v>333333333.3</v>
      </c>
      <c r="BN273" s="82">
        <f t="shared" ref="BN273:BN274" si="42">POW(BM273,1/($O273-$O$272)) - 1</f>
        <v>7.850881521</v>
      </c>
      <c r="BO273" s="7">
        <v>2.0</v>
      </c>
      <c r="BP273" s="82"/>
      <c r="BQ273" s="7"/>
      <c r="BR273" s="7" t="s">
        <v>23</v>
      </c>
    </row>
    <row r="274">
      <c r="A274" s="16">
        <v>17.0</v>
      </c>
      <c r="B274" s="6" t="s">
        <v>342</v>
      </c>
      <c r="C274" s="53">
        <v>2.0</v>
      </c>
      <c r="D274" s="53" t="s">
        <v>3163</v>
      </c>
      <c r="E274" s="7">
        <v>186.0</v>
      </c>
      <c r="F274" s="53"/>
      <c r="G274" s="7"/>
      <c r="H274" s="16">
        <v>1.0</v>
      </c>
      <c r="I274" s="81">
        <v>1.0</v>
      </c>
      <c r="J274" s="35" t="s">
        <v>3164</v>
      </c>
      <c r="K274" s="53"/>
      <c r="L274" s="53"/>
      <c r="M274" s="39" t="str">
        <f t="shared" si="1"/>
        <v>[https://www.sciencedirect.com/science/article/pii/S0022000085710781 Seidel's algorithm (1995)]</v>
      </c>
      <c r="N274" s="39" t="s">
        <v>3165</v>
      </c>
      <c r="O274" s="81">
        <v>1995.0</v>
      </c>
      <c r="P274" s="49" t="s">
        <v>3166</v>
      </c>
      <c r="Q274" s="82"/>
      <c r="R274" s="82"/>
      <c r="S274" s="82"/>
      <c r="T274" s="81">
        <v>1.0</v>
      </c>
      <c r="U274" s="16">
        <v>0.0</v>
      </c>
      <c r="V274" s="89">
        <f>IFERROR(__xludf.DUMMYFUNCTION("INDEX(SPLIT(SUBSTITUTE(W274,CHAR(10), """"),"",:""), MATCH(Z274, SPLIT(SUBSTITUTE(W274,CHAR(10), """"),"",:""), 0) + 1)"),5.373)</f>
        <v>5.373</v>
      </c>
      <c r="W274" s="102" t="s">
        <v>3167</v>
      </c>
      <c r="X274" s="35" t="s">
        <v>3168</v>
      </c>
      <c r="Y274" s="53" t="s">
        <v>347</v>
      </c>
      <c r="Z274" s="53" t="str">
        <f t="array" ref="Z274">INDEX(Problems!J:J, MATCH(1, (Problems!B:B=B274)*1, 0))</f>
        <v>n</v>
      </c>
      <c r="AA274" s="53"/>
      <c r="AB274" s="53"/>
      <c r="AC274" s="53" t="s">
        <v>1813</v>
      </c>
      <c r="AD274" s="53" t="s">
        <v>1814</v>
      </c>
      <c r="AE274" s="85">
        <f>IFERROR(__xludf.DUMMYFUNCTION("INDEX(SPLIT(SUBSTITUTE(AF274,CHAR(10), """"),"",:""), MATCH(Z274, SPLIT(SUBSTITUTE(AF274,CHAR(10), """"),"",:""), 0) + 1)"),5.0)</f>
        <v>5</v>
      </c>
      <c r="AF274" s="85" t="s">
        <v>1938</v>
      </c>
      <c r="AG274" s="53" t="s">
        <v>61</v>
      </c>
      <c r="AH274" s="53" t="s">
        <v>3169</v>
      </c>
      <c r="AI274" s="84">
        <v>1.0</v>
      </c>
      <c r="AJ274" s="84">
        <v>0.0</v>
      </c>
      <c r="AK274" s="87"/>
      <c r="AL274" s="81">
        <v>0.0</v>
      </c>
      <c r="AM274" s="87"/>
      <c r="AN274" s="81">
        <v>0.0</v>
      </c>
      <c r="AO274" s="90"/>
      <c r="AP274" s="81">
        <v>0.0</v>
      </c>
      <c r="AQ274" s="81">
        <v>0.0</v>
      </c>
      <c r="AR274" s="39"/>
      <c r="AS274" s="81">
        <v>0.0</v>
      </c>
      <c r="AT274" s="81">
        <v>0.0</v>
      </c>
      <c r="AU274" s="39"/>
      <c r="AV274" s="7" t="s">
        <v>3159</v>
      </c>
      <c r="AW274" s="82"/>
      <c r="AX274" s="82"/>
      <c r="AY274" s="7" t="s">
        <v>3160</v>
      </c>
      <c r="AZ274" s="7"/>
      <c r="BA274" s="7"/>
      <c r="BB274" s="7"/>
      <c r="BC274" s="7"/>
      <c r="BD274" s="7"/>
      <c r="BE274" s="7"/>
      <c r="BF274" s="7">
        <v>8100011.0</v>
      </c>
      <c r="BG274" s="82">
        <f>BF272/BF274</f>
        <v>1524.155833</v>
      </c>
      <c r="BH274" s="82">
        <f t="shared" si="40"/>
        <v>0.1906562983</v>
      </c>
      <c r="BI274" s="82">
        <f>POW((1000000/3),2.373)*LOG(1000000/3,2)</f>
        <v>234070670188821</v>
      </c>
      <c r="BJ274" s="82">
        <f>BI272/BI274</f>
        <v>52743383.02</v>
      </c>
      <c r="BK274" s="82">
        <f t="shared" si="41"/>
        <v>0.5270777256</v>
      </c>
      <c r="BL274" s="82">
        <f>POW((1000000000/3),2.373)*LOG(1000000000/3,2)</f>
        <v>4.75081E+21</v>
      </c>
      <c r="BM274" s="82">
        <f>BL272/BL274</f>
        <v>2598646354631</v>
      </c>
      <c r="BN274" s="82">
        <f t="shared" si="42"/>
        <v>0.9751005894</v>
      </c>
      <c r="BO274" s="7">
        <v>2.0</v>
      </c>
      <c r="BP274" s="82"/>
      <c r="BQ274" s="7"/>
      <c r="BR274" s="7" t="s">
        <v>23</v>
      </c>
    </row>
    <row r="275">
      <c r="A275" s="16">
        <v>17.0</v>
      </c>
      <c r="B275" s="6" t="s">
        <v>342</v>
      </c>
      <c r="C275" s="53">
        <v>2.0</v>
      </c>
      <c r="D275" s="53" t="s">
        <v>348</v>
      </c>
      <c r="E275" s="7">
        <v>187.0</v>
      </c>
      <c r="F275" s="53"/>
      <c r="G275" s="7"/>
      <c r="H275" s="16">
        <v>1.0</v>
      </c>
      <c r="I275" s="81">
        <v>1.0</v>
      </c>
      <c r="J275" s="35" t="s">
        <v>3170</v>
      </c>
      <c r="K275" s="53"/>
      <c r="L275" s="53"/>
      <c r="M275" s="39" t="str">
        <f t="shared" si="1"/>
        <v>[https://dl.acm.org/citation.cfm?id=2591811 Williams (2014)]</v>
      </c>
      <c r="N275" s="16" t="s">
        <v>3171</v>
      </c>
      <c r="O275" s="81">
        <v>2014.0</v>
      </c>
      <c r="P275" s="28" t="s">
        <v>3172</v>
      </c>
      <c r="Q275" s="82"/>
      <c r="R275" s="82"/>
      <c r="S275" s="82"/>
      <c r="T275" s="81">
        <v>0.0</v>
      </c>
      <c r="U275" s="16">
        <v>0.0</v>
      </c>
      <c r="V275" s="89">
        <f>IFERROR(__xludf.DUMMYFUNCTION("INDEX(SPLIT(SUBSTITUTE(W275,CHAR(10), """"),"",:""), MATCH(Z275, SPLIT(SUBSTITUTE(W275,CHAR(10), """"),"",:""), 0) + 1)"),6.0)</f>
        <v>6</v>
      </c>
      <c r="W275" s="102" t="s">
        <v>2008</v>
      </c>
      <c r="X275" s="35" t="s">
        <v>3173</v>
      </c>
      <c r="Y275" s="53" t="s">
        <v>347</v>
      </c>
      <c r="Z275" s="53" t="str">
        <f t="array" ref="Z275">INDEX(Problems!J:J, MATCH(1, (Problems!B:B=B275)*1, 0))</f>
        <v>n</v>
      </c>
      <c r="AA275" s="53"/>
      <c r="AB275" s="53"/>
      <c r="AC275" s="53" t="s">
        <v>1813</v>
      </c>
      <c r="AD275" s="53" t="s">
        <v>1814</v>
      </c>
      <c r="AE275" s="85">
        <f>IFERROR(__xludf.DUMMYFUNCTION("INDEX(SPLIT(SUBSTITUTE(AF275,CHAR(10), """"),"",:""), MATCH(Z275, SPLIT(SUBSTITUTE(AF275,CHAR(10), """"),"",:""), 0) + 1)"),5.0)</f>
        <v>5</v>
      </c>
      <c r="AF275" s="85" t="s">
        <v>1938</v>
      </c>
      <c r="AG275" s="53" t="s">
        <v>61</v>
      </c>
      <c r="AH275" s="53" t="s">
        <v>3174</v>
      </c>
      <c r="AI275" s="84">
        <v>1.0</v>
      </c>
      <c r="AJ275" s="84">
        <v>0.0</v>
      </c>
      <c r="AK275" s="87"/>
      <c r="AL275" s="81">
        <v>0.0</v>
      </c>
      <c r="AM275" s="87"/>
      <c r="AN275" s="81">
        <v>0.0</v>
      </c>
      <c r="AO275" s="90"/>
      <c r="AP275" s="81">
        <v>0.0</v>
      </c>
      <c r="AQ275" s="81">
        <v>0.0</v>
      </c>
      <c r="AR275" s="39"/>
      <c r="AS275" s="81">
        <v>0.0</v>
      </c>
      <c r="AT275" s="81">
        <v>0.0</v>
      </c>
      <c r="AU275" s="39"/>
      <c r="AV275" s="7" t="s">
        <v>3159</v>
      </c>
      <c r="AW275" s="82"/>
      <c r="AX275" s="82"/>
      <c r="AY275" s="7" t="s">
        <v>3160</v>
      </c>
      <c r="AZ275" s="7"/>
      <c r="BA275" s="7"/>
      <c r="BB275" s="7"/>
      <c r="BC275" s="7"/>
      <c r="BD275" s="7"/>
      <c r="BE275" s="7"/>
      <c r="BF275" s="7">
        <v>4998250.0</v>
      </c>
      <c r="BG275" s="82">
        <f t="shared" ref="BG275:BG279" si="43">12345679012/BF275</f>
        <v>2470.000303</v>
      </c>
      <c r="BH275" s="82"/>
      <c r="BI275" s="82"/>
      <c r="BJ275" s="82"/>
      <c r="BK275" s="82"/>
      <c r="BL275" s="82"/>
      <c r="BM275" s="82"/>
      <c r="BN275" s="7"/>
      <c r="BO275" s="7">
        <v>2.0</v>
      </c>
      <c r="BP275" s="82"/>
      <c r="BQ275" s="7"/>
      <c r="BR275" s="7" t="s">
        <v>23</v>
      </c>
    </row>
    <row r="276">
      <c r="A276" s="16">
        <v>17.0</v>
      </c>
      <c r="B276" s="6" t="s">
        <v>342</v>
      </c>
      <c r="C276" s="53">
        <v>0.001</v>
      </c>
      <c r="D276" s="53" t="s">
        <v>3175</v>
      </c>
      <c r="E276" s="7">
        <v>188.0</v>
      </c>
      <c r="F276" s="53"/>
      <c r="G276" s="7"/>
      <c r="H276" s="16">
        <v>1.0</v>
      </c>
      <c r="I276" s="81">
        <v>1.0</v>
      </c>
      <c r="J276" s="35" t="s">
        <v>3176</v>
      </c>
      <c r="K276" s="53"/>
      <c r="L276" s="53"/>
      <c r="M276" s="39" t="str">
        <f t="shared" si="1"/>
        <v>[https://dl.acm.org/citation.cfm?id=545417 Pettie &amp; Ramachandran (2002)]</v>
      </c>
      <c r="N276" s="16" t="s">
        <v>3177</v>
      </c>
      <c r="O276" s="81">
        <v>2002.0</v>
      </c>
      <c r="P276" s="28" t="s">
        <v>3178</v>
      </c>
      <c r="Q276" s="82"/>
      <c r="R276" s="82"/>
      <c r="S276" s="82"/>
      <c r="T276" s="81">
        <v>0.0</v>
      </c>
      <c r="U276" s="16">
        <v>0.0</v>
      </c>
      <c r="V276" s="89">
        <f>IFERROR(__xludf.DUMMYFUNCTION("INDEX(SPLIT(SUBSTITUTE(W276,CHAR(10), """"),"",:""), MATCH(Z276, SPLIT(SUBSTITUTE(W276,CHAR(10), """"),"",:""), 0) + 1)"),6.0)</f>
        <v>6</v>
      </c>
      <c r="W276" s="102" t="s">
        <v>2838</v>
      </c>
      <c r="X276" s="35" t="s">
        <v>3179</v>
      </c>
      <c r="Y276" s="53" t="s">
        <v>3180</v>
      </c>
      <c r="Z276" s="53" t="str">
        <f t="array" ref="Z276">INDEX(Problems!J:J, MATCH(1, (Problems!B:B=B276)*1, 0))</f>
        <v>n</v>
      </c>
      <c r="AA276" s="53"/>
      <c r="AB276" s="53"/>
      <c r="AC276" s="53" t="s">
        <v>3181</v>
      </c>
      <c r="AD276" s="53"/>
      <c r="AE276" s="85" t="str">
        <f>IFERROR(__xludf.DUMMYFUNCTION("INDEX(SPLIT(SUBSTITUTE(AF276,CHAR(10), """"),"",:""), MATCH(Z276, SPLIT(SUBSTITUTE(AF276,CHAR(10), """"),"",:""), 0) + 1)"),"#VALUE!")</f>
        <v>#VALUE!</v>
      </c>
      <c r="AF276" s="131"/>
      <c r="AG276" s="53"/>
      <c r="AH276" s="53"/>
      <c r="AI276" s="87"/>
      <c r="AJ276" s="84" t="s">
        <v>2520</v>
      </c>
      <c r="AK276" s="87"/>
      <c r="AL276" s="81">
        <v>0.0</v>
      </c>
      <c r="AM276" s="87"/>
      <c r="AN276" s="81">
        <v>0.0</v>
      </c>
      <c r="AO276" s="90"/>
      <c r="AP276" s="81">
        <v>0.0</v>
      </c>
      <c r="AQ276" s="81">
        <v>0.0</v>
      </c>
      <c r="AR276" s="39"/>
      <c r="AS276" s="81">
        <v>0.0</v>
      </c>
      <c r="AT276" s="81">
        <v>0.0</v>
      </c>
      <c r="AU276" s="39"/>
      <c r="AV276" s="7" t="s">
        <v>3159</v>
      </c>
      <c r="AW276" s="82"/>
      <c r="AX276" s="82"/>
      <c r="AY276" s="7" t="s">
        <v>3160</v>
      </c>
      <c r="AZ276" s="7"/>
      <c r="BA276" s="7"/>
      <c r="BB276" s="7"/>
      <c r="BC276" s="7"/>
      <c r="BD276" s="7"/>
      <c r="BE276" s="7"/>
      <c r="BF276" s="7">
        <v>222222.0</v>
      </c>
      <c r="BG276" s="82">
        <f t="shared" si="43"/>
        <v>55555.61111</v>
      </c>
      <c r="BH276" s="82"/>
      <c r="BI276" s="82"/>
      <c r="BJ276" s="82"/>
      <c r="BK276" s="82"/>
      <c r="BL276" s="82"/>
      <c r="BM276" s="82"/>
      <c r="BN276" s="7"/>
      <c r="BO276" s="7">
        <v>2.0</v>
      </c>
      <c r="BP276" s="82"/>
      <c r="BQ276" s="7"/>
      <c r="BR276" s="7" t="s">
        <v>23</v>
      </c>
    </row>
    <row r="277">
      <c r="A277" s="16">
        <v>17.0</v>
      </c>
      <c r="B277" s="6" t="s">
        <v>342</v>
      </c>
      <c r="C277" s="53">
        <v>2.0</v>
      </c>
      <c r="D277" s="53" t="s">
        <v>3182</v>
      </c>
      <c r="E277" s="7">
        <v>189.0</v>
      </c>
      <c r="F277" s="53"/>
      <c r="G277" s="7"/>
      <c r="H277" s="16">
        <v>1.0</v>
      </c>
      <c r="I277" s="81">
        <v>1.0</v>
      </c>
      <c r="J277" s="35" t="s">
        <v>399</v>
      </c>
      <c r="K277" s="53"/>
      <c r="L277" s="53"/>
      <c r="M277" s="39" t="str">
        <f t="shared" si="1"/>
        <v>[http://citeseerx.ist.psu.edu/viewdoc/download?doi=10.1.1.22.7128&amp;rep=rep1&amp;type=pdf Thorup (1999)]</v>
      </c>
      <c r="N277" s="16" t="s">
        <v>3183</v>
      </c>
      <c r="O277" s="81">
        <v>1999.0</v>
      </c>
      <c r="P277" s="17" t="s">
        <v>362</v>
      </c>
      <c r="Q277" s="7">
        <v>1.0</v>
      </c>
      <c r="R277" s="7">
        <v>1.0</v>
      </c>
      <c r="S277" s="114" t="s">
        <v>3184</v>
      </c>
      <c r="T277" s="81">
        <v>1.0</v>
      </c>
      <c r="U277" s="16" t="s">
        <v>2425</v>
      </c>
      <c r="V277" s="89">
        <f>IFERROR(__xludf.DUMMYFUNCTION("INDEX(SPLIT(SUBSTITUTE(W277,CHAR(10), """"),"",:""), MATCH(Z277, SPLIT(SUBSTITUTE(W277,CHAR(10), """"),"",:""), 0) + 1)"),6.0)</f>
        <v>6</v>
      </c>
      <c r="W277" s="102" t="s">
        <v>2838</v>
      </c>
      <c r="X277" s="35" t="s">
        <v>2270</v>
      </c>
      <c r="Y277" s="53" t="s">
        <v>347</v>
      </c>
      <c r="Z277" s="53" t="str">
        <f t="array" ref="Z277">INDEX(Problems!J:J, MATCH(1, (Problems!B:B=B277)*1, 0))</f>
        <v>n</v>
      </c>
      <c r="AA277" s="53"/>
      <c r="AB277" s="53"/>
      <c r="AC277" s="53" t="s">
        <v>1813</v>
      </c>
      <c r="AD277" s="53" t="s">
        <v>1814</v>
      </c>
      <c r="AE277" s="85">
        <f>IFERROR(__xludf.DUMMYFUNCTION("INDEX(SPLIT(SUBSTITUTE(AF277,CHAR(10), """"),"",:""), MATCH(Z277, SPLIT(SUBSTITUTE(AF277,CHAR(10), """"),"",:""), 0) + 1)"),6.0)</f>
        <v>6</v>
      </c>
      <c r="AF277" s="85" t="s">
        <v>2838</v>
      </c>
      <c r="AG277" s="53" t="s">
        <v>2270</v>
      </c>
      <c r="AH277" s="91" t="s">
        <v>3185</v>
      </c>
      <c r="AI277" s="84">
        <v>0.0</v>
      </c>
      <c r="AJ277" s="84">
        <v>1.0</v>
      </c>
      <c r="AK277" s="87"/>
      <c r="AL277" s="81">
        <v>0.0</v>
      </c>
      <c r="AM277" s="87"/>
      <c r="AN277" s="81">
        <v>0.0</v>
      </c>
      <c r="AO277" s="90"/>
      <c r="AP277" s="81">
        <v>0.0</v>
      </c>
      <c r="AQ277" s="81">
        <v>0.0</v>
      </c>
      <c r="AR277" s="39"/>
      <c r="AS277" s="81">
        <v>0.0</v>
      </c>
      <c r="AT277" s="81">
        <v>0.0</v>
      </c>
      <c r="AU277" s="39"/>
      <c r="AV277" s="7" t="s">
        <v>3159</v>
      </c>
      <c r="AW277" s="82"/>
      <c r="AX277" s="82"/>
      <c r="AY277" s="7" t="s">
        <v>3160</v>
      </c>
      <c r="AZ277" s="7"/>
      <c r="BA277" s="7"/>
      <c r="BB277" s="7"/>
      <c r="BC277" s="7"/>
      <c r="BD277" s="7"/>
      <c r="BE277" s="7"/>
      <c r="BF277" s="7">
        <v>222222.0</v>
      </c>
      <c r="BG277" s="82">
        <f t="shared" si="43"/>
        <v>55555.61111</v>
      </c>
      <c r="BH277" s="82"/>
      <c r="BI277" s="82">
        <f>(2/9)*POW(1000000,2)</f>
        <v>222222222222</v>
      </c>
      <c r="BJ277" s="82">
        <f>BI272/BI277</f>
        <v>55555555556</v>
      </c>
      <c r="BK277" s="82"/>
      <c r="BL277" s="82">
        <f>(2/9)*POW(1000000000,2)</f>
        <v>2.22222E+17</v>
      </c>
      <c r="BM277" s="82">
        <f>BL272/BL277</f>
        <v>5.55556E+16</v>
      </c>
      <c r="BN277" s="7"/>
      <c r="BO277" s="7">
        <v>2.0</v>
      </c>
      <c r="BP277" s="82"/>
      <c r="BQ277" s="7"/>
      <c r="BR277" s="7" t="s">
        <v>23</v>
      </c>
    </row>
    <row r="278">
      <c r="A278" s="16">
        <v>17.0</v>
      </c>
      <c r="B278" s="6" t="s">
        <v>342</v>
      </c>
      <c r="C278" s="53">
        <v>2.0</v>
      </c>
      <c r="D278" s="53" t="s">
        <v>352</v>
      </c>
      <c r="E278" s="7">
        <v>190.0</v>
      </c>
      <c r="F278" s="53"/>
      <c r="G278" s="7"/>
      <c r="H278" s="16">
        <v>1.0</v>
      </c>
      <c r="I278" s="81">
        <v>1.0</v>
      </c>
      <c r="J278" s="16" t="s">
        <v>3186</v>
      </c>
      <c r="K278" s="53"/>
      <c r="L278" s="53"/>
      <c r="M278" s="39" t="str">
        <f t="shared" si="1"/>
        <v>[http://tmc.web.engr.illinois.edu/moreapsp.pdf Chan (Geometrically Weighted) (2009)]</v>
      </c>
      <c r="N278" s="16" t="s">
        <v>3187</v>
      </c>
      <c r="O278" s="81">
        <v>2009.0</v>
      </c>
      <c r="P278" s="28" t="s">
        <v>3188</v>
      </c>
      <c r="Q278" s="82"/>
      <c r="R278" s="82"/>
      <c r="S278" s="82"/>
      <c r="T278" s="81">
        <v>0.0</v>
      </c>
      <c r="U278" s="16">
        <v>0.0</v>
      </c>
      <c r="V278" s="89">
        <f>IFERROR(__xludf.DUMMYFUNCTION("INDEX(SPLIT(SUBSTITUTE(W278,CHAR(10), """"),"",:""), MATCH(Z278, SPLIT(SUBSTITUTE(W278,CHAR(10), """"),"",:""), 0) + 1)"),5.844)</f>
        <v>5.844</v>
      </c>
      <c r="W278" s="85" t="s">
        <v>3189</v>
      </c>
      <c r="X278" s="16" t="s">
        <v>3190</v>
      </c>
      <c r="Y278" s="53" t="s">
        <v>347</v>
      </c>
      <c r="Z278" s="53" t="str">
        <f t="array" ref="Z278">INDEX(Problems!J:J, MATCH(1, (Problems!B:B=B278)*1, 0))</f>
        <v>n</v>
      </c>
      <c r="AA278" s="53"/>
      <c r="AB278" s="53"/>
      <c r="AC278" s="53" t="s">
        <v>1813</v>
      </c>
      <c r="AD278" s="53" t="s">
        <v>1814</v>
      </c>
      <c r="AE278" s="85">
        <f>IFERROR(__xludf.DUMMYFUNCTION("INDEX(SPLIT(SUBSTITUTE(AF278,CHAR(10), """"),"",:""), MATCH(Z278, SPLIT(SUBSTITUTE(AF278,CHAR(10), """"),"",:""), 0) + 1)"),5.0)</f>
        <v>5</v>
      </c>
      <c r="AF278" s="85" t="s">
        <v>3191</v>
      </c>
      <c r="AG278" s="53" t="s">
        <v>3192</v>
      </c>
      <c r="AH278" s="53" t="s">
        <v>3193</v>
      </c>
      <c r="AI278" s="84">
        <v>1.0</v>
      </c>
      <c r="AJ278" s="84">
        <v>0.0</v>
      </c>
      <c r="AK278" s="87"/>
      <c r="AL278" s="81">
        <v>0.0</v>
      </c>
      <c r="AM278" s="87"/>
      <c r="AN278" s="81">
        <v>0.0</v>
      </c>
      <c r="AO278" s="90"/>
      <c r="AP278" s="81">
        <v>0.0</v>
      </c>
      <c r="AQ278" s="81">
        <v>0.0</v>
      </c>
      <c r="AR278" s="39"/>
      <c r="AS278" s="81">
        <v>0.0</v>
      </c>
      <c r="AT278" s="81">
        <v>0.0</v>
      </c>
      <c r="AU278" s="39"/>
      <c r="AV278" s="7" t="s">
        <v>3159</v>
      </c>
      <c r="AW278" s="82"/>
      <c r="AX278" s="82"/>
      <c r="AY278" s="7" t="s">
        <v>3160</v>
      </c>
      <c r="AZ278" s="7"/>
      <c r="BA278" s="7"/>
      <c r="BB278" s="7"/>
      <c r="BC278" s="7"/>
      <c r="BD278" s="7"/>
      <c r="BE278" s="7"/>
      <c r="BF278" s="7">
        <v>1.496467E7</v>
      </c>
      <c r="BG278" s="82">
        <f t="shared" si="43"/>
        <v>824.9883901</v>
      </c>
      <c r="BH278" s="82"/>
      <c r="BI278" s="82"/>
      <c r="BJ278" s="82"/>
      <c r="BK278" s="82"/>
      <c r="BL278" s="82"/>
      <c r="BM278" s="82"/>
      <c r="BN278" s="7"/>
      <c r="BO278" s="7">
        <v>2.0</v>
      </c>
      <c r="BP278" s="82"/>
      <c r="BQ278" s="7"/>
      <c r="BR278" s="7" t="s">
        <v>23</v>
      </c>
    </row>
    <row r="279">
      <c r="A279" s="16">
        <v>17.0</v>
      </c>
      <c r="B279" s="6" t="s">
        <v>342</v>
      </c>
      <c r="C279" s="53">
        <v>2.0</v>
      </c>
      <c r="D279" s="53" t="s">
        <v>3194</v>
      </c>
      <c r="E279" s="7">
        <v>191.0</v>
      </c>
      <c r="F279" s="53"/>
      <c r="G279" s="7"/>
      <c r="H279" s="16">
        <v>1.0</v>
      </c>
      <c r="I279" s="81">
        <v>1.0</v>
      </c>
      <c r="J279" s="16" t="s">
        <v>3195</v>
      </c>
      <c r="K279" s="53"/>
      <c r="L279" s="53"/>
      <c r="M279" s="39" t="str">
        <f t="shared" si="1"/>
        <v>[http://tmc.web.engr.illinois.edu/moreapsp.pdf Chan (2009)]</v>
      </c>
      <c r="N279" s="16" t="s">
        <v>3196</v>
      </c>
      <c r="O279" s="81">
        <v>2009.0</v>
      </c>
      <c r="P279" s="28" t="s">
        <v>3188</v>
      </c>
      <c r="Q279" s="82"/>
      <c r="R279" s="82"/>
      <c r="S279" s="82"/>
      <c r="T279" s="81">
        <v>0.0</v>
      </c>
      <c r="U279" s="16">
        <v>0.0</v>
      </c>
      <c r="V279" s="89">
        <f>IFERROR(__xludf.DUMMYFUNCTION("INDEX(SPLIT(SUBSTITUTE(W279,CHAR(10), """"),"",:""), MATCH(Z279, SPLIT(SUBSTITUTE(W279,CHAR(10), """"),"",:""), 0) + 1)"),6.0)</f>
        <v>6</v>
      </c>
      <c r="W279" s="85" t="s">
        <v>2008</v>
      </c>
      <c r="X279" s="16" t="s">
        <v>3197</v>
      </c>
      <c r="Y279" s="53" t="s">
        <v>347</v>
      </c>
      <c r="Z279" s="53" t="str">
        <f t="array" ref="Z279">INDEX(Problems!J:J, MATCH(1, (Problems!B:B=B279)*1, 0))</f>
        <v>n</v>
      </c>
      <c r="AA279" s="53"/>
      <c r="AB279" s="53"/>
      <c r="AC279" s="53" t="s">
        <v>1813</v>
      </c>
      <c r="AD279" s="53" t="s">
        <v>1814</v>
      </c>
      <c r="AE279" s="85">
        <f>IFERROR(__xludf.DUMMYFUNCTION("INDEX(SPLIT(SUBSTITUTE(AF279,CHAR(10), """"),"",:""), MATCH(Z279, SPLIT(SUBSTITUTE(AF279,CHAR(10), """"),"",:""), 0) + 1)"),5.0)</f>
        <v>5</v>
      </c>
      <c r="AF279" s="85" t="s">
        <v>3191</v>
      </c>
      <c r="AG279" s="53" t="s">
        <v>61</v>
      </c>
      <c r="AH279" s="53" t="s">
        <v>3198</v>
      </c>
      <c r="AI279" s="84">
        <v>1.0</v>
      </c>
      <c r="AJ279" s="84">
        <v>0.0</v>
      </c>
      <c r="AK279" s="87"/>
      <c r="AL279" s="81">
        <v>0.0</v>
      </c>
      <c r="AM279" s="87"/>
      <c r="AN279" s="81">
        <v>0.0</v>
      </c>
      <c r="AO279" s="90"/>
      <c r="AP279" s="81">
        <v>0.0</v>
      </c>
      <c r="AQ279" s="81">
        <v>0.0</v>
      </c>
      <c r="AR279" s="39"/>
      <c r="AS279" s="81">
        <v>0.0</v>
      </c>
      <c r="AT279" s="81">
        <v>0.0</v>
      </c>
      <c r="AU279" s="39"/>
      <c r="AV279" s="7" t="s">
        <v>3159</v>
      </c>
      <c r="AW279" s="82"/>
      <c r="AX279" s="82"/>
      <c r="AY279" s="7" t="s">
        <v>3160</v>
      </c>
      <c r="AZ279" s="7"/>
      <c r="BA279" s="7"/>
      <c r="BB279" s="7"/>
      <c r="BC279" s="7"/>
      <c r="BD279" s="7"/>
      <c r="BE279" s="7"/>
      <c r="BF279" s="7">
        <v>1.5111217E7</v>
      </c>
      <c r="BG279" s="82">
        <f t="shared" si="43"/>
        <v>816.9877391</v>
      </c>
      <c r="BH279" s="82"/>
      <c r="BI279" s="82"/>
      <c r="BJ279" s="82"/>
      <c r="BK279" s="82"/>
      <c r="BL279" s="82"/>
      <c r="BM279" s="82"/>
      <c r="BN279" s="7"/>
      <c r="BO279" s="7">
        <v>2.0</v>
      </c>
      <c r="BP279" s="82"/>
      <c r="BQ279" s="7"/>
      <c r="BR279" s="7" t="s">
        <v>23</v>
      </c>
    </row>
    <row r="280">
      <c r="A280" s="16">
        <v>18.0</v>
      </c>
      <c r="B280" s="16" t="s">
        <v>377</v>
      </c>
      <c r="C280" s="53">
        <v>1.0</v>
      </c>
      <c r="D280" s="53" t="s">
        <v>378</v>
      </c>
      <c r="E280" s="7">
        <v>192.0</v>
      </c>
      <c r="F280" s="53"/>
      <c r="G280" s="7"/>
      <c r="H280" s="16">
        <v>1.0</v>
      </c>
      <c r="I280" s="81">
        <v>1.0</v>
      </c>
      <c r="J280" s="21" t="s">
        <v>2384</v>
      </c>
      <c r="K280" s="53"/>
      <c r="L280" s="53"/>
      <c r="M280" s="39" t="str">
        <f t="shared" si="1"/>
        <v>[- Trial division (1202)]</v>
      </c>
      <c r="N280" s="39" t="s">
        <v>3199</v>
      </c>
      <c r="O280" s="83">
        <v>1202.0</v>
      </c>
      <c r="P280" s="16" t="s">
        <v>1937</v>
      </c>
      <c r="Q280" s="7">
        <v>1.0</v>
      </c>
      <c r="R280" s="7">
        <v>1.0</v>
      </c>
      <c r="S280" s="114" t="s">
        <v>3200</v>
      </c>
      <c r="T280" s="81">
        <v>1.0</v>
      </c>
      <c r="U280" s="16">
        <v>0.0</v>
      </c>
      <c r="V280" s="89">
        <f>IFERROR(__xludf.DUMMYFUNCTION("INDEX(SPLIT(SUBSTITUTE(W280,CHAR(10), """"),"",:""), MATCH(Z280, SPLIT(SUBSTITUTE(W280,CHAR(10), """"),"",:""), 0) + 1)"),8.0)</f>
        <v>8</v>
      </c>
      <c r="W280" s="85" t="s">
        <v>2001</v>
      </c>
      <c r="X280" s="21" t="s">
        <v>3201</v>
      </c>
      <c r="Y280" s="53" t="s">
        <v>3202</v>
      </c>
      <c r="Z280" s="53" t="str">
        <f t="array" ref="Z280">INDEX(Problems!J:J, MATCH(1, (Problems!B:B=B280)*1, 0))</f>
        <v>n</v>
      </c>
      <c r="AA280" s="53"/>
      <c r="AB280" s="53"/>
      <c r="AC280" s="53" t="s">
        <v>2337</v>
      </c>
      <c r="AD280" s="53" t="s">
        <v>2338</v>
      </c>
      <c r="AE280" s="85">
        <f>IFERROR(__xludf.DUMMYFUNCTION("INDEX(SPLIT(SUBSTITUTE(AF280,CHAR(10), """"),"",:""), MATCH(Z280, SPLIT(SUBSTITUTE(AF280,CHAR(10), """"),"",:""), 0) + 1)"),3.0)</f>
        <v>3</v>
      </c>
      <c r="AF280" s="85" t="s">
        <v>1763</v>
      </c>
      <c r="AG280" s="53" t="s">
        <v>35</v>
      </c>
      <c r="AH280" s="53" t="s">
        <v>3203</v>
      </c>
      <c r="AI280" s="84">
        <v>1.0</v>
      </c>
      <c r="AJ280" s="84">
        <v>0.0</v>
      </c>
      <c r="AK280" s="87"/>
      <c r="AL280" s="81">
        <v>0.0</v>
      </c>
      <c r="AM280" s="87"/>
      <c r="AN280" s="81">
        <v>0.0</v>
      </c>
      <c r="AO280" s="90"/>
      <c r="AP280" s="81">
        <v>0.0</v>
      </c>
      <c r="AQ280" s="81">
        <v>0.0</v>
      </c>
      <c r="AR280" s="39"/>
      <c r="AS280" s="81">
        <v>0.0</v>
      </c>
      <c r="AT280" s="81">
        <v>0.0</v>
      </c>
      <c r="AU280" s="25" t="s">
        <v>3200</v>
      </c>
      <c r="AV280" s="7" t="s">
        <v>3204</v>
      </c>
      <c r="AW280" s="82"/>
      <c r="AX280" s="82"/>
      <c r="AY280" s="7"/>
      <c r="AZ280" s="50">
        <f> 1000</f>
        <v>1000</v>
      </c>
      <c r="BA280" s="50"/>
      <c r="BB280" s="50">
        <f> 1000000</f>
        <v>1000000</v>
      </c>
      <c r="BC280" s="50"/>
      <c r="BD280" s="50">
        <f> 1000000000</f>
        <v>1000000000</v>
      </c>
      <c r="BE280" s="50"/>
      <c r="BF280" s="50" t="s">
        <v>1781</v>
      </c>
      <c r="BG280" s="7">
        <v>1.0</v>
      </c>
      <c r="BH280" s="7"/>
      <c r="BI280" s="7" t="s">
        <v>1781</v>
      </c>
      <c r="BJ280" s="7">
        <v>1.0</v>
      </c>
      <c r="BK280" s="7"/>
      <c r="BL280" s="7" t="s">
        <v>1781</v>
      </c>
      <c r="BM280" s="7">
        <v>1.0</v>
      </c>
      <c r="BN280" s="7"/>
      <c r="BO280" s="7">
        <v>1.0</v>
      </c>
      <c r="BP280" s="82"/>
      <c r="BQ280" s="7"/>
      <c r="BR280" s="7" t="s">
        <v>144</v>
      </c>
    </row>
    <row r="281">
      <c r="A281" s="16">
        <v>18.0</v>
      </c>
      <c r="B281" s="16" t="s">
        <v>377</v>
      </c>
      <c r="C281" s="53">
        <v>1.0</v>
      </c>
      <c r="D281" s="53" t="s">
        <v>378</v>
      </c>
      <c r="E281" s="7">
        <v>193.0</v>
      </c>
      <c r="F281" s="53"/>
      <c r="G281" s="7"/>
      <c r="H281" s="16">
        <v>1.0</v>
      </c>
      <c r="I281" s="81">
        <v>1.0</v>
      </c>
      <c r="J281" s="16" t="s">
        <v>3205</v>
      </c>
      <c r="K281" s="53"/>
      <c r="L281" s="53"/>
      <c r="M281" s="39" t="str">
        <f t="shared" si="1"/>
        <v>[ Wheel factorization (1940)]</v>
      </c>
      <c r="N281" s="39" t="s">
        <v>3206</v>
      </c>
      <c r="O281" s="81">
        <v>1940.0</v>
      </c>
      <c r="P281" s="39"/>
      <c r="Q281" s="82"/>
      <c r="R281" s="82"/>
      <c r="S281" s="82"/>
      <c r="T281" s="81">
        <v>0.0</v>
      </c>
      <c r="U281" s="16">
        <v>0.0</v>
      </c>
      <c r="V281" s="89">
        <f>IFERROR(__xludf.DUMMYFUNCTION("INDEX(SPLIT(SUBSTITUTE(W281,CHAR(10), """"),"",:""), MATCH(Z281, SPLIT(SUBSTITUTE(W281,CHAR(10), """"),"",:""), 0) + 1)"),8.0)</f>
        <v>8</v>
      </c>
      <c r="W281" s="85" t="s">
        <v>2001</v>
      </c>
      <c r="X281" s="16" t="s">
        <v>3201</v>
      </c>
      <c r="Y281" s="53" t="s">
        <v>3202</v>
      </c>
      <c r="Z281" s="53" t="str">
        <f t="array" ref="Z281">INDEX(Problems!J:J, MATCH(1, (Problems!B:B=B281)*1, 0))</f>
        <v>n</v>
      </c>
      <c r="AA281" s="53"/>
      <c r="AB281" s="53"/>
      <c r="AC281" s="53" t="s">
        <v>2337</v>
      </c>
      <c r="AD281" s="53" t="s">
        <v>2338</v>
      </c>
      <c r="AE281" s="85">
        <f>IFERROR(__xludf.DUMMYFUNCTION("INDEX(SPLIT(SUBSTITUTE(AF281,CHAR(10), """"),"",:""), MATCH(Z281, SPLIT(SUBSTITUTE(AF281,CHAR(10), """"),"",:""), 0) + 1)"),3.0)</f>
        <v>3</v>
      </c>
      <c r="AF281" s="85" t="s">
        <v>1763</v>
      </c>
      <c r="AG281" s="53" t="s">
        <v>35</v>
      </c>
      <c r="AH281" s="53" t="s">
        <v>3207</v>
      </c>
      <c r="AI281" s="84">
        <v>1.0</v>
      </c>
      <c r="AJ281" s="84">
        <v>0.0</v>
      </c>
      <c r="AK281" s="87"/>
      <c r="AL281" s="81">
        <v>0.0</v>
      </c>
      <c r="AM281" s="87"/>
      <c r="AN281" s="81">
        <v>0.0</v>
      </c>
      <c r="AO281" s="90"/>
      <c r="AP281" s="81">
        <v>0.0</v>
      </c>
      <c r="AQ281" s="81">
        <v>0.0</v>
      </c>
      <c r="AR281" s="39"/>
      <c r="AS281" s="81">
        <v>0.0</v>
      </c>
      <c r="AT281" s="81">
        <v>0.0</v>
      </c>
      <c r="AU281" s="39"/>
      <c r="AV281" s="7" t="s">
        <v>3204</v>
      </c>
      <c r="AW281" s="82"/>
      <c r="AX281" s="82"/>
      <c r="AY281" s="7"/>
      <c r="AZ281" s="50"/>
      <c r="BA281" s="50"/>
      <c r="BB281" s="50"/>
      <c r="BC281" s="50"/>
      <c r="BD281" s="50"/>
      <c r="BE281" s="50"/>
      <c r="BF281" s="50" t="s">
        <v>1781</v>
      </c>
      <c r="BG281" s="7">
        <v>1.0</v>
      </c>
      <c r="BH281" s="82"/>
      <c r="BI281" s="82"/>
      <c r="BJ281" s="82"/>
      <c r="BK281" s="82"/>
      <c r="BL281" s="82"/>
      <c r="BM281" s="82"/>
      <c r="BN281" s="7"/>
      <c r="BO281" s="7">
        <v>1.0</v>
      </c>
      <c r="BP281" s="82"/>
      <c r="BQ281" s="7"/>
      <c r="BR281" s="7" t="s">
        <v>144</v>
      </c>
    </row>
    <row r="282">
      <c r="A282" s="16">
        <v>18.0</v>
      </c>
      <c r="B282" s="16" t="s">
        <v>377</v>
      </c>
      <c r="C282" s="53">
        <v>1.0</v>
      </c>
      <c r="D282" s="53" t="s">
        <v>378</v>
      </c>
      <c r="E282" s="7">
        <v>194.0</v>
      </c>
      <c r="F282" s="53"/>
      <c r="G282" s="7"/>
      <c r="H282" s="16">
        <v>1.0</v>
      </c>
      <c r="I282" s="81">
        <v>1.0</v>
      </c>
      <c r="J282" s="146" t="s">
        <v>1937</v>
      </c>
      <c r="K282" s="53"/>
      <c r="L282" s="53"/>
      <c r="M282" s="39" t="str">
        <f t="shared" si="1"/>
        <v>[https://link.springer.com/article/10.1007%2FBF01933667 Pollard's rho algorithm (1975)]</v>
      </c>
      <c r="N282" s="39" t="s">
        <v>3208</v>
      </c>
      <c r="O282" s="81">
        <v>1975.0</v>
      </c>
      <c r="P282" s="25" t="s">
        <v>3209</v>
      </c>
      <c r="Q282" s="82"/>
      <c r="R282" s="82"/>
      <c r="S282" s="82"/>
      <c r="T282" s="81">
        <v>0.0</v>
      </c>
      <c r="U282" s="16">
        <v>0.0</v>
      </c>
      <c r="V282" s="89" t="str">
        <f>IFERROR(__xludf.DUMMYFUNCTION("INDEX(SPLIT(SUBSTITUTE(W282,CHAR(10), """"),"",:""), MATCH(Z282, SPLIT(SUBSTITUTE(W282,CHAR(10), """"),"",:""), 0) + 1)"),"#VALUE!")</f>
        <v>#VALUE!</v>
      </c>
      <c r="W282" s="131"/>
      <c r="X282" s="146" t="s">
        <v>1937</v>
      </c>
      <c r="Y282" s="53" t="s">
        <v>3202</v>
      </c>
      <c r="Z282" s="53" t="str">
        <f t="array" ref="Z282">INDEX(Problems!J:J, MATCH(1, (Problems!B:B=B282)*1, 0))</f>
        <v>n</v>
      </c>
      <c r="AA282" s="53"/>
      <c r="AB282" s="53"/>
      <c r="AC282" s="53" t="s">
        <v>2337</v>
      </c>
      <c r="AD282" s="53" t="s">
        <v>2338</v>
      </c>
      <c r="AE282" s="85">
        <f>IFERROR(__xludf.DUMMYFUNCTION("INDEX(SPLIT(SUBSTITUTE(AF282,CHAR(10), """"),"",:""), MATCH(Z282, SPLIT(SUBSTITUTE(AF282,CHAR(10), """"),"",:""), 0) + 1)"),3.0)</f>
        <v>3</v>
      </c>
      <c r="AF282" s="85" t="s">
        <v>1763</v>
      </c>
      <c r="AG282" s="53" t="s">
        <v>35</v>
      </c>
      <c r="AH282" s="53" t="s">
        <v>3210</v>
      </c>
      <c r="AI282" s="84">
        <v>1.0</v>
      </c>
      <c r="AJ282" s="84">
        <v>0.0</v>
      </c>
      <c r="AK282" s="87"/>
      <c r="AL282" s="81">
        <v>0.0</v>
      </c>
      <c r="AM282" s="87"/>
      <c r="AN282" s="81">
        <v>0.0</v>
      </c>
      <c r="AO282" s="90"/>
      <c r="AP282" s="81">
        <v>0.0</v>
      </c>
      <c r="AQ282" s="81">
        <v>0.0</v>
      </c>
      <c r="AR282" s="39"/>
      <c r="AS282" s="81">
        <v>0.0</v>
      </c>
      <c r="AT282" s="81">
        <v>0.0</v>
      </c>
      <c r="AU282" s="39"/>
      <c r="AV282" s="7" t="s">
        <v>3204</v>
      </c>
      <c r="AW282" s="82"/>
      <c r="AX282" s="82"/>
      <c r="AY282" s="7"/>
      <c r="AZ282" s="50"/>
      <c r="BA282" s="50"/>
      <c r="BB282" s="50"/>
      <c r="BC282" s="50"/>
      <c r="BD282" s="50"/>
      <c r="BE282" s="50"/>
      <c r="BF282" s="50" t="s">
        <v>1781</v>
      </c>
      <c r="BG282" s="7">
        <v>1.0</v>
      </c>
      <c r="BH282" s="82"/>
      <c r="BI282" s="82"/>
      <c r="BJ282" s="82"/>
      <c r="BK282" s="82"/>
      <c r="BL282" s="82"/>
      <c r="BM282" s="82"/>
      <c r="BN282" s="7"/>
      <c r="BO282" s="7">
        <v>1.0</v>
      </c>
      <c r="BP282" s="82"/>
      <c r="BQ282" s="7"/>
      <c r="BR282" s="7" t="s">
        <v>144</v>
      </c>
    </row>
    <row r="283">
      <c r="A283" s="16">
        <v>18.0</v>
      </c>
      <c r="B283" s="16" t="s">
        <v>377</v>
      </c>
      <c r="C283" s="53">
        <v>1.0</v>
      </c>
      <c r="D283" s="53" t="s">
        <v>378</v>
      </c>
      <c r="E283" s="7">
        <v>195.0</v>
      </c>
      <c r="F283" s="53"/>
      <c r="G283" s="7"/>
      <c r="H283" s="16">
        <v>1.0</v>
      </c>
      <c r="I283" s="81">
        <v>1.0</v>
      </c>
      <c r="J283" s="147" t="s">
        <v>3211</v>
      </c>
      <c r="K283" s="53"/>
      <c r="L283" s="53"/>
      <c r="M283" s="39" t="str">
        <f t="shared" si="1"/>
        <v>[https://www.cambridge.org/core/journals/mathematical-proceedings-of-the-cambridge-philosophical-society/article/theorems-on-factorization-and-primality-testing/6762E84DBD34AEF13E6B1D1A8334A989 Pollard's p − 1 algorithm (1974)]</v>
      </c>
      <c r="N283" s="39" t="s">
        <v>3212</v>
      </c>
      <c r="O283" s="81">
        <v>1974.0</v>
      </c>
      <c r="P283" s="17" t="s">
        <v>3213</v>
      </c>
      <c r="Q283" s="82"/>
      <c r="R283" s="82"/>
      <c r="S283" s="82"/>
      <c r="T283" s="81">
        <v>0.0</v>
      </c>
      <c r="U283" s="16">
        <v>0.0</v>
      </c>
      <c r="V283" s="89">
        <f>IFERROR(__xludf.DUMMYFUNCTION("INDEX(SPLIT(SUBSTITUTE(W283,CHAR(10), """"),"",:""), MATCH(Z283, SPLIT(SUBSTITUTE(W283,CHAR(10), """"),"",:""), 0) + 1)"),8.0)</f>
        <v>8</v>
      </c>
      <c r="W283" s="85" t="s">
        <v>2001</v>
      </c>
      <c r="X283" s="147" t="s">
        <v>3211</v>
      </c>
      <c r="Y283" s="53" t="s">
        <v>3214</v>
      </c>
      <c r="Z283" s="53" t="str">
        <f t="array" ref="Z283">INDEX(Problems!J:J, MATCH(1, (Problems!B:B=B283)*1, 0))</f>
        <v>n</v>
      </c>
      <c r="AA283" s="53"/>
      <c r="AB283" s="53"/>
      <c r="AC283" s="53" t="s">
        <v>2337</v>
      </c>
      <c r="AD283" s="53" t="s">
        <v>2338</v>
      </c>
      <c r="AE283" s="85">
        <f>IFERROR(__xludf.DUMMYFUNCTION("INDEX(SPLIT(SUBSTITUTE(AF283,CHAR(10), """"),"",:""), MATCH(Z283, SPLIT(SUBSTITUTE(AF283,CHAR(10), """"),"",:""), 0) + 1)"),8.0)</f>
        <v>8</v>
      </c>
      <c r="AF283" s="85" t="s">
        <v>3215</v>
      </c>
      <c r="AG283" s="53" t="s">
        <v>3216</v>
      </c>
      <c r="AH283" s="53" t="s">
        <v>3217</v>
      </c>
      <c r="AI283" s="84">
        <v>1.0</v>
      </c>
      <c r="AJ283" s="84">
        <v>0.0</v>
      </c>
      <c r="AK283" s="87"/>
      <c r="AL283" s="81">
        <v>0.0</v>
      </c>
      <c r="AM283" s="87"/>
      <c r="AN283" s="81">
        <v>0.0</v>
      </c>
      <c r="AO283" s="90"/>
      <c r="AP283" s="81">
        <v>0.0</v>
      </c>
      <c r="AQ283" s="81">
        <v>0.0</v>
      </c>
      <c r="AR283" s="39"/>
      <c r="AS283" s="81">
        <v>0.0</v>
      </c>
      <c r="AT283" s="81">
        <v>0.0</v>
      </c>
      <c r="AU283" s="39"/>
      <c r="AV283" s="7" t="s">
        <v>3204</v>
      </c>
      <c r="AW283" s="82"/>
      <c r="AX283" s="82"/>
      <c r="AY283" s="7"/>
      <c r="AZ283" s="50"/>
      <c r="BA283" s="50"/>
      <c r="BB283" s="50"/>
      <c r="BC283" s="50"/>
      <c r="BD283" s="50"/>
      <c r="BE283" s="50"/>
      <c r="BF283" s="50" t="s">
        <v>1781</v>
      </c>
      <c r="BG283" s="7">
        <v>1.0</v>
      </c>
      <c r="BH283" s="82"/>
      <c r="BI283" s="82"/>
      <c r="BJ283" s="82"/>
      <c r="BK283" s="82"/>
      <c r="BL283" s="82"/>
      <c r="BM283" s="82"/>
      <c r="BN283" s="7"/>
      <c r="BO283" s="7">
        <v>1.0</v>
      </c>
      <c r="BP283" s="82"/>
      <c r="BQ283" s="7"/>
      <c r="BR283" s="7" t="s">
        <v>144</v>
      </c>
    </row>
    <row r="284">
      <c r="A284" s="16">
        <v>18.0</v>
      </c>
      <c r="B284" s="16" t="s">
        <v>377</v>
      </c>
      <c r="C284" s="53">
        <v>1.0</v>
      </c>
      <c r="D284" s="53" t="s">
        <v>378</v>
      </c>
      <c r="E284" s="7">
        <v>196.0</v>
      </c>
      <c r="F284" s="53"/>
      <c r="G284" s="7"/>
      <c r="H284" s="16">
        <v>1.0</v>
      </c>
      <c r="I284" s="81">
        <v>1.0</v>
      </c>
      <c r="J284" s="16" t="s">
        <v>3218</v>
      </c>
      <c r="K284" s="53"/>
      <c r="L284" s="53"/>
      <c r="M284" s="39" t="str">
        <f t="shared" si="1"/>
        <v>[https://www.jstor.org/stable/2007633?origin=crossref Williams' p + 1 algorithm (1982)]</v>
      </c>
      <c r="N284" s="39" t="s">
        <v>3219</v>
      </c>
      <c r="O284" s="81">
        <v>1982.0</v>
      </c>
      <c r="P284" s="17" t="s">
        <v>3220</v>
      </c>
      <c r="Q284" s="82"/>
      <c r="R284" s="82"/>
      <c r="S284" s="82"/>
      <c r="T284" s="81">
        <v>0.0</v>
      </c>
      <c r="U284" s="16">
        <v>0.0</v>
      </c>
      <c r="V284" s="89">
        <f>IFERROR(__xludf.DUMMYFUNCTION("INDEX(SPLIT(SUBSTITUTE(W284,CHAR(10), """"),"",:""), MATCH(Z284, SPLIT(SUBSTITUTE(W284,CHAR(10), """"),"",:""), 0) + 1)"),8.0)</f>
        <v>8</v>
      </c>
      <c r="W284" s="85" t="s">
        <v>2001</v>
      </c>
      <c r="X284" s="16" t="s">
        <v>3221</v>
      </c>
      <c r="Y284" s="53" t="s">
        <v>3202</v>
      </c>
      <c r="Z284" s="53" t="str">
        <f t="array" ref="Z284">INDEX(Problems!J:J, MATCH(1, (Problems!B:B=B284)*1, 0))</f>
        <v>n</v>
      </c>
      <c r="AA284" s="53"/>
      <c r="AB284" s="53"/>
      <c r="AC284" s="53" t="s">
        <v>2337</v>
      </c>
      <c r="AD284" s="53" t="s">
        <v>2338</v>
      </c>
      <c r="AE284" s="85">
        <f>IFERROR(__xludf.DUMMYFUNCTION("INDEX(SPLIT(SUBSTITUTE(AF284,CHAR(10), """"),"",:""), MATCH(Z284, SPLIT(SUBSTITUTE(AF284,CHAR(10), """"),"",:""), 0) + 1)"),3.0)</f>
        <v>3</v>
      </c>
      <c r="AF284" s="85" t="s">
        <v>1763</v>
      </c>
      <c r="AG284" s="53" t="s">
        <v>2625</v>
      </c>
      <c r="AH284" s="53" t="s">
        <v>3222</v>
      </c>
      <c r="AI284" s="84">
        <v>1.0</v>
      </c>
      <c r="AJ284" s="84">
        <v>0.0</v>
      </c>
      <c r="AK284" s="87"/>
      <c r="AL284" s="81">
        <v>0.0</v>
      </c>
      <c r="AM284" s="87"/>
      <c r="AN284" s="81">
        <v>0.0</v>
      </c>
      <c r="AO284" s="90"/>
      <c r="AP284" s="81">
        <v>0.0</v>
      </c>
      <c r="AQ284" s="81">
        <v>0.0</v>
      </c>
      <c r="AR284" s="39"/>
      <c r="AS284" s="81">
        <v>0.0</v>
      </c>
      <c r="AT284" s="81">
        <v>0.0</v>
      </c>
      <c r="AU284" s="39"/>
      <c r="AV284" s="7" t="s">
        <v>3204</v>
      </c>
      <c r="AW284" s="82"/>
      <c r="AX284" s="82"/>
      <c r="AY284" s="7"/>
      <c r="AZ284" s="7"/>
      <c r="BA284" s="7"/>
      <c r="BB284" s="7"/>
      <c r="BC284" s="7"/>
      <c r="BD284" s="7"/>
      <c r="BE284" s="7"/>
      <c r="BF284" s="7" t="s">
        <v>1781</v>
      </c>
      <c r="BG284" s="7">
        <v>1.0</v>
      </c>
      <c r="BH284" s="82"/>
      <c r="BI284" s="82"/>
      <c r="BJ284" s="82"/>
      <c r="BK284" s="82"/>
      <c r="BL284" s="82"/>
      <c r="BM284" s="82"/>
      <c r="BN284" s="7"/>
      <c r="BO284" s="7">
        <v>1.0</v>
      </c>
      <c r="BP284" s="82"/>
      <c r="BQ284" s="7"/>
      <c r="BR284" s="7" t="s">
        <v>144</v>
      </c>
    </row>
    <row r="285">
      <c r="A285" s="16">
        <v>18.0</v>
      </c>
      <c r="B285" s="16" t="s">
        <v>377</v>
      </c>
      <c r="C285" s="53">
        <v>1.0</v>
      </c>
      <c r="D285" s="53" t="s">
        <v>378</v>
      </c>
      <c r="E285" s="7">
        <v>197.0</v>
      </c>
      <c r="F285" s="53"/>
      <c r="G285" s="7"/>
      <c r="H285" s="16">
        <v>1.0</v>
      </c>
      <c r="I285" s="81">
        <v>1.0</v>
      </c>
      <c r="J285" s="21" t="s">
        <v>3223</v>
      </c>
      <c r="K285" s="53"/>
      <c r="L285" s="53"/>
      <c r="M285" s="39" t="str">
        <f t="shared" si="1"/>
        <v>[https://www.jstor.org/stable/1971363?origin=crossref&amp;seq=1 Lenstra elliptic curve factorization (1987)]</v>
      </c>
      <c r="N285" s="39" t="s">
        <v>3224</v>
      </c>
      <c r="O285" s="83">
        <v>1987.0</v>
      </c>
      <c r="P285" s="25" t="s">
        <v>3225</v>
      </c>
      <c r="Q285" s="82"/>
      <c r="R285" s="82"/>
      <c r="S285" s="82"/>
      <c r="T285" s="81">
        <v>0.0</v>
      </c>
      <c r="U285" s="16">
        <v>0.0</v>
      </c>
      <c r="V285" s="89">
        <f>IFERROR(__xludf.DUMMYFUNCTION("INDEX(SPLIT(SUBSTITUTE(W285,CHAR(10), """"),"",:""), MATCH(Z285, SPLIT(SUBSTITUTE(W285,CHAR(10), """"),"",:""), 0) + 1)"),8.0)</f>
        <v>8</v>
      </c>
      <c r="W285" s="85" t="s">
        <v>2001</v>
      </c>
      <c r="X285" s="21" t="s">
        <v>3226</v>
      </c>
      <c r="Y285" s="53" t="s">
        <v>3202</v>
      </c>
      <c r="Z285" s="53" t="str">
        <f t="array" ref="Z285">INDEX(Problems!J:J, MATCH(1, (Problems!B:B=B285)*1, 0))</f>
        <v>n</v>
      </c>
      <c r="AA285" s="53"/>
      <c r="AB285" s="53"/>
      <c r="AC285" s="53" t="s">
        <v>2337</v>
      </c>
      <c r="AD285" s="53" t="s">
        <v>2338</v>
      </c>
      <c r="AE285" s="85">
        <f>IFERROR(__xludf.DUMMYFUNCTION("INDEX(SPLIT(SUBSTITUTE(AF285,CHAR(10), """"),"",:""), MATCH(Z285, SPLIT(SUBSTITUTE(AF285,CHAR(10), """"),"",:""), 0) + 1)"),3.0)</f>
        <v>3</v>
      </c>
      <c r="AF285" s="85" t="s">
        <v>1763</v>
      </c>
      <c r="AG285" s="53" t="s">
        <v>2625</v>
      </c>
      <c r="AH285" s="53" t="s">
        <v>3222</v>
      </c>
      <c r="AI285" s="84">
        <v>1.0</v>
      </c>
      <c r="AJ285" s="84">
        <v>0.0</v>
      </c>
      <c r="AK285" s="87"/>
      <c r="AL285" s="81">
        <v>0.0</v>
      </c>
      <c r="AM285" s="87"/>
      <c r="AN285" s="81">
        <v>0.0</v>
      </c>
      <c r="AO285" s="90"/>
      <c r="AP285" s="81">
        <v>0.0</v>
      </c>
      <c r="AQ285" s="81">
        <v>0.0</v>
      </c>
      <c r="AR285" s="39"/>
      <c r="AS285" s="81">
        <v>0.0</v>
      </c>
      <c r="AT285" s="81">
        <v>0.0</v>
      </c>
      <c r="AU285" s="39"/>
      <c r="AV285" s="7" t="s">
        <v>3204</v>
      </c>
      <c r="AW285" s="82"/>
      <c r="AX285" s="82"/>
      <c r="AY285" s="7"/>
      <c r="AZ285" s="7"/>
      <c r="BA285" s="7"/>
      <c r="BB285" s="7"/>
      <c r="BC285" s="7"/>
      <c r="BD285" s="7"/>
      <c r="BE285" s="7"/>
      <c r="BF285" s="7">
        <v>2.2542392121E10</v>
      </c>
      <c r="BG285" s="7" t="s">
        <v>1781</v>
      </c>
      <c r="BH285" s="82"/>
      <c r="BI285" s="82"/>
      <c r="BJ285" s="82"/>
      <c r="BK285" s="82"/>
      <c r="BL285" s="82"/>
      <c r="BM285" s="82"/>
      <c r="BN285" s="7"/>
      <c r="BO285" s="7">
        <v>1.0</v>
      </c>
      <c r="BP285" s="82"/>
      <c r="BQ285" s="7"/>
      <c r="BR285" s="7" t="s">
        <v>144</v>
      </c>
    </row>
    <row r="286">
      <c r="A286" s="16">
        <v>18.0</v>
      </c>
      <c r="B286" s="16" t="s">
        <v>377</v>
      </c>
      <c r="C286" s="53">
        <v>1.0</v>
      </c>
      <c r="D286" s="53" t="s">
        <v>378</v>
      </c>
      <c r="E286" s="7">
        <v>198.0</v>
      </c>
      <c r="F286" s="53"/>
      <c r="G286" s="7"/>
      <c r="H286" s="16">
        <v>1.0</v>
      </c>
      <c r="I286" s="81">
        <v>1.0</v>
      </c>
      <c r="J286" s="147" t="s">
        <v>3227</v>
      </c>
      <c r="K286" s="53"/>
      <c r="L286" s="53"/>
      <c r="M286" s="39" t="str">
        <f t="shared" si="1"/>
        <v>[https://archive.org/details/oeuvresdefermat02ferm Fermat's factorization method (1894)]</v>
      </c>
      <c r="N286" s="39" t="s">
        <v>3228</v>
      </c>
      <c r="O286" s="83">
        <v>1894.0</v>
      </c>
      <c r="P286" s="17" t="s">
        <v>3229</v>
      </c>
      <c r="Q286" s="7">
        <v>1.0</v>
      </c>
      <c r="R286" s="7">
        <v>1.0</v>
      </c>
      <c r="S286" s="114" t="s">
        <v>3230</v>
      </c>
      <c r="T286" s="81">
        <v>1.0</v>
      </c>
      <c r="U286" s="16">
        <v>0.0</v>
      </c>
      <c r="V286" s="89">
        <f>IFERROR(__xludf.DUMMYFUNCTION("INDEX(SPLIT(SUBSTITUTE(W286,CHAR(10), """"),"",:""), MATCH(Z286, SPLIT(SUBSTITUTE(W286,CHAR(10), """"),"",:""), 0) + 1)"),8.0)</f>
        <v>8</v>
      </c>
      <c r="W286" s="85" t="s">
        <v>2001</v>
      </c>
      <c r="X286" s="147" t="s">
        <v>3221</v>
      </c>
      <c r="Y286" s="53" t="s">
        <v>3202</v>
      </c>
      <c r="Z286" s="53" t="str">
        <f t="array" ref="Z286">INDEX(Problems!J:J, MATCH(1, (Problems!B:B=B286)*1, 0))</f>
        <v>n</v>
      </c>
      <c r="AA286" s="53"/>
      <c r="AB286" s="53"/>
      <c r="AC286" s="53" t="s">
        <v>2337</v>
      </c>
      <c r="AD286" s="53" t="s">
        <v>2338</v>
      </c>
      <c r="AE286" s="85">
        <f>IFERROR(__xludf.DUMMYFUNCTION("INDEX(SPLIT(SUBSTITUTE(AF286,CHAR(10), """"),"",:""), MATCH(Z286, SPLIT(SUBSTITUTE(AF286,CHAR(10), """"),"",:""), 0) + 1)"),3.0)</f>
        <v>3</v>
      </c>
      <c r="AF286" s="85" t="s">
        <v>1763</v>
      </c>
      <c r="AG286" s="53" t="s">
        <v>2625</v>
      </c>
      <c r="AH286" s="53" t="s">
        <v>3231</v>
      </c>
      <c r="AI286" s="84">
        <v>1.0</v>
      </c>
      <c r="AJ286" s="84">
        <v>0.0</v>
      </c>
      <c r="AK286" s="87"/>
      <c r="AL286" s="81">
        <v>0.0</v>
      </c>
      <c r="AM286" s="87"/>
      <c r="AN286" s="81">
        <v>0.0</v>
      </c>
      <c r="AO286" s="90"/>
      <c r="AP286" s="81">
        <v>0.0</v>
      </c>
      <c r="AQ286" s="81">
        <v>0.0</v>
      </c>
      <c r="AR286" s="39"/>
      <c r="AS286" s="81">
        <v>0.0</v>
      </c>
      <c r="AT286" s="81">
        <v>0.0</v>
      </c>
      <c r="AU286" s="39"/>
      <c r="AV286" s="7" t="s">
        <v>3204</v>
      </c>
      <c r="AW286" s="82"/>
      <c r="AX286" s="82"/>
      <c r="AY286" s="7"/>
      <c r="AZ286" s="7"/>
      <c r="BA286" s="7"/>
      <c r="BB286" s="7"/>
      <c r="BC286" s="7"/>
      <c r="BD286" s="7"/>
      <c r="BE286" s="7"/>
      <c r="BF286" s="7">
        <v>2.2387211385E10</v>
      </c>
      <c r="BG286" s="7" t="s">
        <v>1781</v>
      </c>
      <c r="BH286" s="82"/>
      <c r="BI286" s="82">
        <f>POW(1000000,3.45)</f>
        <v>5.01187E+20</v>
      </c>
      <c r="BJ286" s="7" t="s">
        <v>1781</v>
      </c>
      <c r="BK286" s="82"/>
      <c r="BL286" s="82">
        <f>POW(1000000000,3.45)</f>
        <v>1.12202E+31</v>
      </c>
      <c r="BM286" s="7" t="s">
        <v>1781</v>
      </c>
      <c r="BN286" s="7"/>
      <c r="BO286" s="7">
        <v>1.0</v>
      </c>
      <c r="BP286" s="82"/>
      <c r="BQ286" s="7"/>
      <c r="BR286" s="7" t="s">
        <v>144</v>
      </c>
    </row>
    <row r="287">
      <c r="A287" s="16">
        <v>18.0</v>
      </c>
      <c r="B287" s="16" t="s">
        <v>377</v>
      </c>
      <c r="C287" s="53">
        <v>1.0</v>
      </c>
      <c r="D287" s="53" t="s">
        <v>378</v>
      </c>
      <c r="E287" s="7">
        <v>199.0</v>
      </c>
      <c r="F287" s="53"/>
      <c r="G287" s="7"/>
      <c r="H287" s="16">
        <v>1.0</v>
      </c>
      <c r="I287" s="81">
        <v>1.0</v>
      </c>
      <c r="J287" s="147" t="s">
        <v>3232</v>
      </c>
      <c r="K287" s="53"/>
      <c r="L287" s="53"/>
      <c r="M287" s="39" t="str">
        <f t="shared" si="1"/>
        <v>[- Euler's factorization method (1940)]</v>
      </c>
      <c r="N287" s="39" t="s">
        <v>3233</v>
      </c>
      <c r="O287" s="81">
        <v>1940.0</v>
      </c>
      <c r="P287" s="16" t="s">
        <v>1937</v>
      </c>
      <c r="Q287" s="82"/>
      <c r="R287" s="82"/>
      <c r="S287" s="82"/>
      <c r="T287" s="81">
        <v>0.0</v>
      </c>
      <c r="U287" s="16">
        <v>0.0</v>
      </c>
      <c r="V287" s="89">
        <f>IFERROR(__xludf.DUMMYFUNCTION("INDEX(SPLIT(SUBSTITUTE(W287,CHAR(10), """"),"",:""), MATCH(Z287, SPLIT(SUBSTITUTE(W287,CHAR(10), """"),"",:""), 0) + 1)"),8.0)</f>
        <v>8</v>
      </c>
      <c r="W287" s="85" t="s">
        <v>2001</v>
      </c>
      <c r="X287" s="147" t="s">
        <v>2387</v>
      </c>
      <c r="Y287" s="53" t="s">
        <v>3202</v>
      </c>
      <c r="Z287" s="53" t="str">
        <f t="array" ref="Z287">INDEX(Problems!J:J, MATCH(1, (Problems!B:B=B287)*1, 0))</f>
        <v>n</v>
      </c>
      <c r="AA287" s="53"/>
      <c r="AB287" s="53"/>
      <c r="AC287" s="53" t="s">
        <v>2337</v>
      </c>
      <c r="AD287" s="53" t="s">
        <v>2338</v>
      </c>
      <c r="AE287" s="85">
        <f>IFERROR(__xludf.DUMMYFUNCTION("INDEX(SPLIT(SUBSTITUTE(AF287,CHAR(10), """"),"",:""), MATCH(Z287, SPLIT(SUBSTITUTE(AF287,CHAR(10), """"),"",:""), 0) + 1)"),3.0)</f>
        <v>3</v>
      </c>
      <c r="AF287" s="85" t="s">
        <v>1763</v>
      </c>
      <c r="AG287" s="53" t="s">
        <v>35</v>
      </c>
      <c r="AH287" s="53" t="s">
        <v>3231</v>
      </c>
      <c r="AI287" s="84">
        <v>1.0</v>
      </c>
      <c r="AJ287" s="84">
        <v>0.0</v>
      </c>
      <c r="AK287" s="87"/>
      <c r="AL287" s="81">
        <v>0.0</v>
      </c>
      <c r="AM287" s="87"/>
      <c r="AN287" s="81">
        <v>0.0</v>
      </c>
      <c r="AO287" s="90"/>
      <c r="AP287" s="81">
        <v>0.0</v>
      </c>
      <c r="AQ287" s="81">
        <v>0.0</v>
      </c>
      <c r="AR287" s="39"/>
      <c r="AS287" s="81">
        <v>0.0</v>
      </c>
      <c r="AT287" s="81">
        <v>0.0</v>
      </c>
      <c r="AU287" s="47" t="s">
        <v>3234</v>
      </c>
      <c r="AV287" s="7" t="s">
        <v>3204</v>
      </c>
      <c r="AW287" s="82"/>
      <c r="AX287" s="82"/>
      <c r="AY287" s="7"/>
      <c r="AZ287" s="7"/>
      <c r="BA287" s="7"/>
      <c r="BB287" s="7"/>
      <c r="BC287" s="7"/>
      <c r="BD287" s="7"/>
      <c r="BE287" s="7"/>
      <c r="BF287" s="7" t="s">
        <v>1781</v>
      </c>
      <c r="BG287" s="7">
        <v>1.0</v>
      </c>
      <c r="BH287" s="82"/>
      <c r="BI287" s="82"/>
      <c r="BJ287" s="82"/>
      <c r="BK287" s="82"/>
      <c r="BL287" s="82"/>
      <c r="BM287" s="82"/>
      <c r="BN287" s="7"/>
      <c r="BO287" s="7">
        <v>1.0</v>
      </c>
      <c r="BP287" s="82"/>
      <c r="BQ287" s="7"/>
      <c r="BR287" s="7" t="s">
        <v>144</v>
      </c>
    </row>
    <row r="288">
      <c r="A288" s="16">
        <v>19.0</v>
      </c>
      <c r="B288" s="16" t="s">
        <v>377</v>
      </c>
      <c r="C288" s="53">
        <v>1.0</v>
      </c>
      <c r="D288" s="53" t="s">
        <v>385</v>
      </c>
      <c r="E288" s="7">
        <v>201.0</v>
      </c>
      <c r="F288" s="53"/>
      <c r="G288" s="7"/>
      <c r="H288" s="16">
        <v>1.0</v>
      </c>
      <c r="I288" s="81">
        <v>1.0</v>
      </c>
      <c r="J288" s="21" t="s">
        <v>3235</v>
      </c>
      <c r="K288" s="148"/>
      <c r="L288" s="148"/>
      <c r="M288" s="39" t="str">
        <f t="shared" si="1"/>
        <v>[https://www.ams.org/journals/mcom/1981-36-153/S0025-5718-1981-0595059-1/home.html Dixon's algorithm (1981)]</v>
      </c>
      <c r="N288" s="39" t="s">
        <v>3236</v>
      </c>
      <c r="O288" s="81">
        <v>1981.0</v>
      </c>
      <c r="P288" s="25" t="s">
        <v>387</v>
      </c>
      <c r="Q288" s="82"/>
      <c r="R288" s="82"/>
      <c r="S288" s="82"/>
      <c r="T288" s="81">
        <v>0.0</v>
      </c>
      <c r="U288" s="81">
        <v>0.0</v>
      </c>
      <c r="V288" s="89">
        <f>IFERROR(__xludf.DUMMYFUNCTION("INDEX(SPLIT(SUBSTITUTE(W288,CHAR(10), """"),"",:""), MATCH(Z288, SPLIT(SUBSTITUTE(W288,CHAR(10), """"),"",:""), 0) + 1)"),8.0)</f>
        <v>8</v>
      </c>
      <c r="W288" s="85" t="s">
        <v>2001</v>
      </c>
      <c r="X288" s="21" t="s">
        <v>3237</v>
      </c>
      <c r="Y288" s="53" t="s">
        <v>3238</v>
      </c>
      <c r="Z288" s="53" t="str">
        <f t="array" ref="Z288">INDEX(Problems!J:J, MATCH(1, (Problems!B:B=B288)*1, 0))</f>
        <v>n</v>
      </c>
      <c r="AA288" s="53"/>
      <c r="AB288" s="53"/>
      <c r="AC288" s="53" t="s">
        <v>2337</v>
      </c>
      <c r="AD288" s="53" t="s">
        <v>2338</v>
      </c>
      <c r="AE288" s="85">
        <f>IFERROR(__xludf.DUMMYFUNCTION("INDEX(SPLIT(SUBSTITUTE(AF288,CHAR(10), """"),"",:""), MATCH(Z288, SPLIT(SUBSTITUTE(AF288,CHAR(10), """"),"",:""), 0) + 1)"),3.0)</f>
        <v>3</v>
      </c>
      <c r="AF288" s="85" t="s">
        <v>3239</v>
      </c>
      <c r="AG288" s="53" t="s">
        <v>3240</v>
      </c>
      <c r="AH288" s="149" t="s">
        <v>3241</v>
      </c>
      <c r="AI288" s="84">
        <v>1.0</v>
      </c>
      <c r="AJ288" s="84">
        <v>0.0</v>
      </c>
      <c r="AK288" s="87"/>
      <c r="AL288" s="81">
        <v>0.0</v>
      </c>
      <c r="AM288" s="87"/>
      <c r="AN288" s="81">
        <v>0.0</v>
      </c>
      <c r="AO288" s="90"/>
      <c r="AP288" s="81">
        <v>0.0</v>
      </c>
      <c r="AQ288" s="81">
        <v>0.0</v>
      </c>
      <c r="AR288" s="39"/>
      <c r="AS288" s="81">
        <v>0.0</v>
      </c>
      <c r="AT288" s="81">
        <v>0.0</v>
      </c>
      <c r="AU288" s="39"/>
      <c r="AV288" s="7" t="s">
        <v>3242</v>
      </c>
      <c r="AW288" s="82"/>
      <c r="AX288" s="82"/>
      <c r="AY288" s="82"/>
      <c r="AZ288" s="82"/>
      <c r="BA288" s="82"/>
      <c r="BB288" s="82"/>
      <c r="BC288" s="82"/>
      <c r="BD288" s="82"/>
      <c r="BE288" s="82"/>
      <c r="BF288" s="82"/>
      <c r="BG288" s="82"/>
      <c r="BH288" s="82"/>
      <c r="BI288" s="82"/>
      <c r="BJ288" s="82"/>
      <c r="BK288" s="82"/>
      <c r="BL288" s="82"/>
      <c r="BM288" s="82"/>
      <c r="BN288" s="7"/>
      <c r="BO288" s="7">
        <v>2.0</v>
      </c>
      <c r="BP288" s="82"/>
      <c r="BQ288" s="82"/>
      <c r="BR288" s="7" t="s">
        <v>144</v>
      </c>
    </row>
    <row r="289">
      <c r="A289" s="16">
        <v>19.0</v>
      </c>
      <c r="B289" s="16" t="s">
        <v>377</v>
      </c>
      <c r="C289" s="53">
        <v>1.0</v>
      </c>
      <c r="D289" s="53" t="s">
        <v>385</v>
      </c>
      <c r="E289" s="7">
        <v>202.0</v>
      </c>
      <c r="F289" s="53"/>
      <c r="G289" s="7"/>
      <c r="H289" s="16">
        <v>1.0</v>
      </c>
      <c r="I289" s="81">
        <v>1.0</v>
      </c>
      <c r="J289" s="21" t="s">
        <v>3243</v>
      </c>
      <c r="K289" s="148"/>
      <c r="L289" s="148"/>
      <c r="M289" s="39" t="str">
        <f t="shared" si="1"/>
        <v>[https://www.ams.org/journals/bull/1931-37-10/S0002-9904-1931-05271-X/home.html Continued fraction factorization (CFRAC) (1931)]</v>
      </c>
      <c r="N289" s="39" t="s">
        <v>3244</v>
      </c>
      <c r="O289" s="83">
        <v>1931.0</v>
      </c>
      <c r="P289" s="25" t="s">
        <v>3245</v>
      </c>
      <c r="Q289" s="82"/>
      <c r="R289" s="82"/>
      <c r="S289" s="82"/>
      <c r="T289" s="83">
        <v>1.0</v>
      </c>
      <c r="U289" s="83">
        <v>0.0</v>
      </c>
      <c r="V289" s="89">
        <f>IFERROR(__xludf.DUMMYFUNCTION("INDEX(SPLIT(SUBSTITUTE(W289,CHAR(10), """"),"",:""), MATCH(Z289, SPLIT(SUBSTITUTE(W289,CHAR(10), """"),"",:""), 0) + 1)"),8.0)</f>
        <v>8</v>
      </c>
      <c r="W289" s="85" t="s">
        <v>2001</v>
      </c>
      <c r="X289" s="21" t="s">
        <v>3246</v>
      </c>
      <c r="Y289" s="53" t="s">
        <v>3238</v>
      </c>
      <c r="Z289" s="53" t="str">
        <f t="array" ref="Z289">INDEX(Problems!J:J, MATCH(1, (Problems!B:B=B289)*1, 0))</f>
        <v>n</v>
      </c>
      <c r="AA289" s="53"/>
      <c r="AB289" s="53"/>
      <c r="AC289" s="53" t="s">
        <v>2337</v>
      </c>
      <c r="AD289" s="53" t="s">
        <v>2338</v>
      </c>
      <c r="AE289" s="85">
        <f>IFERROR(__xludf.DUMMYFUNCTION("INDEX(SPLIT(SUBSTITUTE(AF289,CHAR(10), """"),"",:""), MATCH(Z289, SPLIT(SUBSTITUTE(AF289,CHAR(10), """"),"",:""), 0) + 1)"),3.0)</f>
        <v>3</v>
      </c>
      <c r="AF289" s="85" t="s">
        <v>3239</v>
      </c>
      <c r="AG289" s="53" t="s">
        <v>3240</v>
      </c>
      <c r="AH289" s="149" t="s">
        <v>3247</v>
      </c>
      <c r="AI289" s="84">
        <v>1.0</v>
      </c>
      <c r="AJ289" s="84">
        <v>0.0</v>
      </c>
      <c r="AK289" s="87"/>
      <c r="AL289" s="81">
        <v>0.0</v>
      </c>
      <c r="AM289" s="87"/>
      <c r="AN289" s="81">
        <v>0.0</v>
      </c>
      <c r="AO289" s="21"/>
      <c r="AP289" s="81">
        <v>0.0</v>
      </c>
      <c r="AQ289" s="81">
        <v>0.0</v>
      </c>
      <c r="AR289" s="39"/>
      <c r="AS289" s="81">
        <v>0.0</v>
      </c>
      <c r="AT289" s="81">
        <v>0.0</v>
      </c>
      <c r="AU289" s="39"/>
      <c r="AV289" s="7" t="s">
        <v>3242</v>
      </c>
      <c r="AW289" s="82"/>
      <c r="AX289" s="82"/>
      <c r="AY289" s="82"/>
      <c r="AZ289" s="82"/>
      <c r="BA289" s="82"/>
      <c r="BB289" s="82"/>
      <c r="BC289" s="82"/>
      <c r="BD289" s="82"/>
      <c r="BE289" s="82"/>
      <c r="BF289" s="82">
        <f>POW(2.718,SQRT(2*LOG(1000,2)*LOG(LOG(1000,2),2)))</f>
        <v>3395.232193</v>
      </c>
      <c r="BG289" s="7">
        <v>1.0</v>
      </c>
      <c r="BH289" s="82"/>
      <c r="BI289" s="82">
        <f>POW(2.718,SQRT(2*LOG(1000000,2)*LOG(LOG(1000000,2),2)))</f>
        <v>497271.0145</v>
      </c>
      <c r="BJ289" s="7">
        <v>1.0</v>
      </c>
      <c r="BK289" s="82"/>
      <c r="BL289" s="82">
        <f>POW(2.718,SQRT(2*LOG(1000000000,2)*LOG(LOG(1000000000,2),2)))</f>
        <v>27199045.33</v>
      </c>
      <c r="BM289" s="7">
        <v>1.0</v>
      </c>
      <c r="BN289" s="7"/>
      <c r="BO289" s="7">
        <v>4.0</v>
      </c>
      <c r="BP289" s="82"/>
      <c r="BQ289" s="82"/>
      <c r="BR289" s="7" t="s">
        <v>144</v>
      </c>
    </row>
    <row r="290">
      <c r="A290" s="16">
        <v>19.0</v>
      </c>
      <c r="B290" s="16" t="s">
        <v>377</v>
      </c>
      <c r="C290" s="53">
        <v>1.0</v>
      </c>
      <c r="D290" s="53" t="s">
        <v>385</v>
      </c>
      <c r="E290" s="7">
        <v>203.0</v>
      </c>
      <c r="F290" s="53"/>
      <c r="G290" s="7"/>
      <c r="H290" s="16">
        <v>1.0</v>
      </c>
      <c r="I290" s="81">
        <v>1.0</v>
      </c>
      <c r="J290" s="146" t="s">
        <v>1937</v>
      </c>
      <c r="K290" s="148"/>
      <c r="L290" s="148"/>
      <c r="M290" s="39" t="str">
        <f t="shared" si="1"/>
        <v>[https://www.semanticscholar.org/paper/Analysis-and-comparison-of-some-integer-factoring-Pomerance/134b7b065a73d4ca00bb16c7b8bebbde951b0ba0 Quadratic sieve (1981)]</v>
      </c>
      <c r="N290" s="39" t="s">
        <v>3248</v>
      </c>
      <c r="O290" s="81">
        <v>1981.0</v>
      </c>
      <c r="P290" s="25" t="s">
        <v>3249</v>
      </c>
      <c r="Q290" s="82"/>
      <c r="R290" s="82"/>
      <c r="S290" s="82"/>
      <c r="T290" s="81">
        <v>0.0</v>
      </c>
      <c r="U290" s="81">
        <v>0.0</v>
      </c>
      <c r="V290" s="89" t="str">
        <f>IFERROR(__xludf.DUMMYFUNCTION("INDEX(SPLIT(SUBSTITUTE(W290,CHAR(10), """"),"",:""), MATCH(Z290, SPLIT(SUBSTITUTE(W290,CHAR(10), """"),"",:""), 0) + 1)"),"#VALUE!")</f>
        <v>#VALUE!</v>
      </c>
      <c r="W290" s="131"/>
      <c r="X290" s="146" t="s">
        <v>1937</v>
      </c>
      <c r="Y290" s="53" t="s">
        <v>3238</v>
      </c>
      <c r="Z290" s="53" t="str">
        <f t="array" ref="Z290">INDEX(Problems!J:J, MATCH(1, (Problems!B:B=B290)*1, 0))</f>
        <v>n</v>
      </c>
      <c r="AA290" s="53"/>
      <c r="AB290" s="53"/>
      <c r="AC290" s="53" t="s">
        <v>2337</v>
      </c>
      <c r="AD290" s="53" t="s">
        <v>2338</v>
      </c>
      <c r="AE290" s="85">
        <f>IFERROR(__xludf.DUMMYFUNCTION("INDEX(SPLIT(SUBSTITUTE(AF290,CHAR(10), """"),"",:""), MATCH(Z290, SPLIT(SUBSTITUTE(AF290,CHAR(10), """"),"",:""), 0) + 1)"),3.0)</f>
        <v>3</v>
      </c>
      <c r="AF290" s="85" t="s">
        <v>3239</v>
      </c>
      <c r="AG290" s="53" t="s">
        <v>3240</v>
      </c>
      <c r="AH290" s="149" t="s">
        <v>3250</v>
      </c>
      <c r="AI290" s="84">
        <v>1.0</v>
      </c>
      <c r="AJ290" s="84">
        <v>0.0</v>
      </c>
      <c r="AK290" s="87"/>
      <c r="AL290" s="81">
        <v>0.0</v>
      </c>
      <c r="AM290" s="87"/>
      <c r="AN290" s="81">
        <v>0.0</v>
      </c>
      <c r="AO290" s="90"/>
      <c r="AP290" s="81">
        <v>0.0</v>
      </c>
      <c r="AQ290" s="81">
        <v>0.0</v>
      </c>
      <c r="AR290" s="39"/>
      <c r="AS290" s="81">
        <v>0.0</v>
      </c>
      <c r="AT290" s="81">
        <v>0.0</v>
      </c>
      <c r="AU290" s="39"/>
      <c r="AV290" s="7" t="s">
        <v>3242</v>
      </c>
      <c r="AW290" s="82"/>
      <c r="AX290" s="82"/>
      <c r="AY290" s="82"/>
      <c r="AZ290" s="82"/>
      <c r="BA290" s="82"/>
      <c r="BB290" s="82"/>
      <c r="BC290" s="82"/>
      <c r="BD290" s="82"/>
      <c r="BE290" s="82"/>
      <c r="BF290" s="82"/>
      <c r="BG290" s="82"/>
      <c r="BH290" s="82"/>
      <c r="BI290" s="82"/>
      <c r="BJ290" s="82"/>
      <c r="BK290" s="82"/>
      <c r="BL290" s="82"/>
      <c r="BM290" s="82"/>
      <c r="BN290" s="7"/>
      <c r="BO290" s="7">
        <v>4.0</v>
      </c>
      <c r="BP290" s="82"/>
      <c r="BQ290" s="82"/>
      <c r="BR290" s="7" t="s">
        <v>144</v>
      </c>
    </row>
    <row r="291">
      <c r="A291" s="16">
        <v>19.0</v>
      </c>
      <c r="B291" s="16" t="s">
        <v>377</v>
      </c>
      <c r="C291" s="53">
        <v>1.0</v>
      </c>
      <c r="D291" s="53" t="s">
        <v>385</v>
      </c>
      <c r="E291" s="7">
        <v>204.0</v>
      </c>
      <c r="F291" s="53"/>
      <c r="G291" s="7"/>
      <c r="H291" s="16">
        <v>1.0</v>
      </c>
      <c r="I291" s="81">
        <v>1.0</v>
      </c>
      <c r="J291" s="21" t="s">
        <v>3251</v>
      </c>
      <c r="K291" s="148"/>
      <c r="L291" s="148"/>
      <c r="M291" s="39" t="str">
        <f t="shared" si="1"/>
        <v>[https://www.ams.org/journals/mcom/1993-61-203/S0025-5718-1993-1182953-4/S0025-5718-1993-1182953-4.pdf Rational sieve (1993)]</v>
      </c>
      <c r="N291" s="39" t="s">
        <v>3252</v>
      </c>
      <c r="O291" s="81">
        <v>1993.0</v>
      </c>
      <c r="P291" s="25" t="s">
        <v>3253</v>
      </c>
      <c r="Q291" s="82"/>
      <c r="R291" s="82"/>
      <c r="S291" s="82"/>
      <c r="T291" s="83">
        <v>0.0</v>
      </c>
      <c r="U291" s="83">
        <v>0.0</v>
      </c>
      <c r="V291" s="89">
        <f>IFERROR(__xludf.DUMMYFUNCTION("INDEX(SPLIT(SUBSTITUTE(W291,CHAR(10), """"),"",:""), MATCH(Z291, SPLIT(SUBSTITUTE(W291,CHAR(10), """"),"",:""), 0) + 1)"),8.0)</f>
        <v>8</v>
      </c>
      <c r="W291" s="85" t="s">
        <v>2001</v>
      </c>
      <c r="X291" s="21" t="s">
        <v>3251</v>
      </c>
      <c r="Y291" s="53" t="s">
        <v>3238</v>
      </c>
      <c r="Z291" s="53" t="str">
        <f t="array" ref="Z291">INDEX(Problems!J:J, MATCH(1, (Problems!B:B=B291)*1, 0))</f>
        <v>n</v>
      </c>
      <c r="AA291" s="53"/>
      <c r="AB291" s="53"/>
      <c r="AC291" s="53" t="s">
        <v>2337</v>
      </c>
      <c r="AD291" s="53" t="s">
        <v>2338</v>
      </c>
      <c r="AE291" s="85">
        <f>IFERROR(__xludf.DUMMYFUNCTION("INDEX(SPLIT(SUBSTITUTE(AF291,CHAR(10), """"),"",:""), MATCH(Z291, SPLIT(SUBSTITUTE(AF291,CHAR(10), """"),"",:""), 0) + 1)"),3.0)</f>
        <v>3</v>
      </c>
      <c r="AF291" s="85" t="s">
        <v>3239</v>
      </c>
      <c r="AG291" s="53" t="s">
        <v>3240</v>
      </c>
      <c r="AH291" s="149" t="s">
        <v>3250</v>
      </c>
      <c r="AI291" s="84">
        <v>1.0</v>
      </c>
      <c r="AJ291" s="84">
        <v>0.0</v>
      </c>
      <c r="AK291" s="87"/>
      <c r="AL291" s="81">
        <v>0.0</v>
      </c>
      <c r="AM291" s="87"/>
      <c r="AN291" s="81">
        <v>0.0</v>
      </c>
      <c r="AO291" s="90"/>
      <c r="AP291" s="81">
        <v>0.0</v>
      </c>
      <c r="AQ291" s="81">
        <v>1.0</v>
      </c>
      <c r="AR291" s="39"/>
      <c r="AS291" s="81">
        <v>0.0</v>
      </c>
      <c r="AT291" s="81">
        <v>0.0</v>
      </c>
      <c r="AU291" s="39"/>
      <c r="AV291" s="7" t="s">
        <v>3242</v>
      </c>
      <c r="AW291" s="82"/>
      <c r="AX291" s="82"/>
      <c r="AY291" s="82"/>
      <c r="AZ291" s="82"/>
      <c r="BA291" s="82"/>
      <c r="BB291" s="82"/>
      <c r="BC291" s="82"/>
      <c r="BD291" s="82"/>
      <c r="BE291" s="82"/>
      <c r="BF291" s="82"/>
      <c r="BG291" s="82"/>
      <c r="BH291" s="82"/>
      <c r="BI291" s="82"/>
      <c r="BJ291" s="82"/>
      <c r="BK291" s="82"/>
      <c r="BL291" s="82"/>
      <c r="BM291" s="82"/>
      <c r="BN291" s="7"/>
      <c r="BO291" s="7">
        <v>4.0</v>
      </c>
      <c r="BP291" s="82"/>
      <c r="BQ291" s="82"/>
      <c r="BR291" s="7" t="s">
        <v>144</v>
      </c>
    </row>
    <row r="292">
      <c r="A292" s="16">
        <v>19.0</v>
      </c>
      <c r="B292" s="16" t="s">
        <v>377</v>
      </c>
      <c r="C292" s="53">
        <v>1.0</v>
      </c>
      <c r="D292" s="53" t="s">
        <v>385</v>
      </c>
      <c r="E292" s="7">
        <v>206.0</v>
      </c>
      <c r="F292" s="53"/>
      <c r="G292" s="7"/>
      <c r="H292" s="16">
        <v>1.0</v>
      </c>
      <c r="I292" s="81">
        <v>1.0</v>
      </c>
      <c r="J292" s="21" t="s">
        <v>3254</v>
      </c>
      <c r="K292" s="148"/>
      <c r="L292" s="148"/>
      <c r="M292" s="39" t="str">
        <f t="shared" si="1"/>
        <v>[https://www.ams.org/journals/mcom/2008-77-261/S0025-5718-07-02010-8/S0025-5718-07-02010-8.pdf Shanks's square forms factorization (SQUFOF) (2007)]</v>
      </c>
      <c r="N292" s="39" t="s">
        <v>3255</v>
      </c>
      <c r="O292" s="83">
        <v>2007.0</v>
      </c>
      <c r="P292" s="17" t="s">
        <v>3256</v>
      </c>
      <c r="Q292" s="82"/>
      <c r="R292" s="82"/>
      <c r="S292" s="82"/>
      <c r="T292" s="81">
        <v>0.0</v>
      </c>
      <c r="U292" s="81">
        <v>0.0</v>
      </c>
      <c r="V292" s="89">
        <f>IFERROR(__xludf.DUMMYFUNCTION("INDEX(SPLIT(SUBSTITUTE(W292,CHAR(10), """"),"",:""), MATCH(Z292, SPLIT(SUBSTITUTE(W292,CHAR(10), """"),"",:""), 0) + 1)"),8.0)</f>
        <v>8</v>
      </c>
      <c r="W292" s="85" t="s">
        <v>2001</v>
      </c>
      <c r="X292" s="21" t="s">
        <v>3257</v>
      </c>
      <c r="Y292" s="53" t="s">
        <v>3202</v>
      </c>
      <c r="Z292" s="53" t="str">
        <f t="array" ref="Z292">INDEX(Problems!J:J, MATCH(1, (Problems!B:B=B292)*1, 0))</f>
        <v>n</v>
      </c>
      <c r="AA292" s="53"/>
      <c r="AB292" s="53"/>
      <c r="AC292" s="53" t="s">
        <v>2337</v>
      </c>
      <c r="AD292" s="53" t="s">
        <v>2338</v>
      </c>
      <c r="AE292" s="85">
        <f>IFERROR(__xludf.DUMMYFUNCTION("INDEX(SPLIT(SUBSTITUTE(AF292,CHAR(10), """"),"",:""), MATCH(Z292, SPLIT(SUBSTITUTE(AF292,CHAR(10), """"),"",:""), 0) + 1)"),3.0)</f>
        <v>3</v>
      </c>
      <c r="AF292" s="85" t="s">
        <v>1763</v>
      </c>
      <c r="AG292" s="53" t="s">
        <v>2625</v>
      </c>
      <c r="AH292" s="53" t="s">
        <v>3258</v>
      </c>
      <c r="AI292" s="84">
        <v>1.0</v>
      </c>
      <c r="AJ292" s="84">
        <v>0.0</v>
      </c>
      <c r="AK292" s="87"/>
      <c r="AL292" s="81">
        <v>0.0</v>
      </c>
      <c r="AM292" s="87"/>
      <c r="AN292" s="81">
        <v>0.0</v>
      </c>
      <c r="AO292" s="90"/>
      <c r="AP292" s="81">
        <v>0.0</v>
      </c>
      <c r="AQ292" s="81">
        <v>0.0</v>
      </c>
      <c r="AR292" s="39"/>
      <c r="AS292" s="81">
        <v>0.0</v>
      </c>
      <c r="AT292" s="81">
        <v>0.0</v>
      </c>
      <c r="AU292" s="39"/>
      <c r="AV292" s="7" t="s">
        <v>3242</v>
      </c>
      <c r="AW292" s="82"/>
      <c r="AX292" s="82"/>
      <c r="AY292" s="82"/>
      <c r="AZ292" s="82"/>
      <c r="BA292" s="82"/>
      <c r="BB292" s="82"/>
      <c r="BC292" s="82"/>
      <c r="BD292" s="82"/>
      <c r="BE292" s="82"/>
      <c r="BF292" s="82"/>
      <c r="BG292" s="82"/>
      <c r="BH292" s="82"/>
      <c r="BI292" s="82"/>
      <c r="BJ292" s="82"/>
      <c r="BK292" s="82"/>
      <c r="BL292" s="82"/>
      <c r="BM292" s="82"/>
      <c r="BN292" s="7"/>
      <c r="BO292" s="7">
        <v>4.0</v>
      </c>
      <c r="BP292" s="82"/>
      <c r="BQ292" s="82"/>
      <c r="BR292" s="7" t="s">
        <v>144</v>
      </c>
    </row>
    <row r="293">
      <c r="A293" s="16">
        <v>20.0</v>
      </c>
      <c r="B293" s="16" t="s">
        <v>393</v>
      </c>
      <c r="C293" s="53">
        <v>0.001</v>
      </c>
      <c r="D293" s="53" t="s">
        <v>400</v>
      </c>
      <c r="E293" s="7">
        <v>208.0</v>
      </c>
      <c r="F293" s="53"/>
      <c r="G293" s="7"/>
      <c r="H293" s="16">
        <v>1.0</v>
      </c>
      <c r="I293" s="81">
        <v>1.0</v>
      </c>
      <c r="J293" s="39" t="s">
        <v>1788</v>
      </c>
      <c r="K293" s="53"/>
      <c r="L293" s="53"/>
      <c r="M293" s="39" t="str">
        <f t="shared" si="1"/>
        <v>[ Closed formula (1975)]</v>
      </c>
      <c r="N293" s="39" t="s">
        <v>3259</v>
      </c>
      <c r="O293" s="81">
        <v>1975.0</v>
      </c>
      <c r="P293" s="39"/>
      <c r="Q293" s="82"/>
      <c r="R293" s="82"/>
      <c r="S293" s="82"/>
      <c r="T293" s="81">
        <v>1.0</v>
      </c>
      <c r="U293" s="39" t="s">
        <v>2734</v>
      </c>
      <c r="V293" s="89">
        <f>IFERROR(__xludf.DUMMYFUNCTION("INDEX(SPLIT(SUBSTITUTE(W293,CHAR(10), """"),"",:""), MATCH(Z293, SPLIT(SUBSTITUTE(W293,CHAR(10), """"),"",:""), 0) + 1)"),2.51)</f>
        <v>2.51</v>
      </c>
      <c r="W293" s="85" t="s">
        <v>3260</v>
      </c>
      <c r="X293" s="16" t="s">
        <v>45</v>
      </c>
      <c r="Y293" s="53" t="s">
        <v>2050</v>
      </c>
      <c r="Z293" s="53" t="str">
        <f t="array" ref="Z293">INDEX(Problems!J:J, MATCH(1, (Problems!B:B=B293)*(Problems!C:C=D293), 0))</f>
        <v>n^2</v>
      </c>
      <c r="AA293" s="53"/>
      <c r="AB293" s="53"/>
      <c r="AC293" s="53" t="s">
        <v>1813</v>
      </c>
      <c r="AD293" s="53" t="s">
        <v>1814</v>
      </c>
      <c r="AE293" s="85" t="str">
        <f>IFERROR(__xludf.DUMMYFUNCTION("INDEX(SPLIT(SUBSTITUTE(AF293,CHAR(10), """"),"",:""), MATCH(Z293, SPLIT(SUBSTITUTE(AF293,CHAR(10), """"),"",:""), 0) + 1)"),"#VALUE!")</f>
        <v>#VALUE!</v>
      </c>
      <c r="AF293" s="131"/>
      <c r="AG293" s="53"/>
      <c r="AH293" s="53"/>
      <c r="AI293" s="87"/>
      <c r="AJ293" s="84" t="s">
        <v>2520</v>
      </c>
      <c r="AK293" s="87"/>
      <c r="AL293" s="81">
        <v>0.0</v>
      </c>
      <c r="AM293" s="87"/>
      <c r="AN293" s="81">
        <v>0.0</v>
      </c>
      <c r="AO293" s="90"/>
      <c r="AP293" s="81">
        <v>0.0</v>
      </c>
      <c r="AQ293" s="81">
        <v>0.0</v>
      </c>
      <c r="AR293" s="39"/>
      <c r="AS293" s="81">
        <v>0.0</v>
      </c>
      <c r="AT293" s="81">
        <v>0.0</v>
      </c>
      <c r="AU293" s="39"/>
      <c r="AV293" s="7" t="s">
        <v>2198</v>
      </c>
      <c r="AW293" s="82"/>
      <c r="AX293" s="82"/>
      <c r="AY293" s="7"/>
      <c r="AZ293" s="7"/>
      <c r="BA293" s="7"/>
      <c r="BB293" s="7"/>
      <c r="BC293" s="7"/>
      <c r="BD293" s="7"/>
      <c r="BE293" s="7"/>
      <c r="BF293" s="7">
        <v>9965.0</v>
      </c>
      <c r="BG293" s="82">
        <f t="shared" ref="BG293:BG296" si="44">1000000000/BF293</f>
        <v>100351.2293</v>
      </c>
      <c r="BH293" s="82"/>
      <c r="BI293" s="82" t="str">
        <f>BI110</f>
        <v/>
      </c>
      <c r="BJ293" s="82" t="str">
        <f>BI294/BI293</f>
        <v>#DIV/0!</v>
      </c>
      <c r="BK293" s="82"/>
      <c r="BL293" s="82" t="str">
        <f>BL110</f>
        <v/>
      </c>
      <c r="BM293" s="82" t="str">
        <f>BL294/BL293</f>
        <v>#DIV/0!</v>
      </c>
      <c r="BN293" s="7"/>
      <c r="BO293" s="7">
        <v>3.0</v>
      </c>
      <c r="BP293" s="82"/>
      <c r="BQ293" s="7"/>
      <c r="BR293" s="7" t="s">
        <v>144</v>
      </c>
    </row>
    <row r="294">
      <c r="A294" s="16">
        <v>20.0</v>
      </c>
      <c r="B294" s="16" t="s">
        <v>393</v>
      </c>
      <c r="C294" s="53">
        <v>2.0</v>
      </c>
      <c r="D294" s="53" t="s">
        <v>394</v>
      </c>
      <c r="E294" s="7">
        <v>211.0</v>
      </c>
      <c r="F294" s="53"/>
      <c r="G294" s="7"/>
      <c r="H294" s="16">
        <v>1.0</v>
      </c>
      <c r="I294" s="88">
        <v>0.0</v>
      </c>
      <c r="J294" s="39" t="s">
        <v>834</v>
      </c>
      <c r="K294" s="53"/>
      <c r="L294" s="53"/>
      <c r="M294" s="39" t="str">
        <f t="shared" si="1"/>
        <v>[https://www.sciencedirect.com/science/article/pii/S1063520316300069 Randomized LU Decomposition (2016)]</v>
      </c>
      <c r="N294" s="16" t="s">
        <v>3261</v>
      </c>
      <c r="O294" s="81">
        <v>2016.0</v>
      </c>
      <c r="P294" s="25" t="s">
        <v>3262</v>
      </c>
      <c r="Q294" s="82"/>
      <c r="R294" s="82"/>
      <c r="S294" s="82"/>
      <c r="T294" s="81">
        <v>0.0</v>
      </c>
      <c r="U294" s="81">
        <v>0.0</v>
      </c>
      <c r="V294" s="89">
        <f>IFERROR(__xludf.DUMMYFUNCTION("INDEX(SPLIT(SUBSTITUTE(W294,CHAR(10), """"),"",:""), MATCH(Z294, SPLIT(SUBSTITUTE(W294,CHAR(10), """"),"",:""), 0) + 1)"),4.5)</f>
        <v>4.5</v>
      </c>
      <c r="W294" s="85" t="s">
        <v>3263</v>
      </c>
      <c r="X294" s="39" t="s">
        <v>834</v>
      </c>
      <c r="Y294" s="53" t="s">
        <v>397</v>
      </c>
      <c r="Z294" s="53" t="str">
        <f t="array" ref="Z294">INDEX(Problems!J:J, MATCH(1, (Problems!B:B=B294)*(Problems!C:C=D294), 0))</f>
        <v>mn</v>
      </c>
      <c r="AA294" s="53"/>
      <c r="AB294" s="53"/>
      <c r="AC294" s="53" t="s">
        <v>1813</v>
      </c>
      <c r="AD294" s="53" t="s">
        <v>1814</v>
      </c>
      <c r="AE294" s="85">
        <f>IFERROR(__xludf.DUMMYFUNCTION("INDEX(SPLIT(SUBSTITUTE(AF294,CHAR(10), """"),"",:""), MATCH(Z294, SPLIT(SUBSTITUTE(AF294,CHAR(10), """"),"",:""), 0) + 1)"),3.0)</f>
        <v>3</v>
      </c>
      <c r="AF294" s="85" t="s">
        <v>3264</v>
      </c>
      <c r="AG294" s="53" t="s">
        <v>3265</v>
      </c>
      <c r="AH294" s="53" t="s">
        <v>3266</v>
      </c>
      <c r="AI294" s="84">
        <v>1.0</v>
      </c>
      <c r="AJ294" s="84">
        <v>0.0</v>
      </c>
      <c r="AK294" s="87"/>
      <c r="AL294" s="81">
        <v>1.0</v>
      </c>
      <c r="AM294" s="84" t="s">
        <v>1907</v>
      </c>
      <c r="AN294" s="83">
        <v>1.0</v>
      </c>
      <c r="AO294" s="21" t="s">
        <v>3267</v>
      </c>
      <c r="AP294" s="81">
        <v>0.0</v>
      </c>
      <c r="AQ294" s="81">
        <v>0.0</v>
      </c>
      <c r="AR294" s="39"/>
      <c r="AS294" s="81">
        <v>0.0</v>
      </c>
      <c r="AT294" s="81">
        <v>0.0</v>
      </c>
      <c r="AU294" s="39"/>
      <c r="AV294" s="7" t="s">
        <v>2198</v>
      </c>
      <c r="AW294" s="82"/>
      <c r="AX294" s="82"/>
      <c r="AY294" s="7"/>
      <c r="AZ294" s="7"/>
      <c r="BA294" s="7"/>
      <c r="BB294" s="7"/>
      <c r="BC294" s="7"/>
      <c r="BD294" s="7"/>
      <c r="BE294" s="7"/>
      <c r="BF294" s="7">
        <v>1.0E9</v>
      </c>
      <c r="BG294" s="82">
        <f t="shared" si="44"/>
        <v>1</v>
      </c>
      <c r="BH294" s="82"/>
      <c r="BI294" s="82"/>
      <c r="BJ294" s="82"/>
      <c r="BK294" s="82"/>
      <c r="BL294" s="82"/>
      <c r="BM294" s="82"/>
      <c r="BN294" s="7"/>
      <c r="BO294" s="7">
        <v>3.0</v>
      </c>
      <c r="BP294" s="7" t="s">
        <v>3268</v>
      </c>
      <c r="BQ294" s="7"/>
      <c r="BR294" s="7" t="s">
        <v>144</v>
      </c>
    </row>
    <row r="295">
      <c r="A295" s="16">
        <v>20.0</v>
      </c>
      <c r="B295" s="16" t="s">
        <v>393</v>
      </c>
      <c r="C295" s="53">
        <v>0.001</v>
      </c>
      <c r="D295" s="53" t="s">
        <v>400</v>
      </c>
      <c r="E295" s="7">
        <v>213.0</v>
      </c>
      <c r="F295" s="53"/>
      <c r="G295" s="7"/>
      <c r="H295" s="16">
        <v>1.0</v>
      </c>
      <c r="I295" s="81">
        <v>1.0</v>
      </c>
      <c r="J295" s="39" t="s">
        <v>1788</v>
      </c>
      <c r="K295" s="53"/>
      <c r="L295" s="53"/>
      <c r="M295" s="39" t="str">
        <f t="shared" si="1"/>
        <v>[ David (2006)]</v>
      </c>
      <c r="N295" s="16" t="s">
        <v>3269</v>
      </c>
      <c r="O295" s="81">
        <v>2006.0</v>
      </c>
      <c r="P295" s="39"/>
      <c r="Q295" s="82"/>
      <c r="R295" s="82"/>
      <c r="S295" s="82"/>
      <c r="T295" s="81">
        <v>0.0</v>
      </c>
      <c r="U295" s="81">
        <v>0.0</v>
      </c>
      <c r="V295" s="89">
        <f>IFERROR(__xludf.DUMMYFUNCTION("INDEX(SPLIT(SUBSTITUTE(W295,CHAR(10), """"),"",:""), MATCH(Z295, SPLIT(SUBSTITUTE(W295,CHAR(10), """"),"",:""), 0) + 1)"),2.51)</f>
        <v>2.51</v>
      </c>
      <c r="W295" s="85" t="s">
        <v>3260</v>
      </c>
      <c r="X295" s="16" t="s">
        <v>45</v>
      </c>
      <c r="Y295" s="53" t="s">
        <v>2050</v>
      </c>
      <c r="Z295" s="53" t="str">
        <f t="array" ref="Z295">INDEX(Problems!J:J, MATCH(1, (Problems!B:B=B295)*(Problems!C:C=D295), 0))</f>
        <v>n^2</v>
      </c>
      <c r="AA295" s="53"/>
      <c r="AB295" s="53"/>
      <c r="AC295" s="53" t="s">
        <v>1813</v>
      </c>
      <c r="AD295" s="53" t="s">
        <v>1814</v>
      </c>
      <c r="AE295" s="85" t="str">
        <f>IFERROR(__xludf.DUMMYFUNCTION("INDEX(SPLIT(SUBSTITUTE(AF295,CHAR(10), """"),"",:""), MATCH(Z295, SPLIT(SUBSTITUTE(AF295,CHAR(10), """"),"",:""), 0) + 1)"),"#VALUE!")</f>
        <v>#VALUE!</v>
      </c>
      <c r="AF295" s="131"/>
      <c r="AG295" s="53"/>
      <c r="AH295" s="53"/>
      <c r="AI295" s="87"/>
      <c r="AJ295" s="84" t="s">
        <v>2520</v>
      </c>
      <c r="AK295" s="87"/>
      <c r="AL295" s="81">
        <v>0.0</v>
      </c>
      <c r="AM295" s="87"/>
      <c r="AN295" s="81">
        <v>0.0</v>
      </c>
      <c r="AO295" s="90"/>
      <c r="AP295" s="81">
        <v>1.0</v>
      </c>
      <c r="AQ295" s="81">
        <v>0.0</v>
      </c>
      <c r="AR295" s="39"/>
      <c r="AS295" s="81">
        <v>0.0</v>
      </c>
      <c r="AT295" s="81">
        <v>0.0</v>
      </c>
      <c r="AU295" s="39"/>
      <c r="AV295" s="7" t="s">
        <v>2198</v>
      </c>
      <c r="AW295" s="82"/>
      <c r="AX295" s="82"/>
      <c r="AY295" s="7"/>
      <c r="AZ295" s="7"/>
      <c r="BA295" s="7"/>
      <c r="BB295" s="7"/>
      <c r="BC295" s="7"/>
      <c r="BD295" s="7"/>
      <c r="BE295" s="7"/>
      <c r="BF295" s="7">
        <v>9965.0</v>
      </c>
      <c r="BG295" s="82">
        <f t="shared" si="44"/>
        <v>100351.2293</v>
      </c>
      <c r="BH295" s="82"/>
      <c r="BI295" s="82"/>
      <c r="BJ295" s="82"/>
      <c r="BK295" s="82"/>
      <c r="BL295" s="82"/>
      <c r="BM295" s="82"/>
      <c r="BN295" s="7"/>
      <c r="BO295" s="7">
        <v>3.0</v>
      </c>
      <c r="BP295" s="82"/>
      <c r="BQ295" s="7"/>
      <c r="BR295" s="7" t="s">
        <v>144</v>
      </c>
    </row>
    <row r="296">
      <c r="A296" s="16">
        <v>20.0</v>
      </c>
      <c r="B296" s="16" t="s">
        <v>393</v>
      </c>
      <c r="C296" s="53">
        <v>2.0</v>
      </c>
      <c r="D296" s="53" t="s">
        <v>400</v>
      </c>
      <c r="E296" s="7">
        <v>214.0</v>
      </c>
      <c r="F296" s="53"/>
      <c r="G296" s="7"/>
      <c r="H296" s="16">
        <v>1.0</v>
      </c>
      <c r="I296" s="81">
        <v>1.0</v>
      </c>
      <c r="J296" s="21" t="s">
        <v>834</v>
      </c>
      <c r="K296" s="53"/>
      <c r="L296" s="53"/>
      <c r="M296" s="39" t="str">
        <f t="shared" si="1"/>
        <v>[https://books.google.com/books?hl=en&amp;lr=&amp;id=1aAOdzK3FegC&amp;oi=fnd&amp;pg=PA1&amp;dq=Teukolsky#v=onepage&amp;q=Teukolsky&amp;f=false Press, Teukolsky, Flannery (2007)]</v>
      </c>
      <c r="N296" s="16" t="s">
        <v>3270</v>
      </c>
      <c r="O296" s="81">
        <v>2007.0</v>
      </c>
      <c r="P296" s="25" t="s">
        <v>3271</v>
      </c>
      <c r="Q296" s="82"/>
      <c r="R296" s="82"/>
      <c r="S296" s="82"/>
      <c r="T296" s="81">
        <v>0.0</v>
      </c>
      <c r="U296" s="81">
        <v>0.0</v>
      </c>
      <c r="V296" s="89">
        <f>IFERROR(__xludf.DUMMYFUNCTION("INDEX(SPLIT(SUBSTITUTE(W296,CHAR(10), """"),"",:""), MATCH(Z296, SPLIT(SUBSTITUTE(W296,CHAR(10), """"),"",:""), 0) + 1)"),4.5)</f>
        <v>4.5</v>
      </c>
      <c r="W296" s="85" t="s">
        <v>2049</v>
      </c>
      <c r="X296" s="21" t="s">
        <v>2112</v>
      </c>
      <c r="Y296" s="53" t="s">
        <v>2050</v>
      </c>
      <c r="Z296" s="53" t="str">
        <f t="array" ref="Z296">INDEX(Problems!J:J, MATCH(1, (Problems!B:B=B296)*(Problems!C:C=D296), 0))</f>
        <v>n^2</v>
      </c>
      <c r="AA296" s="53"/>
      <c r="AB296" s="53"/>
      <c r="AC296" s="53" t="s">
        <v>1813</v>
      </c>
      <c r="AD296" s="53" t="s">
        <v>1814</v>
      </c>
      <c r="AE296" s="85">
        <f>IFERROR(__xludf.DUMMYFUNCTION("INDEX(SPLIT(SUBSTITUTE(AF296,CHAR(10), """"),"",:""), MATCH(Z296, SPLIT(SUBSTITUTE(AF296,CHAR(10), """"),"",:""), 0) + 1)"),2.5)</f>
        <v>2.5</v>
      </c>
      <c r="AF296" s="85" t="s">
        <v>1903</v>
      </c>
      <c r="AG296" s="53" t="s">
        <v>3272</v>
      </c>
      <c r="AH296" s="53" t="s">
        <v>3273</v>
      </c>
      <c r="AI296" s="84">
        <v>1.0</v>
      </c>
      <c r="AJ296" s="84">
        <v>0.0</v>
      </c>
      <c r="AK296" s="87"/>
      <c r="AL296" s="81">
        <v>0.0</v>
      </c>
      <c r="AM296" s="87"/>
      <c r="AN296" s="81">
        <v>0.0</v>
      </c>
      <c r="AO296" s="90"/>
      <c r="AP296" s="81">
        <v>1.0</v>
      </c>
      <c r="AQ296" s="81">
        <v>0.0</v>
      </c>
      <c r="AR296" s="39"/>
      <c r="AS296" s="81">
        <v>0.0</v>
      </c>
      <c r="AT296" s="81">
        <v>0.0</v>
      </c>
      <c r="AU296" s="39"/>
      <c r="AV296" s="7" t="s">
        <v>2198</v>
      </c>
      <c r="AW296" s="82"/>
      <c r="AX296" s="82"/>
      <c r="AY296" s="7"/>
      <c r="AZ296" s="7"/>
      <c r="BA296" s="7"/>
      <c r="BB296" s="7"/>
      <c r="BC296" s="7"/>
      <c r="BD296" s="7"/>
      <c r="BE296" s="7"/>
      <c r="BF296" s="7">
        <v>9965.0</v>
      </c>
      <c r="BG296" s="82">
        <f t="shared" si="44"/>
        <v>100351.2293</v>
      </c>
      <c r="BH296" s="82"/>
      <c r="BI296" s="82"/>
      <c r="BJ296" s="82"/>
      <c r="BK296" s="82"/>
      <c r="BL296" s="82"/>
      <c r="BM296" s="82"/>
      <c r="BN296" s="7"/>
      <c r="BO296" s="7">
        <v>3.0</v>
      </c>
      <c r="BP296" s="82"/>
      <c r="BQ296" s="7"/>
      <c r="BR296" s="7" t="s">
        <v>144</v>
      </c>
    </row>
    <row r="297">
      <c r="A297" s="16">
        <v>21.0</v>
      </c>
      <c r="B297" s="16" t="s">
        <v>402</v>
      </c>
      <c r="C297" s="53">
        <v>2.0</v>
      </c>
      <c r="D297" s="53" t="s">
        <v>402</v>
      </c>
      <c r="E297" s="7">
        <v>216.0</v>
      </c>
      <c r="F297" s="53"/>
      <c r="G297" s="7"/>
      <c r="H297" s="16">
        <v>1.0</v>
      </c>
      <c r="I297" s="81">
        <v>1.0</v>
      </c>
      <c r="J297" s="39" t="s">
        <v>408</v>
      </c>
      <c r="K297" s="53"/>
      <c r="L297" s="53"/>
      <c r="M297" s="39" t="str">
        <f t="shared" si="1"/>
        <v>[ Greedy Best-First Search (1959)]</v>
      </c>
      <c r="N297" s="16" t="s">
        <v>3274</v>
      </c>
      <c r="O297" s="83">
        <v>1959.0</v>
      </c>
      <c r="P297" s="39"/>
      <c r="Q297" s="7">
        <v>1.0</v>
      </c>
      <c r="R297" s="7">
        <v>1.0</v>
      </c>
      <c r="S297" s="114" t="s">
        <v>3275</v>
      </c>
      <c r="T297" s="83">
        <v>1.0</v>
      </c>
      <c r="U297" s="16">
        <v>0.0</v>
      </c>
      <c r="V297" s="89">
        <f>IFERROR(__xludf.DUMMYFUNCTION("INDEX(SPLIT(SUBSTITUTE(W297,CHAR(10), """"),"",:""), MATCH(Z297, SPLIT(SUBSTITUTE(W297,CHAR(10), """"),"",:""), 0) + 1)"),8.0)</f>
        <v>8</v>
      </c>
      <c r="W297" s="85" t="s">
        <v>2207</v>
      </c>
      <c r="X297" s="16" t="s">
        <v>2222</v>
      </c>
      <c r="Y297" s="53" t="s">
        <v>2208</v>
      </c>
      <c r="Z297" s="53" t="str">
        <f t="array" ref="Z297">INDEX(Problems!J:J, MATCH(1, (Problems!B:B=B297)*1, 0))</f>
        <v>d</v>
      </c>
      <c r="AA297" s="53"/>
      <c r="AB297" s="53"/>
      <c r="AC297" s="53" t="s">
        <v>1813</v>
      </c>
      <c r="AD297" s="53" t="s">
        <v>1814</v>
      </c>
      <c r="AE297" s="85">
        <f>IFERROR(__xludf.DUMMYFUNCTION("INDEX(SPLIT(SUBSTITUTE(AF297,CHAR(10), """"),"",:""), MATCH(Z297, SPLIT(SUBSTITUTE(AF297,CHAR(10), """"),"",:""), 0) + 1)"),8.0)</f>
        <v>8</v>
      </c>
      <c r="AF297" s="85" t="s">
        <v>2207</v>
      </c>
      <c r="AG297" s="53" t="s">
        <v>408</v>
      </c>
      <c r="AH297" s="86" t="s">
        <v>3276</v>
      </c>
      <c r="AI297" s="84">
        <v>1.0</v>
      </c>
      <c r="AJ297" s="84">
        <v>0.0</v>
      </c>
      <c r="AK297" s="87"/>
      <c r="AL297" s="81">
        <v>0.0</v>
      </c>
      <c r="AM297" s="87"/>
      <c r="AN297" s="81">
        <v>0.0</v>
      </c>
      <c r="AO297" s="90"/>
      <c r="AP297" s="81">
        <v>0.0</v>
      </c>
      <c r="AQ297" s="81">
        <v>0.0</v>
      </c>
      <c r="AR297" s="39"/>
      <c r="AS297" s="81">
        <v>0.0</v>
      </c>
      <c r="AT297" s="81">
        <v>0.0</v>
      </c>
      <c r="AU297" s="25" t="s">
        <v>3277</v>
      </c>
      <c r="AV297" s="7" t="s">
        <v>2211</v>
      </c>
      <c r="AW297" s="82"/>
      <c r="AX297" s="82"/>
      <c r="AY297" s="7"/>
      <c r="AZ297" s="7"/>
      <c r="BA297" s="7"/>
      <c r="BB297" s="7"/>
      <c r="BC297" s="7"/>
      <c r="BD297" s="7"/>
      <c r="BE297" s="7"/>
      <c r="BF297" s="7" t="s">
        <v>1781</v>
      </c>
      <c r="BG297" s="7">
        <v>1.0</v>
      </c>
      <c r="BH297" s="7"/>
      <c r="BI297" s="7" t="s">
        <v>1781</v>
      </c>
      <c r="BJ297" s="7">
        <v>1.0</v>
      </c>
      <c r="BK297" s="7"/>
      <c r="BL297" s="7" t="s">
        <v>1781</v>
      </c>
      <c r="BM297" s="7">
        <v>1.0</v>
      </c>
      <c r="BN297" s="7"/>
      <c r="BO297" s="7">
        <v>1.0</v>
      </c>
      <c r="BP297" s="82"/>
      <c r="BQ297" s="7"/>
      <c r="BR297" s="7" t="s">
        <v>411</v>
      </c>
    </row>
    <row r="298">
      <c r="A298" s="16">
        <v>21.0</v>
      </c>
      <c r="B298" s="16" t="s">
        <v>402</v>
      </c>
      <c r="C298" s="53">
        <v>0.001</v>
      </c>
      <c r="D298" s="53"/>
      <c r="E298" s="7">
        <v>219.0</v>
      </c>
      <c r="F298" s="53"/>
      <c r="G298" s="7"/>
      <c r="H298" s="16">
        <v>1.0</v>
      </c>
      <c r="I298" s="81">
        <v>1.0</v>
      </c>
      <c r="J298" s="39" t="s">
        <v>408</v>
      </c>
      <c r="K298" s="53"/>
      <c r="L298" s="53"/>
      <c r="M298" s="39" t="str">
        <f t="shared" si="1"/>
        <v>[ Incremental Heuristic Search (1968)]</v>
      </c>
      <c r="N298" s="39" t="s">
        <v>3278</v>
      </c>
      <c r="O298" s="81">
        <v>1968.0</v>
      </c>
      <c r="P298" s="39"/>
      <c r="Q298" s="82"/>
      <c r="R298" s="82"/>
      <c r="S298" s="82"/>
      <c r="T298" s="81">
        <v>0.0</v>
      </c>
      <c r="U298" s="16">
        <v>0.0</v>
      </c>
      <c r="V298" s="89">
        <f>IFERROR(__xludf.DUMMYFUNCTION("INDEX(SPLIT(SUBSTITUTE(W298,CHAR(10), """"),"",:""), MATCH(Z298, SPLIT(SUBSTITUTE(W298,CHAR(10), """"),"",:""), 0) + 1)"),8.0)</f>
        <v>8</v>
      </c>
      <c r="W298" s="85" t="s">
        <v>2207</v>
      </c>
      <c r="X298" s="16" t="s">
        <v>2222</v>
      </c>
      <c r="Y298" s="53" t="s">
        <v>2208</v>
      </c>
      <c r="Z298" s="53" t="str">
        <f t="array" ref="Z298">INDEX(Problems!J:J, MATCH(1, (Problems!B:B=B298)*1, 0))</f>
        <v>d</v>
      </c>
      <c r="AA298" s="53"/>
      <c r="AB298" s="53"/>
      <c r="AC298" s="53"/>
      <c r="AD298" s="53"/>
      <c r="AE298" s="85" t="str">
        <f>IFERROR(__xludf.DUMMYFUNCTION("INDEX(SPLIT(SUBSTITUTE(AF298,CHAR(10), """"),"",:""), MATCH(Z298, SPLIT(SUBSTITUTE(AF298,CHAR(10), """"),"",:""), 0) + 1)"),"#VALUE!")</f>
        <v>#VALUE!</v>
      </c>
      <c r="AF298" s="131"/>
      <c r="AG298" s="53"/>
      <c r="AH298" s="53"/>
      <c r="AI298" s="87"/>
      <c r="AJ298" s="84" t="s">
        <v>2520</v>
      </c>
      <c r="AK298" s="87"/>
      <c r="AL298" s="81">
        <v>0.0</v>
      </c>
      <c r="AM298" s="87"/>
      <c r="AN298" s="81">
        <v>0.0</v>
      </c>
      <c r="AO298" s="90"/>
      <c r="AP298" s="81">
        <v>1.0</v>
      </c>
      <c r="AQ298" s="81">
        <v>0.0</v>
      </c>
      <c r="AR298" s="39"/>
      <c r="AS298" s="81">
        <v>0.0</v>
      </c>
      <c r="AT298" s="81">
        <v>0.0</v>
      </c>
      <c r="AU298" s="25" t="s">
        <v>3279</v>
      </c>
      <c r="AV298" s="7" t="s">
        <v>2211</v>
      </c>
      <c r="AW298" s="82"/>
      <c r="AX298" s="82"/>
      <c r="AY298" s="7"/>
      <c r="AZ298" s="7"/>
      <c r="BA298" s="7"/>
      <c r="BB298" s="7"/>
      <c r="BC298" s="7"/>
      <c r="BD298" s="7"/>
      <c r="BE298" s="7"/>
      <c r="BF298" s="7" t="s">
        <v>1781</v>
      </c>
      <c r="BG298" s="7">
        <v>1.0</v>
      </c>
      <c r="BH298" s="82"/>
      <c r="BI298" s="82"/>
      <c r="BJ298" s="82"/>
      <c r="BK298" s="82"/>
      <c r="BL298" s="82"/>
      <c r="BM298" s="82"/>
      <c r="BN298" s="7"/>
      <c r="BO298" s="7">
        <v>1.0</v>
      </c>
      <c r="BP298" s="82"/>
      <c r="BQ298" s="7"/>
      <c r="BR298" s="7" t="s">
        <v>411</v>
      </c>
    </row>
    <row r="299">
      <c r="A299" s="16">
        <v>21.0</v>
      </c>
      <c r="B299" s="16" t="s">
        <v>402</v>
      </c>
      <c r="C299" s="53">
        <v>2.0</v>
      </c>
      <c r="D299" s="53" t="s">
        <v>402</v>
      </c>
      <c r="E299" s="7">
        <v>220.0</v>
      </c>
      <c r="F299" s="53"/>
      <c r="G299" s="7"/>
      <c r="H299" s="16">
        <v>1.0</v>
      </c>
      <c r="I299" s="81">
        <v>1.0</v>
      </c>
      <c r="J299" s="39" t="s">
        <v>408</v>
      </c>
      <c r="K299" s="53"/>
      <c r="L299" s="97" t="s">
        <v>3280</v>
      </c>
      <c r="M299" s="39" t="str">
        <f t="shared" si="1"/>
        <v>[https://webdocs.cs.ualberta.ca/~holte/Publications/aaai11PeterYapFinal.pdf Block A* (2011)]</v>
      </c>
      <c r="N299" s="39" t="s">
        <v>3281</v>
      </c>
      <c r="O299" s="81">
        <v>2011.0</v>
      </c>
      <c r="P299" s="25" t="s">
        <v>3282</v>
      </c>
      <c r="Q299" s="82"/>
      <c r="R299" s="82"/>
      <c r="S299" s="82"/>
      <c r="T299" s="81">
        <v>0.0</v>
      </c>
      <c r="U299" s="16">
        <v>0.0</v>
      </c>
      <c r="V299" s="89">
        <f>IFERROR(__xludf.DUMMYFUNCTION("INDEX(SPLIT(SUBSTITUTE(W299,CHAR(10), """"),"",:""), MATCH(Z299, SPLIT(SUBSTITUTE(W299,CHAR(10), """"),"",:""), 0) + 1)"),8.0)</f>
        <v>8</v>
      </c>
      <c r="W299" s="85" t="s">
        <v>2207</v>
      </c>
      <c r="X299" s="16" t="s">
        <v>2222</v>
      </c>
      <c r="Y299" s="53" t="s">
        <v>2208</v>
      </c>
      <c r="Z299" s="53" t="str">
        <f t="array" ref="Z299">INDEX(Problems!J:J, MATCH(1, (Problems!B:B=B299)*1, 0))</f>
        <v>d</v>
      </c>
      <c r="AA299" s="53"/>
      <c r="AB299" s="53"/>
      <c r="AC299" s="53" t="s">
        <v>1813</v>
      </c>
      <c r="AD299" s="53" t="s">
        <v>1814</v>
      </c>
      <c r="AE299" s="85">
        <f>IFERROR(__xludf.DUMMYFUNCTION("INDEX(SPLIT(SUBSTITUTE(AF299,CHAR(10), """"),"",:""), MATCH(Z299, SPLIT(SUBSTITUTE(AF299,CHAR(10), """"),"",:""), 0) + 1)"),8.0)</f>
        <v>8</v>
      </c>
      <c r="AF299" s="85" t="s">
        <v>2207</v>
      </c>
      <c r="AG299" s="53" t="s">
        <v>408</v>
      </c>
      <c r="AH299" s="53" t="s">
        <v>2218</v>
      </c>
      <c r="AI299" s="84">
        <v>1.0</v>
      </c>
      <c r="AJ299" s="84">
        <v>0.0</v>
      </c>
      <c r="AK299" s="87"/>
      <c r="AL299" s="81">
        <v>0.0</v>
      </c>
      <c r="AM299" s="87"/>
      <c r="AN299" s="81">
        <v>0.0</v>
      </c>
      <c r="AO299" s="90"/>
      <c r="AP299" s="81">
        <v>1.0</v>
      </c>
      <c r="AQ299" s="81">
        <v>0.0</v>
      </c>
      <c r="AR299" s="39"/>
      <c r="AS299" s="81">
        <v>0.0</v>
      </c>
      <c r="AT299" s="81">
        <v>0.0</v>
      </c>
      <c r="AU299" s="39"/>
      <c r="AV299" s="7" t="s">
        <v>2211</v>
      </c>
      <c r="AW299" s="82"/>
      <c r="AX299" s="82"/>
      <c r="AY299" s="7"/>
      <c r="AZ299" s="7"/>
      <c r="BA299" s="7"/>
      <c r="BB299" s="7"/>
      <c r="BC299" s="7"/>
      <c r="BD299" s="7"/>
      <c r="BE299" s="7"/>
      <c r="BF299" s="7" t="s">
        <v>1781</v>
      </c>
      <c r="BG299" s="7">
        <v>1.0</v>
      </c>
      <c r="BH299" s="82"/>
      <c r="BI299" s="82"/>
      <c r="BJ299" s="82"/>
      <c r="BK299" s="82"/>
      <c r="BL299" s="82"/>
      <c r="BM299" s="82"/>
      <c r="BN299" s="7"/>
      <c r="BO299" s="7">
        <v>1.0</v>
      </c>
      <c r="BP299" s="82"/>
      <c r="BQ299" s="7"/>
      <c r="BR299" s="7" t="s">
        <v>411</v>
      </c>
    </row>
    <row r="300">
      <c r="A300" s="16">
        <v>21.0</v>
      </c>
      <c r="B300" s="16" t="s">
        <v>402</v>
      </c>
      <c r="C300" s="53">
        <v>2.0</v>
      </c>
      <c r="D300" s="53" t="s">
        <v>402</v>
      </c>
      <c r="E300" s="7">
        <v>221.0</v>
      </c>
      <c r="F300" s="53"/>
      <c r="G300" s="7"/>
      <c r="H300" s="16">
        <v>1.0</v>
      </c>
      <c r="I300" s="81">
        <v>1.0</v>
      </c>
      <c r="J300" s="39" t="s">
        <v>408</v>
      </c>
      <c r="K300" s="53"/>
      <c r="L300" s="53"/>
      <c r="M300" s="39" t="str">
        <f t="shared" si="1"/>
        <v>[https://citeseerx.ist.psu.edu/viewdoc/summary?doi=10.1.1.15.3683 D* (1994)]</v>
      </c>
      <c r="N300" s="39" t="s">
        <v>3283</v>
      </c>
      <c r="O300" s="81">
        <v>1994.0</v>
      </c>
      <c r="P300" s="25" t="s">
        <v>3284</v>
      </c>
      <c r="Q300" s="82"/>
      <c r="R300" s="82"/>
      <c r="S300" s="82"/>
      <c r="T300" s="81">
        <v>0.0</v>
      </c>
      <c r="U300" s="16">
        <v>0.0</v>
      </c>
      <c r="V300" s="89">
        <f>IFERROR(__xludf.DUMMYFUNCTION("INDEX(SPLIT(SUBSTITUTE(W300,CHAR(10), """"),"",:""), MATCH(Z300, SPLIT(SUBSTITUTE(W300,CHAR(10), """"),"",:""), 0) + 1)"),8.0)</f>
        <v>8</v>
      </c>
      <c r="W300" s="85" t="s">
        <v>2207</v>
      </c>
      <c r="X300" s="16" t="s">
        <v>2222</v>
      </c>
      <c r="Y300" s="53" t="s">
        <v>2208</v>
      </c>
      <c r="Z300" s="53" t="str">
        <f t="array" ref="Z300">INDEX(Problems!J:J, MATCH(1, (Problems!B:B=B300)*1, 0))</f>
        <v>d</v>
      </c>
      <c r="AA300" s="53"/>
      <c r="AB300" s="53"/>
      <c r="AC300" s="53" t="s">
        <v>1813</v>
      </c>
      <c r="AD300" s="53" t="s">
        <v>1814</v>
      </c>
      <c r="AE300" s="85">
        <f>IFERROR(__xludf.DUMMYFUNCTION("INDEX(SPLIT(SUBSTITUTE(AF300,CHAR(10), """"),"",:""), MATCH(Z300, SPLIT(SUBSTITUTE(AF300,CHAR(10), """"),"",:""), 0) + 1)"),8.0)</f>
        <v>8</v>
      </c>
      <c r="AF300" s="85" t="s">
        <v>2207</v>
      </c>
      <c r="AG300" s="53" t="s">
        <v>408</v>
      </c>
      <c r="AH300" s="53" t="s">
        <v>2218</v>
      </c>
      <c r="AI300" s="84">
        <v>1.0</v>
      </c>
      <c r="AJ300" s="84">
        <v>0.0</v>
      </c>
      <c r="AK300" s="87"/>
      <c r="AL300" s="81">
        <v>0.0</v>
      </c>
      <c r="AM300" s="87"/>
      <c r="AN300" s="81">
        <v>0.0</v>
      </c>
      <c r="AO300" s="90"/>
      <c r="AP300" s="81">
        <v>1.0</v>
      </c>
      <c r="AQ300" s="81">
        <v>0.0</v>
      </c>
      <c r="AR300" s="39"/>
      <c r="AS300" s="81">
        <v>0.0</v>
      </c>
      <c r="AT300" s="81">
        <v>0.0</v>
      </c>
      <c r="AU300" s="39"/>
      <c r="AV300" s="7" t="s">
        <v>2211</v>
      </c>
      <c r="AW300" s="82"/>
      <c r="AX300" s="82"/>
      <c r="AY300" s="7"/>
      <c r="AZ300" s="7"/>
      <c r="BA300" s="7"/>
      <c r="BB300" s="7"/>
      <c r="BC300" s="7"/>
      <c r="BD300" s="7"/>
      <c r="BE300" s="7"/>
      <c r="BF300" s="7" t="s">
        <v>1781</v>
      </c>
      <c r="BG300" s="7">
        <v>1.0</v>
      </c>
      <c r="BH300" s="82"/>
      <c r="BI300" s="82"/>
      <c r="BJ300" s="82"/>
      <c r="BK300" s="82"/>
      <c r="BL300" s="82"/>
      <c r="BM300" s="82"/>
      <c r="BN300" s="7"/>
      <c r="BO300" s="7">
        <v>1.0</v>
      </c>
      <c r="BP300" s="82"/>
      <c r="BQ300" s="7"/>
      <c r="BR300" s="7" t="s">
        <v>411</v>
      </c>
    </row>
    <row r="301">
      <c r="A301" s="16">
        <v>21.0</v>
      </c>
      <c r="B301" s="16" t="s">
        <v>402</v>
      </c>
      <c r="C301" s="53">
        <v>2.0</v>
      </c>
      <c r="D301" s="53" t="s">
        <v>402</v>
      </c>
      <c r="E301" s="7">
        <v>222.0</v>
      </c>
      <c r="F301" s="53"/>
      <c r="G301" s="7"/>
      <c r="H301" s="16">
        <v>1.0</v>
      </c>
      <c r="I301" s="81">
        <v>1.0</v>
      </c>
      <c r="J301" s="39" t="s">
        <v>408</v>
      </c>
      <c r="K301" s="53"/>
      <c r="L301" s="53"/>
      <c r="M301" s="39" t="str">
        <f t="shared" si="1"/>
        <v>[https://www.ri.cmu.edu/pub_files/pub4/ferguson_david_2006_3/ferguson_david_2006_3.pdf Field D* (2006)]</v>
      </c>
      <c r="N301" s="39" t="s">
        <v>3285</v>
      </c>
      <c r="O301" s="81">
        <v>2006.0</v>
      </c>
      <c r="P301" s="25" t="s">
        <v>3286</v>
      </c>
      <c r="Q301" s="82"/>
      <c r="R301" s="82"/>
      <c r="S301" s="82"/>
      <c r="T301" s="81">
        <v>0.0</v>
      </c>
      <c r="U301" s="16">
        <v>0.0</v>
      </c>
      <c r="V301" s="89">
        <f>IFERROR(__xludf.DUMMYFUNCTION("INDEX(SPLIT(SUBSTITUTE(W301,CHAR(10), """"),"",:""), MATCH(Z301, SPLIT(SUBSTITUTE(W301,CHAR(10), """"),"",:""), 0) + 1)"),8.0)</f>
        <v>8</v>
      </c>
      <c r="W301" s="85" t="s">
        <v>2207</v>
      </c>
      <c r="X301" s="16" t="s">
        <v>2222</v>
      </c>
      <c r="Y301" s="53" t="s">
        <v>2208</v>
      </c>
      <c r="Z301" s="53" t="str">
        <f t="array" ref="Z301">INDEX(Problems!J:J, MATCH(1, (Problems!B:B=B301)*1, 0))</f>
        <v>d</v>
      </c>
      <c r="AA301" s="53"/>
      <c r="AB301" s="53"/>
      <c r="AC301" s="53" t="s">
        <v>1813</v>
      </c>
      <c r="AD301" s="53" t="s">
        <v>1814</v>
      </c>
      <c r="AE301" s="85">
        <f>IFERROR(__xludf.DUMMYFUNCTION("INDEX(SPLIT(SUBSTITUTE(AF301,CHAR(10), """"),"",:""), MATCH(Z301, SPLIT(SUBSTITUTE(AF301,CHAR(10), """"),"",:""), 0) + 1)"),8.0)</f>
        <v>8</v>
      </c>
      <c r="AF301" s="85" t="s">
        <v>2207</v>
      </c>
      <c r="AG301" s="53" t="s">
        <v>408</v>
      </c>
      <c r="AH301" s="53" t="s">
        <v>2218</v>
      </c>
      <c r="AI301" s="84">
        <v>1.0</v>
      </c>
      <c r="AJ301" s="84">
        <v>0.0</v>
      </c>
      <c r="AK301" s="87"/>
      <c r="AL301" s="81">
        <v>0.0</v>
      </c>
      <c r="AM301" s="87"/>
      <c r="AN301" s="81">
        <v>0.0</v>
      </c>
      <c r="AO301" s="90"/>
      <c r="AP301" s="81">
        <v>1.0</v>
      </c>
      <c r="AQ301" s="81">
        <v>0.0</v>
      </c>
      <c r="AR301" s="39"/>
      <c r="AS301" s="81">
        <v>0.0</v>
      </c>
      <c r="AT301" s="81">
        <v>0.0</v>
      </c>
      <c r="AU301" s="39"/>
      <c r="AV301" s="7" t="s">
        <v>2211</v>
      </c>
      <c r="AW301" s="82"/>
      <c r="AX301" s="82"/>
      <c r="AY301" s="7"/>
      <c r="AZ301" s="7"/>
      <c r="BA301" s="7"/>
      <c r="BB301" s="7"/>
      <c r="BC301" s="7"/>
      <c r="BD301" s="7"/>
      <c r="BE301" s="7"/>
      <c r="BF301" s="7" t="s">
        <v>1781</v>
      </c>
      <c r="BG301" s="7">
        <v>1.0</v>
      </c>
      <c r="BH301" s="82"/>
      <c r="BI301" s="82"/>
      <c r="BJ301" s="82"/>
      <c r="BK301" s="82"/>
      <c r="BL301" s="82"/>
      <c r="BM301" s="82"/>
      <c r="BN301" s="7"/>
      <c r="BO301" s="7">
        <v>1.0</v>
      </c>
      <c r="BP301" s="82"/>
      <c r="BQ301" s="7"/>
      <c r="BR301" s="7" t="s">
        <v>411</v>
      </c>
    </row>
    <row r="302">
      <c r="A302" s="16">
        <v>21.0</v>
      </c>
      <c r="B302" s="16" t="s">
        <v>402</v>
      </c>
      <c r="C302" s="53">
        <v>2.0</v>
      </c>
      <c r="D302" s="53" t="s">
        <v>402</v>
      </c>
      <c r="E302" s="7">
        <v>223.0</v>
      </c>
      <c r="F302" s="53"/>
      <c r="G302" s="7"/>
      <c r="H302" s="16">
        <v>1.0</v>
      </c>
      <c r="I302" s="81">
        <v>1.0</v>
      </c>
      <c r="J302" s="39" t="s">
        <v>408</v>
      </c>
      <c r="K302" s="53"/>
      <c r="L302" s="53"/>
      <c r="M302" s="39" t="str">
        <f t="shared" si="1"/>
        <v>[ Fringe (2005)]</v>
      </c>
      <c r="N302" s="39" t="s">
        <v>3287</v>
      </c>
      <c r="O302" s="81">
        <v>2005.0</v>
      </c>
      <c r="P302" s="39"/>
      <c r="Q302" s="82"/>
      <c r="R302" s="82"/>
      <c r="S302" s="82"/>
      <c r="T302" s="81">
        <v>0.0</v>
      </c>
      <c r="U302" s="16">
        <v>0.0</v>
      </c>
      <c r="V302" s="89">
        <f>IFERROR(__xludf.DUMMYFUNCTION("INDEX(SPLIT(SUBSTITUTE(W302,CHAR(10), """"),"",:""), MATCH(Z302, SPLIT(SUBSTITUTE(W302,CHAR(10), """"),"",:""), 0) + 1)"),8.0)</f>
        <v>8</v>
      </c>
      <c r="W302" s="85" t="s">
        <v>2207</v>
      </c>
      <c r="X302" s="16" t="s">
        <v>2222</v>
      </c>
      <c r="Y302" s="53" t="s">
        <v>2208</v>
      </c>
      <c r="Z302" s="53" t="str">
        <f t="array" ref="Z302">INDEX(Problems!J:J, MATCH(1, (Problems!B:B=B302)*1, 0))</f>
        <v>d</v>
      </c>
      <c r="AA302" s="53"/>
      <c r="AB302" s="53"/>
      <c r="AC302" s="53" t="s">
        <v>1813</v>
      </c>
      <c r="AD302" s="53" t="s">
        <v>1814</v>
      </c>
      <c r="AE302" s="85">
        <f>IFERROR(__xludf.DUMMYFUNCTION("INDEX(SPLIT(SUBSTITUTE(AF302,CHAR(10), """"),"",:""), MATCH(Z302, SPLIT(SUBSTITUTE(AF302,CHAR(10), """"),"",:""), 0) + 1)"),8.0)</f>
        <v>8</v>
      </c>
      <c r="AF302" s="85" t="s">
        <v>2207</v>
      </c>
      <c r="AG302" s="53" t="s">
        <v>408</v>
      </c>
      <c r="AH302" s="53" t="s">
        <v>2218</v>
      </c>
      <c r="AI302" s="84">
        <v>1.0</v>
      </c>
      <c r="AJ302" s="84">
        <v>0.0</v>
      </c>
      <c r="AK302" s="87"/>
      <c r="AL302" s="81">
        <v>0.0</v>
      </c>
      <c r="AM302" s="87"/>
      <c r="AN302" s="81">
        <v>0.0</v>
      </c>
      <c r="AO302" s="90"/>
      <c r="AP302" s="81">
        <v>1.0</v>
      </c>
      <c r="AQ302" s="81">
        <v>0.0</v>
      </c>
      <c r="AR302" s="39"/>
      <c r="AS302" s="81">
        <v>0.0</v>
      </c>
      <c r="AT302" s="81">
        <v>0.0</v>
      </c>
      <c r="AU302" s="39"/>
      <c r="AV302" s="7" t="s">
        <v>2211</v>
      </c>
      <c r="AW302" s="82"/>
      <c r="AX302" s="82"/>
      <c r="AY302" s="7"/>
      <c r="AZ302" s="7"/>
      <c r="BA302" s="7"/>
      <c r="BB302" s="7"/>
      <c r="BC302" s="7"/>
      <c r="BD302" s="7"/>
      <c r="BE302" s="7"/>
      <c r="BF302" s="7" t="s">
        <v>1781</v>
      </c>
      <c r="BG302" s="7">
        <v>1.0</v>
      </c>
      <c r="BH302" s="82"/>
      <c r="BI302" s="82"/>
      <c r="BJ302" s="82"/>
      <c r="BK302" s="82"/>
      <c r="BL302" s="82"/>
      <c r="BM302" s="82"/>
      <c r="BN302" s="7"/>
      <c r="BO302" s="7">
        <v>1.0</v>
      </c>
      <c r="BP302" s="82"/>
      <c r="BQ302" s="7"/>
      <c r="BR302" s="7" t="s">
        <v>411</v>
      </c>
    </row>
    <row r="303">
      <c r="A303" s="16">
        <v>22.0</v>
      </c>
      <c r="B303" s="16" t="s">
        <v>412</v>
      </c>
      <c r="C303" s="53">
        <v>2.0</v>
      </c>
      <c r="D303" s="53" t="s">
        <v>413</v>
      </c>
      <c r="E303" s="7">
        <v>236.0</v>
      </c>
      <c r="F303" s="53"/>
      <c r="G303" s="7"/>
      <c r="H303" s="16">
        <v>1.0</v>
      </c>
      <c r="I303" s="16">
        <v>1.0</v>
      </c>
      <c r="J303" s="21" t="s">
        <v>3288</v>
      </c>
      <c r="K303" s="53"/>
      <c r="L303" s="91" t="s">
        <v>3289</v>
      </c>
      <c r="M303" s="39" t="str">
        <f t="shared" si="1"/>
        <v>[http://citeseerx.ist.psu.edu/viewdoc/download?doi=10.1.1.13.9460&amp;rep=rep1&amp;type=pdf Tuned Boyer-Moore algorithm (1991)]</v>
      </c>
      <c r="N303" s="39" t="s">
        <v>3290</v>
      </c>
      <c r="O303" s="81">
        <v>1991.0</v>
      </c>
      <c r="P303" s="28" t="s">
        <v>3291</v>
      </c>
      <c r="Q303" s="82"/>
      <c r="R303" s="82"/>
      <c r="S303" s="82"/>
      <c r="T303" s="16">
        <v>0.0</v>
      </c>
      <c r="U303" s="16">
        <v>0.0</v>
      </c>
      <c r="V303" s="89">
        <f>IFERROR(__xludf.DUMMYFUNCTION("INDEX(SPLIT(SUBSTITUTE(W303,CHAR(10), """"),"",:""), MATCH(Z303, SPLIT(SUBSTITUTE(W303,CHAR(10), """"),"",:""), 0) + 1)"),5.0)</f>
        <v>5</v>
      </c>
      <c r="W303" s="85" t="s">
        <v>2244</v>
      </c>
      <c r="X303" s="16" t="s">
        <v>2270</v>
      </c>
      <c r="Y303" s="53" t="s">
        <v>2264</v>
      </c>
      <c r="Z303" s="53" t="str">
        <f t="array" ref="Z303">INDEX(Problems!J:J, MATCH(1, (Problems!B:B=B303)*1, 0))</f>
        <v>m+n</v>
      </c>
      <c r="AA303" s="53"/>
      <c r="AB303" s="53"/>
      <c r="AC303" s="120" t="s">
        <v>1813</v>
      </c>
      <c r="AD303" s="120" t="s">
        <v>1814</v>
      </c>
      <c r="AE303" s="85">
        <f>IFERROR(__xludf.DUMMYFUNCTION("INDEX(SPLIT(SUBSTITUTE(AF303,CHAR(10), """"),"",:""), MATCH(Z303, SPLIT(SUBSTITUTE(AF303,CHAR(10), """"),"",:""), 0) + 1)"),3.0)</f>
        <v>3</v>
      </c>
      <c r="AF303" s="85" t="s">
        <v>3292</v>
      </c>
      <c r="AG303" s="53" t="s">
        <v>3293</v>
      </c>
      <c r="AH303" s="121" t="s">
        <v>2261</v>
      </c>
      <c r="AI303" s="84">
        <v>0.0</v>
      </c>
      <c r="AJ303" s="84">
        <v>1.0</v>
      </c>
      <c r="AK303" s="87"/>
      <c r="AL303" s="81">
        <v>0.0</v>
      </c>
      <c r="AM303" s="21"/>
      <c r="AN303" s="16">
        <v>0.0</v>
      </c>
      <c r="AO303" s="90"/>
      <c r="AP303" s="16">
        <v>0.0</v>
      </c>
      <c r="AQ303" s="16">
        <v>0.0</v>
      </c>
      <c r="AR303" s="39"/>
      <c r="AS303" s="81">
        <v>0.0</v>
      </c>
      <c r="AT303" s="81">
        <v>0.0</v>
      </c>
      <c r="AU303" s="39"/>
      <c r="AV303" s="7" t="s">
        <v>2249</v>
      </c>
      <c r="AW303" s="82"/>
      <c r="AX303" s="82"/>
      <c r="AY303" s="7" t="s">
        <v>2250</v>
      </c>
      <c r="AZ303" s="7"/>
      <c r="BA303" s="7"/>
      <c r="BB303" s="7"/>
      <c r="BC303" s="7"/>
      <c r="BD303" s="7"/>
      <c r="BE303" s="7"/>
      <c r="BF303" s="7"/>
      <c r="BG303" s="82"/>
      <c r="BH303" s="82"/>
      <c r="BI303" s="82"/>
      <c r="BJ303" s="82"/>
      <c r="BK303" s="82"/>
      <c r="BL303" s="82"/>
      <c r="BM303" s="82"/>
      <c r="BN303" s="7"/>
      <c r="BO303" s="7">
        <v>4.0</v>
      </c>
      <c r="BP303" s="82"/>
      <c r="BQ303" s="47" t="s">
        <v>2251</v>
      </c>
      <c r="BR303" s="7" t="s">
        <v>23</v>
      </c>
    </row>
    <row r="304">
      <c r="A304" s="16">
        <v>23.0</v>
      </c>
      <c r="B304" s="16" t="s">
        <v>424</v>
      </c>
      <c r="C304" s="53">
        <v>1.0</v>
      </c>
      <c r="D304" s="53" t="s">
        <v>2272</v>
      </c>
      <c r="E304" s="7">
        <v>261.0</v>
      </c>
      <c r="F304" s="53"/>
      <c r="G304" s="7"/>
      <c r="H304" s="16">
        <v>1.0</v>
      </c>
      <c r="I304" s="16">
        <v>1.0</v>
      </c>
      <c r="J304" s="39" t="s">
        <v>399</v>
      </c>
      <c r="K304" s="53"/>
      <c r="L304" s="53"/>
      <c r="M304" s="39" t="str">
        <f t="shared" si="1"/>
        <v>[https://www.nature.com/articles/srep01746 FOGSAA (2013)]</v>
      </c>
      <c r="N304" s="39" t="s">
        <v>3294</v>
      </c>
      <c r="O304" s="81">
        <v>2013.0</v>
      </c>
      <c r="P304" s="28" t="s">
        <v>3295</v>
      </c>
      <c r="Q304" s="82"/>
      <c r="R304" s="82"/>
      <c r="S304" s="82"/>
      <c r="T304" s="81">
        <v>0.0</v>
      </c>
      <c r="U304" s="16">
        <v>0.0</v>
      </c>
      <c r="V304" s="89">
        <f>IFERROR(__xludf.DUMMYFUNCTION("INDEX(SPLIT(SUBSTITUTE(W304,CHAR(10), """"),"",:""), MATCH(Z304, SPLIT(SUBSTITUTE(W304,CHAR(10), """"),"",:""), 0) + 1)"),5.0)</f>
        <v>5</v>
      </c>
      <c r="W304" s="85" t="s">
        <v>2244</v>
      </c>
      <c r="X304" s="16" t="s">
        <v>2270</v>
      </c>
      <c r="Y304" s="120" t="s">
        <v>2275</v>
      </c>
      <c r="Z304" s="53" t="str">
        <f t="array" ref="Z304">INDEX(Problems!J:J, MATCH(1, (Problems!B:B=B304)*1, 0))</f>
        <v>m+n</v>
      </c>
      <c r="AA304" s="120"/>
      <c r="AB304" s="120"/>
      <c r="AC304" s="120" t="s">
        <v>1813</v>
      </c>
      <c r="AD304" s="120" t="s">
        <v>1814</v>
      </c>
      <c r="AE304" s="85">
        <f>IFERROR(__xludf.DUMMYFUNCTION("INDEX(SPLIT(SUBSTITUTE(AF304,CHAR(10), """"),"",:""), MATCH(Z304, SPLIT(SUBSTITUTE(AF304,CHAR(10), """"),"",:""), 0) + 1)"),5.0)</f>
        <v>5</v>
      </c>
      <c r="AF304" s="85" t="s">
        <v>2012</v>
      </c>
      <c r="AG304" s="123" t="s">
        <v>3296</v>
      </c>
      <c r="AH304" s="53" t="s">
        <v>3297</v>
      </c>
      <c r="AI304" s="84">
        <v>1.0</v>
      </c>
      <c r="AJ304" s="84">
        <v>0.0</v>
      </c>
      <c r="AK304" s="87"/>
      <c r="AL304" s="81">
        <v>0.0</v>
      </c>
      <c r="AM304" s="21"/>
      <c r="AN304" s="16">
        <v>0.0</v>
      </c>
      <c r="AO304" s="90"/>
      <c r="AP304" s="16">
        <v>0.0</v>
      </c>
      <c r="AQ304" s="16">
        <v>0.0</v>
      </c>
      <c r="AR304" s="39"/>
      <c r="AS304" s="81">
        <v>0.0</v>
      </c>
      <c r="AT304" s="81">
        <v>0.0</v>
      </c>
      <c r="AU304" s="39"/>
      <c r="AV304" s="7" t="s">
        <v>2277</v>
      </c>
      <c r="AW304" s="82"/>
      <c r="AX304" s="82"/>
      <c r="AY304" s="7" t="s">
        <v>2278</v>
      </c>
      <c r="AZ304" s="7"/>
      <c r="BA304" s="7"/>
      <c r="BB304" s="7"/>
      <c r="BC304" s="7"/>
      <c r="BD304" s="7"/>
      <c r="BE304" s="7"/>
      <c r="BF304" s="7">
        <v>250000.0</v>
      </c>
      <c r="BG304" s="82">
        <f>250000/BF304</f>
        <v>1</v>
      </c>
      <c r="BH304" s="82"/>
      <c r="BI304" s="82"/>
      <c r="BJ304" s="82"/>
      <c r="BK304" s="82"/>
      <c r="BL304" s="82"/>
      <c r="BM304" s="82"/>
      <c r="BN304" s="7"/>
      <c r="BO304" s="7">
        <v>4.0</v>
      </c>
      <c r="BP304" s="82"/>
      <c r="BQ304" s="7"/>
      <c r="BR304" s="7" t="s">
        <v>433</v>
      </c>
    </row>
    <row r="305">
      <c r="A305" s="16">
        <v>25.0</v>
      </c>
      <c r="B305" s="16" t="s">
        <v>441</v>
      </c>
      <c r="C305" s="53">
        <v>1.0</v>
      </c>
      <c r="D305" s="53" t="s">
        <v>3298</v>
      </c>
      <c r="E305" s="7">
        <v>270.0</v>
      </c>
      <c r="F305" s="53"/>
      <c r="G305" s="7"/>
      <c r="H305" s="16">
        <v>1.0</v>
      </c>
      <c r="I305" s="81">
        <v>1.0</v>
      </c>
      <c r="J305" s="21" t="s">
        <v>3299</v>
      </c>
      <c r="K305" s="53" t="s">
        <v>2027</v>
      </c>
      <c r="L305" s="53" t="s">
        <v>2027</v>
      </c>
      <c r="M305" s="39" t="str">
        <f t="shared" si="1"/>
        <v>[https://www.sciencedirect.com/science/article/pii/0097849394900647/pdf?md5=06bd1f11031af17d1fd34626c4e2f49b&amp;pid=1-s2.0-0097849394900647-main.pdf O(lg N) algorithm (1994)]</v>
      </c>
      <c r="N305" s="39" t="s">
        <v>3300</v>
      </c>
      <c r="O305" s="81">
        <v>1994.0</v>
      </c>
      <c r="P305" s="17" t="s">
        <v>454</v>
      </c>
      <c r="Q305" s="7">
        <v>376.0</v>
      </c>
      <c r="R305" s="7">
        <v>0.0</v>
      </c>
      <c r="S305" s="47" t="s">
        <v>3301</v>
      </c>
      <c r="T305" s="84">
        <v>0.0</v>
      </c>
      <c r="U305" s="84">
        <v>0.0</v>
      </c>
      <c r="V305" s="89">
        <f>IFERROR(__xludf.DUMMYFUNCTION("INDEX(SPLIT(SUBSTITUTE(W305,CHAR(10), """"),"",:""), MATCH(Z305, SPLIT(SUBSTITUTE(W305,CHAR(10), """"),"",:""), 0) + 1)"),3.0)</f>
        <v>3</v>
      </c>
      <c r="W305" s="85" t="s">
        <v>3302</v>
      </c>
      <c r="X305" s="21" t="s">
        <v>3303</v>
      </c>
      <c r="Y305" s="53" t="s">
        <v>3304</v>
      </c>
      <c r="Z305" s="53" t="str">
        <f t="array" ref="Z305">INDEX(Problems!J:J, MATCH(1, (Problems!B:B=B305)*1, 0))</f>
        <v>n</v>
      </c>
      <c r="AA305" s="53"/>
      <c r="AB305" s="53"/>
      <c r="AC305" s="53" t="s">
        <v>2312</v>
      </c>
      <c r="AD305" s="53" t="s">
        <v>1814</v>
      </c>
      <c r="AE305" s="85">
        <f>IFERROR(__xludf.DUMMYFUNCTION("INDEX(SPLIT(SUBSTITUTE(AF305,CHAR(10), """"),"",:""), MATCH(Z305, SPLIT(SUBSTITUTE(AF305,CHAR(10), """"),"",:""), 0) + 1)"),1.0)</f>
        <v>1</v>
      </c>
      <c r="AF305" s="85" t="s">
        <v>1774</v>
      </c>
      <c r="AG305" s="53" t="s">
        <v>3305</v>
      </c>
      <c r="AH305" s="53" t="s">
        <v>2321</v>
      </c>
      <c r="AI305" s="84">
        <v>1.0</v>
      </c>
      <c r="AJ305" s="84">
        <v>0.0</v>
      </c>
      <c r="AK305" s="87"/>
      <c r="AL305" s="81">
        <v>0.0</v>
      </c>
      <c r="AM305" s="87"/>
      <c r="AN305" s="81">
        <v>0.0</v>
      </c>
      <c r="AO305" s="90"/>
      <c r="AP305" s="81">
        <v>0.0</v>
      </c>
      <c r="AQ305" s="81">
        <v>0.0</v>
      </c>
      <c r="AR305" s="39"/>
      <c r="AS305" s="81">
        <v>0.0</v>
      </c>
      <c r="AT305" s="81">
        <v>0.0</v>
      </c>
      <c r="AU305" s="39"/>
      <c r="AV305" s="7" t="s">
        <v>2314</v>
      </c>
      <c r="AW305" s="82"/>
      <c r="AX305" s="82"/>
      <c r="AY305" s="7"/>
      <c r="AZ305" s="7"/>
      <c r="BA305" s="7"/>
      <c r="BB305" s="7"/>
      <c r="BC305" s="7"/>
      <c r="BD305" s="7"/>
      <c r="BE305" s="7"/>
      <c r="BF305" s="7">
        <v>9.965</v>
      </c>
      <c r="BG305" s="82">
        <f t="shared" ref="BG305:BG306" si="45">1000/BF305</f>
        <v>100.3512293</v>
      </c>
      <c r="BH305" s="82"/>
      <c r="BI305" s="82">
        <f>LOG(1000000,2)</f>
        <v>19.93156857</v>
      </c>
      <c r="BJ305" s="82">
        <f>BI300/BI305</f>
        <v>0</v>
      </c>
      <c r="BK305" s="82"/>
      <c r="BL305" s="82">
        <f>LOG(1000000000,2)</f>
        <v>29.89735285</v>
      </c>
      <c r="BM305" s="82">
        <f>BL300/BL305</f>
        <v>0</v>
      </c>
      <c r="BN305" s="7"/>
      <c r="BO305" s="7">
        <v>6.0</v>
      </c>
      <c r="BP305" s="82"/>
      <c r="BQ305" s="7"/>
      <c r="BR305" s="7" t="s">
        <v>196</v>
      </c>
    </row>
    <row r="306">
      <c r="A306" s="16">
        <v>25.0</v>
      </c>
      <c r="B306" s="16" t="s">
        <v>441</v>
      </c>
      <c r="C306" s="53">
        <v>1.0</v>
      </c>
      <c r="D306" s="53" t="s">
        <v>3306</v>
      </c>
      <c r="E306" s="7">
        <v>271.0</v>
      </c>
      <c r="F306" s="53"/>
      <c r="G306" s="7"/>
      <c r="H306" s="16">
        <v>1.0</v>
      </c>
      <c r="I306" s="81">
        <v>1.0</v>
      </c>
      <c r="J306" s="21" t="s">
        <v>3307</v>
      </c>
      <c r="K306" s="53" t="s">
        <v>2027</v>
      </c>
      <c r="L306" s="53" t="s">
        <v>2027</v>
      </c>
      <c r="M306" s="39" t="str">
        <f t="shared" si="1"/>
        <v>[https://onlinelibrary.wiley.com/doi/abs/10.1111/1467-8659.1510061 Skala (1996)]</v>
      </c>
      <c r="N306" s="39" t="s">
        <v>3308</v>
      </c>
      <c r="O306" s="81">
        <v>1996.0</v>
      </c>
      <c r="P306" s="25" t="s">
        <v>459</v>
      </c>
      <c r="Q306" s="82"/>
      <c r="R306" s="82"/>
      <c r="S306" s="82"/>
      <c r="T306" s="84">
        <v>0.0</v>
      </c>
      <c r="U306" s="84">
        <v>0.0</v>
      </c>
      <c r="V306" s="89">
        <f>IFERROR(__xludf.DUMMYFUNCTION("INDEX(SPLIT(SUBSTITUTE(W306,CHAR(10), """"),"",:""), MATCH(Z306, SPLIT(SUBSTITUTE(W306,CHAR(10), """"),"",:""), 0) + 1)"),3.0)</f>
        <v>3</v>
      </c>
      <c r="W306" s="85" t="s">
        <v>2319</v>
      </c>
      <c r="X306" s="21" t="s">
        <v>3307</v>
      </c>
      <c r="Y306" s="53" t="s">
        <v>3309</v>
      </c>
      <c r="Z306" s="53" t="str">
        <f t="array" ref="Z306">INDEX(Problems!J:J, MATCH(1, (Problems!B:B=B306)*1, 0))</f>
        <v>n</v>
      </c>
      <c r="AA306" s="53"/>
      <c r="AB306" s="53"/>
      <c r="AC306" s="53" t="s">
        <v>2312</v>
      </c>
      <c r="AD306" s="53" t="s">
        <v>1814</v>
      </c>
      <c r="AE306" s="85">
        <f>IFERROR(__xludf.DUMMYFUNCTION("INDEX(SPLIT(SUBSTITUTE(AF306,CHAR(10), """"),"",:""), MATCH(Z306, SPLIT(SUBSTITUTE(AF306,CHAR(10), """"),"",:""), 0) + 1)"),1.0)</f>
        <v>1</v>
      </c>
      <c r="AF306" s="85" t="s">
        <v>1774</v>
      </c>
      <c r="AG306" s="53" t="s">
        <v>3310</v>
      </c>
      <c r="AH306" s="53" t="s">
        <v>2321</v>
      </c>
      <c r="AI306" s="84">
        <v>1.0</v>
      </c>
      <c r="AJ306" s="84">
        <v>0.0</v>
      </c>
      <c r="AK306" s="87"/>
      <c r="AL306" s="81">
        <v>0.0</v>
      </c>
      <c r="AM306" s="87"/>
      <c r="AN306" s="81">
        <v>0.0</v>
      </c>
      <c r="AO306" s="90"/>
      <c r="AP306" s="81">
        <v>0.0</v>
      </c>
      <c r="AQ306" s="81">
        <v>1.0</v>
      </c>
      <c r="AR306" s="39"/>
      <c r="AS306" s="81">
        <v>0.0</v>
      </c>
      <c r="AT306" s="81">
        <v>0.0</v>
      </c>
      <c r="AU306" s="39"/>
      <c r="AV306" s="7" t="s">
        <v>2314</v>
      </c>
      <c r="AW306" s="82"/>
      <c r="AX306" s="82"/>
      <c r="AY306" s="7"/>
      <c r="AZ306" s="7"/>
      <c r="BA306" s="7"/>
      <c r="BB306" s="7"/>
      <c r="BC306" s="7"/>
      <c r="BD306" s="7"/>
      <c r="BE306" s="7"/>
      <c r="BF306" s="7">
        <v>1.0</v>
      </c>
      <c r="BG306" s="82">
        <f t="shared" si="45"/>
        <v>1000</v>
      </c>
      <c r="BH306" s="82"/>
      <c r="BI306" s="82"/>
      <c r="BJ306" s="82"/>
      <c r="BK306" s="82"/>
      <c r="BL306" s="82"/>
      <c r="BM306" s="82"/>
      <c r="BN306" s="7"/>
      <c r="BO306" s="7">
        <v>6.0</v>
      </c>
      <c r="BP306" s="82"/>
      <c r="BQ306" s="7"/>
      <c r="BR306" s="7" t="s">
        <v>196</v>
      </c>
    </row>
    <row r="307">
      <c r="A307" s="16">
        <v>27.0</v>
      </c>
      <c r="B307" s="16" t="s">
        <v>464</v>
      </c>
      <c r="C307" s="53">
        <v>1.0</v>
      </c>
      <c r="D307" s="53"/>
      <c r="E307" s="7">
        <v>276.0</v>
      </c>
      <c r="F307" s="53"/>
      <c r="G307" s="7"/>
      <c r="H307" s="16">
        <v>1.0</v>
      </c>
      <c r="I307" s="81">
        <v>1.0</v>
      </c>
      <c r="J307" s="39" t="s">
        <v>3311</v>
      </c>
      <c r="K307" s="53" t="s">
        <v>2117</v>
      </c>
      <c r="L307" s="53" t="s">
        <v>2117</v>
      </c>
      <c r="M307" s="39" t="str">
        <f t="shared" si="1"/>
        <v>[https://link.springer.com/article/10.1007/BF02242355 Schönhage–Strassen algorithm (1971)]</v>
      </c>
      <c r="N307" s="39" t="s">
        <v>3312</v>
      </c>
      <c r="O307" s="81">
        <v>1971.0</v>
      </c>
      <c r="P307" s="28" t="s">
        <v>3313</v>
      </c>
      <c r="Q307" s="82"/>
      <c r="R307" s="82"/>
      <c r="S307" s="82"/>
      <c r="T307" s="16">
        <v>1.0</v>
      </c>
      <c r="U307" s="16">
        <v>0.0</v>
      </c>
      <c r="V307" s="89">
        <f>IFERROR(__xludf.DUMMYFUNCTION("INDEX(SPLIT(SUBSTITUTE(W307,CHAR(10), """"),"",:""), MATCH(Z307, SPLIT(SUBSTITUTE(W307,CHAR(10), """"),"",:""), 0) + 1)"),4.001)</f>
        <v>4.001</v>
      </c>
      <c r="W307" s="85" t="s">
        <v>3314</v>
      </c>
      <c r="X307" s="16" t="s">
        <v>3315</v>
      </c>
      <c r="Y307" s="53" t="s">
        <v>2336</v>
      </c>
      <c r="Z307" s="53" t="str">
        <f t="array" ref="Z307">INDEX(Problems!J:J, MATCH(1, (Problems!B:B=B307)*1, 0))</f>
        <v>n</v>
      </c>
      <c r="AA307" s="53"/>
      <c r="AB307" s="53"/>
      <c r="AC307" s="53" t="s">
        <v>2337</v>
      </c>
      <c r="AD307" s="53" t="s">
        <v>2338</v>
      </c>
      <c r="AE307" s="85">
        <f>IFERROR(__xludf.DUMMYFUNCTION("INDEX(SPLIT(SUBSTITUTE(AF307,CHAR(10), """"),"",:""), MATCH(Z307, SPLIT(SUBSTITUTE(AF307,CHAR(10), """"),"",:""), 0) + 1)"),3.0)</f>
        <v>3</v>
      </c>
      <c r="AF307" s="85" t="s">
        <v>1763</v>
      </c>
      <c r="AG307" s="53" t="s">
        <v>3316</v>
      </c>
      <c r="AH307" s="53" t="s">
        <v>3317</v>
      </c>
      <c r="AI307" s="84">
        <v>1.0</v>
      </c>
      <c r="AJ307" s="84">
        <v>0.0</v>
      </c>
      <c r="AK307" s="87"/>
      <c r="AL307" s="81">
        <v>0.0</v>
      </c>
      <c r="AM307" s="87"/>
      <c r="AN307" s="81">
        <v>0.0</v>
      </c>
      <c r="AO307" s="90"/>
      <c r="AP307" s="81">
        <v>0.0</v>
      </c>
      <c r="AQ307" s="81">
        <v>0.0</v>
      </c>
      <c r="AR307" s="39"/>
      <c r="AS307" s="81">
        <v>0.0</v>
      </c>
      <c r="AT307" s="81">
        <v>0.0</v>
      </c>
      <c r="AU307" s="39"/>
      <c r="AV307" s="7" t="s">
        <v>2340</v>
      </c>
      <c r="AW307" s="82"/>
      <c r="AX307" s="82"/>
      <c r="AY307" s="7" t="s">
        <v>2341</v>
      </c>
      <c r="AZ307" s="7"/>
      <c r="BA307" s="7"/>
      <c r="BB307" s="7"/>
      <c r="BC307" s="7"/>
      <c r="BD307" s="7"/>
      <c r="BE307" s="7"/>
      <c r="BF307" s="7">
        <v>32984.0</v>
      </c>
      <c r="BG307" s="7">
        <f t="shared" ref="BG307:BG314" si="46">1000000/BF307</f>
        <v>30.31772981</v>
      </c>
      <c r="BH307" s="82">
        <f>POW(BG307,1/($O307-$O$108)) - 1</f>
        <v>0.1163404644</v>
      </c>
      <c r="BI307" s="82">
        <f>1000000*LOG(1000000,2)*LOG(LOG(1000000,2),2)</f>
        <v>86044249.58</v>
      </c>
      <c r="BJ307" s="82">
        <f>BI108/BI307</f>
        <v>11621.92715</v>
      </c>
      <c r="BK307" s="82">
        <f>POW(BJ307,1/($O307-$O$108)) - 1</f>
        <v>0.3525022766</v>
      </c>
      <c r="BL307" s="82">
        <f>1000000000*LOG(1000000000,2)*LOG(LOG(1000000000,2),2)</f>
        <v>146555204661</v>
      </c>
      <c r="BM307" s="82">
        <f>BL108/BL307</f>
        <v>6823367.361</v>
      </c>
      <c r="BN307" s="82">
        <f>POW(BM307,1/($O307-$O$108)) - 1</f>
        <v>0.6613134177</v>
      </c>
      <c r="BO307" s="7">
        <v>4.0</v>
      </c>
      <c r="BP307" s="82"/>
      <c r="BQ307" s="7"/>
      <c r="BR307" s="7" t="s">
        <v>144</v>
      </c>
    </row>
    <row r="308">
      <c r="A308" s="16">
        <v>27.0</v>
      </c>
      <c r="B308" s="16" t="s">
        <v>464</v>
      </c>
      <c r="C308" s="53">
        <v>1.0</v>
      </c>
      <c r="D308" s="53"/>
      <c r="E308" s="7">
        <v>277.0</v>
      </c>
      <c r="F308" s="53"/>
      <c r="G308" s="7"/>
      <c r="H308" s="16">
        <v>1.0</v>
      </c>
      <c r="I308" s="81">
        <v>1.0</v>
      </c>
      <c r="J308" s="16" t="s">
        <v>3318</v>
      </c>
      <c r="K308" s="53" t="s">
        <v>2117</v>
      </c>
      <c r="L308" s="53" t="s">
        <v>2117</v>
      </c>
      <c r="M308" s="39" t="str">
        <f t="shared" si="1"/>
        <v>[https://web.archive.org/web/20130425232048/http://www.cse.psu.edu/~furer/Papers/mult.pdf Furer's algorithm (2007)]</v>
      </c>
      <c r="N308" s="39" t="s">
        <v>3319</v>
      </c>
      <c r="O308" s="81">
        <v>2007.0</v>
      </c>
      <c r="P308" s="28" t="s">
        <v>3320</v>
      </c>
      <c r="Q308" s="82"/>
      <c r="R308" s="82"/>
      <c r="S308" s="82"/>
      <c r="T308" s="16">
        <v>0.0</v>
      </c>
      <c r="U308" s="16">
        <v>0.0</v>
      </c>
      <c r="V308" s="89">
        <f>IFERROR(__xludf.DUMMYFUNCTION("INDEX(SPLIT(SUBSTITUTE(W308,CHAR(10), """"),"",:""), MATCH(Z308, SPLIT(SUBSTITUTE(W308,CHAR(10), """"),"",:""), 0) + 1)"),7.0)</f>
        <v>7</v>
      </c>
      <c r="W308" s="85" t="s">
        <v>2517</v>
      </c>
      <c r="X308" s="16" t="s">
        <v>3321</v>
      </c>
      <c r="Y308" s="53" t="s">
        <v>2336</v>
      </c>
      <c r="Z308" s="53" t="str">
        <f t="array" ref="Z308">INDEX(Problems!J:J, MATCH(1, (Problems!B:B=B308)*1, 0))</f>
        <v>n</v>
      </c>
      <c r="AA308" s="53"/>
      <c r="AB308" s="53"/>
      <c r="AC308" s="53" t="s">
        <v>2337</v>
      </c>
      <c r="AD308" s="53" t="s">
        <v>2338</v>
      </c>
      <c r="AE308" s="85">
        <f>IFERROR(__xludf.DUMMYFUNCTION("INDEX(SPLIT(SUBSTITUTE(AF308,CHAR(10), """"),"",:""), MATCH(Z308, SPLIT(SUBSTITUTE(AF308,CHAR(10), """"),"",:""), 0) + 1)"),3.0)</f>
        <v>3</v>
      </c>
      <c r="AF308" s="85" t="s">
        <v>1763</v>
      </c>
      <c r="AG308" s="53" t="s">
        <v>3316</v>
      </c>
      <c r="AH308" s="53" t="s">
        <v>3322</v>
      </c>
      <c r="AI308" s="84">
        <v>1.0</v>
      </c>
      <c r="AJ308" s="84">
        <v>0.0</v>
      </c>
      <c r="AK308" s="87"/>
      <c r="AL308" s="81">
        <v>0.0</v>
      </c>
      <c r="AM308" s="87"/>
      <c r="AN308" s="81">
        <v>0.0</v>
      </c>
      <c r="AO308" s="90"/>
      <c r="AP308" s="81">
        <v>0.0</v>
      </c>
      <c r="AQ308" s="81">
        <v>0.0</v>
      </c>
      <c r="AR308" s="39"/>
      <c r="AS308" s="81">
        <v>0.0</v>
      </c>
      <c r="AT308" s="81">
        <v>0.0</v>
      </c>
      <c r="AU308" s="39"/>
      <c r="AV308" s="7" t="s">
        <v>2340</v>
      </c>
      <c r="AW308" s="82"/>
      <c r="AX308" s="82"/>
      <c r="AY308" s="7" t="s">
        <v>2341</v>
      </c>
      <c r="AZ308" s="7"/>
      <c r="BA308" s="7"/>
      <c r="BB308" s="7"/>
      <c r="BC308" s="7"/>
      <c r="BD308" s="7"/>
      <c r="BE308" s="7"/>
      <c r="BF308" s="7">
        <v>4.081664E7</v>
      </c>
      <c r="BG308" s="7">
        <f t="shared" si="46"/>
        <v>0.02449981184</v>
      </c>
      <c r="BH308" s="82"/>
      <c r="BI308" s="82"/>
      <c r="BJ308" s="82"/>
      <c r="BK308" s="82"/>
      <c r="BL308" s="82"/>
      <c r="BM308" s="82"/>
      <c r="BN308" s="7"/>
      <c r="BO308" s="7">
        <v>4.0</v>
      </c>
      <c r="BP308" s="82"/>
      <c r="BQ308" s="7"/>
      <c r="BR308" s="7" t="s">
        <v>144</v>
      </c>
    </row>
    <row r="309">
      <c r="A309" s="16">
        <v>27.0</v>
      </c>
      <c r="B309" s="16" t="s">
        <v>464</v>
      </c>
      <c r="C309" s="53">
        <v>1.0</v>
      </c>
      <c r="D309" s="53"/>
      <c r="E309" s="7">
        <v>278.0</v>
      </c>
      <c r="F309" s="53"/>
      <c r="G309" s="7"/>
      <c r="H309" s="16">
        <v>1.0</v>
      </c>
      <c r="I309" s="81">
        <v>1.0</v>
      </c>
      <c r="J309" s="16" t="s">
        <v>3318</v>
      </c>
      <c r="K309" s="53" t="s">
        <v>2117</v>
      </c>
      <c r="L309" s="53" t="s">
        <v>2117</v>
      </c>
      <c r="M309" s="39" t="str">
        <f t="shared" si="1"/>
        <v>[https://arxiv.org/abs/0801.1416 De (2008)]</v>
      </c>
      <c r="N309" s="16" t="s">
        <v>3323</v>
      </c>
      <c r="O309" s="81">
        <v>2008.0</v>
      </c>
      <c r="P309" s="28" t="s">
        <v>3324</v>
      </c>
      <c r="Q309" s="82"/>
      <c r="R309" s="82"/>
      <c r="S309" s="82"/>
      <c r="T309" s="16">
        <v>0.0</v>
      </c>
      <c r="U309" s="16">
        <v>0.0</v>
      </c>
      <c r="V309" s="89">
        <f>IFERROR(__xludf.DUMMYFUNCTION("INDEX(SPLIT(SUBSTITUTE(W309,CHAR(10), """"),"",:""), MATCH(Z309, SPLIT(SUBSTITUTE(W309,CHAR(10), """"),"",:""), 0) + 1)"),7.0)</f>
        <v>7</v>
      </c>
      <c r="W309" s="85" t="s">
        <v>2517</v>
      </c>
      <c r="X309" s="16" t="s">
        <v>3321</v>
      </c>
      <c r="Y309" s="53" t="s">
        <v>2336</v>
      </c>
      <c r="Z309" s="53" t="str">
        <f t="array" ref="Z309">INDEX(Problems!J:J, MATCH(1, (Problems!B:B=B309)*1, 0))</f>
        <v>n</v>
      </c>
      <c r="AA309" s="53"/>
      <c r="AB309" s="53"/>
      <c r="AC309" s="53" t="s">
        <v>2337</v>
      </c>
      <c r="AD309" s="53" t="s">
        <v>2338</v>
      </c>
      <c r="AE309" s="85">
        <f>IFERROR(__xludf.DUMMYFUNCTION("INDEX(SPLIT(SUBSTITUTE(AF309,CHAR(10), """"),"",:""), MATCH(Z309, SPLIT(SUBSTITUTE(AF309,CHAR(10), """"),"",:""), 0) + 1)"),3.0)</f>
        <v>3</v>
      </c>
      <c r="AF309" s="85" t="s">
        <v>1763</v>
      </c>
      <c r="AG309" s="53" t="s">
        <v>3316</v>
      </c>
      <c r="AH309" s="53" t="s">
        <v>3325</v>
      </c>
      <c r="AI309" s="84">
        <v>1.0</v>
      </c>
      <c r="AJ309" s="84">
        <v>0.0</v>
      </c>
      <c r="AK309" s="87"/>
      <c r="AL309" s="81">
        <v>0.0</v>
      </c>
      <c r="AM309" s="87"/>
      <c r="AN309" s="81">
        <v>0.0</v>
      </c>
      <c r="AO309" s="90"/>
      <c r="AP309" s="81">
        <v>0.0</v>
      </c>
      <c r="AQ309" s="81">
        <v>0.0</v>
      </c>
      <c r="AR309" s="39"/>
      <c r="AS309" s="81">
        <v>0.0</v>
      </c>
      <c r="AT309" s="81">
        <v>0.0</v>
      </c>
      <c r="AU309" s="39"/>
      <c r="AV309" s="7" t="s">
        <v>2340</v>
      </c>
      <c r="AW309" s="82"/>
      <c r="AX309" s="82"/>
      <c r="AY309" s="7" t="s">
        <v>2341</v>
      </c>
      <c r="AZ309" s="7"/>
      <c r="BA309" s="7"/>
      <c r="BB309" s="7"/>
      <c r="BC309" s="7"/>
      <c r="BD309" s="7"/>
      <c r="BE309" s="7"/>
      <c r="BF309" s="7">
        <v>4.081664E7</v>
      </c>
      <c r="BG309" s="7">
        <f t="shared" si="46"/>
        <v>0.02449981184</v>
      </c>
      <c r="BH309" s="82"/>
      <c r="BI309" s="82"/>
      <c r="BJ309" s="82"/>
      <c r="BK309" s="82"/>
      <c r="BL309" s="82"/>
      <c r="BM309" s="82"/>
      <c r="BN309" s="7"/>
      <c r="BO309" s="7">
        <v>4.0</v>
      </c>
      <c r="BP309" s="82"/>
      <c r="BQ309" s="7"/>
      <c r="BR309" s="7" t="s">
        <v>144</v>
      </c>
    </row>
    <row r="310">
      <c r="A310" s="16">
        <v>27.0</v>
      </c>
      <c r="B310" s="16" t="s">
        <v>464</v>
      </c>
      <c r="C310" s="53">
        <v>1.0</v>
      </c>
      <c r="D310" s="53"/>
      <c r="E310" s="7">
        <v>279.0</v>
      </c>
      <c r="F310" s="53"/>
      <c r="G310" s="7"/>
      <c r="H310" s="16">
        <v>1.0</v>
      </c>
      <c r="I310" s="81">
        <v>1.0</v>
      </c>
      <c r="J310" s="39" t="s">
        <v>1788</v>
      </c>
      <c r="K310" s="53" t="s">
        <v>2117</v>
      </c>
      <c r="L310" s="53" t="s">
        <v>2117</v>
      </c>
      <c r="M310" s="39" t="str">
        <f t="shared" si="1"/>
        <v>[https://hal.archives-ouvertes.fr/hal-02070778 Harvey; Hoeven (2019)]</v>
      </c>
      <c r="N310" s="39" t="s">
        <v>3326</v>
      </c>
      <c r="O310" s="81">
        <v>2019.0</v>
      </c>
      <c r="P310" s="17" t="s">
        <v>469</v>
      </c>
      <c r="Q310" s="82"/>
      <c r="R310" s="82"/>
      <c r="S310" s="82"/>
      <c r="T310" s="81">
        <v>1.0</v>
      </c>
      <c r="U310" s="16" t="s">
        <v>1952</v>
      </c>
      <c r="V310" s="89">
        <f>IFERROR(__xludf.DUMMYFUNCTION("INDEX(SPLIT(SUBSTITUTE(W310,CHAR(10), """"),"",:""), MATCH(Z310, SPLIT(SUBSTITUTE(W310,CHAR(10), """"),"",:""), 0) + 1)"),4.0)</f>
        <v>4</v>
      </c>
      <c r="W310" s="85" t="s">
        <v>1791</v>
      </c>
      <c r="X310" s="16" t="s">
        <v>45</v>
      </c>
      <c r="Y310" s="53" t="s">
        <v>2336</v>
      </c>
      <c r="Z310" s="53" t="str">
        <f t="array" ref="Z310">INDEX(Problems!J:J, MATCH(1, (Problems!B:B=B310)*1, 0))</f>
        <v>n</v>
      </c>
      <c r="AA310" s="53"/>
      <c r="AB310" s="53"/>
      <c r="AC310" s="53" t="s">
        <v>2337</v>
      </c>
      <c r="AD310" s="53" t="s">
        <v>2338</v>
      </c>
      <c r="AE310" s="85">
        <f>IFERROR(__xludf.DUMMYFUNCTION("INDEX(SPLIT(SUBSTITUTE(AF310,CHAR(10), """"),"",:""), MATCH(Z310, SPLIT(SUBSTITUTE(AF310,CHAR(10), """"),"",:""), 0) + 1)"),3.0)</f>
        <v>3</v>
      </c>
      <c r="AF310" s="85" t="s">
        <v>1763</v>
      </c>
      <c r="AG310" s="53" t="s">
        <v>3327</v>
      </c>
      <c r="AH310" s="53" t="s">
        <v>3328</v>
      </c>
      <c r="AI310" s="84">
        <v>1.0</v>
      </c>
      <c r="AJ310" s="84">
        <v>0.0</v>
      </c>
      <c r="AK310" s="87"/>
      <c r="AL310" s="81">
        <v>0.0</v>
      </c>
      <c r="AM310" s="87"/>
      <c r="AN310" s="81">
        <v>0.0</v>
      </c>
      <c r="AO310" s="90"/>
      <c r="AP310" s="81">
        <v>0.0</v>
      </c>
      <c r="AQ310" s="81">
        <v>0.0</v>
      </c>
      <c r="AR310" s="39"/>
      <c r="AS310" s="81">
        <v>0.0</v>
      </c>
      <c r="AT310" s="81">
        <v>0.0</v>
      </c>
      <c r="AU310" s="39"/>
      <c r="AV310" s="7" t="s">
        <v>2340</v>
      </c>
      <c r="AW310" s="82"/>
      <c r="AX310" s="82"/>
      <c r="AY310" s="7" t="s">
        <v>2341</v>
      </c>
      <c r="AZ310" s="7"/>
      <c r="BA310" s="7"/>
      <c r="BB310" s="7"/>
      <c r="BC310" s="7"/>
      <c r="BD310" s="7"/>
      <c r="BE310" s="7"/>
      <c r="BF310" s="7">
        <f>1000*LOG(1000,2)</f>
        <v>9965.784285</v>
      </c>
      <c r="BG310" s="7">
        <f t="shared" si="46"/>
        <v>100.3433319</v>
      </c>
      <c r="BH310" s="82">
        <f>POW(BG310,1/($O310-$O$108)) - 1</f>
        <v>0.06007183934</v>
      </c>
      <c r="BI310" s="7">
        <f>1000000*LOG(1000000,2)</f>
        <v>19931568.57</v>
      </c>
      <c r="BJ310" s="82">
        <f>BI108/BI310</f>
        <v>50171.66594</v>
      </c>
      <c r="BK310" s="82">
        <f>POW(BJ310,1/($O310-$O$108)) - 1</f>
        <v>0.146831135</v>
      </c>
      <c r="BL310" s="7">
        <f>1000000000*LOG(1000000000,2)</f>
        <v>29897352854</v>
      </c>
      <c r="BM310" s="82">
        <f>BL108/BL310</f>
        <v>33447777.3</v>
      </c>
      <c r="BN310" s="82">
        <f>POW(BM310,1/($O310-$O$108)) - 1</f>
        <v>0.2452173271</v>
      </c>
      <c r="BO310" s="7">
        <v>4.0</v>
      </c>
      <c r="BP310" s="82"/>
      <c r="BQ310" s="7"/>
      <c r="BR310" s="7" t="s">
        <v>144</v>
      </c>
    </row>
    <row r="311">
      <c r="A311" s="16">
        <v>27.0</v>
      </c>
      <c r="B311" s="16" t="s">
        <v>464</v>
      </c>
      <c r="C311" s="53">
        <v>1.0</v>
      </c>
      <c r="D311" s="53"/>
      <c r="E311" s="7">
        <v>280.0</v>
      </c>
      <c r="F311" s="53"/>
      <c r="G311" s="7"/>
      <c r="H311" s="16">
        <v>1.0</v>
      </c>
      <c r="I311" s="81">
        <v>1.0</v>
      </c>
      <c r="J311" s="21" t="s">
        <v>3329</v>
      </c>
      <c r="K311" s="53" t="s">
        <v>2117</v>
      </c>
      <c r="L311" s="53" t="s">
        <v>2117</v>
      </c>
      <c r="M311" s="39" t="str">
        <f t="shared" si="1"/>
        <v>[https://arxiv.org/abs/1407.3360 Harvey; Hoeven; Lecerf (2015)]</v>
      </c>
      <c r="N311" s="39" t="s">
        <v>3330</v>
      </c>
      <c r="O311" s="81">
        <v>2015.0</v>
      </c>
      <c r="P311" s="28" t="s">
        <v>3331</v>
      </c>
      <c r="Q311" s="82"/>
      <c r="R311" s="82"/>
      <c r="S311" s="82"/>
      <c r="T311" s="16">
        <v>0.0</v>
      </c>
      <c r="U311" s="16">
        <v>0.0</v>
      </c>
      <c r="V311" s="89">
        <f>IFERROR(__xludf.DUMMYFUNCTION("INDEX(SPLIT(SUBSTITUTE(W311,CHAR(10), """"),"",:""), MATCH(Z311, SPLIT(SUBSTITUTE(W311,CHAR(10), """"),"",:""), 0) + 1)"),7.0)</f>
        <v>7</v>
      </c>
      <c r="W311" s="85" t="s">
        <v>2517</v>
      </c>
      <c r="X311" s="21" t="s">
        <v>3332</v>
      </c>
      <c r="Y311" s="53" t="s">
        <v>2336</v>
      </c>
      <c r="Z311" s="53" t="str">
        <f t="array" ref="Z311">INDEX(Problems!J:J, MATCH(1, (Problems!B:B=B311)*1, 0))</f>
        <v>n</v>
      </c>
      <c r="AA311" s="53"/>
      <c r="AB311" s="53"/>
      <c r="AC311" s="53" t="s">
        <v>2337</v>
      </c>
      <c r="AD311" s="53" t="s">
        <v>2338</v>
      </c>
      <c r="AE311" s="85">
        <f>IFERROR(__xludf.DUMMYFUNCTION("INDEX(SPLIT(SUBSTITUTE(AF311,CHAR(10), """"),"",:""), MATCH(Z311, SPLIT(SUBSTITUTE(AF311,CHAR(10), """"),"",:""), 0) + 1)"),3.0)</f>
        <v>3</v>
      </c>
      <c r="AF311" s="85" t="s">
        <v>1763</v>
      </c>
      <c r="AG311" s="53" t="s">
        <v>3327</v>
      </c>
      <c r="AH311" s="53" t="s">
        <v>3325</v>
      </c>
      <c r="AI311" s="84">
        <v>1.0</v>
      </c>
      <c r="AJ311" s="84">
        <v>0.0</v>
      </c>
      <c r="AK311" s="87"/>
      <c r="AL311" s="81">
        <v>0.0</v>
      </c>
      <c r="AM311" s="87"/>
      <c r="AN311" s="81">
        <v>0.0</v>
      </c>
      <c r="AO311" s="90"/>
      <c r="AP311" s="81">
        <v>0.0</v>
      </c>
      <c r="AQ311" s="81">
        <v>0.0</v>
      </c>
      <c r="AR311" s="39"/>
      <c r="AS311" s="81">
        <v>0.0</v>
      </c>
      <c r="AT311" s="81">
        <v>0.0</v>
      </c>
      <c r="AU311" s="39"/>
      <c r="AV311" s="7" t="s">
        <v>2340</v>
      </c>
      <c r="AW311" s="82"/>
      <c r="AX311" s="82"/>
      <c r="AY311" s="7" t="s">
        <v>2341</v>
      </c>
      <c r="AZ311" s="7"/>
      <c r="BA311" s="7"/>
      <c r="BB311" s="7"/>
      <c r="BC311" s="7"/>
      <c r="BD311" s="7"/>
      <c r="BE311" s="7"/>
      <c r="BF311" s="7">
        <v>79720.0</v>
      </c>
      <c r="BG311" s="7">
        <f t="shared" si="46"/>
        <v>12.54390366</v>
      </c>
      <c r="BH311" s="82"/>
      <c r="BI311" s="82"/>
      <c r="BJ311" s="82"/>
      <c r="BK311" s="82"/>
      <c r="BL311" s="82"/>
      <c r="BM311" s="82"/>
      <c r="BN311" s="7"/>
      <c r="BO311" s="7">
        <v>4.0</v>
      </c>
      <c r="BP311" s="82"/>
      <c r="BQ311" s="7"/>
      <c r="BR311" s="7" t="s">
        <v>144</v>
      </c>
    </row>
    <row r="312">
      <c r="A312" s="16">
        <v>27.0</v>
      </c>
      <c r="B312" s="16" t="s">
        <v>464</v>
      </c>
      <c r="C312" s="53">
        <v>1.0</v>
      </c>
      <c r="D312" s="53"/>
      <c r="E312" s="7">
        <v>281.0</v>
      </c>
      <c r="F312" s="53"/>
      <c r="G312" s="7"/>
      <c r="H312" s="16">
        <v>1.0</v>
      </c>
      <c r="I312" s="81">
        <v>1.0</v>
      </c>
      <c r="J312" s="16" t="s">
        <v>3318</v>
      </c>
      <c r="K312" s="53" t="s">
        <v>2117</v>
      </c>
      <c r="L312" s="53" t="s">
        <v>2117</v>
      </c>
      <c r="M312" s="39" t="str">
        <f t="shared" si="1"/>
        <v>[https://hal.inria.fr/hal-01108166v1/document Covanov and Thomé (2015)]</v>
      </c>
      <c r="N312" s="39" t="s">
        <v>3333</v>
      </c>
      <c r="O312" s="81">
        <v>2015.0</v>
      </c>
      <c r="P312" s="28" t="s">
        <v>3334</v>
      </c>
      <c r="Q312" s="82"/>
      <c r="R312" s="82"/>
      <c r="S312" s="82"/>
      <c r="T312" s="16">
        <v>0.0</v>
      </c>
      <c r="U312" s="16">
        <v>0.0</v>
      </c>
      <c r="V312" s="89">
        <f>IFERROR(__xludf.DUMMYFUNCTION("INDEX(SPLIT(SUBSTITUTE(W312,CHAR(10), """"),"",:""), MATCH(Z312, SPLIT(SUBSTITUTE(W312,CHAR(10), """"),"",:""), 0) + 1)"),7.0)</f>
        <v>7</v>
      </c>
      <c r="W312" s="85" t="s">
        <v>2517</v>
      </c>
      <c r="X312" s="16" t="s">
        <v>3321</v>
      </c>
      <c r="Y312" s="53" t="s">
        <v>2336</v>
      </c>
      <c r="Z312" s="53" t="str">
        <f t="array" ref="Z312">INDEX(Problems!J:J, MATCH(1, (Problems!B:B=B312)*1, 0))</f>
        <v>n</v>
      </c>
      <c r="AA312" s="53"/>
      <c r="AB312" s="53"/>
      <c r="AC312" s="53" t="s">
        <v>2337</v>
      </c>
      <c r="AD312" s="53" t="s">
        <v>2338</v>
      </c>
      <c r="AE312" s="85">
        <f>IFERROR(__xludf.DUMMYFUNCTION("INDEX(SPLIT(SUBSTITUTE(AF312,CHAR(10), """"),"",:""), MATCH(Z312, SPLIT(SUBSTITUTE(AF312,CHAR(10), """"),"",:""), 0) + 1)"),3.0)</f>
        <v>3</v>
      </c>
      <c r="AF312" s="85" t="s">
        <v>1763</v>
      </c>
      <c r="AG312" s="53" t="s">
        <v>3327</v>
      </c>
      <c r="AH312" s="53" t="s">
        <v>3325</v>
      </c>
      <c r="AI312" s="84">
        <v>1.0</v>
      </c>
      <c r="AJ312" s="84">
        <v>0.0</v>
      </c>
      <c r="AK312" s="87"/>
      <c r="AL312" s="81">
        <v>0.0</v>
      </c>
      <c r="AM312" s="87"/>
      <c r="AN312" s="81">
        <v>0.0</v>
      </c>
      <c r="AO312" s="90"/>
      <c r="AP312" s="81">
        <v>0.0</v>
      </c>
      <c r="AQ312" s="81">
        <v>0.0</v>
      </c>
      <c r="AR312" s="39"/>
      <c r="AS312" s="81">
        <v>0.0</v>
      </c>
      <c r="AT312" s="81">
        <v>0.0</v>
      </c>
      <c r="AU312" s="39"/>
      <c r="AV312" s="7" t="s">
        <v>2340</v>
      </c>
      <c r="AW312" s="82"/>
      <c r="AX312" s="82"/>
      <c r="AY312" s="7" t="s">
        <v>2341</v>
      </c>
      <c r="AZ312" s="7"/>
      <c r="BA312" s="7"/>
      <c r="BB312" s="7"/>
      <c r="BC312" s="7"/>
      <c r="BD312" s="7"/>
      <c r="BE312" s="7"/>
      <c r="BF312" s="7">
        <v>4.081664E7</v>
      </c>
      <c r="BG312" s="7">
        <f t="shared" si="46"/>
        <v>0.02449981184</v>
      </c>
      <c r="BH312" s="82"/>
      <c r="BI312" s="82"/>
      <c r="BJ312" s="82"/>
      <c r="BK312" s="82"/>
      <c r="BL312" s="82"/>
      <c r="BM312" s="82"/>
      <c r="BN312" s="7"/>
      <c r="BO312" s="7">
        <v>4.0</v>
      </c>
      <c r="BP312" s="82"/>
      <c r="BQ312" s="7"/>
      <c r="BR312" s="7" t="s">
        <v>144</v>
      </c>
    </row>
    <row r="313">
      <c r="A313" s="16">
        <v>27.0</v>
      </c>
      <c r="B313" s="16" t="s">
        <v>464</v>
      </c>
      <c r="C313" s="53">
        <v>1.0</v>
      </c>
      <c r="D313" s="53"/>
      <c r="E313" s="7">
        <v>282.0</v>
      </c>
      <c r="F313" s="53"/>
      <c r="G313" s="7"/>
      <c r="H313" s="16">
        <v>1.0</v>
      </c>
      <c r="I313" s="81">
        <v>1.0</v>
      </c>
      <c r="J313" s="21" t="s">
        <v>3329</v>
      </c>
      <c r="K313" s="53" t="s">
        <v>2117</v>
      </c>
      <c r="L313" s="53" t="s">
        <v>2117</v>
      </c>
      <c r="M313" s="39" t="str">
        <f t="shared" si="1"/>
        <v>[https://arxiv.org/abs/1502.02800 Covanov and Thomé (2016)]</v>
      </c>
      <c r="N313" s="39" t="s">
        <v>3333</v>
      </c>
      <c r="O313" s="81">
        <v>2016.0</v>
      </c>
      <c r="P313" s="28" t="s">
        <v>3335</v>
      </c>
      <c r="Q313" s="82"/>
      <c r="R313" s="82"/>
      <c r="S313" s="82"/>
      <c r="T313" s="16">
        <v>0.0</v>
      </c>
      <c r="U313" s="16">
        <v>0.0</v>
      </c>
      <c r="V313" s="89">
        <f>IFERROR(__xludf.DUMMYFUNCTION("INDEX(SPLIT(SUBSTITUTE(W313,CHAR(10), """"),"",:""), MATCH(Z313, SPLIT(SUBSTITUTE(W313,CHAR(10), """"),"",:""), 0) + 1)"),7.0)</f>
        <v>7</v>
      </c>
      <c r="W313" s="85" t="s">
        <v>2517</v>
      </c>
      <c r="X313" s="21" t="s">
        <v>3332</v>
      </c>
      <c r="Y313" s="53" t="s">
        <v>2336</v>
      </c>
      <c r="Z313" s="53" t="str">
        <f t="array" ref="Z313">INDEX(Problems!J:J, MATCH(1, (Problems!B:B=B313)*1, 0))</f>
        <v>n</v>
      </c>
      <c r="AA313" s="53"/>
      <c r="AB313" s="53"/>
      <c r="AC313" s="53" t="s">
        <v>2337</v>
      </c>
      <c r="AD313" s="53" t="s">
        <v>2338</v>
      </c>
      <c r="AE313" s="85">
        <f>IFERROR(__xludf.DUMMYFUNCTION("INDEX(SPLIT(SUBSTITUTE(AF313,CHAR(10), """"),"",:""), MATCH(Z313, SPLIT(SUBSTITUTE(AF313,CHAR(10), """"),"",:""), 0) + 1)"),3.0)</f>
        <v>3</v>
      </c>
      <c r="AF313" s="85" t="s">
        <v>1763</v>
      </c>
      <c r="AG313" s="53" t="s">
        <v>3327</v>
      </c>
      <c r="AH313" s="53" t="s">
        <v>3325</v>
      </c>
      <c r="AI313" s="84">
        <v>1.0</v>
      </c>
      <c r="AJ313" s="84">
        <v>0.0</v>
      </c>
      <c r="AK313" s="87"/>
      <c r="AL313" s="81">
        <v>0.0</v>
      </c>
      <c r="AM313" s="87"/>
      <c r="AN313" s="81">
        <v>0.0</v>
      </c>
      <c r="AO313" s="90"/>
      <c r="AP313" s="81">
        <v>0.0</v>
      </c>
      <c r="AQ313" s="81">
        <v>0.0</v>
      </c>
      <c r="AR313" s="39"/>
      <c r="AS313" s="81">
        <v>0.0</v>
      </c>
      <c r="AT313" s="81">
        <v>0.0</v>
      </c>
      <c r="AU313" s="39"/>
      <c r="AV313" s="7" t="s">
        <v>2340</v>
      </c>
      <c r="AW313" s="82"/>
      <c r="AX313" s="82"/>
      <c r="AY313" s="7" t="s">
        <v>2341</v>
      </c>
      <c r="AZ313" s="7"/>
      <c r="BA313" s="7"/>
      <c r="BB313" s="7"/>
      <c r="BC313" s="7"/>
      <c r="BD313" s="7"/>
      <c r="BE313" s="7"/>
      <c r="BF313" s="7">
        <v>79720.0</v>
      </c>
      <c r="BG313" s="7">
        <f t="shared" si="46"/>
        <v>12.54390366</v>
      </c>
      <c r="BH313" s="82"/>
      <c r="BI313" s="82"/>
      <c r="BJ313" s="82"/>
      <c r="BK313" s="82"/>
      <c r="BL313" s="82"/>
      <c r="BM313" s="82"/>
      <c r="BN313" s="7"/>
      <c r="BO313" s="7">
        <v>4.0</v>
      </c>
      <c r="BP313" s="82"/>
      <c r="BQ313" s="7"/>
      <c r="BR313" s="7" t="s">
        <v>144</v>
      </c>
    </row>
    <row r="314">
      <c r="A314" s="16">
        <v>27.0</v>
      </c>
      <c r="B314" s="16" t="s">
        <v>464</v>
      </c>
      <c r="C314" s="53">
        <v>1.0</v>
      </c>
      <c r="D314" s="53"/>
      <c r="E314" s="7">
        <v>283.0</v>
      </c>
      <c r="F314" s="53"/>
      <c r="G314" s="7"/>
      <c r="H314" s="16">
        <v>1.0</v>
      </c>
      <c r="I314" s="81">
        <v>1.0</v>
      </c>
      <c r="J314" s="21" t="s">
        <v>3336</v>
      </c>
      <c r="K314" s="53" t="s">
        <v>2117</v>
      </c>
      <c r="L314" s="53" t="s">
        <v>2117</v>
      </c>
      <c r="M314" s="39" t="str">
        <f t="shared" si="1"/>
        <v>[https://arxiv.org/abs/1802.07932 Harvey; Hoeven; Lecerf (2018)]</v>
      </c>
      <c r="N314" s="39" t="s">
        <v>3330</v>
      </c>
      <c r="O314" s="81">
        <v>2018.0</v>
      </c>
      <c r="P314" s="28" t="s">
        <v>3337</v>
      </c>
      <c r="Q314" s="82"/>
      <c r="R314" s="82"/>
      <c r="S314" s="82"/>
      <c r="T314" s="16">
        <v>0.0</v>
      </c>
      <c r="U314" s="16">
        <v>0.0</v>
      </c>
      <c r="V314" s="89">
        <f>IFERROR(__xludf.DUMMYFUNCTION("INDEX(SPLIT(SUBSTITUTE(W314,CHAR(10), """"),"",:""), MATCH(Z314, SPLIT(SUBSTITUTE(W314,CHAR(10), """"),"",:""), 0) + 1)"),7.0)</f>
        <v>7</v>
      </c>
      <c r="W314" s="85" t="s">
        <v>2517</v>
      </c>
      <c r="X314" s="21" t="s">
        <v>3338</v>
      </c>
      <c r="Y314" s="53" t="s">
        <v>2336</v>
      </c>
      <c r="Z314" s="53" t="str">
        <f t="array" ref="Z314">INDEX(Problems!J:J, MATCH(1, (Problems!B:B=B314)*1, 0))</f>
        <v>n</v>
      </c>
      <c r="AA314" s="53"/>
      <c r="AB314" s="53"/>
      <c r="AC314" s="53" t="s">
        <v>2337</v>
      </c>
      <c r="AD314" s="53" t="s">
        <v>2338</v>
      </c>
      <c r="AE314" s="85">
        <f>IFERROR(__xludf.DUMMYFUNCTION("INDEX(SPLIT(SUBSTITUTE(AF314,CHAR(10), """"),"",:""), MATCH(Z314, SPLIT(SUBSTITUTE(AF314,CHAR(10), """"),"",:""), 0) + 1)"),3.0)</f>
        <v>3</v>
      </c>
      <c r="AF314" s="85" t="s">
        <v>1763</v>
      </c>
      <c r="AG314" s="53" t="s">
        <v>3327</v>
      </c>
      <c r="AH314" s="53" t="s">
        <v>3325</v>
      </c>
      <c r="AI314" s="84">
        <v>1.0</v>
      </c>
      <c r="AJ314" s="84">
        <v>0.0</v>
      </c>
      <c r="AK314" s="87"/>
      <c r="AL314" s="81">
        <v>0.0</v>
      </c>
      <c r="AM314" s="87"/>
      <c r="AN314" s="81">
        <v>0.0</v>
      </c>
      <c r="AO314" s="90"/>
      <c r="AP314" s="81">
        <v>0.0</v>
      </c>
      <c r="AQ314" s="81">
        <v>0.0</v>
      </c>
      <c r="AR314" s="39"/>
      <c r="AS314" s="81">
        <v>0.0</v>
      </c>
      <c r="AT314" s="81">
        <v>0.0</v>
      </c>
      <c r="AU314" s="39"/>
      <c r="AV314" s="7" t="s">
        <v>2340</v>
      </c>
      <c r="AW314" s="82"/>
      <c r="AX314" s="82"/>
      <c r="AY314" s="7" t="s">
        <v>2341</v>
      </c>
      <c r="AZ314" s="7"/>
      <c r="BA314" s="7"/>
      <c r="BB314" s="7"/>
      <c r="BC314" s="7"/>
      <c r="BD314" s="7"/>
      <c r="BE314" s="7"/>
      <c r="BF314" s="7">
        <v>39860.0</v>
      </c>
      <c r="BG314" s="7">
        <f t="shared" si="46"/>
        <v>25.08780733</v>
      </c>
      <c r="BH314" s="82"/>
      <c r="BI314" s="82"/>
      <c r="BJ314" s="82"/>
      <c r="BK314" s="82"/>
      <c r="BL314" s="82"/>
      <c r="BM314" s="82"/>
      <c r="BN314" s="7"/>
      <c r="BO314" s="7">
        <v>4.0</v>
      </c>
      <c r="BP314" s="82"/>
      <c r="BQ314" s="7"/>
      <c r="BR314" s="7" t="s">
        <v>144</v>
      </c>
    </row>
    <row r="315">
      <c r="A315" s="16">
        <v>30.0</v>
      </c>
      <c r="B315" s="16" t="s">
        <v>486</v>
      </c>
      <c r="C315" s="53">
        <v>1.0</v>
      </c>
      <c r="D315" s="53"/>
      <c r="E315" s="7">
        <v>298.0</v>
      </c>
      <c r="F315" s="53"/>
      <c r="G315" s="7"/>
      <c r="H315" s="16">
        <v>1.0</v>
      </c>
      <c r="I315" s="81">
        <v>1.0</v>
      </c>
      <c r="J315" s="39" t="s">
        <v>35</v>
      </c>
      <c r="K315" s="53" t="s">
        <v>2117</v>
      </c>
      <c r="L315" s="53" t="s">
        <v>484</v>
      </c>
      <c r="M315" s="39" t="str">
        <f t="shared" si="1"/>
        <v>[http://lamport.azurewebsites.net/pubs/bakery.pdf Lamport's bakery algorithm (1974)]</v>
      </c>
      <c r="N315" s="39" t="s">
        <v>3339</v>
      </c>
      <c r="O315" s="81">
        <v>1974.0</v>
      </c>
      <c r="P315" s="28" t="s">
        <v>3340</v>
      </c>
      <c r="Q315" s="82"/>
      <c r="R315" s="82"/>
      <c r="S315" s="82"/>
      <c r="T315" s="81">
        <v>0.0</v>
      </c>
      <c r="U315" s="16">
        <v>0.0</v>
      </c>
      <c r="V315" s="89">
        <f>IFERROR(__xludf.DUMMYFUNCTION("INDEX(SPLIT(SUBSTITUTE(W315,CHAR(10), """"),"",:""), MATCH(Z315, SPLIT(SUBSTITUTE(W315,CHAR(10), """"),"",:""), 0) + 1)"),3.0)</f>
        <v>3</v>
      </c>
      <c r="W315" s="85" t="s">
        <v>1763</v>
      </c>
      <c r="X315" s="16" t="s">
        <v>584</v>
      </c>
      <c r="Y315" s="53" t="s">
        <v>3341</v>
      </c>
      <c r="Z315" s="53" t="str">
        <f t="array" ref="Z315">INDEX(Problems!J:J, MATCH(1, (Problems!B:B=B315)*1, 0))</f>
        <v>n</v>
      </c>
      <c r="AA315" s="53"/>
      <c r="AB315" s="53"/>
      <c r="AC315" s="53"/>
      <c r="AD315" s="53" t="s">
        <v>3342</v>
      </c>
      <c r="AE315" s="85">
        <f>IFERROR(__xludf.DUMMYFUNCTION("INDEX(SPLIT(SUBSTITUTE(AF315,CHAR(10), """"),"",:""), MATCH(Z315, SPLIT(SUBSTITUTE(AF315,CHAR(10), """"),"",:""), 0) + 1)"),3.0)</f>
        <v>3</v>
      </c>
      <c r="AF315" s="85" t="s">
        <v>1763</v>
      </c>
      <c r="AG315" s="53" t="s">
        <v>3343</v>
      </c>
      <c r="AH315" s="91" t="s">
        <v>3344</v>
      </c>
      <c r="AI315" s="84">
        <v>0.0</v>
      </c>
      <c r="AJ315" s="84">
        <v>1.0</v>
      </c>
      <c r="AK315" s="87"/>
      <c r="AL315" s="81">
        <v>0.0</v>
      </c>
      <c r="AM315" s="87"/>
      <c r="AN315" s="81">
        <v>0.0</v>
      </c>
      <c r="AO315" s="90"/>
      <c r="AP315" s="81">
        <v>0.0</v>
      </c>
      <c r="AQ315" s="81">
        <v>0.0</v>
      </c>
      <c r="AR315" s="39"/>
      <c r="AS315" s="81">
        <v>0.0</v>
      </c>
      <c r="AT315" s="81">
        <v>0.0</v>
      </c>
      <c r="AU315" s="39"/>
      <c r="AV315" s="7" t="s">
        <v>3345</v>
      </c>
      <c r="AW315" s="82"/>
      <c r="AX315" s="82"/>
      <c r="AY315" s="7"/>
      <c r="AZ315" s="7"/>
      <c r="BA315" s="7"/>
      <c r="BB315" s="7"/>
      <c r="BC315" s="7"/>
      <c r="BD315" s="7"/>
      <c r="BE315" s="7"/>
      <c r="BF315" s="7">
        <v>1000.0</v>
      </c>
      <c r="BG315" s="7">
        <v>1.0</v>
      </c>
      <c r="BH315" s="82"/>
      <c r="BI315" s="82">
        <f> 1000000</f>
        <v>1000000</v>
      </c>
      <c r="BJ315" s="82"/>
      <c r="BK315" s="82"/>
      <c r="BL315" s="82">
        <f> 1000000000</f>
        <v>1000000000</v>
      </c>
      <c r="BM315" s="82"/>
      <c r="BN315" s="7"/>
      <c r="BO315" s="7">
        <v>6.0</v>
      </c>
      <c r="BP315" s="82"/>
      <c r="BQ315" s="7"/>
      <c r="BR315" s="7" t="s">
        <v>490</v>
      </c>
    </row>
    <row r="316">
      <c r="A316" s="16">
        <v>30.0</v>
      </c>
      <c r="B316" s="16" t="s">
        <v>486</v>
      </c>
      <c r="C316" s="53">
        <v>1.0</v>
      </c>
      <c r="D316" s="53"/>
      <c r="E316" s="7">
        <v>299.0</v>
      </c>
      <c r="F316" s="53"/>
      <c r="G316" s="7"/>
      <c r="H316" s="16">
        <v>1.0</v>
      </c>
      <c r="I316" s="81">
        <v>1.0</v>
      </c>
      <c r="J316" s="39" t="s">
        <v>35</v>
      </c>
      <c r="K316" s="53" t="s">
        <v>2117</v>
      </c>
      <c r="L316" s="53" t="s">
        <v>484</v>
      </c>
      <c r="M316" s="39" t="str">
        <f t="shared" si="1"/>
        <v>[https://www.researchgate.net/publication/221235887_A_simple_solution_to_Lamport's_concurrent_programming_problem_with_linear_wait Szymanski's algorithm (1988)]</v>
      </c>
      <c r="N316" s="39" t="s">
        <v>3346</v>
      </c>
      <c r="O316" s="81">
        <v>1988.0</v>
      </c>
      <c r="P316" s="28" t="s">
        <v>3347</v>
      </c>
      <c r="Q316" s="82"/>
      <c r="R316" s="82"/>
      <c r="S316" s="82"/>
      <c r="T316" s="81">
        <v>0.0</v>
      </c>
      <c r="U316" s="16">
        <v>0.0</v>
      </c>
      <c r="V316" s="89">
        <f>IFERROR(__xludf.DUMMYFUNCTION("INDEX(SPLIT(SUBSTITUTE(W316,CHAR(10), """"),"",:""), MATCH(Z316, SPLIT(SUBSTITUTE(W316,CHAR(10), """"),"",:""), 0) + 1)"),3.0)</f>
        <v>3</v>
      </c>
      <c r="W316" s="85" t="s">
        <v>1763</v>
      </c>
      <c r="X316" s="16" t="s">
        <v>584</v>
      </c>
      <c r="Y316" s="53" t="s">
        <v>3341</v>
      </c>
      <c r="Z316" s="53" t="str">
        <f t="array" ref="Z316">INDEX(Problems!J:J, MATCH(1, (Problems!B:B=B316)*1, 0))</f>
        <v>n</v>
      </c>
      <c r="AA316" s="53"/>
      <c r="AB316" s="53"/>
      <c r="AC316" s="53"/>
      <c r="AD316" s="53" t="s">
        <v>3342</v>
      </c>
      <c r="AE316" s="85">
        <f>IFERROR(__xludf.DUMMYFUNCTION("INDEX(SPLIT(SUBSTITUTE(AF316,CHAR(10), """"),"",:""), MATCH(Z316, SPLIT(SUBSTITUTE(AF316,CHAR(10), """"),"",:""), 0) + 1)"),3.0)</f>
        <v>3</v>
      </c>
      <c r="AF316" s="85" t="s">
        <v>1763</v>
      </c>
      <c r="AG316" s="53" t="s">
        <v>3343</v>
      </c>
      <c r="AH316" s="53" t="s">
        <v>3348</v>
      </c>
      <c r="AI316" s="84">
        <v>0.0</v>
      </c>
      <c r="AJ316" s="84">
        <v>0.0</v>
      </c>
      <c r="AK316" s="87"/>
      <c r="AL316" s="81">
        <v>0.0</v>
      </c>
      <c r="AM316" s="87"/>
      <c r="AN316" s="81">
        <v>0.0</v>
      </c>
      <c r="AO316" s="90"/>
      <c r="AP316" s="81">
        <v>0.0</v>
      </c>
      <c r="AQ316" s="81">
        <v>0.0</v>
      </c>
      <c r="AR316" s="39"/>
      <c r="AS316" s="81">
        <v>0.0</v>
      </c>
      <c r="AT316" s="81">
        <v>0.0</v>
      </c>
      <c r="AU316" s="39"/>
      <c r="AV316" s="7" t="s">
        <v>3345</v>
      </c>
      <c r="AW316" s="82"/>
      <c r="AX316" s="82"/>
      <c r="AY316" s="7"/>
      <c r="AZ316" s="7"/>
      <c r="BA316" s="7"/>
      <c r="BB316" s="7"/>
      <c r="BC316" s="7"/>
      <c r="BD316" s="7"/>
      <c r="BE316" s="7"/>
      <c r="BF316" s="7">
        <v>1000.0</v>
      </c>
      <c r="BG316" s="7">
        <v>1.0</v>
      </c>
      <c r="BH316" s="82"/>
      <c r="BI316" s="82"/>
      <c r="BJ316" s="82"/>
      <c r="BK316" s="82"/>
      <c r="BL316" s="82"/>
      <c r="BM316" s="82"/>
      <c r="BN316" s="7"/>
      <c r="BO316" s="7">
        <v>6.0</v>
      </c>
      <c r="BP316" s="82"/>
      <c r="BQ316" s="7"/>
      <c r="BR316" s="7" t="s">
        <v>490</v>
      </c>
    </row>
    <row r="317">
      <c r="A317" s="16">
        <v>30.0</v>
      </c>
      <c r="B317" s="16" t="s">
        <v>486</v>
      </c>
      <c r="C317" s="53">
        <v>1.0</v>
      </c>
      <c r="D317" s="53"/>
      <c r="E317" s="7">
        <v>300.0</v>
      </c>
      <c r="F317" s="53"/>
      <c r="G317" s="7"/>
      <c r="H317" s="16">
        <v>1.0</v>
      </c>
      <c r="I317" s="81">
        <v>1.0</v>
      </c>
      <c r="J317" s="39" t="s">
        <v>35</v>
      </c>
      <c r="K317" s="53" t="s">
        <v>2117</v>
      </c>
      <c r="L317" s="53" t="s">
        <v>484</v>
      </c>
      <c r="M317" s="39" t="str">
        <f t="shared" si="1"/>
        <v>[https://link.springer.com/chapter/10.1007/978-3-540-30186-8_5 Taubenfeld's black-white bakery algorithm (2004)]</v>
      </c>
      <c r="N317" s="39" t="s">
        <v>3349</v>
      </c>
      <c r="O317" s="81">
        <v>2004.0</v>
      </c>
      <c r="P317" s="28" t="s">
        <v>3350</v>
      </c>
      <c r="Q317" s="82"/>
      <c r="R317" s="82"/>
      <c r="S317" s="82"/>
      <c r="T317" s="81">
        <v>0.0</v>
      </c>
      <c r="U317" s="16">
        <v>0.0</v>
      </c>
      <c r="V317" s="89">
        <f>IFERROR(__xludf.DUMMYFUNCTION("INDEX(SPLIT(SUBSTITUTE(W317,CHAR(10), """"),"",:""), MATCH(Z317, SPLIT(SUBSTITUTE(W317,CHAR(10), """"),"",:""), 0) + 1)"),3.0)</f>
        <v>3</v>
      </c>
      <c r="W317" s="85" t="s">
        <v>1763</v>
      </c>
      <c r="X317" s="16" t="s">
        <v>584</v>
      </c>
      <c r="Y317" s="53" t="s">
        <v>3341</v>
      </c>
      <c r="Z317" s="53" t="str">
        <f t="array" ref="Z317">INDEX(Problems!J:J, MATCH(1, (Problems!B:B=B317)*1, 0))</f>
        <v>n</v>
      </c>
      <c r="AA317" s="53"/>
      <c r="AB317" s="53"/>
      <c r="AC317" s="53"/>
      <c r="AD317" s="53" t="s">
        <v>3342</v>
      </c>
      <c r="AE317" s="85">
        <f>IFERROR(__xludf.DUMMYFUNCTION("INDEX(SPLIT(SUBSTITUTE(AF317,CHAR(10), """"),"",:""), MATCH(Z317, SPLIT(SUBSTITUTE(AF317,CHAR(10), """"),"",:""), 0) + 1)"),3.0)</f>
        <v>3</v>
      </c>
      <c r="AF317" s="85" t="s">
        <v>1763</v>
      </c>
      <c r="AG317" s="53" t="s">
        <v>3343</v>
      </c>
      <c r="AH317" s="91" t="s">
        <v>3351</v>
      </c>
      <c r="AI317" s="84">
        <v>0.0</v>
      </c>
      <c r="AJ317" s="84">
        <v>1.0</v>
      </c>
      <c r="AK317" s="87"/>
      <c r="AL317" s="81">
        <v>0.0</v>
      </c>
      <c r="AM317" s="87"/>
      <c r="AN317" s="81">
        <v>0.0</v>
      </c>
      <c r="AO317" s="90"/>
      <c r="AP317" s="81">
        <v>0.0</v>
      </c>
      <c r="AQ317" s="81">
        <v>0.0</v>
      </c>
      <c r="AR317" s="39"/>
      <c r="AS317" s="81">
        <v>0.0</v>
      </c>
      <c r="AT317" s="81">
        <v>0.0</v>
      </c>
      <c r="AU317" s="39"/>
      <c r="AV317" s="7" t="s">
        <v>3345</v>
      </c>
      <c r="AW317" s="82"/>
      <c r="AX317" s="82"/>
      <c r="AY317" s="7"/>
      <c r="AZ317" s="7"/>
      <c r="BA317" s="7"/>
      <c r="BB317" s="7"/>
      <c r="BC317" s="7"/>
      <c r="BD317" s="7"/>
      <c r="BE317" s="7"/>
      <c r="BF317" s="7">
        <v>1000.0</v>
      </c>
      <c r="BG317" s="7">
        <v>1.0</v>
      </c>
      <c r="BH317" s="82"/>
      <c r="BI317" s="82"/>
      <c r="BJ317" s="82"/>
      <c r="BK317" s="82"/>
      <c r="BL317" s="82"/>
      <c r="BM317" s="82"/>
      <c r="BN317" s="7"/>
      <c r="BO317" s="7">
        <v>6.0</v>
      </c>
      <c r="BP317" s="82"/>
      <c r="BQ317" s="7"/>
      <c r="BR317" s="7" t="s">
        <v>490</v>
      </c>
    </row>
    <row r="318">
      <c r="A318" s="16">
        <v>30.0</v>
      </c>
      <c r="B318" s="16" t="s">
        <v>486</v>
      </c>
      <c r="C318" s="53">
        <v>1.0</v>
      </c>
      <c r="D318" s="53"/>
      <c r="E318" s="7">
        <v>301.0</v>
      </c>
      <c r="F318" s="53"/>
      <c r="G318" s="7"/>
      <c r="H318" s="16">
        <v>1.0</v>
      </c>
      <c r="I318" s="81">
        <v>1.0</v>
      </c>
      <c r="J318" s="16" t="s">
        <v>3352</v>
      </c>
      <c r="K318" s="53" t="s">
        <v>2117</v>
      </c>
      <c r="L318" s="53" t="s">
        <v>484</v>
      </c>
      <c r="M318" s="39" t="str">
        <f t="shared" si="1"/>
        <v>[https://cseweb.ucsd.edu/classes/wi09/cse223a/p145-maekawa.pdf Maekawa's algorithm (1985)]</v>
      </c>
      <c r="N318" s="39" t="s">
        <v>3353</v>
      </c>
      <c r="O318" s="81">
        <v>1985.0</v>
      </c>
      <c r="P318" s="28" t="s">
        <v>3354</v>
      </c>
      <c r="Q318" s="82"/>
      <c r="R318" s="82"/>
      <c r="S318" s="82"/>
      <c r="T318" s="81">
        <v>1.0</v>
      </c>
      <c r="U318" s="81">
        <v>0.0</v>
      </c>
      <c r="V318" s="89">
        <f>IFERROR(__xludf.DUMMYFUNCTION("INDEX(SPLIT(SUBSTITUTE(W318,CHAR(10), """"),"",:""), MATCH(Z318, SPLIT(SUBSTITUTE(W318,CHAR(10), """"),"",:""), 0) + 1)"),2.5)</f>
        <v>2.5</v>
      </c>
      <c r="W318" s="85" t="s">
        <v>3355</v>
      </c>
      <c r="X318" s="16" t="s">
        <v>3356</v>
      </c>
      <c r="Y318" s="53" t="s">
        <v>3341</v>
      </c>
      <c r="Z318" s="53" t="str">
        <f t="array" ref="Z318">INDEX(Problems!J:J, MATCH(1, (Problems!B:B=B318)*1, 0))</f>
        <v>n</v>
      </c>
      <c r="AA318" s="53"/>
      <c r="AB318" s="53"/>
      <c r="AC318" s="53"/>
      <c r="AD318" s="53" t="s">
        <v>3342</v>
      </c>
      <c r="AE318" s="85">
        <f>IFERROR(__xludf.DUMMYFUNCTION("INDEX(SPLIT(SUBSTITUTE(AF318,CHAR(10), """"),"",:""), MATCH(Z318, SPLIT(SUBSTITUTE(AF318,CHAR(10), """"),"",:""), 0) + 1)"),3.0)</f>
        <v>3</v>
      </c>
      <c r="AF318" s="85" t="s">
        <v>1763</v>
      </c>
      <c r="AG318" s="53" t="s">
        <v>3343</v>
      </c>
      <c r="AH318" s="91" t="s">
        <v>3344</v>
      </c>
      <c r="AI318" s="84">
        <v>0.0</v>
      </c>
      <c r="AJ318" s="84">
        <v>0.0</v>
      </c>
      <c r="AK318" s="87"/>
      <c r="AL318" s="81">
        <v>0.0</v>
      </c>
      <c r="AM318" s="87"/>
      <c r="AN318" s="81">
        <v>0.0</v>
      </c>
      <c r="AO318" s="90"/>
      <c r="AP318" s="81">
        <v>0.0</v>
      </c>
      <c r="AQ318" s="81">
        <v>0.0</v>
      </c>
      <c r="AR318" s="39"/>
      <c r="AS318" s="81">
        <v>0.0</v>
      </c>
      <c r="AT318" s="81">
        <v>0.0</v>
      </c>
      <c r="AU318" s="39"/>
      <c r="AV318" s="7" t="s">
        <v>3345</v>
      </c>
      <c r="AW318" s="82"/>
      <c r="AX318" s="82"/>
      <c r="AY318" s="7"/>
      <c r="AZ318" s="7"/>
      <c r="BA318" s="7"/>
      <c r="BB318" s="7"/>
      <c r="BC318" s="7"/>
      <c r="BD318" s="7"/>
      <c r="BE318" s="7"/>
      <c r="BF318" s="7">
        <f>POW(1000,0.5)</f>
        <v>31.6227766</v>
      </c>
      <c r="BG318" s="82">
        <f>BF$315/BF318</f>
        <v>31.6227766</v>
      </c>
      <c r="BH318" s="82">
        <f>POW(BG318,1/($O318-$O$315)) - 1</f>
        <v>0.3688745095</v>
      </c>
      <c r="BI318" s="7">
        <f>POW(1000000,0.5)</f>
        <v>1000</v>
      </c>
      <c r="BJ318" s="82">
        <f>BI$315/BI318</f>
        <v>1000</v>
      </c>
      <c r="BK318" s="82">
        <f>POW(BJ318,1/($O318-$O$315)) - 1</f>
        <v>0.8738174229</v>
      </c>
      <c r="BL318" s="7">
        <f>POW(1000000000,0.5)</f>
        <v>31622.7766</v>
      </c>
      <c r="BM318" s="82">
        <f>BL$315/BL318</f>
        <v>31622.7766</v>
      </c>
      <c r="BN318" s="82">
        <f>POW(BM318,1/($O318-$O$315)) - 1</f>
        <v>1.565020906</v>
      </c>
      <c r="BO318" s="7">
        <v>6.0</v>
      </c>
      <c r="BP318" s="82"/>
      <c r="BQ318" s="7"/>
      <c r="BR318" s="7" t="s">
        <v>490</v>
      </c>
    </row>
    <row r="319">
      <c r="A319" s="16">
        <v>30.0</v>
      </c>
      <c r="B319" s="16" t="s">
        <v>486</v>
      </c>
      <c r="C319" s="53">
        <v>1.0</v>
      </c>
      <c r="D319" s="53"/>
      <c r="E319" s="7">
        <v>302.0</v>
      </c>
      <c r="F319" s="53"/>
      <c r="G319" s="7"/>
      <c r="H319" s="16">
        <v>1.0</v>
      </c>
      <c r="I319" s="81">
        <v>1.0</v>
      </c>
      <c r="J319" s="21" t="s">
        <v>3357</v>
      </c>
      <c r="K319" s="53" t="s">
        <v>2117</v>
      </c>
      <c r="L319" s="53" t="s">
        <v>484</v>
      </c>
      <c r="M319" s="39" t="str">
        <f t="shared" si="1"/>
        <v>[https://dl.acm.org/doi/abs/10.1145/58564.59295 Raymond's algorithm (1997)]</v>
      </c>
      <c r="N319" s="39" t="s">
        <v>3358</v>
      </c>
      <c r="O319" s="81">
        <v>1997.0</v>
      </c>
      <c r="P319" s="49" t="s">
        <v>3359</v>
      </c>
      <c r="Q319" s="82"/>
      <c r="R319" s="82"/>
      <c r="S319" s="82"/>
      <c r="T319" s="81">
        <v>0.0</v>
      </c>
      <c r="U319" s="16">
        <v>0.0</v>
      </c>
      <c r="V319" s="89">
        <f>IFERROR(__xludf.DUMMYFUNCTION("INDEX(SPLIT(SUBSTITUTE(W319,CHAR(10), """"),"",:""), MATCH(Z319, SPLIT(SUBSTITUTE(W319,CHAR(10), """"),"",:""), 0) + 1)"),2.0)</f>
        <v>2</v>
      </c>
      <c r="W319" s="85" t="s">
        <v>1962</v>
      </c>
      <c r="X319" s="21" t="s">
        <v>3360</v>
      </c>
      <c r="Y319" s="53" t="s">
        <v>3341</v>
      </c>
      <c r="Z319" s="53" t="str">
        <f t="array" ref="Z319">INDEX(Problems!J:J, MATCH(1, (Problems!B:B=B319)*1, 0))</f>
        <v>n</v>
      </c>
      <c r="AA319" s="53"/>
      <c r="AB319" s="53"/>
      <c r="AC319" s="53"/>
      <c r="AD319" s="53" t="s">
        <v>3342</v>
      </c>
      <c r="AE319" s="85">
        <f>IFERROR(__xludf.DUMMYFUNCTION("INDEX(SPLIT(SUBSTITUTE(AF319,CHAR(10), """"),"",:""), MATCH(Z319, SPLIT(SUBSTITUTE(AF319,CHAR(10), """"),"",:""), 0) + 1)"),3.0)</f>
        <v>3</v>
      </c>
      <c r="AF319" s="85" t="s">
        <v>1763</v>
      </c>
      <c r="AG319" s="53" t="s">
        <v>3343</v>
      </c>
      <c r="AH319" s="91" t="s">
        <v>3344</v>
      </c>
      <c r="AI319" s="84">
        <v>0.0</v>
      </c>
      <c r="AJ319" s="84">
        <v>0.0</v>
      </c>
      <c r="AK319" s="87"/>
      <c r="AL319" s="81">
        <v>0.0</v>
      </c>
      <c r="AM319" s="87"/>
      <c r="AN319" s="81">
        <v>0.0</v>
      </c>
      <c r="AO319" s="90"/>
      <c r="AP319" s="81">
        <v>0.0</v>
      </c>
      <c r="AQ319" s="81">
        <v>0.0</v>
      </c>
      <c r="AR319" s="39"/>
      <c r="AS319" s="81">
        <v>0.0</v>
      </c>
      <c r="AT319" s="81">
        <v>0.0</v>
      </c>
      <c r="AU319" s="39"/>
      <c r="AV319" s="7" t="s">
        <v>3345</v>
      </c>
      <c r="AW319" s="82"/>
      <c r="AX319" s="82"/>
      <c r="AY319" s="7"/>
      <c r="AZ319" s="7"/>
      <c r="BA319" s="7"/>
      <c r="BB319" s="7"/>
      <c r="BC319" s="7"/>
      <c r="BD319" s="7"/>
      <c r="BE319" s="7"/>
      <c r="BF319" s="7">
        <v>1000.0</v>
      </c>
      <c r="BG319" s="82">
        <f t="shared" ref="BG319:BG320" si="47">1000/BF319</f>
        <v>1</v>
      </c>
      <c r="BH319" s="82"/>
      <c r="BI319" s="82"/>
      <c r="BJ319" s="82"/>
      <c r="BK319" s="82"/>
      <c r="BL319" s="82"/>
      <c r="BM319" s="82"/>
      <c r="BN319" s="7"/>
      <c r="BO319" s="7">
        <v>6.0</v>
      </c>
      <c r="BP319" s="82"/>
      <c r="BQ319" s="7"/>
      <c r="BR319" s="7" t="s">
        <v>490</v>
      </c>
    </row>
    <row r="320">
      <c r="A320" s="16">
        <v>30.0</v>
      </c>
      <c r="B320" s="16" t="s">
        <v>486</v>
      </c>
      <c r="C320" s="53">
        <v>1.0</v>
      </c>
      <c r="D320" s="53"/>
      <c r="E320" s="7">
        <v>304.0</v>
      </c>
      <c r="F320" s="53"/>
      <c r="G320" s="7"/>
      <c r="H320" s="16">
        <v>1.0</v>
      </c>
      <c r="I320" s="81">
        <v>1.0</v>
      </c>
      <c r="J320" s="21" t="s">
        <v>3361</v>
      </c>
      <c r="K320" s="53" t="s">
        <v>2117</v>
      </c>
      <c r="L320" s="53" t="s">
        <v>484</v>
      </c>
      <c r="M320" s="39" t="str">
        <f t="shared" si="1"/>
        <v>[https://cse.iitkgp.ac.in/~agupta/distsys/Mutex-SuzukiKasami.pdf Suzuki-Kasami's algorithm (1985)]</v>
      </c>
      <c r="N320" s="39" t="s">
        <v>3362</v>
      </c>
      <c r="O320" s="81">
        <v>1985.0</v>
      </c>
      <c r="P320" s="28" t="s">
        <v>3363</v>
      </c>
      <c r="Q320" s="7">
        <v>2.0</v>
      </c>
      <c r="R320" s="7">
        <v>1.0</v>
      </c>
      <c r="S320" s="82"/>
      <c r="T320" s="81">
        <v>1.0</v>
      </c>
      <c r="U320" s="39" t="s">
        <v>3364</v>
      </c>
      <c r="V320" s="89">
        <f>IFERROR(__xludf.DUMMYFUNCTION("INDEX(SPLIT(SUBSTITUTE(W320,CHAR(10), """"),"",:""), MATCH(Z320, SPLIT(SUBSTITUTE(W320,CHAR(10), """"),"",:""), 0) + 1)"),3.0)</f>
        <v>3</v>
      </c>
      <c r="W320" s="85" t="s">
        <v>1763</v>
      </c>
      <c r="X320" s="21" t="s">
        <v>3361</v>
      </c>
      <c r="Y320" s="53" t="s">
        <v>3341</v>
      </c>
      <c r="Z320" s="53" t="str">
        <f t="array" ref="Z320">INDEX(Problems!J:J, MATCH(1, (Problems!B:B=B320)*1, 0))</f>
        <v>n</v>
      </c>
      <c r="AA320" s="53"/>
      <c r="AB320" s="53"/>
      <c r="AC320" s="53"/>
      <c r="AD320" s="53" t="s">
        <v>3342</v>
      </c>
      <c r="AE320" s="85">
        <f>IFERROR(__xludf.DUMMYFUNCTION("INDEX(SPLIT(SUBSTITUTE(AF320,CHAR(10), """"),"",:""), MATCH(Z320, SPLIT(SUBSTITUTE(AF320,CHAR(10), """"),"",:""), 0) + 1)"),3.0)</f>
        <v>3</v>
      </c>
      <c r="AF320" s="85" t="s">
        <v>1763</v>
      </c>
      <c r="AG320" s="53" t="s">
        <v>3343</v>
      </c>
      <c r="AH320" s="91" t="s">
        <v>3344</v>
      </c>
      <c r="AI320" s="84">
        <v>0.0</v>
      </c>
      <c r="AJ320" s="84">
        <v>0.0</v>
      </c>
      <c r="AK320" s="87"/>
      <c r="AL320" s="81">
        <v>0.0</v>
      </c>
      <c r="AM320" s="87"/>
      <c r="AN320" s="81">
        <v>0.0</v>
      </c>
      <c r="AO320" s="90"/>
      <c r="AP320" s="81">
        <v>0.0</v>
      </c>
      <c r="AQ320" s="81">
        <v>0.0</v>
      </c>
      <c r="AR320" s="39"/>
      <c r="AS320" s="81">
        <v>0.0</v>
      </c>
      <c r="AT320" s="81">
        <v>0.0</v>
      </c>
      <c r="AU320" s="39"/>
      <c r="AV320" s="7" t="s">
        <v>3345</v>
      </c>
      <c r="AW320" s="82"/>
      <c r="AX320" s="82"/>
      <c r="AY320" s="7"/>
      <c r="AZ320" s="7"/>
      <c r="BA320" s="7"/>
      <c r="BB320" s="7"/>
      <c r="BC320" s="7"/>
      <c r="BD320" s="7"/>
      <c r="BE320" s="7"/>
      <c r="BF320" s="7">
        <v>9.965</v>
      </c>
      <c r="BG320" s="82">
        <f t="shared" si="47"/>
        <v>100.3512293</v>
      </c>
      <c r="BH320" s="82"/>
      <c r="BI320" s="82">
        <f>LOG(1000000,2)</f>
        <v>19.93156857</v>
      </c>
      <c r="BJ320" s="82">
        <f>BI312/BI320</f>
        <v>0</v>
      </c>
      <c r="BK320" s="82"/>
      <c r="BL320" s="82">
        <f>LOG(1000000000,2)</f>
        <v>29.89735285</v>
      </c>
      <c r="BM320" s="82">
        <f>BL312/BL320</f>
        <v>0</v>
      </c>
      <c r="BN320" s="7"/>
      <c r="BO320" s="7">
        <v>6.0</v>
      </c>
      <c r="BP320" s="82"/>
      <c r="BQ320" s="7"/>
      <c r="BR320" s="7" t="s">
        <v>490</v>
      </c>
    </row>
    <row r="321">
      <c r="A321" s="16">
        <v>45.0</v>
      </c>
      <c r="B321" s="16" t="s">
        <v>597</v>
      </c>
      <c r="C321" s="53">
        <v>1.0</v>
      </c>
      <c r="D321" s="53"/>
      <c r="E321" s="7">
        <v>385.0</v>
      </c>
      <c r="F321" s="53"/>
      <c r="G321" s="7">
        <v>0.0</v>
      </c>
      <c r="H321" s="16">
        <v>0.0</v>
      </c>
      <c r="I321" s="16">
        <v>1.0</v>
      </c>
      <c r="J321" s="21" t="s">
        <v>3365</v>
      </c>
      <c r="K321" s="120" t="s">
        <v>3366</v>
      </c>
      <c r="L321" s="104" t="s">
        <v>3367</v>
      </c>
      <c r="M321" s="39" t="str">
        <f t="shared" si="1"/>
        <v>[https://www.cs.drexel.edu/~david/Classes/Papers/p443-newell.pdf Painter's algorithm/Newell's algorithm (1972)]</v>
      </c>
      <c r="N321" s="16" t="s">
        <v>3368</v>
      </c>
      <c r="O321" s="83">
        <v>1972.0</v>
      </c>
      <c r="P321" s="25" t="s">
        <v>600</v>
      </c>
      <c r="Q321" s="82"/>
      <c r="R321" s="82"/>
      <c r="S321" s="82"/>
      <c r="T321" s="16">
        <v>0.0</v>
      </c>
      <c r="U321" s="16">
        <v>0.0</v>
      </c>
      <c r="V321" s="89">
        <f>IFERROR(__xludf.DUMMYFUNCTION("INDEX(SPLIT(SUBSTITUTE(W321,CHAR(10), """"),"",:""), MATCH(Z321, SPLIT(SUBSTITUTE(W321,CHAR(10), """"),"",:""), 0) + 1)"),4.0)</f>
        <v>4</v>
      </c>
      <c r="W321" s="85" t="s">
        <v>3369</v>
      </c>
      <c r="X321" s="21" t="s">
        <v>3365</v>
      </c>
      <c r="Y321" s="53" t="s">
        <v>3370</v>
      </c>
      <c r="Z321" s="53" t="str">
        <f t="array" ref="Z321">INDEX(Problems!J:J, MATCH(1, (Problems!B:B=B321)*1, 0))</f>
        <v>n</v>
      </c>
      <c r="AA321" s="53"/>
      <c r="AB321" s="53"/>
      <c r="AC321" s="53" t="s">
        <v>2337</v>
      </c>
      <c r="AD321" s="53" t="s">
        <v>2487</v>
      </c>
      <c r="AE321" s="85">
        <f>IFERROR(__xludf.DUMMYFUNCTION("INDEX(SPLIT(SUBSTITUTE(AF321,CHAR(10), """"),"",:""), MATCH(Z321, SPLIT(SUBSTITUTE(AF321,CHAR(10), """"),"",:""), 0) + 1)"),3.0)</f>
        <v>3</v>
      </c>
      <c r="AF321" s="85" t="s">
        <v>2319</v>
      </c>
      <c r="AG321" s="53" t="s">
        <v>3371</v>
      </c>
      <c r="AH321" s="53" t="s">
        <v>1956</v>
      </c>
      <c r="AI321" s="84">
        <v>1.0</v>
      </c>
      <c r="AJ321" s="84">
        <v>0.0</v>
      </c>
      <c r="AK321" s="87"/>
      <c r="AL321" s="81">
        <v>0.0</v>
      </c>
      <c r="AM321" s="21"/>
      <c r="AN321" s="16">
        <v>0.0</v>
      </c>
      <c r="AO321" s="90"/>
      <c r="AP321" s="16">
        <v>0.0</v>
      </c>
      <c r="AQ321" s="16">
        <v>0.0</v>
      </c>
      <c r="AR321" s="39"/>
      <c r="AS321" s="81">
        <v>0.0</v>
      </c>
      <c r="AT321" s="81">
        <v>0.0</v>
      </c>
      <c r="AU321" s="82"/>
      <c r="AV321" s="82"/>
      <c r="AW321" s="82"/>
      <c r="AX321" s="82"/>
      <c r="AY321" s="7"/>
      <c r="AZ321" s="7"/>
      <c r="BA321" s="7"/>
      <c r="BB321" s="7"/>
      <c r="BC321" s="7"/>
      <c r="BD321" s="7"/>
      <c r="BE321" s="7"/>
      <c r="BF321" s="7">
        <v>1000000.0</v>
      </c>
      <c r="BG321" s="82"/>
      <c r="BH321" s="82"/>
      <c r="BI321" s="82"/>
      <c r="BJ321" s="82"/>
      <c r="BK321" s="82"/>
      <c r="BL321" s="82"/>
      <c r="BM321" s="82"/>
      <c r="BN321" s="7"/>
      <c r="BO321" s="7">
        <v>4.0</v>
      </c>
      <c r="BP321" s="82"/>
      <c r="BQ321" s="7"/>
      <c r="BR321" s="7" t="s">
        <v>196</v>
      </c>
    </row>
    <row r="322">
      <c r="A322" s="16">
        <v>45.0</v>
      </c>
      <c r="B322" s="16" t="s">
        <v>597</v>
      </c>
      <c r="C322" s="53">
        <v>1.0</v>
      </c>
      <c r="D322" s="53"/>
      <c r="E322" s="7">
        <v>386.0</v>
      </c>
      <c r="F322" s="53"/>
      <c r="G322" s="7">
        <v>0.0</v>
      </c>
      <c r="H322" s="16">
        <v>0.0</v>
      </c>
      <c r="I322" s="16">
        <v>1.0</v>
      </c>
      <c r="J322" s="21" t="s">
        <v>458</v>
      </c>
      <c r="K322" s="53" t="s">
        <v>2117</v>
      </c>
      <c r="L322" s="53" t="s">
        <v>484</v>
      </c>
      <c r="M322" s="39" t="str">
        <f t="shared" si="1"/>
        <v>[https://dl.acm.org/doi/book/10.5555/905316?dl=ACM Warnock's algorithm (1969)]</v>
      </c>
      <c r="N322" s="39" t="s">
        <v>3372</v>
      </c>
      <c r="O322" s="81">
        <v>1969.0</v>
      </c>
      <c r="P322" s="25" t="s">
        <v>3373</v>
      </c>
      <c r="Q322" s="82"/>
      <c r="R322" s="82"/>
      <c r="S322" s="82"/>
      <c r="T322" s="16">
        <v>1.0</v>
      </c>
      <c r="U322" s="16">
        <v>0.0</v>
      </c>
      <c r="V322" s="89">
        <f>IFERROR(__xludf.DUMMYFUNCTION("INDEX(SPLIT(SUBSTITUTE(W322,CHAR(10), """"),"",:""), MATCH(Z322, SPLIT(SUBSTITUTE(W322,CHAR(10), """"),"",:""), 0) + 1)"),3.0)</f>
        <v>3</v>
      </c>
      <c r="W322" s="85" t="s">
        <v>2319</v>
      </c>
      <c r="X322" s="21" t="s">
        <v>458</v>
      </c>
      <c r="Y322" s="53" t="s">
        <v>3370</v>
      </c>
      <c r="Z322" s="53" t="str">
        <f t="array" ref="Z322">INDEX(Problems!J:J, MATCH(1, (Problems!B:B=B322)*1, 0))</f>
        <v>n</v>
      </c>
      <c r="AA322" s="53"/>
      <c r="AB322" s="53"/>
      <c r="AC322" s="53" t="s">
        <v>2337</v>
      </c>
      <c r="AD322" s="53" t="s">
        <v>2487</v>
      </c>
      <c r="AE322" s="85">
        <f>IFERROR(__xludf.DUMMYFUNCTION("INDEX(SPLIT(SUBSTITUTE(AF322,CHAR(10), """"),"",:""), MATCH(Z322, SPLIT(SUBSTITUTE(AF322,CHAR(10), """"),"",:""), 0) + 1)"),3.0)</f>
        <v>3</v>
      </c>
      <c r="AF322" s="85" t="s">
        <v>2319</v>
      </c>
      <c r="AG322" s="53" t="s">
        <v>3374</v>
      </c>
      <c r="AH322" s="53" t="s">
        <v>2725</v>
      </c>
      <c r="AI322" s="84">
        <v>1.0</v>
      </c>
      <c r="AJ322" s="84">
        <v>0.0</v>
      </c>
      <c r="AK322" s="87"/>
      <c r="AL322" s="81">
        <v>0.0</v>
      </c>
      <c r="AM322" s="21"/>
      <c r="AN322" s="16">
        <v>0.0</v>
      </c>
      <c r="AO322" s="90"/>
      <c r="AP322" s="16">
        <v>0.0</v>
      </c>
      <c r="AQ322" s="16">
        <v>0.0</v>
      </c>
      <c r="AR322" s="39"/>
      <c r="AS322" s="81">
        <v>0.0</v>
      </c>
      <c r="AT322" s="81">
        <v>0.0</v>
      </c>
      <c r="AU322" s="82"/>
      <c r="AV322" s="82"/>
      <c r="AW322" s="82"/>
      <c r="AX322" s="82"/>
      <c r="AY322" s="7"/>
      <c r="AZ322" s="7"/>
      <c r="BA322" s="7"/>
      <c r="BB322" s="7"/>
      <c r="BC322" s="7"/>
      <c r="BD322" s="7"/>
      <c r="BE322" s="7"/>
      <c r="BF322" s="7">
        <v>1000000.0</v>
      </c>
      <c r="BG322" s="82"/>
      <c r="BH322" s="82"/>
      <c r="BI322" s="82"/>
      <c r="BJ322" s="82"/>
      <c r="BK322" s="82"/>
      <c r="BL322" s="82"/>
      <c r="BM322" s="82"/>
      <c r="BN322" s="7"/>
      <c r="BO322" s="7">
        <v>4.0</v>
      </c>
      <c r="BP322" s="82"/>
      <c r="BQ322" s="7"/>
      <c r="BR322" s="7" t="s">
        <v>196</v>
      </c>
    </row>
    <row r="323">
      <c r="A323" s="16">
        <v>45.0</v>
      </c>
      <c r="B323" s="16" t="s">
        <v>597</v>
      </c>
      <c r="C323" s="53">
        <v>1.0</v>
      </c>
      <c r="D323" s="53"/>
      <c r="E323" s="7">
        <v>387.0</v>
      </c>
      <c r="F323" s="53"/>
      <c r="G323" s="7">
        <v>0.0</v>
      </c>
      <c r="H323" s="16">
        <v>0.0</v>
      </c>
      <c r="I323" s="16">
        <v>1.0</v>
      </c>
      <c r="J323" s="21" t="s">
        <v>458</v>
      </c>
      <c r="K323" s="53" t="s">
        <v>2117</v>
      </c>
      <c r="L323" s="53" t="s">
        <v>484</v>
      </c>
      <c r="M323" s="39" t="str">
        <f t="shared" si="1"/>
        <v>[ Ray tracing (1982)]</v>
      </c>
      <c r="N323" s="39" t="s">
        <v>3375</v>
      </c>
      <c r="O323" s="81">
        <v>1982.0</v>
      </c>
      <c r="P323" s="39"/>
      <c r="Q323" s="82"/>
      <c r="R323" s="82"/>
      <c r="S323" s="82"/>
      <c r="T323" s="16">
        <v>0.0</v>
      </c>
      <c r="U323" s="16">
        <v>0.0</v>
      </c>
      <c r="V323" s="89">
        <f>IFERROR(__xludf.DUMMYFUNCTION("INDEX(SPLIT(SUBSTITUTE(W323,CHAR(10), """"),"",:""), MATCH(Z323, SPLIT(SUBSTITUTE(W323,CHAR(10), """"),"",:""), 0) + 1)"),3.0)</f>
        <v>3</v>
      </c>
      <c r="W323" s="85" t="s">
        <v>2319</v>
      </c>
      <c r="X323" s="21" t="s">
        <v>458</v>
      </c>
      <c r="Y323" s="53" t="s">
        <v>3370</v>
      </c>
      <c r="Z323" s="53" t="str">
        <f t="array" ref="Z323">INDEX(Problems!J:J, MATCH(1, (Problems!B:B=B323)*1, 0))</f>
        <v>n</v>
      </c>
      <c r="AA323" s="53"/>
      <c r="AB323" s="53"/>
      <c r="AC323" s="53" t="s">
        <v>2337</v>
      </c>
      <c r="AD323" s="53" t="s">
        <v>2487</v>
      </c>
      <c r="AE323" s="85">
        <f>IFERROR(__xludf.DUMMYFUNCTION("INDEX(SPLIT(SUBSTITUTE(AF323,CHAR(10), """"),"",:""), MATCH(Z323, SPLIT(SUBSTITUTE(AF323,CHAR(10), """"),"",:""), 0) + 1)"),3.0)</f>
        <v>3</v>
      </c>
      <c r="AF323" s="85" t="s">
        <v>2319</v>
      </c>
      <c r="AG323" s="53" t="s">
        <v>3374</v>
      </c>
      <c r="AH323" s="53" t="s">
        <v>2725</v>
      </c>
      <c r="AI323" s="84">
        <v>1.0</v>
      </c>
      <c r="AJ323" s="84">
        <v>0.0</v>
      </c>
      <c r="AK323" s="87"/>
      <c r="AL323" s="81">
        <v>0.0</v>
      </c>
      <c r="AM323" s="21"/>
      <c r="AN323" s="16">
        <v>0.0</v>
      </c>
      <c r="AO323" s="90"/>
      <c r="AP323" s="16">
        <v>0.0</v>
      </c>
      <c r="AQ323" s="16">
        <v>0.0</v>
      </c>
      <c r="AR323" s="39"/>
      <c r="AS323" s="81">
        <v>0.0</v>
      </c>
      <c r="AT323" s="81">
        <v>0.0</v>
      </c>
      <c r="AU323" s="82"/>
      <c r="AV323" s="82"/>
      <c r="AW323" s="82"/>
      <c r="AX323" s="82"/>
      <c r="AY323" s="7"/>
      <c r="AZ323" s="7"/>
      <c r="BA323" s="7"/>
      <c r="BB323" s="7"/>
      <c r="BC323" s="7"/>
      <c r="BD323" s="7"/>
      <c r="BE323" s="7"/>
      <c r="BF323" s="7">
        <v>1000000.0</v>
      </c>
      <c r="BG323" s="82"/>
      <c r="BH323" s="82"/>
      <c r="BI323" s="82"/>
      <c r="BJ323" s="82"/>
      <c r="BK323" s="82"/>
      <c r="BL323" s="82"/>
      <c r="BM323" s="82"/>
      <c r="BN323" s="7"/>
      <c r="BO323" s="7">
        <v>4.0</v>
      </c>
      <c r="BP323" s="82"/>
      <c r="BQ323" s="7"/>
      <c r="BR323" s="7" t="s">
        <v>196</v>
      </c>
    </row>
    <row r="324">
      <c r="A324" s="16">
        <v>45.0</v>
      </c>
      <c r="B324" s="16" t="s">
        <v>597</v>
      </c>
      <c r="C324" s="53">
        <v>1.0</v>
      </c>
      <c r="D324" s="53"/>
      <c r="E324" s="7">
        <v>388.0</v>
      </c>
      <c r="F324" s="53"/>
      <c r="G324" s="7">
        <v>0.0</v>
      </c>
      <c r="H324" s="16">
        <v>0.0</v>
      </c>
      <c r="I324" s="16">
        <v>1.0</v>
      </c>
      <c r="J324" s="21" t="s">
        <v>3376</v>
      </c>
      <c r="K324" s="53" t="s">
        <v>2117</v>
      </c>
      <c r="L324" s="53" t="s">
        <v>484</v>
      </c>
      <c r="M324" s="39" t="str">
        <f t="shared" si="1"/>
        <v>[https://apps.dtic.mil/dtic/tr/fulltext/u2/700375.pdf Binary space partitioning (BSP) (1969)]</v>
      </c>
      <c r="N324" s="39" t="s">
        <v>3377</v>
      </c>
      <c r="O324" s="81">
        <v>1969.0</v>
      </c>
      <c r="P324" s="25" t="s">
        <v>3378</v>
      </c>
      <c r="Q324" s="82"/>
      <c r="R324" s="82"/>
      <c r="S324" s="82"/>
      <c r="T324" s="16">
        <v>1.0</v>
      </c>
      <c r="U324" s="16">
        <v>0.0</v>
      </c>
      <c r="V324" s="89">
        <f>IFERROR(__xludf.DUMMYFUNCTION("INDEX(SPLIT(SUBSTITUTE(W324,CHAR(10), """"),"",:""), MATCH(Z324, SPLIT(SUBSTITUTE(W324,CHAR(10), """"),"",:""), 0) + 1)"),5.0)</f>
        <v>5</v>
      </c>
      <c r="W324" s="85" t="s">
        <v>3379</v>
      </c>
      <c r="X324" s="21" t="s">
        <v>3376</v>
      </c>
      <c r="Y324" s="53" t="s">
        <v>3370</v>
      </c>
      <c r="Z324" s="53" t="str">
        <f t="array" ref="Z324">INDEX(Problems!J:J, MATCH(1, (Problems!B:B=B324)*1, 0))</f>
        <v>n</v>
      </c>
      <c r="AA324" s="53"/>
      <c r="AB324" s="53"/>
      <c r="AC324" s="53" t="s">
        <v>2337</v>
      </c>
      <c r="AD324" s="53" t="s">
        <v>2487</v>
      </c>
      <c r="AE324" s="85">
        <f>IFERROR(__xludf.DUMMYFUNCTION("INDEX(SPLIT(SUBSTITUTE(AF324,CHAR(10), """"),"",:""), MATCH(Z324, SPLIT(SUBSTITUTE(AF324,CHAR(10), """"),"",:""), 0) + 1)"),5.0)</f>
        <v>5</v>
      </c>
      <c r="AF324" s="85" t="s">
        <v>3379</v>
      </c>
      <c r="AG324" s="53" t="s">
        <v>3380</v>
      </c>
      <c r="AH324" s="53" t="s">
        <v>2725</v>
      </c>
      <c r="AI324" s="84">
        <v>1.0</v>
      </c>
      <c r="AJ324" s="84">
        <v>0.0</v>
      </c>
      <c r="AK324" s="87"/>
      <c r="AL324" s="81">
        <v>0.0</v>
      </c>
      <c r="AM324" s="21"/>
      <c r="AN324" s="16">
        <v>0.0</v>
      </c>
      <c r="AO324" s="90"/>
      <c r="AP324" s="16">
        <v>0.0</v>
      </c>
      <c r="AQ324" s="16">
        <v>0.0</v>
      </c>
      <c r="AR324" s="39"/>
      <c r="AS324" s="81">
        <v>0.0</v>
      </c>
      <c r="AT324" s="81">
        <v>0.0</v>
      </c>
      <c r="AU324" s="86" t="s">
        <v>3381</v>
      </c>
      <c r="AV324" s="82"/>
      <c r="AW324" s="82"/>
      <c r="AX324" s="82"/>
      <c r="AY324" s="7"/>
      <c r="AZ324" s="82"/>
      <c r="BA324" s="82"/>
      <c r="BB324" s="82"/>
      <c r="BC324" s="82"/>
      <c r="BD324" s="82"/>
      <c r="BE324" s="82"/>
      <c r="BF324" s="82"/>
      <c r="BG324" s="82"/>
      <c r="BH324" s="82"/>
      <c r="BI324" s="82"/>
      <c r="BJ324" s="82"/>
      <c r="BK324" s="82"/>
      <c r="BL324" s="82"/>
      <c r="BM324" s="82"/>
      <c r="BN324" s="7"/>
      <c r="BO324" s="7">
        <v>4.0</v>
      </c>
      <c r="BP324" s="82"/>
      <c r="BQ324" s="7"/>
      <c r="BR324" s="7" t="s">
        <v>196</v>
      </c>
    </row>
    <row r="325">
      <c r="A325" s="16">
        <v>45.0</v>
      </c>
      <c r="B325" s="16" t="s">
        <v>597</v>
      </c>
      <c r="C325" s="53">
        <v>1.0</v>
      </c>
      <c r="D325" s="53"/>
      <c r="E325" s="7">
        <v>389.0</v>
      </c>
      <c r="F325" s="53"/>
      <c r="G325" s="7">
        <v>0.0</v>
      </c>
      <c r="H325" s="16">
        <v>0.0</v>
      </c>
      <c r="I325" s="16">
        <v>1.0</v>
      </c>
      <c r="J325" s="21" t="s">
        <v>458</v>
      </c>
      <c r="K325" s="53" t="s">
        <v>2117</v>
      </c>
      <c r="L325" s="53" t="s">
        <v>484</v>
      </c>
      <c r="M325" s="39" t="str">
        <f t="shared" si="1"/>
        <v>[http://isgwww.cs.uni-magdeburg.de/graphics/misc/Wolfgang_Stra%C3%9Fer_Schnelle_Kurven-_und_Flaechendarstellung_auf_grafischen_Sichtgeraeten.pdf Z-buffering (1974)]</v>
      </c>
      <c r="N325" s="39" t="s">
        <v>3382</v>
      </c>
      <c r="O325" s="81">
        <v>1974.0</v>
      </c>
      <c r="P325" s="25" t="s">
        <v>3383</v>
      </c>
      <c r="Q325" s="82"/>
      <c r="R325" s="82"/>
      <c r="S325" s="82"/>
      <c r="T325" s="16">
        <v>1.0</v>
      </c>
      <c r="U325" s="16" t="s">
        <v>1983</v>
      </c>
      <c r="V325" s="89">
        <f>IFERROR(__xludf.DUMMYFUNCTION("INDEX(SPLIT(SUBSTITUTE(W325,CHAR(10), """"),"",:""), MATCH(Z325, SPLIT(SUBSTITUTE(W325,CHAR(10), """"),"",:""), 0) + 1)"),3.0)</f>
        <v>3</v>
      </c>
      <c r="W325" s="85" t="s">
        <v>2319</v>
      </c>
      <c r="X325" s="21" t="s">
        <v>458</v>
      </c>
      <c r="Y325" s="53" t="s">
        <v>3370</v>
      </c>
      <c r="Z325" s="53" t="str">
        <f t="array" ref="Z325">INDEX(Problems!J:J, MATCH(1, (Problems!B:B=B325)*1, 0))</f>
        <v>n</v>
      </c>
      <c r="AA325" s="53"/>
      <c r="AB325" s="53"/>
      <c r="AC325" s="53" t="s">
        <v>2337</v>
      </c>
      <c r="AD325" s="53" t="s">
        <v>2487</v>
      </c>
      <c r="AE325" s="85">
        <f>IFERROR(__xludf.DUMMYFUNCTION("INDEX(SPLIT(SUBSTITUTE(AF325,CHAR(10), """"),"",:""), MATCH(Z325, SPLIT(SUBSTITUTE(AF325,CHAR(10), """"),"",:""), 0) + 1)"),3.0)</f>
        <v>3</v>
      </c>
      <c r="AF325" s="85" t="s">
        <v>2319</v>
      </c>
      <c r="AG325" s="53" t="s">
        <v>3371</v>
      </c>
      <c r="AH325" s="91" t="s">
        <v>3384</v>
      </c>
      <c r="AI325" s="84">
        <v>0.0</v>
      </c>
      <c r="AJ325" s="84">
        <v>0.0</v>
      </c>
      <c r="AK325" s="87"/>
      <c r="AL325" s="81">
        <v>0.0</v>
      </c>
      <c r="AM325" s="21"/>
      <c r="AN325" s="16">
        <v>0.0</v>
      </c>
      <c r="AO325" s="90"/>
      <c r="AP325" s="16">
        <v>0.0</v>
      </c>
      <c r="AQ325" s="16">
        <v>0.0</v>
      </c>
      <c r="AR325" s="39"/>
      <c r="AS325" s="81">
        <v>0.0</v>
      </c>
      <c r="AT325" s="81">
        <v>0.0</v>
      </c>
      <c r="AU325" s="82"/>
      <c r="AV325" s="82"/>
      <c r="AW325" s="82"/>
      <c r="AX325" s="82"/>
      <c r="AY325" s="7"/>
      <c r="AZ325" s="7"/>
      <c r="BA325" s="7"/>
      <c r="BB325" s="7"/>
      <c r="BC325" s="7"/>
      <c r="BD325" s="7"/>
      <c r="BE325" s="7"/>
      <c r="BF325" s="7">
        <v>1000.0</v>
      </c>
      <c r="BG325" s="82"/>
      <c r="BH325" s="82"/>
      <c r="BI325" s="82"/>
      <c r="BJ325" s="82"/>
      <c r="BK325" s="82"/>
      <c r="BL325" s="82"/>
      <c r="BM325" s="82"/>
      <c r="BN325" s="7"/>
      <c r="BO325" s="7">
        <v>4.0</v>
      </c>
      <c r="BP325" s="82"/>
      <c r="BQ325" s="7"/>
      <c r="BR325" s="7" t="s">
        <v>196</v>
      </c>
    </row>
    <row r="326">
      <c r="A326" s="16">
        <v>45.0</v>
      </c>
      <c r="B326" s="16" t="s">
        <v>597</v>
      </c>
      <c r="C326" s="53">
        <v>1.0</v>
      </c>
      <c r="D326" s="53"/>
      <c r="E326" s="7">
        <v>390.0</v>
      </c>
      <c r="F326" s="53"/>
      <c r="G326" s="7">
        <v>0.0</v>
      </c>
      <c r="H326" s="16">
        <v>0.0</v>
      </c>
      <c r="I326" s="16">
        <v>1.0</v>
      </c>
      <c r="J326" s="21" t="s">
        <v>3385</v>
      </c>
      <c r="K326" s="53" t="s">
        <v>2117</v>
      </c>
      <c r="L326" s="53" t="s">
        <v>484</v>
      </c>
      <c r="M326" s="39" t="str">
        <f t="shared" si="1"/>
        <v>[ S-buffer/Scanline Rendering (1980)]</v>
      </c>
      <c r="N326" s="21" t="s">
        <v>3386</v>
      </c>
      <c r="O326" s="81">
        <v>1980.0</v>
      </c>
      <c r="P326" s="39"/>
      <c r="Q326" s="82"/>
      <c r="R326" s="82"/>
      <c r="S326" s="82"/>
      <c r="T326" s="16">
        <v>0.0</v>
      </c>
      <c r="U326" s="16">
        <v>0.0</v>
      </c>
      <c r="V326" s="89">
        <f>IFERROR(__xludf.DUMMYFUNCTION("INDEX(SPLIT(SUBSTITUTE(W326,CHAR(10), """"),"",:""), MATCH(Z326, SPLIT(SUBSTITUTE(W326,CHAR(10), """"),"",:""), 0) + 1)"),3.0)</f>
        <v>3</v>
      </c>
      <c r="W326" s="85" t="s">
        <v>3387</v>
      </c>
      <c r="X326" s="21" t="s">
        <v>3385</v>
      </c>
      <c r="Y326" s="53" t="s">
        <v>3388</v>
      </c>
      <c r="Z326" s="53" t="str">
        <f t="array" ref="Z326">INDEX(Problems!J:J, MATCH(1, (Problems!B:B=B326)*1, 0))</f>
        <v>n</v>
      </c>
      <c r="AA326" s="53"/>
      <c r="AB326" s="53"/>
      <c r="AC326" s="53" t="s">
        <v>2337</v>
      </c>
      <c r="AD326" s="53" t="s">
        <v>2487</v>
      </c>
      <c r="AE326" s="85">
        <f>IFERROR(__xludf.DUMMYFUNCTION("INDEX(SPLIT(SUBSTITUTE(AF326,CHAR(10), """"),"",:""), MATCH(Z326, SPLIT(SUBSTITUTE(AF326,CHAR(10), """"),"",:""), 0) + 1)"),3.0)</f>
        <v>3</v>
      </c>
      <c r="AF326" s="85" t="s">
        <v>2319</v>
      </c>
      <c r="AG326" s="53" t="s">
        <v>3374</v>
      </c>
      <c r="AH326" s="53" t="s">
        <v>2725</v>
      </c>
      <c r="AI326" s="84">
        <v>1.0</v>
      </c>
      <c r="AJ326" s="84">
        <v>0.0</v>
      </c>
      <c r="AK326" s="87"/>
      <c r="AL326" s="81">
        <v>0.0</v>
      </c>
      <c r="AM326" s="21"/>
      <c r="AN326" s="16">
        <v>0.0</v>
      </c>
      <c r="AO326" s="90"/>
      <c r="AP326" s="16">
        <v>0.0</v>
      </c>
      <c r="AQ326" s="16">
        <v>0.0</v>
      </c>
      <c r="AR326" s="39"/>
      <c r="AS326" s="81">
        <v>0.0</v>
      </c>
      <c r="AT326" s="81">
        <v>0.0</v>
      </c>
      <c r="AU326" s="91" t="s">
        <v>3389</v>
      </c>
      <c r="AV326" s="82"/>
      <c r="AW326" s="82"/>
      <c r="AX326" s="82"/>
      <c r="AY326" s="7"/>
      <c r="AZ326" s="7"/>
      <c r="BA326" s="7"/>
      <c r="BB326" s="7"/>
      <c r="BC326" s="7"/>
      <c r="BD326" s="7"/>
      <c r="BE326" s="7"/>
      <c r="BF326" s="7">
        <v>1000.0</v>
      </c>
      <c r="BG326" s="82"/>
      <c r="BH326" s="82"/>
      <c r="BI326" s="82"/>
      <c r="BJ326" s="82"/>
      <c r="BK326" s="82"/>
      <c r="BL326" s="82"/>
      <c r="BM326" s="82"/>
      <c r="BN326" s="7"/>
      <c r="BO326" s="7">
        <v>4.0</v>
      </c>
      <c r="BP326" s="82"/>
      <c r="BQ326" s="7"/>
      <c r="BR326" s="7" t="s">
        <v>196</v>
      </c>
    </row>
    <row r="327">
      <c r="A327" s="16">
        <v>47.0</v>
      </c>
      <c r="B327" s="16" t="s">
        <v>607</v>
      </c>
      <c r="C327" s="53">
        <v>2.0</v>
      </c>
      <c r="D327" s="53" t="s">
        <v>617</v>
      </c>
      <c r="E327" s="7">
        <v>397.0</v>
      </c>
      <c r="F327" s="53"/>
      <c r="G327" s="7">
        <v>0.0</v>
      </c>
      <c r="H327" s="16">
        <v>1.0</v>
      </c>
      <c r="I327" s="16">
        <v>1.0</v>
      </c>
      <c r="J327" s="39" t="s">
        <v>115</v>
      </c>
      <c r="K327" s="53"/>
      <c r="L327" s="53"/>
      <c r="M327" s="39" t="str">
        <f t="shared" si="1"/>
        <v>[https://onlinelibrary.wiley.com/doi/pdf/10.1002/zamm.19290090105?casa_token=xSwK6PkV010AAAAA:j_1-JKs0GG-KuwUUyM_dIt8kmOa5z6lvp_GABgDryAYxKdYvChyNGA9VA5CZLyAurWOVYPRn45geRTFk Power Iteration (1929)]</v>
      </c>
      <c r="N327" s="16" t="s">
        <v>3390</v>
      </c>
      <c r="O327" s="83">
        <v>1929.0</v>
      </c>
      <c r="P327" s="96" t="s">
        <v>3391</v>
      </c>
      <c r="Q327" s="7">
        <v>1.0</v>
      </c>
      <c r="R327" s="7">
        <v>1.0</v>
      </c>
      <c r="S327" s="47" t="s">
        <v>3392</v>
      </c>
      <c r="T327" s="16">
        <v>1.0</v>
      </c>
      <c r="U327" s="16">
        <v>0.0</v>
      </c>
      <c r="V327" s="89">
        <f>IFERROR(__xludf.DUMMYFUNCTION("INDEX(SPLIT(SUBSTITUTE(W327,CHAR(10), """"),"",:""), MATCH(Z327, SPLIT(SUBSTITUTE(W327,CHAR(10), """"),"",:""), 0) + 1)"),3.0)</f>
        <v>3</v>
      </c>
      <c r="W327" s="85" t="s">
        <v>2059</v>
      </c>
      <c r="X327" s="16" t="s">
        <v>61</v>
      </c>
      <c r="Y327" s="53" t="s">
        <v>3393</v>
      </c>
      <c r="Z327" s="53" t="str">
        <f t="array" ref="Z327">INDEX(Problems!J:J, MATCH(1, (Problems!B:B=B327)*1, 0))</f>
        <v>n^2</v>
      </c>
      <c r="AA327" s="53"/>
      <c r="AB327" s="53"/>
      <c r="AC327" s="53" t="s">
        <v>1813</v>
      </c>
      <c r="AD327" s="53" t="s">
        <v>1814</v>
      </c>
      <c r="AE327" s="85">
        <f>IFERROR(__xludf.DUMMYFUNCTION("INDEX(SPLIT(SUBSTITUTE(AF327,CHAR(10), """"),"",:""), MATCH(Z327, SPLIT(SUBSTITUTE(AF327,CHAR(10), """"),"",:""), 0) + 1)"),2.5)</f>
        <v>2.5</v>
      </c>
      <c r="AF327" s="85" t="s">
        <v>1903</v>
      </c>
      <c r="AG327" s="53" t="s">
        <v>35</v>
      </c>
      <c r="AH327" s="53" t="s">
        <v>3394</v>
      </c>
      <c r="AI327" s="84">
        <v>1.0</v>
      </c>
      <c r="AJ327" s="84">
        <v>0.0</v>
      </c>
      <c r="AK327" s="87"/>
      <c r="AL327" s="81">
        <v>0.0</v>
      </c>
      <c r="AM327" s="21"/>
      <c r="AN327" s="16">
        <v>0.0</v>
      </c>
      <c r="AO327" s="90"/>
      <c r="AP327" s="16">
        <v>0.0</v>
      </c>
      <c r="AQ327" s="16">
        <v>0.0</v>
      </c>
      <c r="AR327" s="39"/>
      <c r="AS327" s="81">
        <v>0.0</v>
      </c>
      <c r="AT327" s="81">
        <v>0.0</v>
      </c>
      <c r="AU327" s="82"/>
      <c r="AV327" s="82"/>
      <c r="AW327" s="82"/>
      <c r="AX327" s="82"/>
      <c r="AY327" s="7"/>
      <c r="AZ327" s="7">
        <f> 1000</f>
        <v>1000</v>
      </c>
      <c r="BA327" s="7"/>
      <c r="BB327" s="7">
        <f> 1000000</f>
        <v>1000000</v>
      </c>
      <c r="BC327" s="7"/>
      <c r="BD327" s="7">
        <f> 1000000000</f>
        <v>1000000000</v>
      </c>
      <c r="BE327" s="7"/>
      <c r="BF327" s="7">
        <v>1000000.0</v>
      </c>
      <c r="BG327" s="7">
        <v>1.0</v>
      </c>
      <c r="BH327" s="7"/>
      <c r="BI327" s="7">
        <v>1.0E12</v>
      </c>
      <c r="BJ327" s="7">
        <v>1.0</v>
      </c>
      <c r="BK327" s="7"/>
      <c r="BL327" s="7">
        <v>1.0E18</v>
      </c>
      <c r="BM327" s="7">
        <v>1.0</v>
      </c>
      <c r="BN327" s="7"/>
      <c r="BO327" s="7">
        <v>4.0</v>
      </c>
      <c r="BP327" s="82"/>
      <c r="BQ327" s="7"/>
      <c r="BR327" s="7" t="s">
        <v>144</v>
      </c>
    </row>
    <row r="328">
      <c r="A328" s="16">
        <v>64.0</v>
      </c>
      <c r="B328" s="16" t="s">
        <v>768</v>
      </c>
      <c r="C328" s="53">
        <v>1.0</v>
      </c>
      <c r="D328" s="53"/>
      <c r="E328" s="7">
        <v>527.0</v>
      </c>
      <c r="F328" s="53"/>
      <c r="G328" s="7"/>
      <c r="H328" s="16">
        <v>1.0</v>
      </c>
      <c r="I328" s="81">
        <v>1.0</v>
      </c>
      <c r="J328" s="39" t="s">
        <v>1788</v>
      </c>
      <c r="K328" s="53"/>
      <c r="L328" s="53"/>
      <c r="M328" s="39" t="str">
        <f t="shared" si="1"/>
        <v>[http://www.wias-berlin.de/people/si/course/files/Fortune87-SweepLine-Voronoi.pdf Fortune (1987)]</v>
      </c>
      <c r="N328" s="16" t="s">
        <v>3395</v>
      </c>
      <c r="O328" s="81">
        <v>1987.0</v>
      </c>
      <c r="P328" s="28" t="s">
        <v>3396</v>
      </c>
      <c r="Q328" s="82"/>
      <c r="R328" s="82"/>
      <c r="S328" s="82"/>
      <c r="T328" s="81">
        <v>0.0</v>
      </c>
      <c r="U328" s="81">
        <v>0.0</v>
      </c>
      <c r="V328" s="89">
        <f>IFERROR(__xludf.DUMMYFUNCTION("INDEX(SPLIT(SUBSTITUTE(W328,CHAR(10), """"),"",:""), MATCH(Z328, SPLIT(SUBSTITUTE(W328,CHAR(10), """"),"",:""), 0) + 1)"),4.0)</f>
        <v>4</v>
      </c>
      <c r="W328" s="85" t="s">
        <v>1791</v>
      </c>
      <c r="X328" s="16" t="s">
        <v>45</v>
      </c>
      <c r="Y328" s="53" t="s">
        <v>3397</v>
      </c>
      <c r="Z328" s="53" t="str">
        <f t="array" ref="Z328">INDEX(Problems!J:J, MATCH(1, (Problems!B:B=B328)*1, 0))</f>
        <v>n</v>
      </c>
      <c r="AA328" s="53"/>
      <c r="AB328" s="53"/>
      <c r="AC328" s="53" t="s">
        <v>2614</v>
      </c>
      <c r="AD328" s="53" t="s">
        <v>1814</v>
      </c>
      <c r="AE328" s="85">
        <f>IFERROR(__xludf.DUMMYFUNCTION("INDEX(SPLIT(SUBSTITUTE(AF328,CHAR(10), """"),"",:""), MATCH(Z328, SPLIT(SUBSTITUTE(AF328,CHAR(10), """"),"",:""), 0) + 1)"),3.0)</f>
        <v>3</v>
      </c>
      <c r="AF328" s="85" t="s">
        <v>1763</v>
      </c>
      <c r="AG328" s="53" t="s">
        <v>35</v>
      </c>
      <c r="AH328" s="53" t="s">
        <v>3398</v>
      </c>
      <c r="AI328" s="84">
        <v>1.0</v>
      </c>
      <c r="AJ328" s="84">
        <v>0.0</v>
      </c>
      <c r="AK328" s="87"/>
      <c r="AL328" s="81">
        <v>0.0</v>
      </c>
      <c r="AM328" s="87"/>
      <c r="AN328" s="81">
        <v>0.0</v>
      </c>
      <c r="AO328" s="90"/>
      <c r="AP328" s="81">
        <v>0.0</v>
      </c>
      <c r="AQ328" s="81">
        <v>0.0</v>
      </c>
      <c r="AR328" s="39"/>
      <c r="AS328" s="81">
        <v>0.0</v>
      </c>
      <c r="AT328" s="81">
        <v>0.0</v>
      </c>
      <c r="AU328" s="39"/>
      <c r="AV328" s="82"/>
      <c r="AW328" s="82"/>
      <c r="AX328" s="82"/>
      <c r="AY328" s="7"/>
      <c r="AZ328" s="7"/>
      <c r="BA328" s="7"/>
      <c r="BB328" s="7"/>
      <c r="BC328" s="7"/>
      <c r="BD328" s="7"/>
      <c r="BE328" s="7"/>
      <c r="BF328" s="7">
        <v>9965.0</v>
      </c>
      <c r="BG328" s="82"/>
      <c r="BH328" s="82"/>
      <c r="BI328" s="82"/>
      <c r="BJ328" s="82"/>
      <c r="BK328" s="82"/>
      <c r="BL328" s="82"/>
      <c r="BM328" s="82"/>
      <c r="BN328" s="7"/>
      <c r="BO328" s="7">
        <v>4.0</v>
      </c>
      <c r="BP328" s="82"/>
      <c r="BQ328" s="7"/>
      <c r="BR328" s="7" t="s">
        <v>23</v>
      </c>
    </row>
    <row r="329">
      <c r="A329" s="145">
        <v>80.0</v>
      </c>
      <c r="B329" s="48" t="s">
        <v>889</v>
      </c>
      <c r="C329" s="53">
        <v>1.0</v>
      </c>
      <c r="D329" s="53" t="s">
        <v>895</v>
      </c>
      <c r="E329" s="7">
        <v>626.0</v>
      </c>
      <c r="F329" s="53"/>
      <c r="G329" s="7"/>
      <c r="H329" s="16">
        <v>1.0</v>
      </c>
      <c r="I329" s="81">
        <v>1.0</v>
      </c>
      <c r="J329" s="39" t="s">
        <v>35</v>
      </c>
      <c r="K329" s="41" t="s">
        <v>2117</v>
      </c>
      <c r="L329" s="41" t="s">
        <v>2117</v>
      </c>
      <c r="M329" s="39" t="str">
        <f t="shared" si="1"/>
        <v>[https://www.sciencedirect.com/science/article/pii/0167642383900151?via%3Dihub Gries (1982)]</v>
      </c>
      <c r="N329" s="39" t="s">
        <v>3399</v>
      </c>
      <c r="O329" s="81">
        <v>1982.0</v>
      </c>
      <c r="P329" s="25" t="s">
        <v>3400</v>
      </c>
      <c r="Q329" s="82"/>
      <c r="R329" s="82"/>
      <c r="S329" s="82"/>
      <c r="T329" s="81">
        <v>0.0</v>
      </c>
      <c r="U329" s="81">
        <v>0.0</v>
      </c>
      <c r="V329" s="89">
        <f>IFERROR(__xludf.DUMMYFUNCTION("INDEX(SPLIT(SUBSTITUTE(W329,CHAR(10), """"),"",:""), MATCH(Z329, SPLIT(SUBSTITUTE(W329,CHAR(10), """"),"",:""), 0) + 1)"),3.0)</f>
        <v>3</v>
      </c>
      <c r="W329" s="85" t="s">
        <v>1763</v>
      </c>
      <c r="X329" s="16" t="s">
        <v>584</v>
      </c>
      <c r="Y329" s="53" t="s">
        <v>2421</v>
      </c>
      <c r="Z329" s="53" t="str">
        <f t="array" ref="Z329">INDEX(Problems!J:J, MATCH(1, (Problems!B:B=B329)*(Problems!C:C=D329), 0))</f>
        <v>n</v>
      </c>
      <c r="AA329" s="53"/>
      <c r="AB329" s="53"/>
      <c r="AC329" s="53" t="s">
        <v>2312</v>
      </c>
      <c r="AD329" s="53" t="s">
        <v>1814</v>
      </c>
      <c r="AE329" s="85">
        <f>IFERROR(__xludf.DUMMYFUNCTION("INDEX(SPLIT(SUBSTITUTE(AF329,CHAR(10), """"),"",:""), MATCH(Z329, SPLIT(SUBSTITUTE(AF329,CHAR(10), """"),"",:""), 0) + 1)"),1.0)</f>
        <v>1</v>
      </c>
      <c r="AF329" s="85" t="s">
        <v>1774</v>
      </c>
      <c r="AG329" s="53" t="s">
        <v>2052</v>
      </c>
      <c r="AH329" s="53" t="s">
        <v>2433</v>
      </c>
      <c r="AI329" s="84">
        <v>1.0</v>
      </c>
      <c r="AJ329" s="84">
        <v>0.0</v>
      </c>
      <c r="AK329" s="87"/>
      <c r="AL329" s="81">
        <v>0.0</v>
      </c>
      <c r="AM329" s="87"/>
      <c r="AN329" s="81">
        <v>0.0</v>
      </c>
      <c r="AO329" s="90"/>
      <c r="AP329" s="81">
        <v>0.0</v>
      </c>
      <c r="AQ329" s="81">
        <v>0.0</v>
      </c>
      <c r="AR329" s="39"/>
      <c r="AS329" s="81">
        <v>0.0</v>
      </c>
      <c r="AT329" s="81">
        <v>0.0</v>
      </c>
      <c r="AU329" s="28" t="s">
        <v>2423</v>
      </c>
      <c r="AV329" s="82"/>
      <c r="AW329" s="82"/>
      <c r="AX329" s="82"/>
      <c r="AY329" s="7"/>
      <c r="AZ329" s="7"/>
      <c r="BA329" s="7"/>
      <c r="BB329" s="7"/>
      <c r="BC329" s="7"/>
      <c r="BD329" s="7"/>
      <c r="BE329" s="7"/>
      <c r="BF329" s="7">
        <v>1000.0</v>
      </c>
      <c r="BG329" s="13"/>
      <c r="BH329" s="82"/>
      <c r="BI329" s="82"/>
      <c r="BJ329" s="82"/>
      <c r="BK329" s="82"/>
      <c r="BL329" s="82"/>
      <c r="BM329" s="82"/>
      <c r="BN329" s="7"/>
      <c r="BO329" s="7">
        <v>3.0</v>
      </c>
      <c r="BP329" s="82"/>
      <c r="BQ329" s="7"/>
      <c r="BR329" s="7" t="s">
        <v>23</v>
      </c>
    </row>
    <row r="330">
      <c r="A330" s="145">
        <v>80.0</v>
      </c>
      <c r="B330" s="48" t="s">
        <v>889</v>
      </c>
      <c r="C330" s="53">
        <v>1.0</v>
      </c>
      <c r="D330" s="53" t="s">
        <v>895</v>
      </c>
      <c r="E330" s="7">
        <v>627.0</v>
      </c>
      <c r="F330" s="53"/>
      <c r="G330" s="7"/>
      <c r="H330" s="16">
        <v>1.0</v>
      </c>
      <c r="I330" s="81">
        <v>1.0</v>
      </c>
      <c r="J330" s="39" t="s">
        <v>35</v>
      </c>
      <c r="K330" s="41" t="s">
        <v>2117</v>
      </c>
      <c r="L330" s="41" t="s">
        <v>2117</v>
      </c>
      <c r="M330" s="39" t="str">
        <f t="shared" si="1"/>
        <v>[https://dl.acm.org/doi/10.1093/comjnl/32.2.122 Bird (1989)]</v>
      </c>
      <c r="N330" s="16" t="s">
        <v>3401</v>
      </c>
      <c r="O330" s="81">
        <v>1989.0</v>
      </c>
      <c r="P330" s="28" t="s">
        <v>3402</v>
      </c>
      <c r="Q330" s="82"/>
      <c r="R330" s="82"/>
      <c r="S330" s="82"/>
      <c r="T330" s="81">
        <v>0.0</v>
      </c>
      <c r="U330" s="81">
        <v>0.0</v>
      </c>
      <c r="V330" s="89">
        <f>IFERROR(__xludf.DUMMYFUNCTION("INDEX(SPLIT(SUBSTITUTE(W330,CHAR(10), """"),"",:""), MATCH(Z330, SPLIT(SUBSTITUTE(W330,CHAR(10), """"),"",:""), 0) + 1)"),3.0)</f>
        <v>3</v>
      </c>
      <c r="W330" s="85" t="s">
        <v>1763</v>
      </c>
      <c r="X330" s="16" t="s">
        <v>584</v>
      </c>
      <c r="Y330" s="53" t="s">
        <v>2421</v>
      </c>
      <c r="Z330" s="53" t="str">
        <f t="array" ref="Z330">INDEX(Problems!J:J, MATCH(1, (Problems!B:B=B330)*(Problems!C:C=D330), 0))</f>
        <v>n</v>
      </c>
      <c r="AA330" s="53"/>
      <c r="AB330" s="53"/>
      <c r="AC330" s="53" t="s">
        <v>3403</v>
      </c>
      <c r="AD330" s="53" t="s">
        <v>3403</v>
      </c>
      <c r="AE330" s="85">
        <f>IFERROR(__xludf.DUMMYFUNCTION("INDEX(SPLIT(SUBSTITUTE(AF330,CHAR(10), """"),"",:""), MATCH(Z330, SPLIT(SUBSTITUTE(AF330,CHAR(10), """"),"",:""), 0) + 1)"),1.0)</f>
        <v>1</v>
      </c>
      <c r="AF330" s="85" t="s">
        <v>1774</v>
      </c>
      <c r="AG330" s="53" t="s">
        <v>2052</v>
      </c>
      <c r="AH330" s="53" t="s">
        <v>2433</v>
      </c>
      <c r="AI330" s="84">
        <v>1.0</v>
      </c>
      <c r="AJ330" s="84">
        <v>0.0</v>
      </c>
      <c r="AK330" s="87"/>
      <c r="AL330" s="81">
        <v>0.0</v>
      </c>
      <c r="AM330" s="87"/>
      <c r="AN330" s="81">
        <v>0.0</v>
      </c>
      <c r="AO330" s="90"/>
      <c r="AP330" s="81">
        <v>0.0</v>
      </c>
      <c r="AQ330" s="81">
        <v>0.0</v>
      </c>
      <c r="AR330" s="39"/>
      <c r="AS330" s="81">
        <v>0.0</v>
      </c>
      <c r="AT330" s="81">
        <v>0.0</v>
      </c>
      <c r="AU330" s="39"/>
      <c r="AV330" s="82"/>
      <c r="AW330" s="82"/>
      <c r="AX330" s="82"/>
      <c r="AY330" s="7"/>
      <c r="AZ330" s="7"/>
      <c r="BA330" s="7"/>
      <c r="BB330" s="7"/>
      <c r="BC330" s="7"/>
      <c r="BD330" s="7"/>
      <c r="BE330" s="7"/>
      <c r="BF330" s="7">
        <v>1000.0</v>
      </c>
      <c r="BG330" s="13"/>
      <c r="BH330" s="82"/>
      <c r="BI330" s="82"/>
      <c r="BJ330" s="82"/>
      <c r="BK330" s="82"/>
      <c r="BL330" s="82"/>
      <c r="BM330" s="82"/>
      <c r="BN330" s="7"/>
      <c r="BO330" s="7">
        <v>3.0</v>
      </c>
      <c r="BP330" s="82"/>
      <c r="BQ330" s="7"/>
      <c r="BR330" s="7" t="s">
        <v>23</v>
      </c>
    </row>
    <row r="331">
      <c r="A331" s="145">
        <v>80.0</v>
      </c>
      <c r="B331" s="48" t="s">
        <v>889</v>
      </c>
      <c r="C331" s="53">
        <v>1.0</v>
      </c>
      <c r="D331" s="53" t="s">
        <v>895</v>
      </c>
      <c r="E331" s="7">
        <v>629.0</v>
      </c>
      <c r="F331" s="53"/>
      <c r="G331" s="7"/>
      <c r="H331" s="16">
        <v>1.0</v>
      </c>
      <c r="I331" s="81">
        <v>1.0</v>
      </c>
      <c r="J331" s="21" t="s">
        <v>2382</v>
      </c>
      <c r="K331" s="41" t="s">
        <v>2117</v>
      </c>
      <c r="L331" s="41" t="s">
        <v>2117</v>
      </c>
      <c r="M331" s="39" t="str">
        <f t="shared" si="1"/>
        <v>[https://ieeexplore.ieee.org/document/6972008 Ferreira, Camargo, Song (2014)]</v>
      </c>
      <c r="N331" s="16" t="s">
        <v>3404</v>
      </c>
      <c r="O331" s="81">
        <v>2014.0</v>
      </c>
      <c r="P331" s="28" t="s">
        <v>3405</v>
      </c>
      <c r="Q331" s="82"/>
      <c r="R331" s="82"/>
      <c r="S331" s="82"/>
      <c r="T331" s="81">
        <v>0.0</v>
      </c>
      <c r="U331" s="81">
        <v>0.0</v>
      </c>
      <c r="V331" s="89">
        <f>IFERROR(__xludf.DUMMYFUNCTION("INDEX(SPLIT(SUBSTITUTE(W331,CHAR(10), """"),"",:""), MATCH(Z331, SPLIT(SUBSTITUTE(W331,CHAR(10), """"),"",:""), 0) + 1)"),2.0)</f>
        <v>2</v>
      </c>
      <c r="W331" s="85" t="s">
        <v>1962</v>
      </c>
      <c r="X331" s="21" t="s">
        <v>2430</v>
      </c>
      <c r="Y331" s="53" t="s">
        <v>2421</v>
      </c>
      <c r="Z331" s="53" t="str">
        <f t="array" ref="Z331">INDEX(Problems!J:J, MATCH(1, (Problems!B:B=B331)*(Problems!C:C=D331), 0))</f>
        <v>n</v>
      </c>
      <c r="AA331" s="53"/>
      <c r="AB331" s="53"/>
      <c r="AC331" s="53" t="s">
        <v>3406</v>
      </c>
      <c r="AD331" s="53" t="s">
        <v>1814</v>
      </c>
      <c r="AE331" s="85">
        <f>IFERROR(__xludf.DUMMYFUNCTION("INDEX(SPLIT(SUBSTITUTE(AF331,CHAR(10), """"),"",:""), MATCH(Z331, SPLIT(SUBSTITUTE(AF331,CHAR(10), """"),"",:""), 0) + 1)"),3.0)</f>
        <v>3</v>
      </c>
      <c r="AF331" s="85" t="s">
        <v>1763</v>
      </c>
      <c r="AG331" s="53" t="s">
        <v>2103</v>
      </c>
      <c r="AH331" s="53" t="s">
        <v>2437</v>
      </c>
      <c r="AI331" s="84">
        <v>1.0</v>
      </c>
      <c r="AJ331" s="84">
        <v>0.0</v>
      </c>
      <c r="AK331" s="87"/>
      <c r="AL331" s="81">
        <v>0.0</v>
      </c>
      <c r="AM331" s="87"/>
      <c r="AN331" s="81">
        <v>0.0</v>
      </c>
      <c r="AO331" s="90"/>
      <c r="AP331" s="81">
        <v>0.0</v>
      </c>
      <c r="AQ331" s="81">
        <v>1.0</v>
      </c>
      <c r="AR331" s="21" t="s">
        <v>2438</v>
      </c>
      <c r="AS331" s="81">
        <v>0.0</v>
      </c>
      <c r="AT331" s="84">
        <v>1.0</v>
      </c>
      <c r="AU331" s="39"/>
      <c r="AV331" s="82"/>
      <c r="AW331" s="82"/>
      <c r="AX331" s="82"/>
      <c r="AY331" s="7"/>
      <c r="AZ331" s="7"/>
      <c r="BA331" s="7"/>
      <c r="BB331" s="7"/>
      <c r="BC331" s="7"/>
      <c r="BD331" s="7"/>
      <c r="BE331" s="7"/>
      <c r="BF331" s="7">
        <v>9965.0</v>
      </c>
      <c r="BG331" s="13"/>
      <c r="BH331" s="82"/>
      <c r="BI331" s="82"/>
      <c r="BJ331" s="82"/>
      <c r="BK331" s="82"/>
      <c r="BL331" s="82"/>
      <c r="BM331" s="82"/>
      <c r="BN331" s="7"/>
      <c r="BO331" s="7">
        <v>3.0</v>
      </c>
      <c r="BP331" s="82"/>
      <c r="BQ331" s="7"/>
      <c r="BR331" s="7" t="s">
        <v>23</v>
      </c>
    </row>
    <row r="332">
      <c r="A332" s="35">
        <v>120.0</v>
      </c>
      <c r="B332" s="6" t="s">
        <v>1104</v>
      </c>
      <c r="C332" s="53">
        <v>1.0</v>
      </c>
      <c r="D332" s="53"/>
      <c r="E332" s="7">
        <v>923.0</v>
      </c>
      <c r="F332" s="53"/>
      <c r="G332" s="6"/>
      <c r="H332" s="35">
        <v>1.0</v>
      </c>
      <c r="I332" s="98">
        <v>1.0</v>
      </c>
      <c r="J332" s="104" t="s">
        <v>3407</v>
      </c>
      <c r="K332" s="99"/>
      <c r="L332" s="99"/>
      <c r="M332" s="39" t="str">
        <f t="shared" si="1"/>
        <v>[https://epubs.siam.org/doi/pdf/10.1137/0218059 HJLS algorithm (1986)]</v>
      </c>
      <c r="N332" s="69" t="s">
        <v>3408</v>
      </c>
      <c r="O332" s="98">
        <v>1986.0</v>
      </c>
      <c r="P332" s="100" t="s">
        <v>1107</v>
      </c>
      <c r="Q332" s="13"/>
      <c r="R332" s="13"/>
      <c r="S332" s="13"/>
      <c r="T332" s="98">
        <v>0.0</v>
      </c>
      <c r="U332" s="35">
        <v>0.0</v>
      </c>
      <c r="V332" s="89">
        <f>IFERROR(__xludf.DUMMYFUNCTION("INDEX(SPLIT(SUBSTITUTE(W332,CHAR(10), """"),"",:""), MATCH(Z332, SPLIT(SUBSTITUTE(W332,CHAR(10), """"),"",:""), 0) + 1)"),7.0)</f>
        <v>7</v>
      </c>
      <c r="W332" s="102" t="s">
        <v>3409</v>
      </c>
      <c r="X332" s="104" t="s">
        <v>3410</v>
      </c>
      <c r="Y332" s="41" t="s">
        <v>3411</v>
      </c>
      <c r="Z332" s="53" t="str">
        <f t="array" ref="Z332">INDEX(Problems!J:J, MATCH(1, (Problems!B:B=B332)*1, 0))</f>
        <v>n</v>
      </c>
      <c r="AA332" s="133" t="s">
        <v>1107</v>
      </c>
      <c r="AB332" s="41">
        <v>0.0</v>
      </c>
      <c r="AC332" s="41" t="s">
        <v>3412</v>
      </c>
      <c r="AD332" s="41" t="s">
        <v>2338</v>
      </c>
      <c r="AE332" s="85">
        <f>IFERROR(__xludf.DUMMYFUNCTION("INDEX(SPLIT(SUBSTITUTE(AF332,CHAR(10), """"),"",:""), MATCH(Z332, SPLIT(SUBSTITUTE(AF332,CHAR(10), """"),"",:""), 0) + 1)"),5.0)</f>
        <v>5</v>
      </c>
      <c r="AF332" s="102" t="s">
        <v>1938</v>
      </c>
      <c r="AG332" s="41" t="s">
        <v>3413</v>
      </c>
      <c r="AH332" s="41" t="s">
        <v>3414</v>
      </c>
      <c r="AI332" s="108">
        <v>1.0</v>
      </c>
      <c r="AJ332" s="84">
        <v>0.0</v>
      </c>
      <c r="AK332" s="105"/>
      <c r="AL332" s="98">
        <v>0.0</v>
      </c>
      <c r="AM332" s="105"/>
      <c r="AN332" s="98">
        <v>0.0</v>
      </c>
      <c r="AO332" s="110"/>
      <c r="AP332" s="98">
        <v>0.0</v>
      </c>
      <c r="AQ332" s="98">
        <v>0.0</v>
      </c>
      <c r="AR332" s="69"/>
      <c r="AS332" s="98">
        <v>0.0</v>
      </c>
      <c r="AT332" s="98">
        <v>0.0</v>
      </c>
      <c r="AU332" s="69"/>
      <c r="AV332" s="6" t="s">
        <v>3415</v>
      </c>
      <c r="AW332" s="13"/>
      <c r="AX332" s="13"/>
      <c r="AY332" s="13"/>
      <c r="AZ332" s="6"/>
      <c r="BA332" s="6"/>
      <c r="BB332" s="6"/>
      <c r="BC332" s="6"/>
      <c r="BD332" s="6"/>
      <c r="BE332" s="6"/>
      <c r="BF332" s="6">
        <v>1.0E9</v>
      </c>
      <c r="BG332" s="13"/>
      <c r="BH332" s="13"/>
      <c r="BI332" s="13"/>
      <c r="BJ332" s="13"/>
      <c r="BK332" s="13"/>
      <c r="BL332" s="13"/>
      <c r="BM332" s="13"/>
      <c r="BN332" s="6"/>
      <c r="BO332" s="6">
        <v>3.0</v>
      </c>
      <c r="BP332" s="13"/>
      <c r="BQ332" s="13"/>
      <c r="BR332" s="6" t="s">
        <v>144</v>
      </c>
    </row>
    <row r="333">
      <c r="A333" s="35">
        <v>147.0</v>
      </c>
      <c r="B333" s="35" t="s">
        <v>1237</v>
      </c>
      <c r="C333" s="53">
        <v>1.0</v>
      </c>
      <c r="D333" s="53" t="s">
        <v>1241</v>
      </c>
      <c r="E333" s="7">
        <v>1017.0</v>
      </c>
      <c r="F333" s="53"/>
      <c r="G333" s="6">
        <v>0.0</v>
      </c>
      <c r="H333" s="35">
        <v>0.0</v>
      </c>
      <c r="I333" s="111">
        <v>1.0</v>
      </c>
      <c r="J333" s="35" t="s">
        <v>789</v>
      </c>
      <c r="K333" s="99"/>
      <c r="L333" s="99"/>
      <c r="M333" s="39" t="str">
        <f t="shared" si="1"/>
        <v>[https://en.wikipedia.org/wiki/Dining_philosophers_problem#Resource_hierarchy_solution Resource hierarchy solution (1965)]</v>
      </c>
      <c r="N333" s="107" t="s">
        <v>3416</v>
      </c>
      <c r="O333" s="111">
        <v>1965.0</v>
      </c>
      <c r="P333" s="106" t="s">
        <v>3417</v>
      </c>
      <c r="Q333" s="6">
        <v>2.0</v>
      </c>
      <c r="R333" s="6">
        <v>1.0</v>
      </c>
      <c r="S333" s="6"/>
      <c r="T333" s="111">
        <v>1.0</v>
      </c>
      <c r="U333" s="35">
        <v>0.0</v>
      </c>
      <c r="V333" s="89">
        <f>IFERROR(__xludf.DUMMYFUNCTION("INDEX(SPLIT(SUBSTITUTE(W333,CHAR(10), """"),"",:""), MATCH(Z333, SPLIT(SUBSTITUTE(W333,CHAR(10), """"),"",:""), 0) + 1)"),8.0)</f>
        <v>8</v>
      </c>
      <c r="W333" s="102" t="s">
        <v>2001</v>
      </c>
      <c r="X333" s="35" t="s">
        <v>789</v>
      </c>
      <c r="Y333" s="41" t="s">
        <v>3418</v>
      </c>
      <c r="Z333" s="53" t="str">
        <f t="array" ref="Z333">INDEX(Problems!J:J, MATCH(1, (Problems!B:B=B333)*1, 0))</f>
        <v>n</v>
      </c>
      <c r="AA333" s="41"/>
      <c r="AB333" s="41"/>
      <c r="AC333" s="41"/>
      <c r="AD333" s="41"/>
      <c r="AE333" s="85">
        <f>IFERROR(__xludf.DUMMYFUNCTION("INDEX(SPLIT(SUBSTITUTE(AF333,CHAR(10), """"),"",:""), MATCH(Z333, SPLIT(SUBSTITUTE(AF333,CHAR(10), """"),"",:""), 0) + 1)"),3.0)</f>
        <v>3</v>
      </c>
      <c r="AF333" s="102" t="s">
        <v>1763</v>
      </c>
      <c r="AG333" s="41" t="s">
        <v>35</v>
      </c>
      <c r="AH333" s="41" t="s">
        <v>3419</v>
      </c>
      <c r="AI333" s="108">
        <v>1.0</v>
      </c>
      <c r="AJ333" s="84">
        <v>0.0</v>
      </c>
      <c r="AK333" s="108"/>
      <c r="AL333" s="111">
        <v>0.0</v>
      </c>
      <c r="AM333" s="108"/>
      <c r="AN333" s="111">
        <v>0.0</v>
      </c>
      <c r="AO333" s="104"/>
      <c r="AP333" s="111">
        <v>0.0</v>
      </c>
      <c r="AQ333" s="111">
        <v>0.0</v>
      </c>
      <c r="AR333" s="69"/>
      <c r="AS333" s="111">
        <v>0.0</v>
      </c>
      <c r="AT333" s="111">
        <v>0.0</v>
      </c>
      <c r="AU333" s="69"/>
      <c r="AV333" s="13"/>
      <c r="AW333" s="13"/>
      <c r="AX333" s="13"/>
      <c r="AY333" s="13"/>
      <c r="AZ333" s="6"/>
      <c r="BA333" s="6"/>
      <c r="BB333" s="6"/>
      <c r="BC333" s="6"/>
      <c r="BD333" s="6"/>
      <c r="BE333" s="6"/>
      <c r="BF333" s="6" t="s">
        <v>1781</v>
      </c>
      <c r="BG333" s="6">
        <v>1.0</v>
      </c>
      <c r="BH333" s="6"/>
      <c r="BI333" s="6" t="s">
        <v>1781</v>
      </c>
      <c r="BJ333" s="6">
        <v>1.0</v>
      </c>
      <c r="BK333" s="6"/>
      <c r="BL333" s="6" t="s">
        <v>1781</v>
      </c>
      <c r="BM333" s="6">
        <v>1.0</v>
      </c>
      <c r="BN333" s="6"/>
      <c r="BO333" s="6">
        <v>1.0</v>
      </c>
      <c r="BP333" s="13"/>
      <c r="BQ333" s="13"/>
      <c r="BR333" s="6" t="s">
        <v>490</v>
      </c>
    </row>
    <row r="334">
      <c r="A334" s="35">
        <v>147.0</v>
      </c>
      <c r="B334" s="35" t="s">
        <v>1237</v>
      </c>
      <c r="C334" s="53">
        <v>1.0</v>
      </c>
      <c r="D334" s="53" t="s">
        <v>1241</v>
      </c>
      <c r="E334" s="7">
        <v>1018.0</v>
      </c>
      <c r="F334" s="53"/>
      <c r="G334" s="6">
        <v>0.0</v>
      </c>
      <c r="H334" s="35">
        <v>0.0</v>
      </c>
      <c r="I334" s="111">
        <v>1.0</v>
      </c>
      <c r="J334" s="35" t="s">
        <v>789</v>
      </c>
      <c r="K334" s="99"/>
      <c r="L334" s="99"/>
      <c r="M334" s="39" t="str">
        <f t="shared" si="1"/>
        <v>[https://en.wikipedia.org/wiki/Dining_philosophers_problem#Arbitrator_solution Arbitrator solution (1965)]</v>
      </c>
      <c r="N334" s="107" t="s">
        <v>3420</v>
      </c>
      <c r="O334" s="111">
        <v>1965.0</v>
      </c>
      <c r="P334" s="106" t="s">
        <v>3421</v>
      </c>
      <c r="Q334" s="13"/>
      <c r="R334" s="13"/>
      <c r="S334" s="13"/>
      <c r="T334" s="111">
        <v>0.0</v>
      </c>
      <c r="U334" s="35">
        <v>0.0</v>
      </c>
      <c r="V334" s="89">
        <f>IFERROR(__xludf.DUMMYFUNCTION("INDEX(SPLIT(SUBSTITUTE(W334,CHAR(10), """"),"",:""), MATCH(Z334, SPLIT(SUBSTITUTE(W334,CHAR(10), """"),"",:""), 0) + 1)"),8.0)</f>
        <v>8</v>
      </c>
      <c r="W334" s="102" t="s">
        <v>2001</v>
      </c>
      <c r="X334" s="35" t="s">
        <v>789</v>
      </c>
      <c r="Y334" s="41" t="s">
        <v>3418</v>
      </c>
      <c r="Z334" s="53" t="str">
        <f t="array" ref="Z334">INDEX(Problems!J:J, MATCH(1, (Problems!B:B=B334)*1, 0))</f>
        <v>n</v>
      </c>
      <c r="AA334" s="41"/>
      <c r="AB334" s="41"/>
      <c r="AC334" s="41"/>
      <c r="AD334" s="41"/>
      <c r="AE334" s="85">
        <f>IFERROR(__xludf.DUMMYFUNCTION("INDEX(SPLIT(SUBSTITUTE(AF334,CHAR(10), """"),"",:""), MATCH(Z334, SPLIT(SUBSTITUTE(AF334,CHAR(10), """"),"",:""), 0) + 1)"),1.0)</f>
        <v>1</v>
      </c>
      <c r="AF334" s="102" t="s">
        <v>1774</v>
      </c>
      <c r="AG334" s="41" t="s">
        <v>34</v>
      </c>
      <c r="AH334" s="41" t="s">
        <v>3422</v>
      </c>
      <c r="AI334" s="108">
        <v>1.0</v>
      </c>
      <c r="AJ334" s="84">
        <v>0.0</v>
      </c>
      <c r="AK334" s="108"/>
      <c r="AL334" s="111">
        <v>0.0</v>
      </c>
      <c r="AM334" s="108"/>
      <c r="AN334" s="111">
        <v>0.0</v>
      </c>
      <c r="AO334" s="104"/>
      <c r="AP334" s="111">
        <v>0.0</v>
      </c>
      <c r="AQ334" s="111">
        <v>0.0</v>
      </c>
      <c r="AR334" s="69"/>
      <c r="AS334" s="111">
        <v>0.0</v>
      </c>
      <c r="AT334" s="111">
        <v>0.0</v>
      </c>
      <c r="AU334" s="69"/>
      <c r="AV334" s="13"/>
      <c r="AW334" s="13"/>
      <c r="AX334" s="13"/>
      <c r="AY334" s="13"/>
      <c r="AZ334" s="6"/>
      <c r="BA334" s="6"/>
      <c r="BB334" s="6"/>
      <c r="BC334" s="6"/>
      <c r="BD334" s="6"/>
      <c r="BE334" s="6"/>
      <c r="BF334" s="6" t="s">
        <v>1781</v>
      </c>
      <c r="BG334" s="13"/>
      <c r="BH334" s="13"/>
      <c r="BI334" s="13"/>
      <c r="BJ334" s="13"/>
      <c r="BK334" s="13"/>
      <c r="BL334" s="13"/>
      <c r="BM334" s="13"/>
      <c r="BN334" s="6"/>
      <c r="BO334" s="6">
        <v>1.0</v>
      </c>
      <c r="BP334" s="13"/>
      <c r="BQ334" s="13"/>
      <c r="BR334" s="6" t="s">
        <v>490</v>
      </c>
    </row>
    <row r="335">
      <c r="A335" s="16">
        <v>61.0</v>
      </c>
      <c r="B335" s="16" t="s">
        <v>743</v>
      </c>
      <c r="C335" s="53">
        <v>0.001</v>
      </c>
      <c r="D335" s="53" t="s">
        <v>755</v>
      </c>
      <c r="E335" s="7">
        <v>491.0</v>
      </c>
      <c r="F335" s="53"/>
      <c r="G335" s="7"/>
      <c r="H335" s="16">
        <v>1.0</v>
      </c>
      <c r="I335" s="16">
        <v>0.0</v>
      </c>
      <c r="J335" s="39" t="s">
        <v>3423</v>
      </c>
      <c r="K335" s="53"/>
      <c r="L335" s="53"/>
      <c r="M335" s="39" t="str">
        <f t="shared" si="1"/>
        <v>[https://www.jstor.org/stable/j.ctt7s8xg Applegate et al. (2006)]</v>
      </c>
      <c r="N335" s="16" t="s">
        <v>3424</v>
      </c>
      <c r="O335" s="81">
        <v>2006.0</v>
      </c>
      <c r="P335" s="25" t="s">
        <v>3425</v>
      </c>
      <c r="Q335" s="82"/>
      <c r="R335" s="82"/>
      <c r="S335" s="82"/>
      <c r="T335" s="16">
        <v>0.0</v>
      </c>
      <c r="U335" s="16">
        <v>0.0</v>
      </c>
      <c r="V335" s="89">
        <f>IFERROR(__xludf.DUMMYFUNCTION("INDEX(SPLIT(SUBSTITUTE(W335,CHAR(10), """"),"",:""), MATCH(Z335, SPLIT(SUBSTITUTE(W335,CHAR(10), """"),"",:""), 0) + 1)"),7.0)</f>
        <v>7</v>
      </c>
      <c r="W335" s="85" t="s">
        <v>2030</v>
      </c>
      <c r="X335" s="39" t="s">
        <v>3423</v>
      </c>
      <c r="Y335" s="53"/>
      <c r="Z335" s="53" t="str">
        <f t="array" ref="Z335">INDEX(Problems!J:J, MATCH(1, (Problems!B:B=B335)*1, 0))</f>
        <v>V</v>
      </c>
      <c r="AA335" s="53"/>
      <c r="AB335" s="53"/>
      <c r="AC335" s="53"/>
      <c r="AD335" s="53"/>
      <c r="AE335" s="85" t="str">
        <f>IFERROR(__xludf.DUMMYFUNCTION("INDEX(SPLIT(SUBSTITUTE(AF335,CHAR(10), """"),"",:""), MATCH(Z335, SPLIT(SUBSTITUTE(AF335,CHAR(10), """"),"",:""), 0) + 1)"),"#VALUE!")</f>
        <v>#VALUE!</v>
      </c>
      <c r="AF335" s="131"/>
      <c r="AG335" s="53"/>
      <c r="AH335" s="53"/>
      <c r="AI335" s="87"/>
      <c r="AJ335" s="84" t="s">
        <v>2520</v>
      </c>
      <c r="AK335" s="87"/>
      <c r="AL335" s="81">
        <v>0.0</v>
      </c>
      <c r="AM335" s="21"/>
      <c r="AN335" s="16">
        <v>1.0</v>
      </c>
      <c r="AO335" s="90"/>
      <c r="AP335" s="16">
        <v>1.0</v>
      </c>
      <c r="AQ335" s="16">
        <v>0.0</v>
      </c>
      <c r="AR335" s="39"/>
      <c r="AS335" s="81">
        <v>0.0</v>
      </c>
      <c r="AT335" s="81">
        <v>0.0</v>
      </c>
      <c r="AU335" s="39"/>
      <c r="AV335" s="82"/>
      <c r="AW335" s="82"/>
      <c r="AX335" s="82"/>
      <c r="AY335" s="7"/>
      <c r="AZ335" s="82"/>
      <c r="BA335" s="82"/>
      <c r="BB335" s="82"/>
      <c r="BC335" s="82"/>
      <c r="BD335" s="82"/>
      <c r="BE335" s="82"/>
      <c r="BF335" s="82"/>
      <c r="BG335" s="82"/>
      <c r="BH335" s="82"/>
      <c r="BI335" s="82"/>
      <c r="BJ335" s="82"/>
      <c r="BK335" s="82"/>
      <c r="BL335" s="82"/>
      <c r="BM335" s="82"/>
      <c r="BN335" s="7"/>
      <c r="BO335" s="7">
        <v>1.0</v>
      </c>
      <c r="BP335" s="82"/>
      <c r="BQ335" s="7"/>
      <c r="BR335" s="7" t="s">
        <v>23</v>
      </c>
    </row>
    <row r="336">
      <c r="A336" s="16">
        <v>61.0</v>
      </c>
      <c r="B336" s="16" t="s">
        <v>743</v>
      </c>
      <c r="C336" s="53">
        <v>0.001</v>
      </c>
      <c r="D336" s="53"/>
      <c r="E336" s="7">
        <v>492.0</v>
      </c>
      <c r="F336" s="53"/>
      <c r="G336" s="7"/>
      <c r="H336" s="16">
        <v>1.0</v>
      </c>
      <c r="I336" s="16">
        <v>0.0</v>
      </c>
      <c r="J336" s="16" t="s">
        <v>1937</v>
      </c>
      <c r="K336" s="53"/>
      <c r="L336" s="53"/>
      <c r="M336" s="39" t="str">
        <f t="shared" si="1"/>
        <v>[http://citeseerx.ist.psu.edu/viewdoc/download?doi=10.1.1.92.1635&amp;rep=rep1&amp;type=pdf Johnson; D. S.; McGeoch; L. A. (1997)]</v>
      </c>
      <c r="N336" s="16" t="s">
        <v>3426</v>
      </c>
      <c r="O336" s="81">
        <v>1997.0</v>
      </c>
      <c r="P336" s="25" t="s">
        <v>3427</v>
      </c>
      <c r="Q336" s="82"/>
      <c r="R336" s="82"/>
      <c r="S336" s="82"/>
      <c r="T336" s="16">
        <v>0.0</v>
      </c>
      <c r="U336" s="16">
        <v>0.0</v>
      </c>
      <c r="V336" s="89">
        <f>IFERROR(__xludf.DUMMYFUNCTION("INDEX(SPLIT(SUBSTITUTE(W336,CHAR(10), """"),"",:""), MATCH(Z336, SPLIT(SUBSTITUTE(W336,CHAR(10), """"),"",:""), 0) + 1)"),8.0)</f>
        <v>8</v>
      </c>
      <c r="W336" s="85" t="s">
        <v>2540</v>
      </c>
      <c r="X336" s="16" t="s">
        <v>3428</v>
      </c>
      <c r="Y336" s="53" t="s">
        <v>3429</v>
      </c>
      <c r="Z336" s="53" t="str">
        <f t="array" ref="Z336">INDEX(Problems!J:J, MATCH(1, (Problems!B:B=B336)*1, 0))</f>
        <v>V</v>
      </c>
      <c r="AA336" s="53"/>
      <c r="AB336" s="53"/>
      <c r="AC336" s="53"/>
      <c r="AD336" s="53"/>
      <c r="AE336" s="85" t="str">
        <f>IFERROR(__xludf.DUMMYFUNCTION("INDEX(SPLIT(SUBSTITUTE(AF336,CHAR(10), """"),"",:""), MATCH(Z336, SPLIT(SUBSTITUTE(AF336,CHAR(10), """"),"",:""), 0) + 1)"),"#VALUE!")</f>
        <v>#VALUE!</v>
      </c>
      <c r="AF336" s="131"/>
      <c r="AG336" s="53"/>
      <c r="AH336" s="53"/>
      <c r="AI336" s="87"/>
      <c r="AJ336" s="84" t="s">
        <v>2520</v>
      </c>
      <c r="AK336" s="87"/>
      <c r="AL336" s="81">
        <v>0.0</v>
      </c>
      <c r="AM336" s="21"/>
      <c r="AN336" s="16">
        <v>1.0</v>
      </c>
      <c r="AO336" s="90"/>
      <c r="AP336" s="16">
        <v>1.0</v>
      </c>
      <c r="AQ336" s="16">
        <v>0.0</v>
      </c>
      <c r="AR336" s="39"/>
      <c r="AS336" s="81">
        <v>0.0</v>
      </c>
      <c r="AT336" s="81">
        <v>0.0</v>
      </c>
      <c r="AU336" s="39"/>
      <c r="AV336" s="82"/>
      <c r="AW336" s="82"/>
      <c r="AX336" s="82"/>
      <c r="AY336" s="7"/>
      <c r="AZ336" s="82"/>
      <c r="BA336" s="82"/>
      <c r="BB336" s="82"/>
      <c r="BC336" s="82"/>
      <c r="BD336" s="82"/>
      <c r="BE336" s="82"/>
      <c r="BF336" s="82"/>
      <c r="BG336" s="82"/>
      <c r="BH336" s="82"/>
      <c r="BI336" s="82"/>
      <c r="BJ336" s="82"/>
      <c r="BK336" s="82"/>
      <c r="BL336" s="82"/>
      <c r="BM336" s="82"/>
      <c r="BN336" s="7"/>
      <c r="BO336" s="7">
        <v>1.0</v>
      </c>
      <c r="BP336" s="82"/>
      <c r="BQ336" s="7"/>
      <c r="BR336" s="7" t="s">
        <v>23</v>
      </c>
    </row>
    <row r="337">
      <c r="A337" s="16">
        <v>61.0</v>
      </c>
      <c r="B337" s="16" t="s">
        <v>743</v>
      </c>
      <c r="C337" s="53">
        <v>0.001</v>
      </c>
      <c r="D337" s="53"/>
      <c r="E337" s="7">
        <v>493.0</v>
      </c>
      <c r="F337" s="53"/>
      <c r="G337" s="7"/>
      <c r="H337" s="16">
        <v>1.0</v>
      </c>
      <c r="I337" s="16">
        <v>0.0</v>
      </c>
      <c r="J337" s="16" t="s">
        <v>1937</v>
      </c>
      <c r="K337" s="53"/>
      <c r="L337" s="53"/>
      <c r="M337" s="39" t="str">
        <f t="shared" si="1"/>
        <v>[https://www.researchgate.net/publication/222408030_Traveling_Salesman_Should_not_be_Greedy_Domination_Analysis_of_Greedy-Type_Heuristics_for_the_TSP  Gutina; Gregory; Yeob; Anders; Zverovich; Alexey (2002)]</v>
      </c>
      <c r="N337" s="16" t="s">
        <v>3430</v>
      </c>
      <c r="O337" s="81">
        <v>2002.0</v>
      </c>
      <c r="P337" s="25" t="s">
        <v>3431</v>
      </c>
      <c r="Q337" s="82"/>
      <c r="R337" s="82"/>
      <c r="S337" s="82"/>
      <c r="T337" s="16">
        <v>0.0</v>
      </c>
      <c r="U337" s="16">
        <v>0.0</v>
      </c>
      <c r="V337" s="89" t="str">
        <f>IFERROR(__xludf.DUMMYFUNCTION("INDEX(SPLIT(SUBSTITUTE(W337,CHAR(10), """"),"",:""), MATCH(Z337, SPLIT(SUBSTITUTE(W337,CHAR(10), """"),"",:""), 0) + 1)"),"#VALUE!")</f>
        <v>#VALUE!</v>
      </c>
      <c r="W337" s="85"/>
      <c r="X337" s="16" t="s">
        <v>1937</v>
      </c>
      <c r="Y337" s="53" t="s">
        <v>2542</v>
      </c>
      <c r="Z337" s="53" t="str">
        <f t="array" ref="Z337">INDEX(Problems!J:J, MATCH(1, (Problems!B:B=B337)*1, 0))</f>
        <v>V</v>
      </c>
      <c r="AA337" s="53"/>
      <c r="AB337" s="53"/>
      <c r="AC337" s="53"/>
      <c r="AD337" s="53"/>
      <c r="AE337" s="85" t="str">
        <f>IFERROR(__xludf.DUMMYFUNCTION("INDEX(SPLIT(SUBSTITUTE(AF337,CHAR(10), """"),"",:""), MATCH(Z337, SPLIT(SUBSTITUTE(AF337,CHAR(10), """"),"",:""), 0) + 1)"),"#VALUE!")</f>
        <v>#VALUE!</v>
      </c>
      <c r="AF337" s="131"/>
      <c r="AG337" s="53"/>
      <c r="AH337" s="53"/>
      <c r="AI337" s="87"/>
      <c r="AJ337" s="84" t="s">
        <v>2520</v>
      </c>
      <c r="AK337" s="87"/>
      <c r="AL337" s="81">
        <v>0.0</v>
      </c>
      <c r="AM337" s="21"/>
      <c r="AN337" s="16">
        <v>1.0</v>
      </c>
      <c r="AO337" s="90"/>
      <c r="AP337" s="16">
        <v>1.0</v>
      </c>
      <c r="AQ337" s="16">
        <v>0.0</v>
      </c>
      <c r="AR337" s="39"/>
      <c r="AS337" s="81">
        <v>0.0</v>
      </c>
      <c r="AT337" s="81">
        <v>0.0</v>
      </c>
      <c r="AU337" s="39"/>
      <c r="AV337" s="82"/>
      <c r="AW337" s="82"/>
      <c r="AX337" s="82"/>
      <c r="AY337" s="7"/>
      <c r="AZ337" s="82"/>
      <c r="BA337" s="82"/>
      <c r="BB337" s="82"/>
      <c r="BC337" s="82"/>
      <c r="BD337" s="82"/>
      <c r="BE337" s="82"/>
      <c r="BF337" s="82"/>
      <c r="BG337" s="82"/>
      <c r="BH337" s="82"/>
      <c r="BI337" s="82"/>
      <c r="BJ337" s="82"/>
      <c r="BK337" s="82"/>
      <c r="BL337" s="82"/>
      <c r="BM337" s="82"/>
      <c r="BN337" s="7"/>
      <c r="BO337" s="7">
        <v>1.0</v>
      </c>
      <c r="BP337" s="82"/>
      <c r="BQ337" s="7"/>
      <c r="BR337" s="7" t="s">
        <v>23</v>
      </c>
    </row>
    <row r="338">
      <c r="A338" s="16">
        <v>61.0</v>
      </c>
      <c r="B338" s="16" t="s">
        <v>743</v>
      </c>
      <c r="C338" s="53">
        <v>2.0</v>
      </c>
      <c r="D338" s="53" t="s">
        <v>755</v>
      </c>
      <c r="E338" s="7">
        <v>494.0</v>
      </c>
      <c r="F338" s="53" t="s">
        <v>3432</v>
      </c>
      <c r="G338" s="7"/>
      <c r="H338" s="16">
        <v>1.0</v>
      </c>
      <c r="I338" s="16">
        <v>0.0</v>
      </c>
      <c r="J338" s="21" t="s">
        <v>251</v>
      </c>
      <c r="K338" s="53"/>
      <c r="L338" s="53"/>
      <c r="M338" s="39" t="str">
        <f t="shared" si="1"/>
        <v>[https://link.springer.com/chapter/10.1007/978-1-4020-9688-4_3 Rosenkrantz; D. J.; Stearns; R. E.; Lewis; P. M. (1974)]</v>
      </c>
      <c r="N338" s="16" t="s">
        <v>3433</v>
      </c>
      <c r="O338" s="81">
        <v>1974.0</v>
      </c>
      <c r="P338" s="96" t="s">
        <v>757</v>
      </c>
      <c r="Q338" s="82"/>
      <c r="R338" s="82"/>
      <c r="S338" s="82"/>
      <c r="T338" s="16">
        <v>0.0</v>
      </c>
      <c r="U338" s="16">
        <v>0.0</v>
      </c>
      <c r="V338" s="89">
        <f>IFERROR(__xludf.DUMMYFUNCTION("INDEX(SPLIT(SUBSTITUTE(W338,CHAR(10), """"),"",:""), MATCH(Z338, SPLIT(SUBSTITUTE(W338,CHAR(10), """"),"",:""), 0) + 1)"),5.0)</f>
        <v>5</v>
      </c>
      <c r="W338" s="85" t="s">
        <v>3038</v>
      </c>
      <c r="X338" s="16" t="s">
        <v>251</v>
      </c>
      <c r="Y338" s="53" t="s">
        <v>2542</v>
      </c>
      <c r="Z338" s="53" t="str">
        <f t="array" ref="Z338">INDEX(Problems!J:J, MATCH(1, (Problems!B:B=B338)*1, 0))</f>
        <v>V</v>
      </c>
      <c r="AA338" s="96" t="s">
        <v>757</v>
      </c>
      <c r="AB338" s="53">
        <v>0.0</v>
      </c>
      <c r="AC338" s="53" t="s">
        <v>1813</v>
      </c>
      <c r="AD338" s="53" t="s">
        <v>1814</v>
      </c>
      <c r="AE338" s="85">
        <f>IFERROR(__xludf.DUMMYFUNCTION("INDEX(SPLIT(SUBSTITUTE(AF338,CHAR(10), """"),"",:""), MATCH(Z338, SPLIT(SUBSTITUTE(AF338,CHAR(10), """"),"",:""), 0) + 1)"),1.0)</f>
        <v>1</v>
      </c>
      <c r="AF338" s="85" t="s">
        <v>3434</v>
      </c>
      <c r="AG338" s="53" t="s">
        <v>34</v>
      </c>
      <c r="AH338" s="53" t="s">
        <v>3435</v>
      </c>
      <c r="AI338" s="84">
        <v>1.0</v>
      </c>
      <c r="AJ338" s="84">
        <v>0.0</v>
      </c>
      <c r="AK338" s="87"/>
      <c r="AL338" s="81">
        <v>0.0</v>
      </c>
      <c r="AM338" s="21"/>
      <c r="AN338" s="16">
        <v>1.0</v>
      </c>
      <c r="AO338" s="21" t="s">
        <v>3436</v>
      </c>
      <c r="AP338" s="16">
        <v>1.0</v>
      </c>
      <c r="AQ338" s="16">
        <v>0.0</v>
      </c>
      <c r="AR338" s="39"/>
      <c r="AS338" s="81">
        <v>0.0</v>
      </c>
      <c r="AT338" s="81">
        <v>0.0</v>
      </c>
      <c r="AU338" s="39"/>
      <c r="AV338" s="82"/>
      <c r="AW338" s="82"/>
      <c r="AX338" s="82"/>
      <c r="AY338" s="7"/>
      <c r="AZ338" s="82"/>
      <c r="BA338" s="82"/>
      <c r="BB338" s="82"/>
      <c r="BC338" s="82"/>
      <c r="BD338" s="82"/>
      <c r="BE338" s="82"/>
      <c r="BF338" s="82"/>
      <c r="BG338" s="82"/>
      <c r="BH338" s="82"/>
      <c r="BI338" s="82"/>
      <c r="BJ338" s="82"/>
      <c r="BK338" s="82"/>
      <c r="BL338" s="82"/>
      <c r="BM338" s="82"/>
      <c r="BN338" s="7"/>
      <c r="BO338" s="7">
        <v>1.0</v>
      </c>
      <c r="BP338" s="82"/>
      <c r="BQ338" s="7"/>
      <c r="BR338" s="7" t="s">
        <v>23</v>
      </c>
    </row>
    <row r="339">
      <c r="A339" s="16">
        <v>61.0</v>
      </c>
      <c r="B339" s="16" t="s">
        <v>743</v>
      </c>
      <c r="C339" s="53">
        <v>2.0</v>
      </c>
      <c r="D339" s="53" t="s">
        <v>755</v>
      </c>
      <c r="E339" s="7">
        <v>495.0</v>
      </c>
      <c r="F339" s="53" t="s">
        <v>3437</v>
      </c>
      <c r="G339" s="7"/>
      <c r="H339" s="16">
        <v>1.0</v>
      </c>
      <c r="I339" s="16">
        <v>0.0</v>
      </c>
      <c r="J339" s="95" t="s">
        <v>251</v>
      </c>
      <c r="K339" s="53"/>
      <c r="L339" s="53"/>
      <c r="M339" s="39" t="str">
        <f t="shared" si="1"/>
        <v>[https://www.cs.princeton.edu/~bwk/btl.mirror/tsp.pdf Lin–Kernighan (1981)]</v>
      </c>
      <c r="N339" s="39" t="s">
        <v>3438</v>
      </c>
      <c r="O339" s="81">
        <v>1981.0</v>
      </c>
      <c r="P339" s="25" t="s">
        <v>3439</v>
      </c>
      <c r="Q339" s="82"/>
      <c r="R339" s="82"/>
      <c r="S339" s="82"/>
      <c r="T339" s="16">
        <v>0.0</v>
      </c>
      <c r="U339" s="16">
        <v>0.0</v>
      </c>
      <c r="V339" s="89">
        <f>IFERROR(__xludf.DUMMYFUNCTION("INDEX(SPLIT(SUBSTITUTE(W339,CHAR(10), """"),"",:""), MATCH(Z339, SPLIT(SUBSTITUTE(W339,CHAR(10), """"),"",:""), 0) + 1)"),5.0)</f>
        <v>5</v>
      </c>
      <c r="W339" s="85" t="s">
        <v>3038</v>
      </c>
      <c r="X339" s="95" t="s">
        <v>251</v>
      </c>
      <c r="Y339" s="53" t="s">
        <v>2542</v>
      </c>
      <c r="Z339" s="53" t="str">
        <f t="array" ref="Z339">INDEX(Problems!J:J, MATCH(1, (Problems!B:B=B339)*1, 0))</f>
        <v>V</v>
      </c>
      <c r="AA339" s="86" t="s">
        <v>3440</v>
      </c>
      <c r="AB339" s="53">
        <v>0.0</v>
      </c>
      <c r="AC339" s="53" t="s">
        <v>1813</v>
      </c>
      <c r="AD339" s="53" t="s">
        <v>1814</v>
      </c>
      <c r="AE339" s="85">
        <f>IFERROR(__xludf.DUMMYFUNCTION("INDEX(SPLIT(SUBSTITUTE(AF339,CHAR(10), """"),"",:""), MATCH(Z339, SPLIT(SUBSTITUTE(AF339,CHAR(10), """"),"",:""), 0) + 1)"),3.0)</f>
        <v>3</v>
      </c>
      <c r="AF339" s="85" t="s">
        <v>2534</v>
      </c>
      <c r="AG339" s="53" t="s">
        <v>268</v>
      </c>
      <c r="AH339" s="91" t="s">
        <v>3440</v>
      </c>
      <c r="AI339" s="84">
        <v>0.0</v>
      </c>
      <c r="AJ339" s="84">
        <v>0.0</v>
      </c>
      <c r="AK339" s="87"/>
      <c r="AL339" s="81">
        <v>0.0</v>
      </c>
      <c r="AM339" s="21"/>
      <c r="AN339" s="16">
        <v>1.0</v>
      </c>
      <c r="AO339" s="90"/>
      <c r="AP339" s="16">
        <v>1.0</v>
      </c>
      <c r="AQ339" s="16">
        <v>0.0</v>
      </c>
      <c r="AR339" s="39"/>
      <c r="AS339" s="81">
        <v>0.0</v>
      </c>
      <c r="AT339" s="81">
        <v>0.0</v>
      </c>
      <c r="AU339" s="39"/>
      <c r="AV339" s="82"/>
      <c r="AW339" s="82"/>
      <c r="AX339" s="82"/>
      <c r="AY339" s="7"/>
      <c r="AZ339" s="82"/>
      <c r="BA339" s="82"/>
      <c r="BB339" s="82"/>
      <c r="BC339" s="82"/>
      <c r="BD339" s="82"/>
      <c r="BE339" s="82"/>
      <c r="BF339" s="82"/>
      <c r="BG339" s="82"/>
      <c r="BH339" s="82"/>
      <c r="BI339" s="82"/>
      <c r="BJ339" s="82"/>
      <c r="BK339" s="82"/>
      <c r="BL339" s="82"/>
      <c r="BM339" s="82"/>
      <c r="BN339" s="7"/>
      <c r="BO339" s="7">
        <v>1.0</v>
      </c>
      <c r="BP339" s="82"/>
      <c r="BQ339" s="7"/>
      <c r="BR339" s="7" t="s">
        <v>23</v>
      </c>
    </row>
    <row r="340">
      <c r="A340" s="16">
        <v>65.0</v>
      </c>
      <c r="B340" s="16" t="s">
        <v>771</v>
      </c>
      <c r="C340" s="53">
        <v>1.0</v>
      </c>
      <c r="D340" s="53" t="s">
        <v>771</v>
      </c>
      <c r="E340" s="7">
        <v>534.0</v>
      </c>
      <c r="F340" s="53"/>
      <c r="G340" s="7"/>
      <c r="H340" s="16">
        <v>1.0</v>
      </c>
      <c r="I340" s="81">
        <v>0.0</v>
      </c>
      <c r="J340" s="39" t="s">
        <v>115</v>
      </c>
      <c r="K340" s="53"/>
      <c r="L340" s="53"/>
      <c r="M340" s="39" t="str">
        <f t="shared" si="1"/>
        <v>[ Overlap Layout Consensus (1987)]</v>
      </c>
      <c r="N340" s="16" t="s">
        <v>3441</v>
      </c>
      <c r="O340" s="81">
        <v>1987.0</v>
      </c>
      <c r="P340" s="39"/>
      <c r="Q340" s="82"/>
      <c r="R340" s="82"/>
      <c r="S340" s="82"/>
      <c r="T340" s="81">
        <v>0.0</v>
      </c>
      <c r="U340" s="81">
        <v>0.0</v>
      </c>
      <c r="V340" s="89">
        <f>IFERROR(__xludf.DUMMYFUNCTION("INDEX(SPLIT(SUBSTITUTE(W340,CHAR(10), """"),"",:""), MATCH(Z340, SPLIT(SUBSTITUTE(W340,CHAR(10), """"),"",:""), 0) + 1)"),5.0)</f>
        <v>5</v>
      </c>
      <c r="W340" s="85" t="s">
        <v>1938</v>
      </c>
      <c r="X340" s="39" t="s">
        <v>115</v>
      </c>
      <c r="Y340" s="53" t="s">
        <v>3442</v>
      </c>
      <c r="Z340" s="53" t="str">
        <f t="array" ref="Z340">INDEX(Problems!J:J, MATCH(1, (Problems!B:B=B340)*1, 0))</f>
        <v>n</v>
      </c>
      <c r="AA340" s="53"/>
      <c r="AB340" s="53"/>
      <c r="AC340" s="53" t="s">
        <v>1813</v>
      </c>
      <c r="AD340" s="53" t="s">
        <v>1814</v>
      </c>
      <c r="AE340" s="85">
        <f>IFERROR(__xludf.DUMMYFUNCTION("INDEX(SPLIT(SUBSTITUTE(AF340,CHAR(10), """"),"",:""), MATCH(Z340, SPLIT(SUBSTITUTE(AF340,CHAR(10), """"),"",:""), 0) + 1)"),5.0)</f>
        <v>5</v>
      </c>
      <c r="AF340" s="85" t="s">
        <v>1938</v>
      </c>
      <c r="AG340" s="53" t="s">
        <v>2615</v>
      </c>
      <c r="AH340" s="53" t="s">
        <v>3443</v>
      </c>
      <c r="AI340" s="84">
        <v>1.0</v>
      </c>
      <c r="AJ340" s="84">
        <v>0.0</v>
      </c>
      <c r="AK340" s="87"/>
      <c r="AL340" s="81">
        <v>0.0</v>
      </c>
      <c r="AM340" s="87"/>
      <c r="AN340" s="81">
        <v>1.0</v>
      </c>
      <c r="AO340" s="90"/>
      <c r="AP340" s="81">
        <v>0.0</v>
      </c>
      <c r="AQ340" s="81">
        <v>0.0</v>
      </c>
      <c r="AR340" s="39"/>
      <c r="AS340" s="81">
        <v>0.0</v>
      </c>
      <c r="AT340" s="81">
        <v>0.0</v>
      </c>
      <c r="AU340" s="25" t="s">
        <v>3444</v>
      </c>
      <c r="AV340" s="82"/>
      <c r="AW340" s="82"/>
      <c r="AX340" s="82"/>
      <c r="AY340" s="7"/>
      <c r="AZ340" s="7"/>
      <c r="BA340" s="7"/>
      <c r="BB340" s="7"/>
      <c r="BC340" s="7"/>
      <c r="BD340" s="7"/>
      <c r="BE340" s="7"/>
      <c r="BF340" s="7">
        <v>1000000.0</v>
      </c>
      <c r="BG340" s="82"/>
      <c r="BH340" s="82"/>
      <c r="BI340" s="82"/>
      <c r="BJ340" s="82"/>
      <c r="BK340" s="82"/>
      <c r="BL340" s="82"/>
      <c r="BM340" s="82"/>
      <c r="BN340" s="7"/>
      <c r="BO340" s="7">
        <v>4.0</v>
      </c>
      <c r="BP340" s="82"/>
      <c r="BQ340" s="7"/>
      <c r="BR340" s="7" t="s">
        <v>433</v>
      </c>
    </row>
    <row r="341">
      <c r="A341" s="16">
        <v>65.0</v>
      </c>
      <c r="B341" s="16" t="s">
        <v>771</v>
      </c>
      <c r="C341" s="53">
        <v>1.0</v>
      </c>
      <c r="D341" s="53" t="s">
        <v>771</v>
      </c>
      <c r="E341" s="7">
        <v>537.0</v>
      </c>
      <c r="F341" s="53"/>
      <c r="G341" s="7"/>
      <c r="H341" s="16">
        <v>1.0</v>
      </c>
      <c r="I341" s="81">
        <v>0.0</v>
      </c>
      <c r="J341" s="39" t="s">
        <v>1788</v>
      </c>
      <c r="K341" s="53"/>
      <c r="L341" s="53"/>
      <c r="M341" s="39" t="str">
        <f t="shared" si="1"/>
        <v>[https://www.ncbi.nlm.nih.gov/pmc/articles/PMC321006/ Greedy SEQAID (1984)]</v>
      </c>
      <c r="N341" s="16" t="s">
        <v>3445</v>
      </c>
      <c r="O341" s="81">
        <v>1984.0</v>
      </c>
      <c r="P341" s="28" t="s">
        <v>3446</v>
      </c>
      <c r="Q341" s="82"/>
      <c r="R341" s="82"/>
      <c r="S341" s="82"/>
      <c r="T341" s="81">
        <v>0.0</v>
      </c>
      <c r="U341" s="81">
        <v>0.0</v>
      </c>
      <c r="V341" s="89">
        <f>IFERROR(__xludf.DUMMYFUNCTION("INDEX(SPLIT(SUBSTITUTE(W341,CHAR(10), """"),"",:""), MATCH(Z341, SPLIT(SUBSTITUTE(W341,CHAR(10), """"),"",:""), 0) + 1)"),5.0)</f>
        <v>5</v>
      </c>
      <c r="W341" s="85" t="s">
        <v>1938</v>
      </c>
      <c r="X341" s="147" t="s">
        <v>2615</v>
      </c>
      <c r="Y341" s="53" t="s">
        <v>3442</v>
      </c>
      <c r="Z341" s="53" t="str">
        <f t="array" ref="Z341">INDEX(Problems!J:J, MATCH(1, (Problems!B:B=B341)*1, 0))</f>
        <v>n</v>
      </c>
      <c r="AA341" s="53"/>
      <c r="AB341" s="53"/>
      <c r="AC341" s="53" t="s">
        <v>1813</v>
      </c>
      <c r="AD341" s="53" t="s">
        <v>1814</v>
      </c>
      <c r="AE341" s="85">
        <f>IFERROR(__xludf.DUMMYFUNCTION("INDEX(SPLIT(SUBSTITUTE(AF341,CHAR(10), """"),"",:""), MATCH(Z341, SPLIT(SUBSTITUTE(AF341,CHAR(10), """"),"",:""), 0) + 1)"),5.0)</f>
        <v>5</v>
      </c>
      <c r="AF341" s="85" t="s">
        <v>1938</v>
      </c>
      <c r="AG341" s="53" t="s">
        <v>2615</v>
      </c>
      <c r="AH341" s="53" t="s">
        <v>3447</v>
      </c>
      <c r="AI341" s="84">
        <v>1.0</v>
      </c>
      <c r="AJ341" s="84">
        <v>0.0</v>
      </c>
      <c r="AK341" s="87"/>
      <c r="AL341" s="81">
        <v>0.0</v>
      </c>
      <c r="AM341" s="87"/>
      <c r="AN341" s="81">
        <v>1.0</v>
      </c>
      <c r="AO341" s="90"/>
      <c r="AP341" s="81">
        <v>0.0</v>
      </c>
      <c r="AQ341" s="81">
        <v>0.0</v>
      </c>
      <c r="AR341" s="39"/>
      <c r="AS341" s="81">
        <v>0.0</v>
      </c>
      <c r="AT341" s="81">
        <v>0.0</v>
      </c>
      <c r="AU341" s="39"/>
      <c r="AV341" s="82"/>
      <c r="AW341" s="82"/>
      <c r="AX341" s="82"/>
      <c r="AY341" s="7"/>
      <c r="AZ341" s="7"/>
      <c r="BA341" s="7"/>
      <c r="BB341" s="7"/>
      <c r="BC341" s="7"/>
      <c r="BD341" s="7"/>
      <c r="BE341" s="7"/>
      <c r="BF341" s="7">
        <v>9965.0</v>
      </c>
      <c r="BG341" s="82"/>
      <c r="BH341" s="82"/>
      <c r="BI341" s="82"/>
      <c r="BJ341" s="82"/>
      <c r="BK341" s="82"/>
      <c r="BL341" s="82"/>
      <c r="BM341" s="82"/>
      <c r="BN341" s="7"/>
      <c r="BO341" s="7">
        <v>4.0</v>
      </c>
      <c r="BP341" s="82"/>
      <c r="BQ341" s="7"/>
      <c r="BR341" s="7" t="s">
        <v>433</v>
      </c>
    </row>
    <row r="342">
      <c r="A342" s="16">
        <v>82.0</v>
      </c>
      <c r="B342" s="16" t="s">
        <v>914</v>
      </c>
      <c r="C342" s="53">
        <v>0.0</v>
      </c>
      <c r="D342" s="53"/>
      <c r="E342" s="7">
        <v>640.0</v>
      </c>
      <c r="F342" s="53"/>
      <c r="G342" s="7"/>
      <c r="H342" s="16">
        <v>0.0</v>
      </c>
      <c r="I342" s="16">
        <v>0.0</v>
      </c>
      <c r="J342" s="39" t="s">
        <v>115</v>
      </c>
      <c r="K342" s="53"/>
      <c r="L342" s="53"/>
      <c r="M342" s="39" t="str">
        <f t="shared" si="1"/>
        <v>[ Dürer rendering algorithm (1956)]</v>
      </c>
      <c r="N342" s="39" t="s">
        <v>3448</v>
      </c>
      <c r="O342" s="81">
        <v>1956.0</v>
      </c>
      <c r="P342" s="39"/>
      <c r="Q342" s="82"/>
      <c r="R342" s="82"/>
      <c r="S342" s="82"/>
      <c r="T342" s="16">
        <v>1.0</v>
      </c>
      <c r="U342" s="16">
        <v>0.0</v>
      </c>
      <c r="V342" s="89">
        <f>IFERROR(__xludf.DUMMYFUNCTION("INDEX(SPLIT(SUBSTITUTE(W342,CHAR(10), """"),"",:""), MATCH(Z342, SPLIT(SUBSTITUTE(W342,CHAR(10), """"),"",:""), 0) + 1)"),5.0)</f>
        <v>5</v>
      </c>
      <c r="W342" s="85" t="s">
        <v>1938</v>
      </c>
      <c r="X342" s="39" t="s">
        <v>115</v>
      </c>
      <c r="Y342" s="53"/>
      <c r="Z342" s="53" t="str">
        <f t="array" ref="Z342">INDEX(Problems!J:J, MATCH(1, (Problems!B:B=B342)*1, 0))</f>
        <v>n</v>
      </c>
      <c r="AA342" s="53"/>
      <c r="AB342" s="53"/>
      <c r="AC342" s="53"/>
      <c r="AD342" s="53"/>
      <c r="AE342" s="85" t="str">
        <f>IFERROR(__xludf.DUMMYFUNCTION("INDEX(SPLIT(SUBSTITUTE(AF342,CHAR(10), """"),"",:""), MATCH(Z342, SPLIT(SUBSTITUTE(AF342,CHAR(10), """"),"",:""), 0) + 1)"),"#VALUE!")</f>
        <v>#VALUE!</v>
      </c>
      <c r="AF342" s="131"/>
      <c r="AG342" s="53"/>
      <c r="AH342" s="53"/>
      <c r="AI342" s="87"/>
      <c r="AJ342" s="84" t="s">
        <v>2520</v>
      </c>
      <c r="AK342" s="87"/>
      <c r="AL342" s="81">
        <v>0.0</v>
      </c>
      <c r="AM342" s="84"/>
      <c r="AN342" s="83">
        <v>1.0</v>
      </c>
      <c r="AO342" s="90"/>
      <c r="AP342" s="16">
        <v>0.0</v>
      </c>
      <c r="AQ342" s="16">
        <v>0.0</v>
      </c>
      <c r="AR342" s="39"/>
      <c r="AS342" s="81">
        <v>0.0</v>
      </c>
      <c r="AT342" s="81">
        <v>0.0</v>
      </c>
      <c r="AU342" s="39"/>
      <c r="AV342" s="82"/>
      <c r="AW342" s="82"/>
      <c r="AX342" s="82"/>
      <c r="AY342" s="7"/>
      <c r="AZ342" s="7"/>
      <c r="BA342" s="7"/>
      <c r="BB342" s="7"/>
      <c r="BC342" s="7"/>
      <c r="BD342" s="7"/>
      <c r="BE342" s="7"/>
      <c r="BF342" s="7">
        <v>1000000.0</v>
      </c>
      <c r="BG342" s="13"/>
      <c r="BH342" s="82"/>
      <c r="BI342" s="82"/>
      <c r="BJ342" s="82"/>
      <c r="BK342" s="82"/>
      <c r="BL342" s="82"/>
      <c r="BM342" s="82"/>
      <c r="BN342" s="7"/>
      <c r="BO342" s="7">
        <v>4.0</v>
      </c>
      <c r="BP342" s="82"/>
      <c r="BQ342" s="7"/>
      <c r="BR342" s="7" t="s">
        <v>196</v>
      </c>
    </row>
    <row r="343">
      <c r="A343" s="16">
        <v>82.0</v>
      </c>
      <c r="B343" s="16" t="s">
        <v>914</v>
      </c>
      <c r="C343" s="53">
        <v>0.0</v>
      </c>
      <c r="D343" s="53"/>
      <c r="E343" s="7">
        <v>641.0</v>
      </c>
      <c r="F343" s="53"/>
      <c r="G343" s="7"/>
      <c r="H343" s="16">
        <v>0.0</v>
      </c>
      <c r="I343" s="16">
        <v>0.0</v>
      </c>
      <c r="J343" s="39" t="s">
        <v>115</v>
      </c>
      <c r="K343" s="53"/>
      <c r="L343" s="53"/>
      <c r="M343" s="39" t="str">
        <f t="shared" si="1"/>
        <v>[https://dl.acm.org/doi/10.1145/1468075.1468082 Appel's algorithm 1968 (1968)]</v>
      </c>
      <c r="N343" s="39" t="s">
        <v>3449</v>
      </c>
      <c r="O343" s="81">
        <v>1968.0</v>
      </c>
      <c r="P343" s="25" t="s">
        <v>3450</v>
      </c>
      <c r="Q343" s="82"/>
      <c r="R343" s="82"/>
      <c r="S343" s="82"/>
      <c r="T343" s="16">
        <v>0.0</v>
      </c>
      <c r="U343" s="16">
        <v>0.0</v>
      </c>
      <c r="V343" s="89">
        <f>IFERROR(__xludf.DUMMYFUNCTION("INDEX(SPLIT(SUBSTITUTE(W343,CHAR(10), """"),"",:""), MATCH(Z343, SPLIT(SUBSTITUTE(W343,CHAR(10), """"),"",:""), 0) + 1)"),5.0)</f>
        <v>5</v>
      </c>
      <c r="W343" s="85" t="s">
        <v>1938</v>
      </c>
      <c r="X343" s="39" t="s">
        <v>115</v>
      </c>
      <c r="Y343" s="53"/>
      <c r="Z343" s="53" t="str">
        <f t="array" ref="Z343">INDEX(Problems!J:J, MATCH(1, (Problems!B:B=B343)*1, 0))</f>
        <v>n</v>
      </c>
      <c r="AA343" s="53"/>
      <c r="AB343" s="53"/>
      <c r="AC343" s="53"/>
      <c r="AD343" s="53"/>
      <c r="AE343" s="85" t="str">
        <f>IFERROR(__xludf.DUMMYFUNCTION("INDEX(SPLIT(SUBSTITUTE(AF343,CHAR(10), """"),"",:""), MATCH(Z343, SPLIT(SUBSTITUTE(AF343,CHAR(10), """"),"",:""), 0) + 1)"),"#VALUE!")</f>
        <v>#VALUE!</v>
      </c>
      <c r="AF343" s="131"/>
      <c r="AG343" s="53"/>
      <c r="AH343" s="53"/>
      <c r="AI343" s="87"/>
      <c r="AJ343" s="84" t="s">
        <v>2520</v>
      </c>
      <c r="AK343" s="87"/>
      <c r="AL343" s="81">
        <v>0.0</v>
      </c>
      <c r="AM343" s="84"/>
      <c r="AN343" s="83">
        <v>1.0</v>
      </c>
      <c r="AO343" s="90"/>
      <c r="AP343" s="16">
        <v>0.0</v>
      </c>
      <c r="AQ343" s="16">
        <v>0.0</v>
      </c>
      <c r="AR343" s="39"/>
      <c r="AS343" s="81">
        <v>0.0</v>
      </c>
      <c r="AT343" s="81">
        <v>0.0</v>
      </c>
      <c r="AU343" s="39"/>
      <c r="AV343" s="82"/>
      <c r="AW343" s="82"/>
      <c r="AX343" s="82"/>
      <c r="AY343" s="7"/>
      <c r="AZ343" s="7"/>
      <c r="BA343" s="7"/>
      <c r="BB343" s="7"/>
      <c r="BC343" s="7"/>
      <c r="BD343" s="7"/>
      <c r="BE343" s="7"/>
      <c r="BF343" s="7">
        <v>1000000.0</v>
      </c>
      <c r="BG343" s="13"/>
      <c r="BH343" s="82"/>
      <c r="BI343" s="82"/>
      <c r="BJ343" s="82"/>
      <c r="BK343" s="82"/>
      <c r="BL343" s="82"/>
      <c r="BM343" s="82"/>
      <c r="BN343" s="7"/>
      <c r="BO343" s="7">
        <v>4.0</v>
      </c>
      <c r="BP343" s="82"/>
      <c r="BQ343" s="7"/>
      <c r="BR343" s="7" t="s">
        <v>196</v>
      </c>
    </row>
    <row r="344">
      <c r="A344" s="16">
        <v>82.0</v>
      </c>
      <c r="B344" s="16" t="s">
        <v>914</v>
      </c>
      <c r="C344" s="53">
        <v>0.0</v>
      </c>
      <c r="D344" s="53"/>
      <c r="E344" s="7">
        <v>642.0</v>
      </c>
      <c r="F344" s="53"/>
      <c r="G344" s="7"/>
      <c r="H344" s="16">
        <v>0.0</v>
      </c>
      <c r="I344" s="16">
        <v>0.0</v>
      </c>
      <c r="J344" s="39" t="s">
        <v>115</v>
      </c>
      <c r="K344" s="53"/>
      <c r="L344" s="53"/>
      <c r="M344" s="39" t="str">
        <f t="shared" si="1"/>
        <v>[https://dl.acm.org/doi/10.1145/358876.358882 Whitted's algorithm 1979 (1979)]</v>
      </c>
      <c r="N344" s="39" t="s">
        <v>3451</v>
      </c>
      <c r="O344" s="81">
        <v>1979.0</v>
      </c>
      <c r="P344" s="25" t="s">
        <v>3452</v>
      </c>
      <c r="Q344" s="82"/>
      <c r="R344" s="82"/>
      <c r="S344" s="82"/>
      <c r="T344" s="16">
        <v>0.0</v>
      </c>
      <c r="U344" s="16">
        <v>0.0</v>
      </c>
      <c r="V344" s="89">
        <f>IFERROR(__xludf.DUMMYFUNCTION("INDEX(SPLIT(SUBSTITUTE(W344,CHAR(10), """"),"",:""), MATCH(Z344, SPLIT(SUBSTITUTE(W344,CHAR(10), """"),"",:""), 0) + 1)"),5.0)</f>
        <v>5</v>
      </c>
      <c r="W344" s="85" t="s">
        <v>1938</v>
      </c>
      <c r="X344" s="39" t="s">
        <v>115</v>
      </c>
      <c r="Y344" s="53"/>
      <c r="Z344" s="53" t="str">
        <f t="array" ref="Z344">INDEX(Problems!J:J, MATCH(1, (Problems!B:B=B344)*1, 0))</f>
        <v>n</v>
      </c>
      <c r="AA344" s="53"/>
      <c r="AB344" s="53"/>
      <c r="AC344" s="53"/>
      <c r="AD344" s="53"/>
      <c r="AE344" s="85" t="str">
        <f>IFERROR(__xludf.DUMMYFUNCTION("INDEX(SPLIT(SUBSTITUTE(AF344,CHAR(10), """"),"",:""), MATCH(Z344, SPLIT(SUBSTITUTE(AF344,CHAR(10), """"),"",:""), 0) + 1)"),"#VALUE!")</f>
        <v>#VALUE!</v>
      </c>
      <c r="AF344" s="131"/>
      <c r="AG344" s="53"/>
      <c r="AH344" s="53"/>
      <c r="AI344" s="87"/>
      <c r="AJ344" s="84" t="s">
        <v>2520</v>
      </c>
      <c r="AK344" s="87"/>
      <c r="AL344" s="81">
        <v>0.0</v>
      </c>
      <c r="AM344" s="84"/>
      <c r="AN344" s="83">
        <v>1.0</v>
      </c>
      <c r="AO344" s="90"/>
      <c r="AP344" s="16">
        <v>0.0</v>
      </c>
      <c r="AQ344" s="16">
        <v>0.0</v>
      </c>
      <c r="AR344" s="39"/>
      <c r="AS344" s="81">
        <v>0.0</v>
      </c>
      <c r="AT344" s="81">
        <v>0.0</v>
      </c>
      <c r="AU344" s="39"/>
      <c r="AV344" s="82"/>
      <c r="AW344" s="82"/>
      <c r="AX344" s="82"/>
      <c r="AY344" s="7"/>
      <c r="AZ344" s="7"/>
      <c r="BA344" s="7"/>
      <c r="BB344" s="7"/>
      <c r="BC344" s="7"/>
      <c r="BD344" s="7"/>
      <c r="BE344" s="7"/>
      <c r="BF344" s="7">
        <v>1000000.0</v>
      </c>
      <c r="BG344" s="13"/>
      <c r="BH344" s="82"/>
      <c r="BI344" s="82"/>
      <c r="BJ344" s="82"/>
      <c r="BK344" s="82"/>
      <c r="BL344" s="82"/>
      <c r="BM344" s="82"/>
      <c r="BN344" s="7"/>
      <c r="BO344" s="7">
        <v>4.0</v>
      </c>
      <c r="BP344" s="82"/>
      <c r="BQ344" s="7"/>
      <c r="BR344" s="7" t="s">
        <v>196</v>
      </c>
    </row>
    <row r="345">
      <c r="A345" s="16">
        <v>82.0</v>
      </c>
      <c r="B345" s="16" t="s">
        <v>914</v>
      </c>
      <c r="C345" s="53">
        <v>0.0</v>
      </c>
      <c r="D345" s="53"/>
      <c r="E345" s="7">
        <v>643.0</v>
      </c>
      <c r="F345" s="53"/>
      <c r="G345" s="7"/>
      <c r="H345" s="16">
        <v>0.0</v>
      </c>
      <c r="I345" s="16">
        <v>0.0</v>
      </c>
      <c r="J345" s="39" t="s">
        <v>115</v>
      </c>
      <c r="K345" s="53"/>
      <c r="L345" s="53"/>
      <c r="M345" s="39" t="str">
        <f t="shared" si="1"/>
        <v>[https://www.academia.edu/814419/A_New_Parallel_Algorithm_Provided_by_a_Computation_Time_Model J.-C. Nebel 1998 (1998)]</v>
      </c>
      <c r="N345" s="39" t="s">
        <v>3453</v>
      </c>
      <c r="O345" s="81">
        <v>1998.0</v>
      </c>
      <c r="P345" s="25" t="s">
        <v>3454</v>
      </c>
      <c r="Q345" s="82"/>
      <c r="R345" s="82"/>
      <c r="S345" s="82"/>
      <c r="T345" s="16">
        <v>0.0</v>
      </c>
      <c r="U345" s="16">
        <v>0.0</v>
      </c>
      <c r="V345" s="89">
        <f>IFERROR(__xludf.DUMMYFUNCTION("INDEX(SPLIT(SUBSTITUTE(W345,CHAR(10), """"),"",:""), MATCH(Z345, SPLIT(SUBSTITUTE(W345,CHAR(10), """"),"",:""), 0) + 1)"),5.0)</f>
        <v>5</v>
      </c>
      <c r="W345" s="85" t="s">
        <v>1938</v>
      </c>
      <c r="X345" s="39" t="s">
        <v>115</v>
      </c>
      <c r="Y345" s="53"/>
      <c r="Z345" s="53" t="str">
        <f t="array" ref="Z345">INDEX(Problems!J:J, MATCH(1, (Problems!B:B=B345)*1, 0))</f>
        <v>n</v>
      </c>
      <c r="AA345" s="53"/>
      <c r="AB345" s="53"/>
      <c r="AC345" s="53"/>
      <c r="AD345" s="53"/>
      <c r="AE345" s="85" t="str">
        <f>IFERROR(__xludf.DUMMYFUNCTION("INDEX(SPLIT(SUBSTITUTE(AF345,CHAR(10), """"),"",:""), MATCH(Z345, SPLIT(SUBSTITUTE(AF345,CHAR(10), """"),"",:""), 0) + 1)"),"#VALUE!")</f>
        <v>#VALUE!</v>
      </c>
      <c r="AF345" s="131"/>
      <c r="AG345" s="53"/>
      <c r="AH345" s="53"/>
      <c r="AI345" s="87"/>
      <c r="AJ345" s="84" t="s">
        <v>2520</v>
      </c>
      <c r="AK345" s="87"/>
      <c r="AL345" s="81">
        <v>0.0</v>
      </c>
      <c r="AM345" s="84"/>
      <c r="AN345" s="83">
        <v>1.0</v>
      </c>
      <c r="AO345" s="90"/>
      <c r="AP345" s="16">
        <v>0.0</v>
      </c>
      <c r="AQ345" s="21">
        <v>1.0</v>
      </c>
      <c r="AR345" s="39"/>
      <c r="AS345" s="81">
        <v>0.0</v>
      </c>
      <c r="AT345" s="81">
        <v>0.0</v>
      </c>
      <c r="AU345" s="39"/>
      <c r="AV345" s="82"/>
      <c r="AW345" s="82"/>
      <c r="AX345" s="82"/>
      <c r="AY345" s="7"/>
      <c r="AZ345" s="7"/>
      <c r="BA345" s="7"/>
      <c r="BB345" s="7"/>
      <c r="BC345" s="7"/>
      <c r="BD345" s="7"/>
      <c r="BE345" s="7"/>
      <c r="BF345" s="7">
        <v>1000000.0</v>
      </c>
      <c r="BG345" s="13"/>
      <c r="BH345" s="82"/>
      <c r="BI345" s="82"/>
      <c r="BJ345" s="82"/>
      <c r="BK345" s="82"/>
      <c r="BL345" s="82"/>
      <c r="BM345" s="82"/>
      <c r="BN345" s="7"/>
      <c r="BO345" s="7">
        <v>4.0</v>
      </c>
      <c r="BP345" s="82"/>
      <c r="BQ345" s="7"/>
      <c r="BR345" s="7" t="s">
        <v>196</v>
      </c>
    </row>
    <row r="346">
      <c r="A346" s="16">
        <v>82.0</v>
      </c>
      <c r="B346" s="16" t="s">
        <v>914</v>
      </c>
      <c r="C346" s="53">
        <v>0.0</v>
      </c>
      <c r="D346" s="53"/>
      <c r="E346" s="7">
        <v>644.0</v>
      </c>
      <c r="F346" s="53"/>
      <c r="G346" s="7"/>
      <c r="H346" s="16">
        <v>0.0</v>
      </c>
      <c r="I346" s="16">
        <v>0.0</v>
      </c>
      <c r="J346" s="39" t="s">
        <v>115</v>
      </c>
      <c r="K346" s="53"/>
      <c r="L346" s="53"/>
      <c r="M346" s="39" t="str">
        <f t="shared" si="1"/>
        <v>[ A. Chalmers; T. Davis; and E. Reinhard 2002 (2002)]</v>
      </c>
      <c r="N346" s="39" t="s">
        <v>3455</v>
      </c>
      <c r="O346" s="81">
        <v>2002.0</v>
      </c>
      <c r="P346" s="39"/>
      <c r="Q346" s="82"/>
      <c r="R346" s="82"/>
      <c r="S346" s="82"/>
      <c r="T346" s="16">
        <v>0.0</v>
      </c>
      <c r="U346" s="16">
        <v>0.0</v>
      </c>
      <c r="V346" s="89">
        <f>IFERROR(__xludf.DUMMYFUNCTION("INDEX(SPLIT(SUBSTITUTE(W346,CHAR(10), """"),"",:""), MATCH(Z346, SPLIT(SUBSTITUTE(W346,CHAR(10), """"),"",:""), 0) + 1)"),5.0)</f>
        <v>5</v>
      </c>
      <c r="W346" s="85" t="s">
        <v>1938</v>
      </c>
      <c r="X346" s="39" t="s">
        <v>115</v>
      </c>
      <c r="Y346" s="53"/>
      <c r="Z346" s="53" t="str">
        <f t="array" ref="Z346">INDEX(Problems!J:J, MATCH(1, (Problems!B:B=B346)*1, 0))</f>
        <v>n</v>
      </c>
      <c r="AA346" s="53"/>
      <c r="AB346" s="53"/>
      <c r="AC346" s="53"/>
      <c r="AD346" s="53"/>
      <c r="AE346" s="85" t="str">
        <f>IFERROR(__xludf.DUMMYFUNCTION("INDEX(SPLIT(SUBSTITUTE(AF346,CHAR(10), """"),"",:""), MATCH(Z346, SPLIT(SUBSTITUTE(AF346,CHAR(10), """"),"",:""), 0) + 1)"),"#VALUE!")</f>
        <v>#VALUE!</v>
      </c>
      <c r="AF346" s="131"/>
      <c r="AG346" s="53"/>
      <c r="AH346" s="53"/>
      <c r="AI346" s="87"/>
      <c r="AJ346" s="84" t="s">
        <v>2520</v>
      </c>
      <c r="AK346" s="87"/>
      <c r="AL346" s="81">
        <v>0.0</v>
      </c>
      <c r="AM346" s="84"/>
      <c r="AN346" s="83">
        <v>1.0</v>
      </c>
      <c r="AO346" s="90"/>
      <c r="AP346" s="16">
        <v>0.0</v>
      </c>
      <c r="AQ346" s="21">
        <v>1.0</v>
      </c>
      <c r="AR346" s="39"/>
      <c r="AS346" s="81">
        <v>0.0</v>
      </c>
      <c r="AT346" s="81">
        <v>0.0</v>
      </c>
      <c r="AU346" s="39"/>
      <c r="AV346" s="82"/>
      <c r="AW346" s="82"/>
      <c r="AX346" s="82"/>
      <c r="AY346" s="7"/>
      <c r="AZ346" s="7"/>
      <c r="BA346" s="7"/>
      <c r="BB346" s="7"/>
      <c r="BC346" s="7"/>
      <c r="BD346" s="7"/>
      <c r="BE346" s="7"/>
      <c r="BF346" s="7">
        <v>1000000.0</v>
      </c>
      <c r="BG346" s="13"/>
      <c r="BH346" s="82"/>
      <c r="BI346" s="82"/>
      <c r="BJ346" s="82"/>
      <c r="BK346" s="82"/>
      <c r="BL346" s="82"/>
      <c r="BM346" s="82"/>
      <c r="BN346" s="7"/>
      <c r="BO346" s="7">
        <v>4.0</v>
      </c>
      <c r="BP346" s="82"/>
      <c r="BQ346" s="7"/>
      <c r="BR346" s="7" t="s">
        <v>196</v>
      </c>
    </row>
    <row r="347">
      <c r="A347" s="35">
        <v>93.0</v>
      </c>
      <c r="B347" s="35" t="s">
        <v>984</v>
      </c>
      <c r="C347" s="53">
        <v>0.0</v>
      </c>
      <c r="D347" s="53" t="s">
        <v>985</v>
      </c>
      <c r="E347" s="7">
        <v>717.0</v>
      </c>
      <c r="F347" s="53"/>
      <c r="G347" s="6"/>
      <c r="H347" s="35">
        <v>0.0</v>
      </c>
      <c r="I347" s="35">
        <v>0.0</v>
      </c>
      <c r="J347" s="69" t="s">
        <v>834</v>
      </c>
      <c r="K347" s="99"/>
      <c r="L347" s="99"/>
      <c r="M347" s="39" t="str">
        <f t="shared" si="1"/>
        <v>[https://www.ri.cmu.edu/pub_files/pub4/moravec_hans_1980_1/moravec_hans_1980_1.pdf Moravec's algorithm 1980 (1980)]</v>
      </c>
      <c r="N347" s="69" t="s">
        <v>3456</v>
      </c>
      <c r="O347" s="98">
        <v>1980.0</v>
      </c>
      <c r="P347" s="106" t="s">
        <v>3457</v>
      </c>
      <c r="Q347" s="13"/>
      <c r="R347" s="13"/>
      <c r="S347" s="13"/>
      <c r="T347" s="35">
        <v>1.0</v>
      </c>
      <c r="U347" s="35">
        <v>0.0</v>
      </c>
      <c r="V347" s="89">
        <f>IFERROR(__xludf.DUMMYFUNCTION("INDEX(SPLIT(SUBSTITUTE(W347,CHAR(10), """"),"",:""), MATCH(Z347, SPLIT(SUBSTITUTE(W347,CHAR(10), """"),"",:""), 0) + 1)"),6.0)</f>
        <v>6</v>
      </c>
      <c r="W347" s="102" t="s">
        <v>2008</v>
      </c>
      <c r="X347" s="69" t="s">
        <v>834</v>
      </c>
      <c r="Y347" s="41"/>
      <c r="Z347" s="53" t="str">
        <f t="array" ref="Z347">INDEX(Problems!J:J, MATCH(1, (Problems!B:B=B347)*1, 0))</f>
        <v>n</v>
      </c>
      <c r="AA347" s="41"/>
      <c r="AB347" s="41"/>
      <c r="AC347" s="41"/>
      <c r="AD347" s="41"/>
      <c r="AE347" s="85" t="str">
        <f>IFERROR(__xludf.DUMMYFUNCTION("INDEX(SPLIT(SUBSTITUTE(AF347,CHAR(10), """"),"",:""), MATCH(Z347, SPLIT(SUBSTITUTE(AF347,CHAR(10), """"),"",:""), 0) + 1)"),"#VALUE!")</f>
        <v>#VALUE!</v>
      </c>
      <c r="AF347" s="150"/>
      <c r="AG347" s="41"/>
      <c r="AH347" s="41"/>
      <c r="AI347" s="105"/>
      <c r="AJ347" s="84" t="s">
        <v>2520</v>
      </c>
      <c r="AK347" s="105"/>
      <c r="AL347" s="98">
        <v>0.0</v>
      </c>
      <c r="AM347" s="104"/>
      <c r="AN347" s="35">
        <v>1.0</v>
      </c>
      <c r="AO347" s="110"/>
      <c r="AP347" s="35">
        <v>0.0</v>
      </c>
      <c r="AQ347" s="35">
        <v>0.0</v>
      </c>
      <c r="AR347" s="69"/>
      <c r="AS347" s="98">
        <v>0.0</v>
      </c>
      <c r="AT347" s="98">
        <v>0.0</v>
      </c>
      <c r="AU347" s="100" t="s">
        <v>3458</v>
      </c>
      <c r="AV347" s="13"/>
      <c r="AW347" s="13"/>
      <c r="AX347" s="13"/>
      <c r="AY347" s="13"/>
      <c r="AZ347" s="122"/>
      <c r="BA347" s="122"/>
      <c r="BB347" s="122"/>
      <c r="BC347" s="122"/>
      <c r="BD347" s="122"/>
      <c r="BE347" s="122"/>
      <c r="BF347" s="122">
        <v>1.0E9</v>
      </c>
      <c r="BG347" s="13"/>
      <c r="BH347" s="13"/>
      <c r="BI347" s="13"/>
      <c r="BJ347" s="13"/>
      <c r="BK347" s="13"/>
      <c r="BL347" s="13"/>
      <c r="BM347" s="13"/>
      <c r="BN347" s="6"/>
      <c r="BO347" s="6">
        <v>3.0</v>
      </c>
      <c r="BP347" s="13"/>
      <c r="BQ347" s="13"/>
      <c r="BR347" s="6" t="s">
        <v>196</v>
      </c>
    </row>
    <row r="348">
      <c r="A348" s="35">
        <v>93.0</v>
      </c>
      <c r="B348" s="35" t="s">
        <v>984</v>
      </c>
      <c r="C348" s="53">
        <v>0.0</v>
      </c>
      <c r="D348" s="53" t="s">
        <v>985</v>
      </c>
      <c r="E348" s="7">
        <v>719.0</v>
      </c>
      <c r="F348" s="53"/>
      <c r="G348" s="6"/>
      <c r="H348" s="35">
        <v>0.0</v>
      </c>
      <c r="I348" s="35">
        <v>0.0</v>
      </c>
      <c r="J348" s="69" t="s">
        <v>3459</v>
      </c>
      <c r="K348" s="99"/>
      <c r="L348" s="99"/>
      <c r="M348" s="39" t="str">
        <f t="shared" si="1"/>
        <v>[ Förstner algorithm 1987 (1987)]</v>
      </c>
      <c r="N348" s="69" t="s">
        <v>3460</v>
      </c>
      <c r="O348" s="98">
        <v>1987.0</v>
      </c>
      <c r="P348" s="69"/>
      <c r="Q348" s="13"/>
      <c r="R348" s="13"/>
      <c r="S348" s="13"/>
      <c r="T348" s="35">
        <v>1.0</v>
      </c>
      <c r="U348" s="35">
        <v>0.0</v>
      </c>
      <c r="V348" s="89">
        <f>IFERROR(__xludf.DUMMYFUNCTION("INDEX(SPLIT(SUBSTITUTE(W348,CHAR(10), """"),"",:""), MATCH(Z348, SPLIT(SUBSTITUTE(W348,CHAR(10), """"),"",:""), 0) + 1)"),5.02)</f>
        <v>5.02</v>
      </c>
      <c r="W348" s="102" t="s">
        <v>3461</v>
      </c>
      <c r="X348" s="35" t="s">
        <v>3462</v>
      </c>
      <c r="Y348" s="41"/>
      <c r="Z348" s="53" t="str">
        <f t="array" ref="Z348">INDEX(Problems!J:J, MATCH(1, (Problems!B:B=B348)*1, 0))</f>
        <v>n</v>
      </c>
      <c r="AA348" s="41"/>
      <c r="AB348" s="41"/>
      <c r="AC348" s="41"/>
      <c r="AD348" s="41"/>
      <c r="AE348" s="85" t="str">
        <f>IFERROR(__xludf.DUMMYFUNCTION("INDEX(SPLIT(SUBSTITUTE(AF348,CHAR(10), """"),"",:""), MATCH(Z348, SPLIT(SUBSTITUTE(AF348,CHAR(10), """"),"",:""), 0) + 1)"),"#VALUE!")</f>
        <v>#VALUE!</v>
      </c>
      <c r="AF348" s="102"/>
      <c r="AG348" s="41"/>
      <c r="AH348" s="41"/>
      <c r="AI348" s="104"/>
      <c r="AJ348" s="84" t="s">
        <v>2520</v>
      </c>
      <c r="AK348" s="104"/>
      <c r="AL348" s="35">
        <v>0.0</v>
      </c>
      <c r="AM348" s="104"/>
      <c r="AN348" s="35">
        <v>1.0</v>
      </c>
      <c r="AO348" s="110"/>
      <c r="AP348" s="35">
        <v>0.0</v>
      </c>
      <c r="AQ348" s="35">
        <v>0.0</v>
      </c>
      <c r="AR348" s="69"/>
      <c r="AS348" s="98">
        <v>0.0</v>
      </c>
      <c r="AT348" s="98">
        <v>0.0</v>
      </c>
      <c r="AU348" s="69"/>
      <c r="AV348" s="13"/>
      <c r="AW348" s="13"/>
      <c r="AX348" s="13"/>
      <c r="AY348" s="13"/>
      <c r="AZ348" s="122"/>
      <c r="BA348" s="122"/>
      <c r="BB348" s="122"/>
      <c r="BC348" s="122"/>
      <c r="BD348" s="122"/>
      <c r="BE348" s="122"/>
      <c r="BF348" s="122">
        <v>9931685.0</v>
      </c>
      <c r="BG348" s="13"/>
      <c r="BH348" s="13"/>
      <c r="BI348" s="13"/>
      <c r="BJ348" s="13"/>
      <c r="BK348" s="13"/>
      <c r="BL348" s="13"/>
      <c r="BM348" s="13"/>
      <c r="BN348" s="6"/>
      <c r="BO348" s="6">
        <v>3.0</v>
      </c>
      <c r="BP348" s="13"/>
      <c r="BQ348" s="13"/>
      <c r="BR348" s="6" t="s">
        <v>196</v>
      </c>
    </row>
    <row r="349">
      <c r="A349" s="35">
        <v>93.0</v>
      </c>
      <c r="B349" s="35" t="s">
        <v>984</v>
      </c>
      <c r="C349" s="53">
        <v>0.0</v>
      </c>
      <c r="D349" s="53" t="s">
        <v>985</v>
      </c>
      <c r="E349" s="7">
        <v>721.0</v>
      </c>
      <c r="F349" s="53"/>
      <c r="G349" s="6"/>
      <c r="H349" s="35">
        <v>0.0</v>
      </c>
      <c r="I349" s="35">
        <v>0.0</v>
      </c>
      <c r="J349" s="69" t="s">
        <v>834</v>
      </c>
      <c r="K349" s="99"/>
      <c r="L349" s="99"/>
      <c r="M349" s="39" t="str">
        <f t="shared" si="1"/>
        <v>[https://www.osapublishing.org/josaa/abstract.cfm?uri=josaa-5-7-1136 J. J. Koenderink and W. Richards 1988 (1988)]</v>
      </c>
      <c r="N349" s="69" t="s">
        <v>3463</v>
      </c>
      <c r="O349" s="98">
        <v>1988.0</v>
      </c>
      <c r="P349" s="106" t="s">
        <v>3464</v>
      </c>
      <c r="Q349" s="13"/>
      <c r="R349" s="13"/>
      <c r="S349" s="13"/>
      <c r="T349" s="35">
        <v>0.0</v>
      </c>
      <c r="U349" s="35">
        <v>0.0</v>
      </c>
      <c r="V349" s="89">
        <f>IFERROR(__xludf.DUMMYFUNCTION("INDEX(SPLIT(SUBSTITUTE(W349,CHAR(10), """"),"",:""), MATCH(Z349, SPLIT(SUBSTITUTE(W349,CHAR(10), """"),"",:""), 0) + 1)"),6.0)</f>
        <v>6</v>
      </c>
      <c r="W349" s="102" t="s">
        <v>2008</v>
      </c>
      <c r="X349" s="69" t="s">
        <v>834</v>
      </c>
      <c r="Y349" s="41"/>
      <c r="Z349" s="53" t="str">
        <f t="array" ref="Z349">INDEX(Problems!J:J, MATCH(1, (Problems!B:B=B349)*1, 0))</f>
        <v>n</v>
      </c>
      <c r="AA349" s="41"/>
      <c r="AB349" s="41"/>
      <c r="AC349" s="41"/>
      <c r="AD349" s="41"/>
      <c r="AE349" s="85" t="str">
        <f>IFERROR(__xludf.DUMMYFUNCTION("INDEX(SPLIT(SUBSTITUTE(AF349,CHAR(10), """"),"",:""), MATCH(Z349, SPLIT(SUBSTITUTE(AF349,CHAR(10), """"),"",:""), 0) + 1)"),"#VALUE!")</f>
        <v>#VALUE!</v>
      </c>
      <c r="AF349" s="102"/>
      <c r="AG349" s="41"/>
      <c r="AH349" s="41"/>
      <c r="AI349" s="104"/>
      <c r="AJ349" s="84" t="s">
        <v>2520</v>
      </c>
      <c r="AK349" s="104"/>
      <c r="AL349" s="35">
        <v>0.0</v>
      </c>
      <c r="AM349" s="104"/>
      <c r="AN349" s="35">
        <v>1.0</v>
      </c>
      <c r="AO349" s="110"/>
      <c r="AP349" s="35">
        <v>0.0</v>
      </c>
      <c r="AQ349" s="35">
        <v>0.0</v>
      </c>
      <c r="AR349" s="69"/>
      <c r="AS349" s="98">
        <v>0.0</v>
      </c>
      <c r="AT349" s="98">
        <v>0.0</v>
      </c>
      <c r="AU349" s="69"/>
      <c r="AV349" s="13"/>
      <c r="AW349" s="13"/>
      <c r="AX349" s="13"/>
      <c r="AY349" s="13"/>
      <c r="AZ349" s="122"/>
      <c r="BA349" s="122"/>
      <c r="BB349" s="122"/>
      <c r="BC349" s="122"/>
      <c r="BD349" s="122"/>
      <c r="BE349" s="122"/>
      <c r="BF349" s="122">
        <v>1.0E9</v>
      </c>
      <c r="BG349" s="13"/>
      <c r="BH349" s="13"/>
      <c r="BI349" s="13"/>
      <c r="BJ349" s="13"/>
      <c r="BK349" s="13"/>
      <c r="BL349" s="13"/>
      <c r="BM349" s="13"/>
      <c r="BN349" s="6"/>
      <c r="BO349" s="6">
        <v>3.0</v>
      </c>
      <c r="BP349" s="13"/>
      <c r="BQ349" s="13"/>
      <c r="BR349" s="6" t="s">
        <v>196</v>
      </c>
    </row>
    <row r="350">
      <c r="A350" s="35">
        <v>93.0</v>
      </c>
      <c r="B350" s="35" t="s">
        <v>984</v>
      </c>
      <c r="C350" s="53">
        <v>0.0</v>
      </c>
      <c r="D350" s="53" t="s">
        <v>985</v>
      </c>
      <c r="E350" s="7">
        <v>722.0</v>
      </c>
      <c r="F350" s="53"/>
      <c r="G350" s="6"/>
      <c r="H350" s="35">
        <v>0.0</v>
      </c>
      <c r="I350" s="35">
        <v>0.0</v>
      </c>
      <c r="J350" s="69" t="s">
        <v>115</v>
      </c>
      <c r="K350" s="99"/>
      <c r="L350" s="99"/>
      <c r="M350" s="39" t="str">
        <f t="shared" si="1"/>
        <v>[ Lindeberg (1994) (1994)]</v>
      </c>
      <c r="N350" s="69" t="s">
        <v>3465</v>
      </c>
      <c r="O350" s="98">
        <v>1994.0</v>
      </c>
      <c r="P350" s="69"/>
      <c r="Q350" s="13"/>
      <c r="R350" s="13"/>
      <c r="S350" s="13"/>
      <c r="T350" s="35">
        <v>0.0</v>
      </c>
      <c r="U350" s="35">
        <v>0.0</v>
      </c>
      <c r="V350" s="89">
        <f>IFERROR(__xludf.DUMMYFUNCTION("INDEX(SPLIT(SUBSTITUTE(W350,CHAR(10), """"),"",:""), MATCH(Z350, SPLIT(SUBSTITUTE(W350,CHAR(10), """"),"",:""), 0) + 1)"),5.0)</f>
        <v>5</v>
      </c>
      <c r="W350" s="102" t="s">
        <v>1938</v>
      </c>
      <c r="X350" s="69" t="s">
        <v>115</v>
      </c>
      <c r="Y350" s="41"/>
      <c r="Z350" s="53" t="str">
        <f t="array" ref="Z350">INDEX(Problems!J:J, MATCH(1, (Problems!B:B=B350)*1, 0))</f>
        <v>n</v>
      </c>
      <c r="AA350" s="41"/>
      <c r="AB350" s="41"/>
      <c r="AC350" s="41"/>
      <c r="AD350" s="41"/>
      <c r="AE350" s="85" t="str">
        <f>IFERROR(__xludf.DUMMYFUNCTION("INDEX(SPLIT(SUBSTITUTE(AF350,CHAR(10), """"),"",:""), MATCH(Z350, SPLIT(SUBSTITUTE(AF350,CHAR(10), """"),"",:""), 0) + 1)"),"#VALUE!")</f>
        <v>#VALUE!</v>
      </c>
      <c r="AF350" s="102"/>
      <c r="AG350" s="41"/>
      <c r="AH350" s="41"/>
      <c r="AI350" s="104"/>
      <c r="AJ350" s="84" t="s">
        <v>2520</v>
      </c>
      <c r="AK350" s="104"/>
      <c r="AL350" s="35">
        <v>0.0</v>
      </c>
      <c r="AM350" s="104"/>
      <c r="AN350" s="35">
        <v>1.0</v>
      </c>
      <c r="AO350" s="110"/>
      <c r="AP350" s="35">
        <v>0.0</v>
      </c>
      <c r="AQ350" s="35">
        <v>0.0</v>
      </c>
      <c r="AR350" s="69"/>
      <c r="AS350" s="98">
        <v>0.0</v>
      </c>
      <c r="AT350" s="98">
        <v>0.0</v>
      </c>
      <c r="AU350" s="69"/>
      <c r="AV350" s="13"/>
      <c r="AW350" s="13"/>
      <c r="AX350" s="13"/>
      <c r="AY350" s="13"/>
      <c r="AZ350" s="6"/>
      <c r="BA350" s="6"/>
      <c r="BB350" s="6"/>
      <c r="BC350" s="6"/>
      <c r="BD350" s="6"/>
      <c r="BE350" s="6"/>
      <c r="BF350" s="6">
        <v>1000000.0</v>
      </c>
      <c r="BG350" s="13"/>
      <c r="BH350" s="13"/>
      <c r="BI350" s="13"/>
      <c r="BJ350" s="13"/>
      <c r="BK350" s="13"/>
      <c r="BL350" s="13"/>
      <c r="BM350" s="13"/>
      <c r="BN350" s="6"/>
      <c r="BO350" s="6">
        <v>3.0</v>
      </c>
      <c r="BP350" s="13"/>
      <c r="BQ350" s="13"/>
      <c r="BR350" s="6" t="s">
        <v>196</v>
      </c>
    </row>
    <row r="351">
      <c r="A351" s="35">
        <v>93.0</v>
      </c>
      <c r="B351" s="35" t="s">
        <v>984</v>
      </c>
      <c r="C351" s="53">
        <v>0.0</v>
      </c>
      <c r="D351" s="53" t="s">
        <v>985</v>
      </c>
      <c r="E351" s="7">
        <v>723.0</v>
      </c>
      <c r="F351" s="53"/>
      <c r="G351" s="6"/>
      <c r="H351" s="35">
        <v>0.0</v>
      </c>
      <c r="I351" s="35">
        <v>0.0</v>
      </c>
      <c r="J351" s="69" t="s">
        <v>115</v>
      </c>
      <c r="K351" s="99"/>
      <c r="L351" s="99"/>
      <c r="M351" s="39" t="str">
        <f t="shared" si="1"/>
        <v>[https://link.springer.com/article/10.1023/A:1008045108935 Lindeberg (1998) (1998)]</v>
      </c>
      <c r="N351" s="69" t="s">
        <v>3466</v>
      </c>
      <c r="O351" s="98">
        <v>1998.0</v>
      </c>
      <c r="P351" s="106" t="s">
        <v>3467</v>
      </c>
      <c r="Q351" s="13"/>
      <c r="R351" s="13"/>
      <c r="S351" s="13"/>
      <c r="T351" s="35">
        <v>0.0</v>
      </c>
      <c r="U351" s="35">
        <v>0.0</v>
      </c>
      <c r="V351" s="89">
        <f>IFERROR(__xludf.DUMMYFUNCTION("INDEX(SPLIT(SUBSTITUTE(W351,CHAR(10), """"),"",:""), MATCH(Z351, SPLIT(SUBSTITUTE(W351,CHAR(10), """"),"",:""), 0) + 1)"),5.0)</f>
        <v>5</v>
      </c>
      <c r="W351" s="102" t="s">
        <v>1938</v>
      </c>
      <c r="X351" s="69" t="s">
        <v>115</v>
      </c>
      <c r="Y351" s="41"/>
      <c r="Z351" s="53" t="str">
        <f t="array" ref="Z351">INDEX(Problems!J:J, MATCH(1, (Problems!B:B=B351)*1, 0))</f>
        <v>n</v>
      </c>
      <c r="AA351" s="41"/>
      <c r="AB351" s="41"/>
      <c r="AC351" s="41"/>
      <c r="AD351" s="41"/>
      <c r="AE351" s="85" t="str">
        <f>IFERROR(__xludf.DUMMYFUNCTION("INDEX(SPLIT(SUBSTITUTE(AF351,CHAR(10), """"),"",:""), MATCH(Z351, SPLIT(SUBSTITUTE(AF351,CHAR(10), """"),"",:""), 0) + 1)"),"#VALUE!")</f>
        <v>#VALUE!</v>
      </c>
      <c r="AF351" s="102"/>
      <c r="AG351" s="41"/>
      <c r="AH351" s="41"/>
      <c r="AI351" s="104"/>
      <c r="AJ351" s="84" t="s">
        <v>2520</v>
      </c>
      <c r="AK351" s="104"/>
      <c r="AL351" s="35">
        <v>0.0</v>
      </c>
      <c r="AM351" s="104"/>
      <c r="AN351" s="35">
        <v>1.0</v>
      </c>
      <c r="AO351" s="110"/>
      <c r="AP351" s="35">
        <v>0.0</v>
      </c>
      <c r="AQ351" s="35">
        <v>0.0</v>
      </c>
      <c r="AR351" s="69"/>
      <c r="AS351" s="98">
        <v>0.0</v>
      </c>
      <c r="AT351" s="98">
        <v>0.0</v>
      </c>
      <c r="AU351" s="69"/>
      <c r="AV351" s="13"/>
      <c r="AW351" s="13"/>
      <c r="AX351" s="13"/>
      <c r="AY351" s="13"/>
      <c r="AZ351" s="6"/>
      <c r="BA351" s="6"/>
      <c r="BB351" s="6"/>
      <c r="BC351" s="6"/>
      <c r="BD351" s="6"/>
      <c r="BE351" s="6"/>
      <c r="BF351" s="6">
        <v>1000000.0</v>
      </c>
      <c r="BG351" s="13"/>
      <c r="BH351" s="13"/>
      <c r="BI351" s="13"/>
      <c r="BJ351" s="13"/>
      <c r="BK351" s="13"/>
      <c r="BL351" s="13"/>
      <c r="BM351" s="13"/>
      <c r="BN351" s="6"/>
      <c r="BO351" s="6">
        <v>3.0</v>
      </c>
      <c r="BP351" s="13"/>
      <c r="BQ351" s="13"/>
      <c r="BR351" s="6" t="s">
        <v>196</v>
      </c>
    </row>
    <row r="352">
      <c r="A352" s="35">
        <v>93.0</v>
      </c>
      <c r="B352" s="35" t="s">
        <v>984</v>
      </c>
      <c r="C352" s="53">
        <v>0.0</v>
      </c>
      <c r="D352" s="53" t="s">
        <v>985</v>
      </c>
      <c r="E352" s="7">
        <v>724.0</v>
      </c>
      <c r="F352" s="53"/>
      <c r="G352" s="6"/>
      <c r="H352" s="35">
        <v>0.0</v>
      </c>
      <c r="I352" s="35">
        <v>0.0</v>
      </c>
      <c r="J352" s="69" t="s">
        <v>115</v>
      </c>
      <c r="K352" s="99"/>
      <c r="L352" s="99"/>
      <c r="M352" s="39" t="str">
        <f t="shared" si="1"/>
        <v>[https://www.robots.ox.ac.uk/~vgg/research/affine/det_eval_files/mikolajczyk_pami2004.pdf K. Mikolajczyk; K. and C. Schmid LoG 2004 (2004)]</v>
      </c>
      <c r="N352" s="69" t="s">
        <v>3468</v>
      </c>
      <c r="O352" s="98">
        <v>2004.0</v>
      </c>
      <c r="P352" s="106" t="s">
        <v>3469</v>
      </c>
      <c r="Q352" s="13"/>
      <c r="R352" s="13"/>
      <c r="S352" s="13"/>
      <c r="T352" s="35">
        <v>0.0</v>
      </c>
      <c r="U352" s="35">
        <v>0.0</v>
      </c>
      <c r="V352" s="89">
        <f>IFERROR(__xludf.DUMMYFUNCTION("INDEX(SPLIT(SUBSTITUTE(W352,CHAR(10), """"),"",:""), MATCH(Z352, SPLIT(SUBSTITUTE(W352,CHAR(10), """"),"",:""), 0) + 1)"),5.0)</f>
        <v>5</v>
      </c>
      <c r="W352" s="102" t="s">
        <v>1938</v>
      </c>
      <c r="X352" s="69" t="s">
        <v>115</v>
      </c>
      <c r="Y352" s="41"/>
      <c r="Z352" s="53" t="str">
        <f t="array" ref="Z352">INDEX(Problems!J:J, MATCH(1, (Problems!B:B=B352)*1, 0))</f>
        <v>n</v>
      </c>
      <c r="AA352" s="41"/>
      <c r="AB352" s="41"/>
      <c r="AC352" s="41"/>
      <c r="AD352" s="41"/>
      <c r="AE352" s="85" t="str">
        <f>IFERROR(__xludf.DUMMYFUNCTION("INDEX(SPLIT(SUBSTITUTE(AF352,CHAR(10), """"),"",:""), MATCH(Z352, SPLIT(SUBSTITUTE(AF352,CHAR(10), """"),"",:""), 0) + 1)"),"#VALUE!")</f>
        <v>#VALUE!</v>
      </c>
      <c r="AF352" s="102"/>
      <c r="AG352" s="41"/>
      <c r="AH352" s="41"/>
      <c r="AI352" s="104"/>
      <c r="AJ352" s="84" t="s">
        <v>2520</v>
      </c>
      <c r="AK352" s="104"/>
      <c r="AL352" s="35">
        <v>0.0</v>
      </c>
      <c r="AM352" s="104"/>
      <c r="AN352" s="35">
        <v>1.0</v>
      </c>
      <c r="AO352" s="110"/>
      <c r="AP352" s="35">
        <v>0.0</v>
      </c>
      <c r="AQ352" s="35">
        <v>0.0</v>
      </c>
      <c r="AR352" s="69"/>
      <c r="AS352" s="98">
        <v>0.0</v>
      </c>
      <c r="AT352" s="98">
        <v>0.0</v>
      </c>
      <c r="AU352" s="69"/>
      <c r="AV352" s="13"/>
      <c r="AW352" s="13"/>
      <c r="AX352" s="13"/>
      <c r="AY352" s="13"/>
      <c r="AZ352" s="6"/>
      <c r="BA352" s="6"/>
      <c r="BB352" s="6"/>
      <c r="BC352" s="6"/>
      <c r="BD352" s="6"/>
      <c r="BE352" s="6"/>
      <c r="BF352" s="6">
        <v>1000000.0</v>
      </c>
      <c r="BG352" s="13"/>
      <c r="BH352" s="13"/>
      <c r="BI352" s="13"/>
      <c r="BJ352" s="13"/>
      <c r="BK352" s="13"/>
      <c r="BL352" s="13"/>
      <c r="BM352" s="13"/>
      <c r="BN352" s="6"/>
      <c r="BO352" s="6">
        <v>3.0</v>
      </c>
      <c r="BP352" s="13"/>
      <c r="BQ352" s="13"/>
      <c r="BR352" s="6" t="s">
        <v>196</v>
      </c>
    </row>
    <row r="353">
      <c r="A353" s="35">
        <v>93.0</v>
      </c>
      <c r="B353" s="35" t="s">
        <v>984</v>
      </c>
      <c r="C353" s="53">
        <v>0.0</v>
      </c>
      <c r="D353" s="53" t="s">
        <v>985</v>
      </c>
      <c r="E353" s="7">
        <v>725.0</v>
      </c>
      <c r="F353" s="53"/>
      <c r="G353" s="6"/>
      <c r="H353" s="35">
        <v>0.0</v>
      </c>
      <c r="I353" s="35">
        <v>0.0</v>
      </c>
      <c r="J353" s="69" t="s">
        <v>115</v>
      </c>
      <c r="K353" s="99"/>
      <c r="L353" s="99"/>
      <c r="M353" s="39" t="str">
        <f t="shared" si="1"/>
        <v>[https://www.cs.ubc.ca/~lowe/papers/ijcv04.pdf Lowe (2004) (2004)]</v>
      </c>
      <c r="N353" s="69" t="s">
        <v>3470</v>
      </c>
      <c r="O353" s="98">
        <v>2004.0</v>
      </c>
      <c r="P353" s="106" t="s">
        <v>3471</v>
      </c>
      <c r="Q353" s="13"/>
      <c r="R353" s="13"/>
      <c r="S353" s="13"/>
      <c r="T353" s="35">
        <v>0.0</v>
      </c>
      <c r="U353" s="35">
        <v>0.0</v>
      </c>
      <c r="V353" s="89">
        <f>IFERROR(__xludf.DUMMYFUNCTION("INDEX(SPLIT(SUBSTITUTE(W353,CHAR(10), """"),"",:""), MATCH(Z353, SPLIT(SUBSTITUTE(W353,CHAR(10), """"),"",:""), 0) + 1)"),5.0)</f>
        <v>5</v>
      </c>
      <c r="W353" s="102" t="s">
        <v>1938</v>
      </c>
      <c r="X353" s="69" t="s">
        <v>115</v>
      </c>
      <c r="Y353" s="41"/>
      <c r="Z353" s="53" t="str">
        <f t="array" ref="Z353">INDEX(Problems!J:J, MATCH(1, (Problems!B:B=B353)*1, 0))</f>
        <v>n</v>
      </c>
      <c r="AA353" s="41"/>
      <c r="AB353" s="41"/>
      <c r="AC353" s="41"/>
      <c r="AD353" s="41"/>
      <c r="AE353" s="85" t="str">
        <f>IFERROR(__xludf.DUMMYFUNCTION("INDEX(SPLIT(SUBSTITUTE(AF353,CHAR(10), """"),"",:""), MATCH(Z353, SPLIT(SUBSTITUTE(AF353,CHAR(10), """"),"",:""), 0) + 1)"),"#VALUE!")</f>
        <v>#VALUE!</v>
      </c>
      <c r="AF353" s="102"/>
      <c r="AG353" s="41"/>
      <c r="AH353" s="41"/>
      <c r="AI353" s="104"/>
      <c r="AJ353" s="84" t="s">
        <v>2520</v>
      </c>
      <c r="AK353" s="104"/>
      <c r="AL353" s="35">
        <v>0.0</v>
      </c>
      <c r="AM353" s="104"/>
      <c r="AN353" s="35">
        <v>1.0</v>
      </c>
      <c r="AO353" s="110"/>
      <c r="AP353" s="35">
        <v>0.0</v>
      </c>
      <c r="AQ353" s="35">
        <v>0.0</v>
      </c>
      <c r="AR353" s="69"/>
      <c r="AS353" s="98">
        <v>0.0</v>
      </c>
      <c r="AT353" s="98">
        <v>0.0</v>
      </c>
      <c r="AU353" s="69"/>
      <c r="AV353" s="13"/>
      <c r="AW353" s="13"/>
      <c r="AX353" s="13"/>
      <c r="AY353" s="13"/>
      <c r="AZ353" s="6"/>
      <c r="BA353" s="6"/>
      <c r="BB353" s="6"/>
      <c r="BC353" s="6"/>
      <c r="BD353" s="6"/>
      <c r="BE353" s="6"/>
      <c r="BF353" s="6">
        <v>1000000.0</v>
      </c>
      <c r="BG353" s="13"/>
      <c r="BH353" s="13"/>
      <c r="BI353" s="13"/>
      <c r="BJ353" s="13"/>
      <c r="BK353" s="13"/>
      <c r="BL353" s="13"/>
      <c r="BM353" s="13"/>
      <c r="BN353" s="6"/>
      <c r="BO353" s="6">
        <v>3.0</v>
      </c>
      <c r="BP353" s="13"/>
      <c r="BQ353" s="13"/>
      <c r="BR353" s="6" t="s">
        <v>196</v>
      </c>
    </row>
    <row r="354">
      <c r="A354" s="35">
        <v>93.0</v>
      </c>
      <c r="B354" s="35" t="s">
        <v>984</v>
      </c>
      <c r="C354" s="53">
        <v>0.0</v>
      </c>
      <c r="D354" s="53" t="s">
        <v>985</v>
      </c>
      <c r="E354" s="7">
        <v>726.0</v>
      </c>
      <c r="F354" s="53"/>
      <c r="G354" s="6"/>
      <c r="H354" s="35">
        <v>0.0</v>
      </c>
      <c r="I354" s="35">
        <v>0.0</v>
      </c>
      <c r="J354" s="69" t="s">
        <v>115</v>
      </c>
      <c r="K354" s="99"/>
      <c r="L354" s="99"/>
      <c r="M354" s="39" t="str">
        <f t="shared" si="1"/>
        <v>[ T. Lindeberg and J. Garding (1997) (1997)]</v>
      </c>
      <c r="N354" s="69" t="s">
        <v>3472</v>
      </c>
      <c r="O354" s="98">
        <v>1997.0</v>
      </c>
      <c r="P354" s="69"/>
      <c r="Q354" s="13"/>
      <c r="R354" s="13"/>
      <c r="S354" s="13"/>
      <c r="T354" s="35">
        <v>0.0</v>
      </c>
      <c r="U354" s="35">
        <v>0.0</v>
      </c>
      <c r="V354" s="89">
        <f>IFERROR(__xludf.DUMMYFUNCTION("INDEX(SPLIT(SUBSTITUTE(W354,CHAR(10), """"),"",:""), MATCH(Z354, SPLIT(SUBSTITUTE(W354,CHAR(10), """"),"",:""), 0) + 1)"),5.0)</f>
        <v>5</v>
      </c>
      <c r="W354" s="102" t="s">
        <v>1938</v>
      </c>
      <c r="X354" s="69" t="s">
        <v>115</v>
      </c>
      <c r="Y354" s="41"/>
      <c r="Z354" s="53" t="str">
        <f t="array" ref="Z354">INDEX(Problems!J:J, MATCH(1, (Problems!B:B=B354)*1, 0))</f>
        <v>n</v>
      </c>
      <c r="AA354" s="41"/>
      <c r="AB354" s="41"/>
      <c r="AC354" s="41"/>
      <c r="AD354" s="41"/>
      <c r="AE354" s="85" t="str">
        <f>IFERROR(__xludf.DUMMYFUNCTION("INDEX(SPLIT(SUBSTITUTE(AF354,CHAR(10), """"),"",:""), MATCH(Z354, SPLIT(SUBSTITUTE(AF354,CHAR(10), """"),"",:""), 0) + 1)"),"#VALUE!")</f>
        <v>#VALUE!</v>
      </c>
      <c r="AF354" s="102"/>
      <c r="AG354" s="41"/>
      <c r="AH354" s="41"/>
      <c r="AI354" s="104"/>
      <c r="AJ354" s="84" t="s">
        <v>2520</v>
      </c>
      <c r="AK354" s="104"/>
      <c r="AL354" s="35">
        <v>0.0</v>
      </c>
      <c r="AM354" s="104"/>
      <c r="AN354" s="35">
        <v>1.0</v>
      </c>
      <c r="AO354" s="110"/>
      <c r="AP354" s="35">
        <v>0.0</v>
      </c>
      <c r="AQ354" s="35">
        <v>0.0</v>
      </c>
      <c r="AR354" s="69"/>
      <c r="AS354" s="98">
        <v>0.0</v>
      </c>
      <c r="AT354" s="98">
        <v>0.0</v>
      </c>
      <c r="AU354" s="69"/>
      <c r="AV354" s="13"/>
      <c r="AW354" s="13"/>
      <c r="AX354" s="13"/>
      <c r="AY354" s="13"/>
      <c r="AZ354" s="6"/>
      <c r="BA354" s="6"/>
      <c r="BB354" s="6"/>
      <c r="BC354" s="6"/>
      <c r="BD354" s="6"/>
      <c r="BE354" s="6"/>
      <c r="BF354" s="6">
        <v>1000000.0</v>
      </c>
      <c r="BG354" s="13"/>
      <c r="BH354" s="13"/>
      <c r="BI354" s="13"/>
      <c r="BJ354" s="13"/>
      <c r="BK354" s="13"/>
      <c r="BL354" s="13"/>
      <c r="BM354" s="13"/>
      <c r="BN354" s="6"/>
      <c r="BO354" s="6">
        <v>3.0</v>
      </c>
      <c r="BP354" s="13"/>
      <c r="BQ354" s="13"/>
      <c r="BR354" s="6" t="s">
        <v>196</v>
      </c>
    </row>
    <row r="355">
      <c r="A355" s="35">
        <v>93.0</v>
      </c>
      <c r="B355" s="35" t="s">
        <v>984</v>
      </c>
      <c r="C355" s="53">
        <v>0.0</v>
      </c>
      <c r="D355" s="53" t="s">
        <v>985</v>
      </c>
      <c r="E355" s="7">
        <v>727.0</v>
      </c>
      <c r="F355" s="53"/>
      <c r="G355" s="6"/>
      <c r="H355" s="35">
        <v>0.0</v>
      </c>
      <c r="I355" s="35">
        <v>0.0</v>
      </c>
      <c r="J355" s="69" t="s">
        <v>115</v>
      </c>
      <c r="K355" s="99"/>
      <c r="L355" s="99"/>
      <c r="M355" s="39" t="str">
        <f t="shared" si="1"/>
        <v>[ Lindeberg 2005 (2005)]</v>
      </c>
      <c r="N355" s="69" t="s">
        <v>3473</v>
      </c>
      <c r="O355" s="98">
        <v>2005.0</v>
      </c>
      <c r="P355" s="69"/>
      <c r="Q355" s="13"/>
      <c r="R355" s="13"/>
      <c r="S355" s="13"/>
      <c r="T355" s="35">
        <v>0.0</v>
      </c>
      <c r="U355" s="35">
        <v>0.0</v>
      </c>
      <c r="V355" s="89">
        <f>IFERROR(__xludf.DUMMYFUNCTION("INDEX(SPLIT(SUBSTITUTE(W355,CHAR(10), """"),"",:""), MATCH(Z355, SPLIT(SUBSTITUTE(W355,CHAR(10), """"),"",:""), 0) + 1)"),5.0)</f>
        <v>5</v>
      </c>
      <c r="W355" s="102" t="s">
        <v>1938</v>
      </c>
      <c r="X355" s="69" t="s">
        <v>115</v>
      </c>
      <c r="Y355" s="41"/>
      <c r="Z355" s="53" t="str">
        <f t="array" ref="Z355">INDEX(Problems!J:J, MATCH(1, (Problems!B:B=B355)*1, 0))</f>
        <v>n</v>
      </c>
      <c r="AA355" s="41"/>
      <c r="AB355" s="41"/>
      <c r="AC355" s="41"/>
      <c r="AD355" s="41"/>
      <c r="AE355" s="85" t="str">
        <f>IFERROR(__xludf.DUMMYFUNCTION("INDEX(SPLIT(SUBSTITUTE(AF355,CHAR(10), """"),"",:""), MATCH(Z355, SPLIT(SUBSTITUTE(AF355,CHAR(10), """"),"",:""), 0) + 1)"),"#VALUE!")</f>
        <v>#VALUE!</v>
      </c>
      <c r="AF355" s="102"/>
      <c r="AG355" s="41"/>
      <c r="AH355" s="41"/>
      <c r="AI355" s="104"/>
      <c r="AJ355" s="84" t="s">
        <v>2520</v>
      </c>
      <c r="AK355" s="104"/>
      <c r="AL355" s="35">
        <v>0.0</v>
      </c>
      <c r="AM355" s="104"/>
      <c r="AN355" s="35">
        <v>1.0</v>
      </c>
      <c r="AO355" s="110"/>
      <c r="AP355" s="35">
        <v>0.0</v>
      </c>
      <c r="AQ355" s="35">
        <v>0.0</v>
      </c>
      <c r="AR355" s="69"/>
      <c r="AS355" s="98">
        <v>0.0</v>
      </c>
      <c r="AT355" s="98">
        <v>0.0</v>
      </c>
      <c r="AU355" s="69"/>
      <c r="AV355" s="13"/>
      <c r="AW355" s="13"/>
      <c r="AX355" s="13"/>
      <c r="AY355" s="13"/>
      <c r="AZ355" s="6"/>
      <c r="BA355" s="6"/>
      <c r="BB355" s="6"/>
      <c r="BC355" s="6"/>
      <c r="BD355" s="6"/>
      <c r="BE355" s="6"/>
      <c r="BF355" s="6">
        <v>1000000.0</v>
      </c>
      <c r="BG355" s="13"/>
      <c r="BH355" s="13"/>
      <c r="BI355" s="13"/>
      <c r="BJ355" s="13"/>
      <c r="BK355" s="13"/>
      <c r="BL355" s="13"/>
      <c r="BM355" s="13"/>
      <c r="BN355" s="6"/>
      <c r="BO355" s="6">
        <v>3.0</v>
      </c>
      <c r="BP355" s="13"/>
      <c r="BQ355" s="13"/>
      <c r="BR355" s="6" t="s">
        <v>196</v>
      </c>
    </row>
    <row r="356">
      <c r="A356" s="35">
        <v>93.0</v>
      </c>
      <c r="B356" s="35" t="s">
        <v>984</v>
      </c>
      <c r="C356" s="53">
        <v>0.0</v>
      </c>
      <c r="D356" s="53" t="s">
        <v>985</v>
      </c>
      <c r="E356" s="7">
        <v>728.0</v>
      </c>
      <c r="F356" s="53"/>
      <c r="G356" s="6"/>
      <c r="H356" s="35">
        <v>0.0</v>
      </c>
      <c r="I356" s="35">
        <v>0.0</v>
      </c>
      <c r="J356" s="69" t="s">
        <v>115</v>
      </c>
      <c r="K356" s="99"/>
      <c r="L356" s="99"/>
      <c r="M356" s="39" t="str">
        <f t="shared" si="1"/>
        <v>[ The Wang and Brady corner detection algorithm 1995 (1995)]</v>
      </c>
      <c r="N356" s="69" t="s">
        <v>3474</v>
      </c>
      <c r="O356" s="98">
        <v>1995.0</v>
      </c>
      <c r="P356" s="69"/>
      <c r="Q356" s="13"/>
      <c r="R356" s="13"/>
      <c r="S356" s="13"/>
      <c r="T356" s="35">
        <v>0.0</v>
      </c>
      <c r="U356" s="35">
        <v>0.0</v>
      </c>
      <c r="V356" s="89">
        <f>IFERROR(__xludf.DUMMYFUNCTION("INDEX(SPLIT(SUBSTITUTE(W356,CHAR(10), """"),"",:""), MATCH(Z356, SPLIT(SUBSTITUTE(W356,CHAR(10), """"),"",:""), 0) + 1)"),5.0)</f>
        <v>5</v>
      </c>
      <c r="W356" s="102" t="s">
        <v>1938</v>
      </c>
      <c r="X356" s="69" t="s">
        <v>115</v>
      </c>
      <c r="Y356" s="41"/>
      <c r="Z356" s="53" t="str">
        <f t="array" ref="Z356">INDEX(Problems!J:J, MATCH(1, (Problems!B:B=B356)*1, 0))</f>
        <v>n</v>
      </c>
      <c r="AA356" s="41"/>
      <c r="AB356" s="41"/>
      <c r="AC356" s="41"/>
      <c r="AD356" s="41"/>
      <c r="AE356" s="85" t="str">
        <f>IFERROR(__xludf.DUMMYFUNCTION("INDEX(SPLIT(SUBSTITUTE(AF356,CHAR(10), """"),"",:""), MATCH(Z356, SPLIT(SUBSTITUTE(AF356,CHAR(10), """"),"",:""), 0) + 1)"),"#VALUE!")</f>
        <v>#VALUE!</v>
      </c>
      <c r="AF356" s="102"/>
      <c r="AG356" s="41"/>
      <c r="AH356" s="41"/>
      <c r="AI356" s="104"/>
      <c r="AJ356" s="84" t="s">
        <v>2520</v>
      </c>
      <c r="AK356" s="104"/>
      <c r="AL356" s="35">
        <v>0.0</v>
      </c>
      <c r="AM356" s="104"/>
      <c r="AN356" s="35">
        <v>1.0</v>
      </c>
      <c r="AO356" s="110"/>
      <c r="AP356" s="35">
        <v>0.0</v>
      </c>
      <c r="AQ356" s="35">
        <v>0.0</v>
      </c>
      <c r="AR356" s="69"/>
      <c r="AS356" s="98">
        <v>0.0</v>
      </c>
      <c r="AT356" s="98">
        <v>0.0</v>
      </c>
      <c r="AU356" s="69"/>
      <c r="AV356" s="13"/>
      <c r="AW356" s="13"/>
      <c r="AX356" s="13"/>
      <c r="AY356" s="13"/>
      <c r="AZ356" s="6"/>
      <c r="BA356" s="6"/>
      <c r="BB356" s="6"/>
      <c r="BC356" s="6"/>
      <c r="BD356" s="6"/>
      <c r="BE356" s="6"/>
      <c r="BF356" s="6">
        <v>1000000.0</v>
      </c>
      <c r="BG356" s="13"/>
      <c r="BH356" s="13"/>
      <c r="BI356" s="13"/>
      <c r="BJ356" s="13"/>
      <c r="BK356" s="13"/>
      <c r="BL356" s="13"/>
      <c r="BM356" s="13"/>
      <c r="BN356" s="6"/>
      <c r="BO356" s="6">
        <v>3.0</v>
      </c>
      <c r="BP356" s="13"/>
      <c r="BQ356" s="13"/>
      <c r="BR356" s="6" t="s">
        <v>196</v>
      </c>
    </row>
    <row r="357">
      <c r="A357" s="35">
        <v>93.0</v>
      </c>
      <c r="B357" s="35" t="s">
        <v>984</v>
      </c>
      <c r="C357" s="53">
        <v>0.0</v>
      </c>
      <c r="D357" s="53" t="s">
        <v>985</v>
      </c>
      <c r="E357" s="7">
        <v>730.0</v>
      </c>
      <c r="F357" s="53"/>
      <c r="G357" s="6"/>
      <c r="H357" s="35">
        <v>0.0</v>
      </c>
      <c r="I357" s="35">
        <v>0.0</v>
      </c>
      <c r="J357" s="69" t="s">
        <v>3459</v>
      </c>
      <c r="K357" s="99"/>
      <c r="L357" s="99"/>
      <c r="M357" s="39" t="str">
        <f t="shared" si="1"/>
        <v>[ The Trajkovic and Hedley corner detector 1998 (1998)]</v>
      </c>
      <c r="N357" s="69" t="s">
        <v>3475</v>
      </c>
      <c r="O357" s="98">
        <v>1998.0</v>
      </c>
      <c r="P357" s="69"/>
      <c r="Q357" s="13"/>
      <c r="R357" s="13"/>
      <c r="S357" s="13"/>
      <c r="T357" s="35">
        <v>0.0</v>
      </c>
      <c r="U357" s="35">
        <v>0.0</v>
      </c>
      <c r="V357" s="89">
        <f>IFERROR(__xludf.DUMMYFUNCTION("INDEX(SPLIT(SUBSTITUTE(W357,CHAR(10), """"),"",:""), MATCH(Z357, SPLIT(SUBSTITUTE(W357,CHAR(10), """"),"",:""), 0) + 1)"),5.02)</f>
        <v>5.02</v>
      </c>
      <c r="W357" s="102" t="s">
        <v>3461</v>
      </c>
      <c r="X357" s="69" t="s">
        <v>3459</v>
      </c>
      <c r="Y357" s="41"/>
      <c r="Z357" s="53" t="str">
        <f t="array" ref="Z357">INDEX(Problems!J:J, MATCH(1, (Problems!B:B=B357)*1, 0))</f>
        <v>n</v>
      </c>
      <c r="AA357" s="41"/>
      <c r="AB357" s="41"/>
      <c r="AC357" s="41"/>
      <c r="AD357" s="41"/>
      <c r="AE357" s="85" t="str">
        <f>IFERROR(__xludf.DUMMYFUNCTION("INDEX(SPLIT(SUBSTITUTE(AF357,CHAR(10), """"),"",:""), MATCH(Z357, SPLIT(SUBSTITUTE(AF357,CHAR(10), """"),"",:""), 0) + 1)"),"#VALUE!")</f>
        <v>#VALUE!</v>
      </c>
      <c r="AF357" s="102"/>
      <c r="AG357" s="41"/>
      <c r="AH357" s="41"/>
      <c r="AI357" s="104"/>
      <c r="AJ357" s="84" t="s">
        <v>2520</v>
      </c>
      <c r="AK357" s="104"/>
      <c r="AL357" s="35">
        <v>0.0</v>
      </c>
      <c r="AM357" s="104"/>
      <c r="AN357" s="35">
        <v>1.0</v>
      </c>
      <c r="AO357" s="110"/>
      <c r="AP357" s="35">
        <v>0.0</v>
      </c>
      <c r="AQ357" s="35">
        <v>0.0</v>
      </c>
      <c r="AR357" s="69"/>
      <c r="AS357" s="98">
        <v>0.0</v>
      </c>
      <c r="AT357" s="98">
        <v>0.0</v>
      </c>
      <c r="AU357" s="69"/>
      <c r="AV357" s="13"/>
      <c r="AW357" s="13"/>
      <c r="AX357" s="13"/>
      <c r="AY357" s="13"/>
      <c r="AZ357" s="6"/>
      <c r="BA357" s="6"/>
      <c r="BB357" s="6"/>
      <c r="BC357" s="6"/>
      <c r="BD357" s="6"/>
      <c r="BE357" s="6"/>
      <c r="BF357" s="6">
        <v>9931685.0</v>
      </c>
      <c r="BG357" s="13"/>
      <c r="BH357" s="13"/>
      <c r="BI357" s="13"/>
      <c r="BJ357" s="13"/>
      <c r="BK357" s="13"/>
      <c r="BL357" s="13"/>
      <c r="BM357" s="13"/>
      <c r="BN357" s="6"/>
      <c r="BO357" s="6">
        <v>3.0</v>
      </c>
      <c r="BP357" s="13"/>
      <c r="BQ357" s="13"/>
      <c r="BR357" s="6" t="s">
        <v>196</v>
      </c>
    </row>
    <row r="358">
      <c r="A358" s="35">
        <v>93.0</v>
      </c>
      <c r="B358" s="35" t="s">
        <v>984</v>
      </c>
      <c r="C358" s="53">
        <v>0.0</v>
      </c>
      <c r="D358" s="53" t="s">
        <v>985</v>
      </c>
      <c r="E358" s="7">
        <v>731.0</v>
      </c>
      <c r="F358" s="53"/>
      <c r="G358" s="6"/>
      <c r="H358" s="35">
        <v>0.0</v>
      </c>
      <c r="I358" s="35">
        <v>0.0</v>
      </c>
      <c r="J358" s="69" t="s">
        <v>834</v>
      </c>
      <c r="K358" s="99"/>
      <c r="L358" s="99"/>
      <c r="M358" s="39" t="str">
        <f t="shared" si="1"/>
        <v>[https://www.edwardrosten.com/work/rosten_2006_machine.pdf FAST E. Rosten and T. Drummond 2006 (2006)]</v>
      </c>
      <c r="N358" s="69" t="s">
        <v>3476</v>
      </c>
      <c r="O358" s="98">
        <v>2006.0</v>
      </c>
      <c r="P358" s="106" t="s">
        <v>3477</v>
      </c>
      <c r="Q358" s="13"/>
      <c r="R358" s="13"/>
      <c r="S358" s="13"/>
      <c r="T358" s="35">
        <v>0.0</v>
      </c>
      <c r="U358" s="35">
        <v>0.0</v>
      </c>
      <c r="V358" s="89">
        <f>IFERROR(__xludf.DUMMYFUNCTION("INDEX(SPLIT(SUBSTITUTE(W358,CHAR(10), """"),"",:""), MATCH(Z358, SPLIT(SUBSTITUTE(W358,CHAR(10), """"),"",:""), 0) + 1)"),6.0)</f>
        <v>6</v>
      </c>
      <c r="W358" s="102" t="s">
        <v>2008</v>
      </c>
      <c r="X358" s="69" t="s">
        <v>834</v>
      </c>
      <c r="Y358" s="41"/>
      <c r="Z358" s="53" t="str">
        <f t="array" ref="Z358">INDEX(Problems!J:J, MATCH(1, (Problems!B:B=B358)*1, 0))</f>
        <v>n</v>
      </c>
      <c r="AA358" s="41"/>
      <c r="AB358" s="41"/>
      <c r="AC358" s="41"/>
      <c r="AD358" s="41"/>
      <c r="AE358" s="85" t="str">
        <f>IFERROR(__xludf.DUMMYFUNCTION("INDEX(SPLIT(SUBSTITUTE(AF358,CHAR(10), """"),"",:""), MATCH(Z358, SPLIT(SUBSTITUTE(AF358,CHAR(10), """"),"",:""), 0) + 1)"),"#VALUE!")</f>
        <v>#VALUE!</v>
      </c>
      <c r="AF358" s="102"/>
      <c r="AG358" s="41"/>
      <c r="AH358" s="41"/>
      <c r="AI358" s="104"/>
      <c r="AJ358" s="84" t="s">
        <v>2520</v>
      </c>
      <c r="AK358" s="104"/>
      <c r="AL358" s="35">
        <v>0.0</v>
      </c>
      <c r="AM358" s="104"/>
      <c r="AN358" s="35">
        <v>1.0</v>
      </c>
      <c r="AO358" s="110"/>
      <c r="AP358" s="35">
        <v>0.0</v>
      </c>
      <c r="AQ358" s="35">
        <v>0.0</v>
      </c>
      <c r="AR358" s="69"/>
      <c r="AS358" s="98">
        <v>0.0</v>
      </c>
      <c r="AT358" s="98">
        <v>0.0</v>
      </c>
      <c r="AU358" s="69"/>
      <c r="AV358" s="13"/>
      <c r="AW358" s="13"/>
      <c r="AX358" s="13"/>
      <c r="AY358" s="13"/>
      <c r="AZ358" s="6"/>
      <c r="BA358" s="6"/>
      <c r="BB358" s="6"/>
      <c r="BC358" s="6"/>
      <c r="BD358" s="6"/>
      <c r="BE358" s="6"/>
      <c r="BF358" s="6">
        <v>1.0E9</v>
      </c>
      <c r="BG358" s="13"/>
      <c r="BH358" s="13"/>
      <c r="BI358" s="13"/>
      <c r="BJ358" s="13"/>
      <c r="BK358" s="13"/>
      <c r="BL358" s="13"/>
      <c r="BM358" s="13"/>
      <c r="BN358" s="6"/>
      <c r="BO358" s="6">
        <v>3.0</v>
      </c>
      <c r="BP358" s="13"/>
      <c r="BQ358" s="13"/>
      <c r="BR358" s="6" t="s">
        <v>196</v>
      </c>
    </row>
    <row r="359">
      <c r="A359" s="35">
        <v>93.0</v>
      </c>
      <c r="B359" s="35" t="s">
        <v>984</v>
      </c>
      <c r="C359" s="53">
        <v>0.0</v>
      </c>
      <c r="D359" s="53" t="s">
        <v>985</v>
      </c>
      <c r="E359" s="7">
        <v>732.0</v>
      </c>
      <c r="F359" s="53"/>
      <c r="G359" s="6"/>
      <c r="H359" s="35">
        <v>0.0</v>
      </c>
      <c r="I359" s="35">
        <v>0.0</v>
      </c>
      <c r="J359" s="69" t="s">
        <v>115</v>
      </c>
      <c r="K359" s="99"/>
      <c r="L359" s="99"/>
      <c r="M359" s="39" t="str">
        <f t="shared" si="1"/>
        <v>[https://www.mitpressjournals.org/doi/abs/10.1162/evco.2008.16.4.483?journalCode=evco&amp;mobileUi=0&amp; Trujillo and Olague 2008 (2008)]</v>
      </c>
      <c r="N359" s="69" t="s">
        <v>3478</v>
      </c>
      <c r="O359" s="98">
        <v>2008.0</v>
      </c>
      <c r="P359" s="106" t="s">
        <v>3479</v>
      </c>
      <c r="Q359" s="13"/>
      <c r="R359" s="13"/>
      <c r="S359" s="13"/>
      <c r="T359" s="35">
        <v>0.0</v>
      </c>
      <c r="U359" s="35">
        <v>0.0</v>
      </c>
      <c r="V359" s="89">
        <f>IFERROR(__xludf.DUMMYFUNCTION("INDEX(SPLIT(SUBSTITUTE(W359,CHAR(10), """"),"",:""), MATCH(Z359, SPLIT(SUBSTITUTE(W359,CHAR(10), """"),"",:""), 0) + 1)"),5.0)</f>
        <v>5</v>
      </c>
      <c r="W359" s="102" t="s">
        <v>1938</v>
      </c>
      <c r="X359" s="69" t="s">
        <v>115</v>
      </c>
      <c r="Y359" s="41"/>
      <c r="Z359" s="53" t="str">
        <f t="array" ref="Z359">INDEX(Problems!J:J, MATCH(1, (Problems!B:B=B359)*1, 0))</f>
        <v>n</v>
      </c>
      <c r="AA359" s="41"/>
      <c r="AB359" s="41"/>
      <c r="AC359" s="41"/>
      <c r="AD359" s="41"/>
      <c r="AE359" s="85" t="str">
        <f>IFERROR(__xludf.DUMMYFUNCTION("INDEX(SPLIT(SUBSTITUTE(AF359,CHAR(10), """"),"",:""), MATCH(Z359, SPLIT(SUBSTITUTE(AF359,CHAR(10), """"),"",:""), 0) + 1)"),"#VALUE!")</f>
        <v>#VALUE!</v>
      </c>
      <c r="AF359" s="102"/>
      <c r="AG359" s="41"/>
      <c r="AH359" s="41"/>
      <c r="AI359" s="104"/>
      <c r="AJ359" s="84" t="s">
        <v>2520</v>
      </c>
      <c r="AK359" s="104"/>
      <c r="AL359" s="35">
        <v>0.0</v>
      </c>
      <c r="AM359" s="104"/>
      <c r="AN359" s="35">
        <v>1.0</v>
      </c>
      <c r="AO359" s="110"/>
      <c r="AP359" s="35">
        <v>0.0</v>
      </c>
      <c r="AQ359" s="35">
        <v>0.0</v>
      </c>
      <c r="AR359" s="69"/>
      <c r="AS359" s="98">
        <v>0.0</v>
      </c>
      <c r="AT359" s="98">
        <v>0.0</v>
      </c>
      <c r="AU359" s="69"/>
      <c r="AV359" s="13"/>
      <c r="AW359" s="13"/>
      <c r="AX359" s="13"/>
      <c r="AY359" s="13"/>
      <c r="AZ359" s="6"/>
      <c r="BA359" s="6"/>
      <c r="BB359" s="6"/>
      <c r="BC359" s="6"/>
      <c r="BD359" s="6"/>
      <c r="BE359" s="6"/>
      <c r="BF359" s="6">
        <v>1000000.0</v>
      </c>
      <c r="BG359" s="13"/>
      <c r="BH359" s="13"/>
      <c r="BI359" s="13"/>
      <c r="BJ359" s="13"/>
      <c r="BK359" s="13"/>
      <c r="BL359" s="13"/>
      <c r="BM359" s="13"/>
      <c r="BN359" s="6"/>
      <c r="BO359" s="6">
        <v>3.0</v>
      </c>
      <c r="BP359" s="13"/>
      <c r="BQ359" s="13"/>
      <c r="BR359" s="6" t="s">
        <v>196</v>
      </c>
    </row>
    <row r="360">
      <c r="A360" s="35">
        <v>93.0</v>
      </c>
      <c r="B360" s="35" t="s">
        <v>984</v>
      </c>
      <c r="C360" s="53">
        <v>0.0</v>
      </c>
      <c r="D360" s="53" t="s">
        <v>985</v>
      </c>
      <c r="E360" s="7">
        <v>733.0</v>
      </c>
      <c r="F360" s="53"/>
      <c r="G360" s="6"/>
      <c r="H360" s="35">
        <v>0.0</v>
      </c>
      <c r="I360" s="35">
        <v>0.0</v>
      </c>
      <c r="J360" s="69" t="s">
        <v>115</v>
      </c>
      <c r="K360" s="99"/>
      <c r="L360" s="99"/>
      <c r="M360" s="39" t="str">
        <f t="shared" si="1"/>
        <v>[http://citeseerx.ist.psu.edu/viewdoc/summary?doi=10.1.1.471.6845 Geert Willems; Tinne Tuytelaars and Luc van Gool (2008) (2008)]</v>
      </c>
      <c r="N360" s="69" t="s">
        <v>3480</v>
      </c>
      <c r="O360" s="98">
        <v>2008.0</v>
      </c>
      <c r="P360" s="106" t="s">
        <v>3481</v>
      </c>
      <c r="Q360" s="13"/>
      <c r="R360" s="13"/>
      <c r="S360" s="13"/>
      <c r="T360" s="35">
        <v>0.0</v>
      </c>
      <c r="U360" s="35">
        <v>0.0</v>
      </c>
      <c r="V360" s="89">
        <f>IFERROR(__xludf.DUMMYFUNCTION("INDEX(SPLIT(SUBSTITUTE(W360,CHAR(10), """"),"",:""), MATCH(Z360, SPLIT(SUBSTITUTE(W360,CHAR(10), """"),"",:""), 0) + 1)"),5.0)</f>
        <v>5</v>
      </c>
      <c r="W360" s="102" t="s">
        <v>1938</v>
      </c>
      <c r="X360" s="69" t="s">
        <v>115</v>
      </c>
      <c r="Y360" s="41"/>
      <c r="Z360" s="53" t="str">
        <f t="array" ref="Z360">INDEX(Problems!J:J, MATCH(1, (Problems!B:B=B360)*1, 0))</f>
        <v>n</v>
      </c>
      <c r="AA360" s="41"/>
      <c r="AB360" s="41"/>
      <c r="AC360" s="41"/>
      <c r="AD360" s="41"/>
      <c r="AE360" s="85" t="str">
        <f>IFERROR(__xludf.DUMMYFUNCTION("INDEX(SPLIT(SUBSTITUTE(AF360,CHAR(10), """"),"",:""), MATCH(Z360, SPLIT(SUBSTITUTE(AF360,CHAR(10), """"),"",:""), 0) + 1)"),"#VALUE!")</f>
        <v>#VALUE!</v>
      </c>
      <c r="AF360" s="102"/>
      <c r="AG360" s="41"/>
      <c r="AH360" s="41"/>
      <c r="AI360" s="104"/>
      <c r="AJ360" s="84" t="s">
        <v>2520</v>
      </c>
      <c r="AK360" s="104"/>
      <c r="AL360" s="35">
        <v>0.0</v>
      </c>
      <c r="AM360" s="104"/>
      <c r="AN360" s="35">
        <v>1.0</v>
      </c>
      <c r="AO360" s="110"/>
      <c r="AP360" s="35">
        <v>0.0</v>
      </c>
      <c r="AQ360" s="35">
        <v>0.0</v>
      </c>
      <c r="AR360" s="69"/>
      <c r="AS360" s="98">
        <v>0.0</v>
      </c>
      <c r="AT360" s="98">
        <v>0.0</v>
      </c>
      <c r="AU360" s="69"/>
      <c r="AV360" s="13"/>
      <c r="AW360" s="13"/>
      <c r="AX360" s="13"/>
      <c r="AY360" s="13"/>
      <c r="AZ360" s="6"/>
      <c r="BA360" s="6"/>
      <c r="BB360" s="6"/>
      <c r="BC360" s="6"/>
      <c r="BD360" s="6"/>
      <c r="BE360" s="6"/>
      <c r="BF360" s="6">
        <v>1000000.0</v>
      </c>
      <c r="BG360" s="13"/>
      <c r="BH360" s="13"/>
      <c r="BI360" s="13"/>
      <c r="BJ360" s="13"/>
      <c r="BK360" s="13"/>
      <c r="BL360" s="13"/>
      <c r="BM360" s="13"/>
      <c r="BN360" s="6"/>
      <c r="BO360" s="6">
        <v>3.0</v>
      </c>
      <c r="BP360" s="13"/>
      <c r="BQ360" s="13"/>
      <c r="BR360" s="6" t="s">
        <v>196</v>
      </c>
    </row>
    <row r="361">
      <c r="A361" s="35">
        <v>93.0</v>
      </c>
      <c r="B361" s="35" t="s">
        <v>984</v>
      </c>
      <c r="C361" s="53">
        <v>0.0</v>
      </c>
      <c r="D361" s="53" t="s">
        <v>985</v>
      </c>
      <c r="E361" s="7">
        <v>734.0</v>
      </c>
      <c r="F361" s="53"/>
      <c r="G361" s="6"/>
      <c r="H361" s="35">
        <v>0.0</v>
      </c>
      <c r="I361" s="35">
        <v>0.0</v>
      </c>
      <c r="J361" s="69" t="s">
        <v>115</v>
      </c>
      <c r="K361" s="99"/>
      <c r="L361" s="99"/>
      <c r="M361" s="39" t="str">
        <f t="shared" si="1"/>
        <v>[ Tao Luo, Zaifeng Shi and Pumeng Wang (2019)]</v>
      </c>
      <c r="N361" s="69" t="s">
        <v>3482</v>
      </c>
      <c r="O361" s="98">
        <v>2019.0</v>
      </c>
      <c r="P361" s="69"/>
      <c r="Q361" s="13"/>
      <c r="R361" s="13"/>
      <c r="S361" s="13"/>
      <c r="T361" s="35">
        <v>0.0</v>
      </c>
      <c r="U361" s="35">
        <v>0.0</v>
      </c>
      <c r="V361" s="89">
        <f>IFERROR(__xludf.DUMMYFUNCTION("INDEX(SPLIT(SUBSTITUTE(W361,CHAR(10), """"),"",:""), MATCH(Z361, SPLIT(SUBSTITUTE(W361,CHAR(10), """"),"",:""), 0) + 1)"),5.0)</f>
        <v>5</v>
      </c>
      <c r="W361" s="102" t="s">
        <v>1938</v>
      </c>
      <c r="X361" s="69" t="s">
        <v>115</v>
      </c>
      <c r="Y361" s="41"/>
      <c r="Z361" s="53" t="str">
        <f t="array" ref="Z361">INDEX(Problems!J:J, MATCH(1, (Problems!B:B=B361)*1, 0))</f>
        <v>n</v>
      </c>
      <c r="AA361" s="41"/>
      <c r="AB361" s="41"/>
      <c r="AC361" s="41"/>
      <c r="AD361" s="41"/>
      <c r="AE361" s="85" t="str">
        <f>IFERROR(__xludf.DUMMYFUNCTION("INDEX(SPLIT(SUBSTITUTE(AF361,CHAR(10), """"),"",:""), MATCH(Z361, SPLIT(SUBSTITUTE(AF361,CHAR(10), """"),"",:""), 0) + 1)"),"#VALUE!")</f>
        <v>#VALUE!</v>
      </c>
      <c r="AF361" s="102"/>
      <c r="AG361" s="41"/>
      <c r="AH361" s="41"/>
      <c r="AI361" s="104"/>
      <c r="AJ361" s="84" t="s">
        <v>2520</v>
      </c>
      <c r="AK361" s="104"/>
      <c r="AL361" s="35">
        <v>0.0</v>
      </c>
      <c r="AM361" s="104"/>
      <c r="AN361" s="35">
        <v>1.0</v>
      </c>
      <c r="AO361" s="110"/>
      <c r="AP361" s="35">
        <v>0.0</v>
      </c>
      <c r="AQ361" s="35">
        <v>0.0</v>
      </c>
      <c r="AR361" s="69"/>
      <c r="AS361" s="35">
        <v>0.0</v>
      </c>
      <c r="AT361" s="35">
        <v>0.0</v>
      </c>
      <c r="AU361" s="69"/>
      <c r="AV361" s="13"/>
      <c r="AW361" s="13"/>
      <c r="AX361" s="13"/>
      <c r="AY361" s="13"/>
      <c r="AZ361" s="6"/>
      <c r="BA361" s="6"/>
      <c r="BB361" s="6"/>
      <c r="BC361" s="6"/>
      <c r="BD361" s="6"/>
      <c r="BE361" s="6"/>
      <c r="BF361" s="6">
        <v>1000000.0</v>
      </c>
      <c r="BG361" s="13"/>
      <c r="BH361" s="13"/>
      <c r="BI361" s="13"/>
      <c r="BJ361" s="13"/>
      <c r="BK361" s="13"/>
      <c r="BL361" s="13"/>
      <c r="BM361" s="13"/>
      <c r="BN361" s="6"/>
      <c r="BO361" s="6">
        <v>3.0</v>
      </c>
      <c r="BP361" s="13"/>
      <c r="BQ361" s="13"/>
      <c r="BR361" s="6" t="s">
        <v>196</v>
      </c>
    </row>
    <row r="362">
      <c r="A362" s="35">
        <v>94.0</v>
      </c>
      <c r="B362" s="35" t="s">
        <v>984</v>
      </c>
      <c r="C362" s="53">
        <v>0.0</v>
      </c>
      <c r="D362" s="53" t="s">
        <v>988</v>
      </c>
      <c r="E362" s="7">
        <v>735.0</v>
      </c>
      <c r="F362" s="53"/>
      <c r="G362" s="6"/>
      <c r="H362" s="35">
        <v>0.0</v>
      </c>
      <c r="I362" s="35">
        <v>0.0</v>
      </c>
      <c r="J362" s="69" t="s">
        <v>115</v>
      </c>
      <c r="K362" s="99"/>
      <c r="L362" s="99"/>
      <c r="M362" s="39" t="str">
        <f t="shared" si="1"/>
        <v>[ T. Lindeberg DoG 2012 (2012)]</v>
      </c>
      <c r="N362" s="69" t="s">
        <v>3483</v>
      </c>
      <c r="O362" s="98">
        <v>2012.0</v>
      </c>
      <c r="P362" s="69"/>
      <c r="Q362" s="13"/>
      <c r="R362" s="13"/>
      <c r="S362" s="13"/>
      <c r="T362" s="35">
        <v>0.0</v>
      </c>
      <c r="U362" s="35">
        <v>0.0</v>
      </c>
      <c r="V362" s="89">
        <f>IFERROR(__xludf.DUMMYFUNCTION("INDEX(SPLIT(SUBSTITUTE(W362,CHAR(10), """"),"",:""), MATCH(Z362, SPLIT(SUBSTITUTE(W362,CHAR(10), """"),"",:""), 0) + 1)"),5.0)</f>
        <v>5</v>
      </c>
      <c r="W362" s="102" t="s">
        <v>1938</v>
      </c>
      <c r="X362" s="69" t="s">
        <v>115</v>
      </c>
      <c r="Y362" s="41"/>
      <c r="Z362" s="53" t="str">
        <f t="array" ref="Z362">INDEX(Problems!J:J, MATCH(1, (Problems!B:B=B362)*1, 0))</f>
        <v>n</v>
      </c>
      <c r="AA362" s="41"/>
      <c r="AB362" s="41"/>
      <c r="AC362" s="41"/>
      <c r="AD362" s="41"/>
      <c r="AE362" s="85" t="str">
        <f>IFERROR(__xludf.DUMMYFUNCTION("INDEX(SPLIT(SUBSTITUTE(AF362,CHAR(10), """"),"",:""), MATCH(Z362, SPLIT(SUBSTITUTE(AF362,CHAR(10), """"),"",:""), 0) + 1)"),"#VALUE!")</f>
        <v>#VALUE!</v>
      </c>
      <c r="AF362" s="102"/>
      <c r="AG362" s="41"/>
      <c r="AH362" s="41"/>
      <c r="AI362" s="104"/>
      <c r="AJ362" s="84" t="s">
        <v>2520</v>
      </c>
      <c r="AK362" s="104"/>
      <c r="AL362" s="35">
        <v>0.0</v>
      </c>
      <c r="AM362" s="104"/>
      <c r="AN362" s="35">
        <v>1.0</v>
      </c>
      <c r="AO362" s="110"/>
      <c r="AP362" s="35">
        <v>0.0</v>
      </c>
      <c r="AQ362" s="35">
        <v>0.0</v>
      </c>
      <c r="AR362" s="69"/>
      <c r="AS362" s="98">
        <v>0.0</v>
      </c>
      <c r="AT362" s="98">
        <v>0.0</v>
      </c>
      <c r="AU362" s="69"/>
      <c r="AV362" s="13"/>
      <c r="AW362" s="13"/>
      <c r="AX362" s="13"/>
      <c r="AY362" s="13"/>
      <c r="AZ362" s="6"/>
      <c r="BA362" s="6"/>
      <c r="BB362" s="6"/>
      <c r="BC362" s="6"/>
      <c r="BD362" s="6"/>
      <c r="BE362" s="6"/>
      <c r="BF362" s="6">
        <v>1000000.0</v>
      </c>
      <c r="BG362" s="13"/>
      <c r="BH362" s="13"/>
      <c r="BI362" s="13"/>
      <c r="BJ362" s="13"/>
      <c r="BK362" s="13"/>
      <c r="BL362" s="13"/>
      <c r="BM362" s="13"/>
      <c r="BN362" s="6"/>
      <c r="BO362" s="6">
        <v>3.0</v>
      </c>
      <c r="BP362" s="13"/>
      <c r="BQ362" s="13"/>
      <c r="BR362" s="6" t="s">
        <v>196</v>
      </c>
    </row>
    <row r="363">
      <c r="A363" s="35">
        <v>94.0</v>
      </c>
      <c r="B363" s="35" t="s">
        <v>984</v>
      </c>
      <c r="C363" s="53">
        <v>0.0</v>
      </c>
      <c r="D363" s="53" t="s">
        <v>988</v>
      </c>
      <c r="E363" s="7">
        <v>736.0</v>
      </c>
      <c r="F363" s="53"/>
      <c r="G363" s="6"/>
      <c r="H363" s="35">
        <v>0.0</v>
      </c>
      <c r="I363" s="35">
        <v>0.0</v>
      </c>
      <c r="J363" s="69" t="s">
        <v>1788</v>
      </c>
      <c r="K363" s="99"/>
      <c r="L363" s="99"/>
      <c r="M363" s="39" t="str">
        <f t="shared" si="1"/>
        <v>[ T. Lindeberg DoG 2015 (2015)]</v>
      </c>
      <c r="N363" s="69" t="s">
        <v>3484</v>
      </c>
      <c r="O363" s="98">
        <v>2015.0</v>
      </c>
      <c r="P363" s="69"/>
      <c r="Q363" s="13"/>
      <c r="R363" s="13"/>
      <c r="S363" s="13"/>
      <c r="T363" s="35">
        <v>1.0</v>
      </c>
      <c r="U363" s="35" t="s">
        <v>1952</v>
      </c>
      <c r="V363" s="89">
        <f>IFERROR(__xludf.DUMMYFUNCTION("INDEX(SPLIT(SUBSTITUTE(W363,CHAR(10), """"),"",:""), MATCH(Z363, SPLIT(SUBSTITUTE(W363,CHAR(10), """"),"",:""), 0) + 1)"),4.0)</f>
        <v>4</v>
      </c>
      <c r="W363" s="102" t="s">
        <v>1791</v>
      </c>
      <c r="X363" s="35" t="s">
        <v>1953</v>
      </c>
      <c r="Y363" s="41"/>
      <c r="Z363" s="53" t="str">
        <f t="array" ref="Z363">INDEX(Problems!J:J, MATCH(1, (Problems!B:B=B363)*1, 0))</f>
        <v>n</v>
      </c>
      <c r="AA363" s="41"/>
      <c r="AB363" s="41"/>
      <c r="AC363" s="41"/>
      <c r="AD363" s="41"/>
      <c r="AE363" s="85" t="str">
        <f>IFERROR(__xludf.DUMMYFUNCTION("INDEX(SPLIT(SUBSTITUTE(AF363,CHAR(10), """"),"",:""), MATCH(Z363, SPLIT(SUBSTITUTE(AF363,CHAR(10), """"),"",:""), 0) + 1)"),"#VALUE!")</f>
        <v>#VALUE!</v>
      </c>
      <c r="AF363" s="102"/>
      <c r="AG363" s="41"/>
      <c r="AH363" s="41"/>
      <c r="AI363" s="104"/>
      <c r="AJ363" s="84" t="s">
        <v>2520</v>
      </c>
      <c r="AK363" s="104"/>
      <c r="AL363" s="35">
        <v>0.0</v>
      </c>
      <c r="AM363" s="104"/>
      <c r="AN363" s="35">
        <v>1.0</v>
      </c>
      <c r="AO363" s="110"/>
      <c r="AP363" s="35">
        <v>0.0</v>
      </c>
      <c r="AQ363" s="35">
        <v>0.0</v>
      </c>
      <c r="AR363" s="69"/>
      <c r="AS363" s="98">
        <v>0.0</v>
      </c>
      <c r="AT363" s="98">
        <v>0.0</v>
      </c>
      <c r="AU363" s="69"/>
      <c r="AV363" s="13"/>
      <c r="AW363" s="13"/>
      <c r="AX363" s="13"/>
      <c r="AY363" s="13"/>
      <c r="AZ363" s="6"/>
      <c r="BA363" s="6"/>
      <c r="BB363" s="6"/>
      <c r="BC363" s="6"/>
      <c r="BD363" s="6"/>
      <c r="BE363" s="6"/>
      <c r="BF363" s="6">
        <v>9965.0</v>
      </c>
      <c r="BG363" s="13"/>
      <c r="BH363" s="13"/>
      <c r="BI363" s="13"/>
      <c r="BJ363" s="13"/>
      <c r="BK363" s="13"/>
      <c r="BL363" s="13"/>
      <c r="BM363" s="13"/>
      <c r="BN363" s="6"/>
      <c r="BO363" s="6">
        <v>3.0</v>
      </c>
      <c r="BP363" s="13"/>
      <c r="BQ363" s="13"/>
      <c r="BR363" s="6" t="s">
        <v>196</v>
      </c>
    </row>
    <row r="364">
      <c r="A364" s="35">
        <v>94.0</v>
      </c>
      <c r="B364" s="35" t="s">
        <v>984</v>
      </c>
      <c r="C364" s="53">
        <v>0.0</v>
      </c>
      <c r="D364" s="53" t="s">
        <v>988</v>
      </c>
      <c r="E364" s="7">
        <v>737.0</v>
      </c>
      <c r="F364" s="53"/>
      <c r="G364" s="6"/>
      <c r="H364" s="35">
        <v>0.0</v>
      </c>
      <c r="I364" s="35">
        <v>0.0</v>
      </c>
      <c r="J364" s="69" t="s">
        <v>834</v>
      </c>
      <c r="K364" s="99"/>
      <c r="L364" s="99"/>
      <c r="M364" s="39" t="str">
        <f t="shared" si="1"/>
        <v>[ SIFT Algorithm Lowe 2004 (2004)]</v>
      </c>
      <c r="N364" s="69" t="s">
        <v>3485</v>
      </c>
      <c r="O364" s="98">
        <v>2004.0</v>
      </c>
      <c r="P364" s="69"/>
      <c r="Q364" s="13"/>
      <c r="R364" s="13"/>
      <c r="S364" s="13"/>
      <c r="T364" s="35">
        <v>0.0</v>
      </c>
      <c r="U364" s="35">
        <v>0.0</v>
      </c>
      <c r="V364" s="89">
        <f>IFERROR(__xludf.DUMMYFUNCTION("INDEX(SPLIT(SUBSTITUTE(W364,CHAR(10), """"),"",:""), MATCH(Z364, SPLIT(SUBSTITUTE(W364,CHAR(10), """"),"",:""), 0) + 1)"),6.0)</f>
        <v>6</v>
      </c>
      <c r="W364" s="102" t="s">
        <v>2008</v>
      </c>
      <c r="X364" s="69" t="s">
        <v>834</v>
      </c>
      <c r="Y364" s="41"/>
      <c r="Z364" s="53" t="str">
        <f t="array" ref="Z364">INDEX(Problems!J:J, MATCH(1, (Problems!B:B=B364)*1, 0))</f>
        <v>n</v>
      </c>
      <c r="AA364" s="41"/>
      <c r="AB364" s="41"/>
      <c r="AC364" s="41"/>
      <c r="AD364" s="41"/>
      <c r="AE364" s="85" t="str">
        <f>IFERROR(__xludf.DUMMYFUNCTION("INDEX(SPLIT(SUBSTITUTE(AF364,CHAR(10), """"),"",:""), MATCH(Z364, SPLIT(SUBSTITUTE(AF364,CHAR(10), """"),"",:""), 0) + 1)"),"#VALUE!")</f>
        <v>#VALUE!</v>
      </c>
      <c r="AF364" s="102"/>
      <c r="AG364" s="41"/>
      <c r="AH364" s="41"/>
      <c r="AI364" s="104"/>
      <c r="AJ364" s="84" t="s">
        <v>2520</v>
      </c>
      <c r="AK364" s="104"/>
      <c r="AL364" s="35">
        <v>0.0</v>
      </c>
      <c r="AM364" s="104"/>
      <c r="AN364" s="35">
        <v>1.0</v>
      </c>
      <c r="AO364" s="110"/>
      <c r="AP364" s="35">
        <v>0.0</v>
      </c>
      <c r="AQ364" s="35">
        <v>0.0</v>
      </c>
      <c r="AR364" s="69"/>
      <c r="AS364" s="98">
        <v>0.0</v>
      </c>
      <c r="AT364" s="98">
        <v>0.0</v>
      </c>
      <c r="AU364" s="69"/>
      <c r="AV364" s="13"/>
      <c r="AW364" s="13"/>
      <c r="AX364" s="13"/>
      <c r="AY364" s="13"/>
      <c r="AZ364" s="6"/>
      <c r="BA364" s="6"/>
      <c r="BB364" s="6"/>
      <c r="BC364" s="6"/>
      <c r="BD364" s="6"/>
      <c r="BE364" s="6"/>
      <c r="BF364" s="6">
        <v>1.0E9</v>
      </c>
      <c r="BG364" s="13"/>
      <c r="BH364" s="13"/>
      <c r="BI364" s="13"/>
      <c r="BJ364" s="13"/>
      <c r="BK364" s="13"/>
      <c r="BL364" s="13"/>
      <c r="BM364" s="13"/>
      <c r="BN364" s="6"/>
      <c r="BO364" s="6">
        <v>3.0</v>
      </c>
      <c r="BP364" s="13"/>
      <c r="BQ364" s="13"/>
      <c r="BR364" s="6" t="s">
        <v>196</v>
      </c>
    </row>
    <row r="365">
      <c r="A365" s="35">
        <v>94.0</v>
      </c>
      <c r="B365" s="35" t="s">
        <v>984</v>
      </c>
      <c r="C365" s="53">
        <v>0.0</v>
      </c>
      <c r="D365" s="53" t="s">
        <v>988</v>
      </c>
      <c r="E365" s="7">
        <v>738.0</v>
      </c>
      <c r="F365" s="53"/>
      <c r="G365" s="6"/>
      <c r="H365" s="35">
        <v>0.0</v>
      </c>
      <c r="I365" s="35">
        <v>0.0</v>
      </c>
      <c r="J365" s="69" t="s">
        <v>834</v>
      </c>
      <c r="K365" s="99"/>
      <c r="L365" s="99"/>
      <c r="M365" s="39" t="str">
        <f t="shared" si="1"/>
        <v>[ Hessain Determinant Lindeberg 1994 (1994)]</v>
      </c>
      <c r="N365" s="69" t="s">
        <v>3486</v>
      </c>
      <c r="O365" s="98">
        <v>1994.0</v>
      </c>
      <c r="P365" s="69"/>
      <c r="Q365" s="13"/>
      <c r="R365" s="13"/>
      <c r="S365" s="13"/>
      <c r="T365" s="35">
        <v>0.0</v>
      </c>
      <c r="U365" s="35">
        <v>0.0</v>
      </c>
      <c r="V365" s="89">
        <f>IFERROR(__xludf.DUMMYFUNCTION("INDEX(SPLIT(SUBSTITUTE(W365,CHAR(10), """"),"",:""), MATCH(Z365, SPLIT(SUBSTITUTE(W365,CHAR(10), """"),"",:""), 0) + 1)"),6.0)</f>
        <v>6</v>
      </c>
      <c r="W365" s="102" t="s">
        <v>2008</v>
      </c>
      <c r="X365" s="69" t="s">
        <v>834</v>
      </c>
      <c r="Y365" s="41"/>
      <c r="Z365" s="53" t="str">
        <f t="array" ref="Z365">INDEX(Problems!J:J, MATCH(1, (Problems!B:B=B365)*1, 0))</f>
        <v>n</v>
      </c>
      <c r="AA365" s="41"/>
      <c r="AB365" s="41"/>
      <c r="AC365" s="41"/>
      <c r="AD365" s="41"/>
      <c r="AE365" s="85" t="str">
        <f>IFERROR(__xludf.DUMMYFUNCTION("INDEX(SPLIT(SUBSTITUTE(AF365,CHAR(10), """"),"",:""), MATCH(Z365, SPLIT(SUBSTITUTE(AF365,CHAR(10), """"),"",:""), 0) + 1)"),"#VALUE!")</f>
        <v>#VALUE!</v>
      </c>
      <c r="AF365" s="102"/>
      <c r="AG365" s="41"/>
      <c r="AH365" s="41"/>
      <c r="AI365" s="104"/>
      <c r="AJ365" s="84" t="s">
        <v>2520</v>
      </c>
      <c r="AK365" s="104"/>
      <c r="AL365" s="35">
        <v>0.0</v>
      </c>
      <c r="AM365" s="104"/>
      <c r="AN365" s="35">
        <v>1.0</v>
      </c>
      <c r="AO365" s="110"/>
      <c r="AP365" s="35">
        <v>0.0</v>
      </c>
      <c r="AQ365" s="35">
        <v>0.0</v>
      </c>
      <c r="AR365" s="69"/>
      <c r="AS365" s="98">
        <v>0.0</v>
      </c>
      <c r="AT365" s="98">
        <v>0.0</v>
      </c>
      <c r="AU365" s="69"/>
      <c r="AV365" s="13"/>
      <c r="AW365" s="13"/>
      <c r="AX365" s="13"/>
      <c r="AY365" s="13"/>
      <c r="AZ365" s="6"/>
      <c r="BA365" s="6"/>
      <c r="BB365" s="6"/>
      <c r="BC365" s="6"/>
      <c r="BD365" s="6"/>
      <c r="BE365" s="6"/>
      <c r="BF365" s="6">
        <v>1.0E9</v>
      </c>
      <c r="BG365" s="13"/>
      <c r="BH365" s="13"/>
      <c r="BI365" s="13"/>
      <c r="BJ365" s="13"/>
      <c r="BK365" s="13"/>
      <c r="BL365" s="13"/>
      <c r="BM365" s="13"/>
      <c r="BN365" s="6"/>
      <c r="BO365" s="6">
        <v>3.0</v>
      </c>
      <c r="BP365" s="13"/>
      <c r="BQ365" s="13"/>
      <c r="BR365" s="6" t="s">
        <v>196</v>
      </c>
    </row>
    <row r="366">
      <c r="A366" s="35">
        <v>94.0</v>
      </c>
      <c r="B366" s="35" t="s">
        <v>984</v>
      </c>
      <c r="C366" s="53">
        <v>0.0</v>
      </c>
      <c r="D366" s="53" t="s">
        <v>988</v>
      </c>
      <c r="E366" s="7">
        <v>739.0</v>
      </c>
      <c r="F366" s="53"/>
      <c r="G366" s="6"/>
      <c r="H366" s="35">
        <v>0.0</v>
      </c>
      <c r="I366" s="35">
        <v>0.0</v>
      </c>
      <c r="J366" s="69" t="s">
        <v>834</v>
      </c>
      <c r="K366" s="99"/>
      <c r="L366" s="99"/>
      <c r="M366" s="39" t="str">
        <f t="shared" si="1"/>
        <v>[ Hessain Determinant Lindeberg 1998 (1998)]</v>
      </c>
      <c r="N366" s="69" t="s">
        <v>3487</v>
      </c>
      <c r="O366" s="98">
        <v>1998.0</v>
      </c>
      <c r="P366" s="69"/>
      <c r="Q366" s="13"/>
      <c r="R366" s="13"/>
      <c r="S366" s="13"/>
      <c r="T366" s="35">
        <v>0.0</v>
      </c>
      <c r="U366" s="35">
        <v>0.0</v>
      </c>
      <c r="V366" s="89">
        <f>IFERROR(__xludf.DUMMYFUNCTION("INDEX(SPLIT(SUBSTITUTE(W366,CHAR(10), """"),"",:""), MATCH(Z366, SPLIT(SUBSTITUTE(W366,CHAR(10), """"),"",:""), 0) + 1)"),6.0)</f>
        <v>6</v>
      </c>
      <c r="W366" s="102" t="s">
        <v>2008</v>
      </c>
      <c r="X366" s="69" t="s">
        <v>834</v>
      </c>
      <c r="Y366" s="41"/>
      <c r="Z366" s="53" t="str">
        <f t="array" ref="Z366">INDEX(Problems!J:J, MATCH(1, (Problems!B:B=B366)*1, 0))</f>
        <v>n</v>
      </c>
      <c r="AA366" s="41"/>
      <c r="AB366" s="41"/>
      <c r="AC366" s="41"/>
      <c r="AD366" s="41"/>
      <c r="AE366" s="85" t="str">
        <f>IFERROR(__xludf.DUMMYFUNCTION("INDEX(SPLIT(SUBSTITUTE(AF366,CHAR(10), """"),"",:""), MATCH(Z366, SPLIT(SUBSTITUTE(AF366,CHAR(10), """"),"",:""), 0) + 1)"),"#VALUE!")</f>
        <v>#VALUE!</v>
      </c>
      <c r="AF366" s="102"/>
      <c r="AG366" s="41"/>
      <c r="AH366" s="41"/>
      <c r="AI366" s="104"/>
      <c r="AJ366" s="84" t="s">
        <v>2520</v>
      </c>
      <c r="AK366" s="104"/>
      <c r="AL366" s="35">
        <v>0.0</v>
      </c>
      <c r="AM366" s="104"/>
      <c r="AN366" s="35">
        <v>1.0</v>
      </c>
      <c r="AO366" s="110"/>
      <c r="AP366" s="35">
        <v>0.0</v>
      </c>
      <c r="AQ366" s="35">
        <v>0.0</v>
      </c>
      <c r="AR366" s="69"/>
      <c r="AS366" s="98">
        <v>0.0</v>
      </c>
      <c r="AT366" s="98">
        <v>0.0</v>
      </c>
      <c r="AU366" s="69"/>
      <c r="AV366" s="13"/>
      <c r="AW366" s="13"/>
      <c r="AX366" s="13"/>
      <c r="AY366" s="13"/>
      <c r="AZ366" s="6"/>
      <c r="BA366" s="6"/>
      <c r="BB366" s="6"/>
      <c r="BC366" s="6"/>
      <c r="BD366" s="6"/>
      <c r="BE366" s="6"/>
      <c r="BF366" s="6">
        <v>1.0E9</v>
      </c>
      <c r="BG366" s="13"/>
      <c r="BH366" s="13"/>
      <c r="BI366" s="13"/>
      <c r="BJ366" s="13"/>
      <c r="BK366" s="13"/>
      <c r="BL366" s="13"/>
      <c r="BM366" s="13"/>
      <c r="BN366" s="6"/>
      <c r="BO366" s="6">
        <v>3.0</v>
      </c>
      <c r="BP366" s="13"/>
      <c r="BQ366" s="13"/>
      <c r="BR366" s="6" t="s">
        <v>196</v>
      </c>
    </row>
    <row r="367">
      <c r="A367" s="35">
        <v>94.0</v>
      </c>
      <c r="B367" s="35" t="s">
        <v>984</v>
      </c>
      <c r="C367" s="53">
        <v>0.0</v>
      </c>
      <c r="D367" s="53" t="s">
        <v>988</v>
      </c>
      <c r="E367" s="7">
        <v>740.0</v>
      </c>
      <c r="F367" s="53"/>
      <c r="G367" s="6"/>
      <c r="H367" s="35">
        <v>0.0</v>
      </c>
      <c r="I367" s="35">
        <v>0.0</v>
      </c>
      <c r="J367" s="69" t="s">
        <v>115</v>
      </c>
      <c r="K367" s="99"/>
      <c r="L367" s="99"/>
      <c r="M367" s="39" t="str">
        <f t="shared" si="1"/>
        <v>[ SURF Descriptor 2006 (2006)]</v>
      </c>
      <c r="N367" s="69" t="s">
        <v>3488</v>
      </c>
      <c r="O367" s="98">
        <v>2006.0</v>
      </c>
      <c r="P367" s="69"/>
      <c r="Q367" s="13"/>
      <c r="R367" s="13"/>
      <c r="S367" s="13"/>
      <c r="T367" s="35">
        <v>1.0</v>
      </c>
      <c r="U367" s="35" t="s">
        <v>2425</v>
      </c>
      <c r="V367" s="89">
        <f>IFERROR(__xludf.DUMMYFUNCTION("INDEX(SPLIT(SUBSTITUTE(W367,CHAR(10), """"),"",:""), MATCH(Z367, SPLIT(SUBSTITUTE(W367,CHAR(10), """"),"",:""), 0) + 1)"),5.0)</f>
        <v>5</v>
      </c>
      <c r="W367" s="102" t="s">
        <v>1938</v>
      </c>
      <c r="X367" s="69" t="s">
        <v>115</v>
      </c>
      <c r="Y367" s="41"/>
      <c r="Z367" s="53" t="str">
        <f t="array" ref="Z367">INDEX(Problems!J:J, MATCH(1, (Problems!B:B=B367)*1, 0))</f>
        <v>n</v>
      </c>
      <c r="AA367" s="41"/>
      <c r="AB367" s="41"/>
      <c r="AC367" s="41"/>
      <c r="AD367" s="41"/>
      <c r="AE367" s="85" t="str">
        <f>IFERROR(__xludf.DUMMYFUNCTION("INDEX(SPLIT(SUBSTITUTE(AF367,CHAR(10), """"),"",:""), MATCH(Z367, SPLIT(SUBSTITUTE(AF367,CHAR(10), """"),"",:""), 0) + 1)"),"#VALUE!")</f>
        <v>#VALUE!</v>
      </c>
      <c r="AF367" s="102"/>
      <c r="AG367" s="41"/>
      <c r="AH367" s="41"/>
      <c r="AI367" s="104"/>
      <c r="AJ367" s="84" t="s">
        <v>2520</v>
      </c>
      <c r="AK367" s="104"/>
      <c r="AL367" s="35">
        <v>0.0</v>
      </c>
      <c r="AM367" s="104"/>
      <c r="AN367" s="35">
        <v>1.0</v>
      </c>
      <c r="AO367" s="110"/>
      <c r="AP367" s="35">
        <v>0.0</v>
      </c>
      <c r="AQ367" s="35">
        <v>0.0</v>
      </c>
      <c r="AR367" s="69"/>
      <c r="AS367" s="98">
        <v>0.0</v>
      </c>
      <c r="AT367" s="98">
        <v>0.0</v>
      </c>
      <c r="AU367" s="69"/>
      <c r="AV367" s="13"/>
      <c r="AW367" s="13"/>
      <c r="AX367" s="13"/>
      <c r="AY367" s="13"/>
      <c r="AZ367" s="6"/>
      <c r="BA367" s="6"/>
      <c r="BB367" s="6"/>
      <c r="BC367" s="6"/>
      <c r="BD367" s="6"/>
      <c r="BE367" s="6"/>
      <c r="BF367" s="6">
        <v>1000000.0</v>
      </c>
      <c r="BG367" s="13"/>
      <c r="BH367" s="13"/>
      <c r="BI367" s="13"/>
      <c r="BJ367" s="13"/>
      <c r="BK367" s="13"/>
      <c r="BL367" s="13"/>
      <c r="BM367" s="13"/>
      <c r="BN367" s="6"/>
      <c r="BO367" s="6">
        <v>3.0</v>
      </c>
      <c r="BP367" s="13"/>
      <c r="BQ367" s="13"/>
      <c r="BR367" s="6" t="s">
        <v>196</v>
      </c>
    </row>
    <row r="368">
      <c r="A368" s="35">
        <v>94.0</v>
      </c>
      <c r="B368" s="35" t="s">
        <v>984</v>
      </c>
      <c r="C368" s="53">
        <v>0.0</v>
      </c>
      <c r="D368" s="53" t="s">
        <v>988</v>
      </c>
      <c r="E368" s="7">
        <v>741.0</v>
      </c>
      <c r="F368" s="53"/>
      <c r="G368" s="6"/>
      <c r="H368" s="35">
        <v>0.0</v>
      </c>
      <c r="I368" s="35">
        <v>0.0</v>
      </c>
      <c r="J368" s="69" t="s">
        <v>834</v>
      </c>
      <c r="K368" s="99"/>
      <c r="L368" s="99"/>
      <c r="M368" s="39" t="str">
        <f t="shared" si="1"/>
        <v>[ Hessian-Laplace Mikolajczyk and Schmid 2004 (2004)]</v>
      </c>
      <c r="N368" s="69" t="s">
        <v>3489</v>
      </c>
      <c r="O368" s="98">
        <v>2004.0</v>
      </c>
      <c r="P368" s="69"/>
      <c r="Q368" s="13"/>
      <c r="R368" s="13"/>
      <c r="S368" s="13"/>
      <c r="T368" s="35">
        <v>0.0</v>
      </c>
      <c r="U368" s="35">
        <v>0.0</v>
      </c>
      <c r="V368" s="89">
        <f>IFERROR(__xludf.DUMMYFUNCTION("INDEX(SPLIT(SUBSTITUTE(W368,CHAR(10), """"),"",:""), MATCH(Z368, SPLIT(SUBSTITUTE(W368,CHAR(10), """"),"",:""), 0) + 1)"),6.0)</f>
        <v>6</v>
      </c>
      <c r="W368" s="102" t="s">
        <v>2008</v>
      </c>
      <c r="X368" s="69" t="s">
        <v>834</v>
      </c>
      <c r="Y368" s="41"/>
      <c r="Z368" s="53" t="str">
        <f t="array" ref="Z368">INDEX(Problems!J:J, MATCH(1, (Problems!B:B=B368)*1, 0))</f>
        <v>n</v>
      </c>
      <c r="AA368" s="41"/>
      <c r="AB368" s="41"/>
      <c r="AC368" s="41"/>
      <c r="AD368" s="41"/>
      <c r="AE368" s="85" t="str">
        <f>IFERROR(__xludf.DUMMYFUNCTION("INDEX(SPLIT(SUBSTITUTE(AF368,CHAR(10), """"),"",:""), MATCH(Z368, SPLIT(SUBSTITUTE(AF368,CHAR(10), """"),"",:""), 0) + 1)"),"#VALUE!")</f>
        <v>#VALUE!</v>
      </c>
      <c r="AF368" s="102"/>
      <c r="AG368" s="41"/>
      <c r="AH368" s="41"/>
      <c r="AI368" s="104"/>
      <c r="AJ368" s="84" t="s">
        <v>2520</v>
      </c>
      <c r="AK368" s="104"/>
      <c r="AL368" s="35">
        <v>0.0</v>
      </c>
      <c r="AM368" s="104"/>
      <c r="AN368" s="35">
        <v>1.0</v>
      </c>
      <c r="AO368" s="110"/>
      <c r="AP368" s="35">
        <v>0.0</v>
      </c>
      <c r="AQ368" s="35">
        <v>0.0</v>
      </c>
      <c r="AR368" s="69"/>
      <c r="AS368" s="98">
        <v>0.0</v>
      </c>
      <c r="AT368" s="98">
        <v>0.0</v>
      </c>
      <c r="AU368" s="69"/>
      <c r="AV368" s="13"/>
      <c r="AW368" s="13"/>
      <c r="AX368" s="13"/>
      <c r="AY368" s="13"/>
      <c r="AZ368" s="6"/>
      <c r="BA368" s="6"/>
      <c r="BB368" s="6"/>
      <c r="BC368" s="6"/>
      <c r="BD368" s="6"/>
      <c r="BE368" s="6"/>
      <c r="BF368" s="6">
        <v>1.0E9</v>
      </c>
      <c r="BG368" s="13"/>
      <c r="BH368" s="13"/>
      <c r="BI368" s="13"/>
      <c r="BJ368" s="13"/>
      <c r="BK368" s="13"/>
      <c r="BL368" s="13"/>
      <c r="BM368" s="13"/>
      <c r="BN368" s="6"/>
      <c r="BO368" s="6">
        <v>3.0</v>
      </c>
      <c r="BP368" s="13"/>
      <c r="BQ368" s="13"/>
      <c r="BR368" s="6" t="s">
        <v>196</v>
      </c>
    </row>
    <row r="369">
      <c r="A369" s="35">
        <v>94.0</v>
      </c>
      <c r="B369" s="35" t="s">
        <v>984</v>
      </c>
      <c r="C369" s="53">
        <v>0.0</v>
      </c>
      <c r="D369" s="53" t="s">
        <v>988</v>
      </c>
      <c r="E369" s="7">
        <v>742.0</v>
      </c>
      <c r="F369" s="53"/>
      <c r="G369" s="6"/>
      <c r="H369" s="35">
        <v>0.0</v>
      </c>
      <c r="I369" s="35">
        <v>0.0</v>
      </c>
      <c r="J369" s="69" t="s">
        <v>115</v>
      </c>
      <c r="K369" s="99"/>
      <c r="L369" s="99"/>
      <c r="M369" s="39" t="str">
        <f t="shared" si="1"/>
        <v>[ Spatio-temporal Geert Willems; Tinne Tuytelaars and Luc van Gool (2008) (2008)]</v>
      </c>
      <c r="N369" s="69" t="s">
        <v>3490</v>
      </c>
      <c r="O369" s="98">
        <v>2008.0</v>
      </c>
      <c r="P369" s="69"/>
      <c r="Q369" s="13"/>
      <c r="R369" s="13"/>
      <c r="S369" s="13"/>
      <c r="T369" s="35">
        <v>0.0</v>
      </c>
      <c r="U369" s="35">
        <v>0.0</v>
      </c>
      <c r="V369" s="89">
        <f>IFERROR(__xludf.DUMMYFUNCTION("INDEX(SPLIT(SUBSTITUTE(W369,CHAR(10), """"),"",:""), MATCH(Z369, SPLIT(SUBSTITUTE(W369,CHAR(10), """"),"",:""), 0) + 1)"),5.0)</f>
        <v>5</v>
      </c>
      <c r="W369" s="102" t="s">
        <v>1938</v>
      </c>
      <c r="X369" s="69" t="s">
        <v>115</v>
      </c>
      <c r="Y369" s="41"/>
      <c r="Z369" s="53" t="str">
        <f t="array" ref="Z369">INDEX(Problems!J:J, MATCH(1, (Problems!B:B=B369)*1, 0))</f>
        <v>n</v>
      </c>
      <c r="AA369" s="41"/>
      <c r="AB369" s="41"/>
      <c r="AC369" s="41"/>
      <c r="AD369" s="41"/>
      <c r="AE369" s="85" t="str">
        <f>IFERROR(__xludf.DUMMYFUNCTION("INDEX(SPLIT(SUBSTITUTE(AF369,CHAR(10), """"),"",:""), MATCH(Z369, SPLIT(SUBSTITUTE(AF369,CHAR(10), """"),"",:""), 0) + 1)"),"#VALUE!")</f>
        <v>#VALUE!</v>
      </c>
      <c r="AF369" s="102"/>
      <c r="AG369" s="41"/>
      <c r="AH369" s="41"/>
      <c r="AI369" s="104"/>
      <c r="AJ369" s="84" t="s">
        <v>2520</v>
      </c>
      <c r="AK369" s="104"/>
      <c r="AL369" s="35">
        <v>0.0</v>
      </c>
      <c r="AM369" s="104"/>
      <c r="AN369" s="35">
        <v>1.0</v>
      </c>
      <c r="AO369" s="110"/>
      <c r="AP369" s="35">
        <v>0.0</v>
      </c>
      <c r="AQ369" s="35">
        <v>0.0</v>
      </c>
      <c r="AR369" s="69"/>
      <c r="AS369" s="98">
        <v>0.0</v>
      </c>
      <c r="AT369" s="98">
        <v>0.0</v>
      </c>
      <c r="AU369" s="69"/>
      <c r="AV369" s="13"/>
      <c r="AW369" s="13"/>
      <c r="AX369" s="13"/>
      <c r="AY369" s="13"/>
      <c r="AZ369" s="6"/>
      <c r="BA369" s="6"/>
      <c r="BB369" s="6"/>
      <c r="BC369" s="6"/>
      <c r="BD369" s="6"/>
      <c r="BE369" s="6"/>
      <c r="BF369" s="6">
        <v>1000000.0</v>
      </c>
      <c r="BG369" s="13"/>
      <c r="BH369" s="13"/>
      <c r="BI369" s="13"/>
      <c r="BJ369" s="13"/>
      <c r="BK369" s="13"/>
      <c r="BL369" s="13"/>
      <c r="BM369" s="13"/>
      <c r="BN369" s="6"/>
      <c r="BO369" s="6">
        <v>3.0</v>
      </c>
      <c r="BP369" s="13"/>
      <c r="BQ369" s="13"/>
      <c r="BR369" s="6" t="s">
        <v>196</v>
      </c>
    </row>
    <row r="370">
      <c r="A370" s="35">
        <v>94.0</v>
      </c>
      <c r="B370" s="35" t="s">
        <v>984</v>
      </c>
      <c r="C370" s="53">
        <v>0.0</v>
      </c>
      <c r="D370" s="53" t="s">
        <v>988</v>
      </c>
      <c r="E370" s="7">
        <v>743.0</v>
      </c>
      <c r="F370" s="53"/>
      <c r="G370" s="6"/>
      <c r="H370" s="35">
        <v>0.0</v>
      </c>
      <c r="I370" s="35">
        <v>0.0</v>
      </c>
      <c r="J370" s="69" t="s">
        <v>834</v>
      </c>
      <c r="K370" s="99"/>
      <c r="L370" s="99"/>
      <c r="M370" s="39" t="str">
        <f t="shared" si="1"/>
        <v>[ Lindeberg's watershed-based grey-level blob detection algorithm 1991 (1991)]</v>
      </c>
      <c r="N370" s="69" t="s">
        <v>3491</v>
      </c>
      <c r="O370" s="98">
        <v>1991.0</v>
      </c>
      <c r="P370" s="69"/>
      <c r="Q370" s="13"/>
      <c r="R370" s="13"/>
      <c r="S370" s="13"/>
      <c r="T370" s="35">
        <v>1.0</v>
      </c>
      <c r="U370" s="35">
        <v>0.0</v>
      </c>
      <c r="V370" s="89">
        <f>IFERROR(__xludf.DUMMYFUNCTION("INDEX(SPLIT(SUBSTITUTE(W370,CHAR(10), """"),"",:""), MATCH(Z370, SPLIT(SUBSTITUTE(W370,CHAR(10), """"),"",:""), 0) + 1)"),6.0)</f>
        <v>6</v>
      </c>
      <c r="W370" s="102" t="s">
        <v>2008</v>
      </c>
      <c r="X370" s="69" t="s">
        <v>834</v>
      </c>
      <c r="Y370" s="41"/>
      <c r="Z370" s="53" t="str">
        <f t="array" ref="Z370">INDEX(Problems!J:J, MATCH(1, (Problems!B:B=B370)*1, 0))</f>
        <v>n</v>
      </c>
      <c r="AA370" s="41"/>
      <c r="AB370" s="41"/>
      <c r="AC370" s="41"/>
      <c r="AD370" s="41"/>
      <c r="AE370" s="85" t="str">
        <f>IFERROR(__xludf.DUMMYFUNCTION("INDEX(SPLIT(SUBSTITUTE(AF370,CHAR(10), """"),"",:""), MATCH(Z370, SPLIT(SUBSTITUTE(AF370,CHAR(10), """"),"",:""), 0) + 1)"),"#VALUE!")</f>
        <v>#VALUE!</v>
      </c>
      <c r="AF370" s="102"/>
      <c r="AG370" s="41"/>
      <c r="AH370" s="41"/>
      <c r="AI370" s="104"/>
      <c r="AJ370" s="84" t="s">
        <v>2520</v>
      </c>
      <c r="AK370" s="104"/>
      <c r="AL370" s="35">
        <v>0.0</v>
      </c>
      <c r="AM370" s="104"/>
      <c r="AN370" s="35">
        <v>1.0</v>
      </c>
      <c r="AO370" s="110"/>
      <c r="AP370" s="35">
        <v>0.0</v>
      </c>
      <c r="AQ370" s="35">
        <v>0.0</v>
      </c>
      <c r="AR370" s="69"/>
      <c r="AS370" s="98">
        <v>0.0</v>
      </c>
      <c r="AT370" s="98">
        <v>0.0</v>
      </c>
      <c r="AU370" s="69"/>
      <c r="AV370" s="13"/>
      <c r="AW370" s="13"/>
      <c r="AX370" s="13"/>
      <c r="AY370" s="13"/>
      <c r="AZ370" s="6"/>
      <c r="BA370" s="6"/>
      <c r="BB370" s="6"/>
      <c r="BC370" s="6"/>
      <c r="BD370" s="6"/>
      <c r="BE370" s="6"/>
      <c r="BF370" s="6">
        <v>1.0E9</v>
      </c>
      <c r="BG370" s="13"/>
      <c r="BH370" s="13"/>
      <c r="BI370" s="13"/>
      <c r="BJ370" s="13"/>
      <c r="BK370" s="13"/>
      <c r="BL370" s="13"/>
      <c r="BM370" s="13"/>
      <c r="BN370" s="6"/>
      <c r="BO370" s="6">
        <v>3.0</v>
      </c>
      <c r="BP370" s="13"/>
      <c r="BQ370" s="13"/>
      <c r="BR370" s="6" t="s">
        <v>196</v>
      </c>
    </row>
    <row r="371">
      <c r="A371" s="35">
        <v>94.0</v>
      </c>
      <c r="B371" s="35" t="s">
        <v>984</v>
      </c>
      <c r="C371" s="53">
        <v>0.0</v>
      </c>
      <c r="D371" s="53" t="s">
        <v>988</v>
      </c>
      <c r="E371" s="7">
        <v>744.0</v>
      </c>
      <c r="F371" s="53"/>
      <c r="G371" s="6"/>
      <c r="H371" s="35">
        <v>0.0</v>
      </c>
      <c r="I371" s="35">
        <v>0.0</v>
      </c>
      <c r="J371" s="69" t="s">
        <v>3492</v>
      </c>
      <c r="K371" s="99"/>
      <c r="L371" s="99"/>
      <c r="M371" s="39" t="str">
        <f t="shared" si="1"/>
        <v>[ Maximally stable extremal regions Matas 2002 (2002)]</v>
      </c>
      <c r="N371" s="69" t="s">
        <v>3493</v>
      </c>
      <c r="O371" s="98">
        <v>2002.0</v>
      </c>
      <c r="P371" s="69"/>
      <c r="Q371" s="13"/>
      <c r="R371" s="13"/>
      <c r="S371" s="13"/>
      <c r="T371" s="35">
        <v>0.0</v>
      </c>
      <c r="U371" s="35">
        <v>0.0</v>
      </c>
      <c r="V371" s="89">
        <f>IFERROR(__xludf.DUMMYFUNCTION("INDEX(SPLIT(SUBSTITUTE(W371,CHAR(10), """"),"",:""), MATCH(Z371, SPLIT(SUBSTITUTE(W371,CHAR(10), """"),"",:""), 0) + 1)"),5.03)</f>
        <v>5.03</v>
      </c>
      <c r="W371" s="102" t="s">
        <v>3494</v>
      </c>
      <c r="X371" s="69" t="s">
        <v>3492</v>
      </c>
      <c r="Y371" s="41"/>
      <c r="Z371" s="53" t="str">
        <f t="array" ref="Z371">INDEX(Problems!J:J, MATCH(1, (Problems!B:B=B371)*1, 0))</f>
        <v>n</v>
      </c>
      <c r="AA371" s="41"/>
      <c r="AB371" s="41"/>
      <c r="AC371" s="41"/>
      <c r="AD371" s="41"/>
      <c r="AE371" s="85" t="str">
        <f>IFERROR(__xludf.DUMMYFUNCTION("INDEX(SPLIT(SUBSTITUTE(AF371,CHAR(10), """"),"",:""), MATCH(Z371, SPLIT(SUBSTITUTE(AF371,CHAR(10), """"),"",:""), 0) + 1)"),"#VALUE!")</f>
        <v>#VALUE!</v>
      </c>
      <c r="AF371" s="102"/>
      <c r="AG371" s="41"/>
      <c r="AH371" s="41"/>
      <c r="AI371" s="104"/>
      <c r="AJ371" s="84" t="s">
        <v>2520</v>
      </c>
      <c r="AK371" s="104"/>
      <c r="AL371" s="35">
        <v>0.0</v>
      </c>
      <c r="AM371" s="104"/>
      <c r="AN371" s="35">
        <v>1.0</v>
      </c>
      <c r="AO371" s="110"/>
      <c r="AP371" s="35">
        <v>0.0</v>
      </c>
      <c r="AQ371" s="35">
        <v>0.0</v>
      </c>
      <c r="AR371" s="69"/>
      <c r="AS371" s="98">
        <v>0.0</v>
      </c>
      <c r="AT371" s="98">
        <v>0.0</v>
      </c>
      <c r="AU371" s="69"/>
      <c r="AV371" s="13"/>
      <c r="AW371" s="13"/>
      <c r="AX371" s="13"/>
      <c r="AY371" s="13"/>
      <c r="AZ371" s="13"/>
      <c r="BA371" s="13"/>
      <c r="BB371" s="13"/>
      <c r="BC371" s="13"/>
      <c r="BD371" s="13"/>
      <c r="BE371" s="13"/>
      <c r="BF371" s="13"/>
      <c r="BG371" s="13"/>
      <c r="BH371" s="13"/>
      <c r="BI371" s="13"/>
      <c r="BJ371" s="13"/>
      <c r="BK371" s="13"/>
      <c r="BL371" s="13"/>
      <c r="BM371" s="13"/>
      <c r="BN371" s="6"/>
      <c r="BO371" s="6">
        <v>3.0</v>
      </c>
      <c r="BP371" s="13"/>
      <c r="BQ371" s="13"/>
      <c r="BR371" s="6" t="s">
        <v>196</v>
      </c>
    </row>
    <row r="372">
      <c r="A372" s="35">
        <v>94.0</v>
      </c>
      <c r="B372" s="35" t="s">
        <v>984</v>
      </c>
      <c r="C372" s="53">
        <v>0.0</v>
      </c>
      <c r="D372" s="53" t="s">
        <v>988</v>
      </c>
      <c r="E372" s="7">
        <v>745.0</v>
      </c>
      <c r="F372" s="53"/>
      <c r="G372" s="6"/>
      <c r="H372" s="35">
        <v>0.0</v>
      </c>
      <c r="I372" s="35">
        <v>0.0</v>
      </c>
      <c r="J372" s="69" t="s">
        <v>834</v>
      </c>
      <c r="K372" s="99"/>
      <c r="L372" s="99"/>
      <c r="M372" s="39" t="str">
        <f t="shared" si="1"/>
        <v>[ A. Baumberg. 2000 (2000)]</v>
      </c>
      <c r="N372" s="69" t="s">
        <v>3495</v>
      </c>
      <c r="O372" s="98">
        <v>2000.0</v>
      </c>
      <c r="P372" s="69"/>
      <c r="Q372" s="13"/>
      <c r="R372" s="13"/>
      <c r="S372" s="13"/>
      <c r="T372" s="35">
        <v>0.0</v>
      </c>
      <c r="U372" s="35">
        <v>0.0</v>
      </c>
      <c r="V372" s="89">
        <f>IFERROR(__xludf.DUMMYFUNCTION("INDEX(SPLIT(SUBSTITUTE(W372,CHAR(10), """"),"",:""), MATCH(Z372, SPLIT(SUBSTITUTE(W372,CHAR(10), """"),"",:""), 0) + 1)"),6.0)</f>
        <v>6</v>
      </c>
      <c r="W372" s="102" t="s">
        <v>2008</v>
      </c>
      <c r="X372" s="69" t="s">
        <v>834</v>
      </c>
      <c r="Y372" s="41"/>
      <c r="Z372" s="53" t="str">
        <f t="array" ref="Z372">INDEX(Problems!J:J, MATCH(1, (Problems!B:B=B372)*1, 0))</f>
        <v>n</v>
      </c>
      <c r="AA372" s="41"/>
      <c r="AB372" s="41"/>
      <c r="AC372" s="41"/>
      <c r="AD372" s="41"/>
      <c r="AE372" s="85" t="str">
        <f>IFERROR(__xludf.DUMMYFUNCTION("INDEX(SPLIT(SUBSTITUTE(AF372,CHAR(10), """"),"",:""), MATCH(Z372, SPLIT(SUBSTITUTE(AF372,CHAR(10), """"),"",:""), 0) + 1)"),"#VALUE!")</f>
        <v>#VALUE!</v>
      </c>
      <c r="AF372" s="102"/>
      <c r="AG372" s="41"/>
      <c r="AH372" s="41"/>
      <c r="AI372" s="104"/>
      <c r="AJ372" s="84" t="s">
        <v>2520</v>
      </c>
      <c r="AK372" s="104"/>
      <c r="AL372" s="35">
        <v>0.0</v>
      </c>
      <c r="AM372" s="104"/>
      <c r="AN372" s="35">
        <v>1.0</v>
      </c>
      <c r="AO372" s="110"/>
      <c r="AP372" s="35">
        <v>0.0</v>
      </c>
      <c r="AQ372" s="35">
        <v>0.0</v>
      </c>
      <c r="AR372" s="69"/>
      <c r="AS372" s="98">
        <v>0.0</v>
      </c>
      <c r="AT372" s="98">
        <v>0.0</v>
      </c>
      <c r="AU372" s="69"/>
      <c r="AV372" s="13"/>
      <c r="AW372" s="13"/>
      <c r="AX372" s="13"/>
      <c r="AY372" s="13"/>
      <c r="AZ372" s="6"/>
      <c r="BA372" s="6"/>
      <c r="BB372" s="6"/>
      <c r="BC372" s="6"/>
      <c r="BD372" s="6"/>
      <c r="BE372" s="6"/>
      <c r="BF372" s="6">
        <v>1.0E9</v>
      </c>
      <c r="BG372" s="13"/>
      <c r="BH372" s="13"/>
      <c r="BI372" s="13"/>
      <c r="BJ372" s="13"/>
      <c r="BK372" s="13"/>
      <c r="BL372" s="13"/>
      <c r="BM372" s="13"/>
      <c r="BN372" s="6"/>
      <c r="BO372" s="6">
        <v>3.0</v>
      </c>
      <c r="BP372" s="13"/>
      <c r="BQ372" s="13"/>
      <c r="BR372" s="6" t="s">
        <v>196</v>
      </c>
    </row>
    <row r="373">
      <c r="A373" s="35">
        <v>94.0</v>
      </c>
      <c r="B373" s="35" t="s">
        <v>984</v>
      </c>
      <c r="C373" s="53">
        <v>0.0</v>
      </c>
      <c r="D373" s="53" t="s">
        <v>988</v>
      </c>
      <c r="E373" s="7">
        <v>746.0</v>
      </c>
      <c r="F373" s="53"/>
      <c r="G373" s="6"/>
      <c r="H373" s="35">
        <v>0.0</v>
      </c>
      <c r="I373" s="35">
        <v>0.0</v>
      </c>
      <c r="J373" s="69" t="s">
        <v>3496</v>
      </c>
      <c r="K373" s="99"/>
      <c r="L373" s="99"/>
      <c r="M373" s="39" t="str">
        <f t="shared" si="1"/>
        <v>[ Y. Dufournaud; C. Schmid; and R. Horaud 2000 (2000)]</v>
      </c>
      <c r="N373" s="69" t="s">
        <v>3497</v>
      </c>
      <c r="O373" s="98">
        <v>2000.0</v>
      </c>
      <c r="P373" s="69"/>
      <c r="Q373" s="13"/>
      <c r="R373" s="13"/>
      <c r="S373" s="13"/>
      <c r="T373" s="35">
        <v>1.0</v>
      </c>
      <c r="U373" s="35">
        <v>0.0</v>
      </c>
      <c r="V373" s="89">
        <f>IFERROR(__xludf.DUMMYFUNCTION("INDEX(SPLIT(SUBSTITUTE(W373,CHAR(10), """"),"",:""), MATCH(Z373, SPLIT(SUBSTITUTE(W373,CHAR(10), """"),"",:""), 0) + 1)"),5.001)</f>
        <v>5.001</v>
      </c>
      <c r="W373" s="102" t="s">
        <v>3498</v>
      </c>
      <c r="X373" s="35" t="s">
        <v>3499</v>
      </c>
      <c r="Y373" s="41"/>
      <c r="Z373" s="53" t="str">
        <f t="array" ref="Z373">INDEX(Problems!J:J, MATCH(1, (Problems!B:B=B373)*1, 0))</f>
        <v>n</v>
      </c>
      <c r="AA373" s="41"/>
      <c r="AB373" s="41"/>
      <c r="AC373" s="41"/>
      <c r="AD373" s="41"/>
      <c r="AE373" s="85" t="str">
        <f>IFERROR(__xludf.DUMMYFUNCTION("INDEX(SPLIT(SUBSTITUTE(AF373,CHAR(10), """"),"",:""), MATCH(Z373, SPLIT(SUBSTITUTE(AF373,CHAR(10), """"),"",:""), 0) + 1)"),"#VALUE!")</f>
        <v>#VALUE!</v>
      </c>
      <c r="AF373" s="102"/>
      <c r="AG373" s="41"/>
      <c r="AH373" s="41"/>
      <c r="AI373" s="104"/>
      <c r="AJ373" s="84" t="s">
        <v>2520</v>
      </c>
      <c r="AK373" s="104"/>
      <c r="AL373" s="35">
        <v>0.0</v>
      </c>
      <c r="AM373" s="104"/>
      <c r="AN373" s="35">
        <v>1.0</v>
      </c>
      <c r="AO373" s="110"/>
      <c r="AP373" s="35">
        <v>0.0</v>
      </c>
      <c r="AQ373" s="35">
        <v>0.0</v>
      </c>
      <c r="AR373" s="69"/>
      <c r="AS373" s="98">
        <v>0.0</v>
      </c>
      <c r="AT373" s="98">
        <v>0.0</v>
      </c>
      <c r="AU373" s="69"/>
      <c r="AV373" s="13"/>
      <c r="AW373" s="13"/>
      <c r="AX373" s="13"/>
      <c r="AY373" s="13"/>
      <c r="AZ373" s="13"/>
      <c r="BA373" s="13"/>
      <c r="BB373" s="13"/>
      <c r="BC373" s="13"/>
      <c r="BD373" s="13"/>
      <c r="BE373" s="13"/>
      <c r="BF373" s="13"/>
      <c r="BG373" s="13"/>
      <c r="BH373" s="13"/>
      <c r="BI373" s="13"/>
      <c r="BJ373" s="13"/>
      <c r="BK373" s="13"/>
      <c r="BL373" s="13"/>
      <c r="BM373" s="13"/>
      <c r="BN373" s="6"/>
      <c r="BO373" s="6">
        <v>3.0</v>
      </c>
      <c r="BP373" s="13"/>
      <c r="BQ373" s="13"/>
      <c r="BR373" s="6" t="s">
        <v>196</v>
      </c>
    </row>
    <row r="374">
      <c r="A374" s="35">
        <v>94.0</v>
      </c>
      <c r="B374" s="35" t="s">
        <v>984</v>
      </c>
      <c r="C374" s="53">
        <v>0.0</v>
      </c>
      <c r="D374" s="53" t="s">
        <v>988</v>
      </c>
      <c r="E374" s="7">
        <v>747.0</v>
      </c>
      <c r="F374" s="53"/>
      <c r="G374" s="6"/>
      <c r="H374" s="35">
        <v>0.0</v>
      </c>
      <c r="I374" s="35">
        <v>0.0</v>
      </c>
      <c r="J374" s="69" t="s">
        <v>834</v>
      </c>
      <c r="K374" s="99"/>
      <c r="L374" s="99"/>
      <c r="M374" s="39" t="str">
        <f t="shared" si="1"/>
        <v>[ local scale-invariant Lowe 1999 (1999)]</v>
      </c>
      <c r="N374" s="69" t="s">
        <v>3500</v>
      </c>
      <c r="O374" s="98">
        <v>1999.0</v>
      </c>
      <c r="P374" s="69"/>
      <c r="Q374" s="13"/>
      <c r="R374" s="13"/>
      <c r="S374" s="13"/>
      <c r="T374" s="35">
        <v>0.0</v>
      </c>
      <c r="U374" s="35">
        <v>0.0</v>
      </c>
      <c r="V374" s="89">
        <f>IFERROR(__xludf.DUMMYFUNCTION("INDEX(SPLIT(SUBSTITUTE(W374,CHAR(10), """"),"",:""), MATCH(Z374, SPLIT(SUBSTITUTE(W374,CHAR(10), """"),"",:""), 0) + 1)"),6.0)</f>
        <v>6</v>
      </c>
      <c r="W374" s="102" t="s">
        <v>2008</v>
      </c>
      <c r="X374" s="69" t="s">
        <v>834</v>
      </c>
      <c r="Y374" s="41"/>
      <c r="Z374" s="53" t="str">
        <f t="array" ref="Z374">INDEX(Problems!J:J, MATCH(1, (Problems!B:B=B374)*1, 0))</f>
        <v>n</v>
      </c>
      <c r="AA374" s="41"/>
      <c r="AB374" s="41"/>
      <c r="AC374" s="41"/>
      <c r="AD374" s="41"/>
      <c r="AE374" s="85" t="str">
        <f>IFERROR(__xludf.DUMMYFUNCTION("INDEX(SPLIT(SUBSTITUTE(AF374,CHAR(10), """"),"",:""), MATCH(Z374, SPLIT(SUBSTITUTE(AF374,CHAR(10), """"),"",:""), 0) + 1)"),"#VALUE!")</f>
        <v>#VALUE!</v>
      </c>
      <c r="AF374" s="102"/>
      <c r="AG374" s="41"/>
      <c r="AH374" s="41"/>
      <c r="AI374" s="104"/>
      <c r="AJ374" s="84" t="s">
        <v>2520</v>
      </c>
      <c r="AK374" s="104"/>
      <c r="AL374" s="35">
        <v>0.0</v>
      </c>
      <c r="AM374" s="104"/>
      <c r="AN374" s="35">
        <v>1.0</v>
      </c>
      <c r="AO374" s="110"/>
      <c r="AP374" s="35">
        <v>0.0</v>
      </c>
      <c r="AQ374" s="35">
        <v>0.0</v>
      </c>
      <c r="AR374" s="69"/>
      <c r="AS374" s="98">
        <v>0.0</v>
      </c>
      <c r="AT374" s="98">
        <v>0.0</v>
      </c>
      <c r="AU374" s="69"/>
      <c r="AV374" s="13"/>
      <c r="AW374" s="13"/>
      <c r="AX374" s="13"/>
      <c r="AY374" s="13"/>
      <c r="AZ374" s="6"/>
      <c r="BA374" s="6"/>
      <c r="BB374" s="6"/>
      <c r="BC374" s="6"/>
      <c r="BD374" s="6"/>
      <c r="BE374" s="6"/>
      <c r="BF374" s="6">
        <v>1.0E9</v>
      </c>
      <c r="BG374" s="13"/>
      <c r="BH374" s="13"/>
      <c r="BI374" s="13"/>
      <c r="BJ374" s="13"/>
      <c r="BK374" s="13"/>
      <c r="BL374" s="13"/>
      <c r="BM374" s="13"/>
      <c r="BN374" s="6"/>
      <c r="BO374" s="6">
        <v>3.0</v>
      </c>
      <c r="BP374" s="13"/>
      <c r="BQ374" s="13"/>
      <c r="BR374" s="6" t="s">
        <v>196</v>
      </c>
    </row>
    <row r="375">
      <c r="A375" s="35">
        <v>94.0</v>
      </c>
      <c r="B375" s="35" t="s">
        <v>984</v>
      </c>
      <c r="C375" s="53">
        <v>0.0</v>
      </c>
      <c r="D375" s="53" t="s">
        <v>988</v>
      </c>
      <c r="E375" s="7">
        <v>748.0</v>
      </c>
      <c r="F375" s="53"/>
      <c r="G375" s="6"/>
      <c r="H375" s="35">
        <v>0.0</v>
      </c>
      <c r="I375" s="35">
        <v>0.0</v>
      </c>
      <c r="J375" s="69" t="s">
        <v>834</v>
      </c>
      <c r="K375" s="99"/>
      <c r="L375" s="99"/>
      <c r="M375" s="39" t="str">
        <f t="shared" si="1"/>
        <v>[ T. Tuytelaars and L. Van Gool 2000 (2000)]</v>
      </c>
      <c r="N375" s="69" t="s">
        <v>3501</v>
      </c>
      <c r="O375" s="98">
        <v>2000.0</v>
      </c>
      <c r="P375" s="69"/>
      <c r="Q375" s="13"/>
      <c r="R375" s="13"/>
      <c r="S375" s="13"/>
      <c r="T375" s="35">
        <v>0.0</v>
      </c>
      <c r="U375" s="35">
        <v>0.0</v>
      </c>
      <c r="V375" s="89">
        <f>IFERROR(__xludf.DUMMYFUNCTION("INDEX(SPLIT(SUBSTITUTE(W375,CHAR(10), """"),"",:""), MATCH(Z375, SPLIT(SUBSTITUTE(W375,CHAR(10), """"),"",:""), 0) + 1)"),6.0)</f>
        <v>6</v>
      </c>
      <c r="W375" s="102" t="s">
        <v>2008</v>
      </c>
      <c r="X375" s="69" t="s">
        <v>834</v>
      </c>
      <c r="Y375" s="41"/>
      <c r="Z375" s="53" t="str">
        <f t="array" ref="Z375">INDEX(Problems!J:J, MATCH(1, (Problems!B:B=B375)*1, 0))</f>
        <v>n</v>
      </c>
      <c r="AA375" s="41"/>
      <c r="AB375" s="41"/>
      <c r="AC375" s="41"/>
      <c r="AD375" s="41"/>
      <c r="AE375" s="85" t="str">
        <f>IFERROR(__xludf.DUMMYFUNCTION("INDEX(SPLIT(SUBSTITUTE(AF375,CHAR(10), """"),"",:""), MATCH(Z375, SPLIT(SUBSTITUTE(AF375,CHAR(10), """"),"",:""), 0) + 1)"),"#VALUE!")</f>
        <v>#VALUE!</v>
      </c>
      <c r="AF375" s="102"/>
      <c r="AG375" s="41"/>
      <c r="AH375" s="41"/>
      <c r="AI375" s="104"/>
      <c r="AJ375" s="84" t="s">
        <v>2520</v>
      </c>
      <c r="AK375" s="104"/>
      <c r="AL375" s="35">
        <v>0.0</v>
      </c>
      <c r="AM375" s="104"/>
      <c r="AN375" s="35">
        <v>1.0</v>
      </c>
      <c r="AO375" s="110"/>
      <c r="AP375" s="35">
        <v>0.0</v>
      </c>
      <c r="AQ375" s="35">
        <v>0.0</v>
      </c>
      <c r="AR375" s="69"/>
      <c r="AS375" s="98">
        <v>0.0</v>
      </c>
      <c r="AT375" s="98">
        <v>0.0</v>
      </c>
      <c r="AU375" s="69"/>
      <c r="AV375" s="13"/>
      <c r="AW375" s="13"/>
      <c r="AX375" s="13"/>
      <c r="AY375" s="13"/>
      <c r="AZ375" s="6"/>
      <c r="BA375" s="6"/>
      <c r="BB375" s="6"/>
      <c r="BC375" s="6"/>
      <c r="BD375" s="6"/>
      <c r="BE375" s="6"/>
      <c r="BF375" s="6">
        <v>1.0E9</v>
      </c>
      <c r="BG375" s="13"/>
      <c r="BH375" s="13"/>
      <c r="BI375" s="13"/>
      <c r="BJ375" s="13"/>
      <c r="BK375" s="13"/>
      <c r="BL375" s="13"/>
      <c r="BM375" s="13"/>
      <c r="BN375" s="6"/>
      <c r="BO375" s="6">
        <v>3.0</v>
      </c>
      <c r="BP375" s="13"/>
      <c r="BQ375" s="13"/>
      <c r="BR375" s="6" t="s">
        <v>196</v>
      </c>
    </row>
    <row r="376">
      <c r="A376" s="35">
        <v>95.0</v>
      </c>
      <c r="B376" s="35" t="s">
        <v>991</v>
      </c>
      <c r="C376" s="53">
        <v>0.0</v>
      </c>
      <c r="D376" s="53" t="s">
        <v>991</v>
      </c>
      <c r="E376" s="7">
        <v>749.0</v>
      </c>
      <c r="F376" s="53"/>
      <c r="G376" s="6"/>
      <c r="H376" s="35">
        <v>0.0</v>
      </c>
      <c r="I376" s="35">
        <v>0.0</v>
      </c>
      <c r="J376" s="69" t="s">
        <v>115</v>
      </c>
      <c r="K376" s="99"/>
      <c r="L376" s="99"/>
      <c r="M376" s="39" t="str">
        <f t="shared" si="1"/>
        <v>[ view frustum culling (2008)]</v>
      </c>
      <c r="N376" s="69" t="s">
        <v>3502</v>
      </c>
      <c r="O376" s="98">
        <v>2008.0</v>
      </c>
      <c r="P376" s="69"/>
      <c r="Q376" s="13"/>
      <c r="R376" s="13"/>
      <c r="S376" s="13"/>
      <c r="T376" s="35">
        <v>0.0</v>
      </c>
      <c r="U376" s="35">
        <v>0.0</v>
      </c>
      <c r="V376" s="89">
        <f>IFERROR(__xludf.DUMMYFUNCTION("INDEX(SPLIT(SUBSTITUTE(W376,CHAR(10), """"),"",:""), MATCH(Z376, SPLIT(SUBSTITUTE(W376,CHAR(10), """"),"",:""), 0) + 1)"),5.0)</f>
        <v>5</v>
      </c>
      <c r="W376" s="102" t="s">
        <v>1938</v>
      </c>
      <c r="X376" s="69" t="s">
        <v>115</v>
      </c>
      <c r="Y376" s="41"/>
      <c r="Z376" s="53" t="str">
        <f t="array" ref="Z376">INDEX(Problems!J:J, MATCH(1, (Problems!B:B=B376)*1, 0))</f>
        <v>n</v>
      </c>
      <c r="AA376" s="41"/>
      <c r="AB376" s="41"/>
      <c r="AC376" s="41"/>
      <c r="AD376" s="41"/>
      <c r="AE376" s="85" t="str">
        <f>IFERROR(__xludf.DUMMYFUNCTION("INDEX(SPLIT(SUBSTITUTE(AF376,CHAR(10), """"),"",:""), MATCH(Z376, SPLIT(SUBSTITUTE(AF376,CHAR(10), """"),"",:""), 0) + 1)"),"#VALUE!")</f>
        <v>#VALUE!</v>
      </c>
      <c r="AF376" s="102"/>
      <c r="AG376" s="41"/>
      <c r="AH376" s="41"/>
      <c r="AI376" s="104"/>
      <c r="AJ376" s="84" t="s">
        <v>2520</v>
      </c>
      <c r="AK376" s="104"/>
      <c r="AL376" s="35">
        <v>0.0</v>
      </c>
      <c r="AM376" s="104"/>
      <c r="AN376" s="35">
        <v>1.0</v>
      </c>
      <c r="AO376" s="110"/>
      <c r="AP376" s="35">
        <v>0.0</v>
      </c>
      <c r="AQ376" s="35">
        <v>0.0</v>
      </c>
      <c r="AR376" s="69"/>
      <c r="AS376" s="98">
        <v>0.0</v>
      </c>
      <c r="AT376" s="98">
        <v>0.0</v>
      </c>
      <c r="AU376" s="69"/>
      <c r="AV376" s="13"/>
      <c r="AW376" s="13"/>
      <c r="AX376" s="13"/>
      <c r="AY376" s="13"/>
      <c r="AZ376" s="6"/>
      <c r="BA376" s="6"/>
      <c r="BB376" s="6"/>
      <c r="BC376" s="6"/>
      <c r="BD376" s="6"/>
      <c r="BE376" s="6"/>
      <c r="BF376" s="6">
        <v>1000000.0</v>
      </c>
      <c r="BG376" s="13"/>
      <c r="BH376" s="13"/>
      <c r="BI376" s="13"/>
      <c r="BJ376" s="13"/>
      <c r="BK376" s="13"/>
      <c r="BL376" s="13"/>
      <c r="BM376" s="13"/>
      <c r="BN376" s="6"/>
      <c r="BO376" s="6">
        <v>4.0</v>
      </c>
      <c r="BP376" s="13"/>
      <c r="BQ376" s="13"/>
      <c r="BR376" s="6" t="s">
        <v>196</v>
      </c>
    </row>
    <row r="377">
      <c r="A377" s="35">
        <v>95.0</v>
      </c>
      <c r="B377" s="35" t="s">
        <v>991</v>
      </c>
      <c r="C377" s="53">
        <v>0.0</v>
      </c>
      <c r="D377" s="53" t="s">
        <v>991</v>
      </c>
      <c r="E377" s="7">
        <v>750.0</v>
      </c>
      <c r="F377" s="53"/>
      <c r="G377" s="6"/>
      <c r="H377" s="35">
        <v>0.0</v>
      </c>
      <c r="I377" s="35">
        <v>0.0</v>
      </c>
      <c r="J377" s="69" t="s">
        <v>115</v>
      </c>
      <c r="K377" s="99"/>
      <c r="L377" s="99"/>
      <c r="M377" s="39" t="str">
        <f t="shared" si="1"/>
        <v>[ Sector-Based Culling (1991)]</v>
      </c>
      <c r="N377" s="69" t="s">
        <v>3503</v>
      </c>
      <c r="O377" s="98">
        <v>1991.0</v>
      </c>
      <c r="P377" s="69"/>
      <c r="Q377" s="13"/>
      <c r="R377" s="13"/>
      <c r="S377" s="13"/>
      <c r="T377" s="35">
        <v>0.0</v>
      </c>
      <c r="U377" s="35">
        <v>0.0</v>
      </c>
      <c r="V377" s="89">
        <f>IFERROR(__xludf.DUMMYFUNCTION("INDEX(SPLIT(SUBSTITUTE(W377,CHAR(10), """"),"",:""), MATCH(Z377, SPLIT(SUBSTITUTE(W377,CHAR(10), """"),"",:""), 0) + 1)"),5.0)</f>
        <v>5</v>
      </c>
      <c r="W377" s="102" t="s">
        <v>1938</v>
      </c>
      <c r="X377" s="69" t="s">
        <v>115</v>
      </c>
      <c r="Y377" s="41"/>
      <c r="Z377" s="53" t="str">
        <f t="array" ref="Z377">INDEX(Problems!J:J, MATCH(1, (Problems!B:B=B377)*1, 0))</f>
        <v>n</v>
      </c>
      <c r="AA377" s="41"/>
      <c r="AB377" s="41"/>
      <c r="AC377" s="41"/>
      <c r="AD377" s="41"/>
      <c r="AE377" s="85" t="str">
        <f>IFERROR(__xludf.DUMMYFUNCTION("INDEX(SPLIT(SUBSTITUTE(AF377,CHAR(10), """"),"",:""), MATCH(Z377, SPLIT(SUBSTITUTE(AF377,CHAR(10), """"),"",:""), 0) + 1)"),"#VALUE!")</f>
        <v>#VALUE!</v>
      </c>
      <c r="AF377" s="102"/>
      <c r="AG377" s="41"/>
      <c r="AH377" s="41"/>
      <c r="AI377" s="104"/>
      <c r="AJ377" s="84" t="s">
        <v>2520</v>
      </c>
      <c r="AK377" s="104"/>
      <c r="AL377" s="35">
        <v>0.0</v>
      </c>
      <c r="AM377" s="104"/>
      <c r="AN377" s="35">
        <v>1.0</v>
      </c>
      <c r="AO377" s="110"/>
      <c r="AP377" s="35">
        <v>0.0</v>
      </c>
      <c r="AQ377" s="35">
        <v>0.0</v>
      </c>
      <c r="AR377" s="69"/>
      <c r="AS377" s="98">
        <v>0.0</v>
      </c>
      <c r="AT377" s="98">
        <v>0.0</v>
      </c>
      <c r="AU377" s="69"/>
      <c r="AV377" s="13"/>
      <c r="AW377" s="13"/>
      <c r="AX377" s="13"/>
      <c r="AY377" s="13"/>
      <c r="AZ377" s="6"/>
      <c r="BA377" s="6"/>
      <c r="BB377" s="6"/>
      <c r="BC377" s="6"/>
      <c r="BD377" s="6"/>
      <c r="BE377" s="6"/>
      <c r="BF377" s="6">
        <v>1000000.0</v>
      </c>
      <c r="BG377" s="13"/>
      <c r="BH377" s="13"/>
      <c r="BI377" s="13"/>
      <c r="BJ377" s="13"/>
      <c r="BK377" s="13"/>
      <c r="BL377" s="13"/>
      <c r="BM377" s="13"/>
      <c r="BN377" s="6"/>
      <c r="BO377" s="6">
        <v>4.0</v>
      </c>
      <c r="BP377" s="13"/>
      <c r="BQ377" s="13"/>
      <c r="BR377" s="6" t="s">
        <v>196</v>
      </c>
    </row>
    <row r="378">
      <c r="A378" s="35">
        <v>95.0</v>
      </c>
      <c r="B378" s="35" t="s">
        <v>991</v>
      </c>
      <c r="C378" s="53">
        <v>0.0</v>
      </c>
      <c r="D378" s="53" t="s">
        <v>991</v>
      </c>
      <c r="E378" s="7">
        <v>751.0</v>
      </c>
      <c r="F378" s="53"/>
      <c r="G378" s="6"/>
      <c r="H378" s="35">
        <v>0.0</v>
      </c>
      <c r="I378" s="35">
        <v>0.0</v>
      </c>
      <c r="J378" s="69" t="s">
        <v>115</v>
      </c>
      <c r="K378" s="99"/>
      <c r="L378" s="99"/>
      <c r="M378" s="39" t="str">
        <f t="shared" si="1"/>
        <v>[ Occlusion Culling (1986)]</v>
      </c>
      <c r="N378" s="69" t="s">
        <v>3504</v>
      </c>
      <c r="O378" s="98">
        <v>1986.0</v>
      </c>
      <c r="P378" s="69"/>
      <c r="Q378" s="13"/>
      <c r="R378" s="13"/>
      <c r="S378" s="13"/>
      <c r="T378" s="35">
        <v>1.0</v>
      </c>
      <c r="U378" s="35">
        <v>0.0</v>
      </c>
      <c r="V378" s="89">
        <f>IFERROR(__xludf.DUMMYFUNCTION("INDEX(SPLIT(SUBSTITUTE(W378,CHAR(10), """"),"",:""), MATCH(Z378, SPLIT(SUBSTITUTE(W378,CHAR(10), """"),"",:""), 0) + 1)"),5.0)</f>
        <v>5</v>
      </c>
      <c r="W378" s="102" t="s">
        <v>1938</v>
      </c>
      <c r="X378" s="69" t="s">
        <v>115</v>
      </c>
      <c r="Y378" s="41"/>
      <c r="Z378" s="53" t="str">
        <f t="array" ref="Z378">INDEX(Problems!J:J, MATCH(1, (Problems!B:B=B378)*1, 0))</f>
        <v>n</v>
      </c>
      <c r="AA378" s="41"/>
      <c r="AB378" s="41"/>
      <c r="AC378" s="41"/>
      <c r="AD378" s="41"/>
      <c r="AE378" s="85" t="str">
        <f>IFERROR(__xludf.DUMMYFUNCTION("INDEX(SPLIT(SUBSTITUTE(AF378,CHAR(10), """"),"",:""), MATCH(Z378, SPLIT(SUBSTITUTE(AF378,CHAR(10), """"),"",:""), 0) + 1)"),"#VALUE!")</f>
        <v>#VALUE!</v>
      </c>
      <c r="AF378" s="102"/>
      <c r="AG378" s="41"/>
      <c r="AH378" s="41"/>
      <c r="AI378" s="104"/>
      <c r="AJ378" s="84" t="s">
        <v>2520</v>
      </c>
      <c r="AK378" s="104"/>
      <c r="AL378" s="35">
        <v>0.0</v>
      </c>
      <c r="AM378" s="104"/>
      <c r="AN378" s="35">
        <v>1.0</v>
      </c>
      <c r="AO378" s="110"/>
      <c r="AP378" s="35">
        <v>0.0</v>
      </c>
      <c r="AQ378" s="35">
        <v>0.0</v>
      </c>
      <c r="AR378" s="69"/>
      <c r="AS378" s="98">
        <v>0.0</v>
      </c>
      <c r="AT378" s="98">
        <v>0.0</v>
      </c>
      <c r="AU378" s="69"/>
      <c r="AV378" s="13"/>
      <c r="AW378" s="13"/>
      <c r="AX378" s="13"/>
      <c r="AY378" s="13"/>
      <c r="AZ378" s="6"/>
      <c r="BA378" s="6"/>
      <c r="BB378" s="6"/>
      <c r="BC378" s="6"/>
      <c r="BD378" s="6"/>
      <c r="BE378" s="6"/>
      <c r="BF378" s="6">
        <v>1000000.0</v>
      </c>
      <c r="BG378" s="13"/>
      <c r="BH378" s="13"/>
      <c r="BI378" s="13"/>
      <c r="BJ378" s="13"/>
      <c r="BK378" s="13"/>
      <c r="BL378" s="13"/>
      <c r="BM378" s="13"/>
      <c r="BN378" s="6"/>
      <c r="BO378" s="6">
        <v>4.0</v>
      </c>
      <c r="BP378" s="13"/>
      <c r="BQ378" s="13"/>
      <c r="BR378" s="6" t="s">
        <v>196</v>
      </c>
    </row>
    <row r="379">
      <c r="A379" s="35">
        <v>95.0</v>
      </c>
      <c r="B379" s="35" t="s">
        <v>991</v>
      </c>
      <c r="C379" s="53">
        <v>0.0</v>
      </c>
      <c r="D379" s="53" t="s">
        <v>991</v>
      </c>
      <c r="E379" s="7">
        <v>752.0</v>
      </c>
      <c r="F379" s="53"/>
      <c r="G379" s="6"/>
      <c r="H379" s="35">
        <v>0.0</v>
      </c>
      <c r="I379" s="35">
        <v>0.0</v>
      </c>
      <c r="J379" s="69" t="s">
        <v>115</v>
      </c>
      <c r="K379" s="99"/>
      <c r="L379" s="99"/>
      <c r="M379" s="39" t="str">
        <f t="shared" si="1"/>
        <v>[ Contribution Culling (1987)]</v>
      </c>
      <c r="N379" s="69" t="s">
        <v>3505</v>
      </c>
      <c r="O379" s="98">
        <v>1987.0</v>
      </c>
      <c r="P379" s="69"/>
      <c r="Q379" s="13"/>
      <c r="R379" s="13"/>
      <c r="S379" s="13"/>
      <c r="T379" s="35">
        <v>0.0</v>
      </c>
      <c r="U379" s="35">
        <v>0.0</v>
      </c>
      <c r="V379" s="89">
        <f>IFERROR(__xludf.DUMMYFUNCTION("INDEX(SPLIT(SUBSTITUTE(W379,CHAR(10), """"),"",:""), MATCH(Z379, SPLIT(SUBSTITUTE(W379,CHAR(10), """"),"",:""), 0) + 1)"),5.0)</f>
        <v>5</v>
      </c>
      <c r="W379" s="102" t="s">
        <v>1938</v>
      </c>
      <c r="X379" s="69" t="s">
        <v>115</v>
      </c>
      <c r="Y379" s="41"/>
      <c r="Z379" s="53" t="str">
        <f t="array" ref="Z379">INDEX(Problems!J:J, MATCH(1, (Problems!B:B=B379)*1, 0))</f>
        <v>n</v>
      </c>
      <c r="AA379" s="41"/>
      <c r="AB379" s="41"/>
      <c r="AC379" s="41"/>
      <c r="AD379" s="41"/>
      <c r="AE379" s="85" t="str">
        <f>IFERROR(__xludf.DUMMYFUNCTION("INDEX(SPLIT(SUBSTITUTE(AF379,CHAR(10), """"),"",:""), MATCH(Z379, SPLIT(SUBSTITUTE(AF379,CHAR(10), """"),"",:""), 0) + 1)"),"#VALUE!")</f>
        <v>#VALUE!</v>
      </c>
      <c r="AF379" s="102"/>
      <c r="AG379" s="41"/>
      <c r="AH379" s="41"/>
      <c r="AI379" s="104"/>
      <c r="AJ379" s="84" t="s">
        <v>2520</v>
      </c>
      <c r="AK379" s="104"/>
      <c r="AL379" s="35">
        <v>0.0</v>
      </c>
      <c r="AM379" s="104"/>
      <c r="AN379" s="35">
        <v>1.0</v>
      </c>
      <c r="AO379" s="110"/>
      <c r="AP379" s="35">
        <v>0.0</v>
      </c>
      <c r="AQ379" s="35">
        <v>0.0</v>
      </c>
      <c r="AR379" s="69"/>
      <c r="AS379" s="98">
        <v>0.0</v>
      </c>
      <c r="AT379" s="98">
        <v>0.0</v>
      </c>
      <c r="AU379" s="69"/>
      <c r="AV379" s="13"/>
      <c r="AW379" s="13"/>
      <c r="AX379" s="13"/>
      <c r="AY379" s="13"/>
      <c r="AZ379" s="6"/>
      <c r="BA379" s="6"/>
      <c r="BB379" s="6"/>
      <c r="BC379" s="6"/>
      <c r="BD379" s="6"/>
      <c r="BE379" s="6"/>
      <c r="BF379" s="6">
        <v>1000000.0</v>
      </c>
      <c r="BG379" s="13"/>
      <c r="BH379" s="13"/>
      <c r="BI379" s="13"/>
      <c r="BJ379" s="13"/>
      <c r="BK379" s="13"/>
      <c r="BL379" s="13"/>
      <c r="BM379" s="13"/>
      <c r="BN379" s="6"/>
      <c r="BO379" s="6">
        <v>4.0</v>
      </c>
      <c r="BP379" s="13"/>
      <c r="BQ379" s="13"/>
      <c r="BR379" s="6" t="s">
        <v>196</v>
      </c>
    </row>
    <row r="380">
      <c r="A380" s="35">
        <v>103.1</v>
      </c>
      <c r="B380" s="35" t="s">
        <v>1031</v>
      </c>
      <c r="C380" s="53">
        <v>0.0</v>
      </c>
      <c r="D380" s="53" t="s">
        <v>1031</v>
      </c>
      <c r="E380" s="7">
        <v>814.0</v>
      </c>
      <c r="F380" s="53"/>
      <c r="G380" s="6"/>
      <c r="H380" s="35">
        <v>0.0</v>
      </c>
      <c r="I380" s="35">
        <v>0.0</v>
      </c>
      <c r="J380" s="69" t="s">
        <v>834</v>
      </c>
      <c r="K380" s="99"/>
      <c r="L380" s="99"/>
      <c r="M380" s="39" t="str">
        <f t="shared" si="1"/>
        <v>[https://dl.acm.org/doi/abs/10.1145/882262.882264 Kwatra 2003 (2003)]</v>
      </c>
      <c r="N380" s="69" t="s">
        <v>3506</v>
      </c>
      <c r="O380" s="98">
        <v>2003.0</v>
      </c>
      <c r="P380" s="106" t="s">
        <v>3507</v>
      </c>
      <c r="Q380" s="13"/>
      <c r="R380" s="13"/>
      <c r="S380" s="13"/>
      <c r="T380" s="35">
        <v>0.0</v>
      </c>
      <c r="U380" s="35">
        <v>0.0</v>
      </c>
      <c r="V380" s="89">
        <f>IFERROR(__xludf.DUMMYFUNCTION("INDEX(SPLIT(SUBSTITUTE(W380,CHAR(10), """"),"",:""), MATCH(Z380, SPLIT(SUBSTITUTE(W380,CHAR(10), """"),"",:""), 0) + 1)"),6.0)</f>
        <v>6</v>
      </c>
      <c r="W380" s="102" t="s">
        <v>2008</v>
      </c>
      <c r="X380" s="69" t="s">
        <v>834</v>
      </c>
      <c r="Y380" s="41"/>
      <c r="Z380" s="53" t="str">
        <f t="array" ref="Z380">INDEX(Problems!J:J, MATCH(1, (Problems!B:B=B380)*1, 0))</f>
        <v>n</v>
      </c>
      <c r="AA380" s="41"/>
      <c r="AB380" s="41"/>
      <c r="AC380" s="41"/>
      <c r="AD380" s="41"/>
      <c r="AE380" s="85" t="str">
        <f>IFERROR(__xludf.DUMMYFUNCTION("INDEX(SPLIT(SUBSTITUTE(AF380,CHAR(10), """"),"",:""), MATCH(Z380, SPLIT(SUBSTITUTE(AF380,CHAR(10), """"),"",:""), 0) + 1)"),"#VALUE!")</f>
        <v>#VALUE!</v>
      </c>
      <c r="AF380" s="102"/>
      <c r="AG380" s="41"/>
      <c r="AH380" s="41"/>
      <c r="AI380" s="104"/>
      <c r="AJ380" s="84" t="s">
        <v>2520</v>
      </c>
      <c r="AK380" s="104"/>
      <c r="AL380" s="35">
        <v>0.0</v>
      </c>
      <c r="AM380" s="104"/>
      <c r="AN380" s="35">
        <v>1.0</v>
      </c>
      <c r="AO380" s="110"/>
      <c r="AP380" s="35">
        <v>0.0</v>
      </c>
      <c r="AQ380" s="35">
        <v>0.0</v>
      </c>
      <c r="AR380" s="69"/>
      <c r="AS380" s="98">
        <v>0.0</v>
      </c>
      <c r="AT380" s="98">
        <v>0.0</v>
      </c>
      <c r="AU380" s="69"/>
      <c r="AV380" s="13"/>
      <c r="AW380" s="13"/>
      <c r="AX380" s="13"/>
      <c r="AY380" s="13"/>
      <c r="AZ380" s="6"/>
      <c r="BA380" s="6"/>
      <c r="BB380" s="6"/>
      <c r="BC380" s="6"/>
      <c r="BD380" s="6"/>
      <c r="BE380" s="6"/>
      <c r="BF380" s="6">
        <v>1.0E9</v>
      </c>
      <c r="BG380" s="13"/>
      <c r="BH380" s="13"/>
      <c r="BI380" s="13"/>
      <c r="BJ380" s="13"/>
      <c r="BK380" s="13"/>
      <c r="BL380" s="13"/>
      <c r="BM380" s="13"/>
      <c r="BN380" s="6"/>
      <c r="BO380" s="6">
        <v>3.0</v>
      </c>
      <c r="BP380" s="13"/>
      <c r="BQ380" s="13"/>
      <c r="BR380" s="6" t="s">
        <v>196</v>
      </c>
    </row>
    <row r="381">
      <c r="A381" s="35">
        <v>103.1</v>
      </c>
      <c r="B381" s="35" t="s">
        <v>1031</v>
      </c>
      <c r="C381" s="53">
        <v>0.0</v>
      </c>
      <c r="D381" s="53" t="s">
        <v>1031</v>
      </c>
      <c r="E381" s="7">
        <v>815.0</v>
      </c>
      <c r="F381" s="53"/>
      <c r="G381" s="6"/>
      <c r="H381" s="35">
        <v>0.0</v>
      </c>
      <c r="I381" s="35">
        <v>0.0</v>
      </c>
      <c r="J381" s="69" t="s">
        <v>834</v>
      </c>
      <c r="K381" s="99"/>
      <c r="L381" s="99"/>
      <c r="M381" s="39" t="str">
        <f t="shared" si="1"/>
        <v>[ CNN Based Gatys; Leon A 2001 (2001)]</v>
      </c>
      <c r="N381" s="69" t="s">
        <v>3508</v>
      </c>
      <c r="O381" s="98">
        <v>2001.0</v>
      </c>
      <c r="P381" s="69"/>
      <c r="Q381" s="13"/>
      <c r="R381" s="13"/>
      <c r="S381" s="13"/>
      <c r="T381" s="35">
        <v>0.0</v>
      </c>
      <c r="U381" s="35">
        <v>0.0</v>
      </c>
      <c r="V381" s="89">
        <f>IFERROR(__xludf.DUMMYFUNCTION("INDEX(SPLIT(SUBSTITUTE(W381,CHAR(10), """"),"",:""), MATCH(Z381, SPLIT(SUBSTITUTE(W381,CHAR(10), """"),"",:""), 0) + 1)"),6.0)</f>
        <v>6</v>
      </c>
      <c r="W381" s="102" t="s">
        <v>2008</v>
      </c>
      <c r="X381" s="69" t="s">
        <v>834</v>
      </c>
      <c r="Y381" s="41"/>
      <c r="Z381" s="53" t="str">
        <f t="array" ref="Z381">INDEX(Problems!J:J, MATCH(1, (Problems!B:B=B381)*1, 0))</f>
        <v>n</v>
      </c>
      <c r="AA381" s="41"/>
      <c r="AB381" s="41"/>
      <c r="AC381" s="41"/>
      <c r="AD381" s="41"/>
      <c r="AE381" s="85" t="str">
        <f>IFERROR(__xludf.DUMMYFUNCTION("INDEX(SPLIT(SUBSTITUTE(AF381,CHAR(10), """"),"",:""), MATCH(Z381, SPLIT(SUBSTITUTE(AF381,CHAR(10), """"),"",:""), 0) + 1)"),"#VALUE!")</f>
        <v>#VALUE!</v>
      </c>
      <c r="AF381" s="102"/>
      <c r="AG381" s="41"/>
      <c r="AH381" s="41"/>
      <c r="AI381" s="104"/>
      <c r="AJ381" s="84" t="s">
        <v>2520</v>
      </c>
      <c r="AK381" s="104"/>
      <c r="AL381" s="35">
        <v>0.0</v>
      </c>
      <c r="AM381" s="104"/>
      <c r="AN381" s="35">
        <v>1.0</v>
      </c>
      <c r="AO381" s="110"/>
      <c r="AP381" s="35">
        <v>0.0</v>
      </c>
      <c r="AQ381" s="35">
        <v>0.0</v>
      </c>
      <c r="AR381" s="69"/>
      <c r="AS381" s="98">
        <v>0.0</v>
      </c>
      <c r="AT381" s="98">
        <v>0.0</v>
      </c>
      <c r="AU381" s="69"/>
      <c r="AV381" s="13"/>
      <c r="AW381" s="13"/>
      <c r="AX381" s="13"/>
      <c r="AY381" s="13"/>
      <c r="AZ381" s="6"/>
      <c r="BA381" s="6"/>
      <c r="BB381" s="6"/>
      <c r="BC381" s="6"/>
      <c r="BD381" s="6"/>
      <c r="BE381" s="6"/>
      <c r="BF381" s="6">
        <v>1.0E9</v>
      </c>
      <c r="BG381" s="13"/>
      <c r="BH381" s="13"/>
      <c r="BI381" s="13"/>
      <c r="BJ381" s="13"/>
      <c r="BK381" s="13"/>
      <c r="BL381" s="13"/>
      <c r="BM381" s="13"/>
      <c r="BN381" s="6"/>
      <c r="BO381" s="6">
        <v>3.0</v>
      </c>
      <c r="BP381" s="13"/>
      <c r="BQ381" s="13"/>
      <c r="BR381" s="6" t="s">
        <v>196</v>
      </c>
    </row>
    <row r="382">
      <c r="A382" s="35">
        <v>105.0</v>
      </c>
      <c r="B382" s="35" t="s">
        <v>1044</v>
      </c>
      <c r="C382" s="53">
        <v>0.0</v>
      </c>
      <c r="D382" s="53" t="s">
        <v>1045</v>
      </c>
      <c r="E382" s="7">
        <v>818.0</v>
      </c>
      <c r="F382" s="53"/>
      <c r="G382" s="6"/>
      <c r="H382" s="35">
        <v>0.0</v>
      </c>
      <c r="I382" s="35">
        <v>0.0</v>
      </c>
      <c r="J382" s="69" t="s">
        <v>3509</v>
      </c>
      <c r="K382" s="99"/>
      <c r="L382" s="99"/>
      <c r="M382" s="39" t="str">
        <f t="shared" si="1"/>
        <v>[ P.Hanrahan and W.Krueger 1993 (1993)]</v>
      </c>
      <c r="N382" s="69" t="s">
        <v>3510</v>
      </c>
      <c r="O382" s="98">
        <v>1993.0</v>
      </c>
      <c r="P382" s="69"/>
      <c r="Q382" s="13"/>
      <c r="R382" s="13"/>
      <c r="S382" s="13"/>
      <c r="T382" s="35">
        <v>0.0</v>
      </c>
      <c r="U382" s="35">
        <v>0.0</v>
      </c>
      <c r="V382" s="89">
        <f>IFERROR(__xludf.DUMMYFUNCTION("INDEX(SPLIT(SUBSTITUTE(W382,CHAR(10), """"),"",:""), MATCH(Z382, SPLIT(SUBSTITUTE(W382,CHAR(10), """"),"",:""), 0) + 1)"),5.0)</f>
        <v>5</v>
      </c>
      <c r="W382" s="102" t="s">
        <v>2190</v>
      </c>
      <c r="X382" s="69" t="s">
        <v>3509</v>
      </c>
      <c r="Y382" s="41"/>
      <c r="Z382" s="53" t="str">
        <f t="array" ref="Z382">INDEX(Problems!J:J, MATCH(1, (Problems!B:B=B382)*1, 0))</f>
        <v>n</v>
      </c>
      <c r="AA382" s="41"/>
      <c r="AB382" s="41"/>
      <c r="AC382" s="41"/>
      <c r="AD382" s="41"/>
      <c r="AE382" s="85" t="str">
        <f>IFERROR(__xludf.DUMMYFUNCTION("INDEX(SPLIT(SUBSTITUTE(AF382,CHAR(10), """"),"",:""), MATCH(Z382, SPLIT(SUBSTITUTE(AF382,CHAR(10), """"),"",:""), 0) + 1)"),"#VALUE!")</f>
        <v>#VALUE!</v>
      </c>
      <c r="AF382" s="102"/>
      <c r="AG382" s="41"/>
      <c r="AH382" s="41"/>
      <c r="AI382" s="104"/>
      <c r="AJ382" s="84" t="s">
        <v>2520</v>
      </c>
      <c r="AK382" s="104"/>
      <c r="AL382" s="35">
        <v>0.0</v>
      </c>
      <c r="AM382" s="104"/>
      <c r="AN382" s="35">
        <v>1.0</v>
      </c>
      <c r="AO382" s="110"/>
      <c r="AP382" s="35">
        <v>0.0</v>
      </c>
      <c r="AQ382" s="35">
        <v>0.0</v>
      </c>
      <c r="AR382" s="69"/>
      <c r="AS382" s="98">
        <v>0.0</v>
      </c>
      <c r="AT382" s="98">
        <v>0.0</v>
      </c>
      <c r="AU382" s="69"/>
      <c r="AV382" s="13"/>
      <c r="AW382" s="13"/>
      <c r="AX382" s="13"/>
      <c r="AY382" s="13"/>
      <c r="AZ382" s="13"/>
      <c r="BA382" s="13"/>
      <c r="BB382" s="13"/>
      <c r="BC382" s="13"/>
      <c r="BD382" s="13"/>
      <c r="BE382" s="13"/>
      <c r="BF382" s="13"/>
      <c r="BG382" s="13"/>
      <c r="BH382" s="13"/>
      <c r="BI382" s="13"/>
      <c r="BJ382" s="13"/>
      <c r="BK382" s="13"/>
      <c r="BL382" s="13"/>
      <c r="BM382" s="13"/>
      <c r="BN382" s="6"/>
      <c r="BO382" s="6">
        <v>2.0</v>
      </c>
      <c r="BP382" s="13"/>
      <c r="BQ382" s="13"/>
      <c r="BR382" s="6" t="s">
        <v>196</v>
      </c>
    </row>
    <row r="383">
      <c r="A383" s="35">
        <v>105.0</v>
      </c>
      <c r="B383" s="35" t="s">
        <v>1044</v>
      </c>
      <c r="C383" s="53">
        <v>0.0</v>
      </c>
      <c r="D383" s="53" t="s">
        <v>1045</v>
      </c>
      <c r="E383" s="7">
        <v>819.0</v>
      </c>
      <c r="F383" s="53"/>
      <c r="G383" s="6"/>
      <c r="H383" s="35">
        <v>0.0</v>
      </c>
      <c r="I383" s="35">
        <v>0.0</v>
      </c>
      <c r="J383" s="69" t="s">
        <v>3511</v>
      </c>
      <c r="K383" s="99"/>
      <c r="L383" s="99"/>
      <c r="M383" s="39" t="str">
        <f t="shared" si="1"/>
        <v>[ H.W.Jensen 2001 (2001)]</v>
      </c>
      <c r="N383" s="69" t="s">
        <v>3512</v>
      </c>
      <c r="O383" s="98">
        <v>2001.0</v>
      </c>
      <c r="P383" s="69"/>
      <c r="Q383" s="13"/>
      <c r="R383" s="13"/>
      <c r="S383" s="13"/>
      <c r="T383" s="35">
        <v>0.0</v>
      </c>
      <c r="U383" s="35">
        <v>0.0</v>
      </c>
      <c r="V383" s="89">
        <f>IFERROR(__xludf.DUMMYFUNCTION("INDEX(SPLIT(SUBSTITUTE(W383,CHAR(10), """"),"",:""), MATCH(Z383, SPLIT(SUBSTITUTE(W383,CHAR(10), """"),"",:""), 0) + 1)"),3.0)</f>
        <v>3</v>
      </c>
      <c r="W383" s="102" t="s">
        <v>3513</v>
      </c>
      <c r="X383" s="69" t="s">
        <v>3511</v>
      </c>
      <c r="Y383" s="41"/>
      <c r="Z383" s="53" t="str">
        <f t="array" ref="Z383">INDEX(Problems!J:J, MATCH(1, (Problems!B:B=B383)*1, 0))</f>
        <v>n</v>
      </c>
      <c r="AA383" s="41"/>
      <c r="AB383" s="41"/>
      <c r="AC383" s="41"/>
      <c r="AD383" s="41"/>
      <c r="AE383" s="85" t="str">
        <f>IFERROR(__xludf.DUMMYFUNCTION("INDEX(SPLIT(SUBSTITUTE(AF383,CHAR(10), """"),"",:""), MATCH(Z383, SPLIT(SUBSTITUTE(AF383,CHAR(10), """"),"",:""), 0) + 1)"),"#VALUE!")</f>
        <v>#VALUE!</v>
      </c>
      <c r="AF383" s="102"/>
      <c r="AG383" s="41"/>
      <c r="AH383" s="41"/>
      <c r="AI383" s="104"/>
      <c r="AJ383" s="84" t="s">
        <v>2520</v>
      </c>
      <c r="AK383" s="104"/>
      <c r="AL383" s="35">
        <v>0.0</v>
      </c>
      <c r="AM383" s="104"/>
      <c r="AN383" s="35">
        <v>1.0</v>
      </c>
      <c r="AO383" s="110"/>
      <c r="AP383" s="35">
        <v>0.0</v>
      </c>
      <c r="AQ383" s="35">
        <v>0.0</v>
      </c>
      <c r="AR383" s="69"/>
      <c r="AS383" s="98">
        <v>0.0</v>
      </c>
      <c r="AT383" s="98">
        <v>0.0</v>
      </c>
      <c r="AU383" s="69"/>
      <c r="AV383" s="13"/>
      <c r="AW383" s="13"/>
      <c r="AX383" s="13"/>
      <c r="AY383" s="13"/>
      <c r="AZ383" s="13"/>
      <c r="BA383" s="13"/>
      <c r="BB383" s="13"/>
      <c r="BC383" s="13"/>
      <c r="BD383" s="13"/>
      <c r="BE383" s="13"/>
      <c r="BF383" s="13"/>
      <c r="BG383" s="13"/>
      <c r="BH383" s="13"/>
      <c r="BI383" s="13"/>
      <c r="BJ383" s="13"/>
      <c r="BK383" s="13"/>
      <c r="BL383" s="13"/>
      <c r="BM383" s="13"/>
      <c r="BN383" s="6"/>
      <c r="BO383" s="6">
        <v>2.0</v>
      </c>
      <c r="BP383" s="13"/>
      <c r="BQ383" s="13"/>
      <c r="BR383" s="6" t="s">
        <v>196</v>
      </c>
    </row>
    <row r="384">
      <c r="A384" s="35">
        <v>105.0</v>
      </c>
      <c r="B384" s="35" t="s">
        <v>1044</v>
      </c>
      <c r="C384" s="53">
        <v>0.0</v>
      </c>
      <c r="D384" s="53" t="s">
        <v>1045</v>
      </c>
      <c r="E384" s="7">
        <v>820.0</v>
      </c>
      <c r="F384" s="53"/>
      <c r="G384" s="6"/>
      <c r="H384" s="35">
        <v>0.0</v>
      </c>
      <c r="I384" s="35">
        <v>0.0</v>
      </c>
      <c r="J384" s="69" t="s">
        <v>3509</v>
      </c>
      <c r="K384" s="99"/>
      <c r="L384" s="99"/>
      <c r="M384" s="39" t="str">
        <f t="shared" si="1"/>
        <v>[ He; X. D.; Torrance; K. E.; Sillion; 1991 (1991)]</v>
      </c>
      <c r="N384" s="69" t="s">
        <v>3514</v>
      </c>
      <c r="O384" s="98">
        <v>1991.0</v>
      </c>
      <c r="P384" s="69"/>
      <c r="Q384" s="13"/>
      <c r="R384" s="13"/>
      <c r="S384" s="13"/>
      <c r="T384" s="35">
        <v>0.0</v>
      </c>
      <c r="U384" s="35">
        <v>0.0</v>
      </c>
      <c r="V384" s="89">
        <f>IFERROR(__xludf.DUMMYFUNCTION("INDEX(SPLIT(SUBSTITUTE(W384,CHAR(10), """"),"",:""), MATCH(Z384, SPLIT(SUBSTITUTE(W384,CHAR(10), """"),"",:""), 0) + 1)"),5.0)</f>
        <v>5</v>
      </c>
      <c r="W384" s="102" t="s">
        <v>3515</v>
      </c>
      <c r="X384" s="69" t="s">
        <v>3509</v>
      </c>
      <c r="Y384" s="41"/>
      <c r="Z384" s="53" t="str">
        <f t="array" ref="Z384">INDEX(Problems!J:J, MATCH(1, (Problems!B:B=B384)*1, 0))</f>
        <v>n</v>
      </c>
      <c r="AA384" s="41"/>
      <c r="AB384" s="41"/>
      <c r="AC384" s="41"/>
      <c r="AD384" s="41"/>
      <c r="AE384" s="85" t="str">
        <f>IFERROR(__xludf.DUMMYFUNCTION("INDEX(SPLIT(SUBSTITUTE(AF384,CHAR(10), """"),"",:""), MATCH(Z384, SPLIT(SUBSTITUTE(AF384,CHAR(10), """"),"",:""), 0) + 1)"),"#VALUE!")</f>
        <v>#VALUE!</v>
      </c>
      <c r="AF384" s="102"/>
      <c r="AG384" s="41"/>
      <c r="AH384" s="41"/>
      <c r="AI384" s="104"/>
      <c r="AJ384" s="84" t="s">
        <v>2520</v>
      </c>
      <c r="AK384" s="104"/>
      <c r="AL384" s="35">
        <v>0.0</v>
      </c>
      <c r="AM384" s="104"/>
      <c r="AN384" s="35">
        <v>1.0</v>
      </c>
      <c r="AO384" s="110"/>
      <c r="AP384" s="35">
        <v>0.0</v>
      </c>
      <c r="AQ384" s="35">
        <v>0.0</v>
      </c>
      <c r="AR384" s="69"/>
      <c r="AS384" s="98">
        <v>0.0</v>
      </c>
      <c r="AT384" s="98">
        <v>0.0</v>
      </c>
      <c r="AU384" s="69"/>
      <c r="AV384" s="13"/>
      <c r="AW384" s="13"/>
      <c r="AX384" s="13"/>
      <c r="AY384" s="13"/>
      <c r="AZ384" s="13"/>
      <c r="BA384" s="13"/>
      <c r="BB384" s="13"/>
      <c r="BC384" s="13"/>
      <c r="BD384" s="13"/>
      <c r="BE384" s="13"/>
      <c r="BF384" s="13"/>
      <c r="BG384" s="13"/>
      <c r="BH384" s="13"/>
      <c r="BI384" s="13"/>
      <c r="BJ384" s="13"/>
      <c r="BK384" s="13"/>
      <c r="BL384" s="13"/>
      <c r="BM384" s="13"/>
      <c r="BN384" s="6"/>
      <c r="BO384" s="6">
        <v>2.0</v>
      </c>
      <c r="BP384" s="13"/>
      <c r="BQ384" s="13"/>
      <c r="BR384" s="6" t="s">
        <v>196</v>
      </c>
    </row>
    <row r="385">
      <c r="A385" s="35">
        <v>105.0</v>
      </c>
      <c r="B385" s="35" t="s">
        <v>1044</v>
      </c>
      <c r="C385" s="53">
        <v>0.0</v>
      </c>
      <c r="D385" s="53" t="s">
        <v>1045</v>
      </c>
      <c r="E385" s="7">
        <v>821.0</v>
      </c>
      <c r="F385" s="53"/>
      <c r="G385" s="6"/>
      <c r="H385" s="35">
        <v>0.0</v>
      </c>
      <c r="I385" s="35">
        <v>0.0</v>
      </c>
      <c r="J385" s="69" t="s">
        <v>3509</v>
      </c>
      <c r="K385" s="99"/>
      <c r="L385" s="99"/>
      <c r="M385" s="39" t="str">
        <f t="shared" si="1"/>
        <v>[ Kajiya; J. Anisotropic Reflection Models 1985 (1985)]</v>
      </c>
      <c r="N385" s="69" t="s">
        <v>3516</v>
      </c>
      <c r="O385" s="98">
        <v>1985.0</v>
      </c>
      <c r="P385" s="69"/>
      <c r="Q385" s="13"/>
      <c r="R385" s="13"/>
      <c r="S385" s="13"/>
      <c r="T385" s="35">
        <v>0.0</v>
      </c>
      <c r="U385" s="35">
        <v>0.0</v>
      </c>
      <c r="V385" s="89">
        <f>IFERROR(__xludf.DUMMYFUNCTION("INDEX(SPLIT(SUBSTITUTE(W385,CHAR(10), """"),"",:""), MATCH(Z385, SPLIT(SUBSTITUTE(W385,CHAR(10), """"),"",:""), 0) + 1)"),5.0)</f>
        <v>5</v>
      </c>
      <c r="W385" s="102" t="s">
        <v>3515</v>
      </c>
      <c r="X385" s="69" t="s">
        <v>3509</v>
      </c>
      <c r="Y385" s="41"/>
      <c r="Z385" s="53" t="str">
        <f t="array" ref="Z385">INDEX(Problems!J:J, MATCH(1, (Problems!B:B=B385)*1, 0))</f>
        <v>n</v>
      </c>
      <c r="AA385" s="41"/>
      <c r="AB385" s="41"/>
      <c r="AC385" s="41"/>
      <c r="AD385" s="41"/>
      <c r="AE385" s="85" t="str">
        <f>IFERROR(__xludf.DUMMYFUNCTION("INDEX(SPLIT(SUBSTITUTE(AF385,CHAR(10), """"),"",:""), MATCH(Z385, SPLIT(SUBSTITUTE(AF385,CHAR(10), """"),"",:""), 0) + 1)"),"#VALUE!")</f>
        <v>#VALUE!</v>
      </c>
      <c r="AF385" s="102"/>
      <c r="AG385" s="41"/>
      <c r="AH385" s="41"/>
      <c r="AI385" s="104"/>
      <c r="AJ385" s="84" t="s">
        <v>2520</v>
      </c>
      <c r="AK385" s="104"/>
      <c r="AL385" s="35">
        <v>0.0</v>
      </c>
      <c r="AM385" s="104"/>
      <c r="AN385" s="35">
        <v>1.0</v>
      </c>
      <c r="AO385" s="110"/>
      <c r="AP385" s="35">
        <v>0.0</v>
      </c>
      <c r="AQ385" s="35">
        <v>0.0</v>
      </c>
      <c r="AR385" s="69"/>
      <c r="AS385" s="98">
        <v>0.0</v>
      </c>
      <c r="AT385" s="98">
        <v>0.0</v>
      </c>
      <c r="AU385" s="69"/>
      <c r="AV385" s="13"/>
      <c r="AW385" s="13"/>
      <c r="AX385" s="13"/>
      <c r="AY385" s="13"/>
      <c r="AZ385" s="13"/>
      <c r="BA385" s="13"/>
      <c r="BB385" s="13"/>
      <c r="BC385" s="13"/>
      <c r="BD385" s="13"/>
      <c r="BE385" s="13"/>
      <c r="BF385" s="13"/>
      <c r="BG385" s="13"/>
      <c r="BH385" s="13"/>
      <c r="BI385" s="13"/>
      <c r="BJ385" s="13"/>
      <c r="BK385" s="13"/>
      <c r="BL385" s="13"/>
      <c r="BM385" s="13"/>
      <c r="BN385" s="6"/>
      <c r="BO385" s="6">
        <v>2.0</v>
      </c>
      <c r="BP385" s="13"/>
      <c r="BQ385" s="13"/>
      <c r="BR385" s="6" t="s">
        <v>196</v>
      </c>
    </row>
    <row r="386">
      <c r="A386" s="35">
        <v>105.0</v>
      </c>
      <c r="B386" s="35" t="s">
        <v>1044</v>
      </c>
      <c r="C386" s="53">
        <v>0.0</v>
      </c>
      <c r="D386" s="53" t="s">
        <v>1045</v>
      </c>
      <c r="E386" s="7">
        <v>822.0</v>
      </c>
      <c r="F386" s="53"/>
      <c r="G386" s="6"/>
      <c r="H386" s="35">
        <v>0.0</v>
      </c>
      <c r="I386" s="35">
        <v>0.0</v>
      </c>
      <c r="J386" s="69" t="s">
        <v>3517</v>
      </c>
      <c r="K386" s="99"/>
      <c r="L386" s="99"/>
      <c r="M386" s="39" t="str">
        <f t="shared" si="1"/>
        <v>[ Nakamae; E.; Kaneda; K.; Okamoto; T.; and
Nishita 1990 (1990)]</v>
      </c>
      <c r="N386" s="69" t="s">
        <v>3518</v>
      </c>
      <c r="O386" s="98">
        <v>1990.0</v>
      </c>
      <c r="P386" s="69"/>
      <c r="Q386" s="13"/>
      <c r="R386" s="13"/>
      <c r="S386" s="13"/>
      <c r="T386" s="35">
        <v>1.0</v>
      </c>
      <c r="U386" s="35">
        <v>0.0</v>
      </c>
      <c r="V386" s="89">
        <f>IFERROR(__xludf.DUMMYFUNCTION("INDEX(SPLIT(SUBSTITUTE(W386,CHAR(10), """"),"",:""), MATCH(Z386, SPLIT(SUBSTITUTE(W386,CHAR(10), """"),"",:""), 0) + 1)"),5.0)</f>
        <v>5</v>
      </c>
      <c r="W386" s="102" t="s">
        <v>3519</v>
      </c>
      <c r="X386" s="69" t="s">
        <v>3517</v>
      </c>
      <c r="Y386" s="41"/>
      <c r="Z386" s="53" t="str">
        <f t="array" ref="Z386">INDEX(Problems!J:J, MATCH(1, (Problems!B:B=B386)*1, 0))</f>
        <v>n</v>
      </c>
      <c r="AA386" s="41"/>
      <c r="AB386" s="41"/>
      <c r="AC386" s="41"/>
      <c r="AD386" s="41"/>
      <c r="AE386" s="85" t="str">
        <f>IFERROR(__xludf.DUMMYFUNCTION("INDEX(SPLIT(SUBSTITUTE(AF386,CHAR(10), """"),"",:""), MATCH(Z386, SPLIT(SUBSTITUTE(AF386,CHAR(10), """"),"",:""), 0) + 1)"),"#VALUE!")</f>
        <v>#VALUE!</v>
      </c>
      <c r="AF386" s="102"/>
      <c r="AG386" s="41"/>
      <c r="AH386" s="41"/>
      <c r="AI386" s="104"/>
      <c r="AJ386" s="84" t="s">
        <v>2520</v>
      </c>
      <c r="AK386" s="104"/>
      <c r="AL386" s="35">
        <v>0.0</v>
      </c>
      <c r="AM386" s="104"/>
      <c r="AN386" s="35">
        <v>1.0</v>
      </c>
      <c r="AO386" s="110"/>
      <c r="AP386" s="35">
        <v>0.0</v>
      </c>
      <c r="AQ386" s="35">
        <v>0.0</v>
      </c>
      <c r="AR386" s="69"/>
      <c r="AS386" s="98">
        <v>0.0</v>
      </c>
      <c r="AT386" s="98">
        <v>0.0</v>
      </c>
      <c r="AU386" s="69"/>
      <c r="AV386" s="13"/>
      <c r="AW386" s="13"/>
      <c r="AX386" s="13"/>
      <c r="AY386" s="13"/>
      <c r="AZ386" s="13"/>
      <c r="BA386" s="13"/>
      <c r="BB386" s="13"/>
      <c r="BC386" s="13"/>
      <c r="BD386" s="13"/>
      <c r="BE386" s="13"/>
      <c r="BF386" s="13"/>
      <c r="BG386" s="13"/>
      <c r="BH386" s="13"/>
      <c r="BI386" s="13"/>
      <c r="BJ386" s="13"/>
      <c r="BK386" s="13"/>
      <c r="BL386" s="13"/>
      <c r="BM386" s="13"/>
      <c r="BN386" s="6"/>
      <c r="BO386" s="6">
        <v>2.0</v>
      </c>
      <c r="BP386" s="13"/>
      <c r="BQ386" s="13"/>
      <c r="BR386" s="6" t="s">
        <v>196</v>
      </c>
    </row>
    <row r="387">
      <c r="A387" s="35">
        <v>105.0</v>
      </c>
      <c r="B387" s="35" t="s">
        <v>1044</v>
      </c>
      <c r="C387" s="53">
        <v>0.0</v>
      </c>
      <c r="D387" s="53" t="s">
        <v>1045</v>
      </c>
      <c r="E387" s="7">
        <v>823.0</v>
      </c>
      <c r="F387" s="53"/>
      <c r="G387" s="6"/>
      <c r="H387" s="35">
        <v>0.0</v>
      </c>
      <c r="I387" s="35">
        <v>0.0</v>
      </c>
      <c r="J387" s="69" t="s">
        <v>3509</v>
      </c>
      <c r="K387" s="99"/>
      <c r="L387" s="99"/>
      <c r="M387" s="39" t="str">
        <f t="shared" si="1"/>
        <v>[ Cabral; B.; Max; N.; and Springmeyer; R 1990 (1990)]</v>
      </c>
      <c r="N387" s="69" t="s">
        <v>3520</v>
      </c>
      <c r="O387" s="98">
        <v>1990.0</v>
      </c>
      <c r="P387" s="69"/>
      <c r="Q387" s="13"/>
      <c r="R387" s="13"/>
      <c r="S387" s="13"/>
      <c r="T387" s="35">
        <v>1.0</v>
      </c>
      <c r="U387" s="35" t="s">
        <v>2019</v>
      </c>
      <c r="V387" s="89">
        <f>IFERROR(__xludf.DUMMYFUNCTION("INDEX(SPLIT(SUBSTITUTE(W387,CHAR(10), """"),"",:""), MATCH(Z387, SPLIT(SUBSTITUTE(W387,CHAR(10), """"),"",:""), 0) + 1)"),5.0)</f>
        <v>5</v>
      </c>
      <c r="W387" s="102" t="s">
        <v>3515</v>
      </c>
      <c r="X387" s="69" t="s">
        <v>3509</v>
      </c>
      <c r="Y387" s="41"/>
      <c r="Z387" s="53" t="str">
        <f t="array" ref="Z387">INDEX(Problems!J:J, MATCH(1, (Problems!B:B=B387)*1, 0))</f>
        <v>n</v>
      </c>
      <c r="AA387" s="41"/>
      <c r="AB387" s="41"/>
      <c r="AC387" s="41"/>
      <c r="AD387" s="41"/>
      <c r="AE387" s="85" t="str">
        <f>IFERROR(__xludf.DUMMYFUNCTION("INDEX(SPLIT(SUBSTITUTE(AF387,CHAR(10), """"),"",:""), MATCH(Z387, SPLIT(SUBSTITUTE(AF387,CHAR(10), """"),"",:""), 0) + 1)"),"#VALUE!")</f>
        <v>#VALUE!</v>
      </c>
      <c r="AF387" s="102"/>
      <c r="AG387" s="41"/>
      <c r="AH387" s="41"/>
      <c r="AI387" s="104"/>
      <c r="AJ387" s="84" t="s">
        <v>2520</v>
      </c>
      <c r="AK387" s="104"/>
      <c r="AL387" s="35">
        <v>0.0</v>
      </c>
      <c r="AM387" s="104"/>
      <c r="AN387" s="35">
        <v>1.0</v>
      </c>
      <c r="AO387" s="110"/>
      <c r="AP387" s="35">
        <v>0.0</v>
      </c>
      <c r="AQ387" s="35">
        <v>0.0</v>
      </c>
      <c r="AR387" s="69"/>
      <c r="AS387" s="98">
        <v>0.0</v>
      </c>
      <c r="AT387" s="98">
        <v>0.0</v>
      </c>
      <c r="AU387" s="69"/>
      <c r="AV387" s="13"/>
      <c r="AW387" s="13"/>
      <c r="AX387" s="13"/>
      <c r="AY387" s="13"/>
      <c r="AZ387" s="13"/>
      <c r="BA387" s="13"/>
      <c r="BB387" s="13"/>
      <c r="BC387" s="13"/>
      <c r="BD387" s="13"/>
      <c r="BE387" s="13"/>
      <c r="BF387" s="13"/>
      <c r="BG387" s="13"/>
      <c r="BH387" s="13"/>
      <c r="BI387" s="13"/>
      <c r="BJ387" s="13"/>
      <c r="BK387" s="13"/>
      <c r="BL387" s="13"/>
      <c r="BM387" s="13"/>
      <c r="BN387" s="6"/>
      <c r="BO387" s="6">
        <v>2.0</v>
      </c>
      <c r="BP387" s="13"/>
      <c r="BQ387" s="13"/>
      <c r="BR387" s="6" t="s">
        <v>196</v>
      </c>
    </row>
    <row r="388">
      <c r="A388" s="35">
        <v>105.0</v>
      </c>
      <c r="B388" s="35" t="s">
        <v>1044</v>
      </c>
      <c r="C388" s="53">
        <v>0.0</v>
      </c>
      <c r="D388" s="53" t="s">
        <v>1045</v>
      </c>
      <c r="E388" s="7">
        <v>824.0</v>
      </c>
      <c r="F388" s="53"/>
      <c r="G388" s="6"/>
      <c r="H388" s="35">
        <v>0.0</v>
      </c>
      <c r="I388" s="35">
        <v>0.0</v>
      </c>
      <c r="J388" s="69" t="s">
        <v>3509</v>
      </c>
      <c r="K388" s="99"/>
      <c r="L388" s="99"/>
      <c r="M388" s="39" t="str">
        <f t="shared" si="1"/>
        <v>[ Westin; S. H.; Arvo; J. R.; and Torrance; K. E 1992 (1992)]</v>
      </c>
      <c r="N388" s="69" t="s">
        <v>3521</v>
      </c>
      <c r="O388" s="98">
        <v>1992.0</v>
      </c>
      <c r="P388" s="69"/>
      <c r="Q388" s="13"/>
      <c r="R388" s="13"/>
      <c r="S388" s="13"/>
      <c r="T388" s="35">
        <v>0.0</v>
      </c>
      <c r="U388" s="35">
        <v>0.0</v>
      </c>
      <c r="V388" s="89">
        <f>IFERROR(__xludf.DUMMYFUNCTION("INDEX(SPLIT(SUBSTITUTE(W388,CHAR(10), """"),"",:""), MATCH(Z388, SPLIT(SUBSTITUTE(W388,CHAR(10), """"),"",:""), 0) + 1)"),5.0)</f>
        <v>5</v>
      </c>
      <c r="W388" s="102" t="s">
        <v>3515</v>
      </c>
      <c r="X388" s="69" t="s">
        <v>3509</v>
      </c>
      <c r="Y388" s="41"/>
      <c r="Z388" s="53" t="str">
        <f t="array" ref="Z388">INDEX(Problems!J:J, MATCH(1, (Problems!B:B=B388)*1, 0))</f>
        <v>n</v>
      </c>
      <c r="AA388" s="41"/>
      <c r="AB388" s="41"/>
      <c r="AC388" s="41"/>
      <c r="AD388" s="41"/>
      <c r="AE388" s="85" t="str">
        <f>IFERROR(__xludf.DUMMYFUNCTION("INDEX(SPLIT(SUBSTITUTE(AF388,CHAR(10), """"),"",:""), MATCH(Z388, SPLIT(SUBSTITUTE(AF388,CHAR(10), """"),"",:""), 0) + 1)"),"#VALUE!")</f>
        <v>#VALUE!</v>
      </c>
      <c r="AF388" s="102"/>
      <c r="AG388" s="41"/>
      <c r="AH388" s="41"/>
      <c r="AI388" s="104"/>
      <c r="AJ388" s="84" t="s">
        <v>2520</v>
      </c>
      <c r="AK388" s="104"/>
      <c r="AL388" s="35">
        <v>0.0</v>
      </c>
      <c r="AM388" s="104"/>
      <c r="AN388" s="35">
        <v>1.0</v>
      </c>
      <c r="AO388" s="110"/>
      <c r="AP388" s="35">
        <v>0.0</v>
      </c>
      <c r="AQ388" s="35">
        <v>0.0</v>
      </c>
      <c r="AR388" s="69"/>
      <c r="AS388" s="98">
        <v>0.0</v>
      </c>
      <c r="AT388" s="98">
        <v>0.0</v>
      </c>
      <c r="AU388" s="69"/>
      <c r="AV388" s="13"/>
      <c r="AW388" s="13"/>
      <c r="AX388" s="13"/>
      <c r="AY388" s="13"/>
      <c r="AZ388" s="13"/>
      <c r="BA388" s="13"/>
      <c r="BB388" s="13"/>
      <c r="BC388" s="13"/>
      <c r="BD388" s="13"/>
      <c r="BE388" s="13"/>
      <c r="BF388" s="13"/>
      <c r="BG388" s="13"/>
      <c r="BH388" s="13"/>
      <c r="BI388" s="13"/>
      <c r="BJ388" s="13"/>
      <c r="BK388" s="13"/>
      <c r="BL388" s="13"/>
      <c r="BM388" s="13"/>
      <c r="BN388" s="6"/>
      <c r="BO388" s="6">
        <v>2.0</v>
      </c>
      <c r="BP388" s="13"/>
      <c r="BQ388" s="13"/>
      <c r="BR388" s="6" t="s">
        <v>196</v>
      </c>
    </row>
    <row r="389">
      <c r="A389" s="35">
        <v>106.0</v>
      </c>
      <c r="B389" s="35" t="s">
        <v>1044</v>
      </c>
      <c r="C389" s="53">
        <v>0.0</v>
      </c>
      <c r="D389" s="53" t="s">
        <v>1048</v>
      </c>
      <c r="E389" s="7">
        <v>825.0</v>
      </c>
      <c r="F389" s="53"/>
      <c r="G389" s="6"/>
      <c r="H389" s="35">
        <v>0.0</v>
      </c>
      <c r="I389" s="35">
        <v>0.0</v>
      </c>
      <c r="J389" s="69" t="s">
        <v>834</v>
      </c>
      <c r="K389" s="99"/>
      <c r="L389" s="99"/>
      <c r="M389" s="39" t="str">
        <f t="shared" si="1"/>
        <v>[ Phong (1971)]</v>
      </c>
      <c r="N389" s="69" t="s">
        <v>3522</v>
      </c>
      <c r="O389" s="98">
        <v>1971.0</v>
      </c>
      <c r="P389" s="69"/>
      <c r="Q389" s="13"/>
      <c r="R389" s="13"/>
      <c r="S389" s="13"/>
      <c r="T389" s="35">
        <v>1.0</v>
      </c>
      <c r="U389" s="35">
        <v>0.0</v>
      </c>
      <c r="V389" s="89">
        <f>IFERROR(__xludf.DUMMYFUNCTION("INDEX(SPLIT(SUBSTITUTE(W389,CHAR(10), """"),"",:""), MATCH(Z389, SPLIT(SUBSTITUTE(W389,CHAR(10), """"),"",:""), 0) + 1)"),6.0)</f>
        <v>6</v>
      </c>
      <c r="W389" s="102" t="s">
        <v>2008</v>
      </c>
      <c r="X389" s="69" t="s">
        <v>834</v>
      </c>
      <c r="Y389" s="41"/>
      <c r="Z389" s="53" t="str">
        <f t="array" ref="Z389">INDEX(Problems!J:J, MATCH(1, (Problems!B:B=B389)*1, 0))</f>
        <v>n</v>
      </c>
      <c r="AA389" s="41"/>
      <c r="AB389" s="41"/>
      <c r="AC389" s="41"/>
      <c r="AD389" s="41"/>
      <c r="AE389" s="85" t="str">
        <f>IFERROR(__xludf.DUMMYFUNCTION("INDEX(SPLIT(SUBSTITUTE(AF389,CHAR(10), """"),"",:""), MATCH(Z389, SPLIT(SUBSTITUTE(AF389,CHAR(10), """"),"",:""), 0) + 1)"),"#VALUE!")</f>
        <v>#VALUE!</v>
      </c>
      <c r="AF389" s="102"/>
      <c r="AG389" s="41"/>
      <c r="AH389" s="41"/>
      <c r="AI389" s="104"/>
      <c r="AJ389" s="84" t="s">
        <v>2520</v>
      </c>
      <c r="AK389" s="104"/>
      <c r="AL389" s="35">
        <v>0.0</v>
      </c>
      <c r="AM389" s="104"/>
      <c r="AN389" s="35">
        <v>1.0</v>
      </c>
      <c r="AO389" s="110"/>
      <c r="AP389" s="35">
        <v>0.0</v>
      </c>
      <c r="AQ389" s="35">
        <v>0.0</v>
      </c>
      <c r="AR389" s="69"/>
      <c r="AS389" s="98">
        <v>0.0</v>
      </c>
      <c r="AT389" s="98">
        <v>0.0</v>
      </c>
      <c r="AU389" s="69"/>
      <c r="AV389" s="13"/>
      <c r="AW389" s="13"/>
      <c r="AX389" s="13"/>
      <c r="AY389" s="13"/>
      <c r="AZ389" s="6"/>
      <c r="BA389" s="6"/>
      <c r="BB389" s="6"/>
      <c r="BC389" s="6"/>
      <c r="BD389" s="6"/>
      <c r="BE389" s="6"/>
      <c r="BF389" s="6">
        <v>1.0E9</v>
      </c>
      <c r="BG389" s="13"/>
      <c r="BH389" s="13"/>
      <c r="BI389" s="13"/>
      <c r="BJ389" s="13"/>
      <c r="BK389" s="13"/>
      <c r="BL389" s="13"/>
      <c r="BM389" s="13"/>
      <c r="BN389" s="6"/>
      <c r="BO389" s="6">
        <v>3.0</v>
      </c>
      <c r="BP389" s="13"/>
      <c r="BQ389" s="13"/>
      <c r="BR389" s="6" t="s">
        <v>196</v>
      </c>
    </row>
    <row r="390">
      <c r="A390" s="35">
        <v>106.0</v>
      </c>
      <c r="B390" s="35" t="s">
        <v>1044</v>
      </c>
      <c r="C390" s="53">
        <v>0.0</v>
      </c>
      <c r="D390" s="53" t="s">
        <v>1048</v>
      </c>
      <c r="E390" s="7">
        <v>826.0</v>
      </c>
      <c r="F390" s="53"/>
      <c r="G390" s="6"/>
      <c r="H390" s="35">
        <v>0.0</v>
      </c>
      <c r="I390" s="35">
        <v>0.0</v>
      </c>
      <c r="J390" s="69" t="s">
        <v>834</v>
      </c>
      <c r="K390" s="99"/>
      <c r="L390" s="99"/>
      <c r="M390" s="39" t="str">
        <f t="shared" si="1"/>
        <v>[ Blinn–Phong (1977)]</v>
      </c>
      <c r="N390" s="69" t="s">
        <v>3523</v>
      </c>
      <c r="O390" s="98">
        <v>1977.0</v>
      </c>
      <c r="P390" s="69"/>
      <c r="Q390" s="13"/>
      <c r="R390" s="13"/>
      <c r="S390" s="13"/>
      <c r="T390" s="35">
        <v>9.0</v>
      </c>
      <c r="U390" s="35">
        <v>9.0</v>
      </c>
      <c r="V390" s="89">
        <f>IFERROR(__xludf.DUMMYFUNCTION("INDEX(SPLIT(SUBSTITUTE(W390,CHAR(10), """"),"",:""), MATCH(Z390, SPLIT(SUBSTITUTE(W390,CHAR(10), """"),"",:""), 0) + 1)"),6.0)</f>
        <v>6</v>
      </c>
      <c r="W390" s="102" t="s">
        <v>2008</v>
      </c>
      <c r="X390" s="69" t="s">
        <v>834</v>
      </c>
      <c r="Y390" s="41"/>
      <c r="Z390" s="53" t="str">
        <f t="array" ref="Z390">INDEX(Problems!J:J, MATCH(1, (Problems!B:B=B390)*1, 0))</f>
        <v>n</v>
      </c>
      <c r="AA390" s="41"/>
      <c r="AB390" s="41"/>
      <c r="AC390" s="41"/>
      <c r="AD390" s="41"/>
      <c r="AE390" s="85" t="str">
        <f>IFERROR(__xludf.DUMMYFUNCTION("INDEX(SPLIT(SUBSTITUTE(AF390,CHAR(10), """"),"",:""), MATCH(Z390, SPLIT(SUBSTITUTE(AF390,CHAR(10), """"),"",:""), 0) + 1)"),"#VALUE!")</f>
        <v>#VALUE!</v>
      </c>
      <c r="AF390" s="102"/>
      <c r="AG390" s="41"/>
      <c r="AH390" s="41"/>
      <c r="AI390" s="104"/>
      <c r="AJ390" s="84" t="s">
        <v>2520</v>
      </c>
      <c r="AK390" s="104"/>
      <c r="AL390" s="35">
        <v>0.0</v>
      </c>
      <c r="AM390" s="104"/>
      <c r="AN390" s="35">
        <v>1.0</v>
      </c>
      <c r="AO390" s="110"/>
      <c r="AP390" s="35">
        <v>0.0</v>
      </c>
      <c r="AQ390" s="35">
        <v>0.0</v>
      </c>
      <c r="AR390" s="69"/>
      <c r="AS390" s="98">
        <v>0.0</v>
      </c>
      <c r="AT390" s="98">
        <v>0.0</v>
      </c>
      <c r="AU390" s="69"/>
      <c r="AV390" s="13"/>
      <c r="AW390" s="13"/>
      <c r="AX390" s="13"/>
      <c r="AY390" s="13"/>
      <c r="AZ390" s="6"/>
      <c r="BA390" s="6"/>
      <c r="BB390" s="6"/>
      <c r="BC390" s="6"/>
      <c r="BD390" s="6"/>
      <c r="BE390" s="6"/>
      <c r="BF390" s="6">
        <v>1.0E9</v>
      </c>
      <c r="BG390" s="13"/>
      <c r="BH390" s="13"/>
      <c r="BI390" s="13"/>
      <c r="BJ390" s="13"/>
      <c r="BK390" s="13"/>
      <c r="BL390" s="13"/>
      <c r="BM390" s="13"/>
      <c r="BN390" s="6"/>
      <c r="BO390" s="6">
        <v>3.0</v>
      </c>
      <c r="BP390" s="13"/>
      <c r="BQ390" s="13"/>
      <c r="BR390" s="6" t="s">
        <v>196</v>
      </c>
    </row>
    <row r="391">
      <c r="A391" s="35">
        <v>106.0</v>
      </c>
      <c r="B391" s="35" t="s">
        <v>1044</v>
      </c>
      <c r="C391" s="53">
        <v>0.0</v>
      </c>
      <c r="D391" s="53" t="s">
        <v>1048</v>
      </c>
      <c r="E391" s="7">
        <v>827.0</v>
      </c>
      <c r="F391" s="53"/>
      <c r="G391" s="6"/>
      <c r="H391" s="35">
        <v>0.0</v>
      </c>
      <c r="I391" s="35">
        <v>0.0</v>
      </c>
      <c r="J391" s="69" t="s">
        <v>115</v>
      </c>
      <c r="K391" s="99"/>
      <c r="L391" s="99"/>
      <c r="M391" s="39" t="str">
        <f t="shared" si="1"/>
        <v>[ Cook–Torrance (microfacets) (1973)]</v>
      </c>
      <c r="N391" s="69" t="s">
        <v>3524</v>
      </c>
      <c r="O391" s="98">
        <v>1973.0</v>
      </c>
      <c r="P391" s="69"/>
      <c r="Q391" s="13"/>
      <c r="R391" s="13"/>
      <c r="S391" s="13"/>
      <c r="T391" s="35">
        <v>1.0</v>
      </c>
      <c r="U391" s="35" t="s">
        <v>2425</v>
      </c>
      <c r="V391" s="89">
        <f>IFERROR(__xludf.DUMMYFUNCTION("INDEX(SPLIT(SUBSTITUTE(W391,CHAR(10), """"),"",:""), MATCH(Z391, SPLIT(SUBSTITUTE(W391,CHAR(10), """"),"",:""), 0) + 1)"),5.0)</f>
        <v>5</v>
      </c>
      <c r="W391" s="102" t="s">
        <v>1938</v>
      </c>
      <c r="X391" s="69" t="s">
        <v>115</v>
      </c>
      <c r="Y391" s="41"/>
      <c r="Z391" s="53" t="str">
        <f t="array" ref="Z391">INDEX(Problems!J:J, MATCH(1, (Problems!B:B=B391)*1, 0))</f>
        <v>n</v>
      </c>
      <c r="AA391" s="41"/>
      <c r="AB391" s="41"/>
      <c r="AC391" s="41"/>
      <c r="AD391" s="41"/>
      <c r="AE391" s="85" t="str">
        <f>IFERROR(__xludf.DUMMYFUNCTION("INDEX(SPLIT(SUBSTITUTE(AF391,CHAR(10), """"),"",:""), MATCH(Z391, SPLIT(SUBSTITUTE(AF391,CHAR(10), """"),"",:""), 0) + 1)"),"#VALUE!")</f>
        <v>#VALUE!</v>
      </c>
      <c r="AF391" s="102"/>
      <c r="AG391" s="41"/>
      <c r="AH391" s="41"/>
      <c r="AI391" s="104"/>
      <c r="AJ391" s="84" t="s">
        <v>2520</v>
      </c>
      <c r="AK391" s="104"/>
      <c r="AL391" s="35">
        <v>0.0</v>
      </c>
      <c r="AM391" s="104"/>
      <c r="AN391" s="35">
        <v>1.0</v>
      </c>
      <c r="AO391" s="110"/>
      <c r="AP391" s="35">
        <v>0.0</v>
      </c>
      <c r="AQ391" s="35">
        <v>0.0</v>
      </c>
      <c r="AR391" s="69"/>
      <c r="AS391" s="98">
        <v>0.0</v>
      </c>
      <c r="AT391" s="98">
        <v>0.0</v>
      </c>
      <c r="AU391" s="69"/>
      <c r="AV391" s="13"/>
      <c r="AW391" s="13"/>
      <c r="AX391" s="13"/>
      <c r="AY391" s="13"/>
      <c r="AZ391" s="6"/>
      <c r="BA391" s="6"/>
      <c r="BB391" s="6"/>
      <c r="BC391" s="6"/>
      <c r="BD391" s="6"/>
      <c r="BE391" s="6"/>
      <c r="BF391" s="6">
        <v>1000000.0</v>
      </c>
      <c r="BG391" s="13"/>
      <c r="BH391" s="13"/>
      <c r="BI391" s="13"/>
      <c r="BJ391" s="13"/>
      <c r="BK391" s="13"/>
      <c r="BL391" s="13"/>
      <c r="BM391" s="13"/>
      <c r="BN391" s="6"/>
      <c r="BO391" s="6">
        <v>3.0</v>
      </c>
      <c r="BP391" s="13"/>
      <c r="BQ391" s="13"/>
      <c r="BR391" s="6" t="s">
        <v>196</v>
      </c>
    </row>
    <row r="392">
      <c r="A392" s="35">
        <v>106.0</v>
      </c>
      <c r="B392" s="35" t="s">
        <v>1044</v>
      </c>
      <c r="C392" s="53">
        <v>0.0</v>
      </c>
      <c r="D392" s="53" t="s">
        <v>1048</v>
      </c>
      <c r="E392" s="7">
        <v>828.0</v>
      </c>
      <c r="F392" s="53"/>
      <c r="G392" s="6"/>
      <c r="H392" s="35">
        <v>0.0</v>
      </c>
      <c r="I392" s="35">
        <v>0.0</v>
      </c>
      <c r="J392" s="69" t="s">
        <v>3525</v>
      </c>
      <c r="K392" s="99"/>
      <c r="L392" s="99"/>
      <c r="M392" s="39" t="str">
        <f t="shared" si="1"/>
        <v>[ Ward anisotropic (1989)]</v>
      </c>
      <c r="N392" s="69" t="s">
        <v>3526</v>
      </c>
      <c r="O392" s="98">
        <v>1989.0</v>
      </c>
      <c r="P392" s="69"/>
      <c r="Q392" s="13"/>
      <c r="R392" s="13"/>
      <c r="S392" s="13"/>
      <c r="T392" s="35">
        <v>1.0</v>
      </c>
      <c r="U392" s="35">
        <v>0.0</v>
      </c>
      <c r="V392" s="89">
        <f>IFERROR(__xludf.DUMMYFUNCTION("INDEX(SPLIT(SUBSTITUTE(W392,CHAR(10), """"),"",:""), MATCH(Z392, SPLIT(SUBSTITUTE(W392,CHAR(10), """"),"",:""), 0) + 1)"),4.68)</f>
        <v>4.68</v>
      </c>
      <c r="W392" s="102" t="s">
        <v>3527</v>
      </c>
      <c r="X392" s="35" t="s">
        <v>3528</v>
      </c>
      <c r="Y392" s="41"/>
      <c r="Z392" s="53" t="str">
        <f t="array" ref="Z392">INDEX(Problems!J:J, MATCH(1, (Problems!B:B=B392)*1, 0))</f>
        <v>n</v>
      </c>
      <c r="AA392" s="41"/>
      <c r="AB392" s="41"/>
      <c r="AC392" s="41"/>
      <c r="AD392" s="41"/>
      <c r="AE392" s="85" t="str">
        <f>IFERROR(__xludf.DUMMYFUNCTION("INDEX(SPLIT(SUBSTITUTE(AF392,CHAR(10), """"),"",:""), MATCH(Z392, SPLIT(SUBSTITUTE(AF392,CHAR(10), """"),"",:""), 0) + 1)"),"#VALUE!")</f>
        <v>#VALUE!</v>
      </c>
      <c r="AF392" s="102"/>
      <c r="AG392" s="41"/>
      <c r="AH392" s="41"/>
      <c r="AI392" s="104"/>
      <c r="AJ392" s="84" t="s">
        <v>2520</v>
      </c>
      <c r="AK392" s="104"/>
      <c r="AL392" s="35">
        <v>0.0</v>
      </c>
      <c r="AM392" s="104"/>
      <c r="AN392" s="35">
        <v>1.0</v>
      </c>
      <c r="AO392" s="110"/>
      <c r="AP392" s="35">
        <v>0.0</v>
      </c>
      <c r="AQ392" s="35">
        <v>0.0</v>
      </c>
      <c r="AR392" s="69"/>
      <c r="AS392" s="98">
        <v>0.0</v>
      </c>
      <c r="AT392" s="98">
        <v>0.0</v>
      </c>
      <c r="AU392" s="69"/>
      <c r="AV392" s="13"/>
      <c r="AW392" s="13"/>
      <c r="AX392" s="13"/>
      <c r="AY392" s="13"/>
      <c r="AZ392" s="13"/>
      <c r="BA392" s="13"/>
      <c r="BB392" s="13"/>
      <c r="BC392" s="13"/>
      <c r="BD392" s="13"/>
      <c r="BE392" s="13"/>
      <c r="BF392" s="13"/>
      <c r="BG392" s="13"/>
      <c r="BH392" s="13"/>
      <c r="BI392" s="13"/>
      <c r="BJ392" s="13"/>
      <c r="BK392" s="13"/>
      <c r="BL392" s="13"/>
      <c r="BM392" s="13"/>
      <c r="BN392" s="6"/>
      <c r="BO392" s="6">
        <v>3.0</v>
      </c>
      <c r="BP392" s="13"/>
      <c r="BQ392" s="13"/>
      <c r="BR392" s="6" t="s">
        <v>196</v>
      </c>
    </row>
    <row r="393">
      <c r="A393" s="35">
        <v>106.0</v>
      </c>
      <c r="B393" s="35" t="s">
        <v>1044</v>
      </c>
      <c r="C393" s="53">
        <v>0.0</v>
      </c>
      <c r="D393" s="53" t="s">
        <v>1048</v>
      </c>
      <c r="E393" s="7">
        <v>829.0</v>
      </c>
      <c r="F393" s="53"/>
      <c r="G393" s="6"/>
      <c r="H393" s="35">
        <v>0.0</v>
      </c>
      <c r="I393" s="35">
        <v>0.0</v>
      </c>
      <c r="J393" s="69" t="s">
        <v>3529</v>
      </c>
      <c r="K393" s="99"/>
      <c r="L393" s="99"/>
      <c r="M393" s="39" t="str">
        <f t="shared" si="1"/>
        <v>[ Hanrahan–Krueger (1995)]</v>
      </c>
      <c r="N393" s="69" t="s">
        <v>3530</v>
      </c>
      <c r="O393" s="98">
        <v>1995.0</v>
      </c>
      <c r="P393" s="69"/>
      <c r="Q393" s="13"/>
      <c r="R393" s="13"/>
      <c r="S393" s="13"/>
      <c r="T393" s="35">
        <v>1.0</v>
      </c>
      <c r="U393" s="35">
        <v>0.0</v>
      </c>
      <c r="V393" s="89">
        <f>IFERROR(__xludf.DUMMYFUNCTION("INDEX(SPLIT(SUBSTITUTE(W393,CHAR(10), """"),"",:""), MATCH(Z393, SPLIT(SUBSTITUTE(W393,CHAR(10), """"),"",:""), 0) + 1)"),5.01)</f>
        <v>5.01</v>
      </c>
      <c r="W393" s="102" t="s">
        <v>1890</v>
      </c>
      <c r="X393" s="35" t="s">
        <v>1564</v>
      </c>
      <c r="Y393" s="41"/>
      <c r="Z393" s="53" t="str">
        <f t="array" ref="Z393">INDEX(Problems!J:J, MATCH(1, (Problems!B:B=B393)*1, 0))</f>
        <v>n</v>
      </c>
      <c r="AA393" s="41"/>
      <c r="AB393" s="41"/>
      <c r="AC393" s="41"/>
      <c r="AD393" s="41"/>
      <c r="AE393" s="85" t="str">
        <f>IFERROR(__xludf.DUMMYFUNCTION("INDEX(SPLIT(SUBSTITUTE(AF393,CHAR(10), """"),"",:""), MATCH(Z393, SPLIT(SUBSTITUTE(AF393,CHAR(10), """"),"",:""), 0) + 1)"),"#VALUE!")</f>
        <v>#VALUE!</v>
      </c>
      <c r="AF393" s="102"/>
      <c r="AG393" s="41"/>
      <c r="AH393" s="41"/>
      <c r="AI393" s="104"/>
      <c r="AJ393" s="84" t="s">
        <v>2520</v>
      </c>
      <c r="AK393" s="104"/>
      <c r="AL393" s="35">
        <v>0.0</v>
      </c>
      <c r="AM393" s="104"/>
      <c r="AN393" s="35">
        <v>1.0</v>
      </c>
      <c r="AO393" s="110"/>
      <c r="AP393" s="35">
        <v>0.0</v>
      </c>
      <c r="AQ393" s="35">
        <v>0.0</v>
      </c>
      <c r="AR393" s="69"/>
      <c r="AS393" s="98">
        <v>0.0</v>
      </c>
      <c r="AT393" s="98">
        <v>0.0</v>
      </c>
      <c r="AU393" s="69"/>
      <c r="AV393" s="13"/>
      <c r="AW393" s="13"/>
      <c r="AX393" s="13"/>
      <c r="AY393" s="13"/>
      <c r="AZ393" s="13"/>
      <c r="BA393" s="13"/>
      <c r="BB393" s="13"/>
      <c r="BC393" s="13"/>
      <c r="BD393" s="13"/>
      <c r="BE393" s="13"/>
      <c r="BF393" s="13"/>
      <c r="BG393" s="13"/>
      <c r="BH393" s="13"/>
      <c r="BI393" s="13"/>
      <c r="BJ393" s="13"/>
      <c r="BK393" s="13"/>
      <c r="BL393" s="13"/>
      <c r="BM393" s="13"/>
      <c r="BN393" s="6"/>
      <c r="BO393" s="6">
        <v>3.0</v>
      </c>
      <c r="BP393" s="13"/>
      <c r="BQ393" s="13"/>
      <c r="BR393" s="6" t="s">
        <v>196</v>
      </c>
    </row>
    <row r="394">
      <c r="A394" s="35">
        <v>108.0</v>
      </c>
      <c r="B394" s="35" t="s">
        <v>1054</v>
      </c>
      <c r="C394" s="53">
        <v>0.0</v>
      </c>
      <c r="D394" s="53"/>
      <c r="E394" s="7">
        <v>838.0</v>
      </c>
      <c r="F394" s="53"/>
      <c r="G394" s="6"/>
      <c r="H394" s="35">
        <v>0.0</v>
      </c>
      <c r="I394" s="98">
        <v>0.0</v>
      </c>
      <c r="J394" s="69" t="s">
        <v>115</v>
      </c>
      <c r="K394" s="99"/>
      <c r="L394" s="99"/>
      <c r="M394" s="39" t="str">
        <f t="shared" si="1"/>
        <v>[ Linda G. Shapiro and George C. Stockman (2001) (2001)]</v>
      </c>
      <c r="N394" s="69" t="s">
        <v>3531</v>
      </c>
      <c r="O394" s="98">
        <v>2001.0</v>
      </c>
      <c r="P394" s="69"/>
      <c r="Q394" s="13"/>
      <c r="R394" s="13"/>
      <c r="S394" s="13"/>
      <c r="T394" s="35">
        <v>0.0</v>
      </c>
      <c r="U394" s="35">
        <v>0.0</v>
      </c>
      <c r="V394" s="89">
        <f>IFERROR(__xludf.DUMMYFUNCTION("INDEX(SPLIT(SUBSTITUTE(W394,CHAR(10), """"),"",:""), MATCH(Z394, SPLIT(SUBSTITUTE(W394,CHAR(10), """"),"",:""), 0) + 1)"),5.0)</f>
        <v>5</v>
      </c>
      <c r="W394" s="102" t="s">
        <v>1938</v>
      </c>
      <c r="X394" s="69" t="s">
        <v>115</v>
      </c>
      <c r="Y394" s="41"/>
      <c r="Z394" s="53" t="str">
        <f t="array" ref="Z394">INDEX(Problems!J:J, MATCH(1, (Problems!B:B=B394)*1, 0))</f>
        <v>n</v>
      </c>
      <c r="AA394" s="41"/>
      <c r="AB394" s="41"/>
      <c r="AC394" s="41"/>
      <c r="AD394" s="41"/>
      <c r="AE394" s="85" t="str">
        <f>IFERROR(__xludf.DUMMYFUNCTION("INDEX(SPLIT(SUBSTITUTE(AF394,CHAR(10), """"),"",:""), MATCH(Z394, SPLIT(SUBSTITUTE(AF394,CHAR(10), """"),"",:""), 0) + 1)"),"#VALUE!")</f>
        <v>#VALUE!</v>
      </c>
      <c r="AF394" s="150"/>
      <c r="AG394" s="41"/>
      <c r="AH394" s="41"/>
      <c r="AI394" s="105"/>
      <c r="AJ394" s="84" t="s">
        <v>2520</v>
      </c>
      <c r="AK394" s="105"/>
      <c r="AL394" s="98">
        <v>0.0</v>
      </c>
      <c r="AM394" s="105"/>
      <c r="AN394" s="98">
        <v>1.0</v>
      </c>
      <c r="AO394" s="110"/>
      <c r="AP394" s="98">
        <v>0.0</v>
      </c>
      <c r="AQ394" s="98">
        <v>0.0</v>
      </c>
      <c r="AR394" s="69"/>
      <c r="AS394" s="98">
        <v>0.0</v>
      </c>
      <c r="AT394" s="35">
        <v>0.0</v>
      </c>
      <c r="AU394" s="69"/>
      <c r="AV394" s="13"/>
      <c r="AW394" s="13"/>
      <c r="AX394" s="13"/>
      <c r="AY394" s="13"/>
      <c r="AZ394" s="6"/>
      <c r="BA394" s="6"/>
      <c r="BB394" s="6"/>
      <c r="BC394" s="6"/>
      <c r="BD394" s="6"/>
      <c r="BE394" s="6"/>
      <c r="BF394" s="6">
        <v>1000000.0</v>
      </c>
      <c r="BG394" s="13"/>
      <c r="BH394" s="13"/>
      <c r="BI394" s="13"/>
      <c r="BJ394" s="13"/>
      <c r="BK394" s="13"/>
      <c r="BL394" s="13"/>
      <c r="BM394" s="13"/>
      <c r="BN394" s="6"/>
      <c r="BO394" s="6">
        <v>4.0</v>
      </c>
      <c r="BP394" s="13"/>
      <c r="BQ394" s="13"/>
      <c r="BR394" s="6" t="s">
        <v>196</v>
      </c>
    </row>
    <row r="395">
      <c r="A395" s="35">
        <v>108.0</v>
      </c>
      <c r="B395" s="35" t="s">
        <v>1054</v>
      </c>
      <c r="C395" s="53">
        <v>0.0</v>
      </c>
      <c r="D395" s="53"/>
      <c r="E395" s="7">
        <v>839.0</v>
      </c>
      <c r="F395" s="53"/>
      <c r="G395" s="6"/>
      <c r="H395" s="35">
        <v>0.0</v>
      </c>
      <c r="I395" s="98">
        <v>0.0</v>
      </c>
      <c r="J395" s="69" t="s">
        <v>115</v>
      </c>
      <c r="K395" s="99"/>
      <c r="L395" s="99"/>
      <c r="M395" s="39" t="str">
        <f t="shared" si="1"/>
        <v>[ Recursive Region Splitting (1978)]</v>
      </c>
      <c r="N395" s="69" t="s">
        <v>3532</v>
      </c>
      <c r="O395" s="98">
        <v>1978.0</v>
      </c>
      <c r="P395" s="69"/>
      <c r="Q395" s="13"/>
      <c r="R395" s="13"/>
      <c r="S395" s="13"/>
      <c r="T395" s="35">
        <v>1.0</v>
      </c>
      <c r="U395" s="35">
        <v>0.0</v>
      </c>
      <c r="V395" s="89">
        <f>IFERROR(__xludf.DUMMYFUNCTION("INDEX(SPLIT(SUBSTITUTE(W395,CHAR(10), """"),"",:""), MATCH(Z395, SPLIT(SUBSTITUTE(W395,CHAR(10), """"),"",:""), 0) + 1)"),5.0)</f>
        <v>5</v>
      </c>
      <c r="W395" s="102" t="s">
        <v>1938</v>
      </c>
      <c r="X395" s="69" t="s">
        <v>115</v>
      </c>
      <c r="Y395" s="41"/>
      <c r="Z395" s="53" t="str">
        <f t="array" ref="Z395">INDEX(Problems!J:J, MATCH(1, (Problems!B:B=B395)*1, 0))</f>
        <v>n</v>
      </c>
      <c r="AA395" s="41"/>
      <c r="AB395" s="41"/>
      <c r="AC395" s="41"/>
      <c r="AD395" s="41"/>
      <c r="AE395" s="85" t="str">
        <f>IFERROR(__xludf.DUMMYFUNCTION("INDEX(SPLIT(SUBSTITUTE(AF395,CHAR(10), """"),"",:""), MATCH(Z395, SPLIT(SUBSTITUTE(AF395,CHAR(10), """"),"",:""), 0) + 1)"),"#VALUE!")</f>
        <v>#VALUE!</v>
      </c>
      <c r="AF395" s="150"/>
      <c r="AG395" s="41"/>
      <c r="AH395" s="41"/>
      <c r="AI395" s="105"/>
      <c r="AJ395" s="84" t="s">
        <v>2520</v>
      </c>
      <c r="AK395" s="105"/>
      <c r="AL395" s="98">
        <v>0.0</v>
      </c>
      <c r="AM395" s="105"/>
      <c r="AN395" s="98">
        <v>1.0</v>
      </c>
      <c r="AO395" s="110"/>
      <c r="AP395" s="98">
        <v>0.0</v>
      </c>
      <c r="AQ395" s="98">
        <v>0.0</v>
      </c>
      <c r="AR395" s="69"/>
      <c r="AS395" s="98">
        <v>0.0</v>
      </c>
      <c r="AT395" s="98">
        <v>0.0</v>
      </c>
      <c r="AU395" s="69"/>
      <c r="AV395" s="13"/>
      <c r="AW395" s="13"/>
      <c r="AX395" s="13"/>
      <c r="AY395" s="13"/>
      <c r="AZ395" s="6"/>
      <c r="BA395" s="6"/>
      <c r="BB395" s="6"/>
      <c r="BC395" s="6"/>
      <c r="BD395" s="6"/>
      <c r="BE395" s="6"/>
      <c r="BF395" s="6">
        <v>1000000.0</v>
      </c>
      <c r="BG395" s="13"/>
      <c r="BH395" s="13"/>
      <c r="BI395" s="13"/>
      <c r="BJ395" s="13"/>
      <c r="BK395" s="13"/>
      <c r="BL395" s="13"/>
      <c r="BM395" s="13"/>
      <c r="BN395" s="6"/>
      <c r="BO395" s="6">
        <v>4.0</v>
      </c>
      <c r="BP395" s="13"/>
      <c r="BQ395" s="13"/>
      <c r="BR395" s="6" t="s">
        <v>196</v>
      </c>
    </row>
    <row r="396">
      <c r="A396" s="35">
        <v>108.0</v>
      </c>
      <c r="B396" s="35" t="s">
        <v>1054</v>
      </c>
      <c r="C396" s="53">
        <v>0.0</v>
      </c>
      <c r="D396" s="53"/>
      <c r="E396" s="7">
        <v>840.0</v>
      </c>
      <c r="F396" s="53"/>
      <c r="G396" s="6"/>
      <c r="H396" s="35">
        <v>0.0</v>
      </c>
      <c r="I396" s="98">
        <v>0.0</v>
      </c>
      <c r="J396" s="69" t="s">
        <v>1788</v>
      </c>
      <c r="K396" s="99"/>
      <c r="L396" s="99"/>
      <c r="M396" s="39" t="str">
        <f t="shared" si="1"/>
        <v>[ Barghout; Lauren Visual Taxometric approach (2014)]</v>
      </c>
      <c r="N396" s="69" t="s">
        <v>3533</v>
      </c>
      <c r="O396" s="98">
        <v>2014.0</v>
      </c>
      <c r="P396" s="69"/>
      <c r="Q396" s="13"/>
      <c r="R396" s="13"/>
      <c r="S396" s="13"/>
      <c r="T396" s="35">
        <v>0.0</v>
      </c>
      <c r="U396" s="35">
        <v>0.0</v>
      </c>
      <c r="V396" s="89">
        <f>IFERROR(__xludf.DUMMYFUNCTION("INDEX(SPLIT(SUBSTITUTE(W396,CHAR(10), """"),"",:""), MATCH(Z396, SPLIT(SUBSTITUTE(W396,CHAR(10), """"),"",:""), 0) + 1)"),4.0)</f>
        <v>4</v>
      </c>
      <c r="W396" s="102" t="s">
        <v>1791</v>
      </c>
      <c r="X396" s="35" t="s">
        <v>1953</v>
      </c>
      <c r="Y396" s="41"/>
      <c r="Z396" s="53" t="str">
        <f t="array" ref="Z396">INDEX(Problems!J:J, MATCH(1, (Problems!B:B=B396)*1, 0))</f>
        <v>n</v>
      </c>
      <c r="AA396" s="41"/>
      <c r="AB396" s="41"/>
      <c r="AC396" s="41"/>
      <c r="AD396" s="41"/>
      <c r="AE396" s="85" t="str">
        <f>IFERROR(__xludf.DUMMYFUNCTION("INDEX(SPLIT(SUBSTITUTE(AF396,CHAR(10), """"),"",:""), MATCH(Z396, SPLIT(SUBSTITUTE(AF396,CHAR(10), """"),"",:""), 0) + 1)"),"#VALUE!")</f>
        <v>#VALUE!</v>
      </c>
      <c r="AF396" s="150"/>
      <c r="AG396" s="41"/>
      <c r="AH396" s="41"/>
      <c r="AI396" s="105"/>
      <c r="AJ396" s="84" t="s">
        <v>2520</v>
      </c>
      <c r="AK396" s="105"/>
      <c r="AL396" s="98">
        <v>0.0</v>
      </c>
      <c r="AM396" s="105"/>
      <c r="AN396" s="98">
        <v>1.0</v>
      </c>
      <c r="AO396" s="110"/>
      <c r="AP396" s="98">
        <v>0.0</v>
      </c>
      <c r="AQ396" s="98">
        <v>0.0</v>
      </c>
      <c r="AR396" s="69"/>
      <c r="AS396" s="98">
        <v>0.0</v>
      </c>
      <c r="AT396" s="98">
        <v>0.0</v>
      </c>
      <c r="AU396" s="69"/>
      <c r="AV396" s="13"/>
      <c r="AW396" s="13"/>
      <c r="AX396" s="13"/>
      <c r="AY396" s="13"/>
      <c r="AZ396" s="6"/>
      <c r="BA396" s="6"/>
      <c r="BB396" s="6"/>
      <c r="BC396" s="6"/>
      <c r="BD396" s="6"/>
      <c r="BE396" s="6"/>
      <c r="BF396" s="6">
        <v>9965.0</v>
      </c>
      <c r="BG396" s="13"/>
      <c r="BH396" s="13"/>
      <c r="BI396" s="13"/>
      <c r="BJ396" s="13"/>
      <c r="BK396" s="13"/>
      <c r="BL396" s="13"/>
      <c r="BM396" s="13"/>
      <c r="BN396" s="6"/>
      <c r="BO396" s="6">
        <v>4.0</v>
      </c>
      <c r="BP396" s="13"/>
      <c r="BQ396" s="13"/>
      <c r="BR396" s="6" t="s">
        <v>196</v>
      </c>
    </row>
    <row r="397">
      <c r="A397" s="35">
        <v>108.0</v>
      </c>
      <c r="B397" s="35" t="s">
        <v>1054</v>
      </c>
      <c r="C397" s="53">
        <v>0.0</v>
      </c>
      <c r="D397" s="53"/>
      <c r="E397" s="7">
        <v>841.0</v>
      </c>
      <c r="F397" s="53"/>
      <c r="G397" s="6"/>
      <c r="H397" s="35">
        <v>0.0</v>
      </c>
      <c r="I397" s="98">
        <v>0.0</v>
      </c>
      <c r="J397" s="69" t="s">
        <v>1788</v>
      </c>
      <c r="K397" s="99"/>
      <c r="L397" s="99"/>
      <c r="M397" s="39" t="str">
        <f t="shared" si="1"/>
        <v>[ Dual clustering - Guberman (2012)]</v>
      </c>
      <c r="N397" s="69" t="s">
        <v>3534</v>
      </c>
      <c r="O397" s="98">
        <v>2012.0</v>
      </c>
      <c r="P397" s="69"/>
      <c r="Q397" s="13"/>
      <c r="R397" s="13"/>
      <c r="S397" s="13"/>
      <c r="T397" s="35">
        <v>0.0</v>
      </c>
      <c r="U397" s="35">
        <v>0.0</v>
      </c>
      <c r="V397" s="89">
        <f>IFERROR(__xludf.DUMMYFUNCTION("INDEX(SPLIT(SUBSTITUTE(W397,CHAR(10), """"),"",:""), MATCH(Z397, SPLIT(SUBSTITUTE(W397,CHAR(10), """"),"",:""), 0) + 1)"),4.0)</f>
        <v>4</v>
      </c>
      <c r="W397" s="102" t="s">
        <v>1791</v>
      </c>
      <c r="X397" s="35" t="s">
        <v>1953</v>
      </c>
      <c r="Y397" s="41"/>
      <c r="Z397" s="53" t="str">
        <f t="array" ref="Z397">INDEX(Problems!J:J, MATCH(1, (Problems!B:B=B397)*1, 0))</f>
        <v>n</v>
      </c>
      <c r="AA397" s="41"/>
      <c r="AB397" s="41"/>
      <c r="AC397" s="41"/>
      <c r="AD397" s="41"/>
      <c r="AE397" s="85" t="str">
        <f>IFERROR(__xludf.DUMMYFUNCTION("INDEX(SPLIT(SUBSTITUTE(AF397,CHAR(10), """"),"",:""), MATCH(Z397, SPLIT(SUBSTITUTE(AF397,CHAR(10), """"),"",:""), 0) + 1)"),"#VALUE!")</f>
        <v>#VALUE!</v>
      </c>
      <c r="AF397" s="150"/>
      <c r="AG397" s="41"/>
      <c r="AH397" s="41"/>
      <c r="AI397" s="105"/>
      <c r="AJ397" s="84" t="s">
        <v>2520</v>
      </c>
      <c r="AK397" s="105"/>
      <c r="AL397" s="98">
        <v>0.0</v>
      </c>
      <c r="AM397" s="105"/>
      <c r="AN397" s="98">
        <v>1.0</v>
      </c>
      <c r="AO397" s="110"/>
      <c r="AP397" s="98">
        <v>0.0</v>
      </c>
      <c r="AQ397" s="98">
        <v>0.0</v>
      </c>
      <c r="AR397" s="69"/>
      <c r="AS397" s="98">
        <v>0.0</v>
      </c>
      <c r="AT397" s="98">
        <v>0.0</v>
      </c>
      <c r="AU397" s="69"/>
      <c r="AV397" s="13"/>
      <c r="AW397" s="13"/>
      <c r="AX397" s="13"/>
      <c r="AY397" s="13"/>
      <c r="AZ397" s="6"/>
      <c r="BA397" s="6"/>
      <c r="BB397" s="6"/>
      <c r="BC397" s="6"/>
      <c r="BD397" s="6"/>
      <c r="BE397" s="6"/>
      <c r="BF397" s="6">
        <v>9965.0</v>
      </c>
      <c r="BG397" s="13"/>
      <c r="BH397" s="13"/>
      <c r="BI397" s="13"/>
      <c r="BJ397" s="13"/>
      <c r="BK397" s="13"/>
      <c r="BL397" s="13"/>
      <c r="BM397" s="13"/>
      <c r="BN397" s="6"/>
      <c r="BO397" s="6">
        <v>4.0</v>
      </c>
      <c r="BP397" s="13"/>
      <c r="BQ397" s="13"/>
      <c r="BR397" s="6" t="s">
        <v>196</v>
      </c>
    </row>
    <row r="398">
      <c r="A398" s="35">
        <v>108.0</v>
      </c>
      <c r="B398" s="35" t="s">
        <v>1054</v>
      </c>
      <c r="C398" s="53">
        <v>0.0</v>
      </c>
      <c r="D398" s="53"/>
      <c r="E398" s="7">
        <v>842.0</v>
      </c>
      <c r="F398" s="53"/>
      <c r="G398" s="6"/>
      <c r="H398" s="35">
        <v>0.0</v>
      </c>
      <c r="I398" s="98">
        <v>0.0</v>
      </c>
      <c r="J398" s="69" t="s">
        <v>115</v>
      </c>
      <c r="K398" s="99"/>
      <c r="L398" s="99"/>
      <c r="M398" s="39" t="str">
        <f t="shared" si="1"/>
        <v>[ R. Nock and F. Nielsen Statistical Region Merging (2004)]</v>
      </c>
      <c r="N398" s="69" t="s">
        <v>3535</v>
      </c>
      <c r="O398" s="98">
        <v>2004.0</v>
      </c>
      <c r="P398" s="69"/>
      <c r="Q398" s="13"/>
      <c r="R398" s="13"/>
      <c r="S398" s="13"/>
      <c r="T398" s="35">
        <v>0.0</v>
      </c>
      <c r="U398" s="35">
        <v>0.0</v>
      </c>
      <c r="V398" s="89">
        <f>IFERROR(__xludf.DUMMYFUNCTION("INDEX(SPLIT(SUBSTITUTE(W398,CHAR(10), """"),"",:""), MATCH(Z398, SPLIT(SUBSTITUTE(W398,CHAR(10), """"),"",:""), 0) + 1)"),5.0)</f>
        <v>5</v>
      </c>
      <c r="W398" s="102" t="s">
        <v>1938</v>
      </c>
      <c r="X398" s="69" t="s">
        <v>115</v>
      </c>
      <c r="Y398" s="41"/>
      <c r="Z398" s="53" t="str">
        <f t="array" ref="Z398">INDEX(Problems!J:J, MATCH(1, (Problems!B:B=B398)*1, 0))</f>
        <v>n</v>
      </c>
      <c r="AA398" s="41"/>
      <c r="AB398" s="41"/>
      <c r="AC398" s="41"/>
      <c r="AD398" s="41"/>
      <c r="AE398" s="85" t="str">
        <f>IFERROR(__xludf.DUMMYFUNCTION("INDEX(SPLIT(SUBSTITUTE(AF398,CHAR(10), """"),"",:""), MATCH(Z398, SPLIT(SUBSTITUTE(AF398,CHAR(10), """"),"",:""), 0) + 1)"),"#VALUE!")</f>
        <v>#VALUE!</v>
      </c>
      <c r="AF398" s="150"/>
      <c r="AG398" s="41"/>
      <c r="AH398" s="41"/>
      <c r="AI398" s="105"/>
      <c r="AJ398" s="84" t="s">
        <v>2520</v>
      </c>
      <c r="AK398" s="105"/>
      <c r="AL398" s="98">
        <v>0.0</v>
      </c>
      <c r="AM398" s="105"/>
      <c r="AN398" s="98">
        <v>1.0</v>
      </c>
      <c r="AO398" s="110"/>
      <c r="AP398" s="98">
        <v>0.0</v>
      </c>
      <c r="AQ398" s="98">
        <v>0.0</v>
      </c>
      <c r="AR398" s="69"/>
      <c r="AS398" s="98">
        <v>0.0</v>
      </c>
      <c r="AT398" s="98">
        <v>0.0</v>
      </c>
      <c r="AU398" s="69"/>
      <c r="AV398" s="13"/>
      <c r="AW398" s="13"/>
      <c r="AX398" s="13"/>
      <c r="AY398" s="13"/>
      <c r="AZ398" s="6"/>
      <c r="BA398" s="6"/>
      <c r="BB398" s="6"/>
      <c r="BC398" s="6"/>
      <c r="BD398" s="6"/>
      <c r="BE398" s="6"/>
      <c r="BF398" s="6">
        <v>1000000.0</v>
      </c>
      <c r="BG398" s="13"/>
      <c r="BH398" s="13"/>
      <c r="BI398" s="13"/>
      <c r="BJ398" s="13"/>
      <c r="BK398" s="13"/>
      <c r="BL398" s="13"/>
      <c r="BM398" s="13"/>
      <c r="BN398" s="6"/>
      <c r="BO398" s="6">
        <v>4.0</v>
      </c>
      <c r="BP398" s="13"/>
      <c r="BQ398" s="13"/>
      <c r="BR398" s="6" t="s">
        <v>196</v>
      </c>
    </row>
    <row r="399">
      <c r="A399" s="35">
        <v>108.0</v>
      </c>
      <c r="B399" s="35" t="s">
        <v>1054</v>
      </c>
      <c r="C399" s="53">
        <v>0.0</v>
      </c>
      <c r="D399" s="53"/>
      <c r="E399" s="7">
        <v>843.0</v>
      </c>
      <c r="F399" s="53"/>
      <c r="G399" s="6"/>
      <c r="H399" s="35">
        <v>0.0</v>
      </c>
      <c r="I399" s="98">
        <v>0.0</v>
      </c>
      <c r="J399" s="69" t="s">
        <v>115</v>
      </c>
      <c r="K399" s="99"/>
      <c r="L399" s="99"/>
      <c r="M399" s="39" t="str">
        <f t="shared" si="1"/>
        <v>[ Kass; Witkin and Terzopoulos (1987)]</v>
      </c>
      <c r="N399" s="69" t="s">
        <v>3536</v>
      </c>
      <c r="O399" s="98">
        <v>1987.0</v>
      </c>
      <c r="P399" s="69"/>
      <c r="Q399" s="13"/>
      <c r="R399" s="13"/>
      <c r="S399" s="13"/>
      <c r="T399" s="35">
        <v>0.0</v>
      </c>
      <c r="U399" s="35">
        <v>0.0</v>
      </c>
      <c r="V399" s="89">
        <f>IFERROR(__xludf.DUMMYFUNCTION("INDEX(SPLIT(SUBSTITUTE(W399,CHAR(10), """"),"",:""), MATCH(Z399, SPLIT(SUBSTITUTE(W399,CHAR(10), """"),"",:""), 0) + 1)"),5.0)</f>
        <v>5</v>
      </c>
      <c r="W399" s="102" t="s">
        <v>1938</v>
      </c>
      <c r="X399" s="69" t="s">
        <v>115</v>
      </c>
      <c r="Y399" s="41"/>
      <c r="Z399" s="53" t="str">
        <f t="array" ref="Z399">INDEX(Problems!J:J, MATCH(1, (Problems!B:B=B399)*1, 0))</f>
        <v>n</v>
      </c>
      <c r="AA399" s="41"/>
      <c r="AB399" s="41"/>
      <c r="AC399" s="41"/>
      <c r="AD399" s="41"/>
      <c r="AE399" s="85" t="str">
        <f>IFERROR(__xludf.DUMMYFUNCTION("INDEX(SPLIT(SUBSTITUTE(AF399,CHAR(10), """"),"",:""), MATCH(Z399, SPLIT(SUBSTITUTE(AF399,CHAR(10), """"),"",:""), 0) + 1)"),"#VALUE!")</f>
        <v>#VALUE!</v>
      </c>
      <c r="AF399" s="150"/>
      <c r="AG399" s="41"/>
      <c r="AH399" s="41"/>
      <c r="AI399" s="105"/>
      <c r="AJ399" s="84" t="s">
        <v>2520</v>
      </c>
      <c r="AK399" s="105"/>
      <c r="AL399" s="98">
        <v>0.0</v>
      </c>
      <c r="AM399" s="105"/>
      <c r="AN399" s="98">
        <v>1.0</v>
      </c>
      <c r="AO399" s="110"/>
      <c r="AP399" s="98">
        <v>0.0</v>
      </c>
      <c r="AQ399" s="98">
        <v>0.0</v>
      </c>
      <c r="AR399" s="69"/>
      <c r="AS399" s="98">
        <v>0.0</v>
      </c>
      <c r="AT399" s="98">
        <v>0.0</v>
      </c>
      <c r="AU399" s="69"/>
      <c r="AV399" s="13"/>
      <c r="AW399" s="13"/>
      <c r="AX399" s="13"/>
      <c r="AY399" s="13"/>
      <c r="AZ399" s="6"/>
      <c r="BA399" s="6"/>
      <c r="BB399" s="6"/>
      <c r="BC399" s="6"/>
      <c r="BD399" s="6"/>
      <c r="BE399" s="6"/>
      <c r="BF399" s="6">
        <v>1000000.0</v>
      </c>
      <c r="BG399" s="13"/>
      <c r="BH399" s="13"/>
      <c r="BI399" s="13"/>
      <c r="BJ399" s="13"/>
      <c r="BK399" s="13"/>
      <c r="BL399" s="13"/>
      <c r="BM399" s="13"/>
      <c r="BN399" s="6"/>
      <c r="BO399" s="6">
        <v>4.0</v>
      </c>
      <c r="BP399" s="13"/>
      <c r="BQ399" s="13"/>
      <c r="BR399" s="6" t="s">
        <v>196</v>
      </c>
    </row>
    <row r="400">
      <c r="A400" s="35">
        <v>108.0</v>
      </c>
      <c r="B400" s="35" t="s">
        <v>1054</v>
      </c>
      <c r="C400" s="53">
        <v>0.0</v>
      </c>
      <c r="D400" s="53"/>
      <c r="E400" s="7">
        <v>844.0</v>
      </c>
      <c r="F400" s="53"/>
      <c r="G400" s="6"/>
      <c r="H400" s="35">
        <v>0.0</v>
      </c>
      <c r="I400" s="98">
        <v>0.0</v>
      </c>
      <c r="J400" s="69" t="s">
        <v>1788</v>
      </c>
      <c r="K400" s="99"/>
      <c r="L400" s="99"/>
      <c r="M400" s="39" t="str">
        <f t="shared" si="1"/>
        <v>[ Chen's lambda-connected segmentation (1991)]</v>
      </c>
      <c r="N400" s="69" t="s">
        <v>3537</v>
      </c>
      <c r="O400" s="98">
        <v>1991.0</v>
      </c>
      <c r="P400" s="69"/>
      <c r="Q400" s="13"/>
      <c r="R400" s="13"/>
      <c r="S400" s="13"/>
      <c r="T400" s="35">
        <v>1.0</v>
      </c>
      <c r="U400" s="35" t="s">
        <v>1952</v>
      </c>
      <c r="V400" s="89">
        <f>IFERROR(__xludf.DUMMYFUNCTION("INDEX(SPLIT(SUBSTITUTE(W400,CHAR(10), """"),"",:""), MATCH(Z400, SPLIT(SUBSTITUTE(W400,CHAR(10), """"),"",:""), 0) + 1)"),4.0)</f>
        <v>4</v>
      </c>
      <c r="W400" s="102" t="s">
        <v>1791</v>
      </c>
      <c r="X400" s="35" t="s">
        <v>1953</v>
      </c>
      <c r="Y400" s="41"/>
      <c r="Z400" s="53" t="str">
        <f t="array" ref="Z400">INDEX(Problems!J:J, MATCH(1, (Problems!B:B=B400)*1, 0))</f>
        <v>n</v>
      </c>
      <c r="AA400" s="41"/>
      <c r="AB400" s="41"/>
      <c r="AC400" s="41"/>
      <c r="AD400" s="41"/>
      <c r="AE400" s="85" t="str">
        <f>IFERROR(__xludf.DUMMYFUNCTION("INDEX(SPLIT(SUBSTITUTE(AF400,CHAR(10), """"),"",:""), MATCH(Z400, SPLIT(SUBSTITUTE(AF400,CHAR(10), """"),"",:""), 0) + 1)"),"#VALUE!")</f>
        <v>#VALUE!</v>
      </c>
      <c r="AF400" s="150"/>
      <c r="AG400" s="41"/>
      <c r="AH400" s="41"/>
      <c r="AI400" s="105"/>
      <c r="AJ400" s="84" t="s">
        <v>2520</v>
      </c>
      <c r="AK400" s="105"/>
      <c r="AL400" s="98">
        <v>0.0</v>
      </c>
      <c r="AM400" s="105"/>
      <c r="AN400" s="98">
        <v>1.0</v>
      </c>
      <c r="AO400" s="110"/>
      <c r="AP400" s="98">
        <v>0.0</v>
      </c>
      <c r="AQ400" s="98">
        <v>0.0</v>
      </c>
      <c r="AR400" s="69"/>
      <c r="AS400" s="98">
        <v>0.0</v>
      </c>
      <c r="AT400" s="98">
        <v>0.0</v>
      </c>
      <c r="AU400" s="69"/>
      <c r="AV400" s="13"/>
      <c r="AW400" s="13"/>
      <c r="AX400" s="13"/>
      <c r="AY400" s="13"/>
      <c r="AZ400" s="6"/>
      <c r="BA400" s="6"/>
      <c r="BB400" s="6"/>
      <c r="BC400" s="6"/>
      <c r="BD400" s="6"/>
      <c r="BE400" s="6"/>
      <c r="BF400" s="6">
        <v>9965.0</v>
      </c>
      <c r="BG400" s="13"/>
      <c r="BH400" s="13"/>
      <c r="BI400" s="13"/>
      <c r="BJ400" s="13"/>
      <c r="BK400" s="13"/>
      <c r="BL400" s="13"/>
      <c r="BM400" s="13"/>
      <c r="BN400" s="6"/>
      <c r="BO400" s="6">
        <v>4.0</v>
      </c>
      <c r="BP400" s="13"/>
      <c r="BQ400" s="13"/>
      <c r="BR400" s="6" t="s">
        <v>196</v>
      </c>
    </row>
    <row r="401">
      <c r="A401" s="35">
        <v>108.0</v>
      </c>
      <c r="B401" s="35" t="s">
        <v>1054</v>
      </c>
      <c r="C401" s="53">
        <v>0.0</v>
      </c>
      <c r="D401" s="53"/>
      <c r="E401" s="7">
        <v>845.0</v>
      </c>
      <c r="F401" s="53"/>
      <c r="G401" s="6"/>
      <c r="H401" s="35">
        <v>0.0</v>
      </c>
      <c r="I401" s="98">
        <v>0.0</v>
      </c>
      <c r="J401" s="69" t="s">
        <v>115</v>
      </c>
      <c r="K401" s="99"/>
      <c r="L401" s="99"/>
      <c r="M401" s="39" t="str">
        <f t="shared" si="1"/>
        <v>[ S.L. Horowitz and T. Pavlidis - directed split and merge (1974)]</v>
      </c>
      <c r="N401" s="69" t="s">
        <v>3538</v>
      </c>
      <c r="O401" s="98">
        <v>1974.0</v>
      </c>
      <c r="P401" s="69"/>
      <c r="Q401" s="13"/>
      <c r="R401" s="13"/>
      <c r="S401" s="13"/>
      <c r="T401" s="35">
        <v>0.0</v>
      </c>
      <c r="U401" s="35">
        <v>0.0</v>
      </c>
      <c r="V401" s="89">
        <f>IFERROR(__xludf.DUMMYFUNCTION("INDEX(SPLIT(SUBSTITUTE(W401,CHAR(10), """"),"",:""), MATCH(Z401, SPLIT(SUBSTITUTE(W401,CHAR(10), """"),"",:""), 0) + 1)"),5.0)</f>
        <v>5</v>
      </c>
      <c r="W401" s="102" t="s">
        <v>1938</v>
      </c>
      <c r="X401" s="69" t="s">
        <v>115</v>
      </c>
      <c r="Y401" s="41"/>
      <c r="Z401" s="53" t="str">
        <f t="array" ref="Z401">INDEX(Problems!J:J, MATCH(1, (Problems!B:B=B401)*1, 0))</f>
        <v>n</v>
      </c>
      <c r="AA401" s="41"/>
      <c r="AB401" s="41"/>
      <c r="AC401" s="41"/>
      <c r="AD401" s="41"/>
      <c r="AE401" s="85" t="str">
        <f>IFERROR(__xludf.DUMMYFUNCTION("INDEX(SPLIT(SUBSTITUTE(AF401,CHAR(10), """"),"",:""), MATCH(Z401, SPLIT(SUBSTITUTE(AF401,CHAR(10), """"),"",:""), 0) + 1)"),"#VALUE!")</f>
        <v>#VALUE!</v>
      </c>
      <c r="AF401" s="150"/>
      <c r="AG401" s="41"/>
      <c r="AH401" s="41"/>
      <c r="AI401" s="105"/>
      <c r="AJ401" s="84" t="s">
        <v>2520</v>
      </c>
      <c r="AK401" s="105"/>
      <c r="AL401" s="98">
        <v>0.0</v>
      </c>
      <c r="AM401" s="105"/>
      <c r="AN401" s="98">
        <v>1.0</v>
      </c>
      <c r="AO401" s="110"/>
      <c r="AP401" s="98">
        <v>0.0</v>
      </c>
      <c r="AQ401" s="98">
        <v>0.0</v>
      </c>
      <c r="AR401" s="69"/>
      <c r="AS401" s="98">
        <v>0.0</v>
      </c>
      <c r="AT401" s="98">
        <v>0.0</v>
      </c>
      <c r="AU401" s="69"/>
      <c r="AV401" s="13"/>
      <c r="AW401" s="13"/>
      <c r="AX401" s="13"/>
      <c r="AY401" s="13"/>
      <c r="AZ401" s="6"/>
      <c r="BA401" s="6"/>
      <c r="BB401" s="6"/>
      <c r="BC401" s="6"/>
      <c r="BD401" s="6"/>
      <c r="BE401" s="6"/>
      <c r="BF401" s="6">
        <v>1000000.0</v>
      </c>
      <c r="BG401" s="13"/>
      <c r="BH401" s="13"/>
      <c r="BI401" s="13"/>
      <c r="BJ401" s="13"/>
      <c r="BK401" s="13"/>
      <c r="BL401" s="13"/>
      <c r="BM401" s="13"/>
      <c r="BN401" s="6"/>
      <c r="BO401" s="6">
        <v>4.0</v>
      </c>
      <c r="BP401" s="13"/>
      <c r="BQ401" s="13"/>
      <c r="BR401" s="6" t="s">
        <v>196</v>
      </c>
    </row>
    <row r="402">
      <c r="A402" s="35">
        <v>108.0</v>
      </c>
      <c r="B402" s="35" t="s">
        <v>1054</v>
      </c>
      <c r="C402" s="53">
        <v>0.0</v>
      </c>
      <c r="D402" s="53"/>
      <c r="E402" s="7">
        <v>846.0</v>
      </c>
      <c r="F402" s="53"/>
      <c r="G402" s="6"/>
      <c r="H402" s="35">
        <v>0.0</v>
      </c>
      <c r="I402" s="98">
        <v>0.0</v>
      </c>
      <c r="J402" s="69" t="s">
        <v>115</v>
      </c>
      <c r="K402" s="99"/>
      <c r="L402" s="99"/>
      <c r="M402" s="39" t="str">
        <f t="shared" si="1"/>
        <v>[ David Mumford and Jayant Shah (1989) (1989)]</v>
      </c>
      <c r="N402" s="69" t="s">
        <v>3539</v>
      </c>
      <c r="O402" s="98">
        <v>1989.0</v>
      </c>
      <c r="P402" s="69"/>
      <c r="Q402" s="13"/>
      <c r="R402" s="13"/>
      <c r="S402" s="13"/>
      <c r="T402" s="35">
        <v>0.0</v>
      </c>
      <c r="U402" s="35">
        <v>0.0</v>
      </c>
      <c r="V402" s="89">
        <f>IFERROR(__xludf.DUMMYFUNCTION("INDEX(SPLIT(SUBSTITUTE(W402,CHAR(10), """"),"",:""), MATCH(Z402, SPLIT(SUBSTITUTE(W402,CHAR(10), """"),"",:""), 0) + 1)"),5.0)</f>
        <v>5</v>
      </c>
      <c r="W402" s="102" t="s">
        <v>1938</v>
      </c>
      <c r="X402" s="69" t="s">
        <v>115</v>
      </c>
      <c r="Y402" s="41"/>
      <c r="Z402" s="53" t="str">
        <f t="array" ref="Z402">INDEX(Problems!J:J, MATCH(1, (Problems!B:B=B402)*1, 0))</f>
        <v>n</v>
      </c>
      <c r="AA402" s="41"/>
      <c r="AB402" s="41"/>
      <c r="AC402" s="41"/>
      <c r="AD402" s="41"/>
      <c r="AE402" s="85" t="str">
        <f>IFERROR(__xludf.DUMMYFUNCTION("INDEX(SPLIT(SUBSTITUTE(AF402,CHAR(10), """"),"",:""), MATCH(Z402, SPLIT(SUBSTITUTE(AF402,CHAR(10), """"),"",:""), 0) + 1)"),"#VALUE!")</f>
        <v>#VALUE!</v>
      </c>
      <c r="AF402" s="150"/>
      <c r="AG402" s="41"/>
      <c r="AH402" s="41"/>
      <c r="AI402" s="105"/>
      <c r="AJ402" s="84" t="s">
        <v>2520</v>
      </c>
      <c r="AK402" s="105"/>
      <c r="AL402" s="98">
        <v>0.0</v>
      </c>
      <c r="AM402" s="105"/>
      <c r="AN402" s="98">
        <v>1.0</v>
      </c>
      <c r="AO402" s="110"/>
      <c r="AP402" s="98">
        <v>0.0</v>
      </c>
      <c r="AQ402" s="98">
        <v>0.0</v>
      </c>
      <c r="AR402" s="69"/>
      <c r="AS402" s="98">
        <v>0.0</v>
      </c>
      <c r="AT402" s="98">
        <v>0.0</v>
      </c>
      <c r="AU402" s="69"/>
      <c r="AV402" s="13"/>
      <c r="AW402" s="13"/>
      <c r="AX402" s="13"/>
      <c r="AY402" s="13"/>
      <c r="AZ402" s="6"/>
      <c r="BA402" s="6"/>
      <c r="BB402" s="6"/>
      <c r="BC402" s="6"/>
      <c r="BD402" s="6"/>
      <c r="BE402" s="6"/>
      <c r="BF402" s="6">
        <v>1000000.0</v>
      </c>
      <c r="BG402" s="13"/>
      <c r="BH402" s="13"/>
      <c r="BI402" s="13"/>
      <c r="BJ402" s="13"/>
      <c r="BK402" s="13"/>
      <c r="BL402" s="13"/>
      <c r="BM402" s="13"/>
      <c r="BN402" s="6"/>
      <c r="BO402" s="6">
        <v>4.0</v>
      </c>
      <c r="BP402" s="13"/>
      <c r="BQ402" s="13"/>
      <c r="BR402" s="6" t="s">
        <v>196</v>
      </c>
    </row>
    <row r="403">
      <c r="A403" s="35">
        <v>108.0</v>
      </c>
      <c r="B403" s="35" t="s">
        <v>1054</v>
      </c>
      <c r="C403" s="53">
        <v>0.0</v>
      </c>
      <c r="D403" s="53"/>
      <c r="E403" s="7">
        <v>847.0</v>
      </c>
      <c r="F403" s="53"/>
      <c r="G403" s="6"/>
      <c r="H403" s="35">
        <v>0.0</v>
      </c>
      <c r="I403" s="98">
        <v>0.0</v>
      </c>
      <c r="J403" s="69" t="s">
        <v>115</v>
      </c>
      <c r="K403" s="99"/>
      <c r="L403" s="99"/>
      <c r="M403" s="39" t="str">
        <f t="shared" si="1"/>
        <v>[ Geman and Geman Markov random fields (1984)]</v>
      </c>
      <c r="N403" s="69" t="s">
        <v>3540</v>
      </c>
      <c r="O403" s="98">
        <v>1984.0</v>
      </c>
      <c r="P403" s="69"/>
      <c r="Q403" s="13"/>
      <c r="R403" s="13"/>
      <c r="S403" s="13"/>
      <c r="T403" s="35">
        <v>0.0</v>
      </c>
      <c r="U403" s="35">
        <v>0.0</v>
      </c>
      <c r="V403" s="89">
        <f>IFERROR(__xludf.DUMMYFUNCTION("INDEX(SPLIT(SUBSTITUTE(W403,CHAR(10), """"),"",:""), MATCH(Z403, SPLIT(SUBSTITUTE(W403,CHAR(10), """"),"",:""), 0) + 1)"),5.0)</f>
        <v>5</v>
      </c>
      <c r="W403" s="102" t="s">
        <v>1938</v>
      </c>
      <c r="X403" s="69" t="s">
        <v>115</v>
      </c>
      <c r="Y403" s="41"/>
      <c r="Z403" s="53" t="str">
        <f t="array" ref="Z403">INDEX(Problems!J:J, MATCH(1, (Problems!B:B=B403)*1, 0))</f>
        <v>n</v>
      </c>
      <c r="AA403" s="41"/>
      <c r="AB403" s="41"/>
      <c r="AC403" s="41"/>
      <c r="AD403" s="41"/>
      <c r="AE403" s="85" t="str">
        <f>IFERROR(__xludf.DUMMYFUNCTION("INDEX(SPLIT(SUBSTITUTE(AF403,CHAR(10), """"),"",:""), MATCH(Z403, SPLIT(SUBSTITUTE(AF403,CHAR(10), """"),"",:""), 0) + 1)"),"#VALUE!")</f>
        <v>#VALUE!</v>
      </c>
      <c r="AF403" s="150"/>
      <c r="AG403" s="41"/>
      <c r="AH403" s="41"/>
      <c r="AI403" s="105"/>
      <c r="AJ403" s="84" t="s">
        <v>2520</v>
      </c>
      <c r="AK403" s="105"/>
      <c r="AL403" s="98">
        <v>0.0</v>
      </c>
      <c r="AM403" s="105"/>
      <c r="AN403" s="98">
        <v>1.0</v>
      </c>
      <c r="AO403" s="110"/>
      <c r="AP403" s="98">
        <v>0.0</v>
      </c>
      <c r="AQ403" s="98">
        <v>0.0</v>
      </c>
      <c r="AR403" s="69"/>
      <c r="AS403" s="98">
        <v>0.0</v>
      </c>
      <c r="AT403" s="98">
        <v>0.0</v>
      </c>
      <c r="AU403" s="69"/>
      <c r="AV403" s="13"/>
      <c r="AW403" s="13"/>
      <c r="AX403" s="13"/>
      <c r="AY403" s="13"/>
      <c r="AZ403" s="6"/>
      <c r="BA403" s="6"/>
      <c r="BB403" s="6"/>
      <c r="BC403" s="6"/>
      <c r="BD403" s="6"/>
      <c r="BE403" s="6"/>
      <c r="BF403" s="6">
        <v>1000000.0</v>
      </c>
      <c r="BG403" s="13"/>
      <c r="BH403" s="13"/>
      <c r="BI403" s="13"/>
      <c r="BJ403" s="13"/>
      <c r="BK403" s="13"/>
      <c r="BL403" s="13"/>
      <c r="BM403" s="13"/>
      <c r="BN403" s="6"/>
      <c r="BO403" s="6">
        <v>4.0</v>
      </c>
      <c r="BP403" s="13"/>
      <c r="BQ403" s="13"/>
      <c r="BR403" s="6" t="s">
        <v>196</v>
      </c>
    </row>
    <row r="404">
      <c r="A404" s="35">
        <v>108.0</v>
      </c>
      <c r="B404" s="35" t="s">
        <v>1054</v>
      </c>
      <c r="C404" s="53">
        <v>0.0</v>
      </c>
      <c r="D404" s="53"/>
      <c r="E404" s="7">
        <v>848.0</v>
      </c>
      <c r="F404" s="53"/>
      <c r="G404" s="6"/>
      <c r="H404" s="35">
        <v>0.0</v>
      </c>
      <c r="I404" s="98">
        <v>0.0</v>
      </c>
      <c r="J404" s="69" t="s">
        <v>115</v>
      </c>
      <c r="K404" s="99"/>
      <c r="L404" s="99"/>
      <c r="M404" s="39" t="str">
        <f t="shared" si="1"/>
        <v>[ Iterated conditional modes algorithm (1986)]</v>
      </c>
      <c r="N404" s="69" t="s">
        <v>3541</v>
      </c>
      <c r="O404" s="98">
        <v>1986.0</v>
      </c>
      <c r="P404" s="69"/>
      <c r="Q404" s="13"/>
      <c r="R404" s="13"/>
      <c r="S404" s="13"/>
      <c r="T404" s="35">
        <v>0.0</v>
      </c>
      <c r="U404" s="35">
        <v>0.0</v>
      </c>
      <c r="V404" s="89">
        <f>IFERROR(__xludf.DUMMYFUNCTION("INDEX(SPLIT(SUBSTITUTE(W404,CHAR(10), """"),"",:""), MATCH(Z404, SPLIT(SUBSTITUTE(W404,CHAR(10), """"),"",:""), 0) + 1)"),5.0)</f>
        <v>5</v>
      </c>
      <c r="W404" s="102" t="s">
        <v>1938</v>
      </c>
      <c r="X404" s="69" t="s">
        <v>115</v>
      </c>
      <c r="Y404" s="41"/>
      <c r="Z404" s="53" t="str">
        <f t="array" ref="Z404">INDEX(Problems!J:J, MATCH(1, (Problems!B:B=B404)*1, 0))</f>
        <v>n</v>
      </c>
      <c r="AA404" s="41"/>
      <c r="AB404" s="41"/>
      <c r="AC404" s="41"/>
      <c r="AD404" s="41"/>
      <c r="AE404" s="85" t="str">
        <f>IFERROR(__xludf.DUMMYFUNCTION("INDEX(SPLIT(SUBSTITUTE(AF404,CHAR(10), """"),"",:""), MATCH(Z404, SPLIT(SUBSTITUTE(AF404,CHAR(10), """"),"",:""), 0) + 1)"),"#VALUE!")</f>
        <v>#VALUE!</v>
      </c>
      <c r="AF404" s="150"/>
      <c r="AG404" s="41"/>
      <c r="AH404" s="41"/>
      <c r="AI404" s="105"/>
      <c r="AJ404" s="84" t="s">
        <v>2520</v>
      </c>
      <c r="AK404" s="105"/>
      <c r="AL404" s="98">
        <v>0.0</v>
      </c>
      <c r="AM404" s="105"/>
      <c r="AN404" s="98">
        <v>1.0</v>
      </c>
      <c r="AO404" s="110"/>
      <c r="AP404" s="98">
        <v>0.0</v>
      </c>
      <c r="AQ404" s="98">
        <v>0.0</v>
      </c>
      <c r="AR404" s="69"/>
      <c r="AS404" s="98">
        <v>0.0</v>
      </c>
      <c r="AT404" s="98">
        <v>0.0</v>
      </c>
      <c r="AU404" s="69"/>
      <c r="AV404" s="13"/>
      <c r="AW404" s="13"/>
      <c r="AX404" s="13"/>
      <c r="AY404" s="13"/>
      <c r="AZ404" s="6"/>
      <c r="BA404" s="6"/>
      <c r="BB404" s="6"/>
      <c r="BC404" s="6"/>
      <c r="BD404" s="6"/>
      <c r="BE404" s="6"/>
      <c r="BF404" s="6">
        <v>1000000.0</v>
      </c>
      <c r="BG404" s="13"/>
      <c r="BH404" s="13"/>
      <c r="BI404" s="13"/>
      <c r="BJ404" s="13"/>
      <c r="BK404" s="13"/>
      <c r="BL404" s="13"/>
      <c r="BM404" s="13"/>
      <c r="BN404" s="6"/>
      <c r="BO404" s="6">
        <v>4.0</v>
      </c>
      <c r="BP404" s="13"/>
      <c r="BQ404" s="13"/>
      <c r="BR404" s="6" t="s">
        <v>196</v>
      </c>
    </row>
    <row r="405">
      <c r="A405" s="35">
        <v>108.0</v>
      </c>
      <c r="B405" s="35" t="s">
        <v>1054</v>
      </c>
      <c r="C405" s="53">
        <v>0.0</v>
      </c>
      <c r="D405" s="53"/>
      <c r="E405" s="7">
        <v>849.0</v>
      </c>
      <c r="F405" s="53"/>
      <c r="G405" s="6"/>
      <c r="H405" s="35">
        <v>0.0</v>
      </c>
      <c r="I405" s="98">
        <v>0.0</v>
      </c>
      <c r="J405" s="69" t="s">
        <v>115</v>
      </c>
      <c r="K405" s="99"/>
      <c r="L405" s="99"/>
      <c r="M405" s="39" t="str">
        <f t="shared" si="1"/>
        <v>[ watershed transformation 1979 (1979)]</v>
      </c>
      <c r="N405" s="69" t="s">
        <v>3542</v>
      </c>
      <c r="O405" s="98">
        <v>1979.0</v>
      </c>
      <c r="P405" s="69"/>
      <c r="Q405" s="13"/>
      <c r="R405" s="13"/>
      <c r="S405" s="13"/>
      <c r="T405" s="35">
        <v>0.0</v>
      </c>
      <c r="U405" s="35">
        <v>0.0</v>
      </c>
      <c r="V405" s="89">
        <f>IFERROR(__xludf.DUMMYFUNCTION("INDEX(SPLIT(SUBSTITUTE(W405,CHAR(10), """"),"",:""), MATCH(Z405, SPLIT(SUBSTITUTE(W405,CHAR(10), """"),"",:""), 0) + 1)"),5.0)</f>
        <v>5</v>
      </c>
      <c r="W405" s="102" t="s">
        <v>1938</v>
      </c>
      <c r="X405" s="69" t="s">
        <v>115</v>
      </c>
      <c r="Y405" s="41"/>
      <c r="Z405" s="53" t="str">
        <f t="array" ref="Z405">INDEX(Problems!J:J, MATCH(1, (Problems!B:B=B405)*1, 0))</f>
        <v>n</v>
      </c>
      <c r="AA405" s="41"/>
      <c r="AB405" s="41"/>
      <c r="AC405" s="41"/>
      <c r="AD405" s="41"/>
      <c r="AE405" s="85" t="str">
        <f>IFERROR(__xludf.DUMMYFUNCTION("INDEX(SPLIT(SUBSTITUTE(AF405,CHAR(10), """"),"",:""), MATCH(Z405, SPLIT(SUBSTITUTE(AF405,CHAR(10), """"),"",:""), 0) + 1)"),"#VALUE!")</f>
        <v>#VALUE!</v>
      </c>
      <c r="AF405" s="150"/>
      <c r="AG405" s="41"/>
      <c r="AH405" s="41"/>
      <c r="AI405" s="105"/>
      <c r="AJ405" s="84" t="s">
        <v>2520</v>
      </c>
      <c r="AK405" s="105"/>
      <c r="AL405" s="98">
        <v>0.0</v>
      </c>
      <c r="AM405" s="105"/>
      <c r="AN405" s="98">
        <v>1.0</v>
      </c>
      <c r="AO405" s="110"/>
      <c r="AP405" s="98">
        <v>0.0</v>
      </c>
      <c r="AQ405" s="98">
        <v>0.0</v>
      </c>
      <c r="AR405" s="69"/>
      <c r="AS405" s="98">
        <v>0.0</v>
      </c>
      <c r="AT405" s="98">
        <v>0.0</v>
      </c>
      <c r="AU405" s="69"/>
      <c r="AV405" s="13"/>
      <c r="AW405" s="13"/>
      <c r="AX405" s="13"/>
      <c r="AY405" s="13"/>
      <c r="AZ405" s="6"/>
      <c r="BA405" s="6"/>
      <c r="BB405" s="6"/>
      <c r="BC405" s="6"/>
      <c r="BD405" s="6"/>
      <c r="BE405" s="6"/>
      <c r="BF405" s="6">
        <v>1000000.0</v>
      </c>
      <c r="BG405" s="13"/>
      <c r="BH405" s="13"/>
      <c r="BI405" s="13"/>
      <c r="BJ405" s="13"/>
      <c r="BK405" s="13"/>
      <c r="BL405" s="13"/>
      <c r="BM405" s="13"/>
      <c r="BN405" s="6"/>
      <c r="BO405" s="6">
        <v>4.0</v>
      </c>
      <c r="BP405" s="13"/>
      <c r="BQ405" s="13"/>
      <c r="BR405" s="6" t="s">
        <v>196</v>
      </c>
    </row>
    <row r="406">
      <c r="A406" s="35">
        <v>108.0</v>
      </c>
      <c r="B406" s="35" t="s">
        <v>1054</v>
      </c>
      <c r="C406" s="53">
        <v>0.0</v>
      </c>
      <c r="D406" s="53"/>
      <c r="E406" s="7">
        <v>850.0</v>
      </c>
      <c r="F406" s="53"/>
      <c r="G406" s="6"/>
      <c r="H406" s="35">
        <v>0.0</v>
      </c>
      <c r="I406" s="98">
        <v>0.0</v>
      </c>
      <c r="J406" s="69" t="s">
        <v>115</v>
      </c>
      <c r="K406" s="99"/>
      <c r="L406" s="99"/>
      <c r="M406" s="39" t="str">
        <f t="shared" si="1"/>
        <v>[ topological watershed (1997)]</v>
      </c>
      <c r="N406" s="69" t="s">
        <v>3543</v>
      </c>
      <c r="O406" s="98">
        <v>1997.0</v>
      </c>
      <c r="P406" s="69"/>
      <c r="Q406" s="13"/>
      <c r="R406" s="13"/>
      <c r="S406" s="13"/>
      <c r="T406" s="35">
        <v>0.0</v>
      </c>
      <c r="U406" s="35">
        <v>0.0</v>
      </c>
      <c r="V406" s="89">
        <f>IFERROR(__xludf.DUMMYFUNCTION("INDEX(SPLIT(SUBSTITUTE(W406,CHAR(10), """"),"",:""), MATCH(Z406, SPLIT(SUBSTITUTE(W406,CHAR(10), """"),"",:""), 0) + 1)"),5.0)</f>
        <v>5</v>
      </c>
      <c r="W406" s="102" t="s">
        <v>1938</v>
      </c>
      <c r="X406" s="69" t="s">
        <v>115</v>
      </c>
      <c r="Y406" s="41"/>
      <c r="Z406" s="53" t="str">
        <f t="array" ref="Z406">INDEX(Problems!J:J, MATCH(1, (Problems!B:B=B406)*1, 0))</f>
        <v>n</v>
      </c>
      <c r="AA406" s="41"/>
      <c r="AB406" s="41"/>
      <c r="AC406" s="41"/>
      <c r="AD406" s="41"/>
      <c r="AE406" s="85" t="str">
        <f>IFERROR(__xludf.DUMMYFUNCTION("INDEX(SPLIT(SUBSTITUTE(AF406,CHAR(10), """"),"",:""), MATCH(Z406, SPLIT(SUBSTITUTE(AF406,CHAR(10), """"),"",:""), 0) + 1)"),"#VALUE!")</f>
        <v>#VALUE!</v>
      </c>
      <c r="AF406" s="150"/>
      <c r="AG406" s="41"/>
      <c r="AH406" s="41"/>
      <c r="AI406" s="105"/>
      <c r="AJ406" s="84" t="s">
        <v>2520</v>
      </c>
      <c r="AK406" s="105"/>
      <c r="AL406" s="98">
        <v>0.0</v>
      </c>
      <c r="AM406" s="105"/>
      <c r="AN406" s="98">
        <v>1.0</v>
      </c>
      <c r="AO406" s="110"/>
      <c r="AP406" s="98">
        <v>0.0</v>
      </c>
      <c r="AQ406" s="98">
        <v>0.0</v>
      </c>
      <c r="AR406" s="69"/>
      <c r="AS406" s="98">
        <v>0.0</v>
      </c>
      <c r="AT406" s="98">
        <v>0.0</v>
      </c>
      <c r="AU406" s="69"/>
      <c r="AV406" s="13"/>
      <c r="AW406" s="13"/>
      <c r="AX406" s="13"/>
      <c r="AY406" s="13"/>
      <c r="AZ406" s="6"/>
      <c r="BA406" s="6"/>
      <c r="BB406" s="6"/>
      <c r="BC406" s="6"/>
      <c r="BD406" s="6"/>
      <c r="BE406" s="6"/>
      <c r="BF406" s="6">
        <v>1000000.0</v>
      </c>
      <c r="BG406" s="13"/>
      <c r="BH406" s="13"/>
      <c r="BI406" s="13"/>
      <c r="BJ406" s="13"/>
      <c r="BK406" s="13"/>
      <c r="BL406" s="13"/>
      <c r="BM406" s="13"/>
      <c r="BN406" s="6"/>
      <c r="BO406" s="6">
        <v>4.0</v>
      </c>
      <c r="BP406" s="13"/>
      <c r="BQ406" s="13"/>
      <c r="BR406" s="6" t="s">
        <v>196</v>
      </c>
    </row>
    <row r="407">
      <c r="A407" s="35">
        <v>108.0</v>
      </c>
      <c r="B407" s="35" t="s">
        <v>1054</v>
      </c>
      <c r="C407" s="53">
        <v>0.0</v>
      </c>
      <c r="D407" s="53"/>
      <c r="E407" s="7">
        <v>851.0</v>
      </c>
      <c r="F407" s="53"/>
      <c r="G407" s="6"/>
      <c r="H407" s="35">
        <v>0.0</v>
      </c>
      <c r="I407" s="98">
        <v>0.0</v>
      </c>
      <c r="J407" s="69" t="s">
        <v>115</v>
      </c>
      <c r="K407" s="99"/>
      <c r="L407" s="99"/>
      <c r="M407" s="39" t="str">
        <f t="shared" si="1"/>
        <v>[ Florack and Kuijper (2000)]</v>
      </c>
      <c r="N407" s="69" t="s">
        <v>3544</v>
      </c>
      <c r="O407" s="98">
        <v>2000.0</v>
      </c>
      <c r="P407" s="69"/>
      <c r="Q407" s="13"/>
      <c r="R407" s="13"/>
      <c r="S407" s="13"/>
      <c r="T407" s="35">
        <v>0.0</v>
      </c>
      <c r="U407" s="35">
        <v>0.0</v>
      </c>
      <c r="V407" s="89">
        <f>IFERROR(__xludf.DUMMYFUNCTION("INDEX(SPLIT(SUBSTITUTE(W407,CHAR(10), """"),"",:""), MATCH(Z407, SPLIT(SUBSTITUTE(W407,CHAR(10), """"),"",:""), 0) + 1)"),5.0)</f>
        <v>5</v>
      </c>
      <c r="W407" s="102" t="s">
        <v>1938</v>
      </c>
      <c r="X407" s="69" t="s">
        <v>115</v>
      </c>
      <c r="Y407" s="41"/>
      <c r="Z407" s="53" t="str">
        <f t="array" ref="Z407">INDEX(Problems!J:J, MATCH(1, (Problems!B:B=B407)*1, 0))</f>
        <v>n</v>
      </c>
      <c r="AA407" s="41"/>
      <c r="AB407" s="41"/>
      <c r="AC407" s="41"/>
      <c r="AD407" s="41"/>
      <c r="AE407" s="85" t="str">
        <f>IFERROR(__xludf.DUMMYFUNCTION("INDEX(SPLIT(SUBSTITUTE(AF407,CHAR(10), """"),"",:""), MATCH(Z407, SPLIT(SUBSTITUTE(AF407,CHAR(10), """"),"",:""), 0) + 1)"),"#VALUE!")</f>
        <v>#VALUE!</v>
      </c>
      <c r="AF407" s="150"/>
      <c r="AG407" s="41"/>
      <c r="AH407" s="41"/>
      <c r="AI407" s="105"/>
      <c r="AJ407" s="84" t="s">
        <v>2520</v>
      </c>
      <c r="AK407" s="105"/>
      <c r="AL407" s="98">
        <v>0.0</v>
      </c>
      <c r="AM407" s="105"/>
      <c r="AN407" s="98">
        <v>1.0</v>
      </c>
      <c r="AO407" s="110"/>
      <c r="AP407" s="98">
        <v>0.0</v>
      </c>
      <c r="AQ407" s="98">
        <v>0.0</v>
      </c>
      <c r="AR407" s="69"/>
      <c r="AS407" s="98">
        <v>0.0</v>
      </c>
      <c r="AT407" s="98">
        <v>0.0</v>
      </c>
      <c r="AU407" s="69"/>
      <c r="AV407" s="13"/>
      <c r="AW407" s="13"/>
      <c r="AX407" s="13"/>
      <c r="AY407" s="13"/>
      <c r="AZ407" s="6"/>
      <c r="BA407" s="6"/>
      <c r="BB407" s="6"/>
      <c r="BC407" s="6"/>
      <c r="BD407" s="6"/>
      <c r="BE407" s="6"/>
      <c r="BF407" s="6">
        <v>1000000.0</v>
      </c>
      <c r="BG407" s="13"/>
      <c r="BH407" s="13"/>
      <c r="BI407" s="13"/>
      <c r="BJ407" s="13"/>
      <c r="BK407" s="13"/>
      <c r="BL407" s="13"/>
      <c r="BM407" s="13"/>
      <c r="BN407" s="6"/>
      <c r="BO407" s="6">
        <v>4.0</v>
      </c>
      <c r="BP407" s="13"/>
      <c r="BQ407" s="13"/>
      <c r="BR407" s="6" t="s">
        <v>196</v>
      </c>
    </row>
    <row r="408">
      <c r="A408" s="35">
        <v>108.0</v>
      </c>
      <c r="B408" s="35" t="s">
        <v>1054</v>
      </c>
      <c r="C408" s="53">
        <v>0.0</v>
      </c>
      <c r="D408" s="53"/>
      <c r="E408" s="7">
        <v>852.0</v>
      </c>
      <c r="F408" s="53"/>
      <c r="G408" s="6"/>
      <c r="H408" s="35">
        <v>0.0</v>
      </c>
      <c r="I408" s="98">
        <v>0.0</v>
      </c>
      <c r="J408" s="69" t="s">
        <v>115</v>
      </c>
      <c r="K408" s="99"/>
      <c r="L408" s="99"/>
      <c r="M408" s="39" t="str">
        <f t="shared" si="1"/>
        <v>[ Bijaoui and Rué (1995)]</v>
      </c>
      <c r="N408" s="69" t="s">
        <v>3545</v>
      </c>
      <c r="O408" s="98">
        <v>1995.0</v>
      </c>
      <c r="P408" s="69"/>
      <c r="Q408" s="13"/>
      <c r="R408" s="13"/>
      <c r="S408" s="13"/>
      <c r="T408" s="35">
        <v>0.0</v>
      </c>
      <c r="U408" s="35">
        <v>0.0</v>
      </c>
      <c r="V408" s="89">
        <f>IFERROR(__xludf.DUMMYFUNCTION("INDEX(SPLIT(SUBSTITUTE(W408,CHAR(10), """"),"",:""), MATCH(Z408, SPLIT(SUBSTITUTE(W408,CHAR(10), """"),"",:""), 0) + 1)"),5.0)</f>
        <v>5</v>
      </c>
      <c r="W408" s="102" t="s">
        <v>1938</v>
      </c>
      <c r="X408" s="69" t="s">
        <v>115</v>
      </c>
      <c r="Y408" s="41"/>
      <c r="Z408" s="53" t="str">
        <f t="array" ref="Z408">INDEX(Problems!J:J, MATCH(1, (Problems!B:B=B408)*1, 0))</f>
        <v>n</v>
      </c>
      <c r="AA408" s="41"/>
      <c r="AB408" s="41"/>
      <c r="AC408" s="41"/>
      <c r="AD408" s="41"/>
      <c r="AE408" s="85" t="str">
        <f>IFERROR(__xludf.DUMMYFUNCTION("INDEX(SPLIT(SUBSTITUTE(AF408,CHAR(10), """"),"",:""), MATCH(Z408, SPLIT(SUBSTITUTE(AF408,CHAR(10), """"),"",:""), 0) + 1)"),"#VALUE!")</f>
        <v>#VALUE!</v>
      </c>
      <c r="AF408" s="150"/>
      <c r="AG408" s="41"/>
      <c r="AH408" s="41"/>
      <c r="AI408" s="105"/>
      <c r="AJ408" s="84" t="s">
        <v>2520</v>
      </c>
      <c r="AK408" s="105"/>
      <c r="AL408" s="98">
        <v>0.0</v>
      </c>
      <c r="AM408" s="105"/>
      <c r="AN408" s="98">
        <v>1.0</v>
      </c>
      <c r="AO408" s="110"/>
      <c r="AP408" s="98">
        <v>0.0</v>
      </c>
      <c r="AQ408" s="98">
        <v>0.0</v>
      </c>
      <c r="AR408" s="69"/>
      <c r="AS408" s="98">
        <v>0.0</v>
      </c>
      <c r="AT408" s="98">
        <v>0.0</v>
      </c>
      <c r="AU408" s="69"/>
      <c r="AV408" s="13"/>
      <c r="AW408" s="13"/>
      <c r="AX408" s="13"/>
      <c r="AY408" s="13"/>
      <c r="AZ408" s="6"/>
      <c r="BA408" s="6"/>
      <c r="BB408" s="6"/>
      <c r="BC408" s="6"/>
      <c r="BD408" s="6"/>
      <c r="BE408" s="6"/>
      <c r="BF408" s="6">
        <v>1000000.0</v>
      </c>
      <c r="BG408" s="13"/>
      <c r="BH408" s="13"/>
      <c r="BI408" s="13"/>
      <c r="BJ408" s="13"/>
      <c r="BK408" s="13"/>
      <c r="BL408" s="13"/>
      <c r="BM408" s="13"/>
      <c r="BN408" s="6"/>
      <c r="BO408" s="6">
        <v>4.0</v>
      </c>
      <c r="BP408" s="13"/>
      <c r="BQ408" s="13"/>
      <c r="BR408" s="6" t="s">
        <v>196</v>
      </c>
    </row>
    <row r="409">
      <c r="A409" s="35">
        <v>108.0</v>
      </c>
      <c r="B409" s="35" t="s">
        <v>1054</v>
      </c>
      <c r="C409" s="53">
        <v>0.0</v>
      </c>
      <c r="D409" s="53"/>
      <c r="E409" s="7">
        <v>853.0</v>
      </c>
      <c r="F409" s="53"/>
      <c r="G409" s="6"/>
      <c r="H409" s="35">
        <v>0.0</v>
      </c>
      <c r="I409" s="98">
        <v>0.0</v>
      </c>
      <c r="J409" s="69" t="s">
        <v>115</v>
      </c>
      <c r="K409" s="99"/>
      <c r="L409" s="99"/>
      <c r="M409" s="39" t="str">
        <f t="shared" si="1"/>
        <v>[ Multi-scale MAP estimation - A. Bouman and M. Shapiro (2002) (2002)]</v>
      </c>
      <c r="N409" s="69" t="s">
        <v>3546</v>
      </c>
      <c r="O409" s="98">
        <v>2002.0</v>
      </c>
      <c r="P409" s="69"/>
      <c r="Q409" s="13"/>
      <c r="R409" s="13"/>
      <c r="S409" s="13"/>
      <c r="T409" s="35">
        <v>0.0</v>
      </c>
      <c r="U409" s="35">
        <v>0.0</v>
      </c>
      <c r="V409" s="89">
        <f>IFERROR(__xludf.DUMMYFUNCTION("INDEX(SPLIT(SUBSTITUTE(W409,CHAR(10), """"),"",:""), MATCH(Z409, SPLIT(SUBSTITUTE(W409,CHAR(10), """"),"",:""), 0) + 1)"),5.0)</f>
        <v>5</v>
      </c>
      <c r="W409" s="102" t="s">
        <v>1938</v>
      </c>
      <c r="X409" s="69" t="s">
        <v>115</v>
      </c>
      <c r="Y409" s="41"/>
      <c r="Z409" s="53" t="str">
        <f t="array" ref="Z409">INDEX(Problems!J:J, MATCH(1, (Problems!B:B=B409)*1, 0))</f>
        <v>n</v>
      </c>
      <c r="AA409" s="41"/>
      <c r="AB409" s="41"/>
      <c r="AC409" s="41"/>
      <c r="AD409" s="41"/>
      <c r="AE409" s="85" t="str">
        <f>IFERROR(__xludf.DUMMYFUNCTION("INDEX(SPLIT(SUBSTITUTE(AF409,CHAR(10), """"),"",:""), MATCH(Z409, SPLIT(SUBSTITUTE(AF409,CHAR(10), """"),"",:""), 0) + 1)"),"#VALUE!")</f>
        <v>#VALUE!</v>
      </c>
      <c r="AF409" s="150"/>
      <c r="AG409" s="41"/>
      <c r="AH409" s="41"/>
      <c r="AI409" s="105"/>
      <c r="AJ409" s="84" t="s">
        <v>2520</v>
      </c>
      <c r="AK409" s="105"/>
      <c r="AL409" s="98">
        <v>0.0</v>
      </c>
      <c r="AM409" s="105"/>
      <c r="AN409" s="98">
        <v>1.0</v>
      </c>
      <c r="AO409" s="110"/>
      <c r="AP409" s="98">
        <v>0.0</v>
      </c>
      <c r="AQ409" s="98">
        <v>0.0</v>
      </c>
      <c r="AR409" s="69"/>
      <c r="AS409" s="98">
        <v>0.0</v>
      </c>
      <c r="AT409" s="98">
        <v>0.0</v>
      </c>
      <c r="AU409" s="69"/>
      <c r="AV409" s="13"/>
      <c r="AW409" s="13"/>
      <c r="AX409" s="13"/>
      <c r="AY409" s="13"/>
      <c r="AZ409" s="6"/>
      <c r="BA409" s="6"/>
      <c r="BB409" s="6"/>
      <c r="BC409" s="6"/>
      <c r="BD409" s="6"/>
      <c r="BE409" s="6"/>
      <c r="BF409" s="6">
        <v>1000000.0</v>
      </c>
      <c r="BG409" s="13"/>
      <c r="BH409" s="13"/>
      <c r="BI409" s="13"/>
      <c r="BJ409" s="13"/>
      <c r="BK409" s="13"/>
      <c r="BL409" s="13"/>
      <c r="BM409" s="13"/>
      <c r="BN409" s="6"/>
      <c r="BO409" s="6">
        <v>4.0</v>
      </c>
      <c r="BP409" s="13"/>
      <c r="BQ409" s="13"/>
      <c r="BR409" s="6" t="s">
        <v>196</v>
      </c>
    </row>
    <row r="410">
      <c r="A410" s="35">
        <v>108.0</v>
      </c>
      <c r="B410" s="35" t="s">
        <v>1054</v>
      </c>
      <c r="C410" s="53">
        <v>0.0</v>
      </c>
      <c r="D410" s="53"/>
      <c r="E410" s="7">
        <v>854.0</v>
      </c>
      <c r="F410" s="53"/>
      <c r="G410" s="6"/>
      <c r="H410" s="35">
        <v>0.0</v>
      </c>
      <c r="I410" s="98">
        <v>0.0</v>
      </c>
      <c r="J410" s="69" t="s">
        <v>115</v>
      </c>
      <c r="K410" s="99"/>
      <c r="L410" s="99"/>
      <c r="M410" s="39" t="str">
        <f t="shared" si="1"/>
        <v>[ Multiple Resolution segmentation - J. Liu and Y. H. Yang (1994) (1994)]</v>
      </c>
      <c r="N410" s="69" t="s">
        <v>3547</v>
      </c>
      <c r="O410" s="98">
        <v>1994.0</v>
      </c>
      <c r="P410" s="69"/>
      <c r="Q410" s="13"/>
      <c r="R410" s="13"/>
      <c r="S410" s="13"/>
      <c r="T410" s="35">
        <v>0.0</v>
      </c>
      <c r="U410" s="35">
        <v>0.0</v>
      </c>
      <c r="V410" s="89">
        <f>IFERROR(__xludf.DUMMYFUNCTION("INDEX(SPLIT(SUBSTITUTE(W410,CHAR(10), """"),"",:""), MATCH(Z410, SPLIT(SUBSTITUTE(W410,CHAR(10), """"),"",:""), 0) + 1)"),5.0)</f>
        <v>5</v>
      </c>
      <c r="W410" s="102" t="s">
        <v>1938</v>
      </c>
      <c r="X410" s="69" t="s">
        <v>115</v>
      </c>
      <c r="Y410" s="41"/>
      <c r="Z410" s="53" t="str">
        <f t="array" ref="Z410">INDEX(Problems!J:J, MATCH(1, (Problems!B:B=B410)*1, 0))</f>
        <v>n</v>
      </c>
      <c r="AA410" s="41"/>
      <c r="AB410" s="41"/>
      <c r="AC410" s="41"/>
      <c r="AD410" s="41"/>
      <c r="AE410" s="85" t="str">
        <f>IFERROR(__xludf.DUMMYFUNCTION("INDEX(SPLIT(SUBSTITUTE(AF410,CHAR(10), """"),"",:""), MATCH(Z410, SPLIT(SUBSTITUTE(AF410,CHAR(10), """"),"",:""), 0) + 1)"),"#VALUE!")</f>
        <v>#VALUE!</v>
      </c>
      <c r="AF410" s="150"/>
      <c r="AG410" s="41"/>
      <c r="AH410" s="41"/>
      <c r="AI410" s="105"/>
      <c r="AJ410" s="84" t="s">
        <v>2520</v>
      </c>
      <c r="AK410" s="105"/>
      <c r="AL410" s="98">
        <v>0.0</v>
      </c>
      <c r="AM410" s="105"/>
      <c r="AN410" s="98">
        <v>1.0</v>
      </c>
      <c r="AO410" s="110"/>
      <c r="AP410" s="98">
        <v>0.0</v>
      </c>
      <c r="AQ410" s="98">
        <v>0.0</v>
      </c>
      <c r="AR410" s="69"/>
      <c r="AS410" s="98">
        <v>0.0</v>
      </c>
      <c r="AT410" s="98">
        <v>0.0</v>
      </c>
      <c r="AU410" s="69"/>
      <c r="AV410" s="13"/>
      <c r="AW410" s="13"/>
      <c r="AX410" s="13"/>
      <c r="AY410" s="13"/>
      <c r="AZ410" s="6"/>
      <c r="BA410" s="6"/>
      <c r="BB410" s="6"/>
      <c r="BC410" s="6"/>
      <c r="BD410" s="6"/>
      <c r="BE410" s="6"/>
      <c r="BF410" s="6">
        <v>1000000.0</v>
      </c>
      <c r="BG410" s="13"/>
      <c r="BH410" s="13"/>
      <c r="BI410" s="13"/>
      <c r="BJ410" s="13"/>
      <c r="BK410" s="13"/>
      <c r="BL410" s="13"/>
      <c r="BM410" s="13"/>
      <c r="BN410" s="6"/>
      <c r="BO410" s="6">
        <v>4.0</v>
      </c>
      <c r="BP410" s="13"/>
      <c r="BQ410" s="13"/>
      <c r="BR410" s="6" t="s">
        <v>196</v>
      </c>
    </row>
    <row r="411">
      <c r="A411" s="35">
        <v>108.0</v>
      </c>
      <c r="B411" s="35" t="s">
        <v>1054</v>
      </c>
      <c r="C411" s="53">
        <v>0.0</v>
      </c>
      <c r="D411" s="53"/>
      <c r="E411" s="7">
        <v>855.0</v>
      </c>
      <c r="F411" s="53"/>
      <c r="G411" s="6"/>
      <c r="H411" s="35">
        <v>0.0</v>
      </c>
      <c r="I411" s="98">
        <v>0.0</v>
      </c>
      <c r="J411" s="69" t="s">
        <v>1788</v>
      </c>
      <c r="K411" s="99"/>
      <c r="L411" s="99"/>
      <c r="M411" s="39" t="str">
        <f t="shared" si="1"/>
        <v>[ Quasi-linear Topological watershed (2005)]</v>
      </c>
      <c r="N411" s="69" t="s">
        <v>3548</v>
      </c>
      <c r="O411" s="98">
        <v>2005.0</v>
      </c>
      <c r="P411" s="69"/>
      <c r="Q411" s="13"/>
      <c r="R411" s="13"/>
      <c r="S411" s="13"/>
      <c r="T411" s="35">
        <v>0.0</v>
      </c>
      <c r="U411" s="35">
        <v>0.0</v>
      </c>
      <c r="V411" s="89">
        <f>IFERROR(__xludf.DUMMYFUNCTION("INDEX(SPLIT(SUBSTITUTE(W411,CHAR(10), """"),"",:""), MATCH(Z411, SPLIT(SUBSTITUTE(W411,CHAR(10), """"),"",:""), 0) + 1)"),4.0)</f>
        <v>4</v>
      </c>
      <c r="W411" s="102" t="s">
        <v>1791</v>
      </c>
      <c r="X411" s="35" t="s">
        <v>1953</v>
      </c>
      <c r="Y411" s="41"/>
      <c r="Z411" s="53" t="str">
        <f t="array" ref="Z411">INDEX(Problems!J:J, MATCH(1, (Problems!B:B=B411)*1, 0))</f>
        <v>n</v>
      </c>
      <c r="AA411" s="41"/>
      <c r="AB411" s="41"/>
      <c r="AC411" s="41"/>
      <c r="AD411" s="41"/>
      <c r="AE411" s="85" t="str">
        <f>IFERROR(__xludf.DUMMYFUNCTION("INDEX(SPLIT(SUBSTITUTE(AF411,CHAR(10), """"),"",:""), MATCH(Z411, SPLIT(SUBSTITUTE(AF411,CHAR(10), """"),"",:""), 0) + 1)"),"#VALUE!")</f>
        <v>#VALUE!</v>
      </c>
      <c r="AF411" s="150"/>
      <c r="AG411" s="41"/>
      <c r="AH411" s="41"/>
      <c r="AI411" s="105"/>
      <c r="AJ411" s="84" t="s">
        <v>2520</v>
      </c>
      <c r="AK411" s="105"/>
      <c r="AL411" s="98">
        <v>0.0</v>
      </c>
      <c r="AM411" s="105"/>
      <c r="AN411" s="98">
        <v>1.0</v>
      </c>
      <c r="AO411" s="110"/>
      <c r="AP411" s="98">
        <v>0.0</v>
      </c>
      <c r="AQ411" s="98">
        <v>0.0</v>
      </c>
      <c r="AR411" s="69"/>
      <c r="AS411" s="98">
        <v>0.0</v>
      </c>
      <c r="AT411" s="98">
        <v>0.0</v>
      </c>
      <c r="AU411" s="69"/>
      <c r="AV411" s="13"/>
      <c r="AW411" s="13"/>
      <c r="AX411" s="13"/>
      <c r="AY411" s="13"/>
      <c r="AZ411" s="6"/>
      <c r="BA411" s="6"/>
      <c r="BB411" s="6"/>
      <c r="BC411" s="6"/>
      <c r="BD411" s="6"/>
      <c r="BE411" s="6"/>
      <c r="BF411" s="6">
        <v>9965.0</v>
      </c>
      <c r="BG411" s="13"/>
      <c r="BH411" s="13"/>
      <c r="BI411" s="13"/>
      <c r="BJ411" s="13"/>
      <c r="BK411" s="13"/>
      <c r="BL411" s="13"/>
      <c r="BM411" s="13"/>
      <c r="BN411" s="6"/>
      <c r="BO411" s="6">
        <v>4.0</v>
      </c>
      <c r="BP411" s="13"/>
      <c r="BQ411" s="13"/>
      <c r="BR411" s="6" t="s">
        <v>196</v>
      </c>
    </row>
    <row r="412">
      <c r="A412" s="35">
        <v>108.0</v>
      </c>
      <c r="B412" s="35" t="s">
        <v>1054</v>
      </c>
      <c r="C412" s="53">
        <v>0.0</v>
      </c>
      <c r="D412" s="53"/>
      <c r="E412" s="7">
        <v>856.0</v>
      </c>
      <c r="F412" s="53"/>
      <c r="G412" s="6"/>
      <c r="H412" s="35">
        <v>0.0</v>
      </c>
      <c r="I412" s="98">
        <v>0.0</v>
      </c>
      <c r="J412" s="69" t="s">
        <v>115</v>
      </c>
      <c r="K412" s="99"/>
      <c r="L412" s="99"/>
      <c r="M412" s="39" t="str">
        <f t="shared" si="1"/>
        <v>[ Isometric graph partitioning - Leo Grady and Eric L. Schwartz (2006) (2006)]</v>
      </c>
      <c r="N412" s="69" t="s">
        <v>3549</v>
      </c>
      <c r="O412" s="98">
        <v>2006.0</v>
      </c>
      <c r="P412" s="69"/>
      <c r="Q412" s="13"/>
      <c r="R412" s="13"/>
      <c r="S412" s="13"/>
      <c r="T412" s="35">
        <v>0.0</v>
      </c>
      <c r="U412" s="35">
        <v>0.0</v>
      </c>
      <c r="V412" s="89">
        <f>IFERROR(__xludf.DUMMYFUNCTION("INDEX(SPLIT(SUBSTITUTE(W412,CHAR(10), """"),"",:""), MATCH(Z412, SPLIT(SUBSTITUTE(W412,CHAR(10), """"),"",:""), 0) + 1)"),5.0)</f>
        <v>5</v>
      </c>
      <c r="W412" s="102" t="s">
        <v>1938</v>
      </c>
      <c r="X412" s="69" t="s">
        <v>115</v>
      </c>
      <c r="Y412" s="41"/>
      <c r="Z412" s="53" t="str">
        <f t="array" ref="Z412">INDEX(Problems!J:J, MATCH(1, (Problems!B:B=B412)*1, 0))</f>
        <v>n</v>
      </c>
      <c r="AA412" s="41"/>
      <c r="AB412" s="41"/>
      <c r="AC412" s="41"/>
      <c r="AD412" s="41"/>
      <c r="AE412" s="85" t="str">
        <f>IFERROR(__xludf.DUMMYFUNCTION("INDEX(SPLIT(SUBSTITUTE(AF412,CHAR(10), """"),"",:""), MATCH(Z412, SPLIT(SUBSTITUTE(AF412,CHAR(10), """"),"",:""), 0) + 1)"),"#VALUE!")</f>
        <v>#VALUE!</v>
      </c>
      <c r="AF412" s="150"/>
      <c r="AG412" s="41"/>
      <c r="AH412" s="41"/>
      <c r="AI412" s="105"/>
      <c r="AJ412" s="84" t="s">
        <v>2520</v>
      </c>
      <c r="AK412" s="105"/>
      <c r="AL412" s="98">
        <v>0.0</v>
      </c>
      <c r="AM412" s="105"/>
      <c r="AN412" s="98">
        <v>1.0</v>
      </c>
      <c r="AO412" s="110"/>
      <c r="AP412" s="98">
        <v>0.0</v>
      </c>
      <c r="AQ412" s="98">
        <v>0.0</v>
      </c>
      <c r="AR412" s="69"/>
      <c r="AS412" s="98">
        <v>0.0</v>
      </c>
      <c r="AT412" s="98">
        <v>0.0</v>
      </c>
      <c r="AU412" s="69"/>
      <c r="AV412" s="13"/>
      <c r="AW412" s="13"/>
      <c r="AX412" s="13"/>
      <c r="AY412" s="13"/>
      <c r="AZ412" s="6"/>
      <c r="BA412" s="6"/>
      <c r="BB412" s="6"/>
      <c r="BC412" s="6"/>
      <c r="BD412" s="6"/>
      <c r="BE412" s="6"/>
      <c r="BF412" s="6">
        <v>1000000.0</v>
      </c>
      <c r="BG412" s="13"/>
      <c r="BH412" s="13"/>
      <c r="BI412" s="13"/>
      <c r="BJ412" s="13"/>
      <c r="BK412" s="13"/>
      <c r="BL412" s="13"/>
      <c r="BM412" s="13"/>
      <c r="BN412" s="6"/>
      <c r="BO412" s="6">
        <v>4.0</v>
      </c>
      <c r="BP412" s="13"/>
      <c r="BQ412" s="13"/>
      <c r="BR412" s="6" t="s">
        <v>196</v>
      </c>
    </row>
    <row r="413">
      <c r="A413" s="35">
        <v>109.0</v>
      </c>
      <c r="B413" s="35" t="s">
        <v>1057</v>
      </c>
      <c r="C413" s="53">
        <v>0.0</v>
      </c>
      <c r="D413" s="104" t="s">
        <v>1057</v>
      </c>
      <c r="E413" s="7">
        <v>857.0</v>
      </c>
      <c r="F413" s="53"/>
      <c r="G413" s="6"/>
      <c r="H413" s="35">
        <v>0.0</v>
      </c>
      <c r="I413" s="35">
        <v>0.0</v>
      </c>
      <c r="J413" s="69"/>
      <c r="K413" s="99"/>
      <c r="L413" s="99"/>
      <c r="M413" s="39" t="str">
        <f t="shared" si="1"/>
        <v>[ Coplanar facets merging - M.J. De Haemer and M.J. Zyda 1991 (1991)]</v>
      </c>
      <c r="N413" s="69" t="s">
        <v>3550</v>
      </c>
      <c r="O413" s="98">
        <v>1991.0</v>
      </c>
      <c r="P413" s="69"/>
      <c r="Q413" s="13"/>
      <c r="R413" s="13"/>
      <c r="S413" s="13"/>
      <c r="T413" s="69"/>
      <c r="U413" s="69"/>
      <c r="V413" s="89" t="str">
        <f>IFERROR(__xludf.DUMMYFUNCTION("INDEX(SPLIT(SUBSTITUTE(W413,CHAR(10), """"),"",:""), MATCH(Z413, SPLIT(SUBSTITUTE(W413,CHAR(10), """"),"",:""), 0) + 1)"),"#VALUE!")</f>
        <v>#VALUE!</v>
      </c>
      <c r="W413" s="150"/>
      <c r="X413" s="69"/>
      <c r="Y413" s="41"/>
      <c r="Z413" s="53" t="str">
        <f t="array" ref="Z413">INDEX(Problems!J:J, MATCH(1, (Problems!B:B=B413)*1, 0))</f>
        <v>n</v>
      </c>
      <c r="AA413" s="41"/>
      <c r="AB413" s="41"/>
      <c r="AC413" s="41"/>
      <c r="AD413" s="41"/>
      <c r="AE413" s="85" t="str">
        <f>IFERROR(__xludf.DUMMYFUNCTION("INDEX(SPLIT(SUBSTITUTE(AF413,CHAR(10), """"),"",:""), MATCH(Z413, SPLIT(SUBSTITUTE(AF413,CHAR(10), """"),"",:""), 0) + 1)"),"#VALUE!")</f>
        <v>#VALUE!</v>
      </c>
      <c r="AF413" s="102"/>
      <c r="AG413" s="41"/>
      <c r="AH413" s="41"/>
      <c r="AI413" s="104"/>
      <c r="AJ413" s="84" t="s">
        <v>2520</v>
      </c>
      <c r="AK413" s="104"/>
      <c r="AL413" s="35">
        <v>0.0</v>
      </c>
      <c r="AM413" s="104"/>
      <c r="AN413" s="35">
        <v>1.0</v>
      </c>
      <c r="AO413" s="110"/>
      <c r="AP413" s="35">
        <v>0.0</v>
      </c>
      <c r="AQ413" s="35">
        <v>0.0</v>
      </c>
      <c r="AR413" s="69"/>
      <c r="AS413" s="98">
        <v>0.0</v>
      </c>
      <c r="AT413" s="98">
        <v>0.0</v>
      </c>
      <c r="AU413" s="69"/>
      <c r="AV413" s="13"/>
      <c r="AW413" s="13"/>
      <c r="AX413" s="13"/>
      <c r="AY413" s="13"/>
      <c r="AZ413" s="13"/>
      <c r="BA413" s="13"/>
      <c r="BB413" s="13"/>
      <c r="BC413" s="13"/>
      <c r="BD413" s="13"/>
      <c r="BE413" s="13"/>
      <c r="BF413" s="13"/>
      <c r="BG413" s="13"/>
      <c r="BH413" s="13"/>
      <c r="BI413" s="13"/>
      <c r="BJ413" s="13"/>
      <c r="BK413" s="13"/>
      <c r="BL413" s="13"/>
      <c r="BM413" s="13"/>
      <c r="BN413" s="6"/>
      <c r="BO413" s="6">
        <v>1.0</v>
      </c>
      <c r="BP413" s="13"/>
      <c r="BQ413" s="13"/>
      <c r="BR413" s="6" t="s">
        <v>196</v>
      </c>
    </row>
    <row r="414">
      <c r="A414" s="35">
        <v>109.0</v>
      </c>
      <c r="B414" s="35" t="s">
        <v>1057</v>
      </c>
      <c r="C414" s="53">
        <v>0.0</v>
      </c>
      <c r="D414" s="104" t="s">
        <v>1057</v>
      </c>
      <c r="E414" s="7">
        <v>858.0</v>
      </c>
      <c r="F414" s="53"/>
      <c r="G414" s="6"/>
      <c r="H414" s="35">
        <v>0.0</v>
      </c>
      <c r="I414" s="35">
        <v>0.0</v>
      </c>
      <c r="J414" s="69"/>
      <c r="K414" s="99"/>
      <c r="L414" s="99"/>
      <c r="M414" s="39" t="str">
        <f t="shared" si="1"/>
        <v>[ Coplanar facets merging - Hinker; P. and Hansen; C. 1993 (1993)]</v>
      </c>
      <c r="N414" s="69" t="s">
        <v>3551</v>
      </c>
      <c r="O414" s="98">
        <v>1993.0</v>
      </c>
      <c r="P414" s="69"/>
      <c r="Q414" s="13"/>
      <c r="R414" s="13"/>
      <c r="S414" s="13"/>
      <c r="T414" s="69"/>
      <c r="U414" s="69"/>
      <c r="V414" s="89" t="str">
        <f>IFERROR(__xludf.DUMMYFUNCTION("INDEX(SPLIT(SUBSTITUTE(W414,CHAR(10), """"),"",:""), MATCH(Z414, SPLIT(SUBSTITUTE(W414,CHAR(10), """"),"",:""), 0) + 1)"),"#VALUE!")</f>
        <v>#VALUE!</v>
      </c>
      <c r="W414" s="150"/>
      <c r="X414" s="69"/>
      <c r="Y414" s="41"/>
      <c r="Z414" s="53" t="str">
        <f t="array" ref="Z414">INDEX(Problems!J:J, MATCH(1, (Problems!B:B=B414)*1, 0))</f>
        <v>n</v>
      </c>
      <c r="AA414" s="41"/>
      <c r="AB414" s="41"/>
      <c r="AC414" s="41"/>
      <c r="AD414" s="41"/>
      <c r="AE414" s="85" t="str">
        <f>IFERROR(__xludf.DUMMYFUNCTION("INDEX(SPLIT(SUBSTITUTE(AF414,CHAR(10), """"),"",:""), MATCH(Z414, SPLIT(SUBSTITUTE(AF414,CHAR(10), """"),"",:""), 0) + 1)"),"#VALUE!")</f>
        <v>#VALUE!</v>
      </c>
      <c r="AF414" s="102"/>
      <c r="AG414" s="41"/>
      <c r="AH414" s="41"/>
      <c r="AI414" s="104"/>
      <c r="AJ414" s="84" t="s">
        <v>2520</v>
      </c>
      <c r="AK414" s="104"/>
      <c r="AL414" s="35">
        <v>0.0</v>
      </c>
      <c r="AM414" s="104"/>
      <c r="AN414" s="35">
        <v>1.0</v>
      </c>
      <c r="AO414" s="110"/>
      <c r="AP414" s="35">
        <v>0.0</v>
      </c>
      <c r="AQ414" s="35">
        <v>0.0</v>
      </c>
      <c r="AR414" s="69"/>
      <c r="AS414" s="98">
        <v>0.0</v>
      </c>
      <c r="AT414" s="98">
        <v>0.0</v>
      </c>
      <c r="AU414" s="69"/>
      <c r="AV414" s="13"/>
      <c r="AW414" s="13"/>
      <c r="AX414" s="13"/>
      <c r="AY414" s="13"/>
      <c r="AZ414" s="13"/>
      <c r="BA414" s="13"/>
      <c r="BB414" s="13"/>
      <c r="BC414" s="13"/>
      <c r="BD414" s="13"/>
      <c r="BE414" s="13"/>
      <c r="BF414" s="13"/>
      <c r="BG414" s="13"/>
      <c r="BH414" s="13"/>
      <c r="BI414" s="13"/>
      <c r="BJ414" s="13"/>
      <c r="BK414" s="13"/>
      <c r="BL414" s="13"/>
      <c r="BM414" s="13"/>
      <c r="BN414" s="6"/>
      <c r="BO414" s="6">
        <v>1.0</v>
      </c>
      <c r="BP414" s="13"/>
      <c r="BQ414" s="13"/>
      <c r="BR414" s="6" t="s">
        <v>196</v>
      </c>
    </row>
    <row r="415">
      <c r="A415" s="35">
        <v>109.0</v>
      </c>
      <c r="B415" s="35" t="s">
        <v>1057</v>
      </c>
      <c r="C415" s="53">
        <v>0.0</v>
      </c>
      <c r="D415" s="104" t="s">
        <v>1057</v>
      </c>
      <c r="E415" s="7">
        <v>859.0</v>
      </c>
      <c r="F415" s="53"/>
      <c r="G415" s="6"/>
      <c r="H415" s="35">
        <v>0.0</v>
      </c>
      <c r="I415" s="35">
        <v>0.0</v>
      </c>
      <c r="J415" s="69"/>
      <c r="K415" s="99"/>
      <c r="L415" s="99"/>
      <c r="M415" s="39" t="str">
        <f t="shared" si="1"/>
        <v>[ Coplanar facets merging - Kalvin; A. D.; Cutting; C. B.; Haddad; B. and Noz; M. E. 1991 (1991)]</v>
      </c>
      <c r="N415" s="69" t="s">
        <v>3552</v>
      </c>
      <c r="O415" s="98">
        <v>1991.0</v>
      </c>
      <c r="P415" s="69"/>
      <c r="Q415" s="13"/>
      <c r="R415" s="13"/>
      <c r="S415" s="13"/>
      <c r="T415" s="69"/>
      <c r="U415" s="69"/>
      <c r="V415" s="89" t="str">
        <f>IFERROR(__xludf.DUMMYFUNCTION("INDEX(SPLIT(SUBSTITUTE(W415,CHAR(10), """"),"",:""), MATCH(Z415, SPLIT(SUBSTITUTE(W415,CHAR(10), """"),"",:""), 0) + 1)"),"#VALUE!")</f>
        <v>#VALUE!</v>
      </c>
      <c r="W415" s="150"/>
      <c r="X415" s="69"/>
      <c r="Y415" s="41"/>
      <c r="Z415" s="53" t="str">
        <f t="array" ref="Z415">INDEX(Problems!J:J, MATCH(1, (Problems!B:B=B415)*1, 0))</f>
        <v>n</v>
      </c>
      <c r="AA415" s="41"/>
      <c r="AB415" s="41"/>
      <c r="AC415" s="41"/>
      <c r="AD415" s="41"/>
      <c r="AE415" s="85" t="str">
        <f>IFERROR(__xludf.DUMMYFUNCTION("INDEX(SPLIT(SUBSTITUTE(AF415,CHAR(10), """"),"",:""), MATCH(Z415, SPLIT(SUBSTITUTE(AF415,CHAR(10), """"),"",:""), 0) + 1)"),"#VALUE!")</f>
        <v>#VALUE!</v>
      </c>
      <c r="AF415" s="102"/>
      <c r="AG415" s="41"/>
      <c r="AH415" s="41"/>
      <c r="AI415" s="104"/>
      <c r="AJ415" s="84" t="s">
        <v>2520</v>
      </c>
      <c r="AK415" s="104"/>
      <c r="AL415" s="35">
        <v>0.0</v>
      </c>
      <c r="AM415" s="104"/>
      <c r="AN415" s="35">
        <v>1.0</v>
      </c>
      <c r="AO415" s="110"/>
      <c r="AP415" s="35">
        <v>0.0</v>
      </c>
      <c r="AQ415" s="35">
        <v>0.0</v>
      </c>
      <c r="AR415" s="69"/>
      <c r="AS415" s="98">
        <v>0.0</v>
      </c>
      <c r="AT415" s="98">
        <v>0.0</v>
      </c>
      <c r="AU415" s="69"/>
      <c r="AV415" s="13"/>
      <c r="AW415" s="13"/>
      <c r="AX415" s="13"/>
      <c r="AY415" s="13"/>
      <c r="AZ415" s="13"/>
      <c r="BA415" s="13"/>
      <c r="BB415" s="13"/>
      <c r="BC415" s="13"/>
      <c r="BD415" s="13"/>
      <c r="BE415" s="13"/>
      <c r="BF415" s="13"/>
      <c r="BG415" s="13"/>
      <c r="BH415" s="13"/>
      <c r="BI415" s="13"/>
      <c r="BJ415" s="13"/>
      <c r="BK415" s="13"/>
      <c r="BL415" s="13"/>
      <c r="BM415" s="13"/>
      <c r="BN415" s="6"/>
      <c r="BO415" s="6">
        <v>1.0</v>
      </c>
      <c r="BP415" s="13"/>
      <c r="BQ415" s="13"/>
      <c r="BR415" s="6" t="s">
        <v>196</v>
      </c>
    </row>
    <row r="416">
      <c r="A416" s="35">
        <v>109.0</v>
      </c>
      <c r="B416" s="35" t="s">
        <v>1057</v>
      </c>
      <c r="C416" s="53">
        <v>0.0</v>
      </c>
      <c r="D416" s="104" t="s">
        <v>1057</v>
      </c>
      <c r="E416" s="7">
        <v>860.0</v>
      </c>
      <c r="F416" s="53"/>
      <c r="G416" s="6"/>
      <c r="H416" s="35">
        <v>0.0</v>
      </c>
      <c r="I416" s="35">
        <v>0.0</v>
      </c>
      <c r="J416" s="69"/>
      <c r="K416" s="99"/>
      <c r="L416" s="99"/>
      <c r="M416" s="39" t="str">
        <f t="shared" si="1"/>
        <v>[ Coplanar facets merging - A.D. Kalvin and R.H. Taylor 1996 (1996)]</v>
      </c>
      <c r="N416" s="69" t="s">
        <v>3553</v>
      </c>
      <c r="O416" s="98">
        <v>1996.0</v>
      </c>
      <c r="P416" s="69"/>
      <c r="Q416" s="13"/>
      <c r="R416" s="13"/>
      <c r="S416" s="13"/>
      <c r="T416" s="69"/>
      <c r="U416" s="69"/>
      <c r="V416" s="89" t="str">
        <f>IFERROR(__xludf.DUMMYFUNCTION("INDEX(SPLIT(SUBSTITUTE(W416,CHAR(10), """"),"",:""), MATCH(Z416, SPLIT(SUBSTITUTE(W416,CHAR(10), """"),"",:""), 0) + 1)"),"#VALUE!")</f>
        <v>#VALUE!</v>
      </c>
      <c r="W416" s="150"/>
      <c r="X416" s="69"/>
      <c r="Y416" s="41"/>
      <c r="Z416" s="53" t="str">
        <f t="array" ref="Z416">INDEX(Problems!J:J, MATCH(1, (Problems!B:B=B416)*1, 0))</f>
        <v>n</v>
      </c>
      <c r="AA416" s="41"/>
      <c r="AB416" s="41"/>
      <c r="AC416" s="41"/>
      <c r="AD416" s="41"/>
      <c r="AE416" s="85" t="str">
        <f>IFERROR(__xludf.DUMMYFUNCTION("INDEX(SPLIT(SUBSTITUTE(AF416,CHAR(10), """"),"",:""), MATCH(Z416, SPLIT(SUBSTITUTE(AF416,CHAR(10), """"),"",:""), 0) + 1)"),"#VALUE!")</f>
        <v>#VALUE!</v>
      </c>
      <c r="AF416" s="102"/>
      <c r="AG416" s="41"/>
      <c r="AH416" s="41"/>
      <c r="AI416" s="104"/>
      <c r="AJ416" s="84" t="s">
        <v>2520</v>
      </c>
      <c r="AK416" s="104"/>
      <c r="AL416" s="35">
        <v>0.0</v>
      </c>
      <c r="AM416" s="104"/>
      <c r="AN416" s="35">
        <v>1.0</v>
      </c>
      <c r="AO416" s="110"/>
      <c r="AP416" s="35">
        <v>0.0</v>
      </c>
      <c r="AQ416" s="35">
        <v>0.0</v>
      </c>
      <c r="AR416" s="69"/>
      <c r="AS416" s="98">
        <v>0.0</v>
      </c>
      <c r="AT416" s="98">
        <v>0.0</v>
      </c>
      <c r="AU416" s="69"/>
      <c r="AV416" s="13"/>
      <c r="AW416" s="13"/>
      <c r="AX416" s="13"/>
      <c r="AY416" s="13"/>
      <c r="AZ416" s="13"/>
      <c r="BA416" s="13"/>
      <c r="BB416" s="13"/>
      <c r="BC416" s="13"/>
      <c r="BD416" s="13"/>
      <c r="BE416" s="13"/>
      <c r="BF416" s="13"/>
      <c r="BG416" s="13"/>
      <c r="BH416" s="13"/>
      <c r="BI416" s="13"/>
      <c r="BJ416" s="13"/>
      <c r="BK416" s="13"/>
      <c r="BL416" s="13"/>
      <c r="BM416" s="13"/>
      <c r="BN416" s="6"/>
      <c r="BO416" s="6">
        <v>1.0</v>
      </c>
      <c r="BP416" s="13"/>
      <c r="BQ416" s="13"/>
      <c r="BR416" s="6" t="s">
        <v>196</v>
      </c>
    </row>
    <row r="417">
      <c r="A417" s="35">
        <v>109.0</v>
      </c>
      <c r="B417" s="35" t="s">
        <v>1057</v>
      </c>
      <c r="C417" s="53">
        <v>0.0</v>
      </c>
      <c r="D417" s="104" t="s">
        <v>1057</v>
      </c>
      <c r="E417" s="7">
        <v>861.0</v>
      </c>
      <c r="F417" s="53"/>
      <c r="G417" s="6"/>
      <c r="H417" s="35">
        <v>0.0</v>
      </c>
      <c r="I417" s="35">
        <v>0.0</v>
      </c>
      <c r="J417" s="69"/>
      <c r="K417" s="99"/>
      <c r="L417" s="99"/>
      <c r="M417" s="39" t="str">
        <f t="shared" si="1"/>
        <v>[ Controlled vertex/edge/face decimation - M.E. Algorri and F. Schmitt 1996 (1996)]</v>
      </c>
      <c r="N417" s="69" t="s">
        <v>3554</v>
      </c>
      <c r="O417" s="98">
        <v>1996.0</v>
      </c>
      <c r="P417" s="69"/>
      <c r="Q417" s="13"/>
      <c r="R417" s="13"/>
      <c r="S417" s="13"/>
      <c r="T417" s="69"/>
      <c r="U417" s="69"/>
      <c r="V417" s="89" t="str">
        <f>IFERROR(__xludf.DUMMYFUNCTION("INDEX(SPLIT(SUBSTITUTE(W417,CHAR(10), """"),"",:""), MATCH(Z417, SPLIT(SUBSTITUTE(W417,CHAR(10), """"),"",:""), 0) + 1)"),"#VALUE!")</f>
        <v>#VALUE!</v>
      </c>
      <c r="W417" s="150"/>
      <c r="X417" s="69"/>
      <c r="Y417" s="41"/>
      <c r="Z417" s="53" t="str">
        <f t="array" ref="Z417">INDEX(Problems!J:J, MATCH(1, (Problems!B:B=B417)*1, 0))</f>
        <v>n</v>
      </c>
      <c r="AA417" s="41"/>
      <c r="AB417" s="41"/>
      <c r="AC417" s="41"/>
      <c r="AD417" s="41"/>
      <c r="AE417" s="85" t="str">
        <f>IFERROR(__xludf.DUMMYFUNCTION("INDEX(SPLIT(SUBSTITUTE(AF417,CHAR(10), """"),"",:""), MATCH(Z417, SPLIT(SUBSTITUTE(AF417,CHAR(10), """"),"",:""), 0) + 1)"),"#VALUE!")</f>
        <v>#VALUE!</v>
      </c>
      <c r="AF417" s="102"/>
      <c r="AG417" s="41"/>
      <c r="AH417" s="41"/>
      <c r="AI417" s="104"/>
      <c r="AJ417" s="84" t="s">
        <v>2520</v>
      </c>
      <c r="AK417" s="104"/>
      <c r="AL417" s="35">
        <v>0.0</v>
      </c>
      <c r="AM417" s="104"/>
      <c r="AN417" s="35">
        <v>1.0</v>
      </c>
      <c r="AO417" s="110"/>
      <c r="AP417" s="35">
        <v>0.0</v>
      </c>
      <c r="AQ417" s="35">
        <v>0.0</v>
      </c>
      <c r="AR417" s="69"/>
      <c r="AS417" s="98">
        <v>0.0</v>
      </c>
      <c r="AT417" s="98">
        <v>0.0</v>
      </c>
      <c r="AU417" s="69"/>
      <c r="AV417" s="13"/>
      <c r="AW417" s="13"/>
      <c r="AX417" s="13"/>
      <c r="AY417" s="13"/>
      <c r="AZ417" s="13"/>
      <c r="BA417" s="13"/>
      <c r="BB417" s="13"/>
      <c r="BC417" s="13"/>
      <c r="BD417" s="13"/>
      <c r="BE417" s="13"/>
      <c r="BF417" s="13"/>
      <c r="BG417" s="13"/>
      <c r="BH417" s="13"/>
      <c r="BI417" s="13"/>
      <c r="BJ417" s="13"/>
      <c r="BK417" s="13"/>
      <c r="BL417" s="13"/>
      <c r="BM417" s="13"/>
      <c r="BN417" s="6"/>
      <c r="BO417" s="6">
        <v>1.0</v>
      </c>
      <c r="BP417" s="13"/>
      <c r="BQ417" s="13"/>
      <c r="BR417" s="6" t="s">
        <v>196</v>
      </c>
    </row>
    <row r="418">
      <c r="A418" s="35">
        <v>109.0</v>
      </c>
      <c r="B418" s="35" t="s">
        <v>1057</v>
      </c>
      <c r="C418" s="53">
        <v>0.0</v>
      </c>
      <c r="D418" s="104" t="s">
        <v>1057</v>
      </c>
      <c r="E418" s="7">
        <v>862.0</v>
      </c>
      <c r="F418" s="53"/>
      <c r="G418" s="6"/>
      <c r="H418" s="35">
        <v>0.0</v>
      </c>
      <c r="I418" s="35">
        <v>0.0</v>
      </c>
      <c r="J418" s="69"/>
      <c r="K418" s="99"/>
      <c r="L418" s="99"/>
      <c r="M418" s="39" t="str">
        <f t="shared" si="1"/>
        <v>[ Controlled vertex/edge/face decimation - Guéziec 1996 (1996)]</v>
      </c>
      <c r="N418" s="69" t="s">
        <v>3555</v>
      </c>
      <c r="O418" s="98">
        <v>1996.0</v>
      </c>
      <c r="P418" s="69"/>
      <c r="Q418" s="13"/>
      <c r="R418" s="13"/>
      <c r="S418" s="13"/>
      <c r="T418" s="69"/>
      <c r="U418" s="69"/>
      <c r="V418" s="89" t="str">
        <f>IFERROR(__xludf.DUMMYFUNCTION("INDEX(SPLIT(SUBSTITUTE(W418,CHAR(10), """"),"",:""), MATCH(Z418, SPLIT(SUBSTITUTE(W418,CHAR(10), """"),"",:""), 0) + 1)"),"#VALUE!")</f>
        <v>#VALUE!</v>
      </c>
      <c r="W418" s="150"/>
      <c r="X418" s="69"/>
      <c r="Y418" s="41"/>
      <c r="Z418" s="53" t="str">
        <f t="array" ref="Z418">INDEX(Problems!J:J, MATCH(1, (Problems!B:B=B418)*1, 0))</f>
        <v>n</v>
      </c>
      <c r="AA418" s="41"/>
      <c r="AB418" s="41"/>
      <c r="AC418" s="41"/>
      <c r="AD418" s="41"/>
      <c r="AE418" s="85" t="str">
        <f>IFERROR(__xludf.DUMMYFUNCTION("INDEX(SPLIT(SUBSTITUTE(AF418,CHAR(10), """"),"",:""), MATCH(Z418, SPLIT(SUBSTITUTE(AF418,CHAR(10), """"),"",:""), 0) + 1)"),"#VALUE!")</f>
        <v>#VALUE!</v>
      </c>
      <c r="AF418" s="102"/>
      <c r="AG418" s="41"/>
      <c r="AH418" s="41"/>
      <c r="AI418" s="104"/>
      <c r="AJ418" s="84" t="s">
        <v>2520</v>
      </c>
      <c r="AK418" s="104"/>
      <c r="AL418" s="35">
        <v>0.0</v>
      </c>
      <c r="AM418" s="104"/>
      <c r="AN418" s="35">
        <v>1.0</v>
      </c>
      <c r="AO418" s="110"/>
      <c r="AP418" s="35">
        <v>0.0</v>
      </c>
      <c r="AQ418" s="35">
        <v>0.0</v>
      </c>
      <c r="AR418" s="69"/>
      <c r="AS418" s="98">
        <v>0.0</v>
      </c>
      <c r="AT418" s="98">
        <v>0.0</v>
      </c>
      <c r="AU418" s="69"/>
      <c r="AV418" s="13"/>
      <c r="AW418" s="13"/>
      <c r="AX418" s="13"/>
      <c r="AY418" s="13"/>
      <c r="AZ418" s="13"/>
      <c r="BA418" s="13"/>
      <c r="BB418" s="13"/>
      <c r="BC418" s="13"/>
      <c r="BD418" s="13"/>
      <c r="BE418" s="13"/>
      <c r="BF418" s="13"/>
      <c r="BG418" s="13"/>
      <c r="BH418" s="13"/>
      <c r="BI418" s="13"/>
      <c r="BJ418" s="13"/>
      <c r="BK418" s="13"/>
      <c r="BL418" s="13"/>
      <c r="BM418" s="13"/>
      <c r="BN418" s="6"/>
      <c r="BO418" s="6">
        <v>1.0</v>
      </c>
      <c r="BP418" s="13"/>
      <c r="BQ418" s="13"/>
      <c r="BR418" s="6" t="s">
        <v>196</v>
      </c>
    </row>
    <row r="419">
      <c r="A419" s="35">
        <v>109.0</v>
      </c>
      <c r="B419" s="35" t="s">
        <v>1057</v>
      </c>
      <c r="C419" s="53">
        <v>0.0</v>
      </c>
      <c r="D419" s="104" t="s">
        <v>1057</v>
      </c>
      <c r="E419" s="7">
        <v>863.0</v>
      </c>
      <c r="F419" s="53"/>
      <c r="G419" s="6"/>
      <c r="H419" s="35">
        <v>0.0</v>
      </c>
      <c r="I419" s="35">
        <v>0.0</v>
      </c>
      <c r="J419" s="69"/>
      <c r="K419" s="99"/>
      <c r="L419" s="99"/>
      <c r="M419" s="39" t="str">
        <f t="shared" si="1"/>
        <v>[ Controlled vertex/edge/face decimation - R. Ronfard and J. Rossignac 1996 (1996)]</v>
      </c>
      <c r="N419" s="69" t="s">
        <v>3556</v>
      </c>
      <c r="O419" s="98">
        <v>1996.0</v>
      </c>
      <c r="P419" s="69"/>
      <c r="Q419" s="13"/>
      <c r="R419" s="13"/>
      <c r="S419" s="13"/>
      <c r="T419" s="69"/>
      <c r="U419" s="69"/>
      <c r="V419" s="89" t="str">
        <f>IFERROR(__xludf.DUMMYFUNCTION("INDEX(SPLIT(SUBSTITUTE(W419,CHAR(10), """"),"",:""), MATCH(Z419, SPLIT(SUBSTITUTE(W419,CHAR(10), """"),"",:""), 0) + 1)"),"#VALUE!")</f>
        <v>#VALUE!</v>
      </c>
      <c r="W419" s="150"/>
      <c r="X419" s="69"/>
      <c r="Y419" s="41"/>
      <c r="Z419" s="53" t="str">
        <f t="array" ref="Z419">INDEX(Problems!J:J, MATCH(1, (Problems!B:B=B419)*1, 0))</f>
        <v>n</v>
      </c>
      <c r="AA419" s="41"/>
      <c r="AB419" s="41"/>
      <c r="AC419" s="41"/>
      <c r="AD419" s="41"/>
      <c r="AE419" s="85" t="str">
        <f>IFERROR(__xludf.DUMMYFUNCTION("INDEX(SPLIT(SUBSTITUTE(AF419,CHAR(10), """"),"",:""), MATCH(Z419, SPLIT(SUBSTITUTE(AF419,CHAR(10), """"),"",:""), 0) + 1)"),"#VALUE!")</f>
        <v>#VALUE!</v>
      </c>
      <c r="AF419" s="102"/>
      <c r="AG419" s="41"/>
      <c r="AH419" s="41"/>
      <c r="AI419" s="104"/>
      <c r="AJ419" s="84" t="s">
        <v>2520</v>
      </c>
      <c r="AK419" s="104"/>
      <c r="AL419" s="35">
        <v>0.0</v>
      </c>
      <c r="AM419" s="104"/>
      <c r="AN419" s="35">
        <v>1.0</v>
      </c>
      <c r="AO419" s="110"/>
      <c r="AP419" s="35">
        <v>0.0</v>
      </c>
      <c r="AQ419" s="35">
        <v>0.0</v>
      </c>
      <c r="AR419" s="69"/>
      <c r="AS419" s="98">
        <v>0.0</v>
      </c>
      <c r="AT419" s="98">
        <v>0.0</v>
      </c>
      <c r="AU419" s="69"/>
      <c r="AV419" s="13"/>
      <c r="AW419" s="13"/>
      <c r="AX419" s="13"/>
      <c r="AY419" s="13"/>
      <c r="AZ419" s="13"/>
      <c r="BA419" s="13"/>
      <c r="BB419" s="13"/>
      <c r="BC419" s="13"/>
      <c r="BD419" s="13"/>
      <c r="BE419" s="13"/>
      <c r="BF419" s="13"/>
      <c r="BG419" s="13"/>
      <c r="BH419" s="13"/>
      <c r="BI419" s="13"/>
      <c r="BJ419" s="13"/>
      <c r="BK419" s="13"/>
      <c r="BL419" s="13"/>
      <c r="BM419" s="13"/>
      <c r="BN419" s="6"/>
      <c r="BO419" s="6">
        <v>1.0</v>
      </c>
      <c r="BP419" s="13"/>
      <c r="BQ419" s="13"/>
      <c r="BR419" s="6" t="s">
        <v>196</v>
      </c>
    </row>
    <row r="420">
      <c r="A420" s="35">
        <v>109.0</v>
      </c>
      <c r="B420" s="35" t="s">
        <v>1057</v>
      </c>
      <c r="C420" s="53">
        <v>0.0</v>
      </c>
      <c r="D420" s="104" t="s">
        <v>1057</v>
      </c>
      <c r="E420" s="7">
        <v>864.0</v>
      </c>
      <c r="F420" s="53"/>
      <c r="G420" s="6"/>
      <c r="H420" s="35">
        <v>0.0</v>
      </c>
      <c r="I420" s="35">
        <v>0.0</v>
      </c>
      <c r="J420" s="69"/>
      <c r="K420" s="99"/>
      <c r="L420" s="99"/>
      <c r="M420" s="39" t="str">
        <f t="shared" si="1"/>
        <v>[ Controlled vertex/edge/face decimation - Hamann 1994 (1994)]</v>
      </c>
      <c r="N420" s="69" t="s">
        <v>3557</v>
      </c>
      <c r="O420" s="98">
        <v>1994.0</v>
      </c>
      <c r="P420" s="69"/>
      <c r="Q420" s="13"/>
      <c r="R420" s="13"/>
      <c r="S420" s="13"/>
      <c r="T420" s="69"/>
      <c r="U420" s="69"/>
      <c r="V420" s="89" t="str">
        <f>IFERROR(__xludf.DUMMYFUNCTION("INDEX(SPLIT(SUBSTITUTE(W420,CHAR(10), """"),"",:""), MATCH(Z420, SPLIT(SUBSTITUTE(W420,CHAR(10), """"),"",:""), 0) + 1)"),"#VALUE!")</f>
        <v>#VALUE!</v>
      </c>
      <c r="W420" s="150"/>
      <c r="X420" s="69"/>
      <c r="Y420" s="41"/>
      <c r="Z420" s="53" t="str">
        <f t="array" ref="Z420">INDEX(Problems!J:J, MATCH(1, (Problems!B:B=B420)*1, 0))</f>
        <v>n</v>
      </c>
      <c r="AA420" s="41"/>
      <c r="AB420" s="41"/>
      <c r="AC420" s="41"/>
      <c r="AD420" s="41"/>
      <c r="AE420" s="85" t="str">
        <f>IFERROR(__xludf.DUMMYFUNCTION("INDEX(SPLIT(SUBSTITUTE(AF420,CHAR(10), """"),"",:""), MATCH(Z420, SPLIT(SUBSTITUTE(AF420,CHAR(10), """"),"",:""), 0) + 1)"),"#VALUE!")</f>
        <v>#VALUE!</v>
      </c>
      <c r="AF420" s="102"/>
      <c r="AG420" s="41"/>
      <c r="AH420" s="41"/>
      <c r="AI420" s="104"/>
      <c r="AJ420" s="84" t="s">
        <v>2520</v>
      </c>
      <c r="AK420" s="104"/>
      <c r="AL420" s="35">
        <v>0.0</v>
      </c>
      <c r="AM420" s="104"/>
      <c r="AN420" s="35">
        <v>1.0</v>
      </c>
      <c r="AO420" s="110"/>
      <c r="AP420" s="35">
        <v>0.0</v>
      </c>
      <c r="AQ420" s="35">
        <v>0.0</v>
      </c>
      <c r="AR420" s="69"/>
      <c r="AS420" s="98">
        <v>0.0</v>
      </c>
      <c r="AT420" s="98">
        <v>0.0</v>
      </c>
      <c r="AU420" s="69"/>
      <c r="AV420" s="13"/>
      <c r="AW420" s="13"/>
      <c r="AX420" s="13"/>
      <c r="AY420" s="13"/>
      <c r="AZ420" s="13"/>
      <c r="BA420" s="13"/>
      <c r="BB420" s="13"/>
      <c r="BC420" s="13"/>
      <c r="BD420" s="13"/>
      <c r="BE420" s="13"/>
      <c r="BF420" s="13"/>
      <c r="BG420" s="13"/>
      <c r="BH420" s="13"/>
      <c r="BI420" s="13"/>
      <c r="BJ420" s="13"/>
      <c r="BK420" s="13"/>
      <c r="BL420" s="13"/>
      <c r="BM420" s="13"/>
      <c r="BN420" s="6"/>
      <c r="BO420" s="6">
        <v>1.0</v>
      </c>
      <c r="BP420" s="13"/>
      <c r="BQ420" s="13"/>
      <c r="BR420" s="6" t="s">
        <v>196</v>
      </c>
    </row>
    <row r="421">
      <c r="A421" s="35">
        <v>109.0</v>
      </c>
      <c r="B421" s="35" t="s">
        <v>1057</v>
      </c>
      <c r="C421" s="53">
        <v>0.0</v>
      </c>
      <c r="D421" s="104" t="s">
        <v>1057</v>
      </c>
      <c r="E421" s="7">
        <v>865.0</v>
      </c>
      <c r="F421" s="53"/>
      <c r="G421" s="6"/>
      <c r="H421" s="35">
        <v>0.0</v>
      </c>
      <c r="I421" s="35">
        <v>0.0</v>
      </c>
      <c r="J421" s="69"/>
      <c r="K421" s="99"/>
      <c r="L421" s="99"/>
      <c r="M421" s="39" t="str">
        <f t="shared" si="1"/>
        <v>[ Controlled vertex/edge/face decimation - Cohen; J.; Varshney; A 1996 (1996)]</v>
      </c>
      <c r="N421" s="69" t="s">
        <v>3558</v>
      </c>
      <c r="O421" s="98">
        <v>1996.0</v>
      </c>
      <c r="P421" s="69"/>
      <c r="Q421" s="13"/>
      <c r="R421" s="13"/>
      <c r="S421" s="13"/>
      <c r="T421" s="69"/>
      <c r="U421" s="69"/>
      <c r="V421" s="89" t="str">
        <f>IFERROR(__xludf.DUMMYFUNCTION("INDEX(SPLIT(SUBSTITUTE(W421,CHAR(10), """"),"",:""), MATCH(Z421, SPLIT(SUBSTITUTE(W421,CHAR(10), """"),"",:""), 0) + 1)"),"#VALUE!")</f>
        <v>#VALUE!</v>
      </c>
      <c r="W421" s="150"/>
      <c r="X421" s="69"/>
      <c r="Y421" s="41"/>
      <c r="Z421" s="53" t="str">
        <f t="array" ref="Z421">INDEX(Problems!J:J, MATCH(1, (Problems!B:B=B421)*1, 0))</f>
        <v>n</v>
      </c>
      <c r="AA421" s="41"/>
      <c r="AB421" s="41"/>
      <c r="AC421" s="41"/>
      <c r="AD421" s="41"/>
      <c r="AE421" s="85" t="str">
        <f>IFERROR(__xludf.DUMMYFUNCTION("INDEX(SPLIT(SUBSTITUTE(AF421,CHAR(10), """"),"",:""), MATCH(Z421, SPLIT(SUBSTITUTE(AF421,CHAR(10), """"),"",:""), 0) + 1)"),"#VALUE!")</f>
        <v>#VALUE!</v>
      </c>
      <c r="AF421" s="102"/>
      <c r="AG421" s="41"/>
      <c r="AH421" s="41"/>
      <c r="AI421" s="104"/>
      <c r="AJ421" s="84" t="s">
        <v>2520</v>
      </c>
      <c r="AK421" s="104"/>
      <c r="AL421" s="35">
        <v>0.0</v>
      </c>
      <c r="AM421" s="104"/>
      <c r="AN421" s="35">
        <v>1.0</v>
      </c>
      <c r="AO421" s="110"/>
      <c r="AP421" s="35">
        <v>0.0</v>
      </c>
      <c r="AQ421" s="35">
        <v>0.0</v>
      </c>
      <c r="AR421" s="69"/>
      <c r="AS421" s="98">
        <v>0.0</v>
      </c>
      <c r="AT421" s="98">
        <v>0.0</v>
      </c>
      <c r="AU421" s="69"/>
      <c r="AV421" s="13"/>
      <c r="AW421" s="13"/>
      <c r="AX421" s="13"/>
      <c r="AY421" s="13"/>
      <c r="AZ421" s="13"/>
      <c r="BA421" s="13"/>
      <c r="BB421" s="13"/>
      <c r="BC421" s="13"/>
      <c r="BD421" s="13"/>
      <c r="BE421" s="13"/>
      <c r="BF421" s="13"/>
      <c r="BG421" s="13"/>
      <c r="BH421" s="13"/>
      <c r="BI421" s="13"/>
      <c r="BJ421" s="13"/>
      <c r="BK421" s="13"/>
      <c r="BL421" s="13"/>
      <c r="BM421" s="13"/>
      <c r="BN421" s="6"/>
      <c r="BO421" s="6">
        <v>1.0</v>
      </c>
      <c r="BP421" s="13"/>
      <c r="BQ421" s="13"/>
      <c r="BR421" s="6" t="s">
        <v>196</v>
      </c>
    </row>
    <row r="422">
      <c r="A422" s="35">
        <v>109.0</v>
      </c>
      <c r="B422" s="35" t="s">
        <v>1057</v>
      </c>
      <c r="C422" s="53">
        <v>0.0</v>
      </c>
      <c r="D422" s="104" t="s">
        <v>1057</v>
      </c>
      <c r="E422" s="7">
        <v>866.0</v>
      </c>
      <c r="F422" s="53"/>
      <c r="G422" s="6"/>
      <c r="H422" s="35">
        <v>0.0</v>
      </c>
      <c r="I422" s="35">
        <v>0.0</v>
      </c>
      <c r="J422" s="69"/>
      <c r="K422" s="99"/>
      <c r="L422" s="99"/>
      <c r="M422" s="39" t="str">
        <f t="shared" si="1"/>
        <v>[ Re-tiling - Turk; G 1992 (1992)]</v>
      </c>
      <c r="N422" s="69" t="s">
        <v>3559</v>
      </c>
      <c r="O422" s="98">
        <v>1992.0</v>
      </c>
      <c r="P422" s="69"/>
      <c r="Q422" s="13"/>
      <c r="R422" s="13"/>
      <c r="S422" s="13"/>
      <c r="T422" s="69"/>
      <c r="U422" s="69"/>
      <c r="V422" s="89" t="str">
        <f>IFERROR(__xludf.DUMMYFUNCTION("INDEX(SPLIT(SUBSTITUTE(W422,CHAR(10), """"),"",:""), MATCH(Z422, SPLIT(SUBSTITUTE(W422,CHAR(10), """"),"",:""), 0) + 1)"),"#VALUE!")</f>
        <v>#VALUE!</v>
      </c>
      <c r="W422" s="150"/>
      <c r="X422" s="69"/>
      <c r="Y422" s="41"/>
      <c r="Z422" s="53" t="str">
        <f t="array" ref="Z422">INDEX(Problems!J:J, MATCH(1, (Problems!B:B=B422)*1, 0))</f>
        <v>n</v>
      </c>
      <c r="AA422" s="41"/>
      <c r="AB422" s="41"/>
      <c r="AC422" s="41"/>
      <c r="AD422" s="41"/>
      <c r="AE422" s="85" t="str">
        <f>IFERROR(__xludf.DUMMYFUNCTION("INDEX(SPLIT(SUBSTITUTE(AF422,CHAR(10), """"),"",:""), MATCH(Z422, SPLIT(SUBSTITUTE(AF422,CHAR(10), """"),"",:""), 0) + 1)"),"#VALUE!")</f>
        <v>#VALUE!</v>
      </c>
      <c r="AF422" s="102"/>
      <c r="AG422" s="41"/>
      <c r="AH422" s="41"/>
      <c r="AI422" s="104"/>
      <c r="AJ422" s="84" t="s">
        <v>2520</v>
      </c>
      <c r="AK422" s="104"/>
      <c r="AL422" s="35">
        <v>0.0</v>
      </c>
      <c r="AM422" s="104"/>
      <c r="AN422" s="35">
        <v>1.0</v>
      </c>
      <c r="AO422" s="110"/>
      <c r="AP422" s="35">
        <v>0.0</v>
      </c>
      <c r="AQ422" s="35">
        <v>0.0</v>
      </c>
      <c r="AR422" s="69"/>
      <c r="AS422" s="98">
        <v>0.0</v>
      </c>
      <c r="AT422" s="98">
        <v>0.0</v>
      </c>
      <c r="AU422" s="69"/>
      <c r="AV422" s="13"/>
      <c r="AW422" s="13"/>
      <c r="AX422" s="13"/>
      <c r="AY422" s="13"/>
      <c r="AZ422" s="13"/>
      <c r="BA422" s="13"/>
      <c r="BB422" s="13"/>
      <c r="BC422" s="13"/>
      <c r="BD422" s="13"/>
      <c r="BE422" s="13"/>
      <c r="BF422" s="13"/>
      <c r="BG422" s="13"/>
      <c r="BH422" s="13"/>
      <c r="BI422" s="13"/>
      <c r="BJ422" s="13"/>
      <c r="BK422" s="13"/>
      <c r="BL422" s="13"/>
      <c r="BM422" s="13"/>
      <c r="BN422" s="6"/>
      <c r="BO422" s="6">
        <v>1.0</v>
      </c>
      <c r="BP422" s="13"/>
      <c r="BQ422" s="13"/>
      <c r="BR422" s="6" t="s">
        <v>196</v>
      </c>
    </row>
    <row r="423">
      <c r="A423" s="35">
        <v>109.0</v>
      </c>
      <c r="B423" s="35" t="s">
        <v>1057</v>
      </c>
      <c r="C423" s="53">
        <v>0.0</v>
      </c>
      <c r="D423" s="104" t="s">
        <v>1057</v>
      </c>
      <c r="E423" s="7">
        <v>867.0</v>
      </c>
      <c r="F423" s="53"/>
      <c r="G423" s="6"/>
      <c r="H423" s="35">
        <v>0.0</v>
      </c>
      <c r="I423" s="35">
        <v>0.0</v>
      </c>
      <c r="J423" s="69"/>
      <c r="K423" s="99"/>
      <c r="L423" s="99"/>
      <c r="M423" s="39" t="str">
        <f t="shared" si="1"/>
        <v>[ Vertex clustering - Rossignac; J. and Borrel; P. 1993 (1993)]</v>
      </c>
      <c r="N423" s="69" t="s">
        <v>3560</v>
      </c>
      <c r="O423" s="98">
        <v>1993.0</v>
      </c>
      <c r="P423" s="69"/>
      <c r="Q423" s="13"/>
      <c r="R423" s="13"/>
      <c r="S423" s="13"/>
      <c r="T423" s="69"/>
      <c r="U423" s="69"/>
      <c r="V423" s="89" t="str">
        <f>IFERROR(__xludf.DUMMYFUNCTION("INDEX(SPLIT(SUBSTITUTE(W423,CHAR(10), """"),"",:""), MATCH(Z423, SPLIT(SUBSTITUTE(W423,CHAR(10), """"),"",:""), 0) + 1)"),"#VALUE!")</f>
        <v>#VALUE!</v>
      </c>
      <c r="W423" s="150"/>
      <c r="X423" s="69"/>
      <c r="Y423" s="41"/>
      <c r="Z423" s="53" t="str">
        <f t="array" ref="Z423">INDEX(Problems!J:J, MATCH(1, (Problems!B:B=B423)*1, 0))</f>
        <v>n</v>
      </c>
      <c r="AA423" s="41"/>
      <c r="AB423" s="41"/>
      <c r="AC423" s="41"/>
      <c r="AD423" s="41"/>
      <c r="AE423" s="85" t="str">
        <f>IFERROR(__xludf.DUMMYFUNCTION("INDEX(SPLIT(SUBSTITUTE(AF423,CHAR(10), """"),"",:""), MATCH(Z423, SPLIT(SUBSTITUTE(AF423,CHAR(10), """"),"",:""), 0) + 1)"),"#VALUE!")</f>
        <v>#VALUE!</v>
      </c>
      <c r="AF423" s="102"/>
      <c r="AG423" s="41"/>
      <c r="AH423" s="41"/>
      <c r="AI423" s="104"/>
      <c r="AJ423" s="84" t="s">
        <v>2520</v>
      </c>
      <c r="AK423" s="104"/>
      <c r="AL423" s="35">
        <v>0.0</v>
      </c>
      <c r="AM423" s="104"/>
      <c r="AN423" s="35">
        <v>1.0</v>
      </c>
      <c r="AO423" s="110"/>
      <c r="AP423" s="35">
        <v>0.0</v>
      </c>
      <c r="AQ423" s="35">
        <v>0.0</v>
      </c>
      <c r="AR423" s="69"/>
      <c r="AS423" s="98">
        <v>0.0</v>
      </c>
      <c r="AT423" s="98">
        <v>0.0</v>
      </c>
      <c r="AU423" s="69"/>
      <c r="AV423" s="13"/>
      <c r="AW423" s="13"/>
      <c r="AX423" s="13"/>
      <c r="AY423" s="13"/>
      <c r="AZ423" s="13"/>
      <c r="BA423" s="13"/>
      <c r="BB423" s="13"/>
      <c r="BC423" s="13"/>
      <c r="BD423" s="13"/>
      <c r="BE423" s="13"/>
      <c r="BF423" s="13"/>
      <c r="BG423" s="13"/>
      <c r="BH423" s="13"/>
      <c r="BI423" s="13"/>
      <c r="BJ423" s="13"/>
      <c r="BK423" s="13"/>
      <c r="BL423" s="13"/>
      <c r="BM423" s="13"/>
      <c r="BN423" s="6"/>
      <c r="BO423" s="6">
        <v>1.0</v>
      </c>
      <c r="BP423" s="13"/>
      <c r="BQ423" s="13"/>
      <c r="BR423" s="6" t="s">
        <v>196</v>
      </c>
    </row>
    <row r="424">
      <c r="A424" s="35">
        <v>109.0</v>
      </c>
      <c r="B424" s="35" t="s">
        <v>1057</v>
      </c>
      <c r="C424" s="53">
        <v>0.0</v>
      </c>
      <c r="D424" s="104" t="s">
        <v>1057</v>
      </c>
      <c r="E424" s="7">
        <v>868.0</v>
      </c>
      <c r="F424" s="53"/>
      <c r="G424" s="6"/>
      <c r="H424" s="35">
        <v>0.0</v>
      </c>
      <c r="I424" s="35">
        <v>0.0</v>
      </c>
      <c r="J424" s="69"/>
      <c r="K424" s="99"/>
      <c r="L424" s="99"/>
      <c r="M424" s="39" t="str">
        <f t="shared" si="1"/>
        <v>[ Vertex clustering - Low; K. L. and Tan; T. S 1997 (1997)]</v>
      </c>
      <c r="N424" s="69" t="s">
        <v>3561</v>
      </c>
      <c r="O424" s="98">
        <v>1997.0</v>
      </c>
      <c r="P424" s="69"/>
      <c r="Q424" s="13"/>
      <c r="R424" s="13"/>
      <c r="S424" s="13"/>
      <c r="T424" s="69"/>
      <c r="U424" s="69"/>
      <c r="V424" s="89" t="str">
        <f>IFERROR(__xludf.DUMMYFUNCTION("INDEX(SPLIT(SUBSTITUTE(W424,CHAR(10), """"),"",:""), MATCH(Z424, SPLIT(SUBSTITUTE(W424,CHAR(10), """"),"",:""), 0) + 1)"),"#VALUE!")</f>
        <v>#VALUE!</v>
      </c>
      <c r="W424" s="150"/>
      <c r="X424" s="69"/>
      <c r="Y424" s="41"/>
      <c r="Z424" s="53" t="str">
        <f t="array" ref="Z424">INDEX(Problems!J:J, MATCH(1, (Problems!B:B=B424)*1, 0))</f>
        <v>n</v>
      </c>
      <c r="AA424" s="41"/>
      <c r="AB424" s="41"/>
      <c r="AC424" s="41"/>
      <c r="AD424" s="41"/>
      <c r="AE424" s="85" t="str">
        <f>IFERROR(__xludf.DUMMYFUNCTION("INDEX(SPLIT(SUBSTITUTE(AF424,CHAR(10), """"),"",:""), MATCH(Z424, SPLIT(SUBSTITUTE(AF424,CHAR(10), """"),"",:""), 0) + 1)"),"#VALUE!")</f>
        <v>#VALUE!</v>
      </c>
      <c r="AF424" s="102"/>
      <c r="AG424" s="41"/>
      <c r="AH424" s="41"/>
      <c r="AI424" s="104"/>
      <c r="AJ424" s="84" t="s">
        <v>2520</v>
      </c>
      <c r="AK424" s="104"/>
      <c r="AL424" s="35">
        <v>0.0</v>
      </c>
      <c r="AM424" s="104"/>
      <c r="AN424" s="35">
        <v>1.0</v>
      </c>
      <c r="AO424" s="110"/>
      <c r="AP424" s="35">
        <v>0.0</v>
      </c>
      <c r="AQ424" s="35">
        <v>0.0</v>
      </c>
      <c r="AR424" s="69"/>
      <c r="AS424" s="98">
        <v>0.0</v>
      </c>
      <c r="AT424" s="98">
        <v>0.0</v>
      </c>
      <c r="AU424" s="69"/>
      <c r="AV424" s="13"/>
      <c r="AW424" s="13"/>
      <c r="AX424" s="13"/>
      <c r="AY424" s="13"/>
      <c r="AZ424" s="13"/>
      <c r="BA424" s="13"/>
      <c r="BB424" s="13"/>
      <c r="BC424" s="13"/>
      <c r="BD424" s="13"/>
      <c r="BE424" s="13"/>
      <c r="BF424" s="13"/>
      <c r="BG424" s="13"/>
      <c r="BH424" s="13"/>
      <c r="BI424" s="13"/>
      <c r="BJ424" s="13"/>
      <c r="BK424" s="13"/>
      <c r="BL424" s="13"/>
      <c r="BM424" s="13"/>
      <c r="BN424" s="6"/>
      <c r="BO424" s="6">
        <v>1.0</v>
      </c>
      <c r="BP424" s="13"/>
      <c r="BQ424" s="13"/>
      <c r="BR424" s="6" t="s">
        <v>196</v>
      </c>
    </row>
    <row r="425">
      <c r="A425" s="35">
        <v>109.0</v>
      </c>
      <c r="B425" s="35" t="s">
        <v>1057</v>
      </c>
      <c r="C425" s="53">
        <v>0.0</v>
      </c>
      <c r="D425" s="104" t="s">
        <v>1057</v>
      </c>
      <c r="E425" s="7">
        <v>869.0</v>
      </c>
      <c r="F425" s="53"/>
      <c r="G425" s="6"/>
      <c r="H425" s="35">
        <v>0.0</v>
      </c>
      <c r="I425" s="35">
        <v>0.0</v>
      </c>
      <c r="J425" s="69"/>
      <c r="K425" s="99"/>
      <c r="L425" s="99"/>
      <c r="M425" s="39" t="str">
        <f t="shared" si="1"/>
        <v>[ Vertex clustering - Reddy 1996 (1996)]</v>
      </c>
      <c r="N425" s="69" t="s">
        <v>3562</v>
      </c>
      <c r="O425" s="98">
        <v>1996.0</v>
      </c>
      <c r="P425" s="69"/>
      <c r="Q425" s="13"/>
      <c r="R425" s="13"/>
      <c r="S425" s="13"/>
      <c r="T425" s="69"/>
      <c r="U425" s="69"/>
      <c r="V425" s="89" t="str">
        <f>IFERROR(__xludf.DUMMYFUNCTION("INDEX(SPLIT(SUBSTITUTE(W425,CHAR(10), """"),"",:""), MATCH(Z425, SPLIT(SUBSTITUTE(W425,CHAR(10), """"),"",:""), 0) + 1)"),"#VALUE!")</f>
        <v>#VALUE!</v>
      </c>
      <c r="W425" s="150"/>
      <c r="X425" s="69"/>
      <c r="Y425" s="41"/>
      <c r="Z425" s="53" t="str">
        <f t="array" ref="Z425">INDEX(Problems!J:J, MATCH(1, (Problems!B:B=B425)*1, 0))</f>
        <v>n</v>
      </c>
      <c r="AA425" s="41"/>
      <c r="AB425" s="41"/>
      <c r="AC425" s="41"/>
      <c r="AD425" s="41"/>
      <c r="AE425" s="85" t="str">
        <f>IFERROR(__xludf.DUMMYFUNCTION("INDEX(SPLIT(SUBSTITUTE(AF425,CHAR(10), """"),"",:""), MATCH(Z425, SPLIT(SUBSTITUTE(AF425,CHAR(10), """"),"",:""), 0) + 1)"),"#VALUE!")</f>
        <v>#VALUE!</v>
      </c>
      <c r="AF425" s="102"/>
      <c r="AG425" s="41"/>
      <c r="AH425" s="41"/>
      <c r="AI425" s="104"/>
      <c r="AJ425" s="84" t="s">
        <v>2520</v>
      </c>
      <c r="AK425" s="104"/>
      <c r="AL425" s="35">
        <v>0.0</v>
      </c>
      <c r="AM425" s="104"/>
      <c r="AN425" s="35">
        <v>1.0</v>
      </c>
      <c r="AO425" s="110"/>
      <c r="AP425" s="35">
        <v>0.0</v>
      </c>
      <c r="AQ425" s="35">
        <v>0.0</v>
      </c>
      <c r="AR425" s="69"/>
      <c r="AS425" s="98">
        <v>0.0</v>
      </c>
      <c r="AT425" s="98">
        <v>0.0</v>
      </c>
      <c r="AU425" s="69"/>
      <c r="AV425" s="13"/>
      <c r="AW425" s="13"/>
      <c r="AX425" s="13"/>
      <c r="AY425" s="13"/>
      <c r="AZ425" s="13"/>
      <c r="BA425" s="13"/>
      <c r="BB425" s="13"/>
      <c r="BC425" s="13"/>
      <c r="BD425" s="13"/>
      <c r="BE425" s="13"/>
      <c r="BF425" s="13"/>
      <c r="BG425" s="13"/>
      <c r="BH425" s="13"/>
      <c r="BI425" s="13"/>
      <c r="BJ425" s="13"/>
      <c r="BK425" s="13"/>
      <c r="BL425" s="13"/>
      <c r="BM425" s="13"/>
      <c r="BN425" s="6"/>
      <c r="BO425" s="6">
        <v>1.0</v>
      </c>
      <c r="BP425" s="13"/>
      <c r="BQ425" s="13"/>
      <c r="BR425" s="6" t="s">
        <v>196</v>
      </c>
    </row>
    <row r="426">
      <c r="A426" s="35">
        <v>109.0</v>
      </c>
      <c r="B426" s="35" t="s">
        <v>1057</v>
      </c>
      <c r="C426" s="53">
        <v>0.0</v>
      </c>
      <c r="D426" s="104" t="s">
        <v>1057</v>
      </c>
      <c r="E426" s="7">
        <v>870.0</v>
      </c>
      <c r="F426" s="53"/>
      <c r="G426" s="6"/>
      <c r="H426" s="35">
        <v>0.0</v>
      </c>
      <c r="I426" s="35">
        <v>0.0</v>
      </c>
      <c r="J426" s="69"/>
      <c r="K426" s="99"/>
      <c r="L426" s="99"/>
      <c r="M426" s="39" t="str">
        <f t="shared" si="1"/>
        <v>[ Vertex clustering - Hoppe; H.; DeRose; T.;  1993 (1993)]</v>
      </c>
      <c r="N426" s="69" t="s">
        <v>3563</v>
      </c>
      <c r="O426" s="98">
        <v>1993.0</v>
      </c>
      <c r="P426" s="69"/>
      <c r="Q426" s="13"/>
      <c r="R426" s="13"/>
      <c r="S426" s="13"/>
      <c r="T426" s="69"/>
      <c r="U426" s="69"/>
      <c r="V426" s="89" t="str">
        <f>IFERROR(__xludf.DUMMYFUNCTION("INDEX(SPLIT(SUBSTITUTE(W426,CHAR(10), """"),"",:""), MATCH(Z426, SPLIT(SUBSTITUTE(W426,CHAR(10), """"),"",:""), 0) + 1)"),"#VALUE!")</f>
        <v>#VALUE!</v>
      </c>
      <c r="W426" s="150"/>
      <c r="X426" s="69"/>
      <c r="Y426" s="41"/>
      <c r="Z426" s="53" t="str">
        <f t="array" ref="Z426">INDEX(Problems!J:J, MATCH(1, (Problems!B:B=B426)*1, 0))</f>
        <v>n</v>
      </c>
      <c r="AA426" s="41"/>
      <c r="AB426" s="41"/>
      <c r="AC426" s="41"/>
      <c r="AD426" s="41"/>
      <c r="AE426" s="85" t="str">
        <f>IFERROR(__xludf.DUMMYFUNCTION("INDEX(SPLIT(SUBSTITUTE(AF426,CHAR(10), """"),"",:""), MATCH(Z426, SPLIT(SUBSTITUTE(AF426,CHAR(10), """"),"",:""), 0) + 1)"),"#VALUE!")</f>
        <v>#VALUE!</v>
      </c>
      <c r="AF426" s="102"/>
      <c r="AG426" s="41"/>
      <c r="AH426" s="41"/>
      <c r="AI426" s="104"/>
      <c r="AJ426" s="84" t="s">
        <v>2520</v>
      </c>
      <c r="AK426" s="104"/>
      <c r="AL426" s="35">
        <v>0.0</v>
      </c>
      <c r="AM426" s="104"/>
      <c r="AN426" s="35">
        <v>1.0</v>
      </c>
      <c r="AO426" s="110"/>
      <c r="AP426" s="35">
        <v>0.0</v>
      </c>
      <c r="AQ426" s="35">
        <v>0.0</v>
      </c>
      <c r="AR426" s="69"/>
      <c r="AS426" s="98">
        <v>0.0</v>
      </c>
      <c r="AT426" s="98">
        <v>0.0</v>
      </c>
      <c r="AU426" s="69"/>
      <c r="AV426" s="13"/>
      <c r="AW426" s="13"/>
      <c r="AX426" s="13"/>
      <c r="AY426" s="13"/>
      <c r="AZ426" s="13"/>
      <c r="BA426" s="13"/>
      <c r="BB426" s="13"/>
      <c r="BC426" s="13"/>
      <c r="BD426" s="13"/>
      <c r="BE426" s="13"/>
      <c r="BF426" s="13"/>
      <c r="BG426" s="13"/>
      <c r="BH426" s="13"/>
      <c r="BI426" s="13"/>
      <c r="BJ426" s="13"/>
      <c r="BK426" s="13"/>
      <c r="BL426" s="13"/>
      <c r="BM426" s="13"/>
      <c r="BN426" s="6"/>
      <c r="BO426" s="6">
        <v>1.0</v>
      </c>
      <c r="BP426" s="13"/>
      <c r="BQ426" s="13"/>
      <c r="BR426" s="6" t="s">
        <v>196</v>
      </c>
    </row>
    <row r="427">
      <c r="A427" s="35">
        <v>109.0</v>
      </c>
      <c r="B427" s="35" t="s">
        <v>1057</v>
      </c>
      <c r="C427" s="53">
        <v>0.0</v>
      </c>
      <c r="D427" s="104" t="s">
        <v>1057</v>
      </c>
      <c r="E427" s="7">
        <v>871.0</v>
      </c>
      <c r="F427" s="53"/>
      <c r="G427" s="6"/>
      <c r="H427" s="35">
        <v>0.0</v>
      </c>
      <c r="I427" s="35">
        <v>0.0</v>
      </c>
      <c r="J427" s="69"/>
      <c r="K427" s="99"/>
      <c r="L427" s="99"/>
      <c r="M427" s="39" t="str">
        <f t="shared" si="1"/>
        <v>[ Vertex clustering - Rossignac; J. and Borrel; P. 1997 (1997)]</v>
      </c>
      <c r="N427" s="69" t="s">
        <v>3564</v>
      </c>
      <c r="O427" s="98">
        <v>1997.0</v>
      </c>
      <c r="P427" s="69"/>
      <c r="Q427" s="13"/>
      <c r="R427" s="13"/>
      <c r="S427" s="13"/>
      <c r="T427" s="69"/>
      <c r="U427" s="69"/>
      <c r="V427" s="89" t="str">
        <f>IFERROR(__xludf.DUMMYFUNCTION("INDEX(SPLIT(SUBSTITUTE(W427,CHAR(10), """"),"",:""), MATCH(Z427, SPLIT(SUBSTITUTE(W427,CHAR(10), """"),"",:""), 0) + 1)"),"#VALUE!")</f>
        <v>#VALUE!</v>
      </c>
      <c r="W427" s="150"/>
      <c r="X427" s="69"/>
      <c r="Y427" s="41"/>
      <c r="Z427" s="53" t="str">
        <f t="array" ref="Z427">INDEX(Problems!J:J, MATCH(1, (Problems!B:B=B427)*1, 0))</f>
        <v>n</v>
      </c>
      <c r="AA427" s="41"/>
      <c r="AB427" s="41"/>
      <c r="AC427" s="41"/>
      <c r="AD427" s="41"/>
      <c r="AE427" s="85" t="str">
        <f>IFERROR(__xludf.DUMMYFUNCTION("INDEX(SPLIT(SUBSTITUTE(AF427,CHAR(10), """"),"",:""), MATCH(Z427, SPLIT(SUBSTITUTE(AF427,CHAR(10), """"),"",:""), 0) + 1)"),"#VALUE!")</f>
        <v>#VALUE!</v>
      </c>
      <c r="AF427" s="102"/>
      <c r="AG427" s="41"/>
      <c r="AH427" s="41"/>
      <c r="AI427" s="104"/>
      <c r="AJ427" s="84" t="s">
        <v>2520</v>
      </c>
      <c r="AK427" s="104"/>
      <c r="AL427" s="35">
        <v>0.0</v>
      </c>
      <c r="AM427" s="104"/>
      <c r="AN427" s="35">
        <v>1.0</v>
      </c>
      <c r="AO427" s="110"/>
      <c r="AP427" s="35">
        <v>0.0</v>
      </c>
      <c r="AQ427" s="35">
        <v>0.0</v>
      </c>
      <c r="AR427" s="69"/>
      <c r="AS427" s="98">
        <v>0.0</v>
      </c>
      <c r="AT427" s="98">
        <v>0.0</v>
      </c>
      <c r="AU427" s="69"/>
      <c r="AV427" s="13"/>
      <c r="AW427" s="13"/>
      <c r="AX427" s="13"/>
      <c r="AY427" s="13"/>
      <c r="AZ427" s="13"/>
      <c r="BA427" s="13"/>
      <c r="BB427" s="13"/>
      <c r="BC427" s="13"/>
      <c r="BD427" s="13"/>
      <c r="BE427" s="13"/>
      <c r="BF427" s="13"/>
      <c r="BG427" s="13"/>
      <c r="BH427" s="13"/>
      <c r="BI427" s="13"/>
      <c r="BJ427" s="13"/>
      <c r="BK427" s="13"/>
      <c r="BL427" s="13"/>
      <c r="BM427" s="13"/>
      <c r="BN427" s="6"/>
      <c r="BO427" s="6">
        <v>1.0</v>
      </c>
      <c r="BP427" s="13"/>
      <c r="BQ427" s="13"/>
      <c r="BR427" s="6" t="s">
        <v>196</v>
      </c>
    </row>
    <row r="428">
      <c r="A428" s="35">
        <v>109.0</v>
      </c>
      <c r="B428" s="35" t="s">
        <v>1057</v>
      </c>
      <c r="C428" s="53">
        <v>0.0</v>
      </c>
      <c r="D428" s="104" t="s">
        <v>1057</v>
      </c>
      <c r="E428" s="7">
        <v>872.0</v>
      </c>
      <c r="F428" s="53"/>
      <c r="G428" s="6"/>
      <c r="H428" s="35">
        <v>0.0</v>
      </c>
      <c r="I428" s="35">
        <v>0.0</v>
      </c>
      <c r="J428" s="69"/>
      <c r="K428" s="99"/>
      <c r="L428" s="99"/>
      <c r="M428" s="39" t="str">
        <f t="shared" si="1"/>
        <v>[ Wavelet-based - M.H. Gross; O.G. Staadt and R. Gatti 1996 (1996)]</v>
      </c>
      <c r="N428" s="69" t="s">
        <v>3565</v>
      </c>
      <c r="O428" s="98">
        <v>1996.0</v>
      </c>
      <c r="P428" s="69"/>
      <c r="Q428" s="13"/>
      <c r="R428" s="13"/>
      <c r="S428" s="13"/>
      <c r="T428" s="69"/>
      <c r="U428" s="69"/>
      <c r="V428" s="89" t="str">
        <f>IFERROR(__xludf.DUMMYFUNCTION("INDEX(SPLIT(SUBSTITUTE(W428,CHAR(10), """"),"",:""), MATCH(Z428, SPLIT(SUBSTITUTE(W428,CHAR(10), """"),"",:""), 0) + 1)"),"#VALUE!")</f>
        <v>#VALUE!</v>
      </c>
      <c r="W428" s="150"/>
      <c r="X428" s="69"/>
      <c r="Y428" s="41"/>
      <c r="Z428" s="53" t="str">
        <f t="array" ref="Z428">INDEX(Problems!J:J, MATCH(1, (Problems!B:B=B428)*1, 0))</f>
        <v>n</v>
      </c>
      <c r="AA428" s="41"/>
      <c r="AB428" s="41"/>
      <c r="AC428" s="41"/>
      <c r="AD428" s="41"/>
      <c r="AE428" s="85" t="str">
        <f>IFERROR(__xludf.DUMMYFUNCTION("INDEX(SPLIT(SUBSTITUTE(AF428,CHAR(10), """"),"",:""), MATCH(Z428, SPLIT(SUBSTITUTE(AF428,CHAR(10), """"),"",:""), 0) + 1)"),"#VALUE!")</f>
        <v>#VALUE!</v>
      </c>
      <c r="AF428" s="102"/>
      <c r="AG428" s="41"/>
      <c r="AH428" s="41"/>
      <c r="AI428" s="104"/>
      <c r="AJ428" s="84" t="s">
        <v>2520</v>
      </c>
      <c r="AK428" s="104"/>
      <c r="AL428" s="35">
        <v>0.0</v>
      </c>
      <c r="AM428" s="104"/>
      <c r="AN428" s="35">
        <v>1.0</v>
      </c>
      <c r="AO428" s="110"/>
      <c r="AP428" s="35">
        <v>0.0</v>
      </c>
      <c r="AQ428" s="35">
        <v>0.0</v>
      </c>
      <c r="AR428" s="69"/>
      <c r="AS428" s="98">
        <v>0.0</v>
      </c>
      <c r="AT428" s="98">
        <v>0.0</v>
      </c>
      <c r="AU428" s="69"/>
      <c r="AV428" s="13"/>
      <c r="AW428" s="13"/>
      <c r="AX428" s="13"/>
      <c r="AY428" s="13"/>
      <c r="AZ428" s="13"/>
      <c r="BA428" s="13"/>
      <c r="BB428" s="13"/>
      <c r="BC428" s="13"/>
      <c r="BD428" s="13"/>
      <c r="BE428" s="13"/>
      <c r="BF428" s="13"/>
      <c r="BG428" s="13"/>
      <c r="BH428" s="13"/>
      <c r="BI428" s="13"/>
      <c r="BJ428" s="13"/>
      <c r="BK428" s="13"/>
      <c r="BL428" s="13"/>
      <c r="BM428" s="13"/>
      <c r="BN428" s="6"/>
      <c r="BO428" s="6">
        <v>1.0</v>
      </c>
      <c r="BP428" s="13"/>
      <c r="BQ428" s="13"/>
      <c r="BR428" s="6" t="s">
        <v>196</v>
      </c>
    </row>
    <row r="429">
      <c r="A429" s="35">
        <v>109.0</v>
      </c>
      <c r="B429" s="35" t="s">
        <v>1057</v>
      </c>
      <c r="C429" s="53">
        <v>0.0</v>
      </c>
      <c r="D429" s="104" t="s">
        <v>1057</v>
      </c>
      <c r="E429" s="7">
        <v>873.0</v>
      </c>
      <c r="F429" s="53"/>
      <c r="G429" s="6"/>
      <c r="H429" s="35">
        <v>0.0</v>
      </c>
      <c r="I429" s="35">
        <v>0.0</v>
      </c>
      <c r="J429" s="69"/>
      <c r="K429" s="99"/>
      <c r="L429" s="99"/>
      <c r="M429" s="39" t="str">
        <f t="shared" si="1"/>
        <v>[ Wavelet-based - D.J. Hebert and H-J. Kim 1995 (1995)]</v>
      </c>
      <c r="N429" s="69" t="s">
        <v>3566</v>
      </c>
      <c r="O429" s="98">
        <v>1995.0</v>
      </c>
      <c r="P429" s="69"/>
      <c r="Q429" s="13"/>
      <c r="R429" s="13"/>
      <c r="S429" s="13"/>
      <c r="T429" s="69"/>
      <c r="U429" s="69"/>
      <c r="V429" s="89" t="str">
        <f>IFERROR(__xludf.DUMMYFUNCTION("INDEX(SPLIT(SUBSTITUTE(W429,CHAR(10), """"),"",:""), MATCH(Z429, SPLIT(SUBSTITUTE(W429,CHAR(10), """"),"",:""), 0) + 1)"),"#VALUE!")</f>
        <v>#VALUE!</v>
      </c>
      <c r="W429" s="150"/>
      <c r="X429" s="69"/>
      <c r="Y429" s="41"/>
      <c r="Z429" s="53" t="str">
        <f t="array" ref="Z429">INDEX(Problems!J:J, MATCH(1, (Problems!B:B=B429)*1, 0))</f>
        <v>n</v>
      </c>
      <c r="AA429" s="41"/>
      <c r="AB429" s="41"/>
      <c r="AC429" s="41"/>
      <c r="AD429" s="41"/>
      <c r="AE429" s="85" t="str">
        <f>IFERROR(__xludf.DUMMYFUNCTION("INDEX(SPLIT(SUBSTITUTE(AF429,CHAR(10), """"),"",:""), MATCH(Z429, SPLIT(SUBSTITUTE(AF429,CHAR(10), """"),"",:""), 0) + 1)"),"#VALUE!")</f>
        <v>#VALUE!</v>
      </c>
      <c r="AF429" s="102"/>
      <c r="AG429" s="41"/>
      <c r="AH429" s="41"/>
      <c r="AI429" s="104"/>
      <c r="AJ429" s="84" t="s">
        <v>2520</v>
      </c>
      <c r="AK429" s="104"/>
      <c r="AL429" s="35">
        <v>0.0</v>
      </c>
      <c r="AM429" s="104"/>
      <c r="AN429" s="35">
        <v>1.0</v>
      </c>
      <c r="AO429" s="110"/>
      <c r="AP429" s="35">
        <v>0.0</v>
      </c>
      <c r="AQ429" s="35">
        <v>0.0</v>
      </c>
      <c r="AR429" s="69"/>
      <c r="AS429" s="98">
        <v>0.0</v>
      </c>
      <c r="AT429" s="98">
        <v>0.0</v>
      </c>
      <c r="AU429" s="69"/>
      <c r="AV429" s="13"/>
      <c r="AW429" s="13"/>
      <c r="AX429" s="13"/>
      <c r="AY429" s="13"/>
      <c r="AZ429" s="13"/>
      <c r="BA429" s="13"/>
      <c r="BB429" s="13"/>
      <c r="BC429" s="13"/>
      <c r="BD429" s="13"/>
      <c r="BE429" s="13"/>
      <c r="BF429" s="13"/>
      <c r="BG429" s="13"/>
      <c r="BH429" s="13"/>
      <c r="BI429" s="13"/>
      <c r="BJ429" s="13"/>
      <c r="BK429" s="13"/>
      <c r="BL429" s="13"/>
      <c r="BM429" s="13"/>
      <c r="BN429" s="6"/>
      <c r="BO429" s="6">
        <v>1.0</v>
      </c>
      <c r="BP429" s="13"/>
      <c r="BQ429" s="13"/>
      <c r="BR429" s="6" t="s">
        <v>196</v>
      </c>
    </row>
    <row r="430">
      <c r="A430" s="35">
        <v>109.0</v>
      </c>
      <c r="B430" s="35" t="s">
        <v>1057</v>
      </c>
      <c r="C430" s="53">
        <v>0.0</v>
      </c>
      <c r="D430" s="104" t="s">
        <v>1057</v>
      </c>
      <c r="E430" s="7">
        <v>874.0</v>
      </c>
      <c r="F430" s="53"/>
      <c r="G430" s="6"/>
      <c r="H430" s="35">
        <v>0.0</v>
      </c>
      <c r="I430" s="35">
        <v>0.0</v>
      </c>
      <c r="J430" s="69"/>
      <c r="K430" s="99"/>
      <c r="L430" s="99"/>
      <c r="M430" s="39" t="str">
        <f t="shared" si="1"/>
        <v>[ Wavelet-based - Certain; A.; Popovic; J.; 1996 (1996)]</v>
      </c>
      <c r="N430" s="69" t="s">
        <v>3567</v>
      </c>
      <c r="O430" s="98">
        <v>1996.0</v>
      </c>
      <c r="P430" s="69"/>
      <c r="Q430" s="13"/>
      <c r="R430" s="13"/>
      <c r="S430" s="13"/>
      <c r="T430" s="69"/>
      <c r="U430" s="69"/>
      <c r="V430" s="89" t="str">
        <f>IFERROR(__xludf.DUMMYFUNCTION("INDEX(SPLIT(SUBSTITUTE(W430,CHAR(10), """"),"",:""), MATCH(Z430, SPLIT(SUBSTITUTE(W430,CHAR(10), """"),"",:""), 0) + 1)"),"#VALUE!")</f>
        <v>#VALUE!</v>
      </c>
      <c r="W430" s="150"/>
      <c r="X430" s="69"/>
      <c r="Y430" s="41"/>
      <c r="Z430" s="53" t="str">
        <f t="array" ref="Z430">INDEX(Problems!J:J, MATCH(1, (Problems!B:B=B430)*1, 0))</f>
        <v>n</v>
      </c>
      <c r="AA430" s="41"/>
      <c r="AB430" s="41"/>
      <c r="AC430" s="41"/>
      <c r="AD430" s="41"/>
      <c r="AE430" s="85" t="str">
        <f>IFERROR(__xludf.DUMMYFUNCTION("INDEX(SPLIT(SUBSTITUTE(AF430,CHAR(10), """"),"",:""), MATCH(Z430, SPLIT(SUBSTITUTE(AF430,CHAR(10), """"),"",:""), 0) + 1)"),"#VALUE!")</f>
        <v>#VALUE!</v>
      </c>
      <c r="AF430" s="102"/>
      <c r="AG430" s="41"/>
      <c r="AH430" s="41"/>
      <c r="AI430" s="104"/>
      <c r="AJ430" s="84" t="s">
        <v>2520</v>
      </c>
      <c r="AK430" s="104"/>
      <c r="AL430" s="35">
        <v>0.0</v>
      </c>
      <c r="AM430" s="104"/>
      <c r="AN430" s="35">
        <v>1.0</v>
      </c>
      <c r="AO430" s="110"/>
      <c r="AP430" s="35">
        <v>0.0</v>
      </c>
      <c r="AQ430" s="35">
        <v>0.0</v>
      </c>
      <c r="AR430" s="69"/>
      <c r="AS430" s="98">
        <v>0.0</v>
      </c>
      <c r="AT430" s="98">
        <v>0.0</v>
      </c>
      <c r="AU430" s="69"/>
      <c r="AV430" s="13"/>
      <c r="AW430" s="13"/>
      <c r="AX430" s="13"/>
      <c r="AY430" s="13"/>
      <c r="AZ430" s="13"/>
      <c r="BA430" s="13"/>
      <c r="BB430" s="13"/>
      <c r="BC430" s="13"/>
      <c r="BD430" s="13"/>
      <c r="BE430" s="13"/>
      <c r="BF430" s="13"/>
      <c r="BG430" s="13"/>
      <c r="BH430" s="13"/>
      <c r="BI430" s="13"/>
      <c r="BJ430" s="13"/>
      <c r="BK430" s="13"/>
      <c r="BL430" s="13"/>
      <c r="BM430" s="13"/>
      <c r="BN430" s="6"/>
      <c r="BO430" s="6">
        <v>1.0</v>
      </c>
      <c r="BP430" s="13"/>
      <c r="BQ430" s="13"/>
      <c r="BR430" s="6" t="s">
        <v>196</v>
      </c>
    </row>
    <row r="431">
      <c r="A431" s="35">
        <v>109.0</v>
      </c>
      <c r="B431" s="35" t="s">
        <v>1057</v>
      </c>
      <c r="C431" s="53">
        <v>0.0</v>
      </c>
      <c r="D431" s="104" t="s">
        <v>1057</v>
      </c>
      <c r="E431" s="7">
        <v>875.0</v>
      </c>
      <c r="F431" s="53"/>
      <c r="G431" s="6"/>
      <c r="H431" s="35">
        <v>0.0</v>
      </c>
      <c r="I431" s="35">
        <v>0.0</v>
      </c>
      <c r="J431" s="69"/>
      <c r="K431" s="99"/>
      <c r="L431" s="99"/>
      <c r="M431" s="39" t="str">
        <f t="shared" si="1"/>
        <v>[ Wavelet-based - Eck; M.; DeRose; T.; 1995 (1995)]</v>
      </c>
      <c r="N431" s="69" t="s">
        <v>3568</v>
      </c>
      <c r="O431" s="98">
        <v>1995.0</v>
      </c>
      <c r="P431" s="69"/>
      <c r="Q431" s="13"/>
      <c r="R431" s="13"/>
      <c r="S431" s="13"/>
      <c r="T431" s="69"/>
      <c r="U431" s="69"/>
      <c r="V431" s="89" t="str">
        <f>IFERROR(__xludf.DUMMYFUNCTION("INDEX(SPLIT(SUBSTITUTE(W431,CHAR(10), """"),"",:""), MATCH(Z431, SPLIT(SUBSTITUTE(W431,CHAR(10), """"),"",:""), 0) + 1)"),"#VALUE!")</f>
        <v>#VALUE!</v>
      </c>
      <c r="W431" s="150"/>
      <c r="X431" s="69"/>
      <c r="Y431" s="41"/>
      <c r="Z431" s="53" t="str">
        <f t="array" ref="Z431">INDEX(Problems!J:J, MATCH(1, (Problems!B:B=B431)*1, 0))</f>
        <v>n</v>
      </c>
      <c r="AA431" s="41"/>
      <c r="AB431" s="41"/>
      <c r="AC431" s="41"/>
      <c r="AD431" s="41"/>
      <c r="AE431" s="85" t="str">
        <f>IFERROR(__xludf.DUMMYFUNCTION("INDEX(SPLIT(SUBSTITUTE(AF431,CHAR(10), """"),"",:""), MATCH(Z431, SPLIT(SUBSTITUTE(AF431,CHAR(10), """"),"",:""), 0) + 1)"),"#VALUE!")</f>
        <v>#VALUE!</v>
      </c>
      <c r="AF431" s="102"/>
      <c r="AG431" s="41"/>
      <c r="AH431" s="41"/>
      <c r="AI431" s="104"/>
      <c r="AJ431" s="84" t="s">
        <v>2520</v>
      </c>
      <c r="AK431" s="104"/>
      <c r="AL431" s="35">
        <v>0.0</v>
      </c>
      <c r="AM431" s="104"/>
      <c r="AN431" s="35">
        <v>1.0</v>
      </c>
      <c r="AO431" s="110"/>
      <c r="AP431" s="35">
        <v>0.0</v>
      </c>
      <c r="AQ431" s="35">
        <v>0.0</v>
      </c>
      <c r="AR431" s="69"/>
      <c r="AS431" s="98">
        <v>0.0</v>
      </c>
      <c r="AT431" s="98">
        <v>0.0</v>
      </c>
      <c r="AU431" s="69"/>
      <c r="AV431" s="13"/>
      <c r="AW431" s="13"/>
      <c r="AX431" s="13"/>
      <c r="AY431" s="13"/>
      <c r="AZ431" s="13"/>
      <c r="BA431" s="13"/>
      <c r="BB431" s="13"/>
      <c r="BC431" s="13"/>
      <c r="BD431" s="13"/>
      <c r="BE431" s="13"/>
      <c r="BF431" s="13"/>
      <c r="BG431" s="13"/>
      <c r="BH431" s="13"/>
      <c r="BI431" s="13"/>
      <c r="BJ431" s="13"/>
      <c r="BK431" s="13"/>
      <c r="BL431" s="13"/>
      <c r="BM431" s="13"/>
      <c r="BN431" s="6"/>
      <c r="BO431" s="6">
        <v>1.0</v>
      </c>
      <c r="BP431" s="13"/>
      <c r="BQ431" s="13"/>
      <c r="BR431" s="6" t="s">
        <v>196</v>
      </c>
    </row>
    <row r="432">
      <c r="A432" s="35">
        <v>109.0</v>
      </c>
      <c r="B432" s="35" t="s">
        <v>1057</v>
      </c>
      <c r="C432" s="53">
        <v>0.0</v>
      </c>
      <c r="D432" s="104" t="s">
        <v>1057</v>
      </c>
      <c r="E432" s="7">
        <v>876.0</v>
      </c>
      <c r="F432" s="53"/>
      <c r="G432" s="6"/>
      <c r="H432" s="35">
        <v>0.0</v>
      </c>
      <c r="I432" s="35">
        <v>0.0</v>
      </c>
      <c r="J432" s="69"/>
      <c r="K432" s="99"/>
      <c r="L432" s="99"/>
      <c r="M432" s="39" t="str">
        <f t="shared" si="1"/>
        <v>[ Simplification via intermediate hierarchical rep-resentation - Andujar 1996 (1996)]</v>
      </c>
      <c r="N432" s="69" t="s">
        <v>3569</v>
      </c>
      <c r="O432" s="98">
        <v>1996.0</v>
      </c>
      <c r="P432" s="69"/>
      <c r="Q432" s="13"/>
      <c r="R432" s="13"/>
      <c r="S432" s="13"/>
      <c r="T432" s="69"/>
      <c r="U432" s="69"/>
      <c r="V432" s="89" t="str">
        <f>IFERROR(__xludf.DUMMYFUNCTION("INDEX(SPLIT(SUBSTITUTE(W432,CHAR(10), """"),"",:""), MATCH(Z432, SPLIT(SUBSTITUTE(W432,CHAR(10), """"),"",:""), 0) + 1)"),"#VALUE!")</f>
        <v>#VALUE!</v>
      </c>
      <c r="W432" s="150"/>
      <c r="X432" s="69"/>
      <c r="Y432" s="41"/>
      <c r="Z432" s="53" t="str">
        <f t="array" ref="Z432">INDEX(Problems!J:J, MATCH(1, (Problems!B:B=B432)*1, 0))</f>
        <v>n</v>
      </c>
      <c r="AA432" s="41"/>
      <c r="AB432" s="41"/>
      <c r="AC432" s="41"/>
      <c r="AD432" s="41"/>
      <c r="AE432" s="85" t="str">
        <f>IFERROR(__xludf.DUMMYFUNCTION("INDEX(SPLIT(SUBSTITUTE(AF432,CHAR(10), """"),"",:""), MATCH(Z432, SPLIT(SUBSTITUTE(AF432,CHAR(10), """"),"",:""), 0) + 1)"),"#VALUE!")</f>
        <v>#VALUE!</v>
      </c>
      <c r="AF432" s="102"/>
      <c r="AG432" s="41"/>
      <c r="AH432" s="41"/>
      <c r="AI432" s="104"/>
      <c r="AJ432" s="84" t="s">
        <v>2520</v>
      </c>
      <c r="AK432" s="104"/>
      <c r="AL432" s="35">
        <v>0.0</v>
      </c>
      <c r="AM432" s="104"/>
      <c r="AN432" s="35">
        <v>1.0</v>
      </c>
      <c r="AO432" s="110"/>
      <c r="AP432" s="35">
        <v>0.0</v>
      </c>
      <c r="AQ432" s="35">
        <v>0.0</v>
      </c>
      <c r="AR432" s="69"/>
      <c r="AS432" s="98">
        <v>0.0</v>
      </c>
      <c r="AT432" s="98">
        <v>0.0</v>
      </c>
      <c r="AU432" s="69"/>
      <c r="AV432" s="13"/>
      <c r="AW432" s="13"/>
      <c r="AX432" s="13"/>
      <c r="AY432" s="13"/>
      <c r="AZ432" s="13"/>
      <c r="BA432" s="13"/>
      <c r="BB432" s="13"/>
      <c r="BC432" s="13"/>
      <c r="BD432" s="13"/>
      <c r="BE432" s="13"/>
      <c r="BF432" s="13"/>
      <c r="BG432" s="13"/>
      <c r="BH432" s="13"/>
      <c r="BI432" s="13"/>
      <c r="BJ432" s="13"/>
      <c r="BK432" s="13"/>
      <c r="BL432" s="13"/>
      <c r="BM432" s="13"/>
      <c r="BN432" s="6"/>
      <c r="BO432" s="6">
        <v>1.0</v>
      </c>
      <c r="BP432" s="13"/>
      <c r="BQ432" s="13"/>
      <c r="BR432" s="6" t="s">
        <v>196</v>
      </c>
    </row>
    <row r="433">
      <c r="A433" s="35">
        <v>109.0</v>
      </c>
      <c r="B433" s="35" t="s">
        <v>1057</v>
      </c>
      <c r="C433" s="53">
        <v>0.0</v>
      </c>
      <c r="D433" s="104" t="s">
        <v>1057</v>
      </c>
      <c r="E433" s="7">
        <v>877.0</v>
      </c>
      <c r="F433" s="53"/>
      <c r="G433" s="6"/>
      <c r="H433" s="35">
        <v>0.0</v>
      </c>
      <c r="I433" s="35">
        <v>0.0</v>
      </c>
      <c r="J433" s="69"/>
      <c r="K433" s="99"/>
      <c r="L433" s="99"/>
      <c r="M433" s="39" t="str">
        <f t="shared" si="1"/>
        <v>[ Simplification via intermediate hierarchical rep-resentation - He; T.; Hong; L.; Kaufman 1995 (1995)]</v>
      </c>
      <c r="N433" s="69" t="s">
        <v>3570</v>
      </c>
      <c r="O433" s="98">
        <v>1995.0</v>
      </c>
      <c r="P433" s="69"/>
      <c r="Q433" s="13"/>
      <c r="R433" s="13"/>
      <c r="S433" s="13"/>
      <c r="T433" s="69"/>
      <c r="U433" s="69"/>
      <c r="V433" s="89" t="str">
        <f>IFERROR(__xludf.DUMMYFUNCTION("INDEX(SPLIT(SUBSTITUTE(W433,CHAR(10), """"),"",:""), MATCH(Z433, SPLIT(SUBSTITUTE(W433,CHAR(10), """"),"",:""), 0) + 1)"),"#VALUE!")</f>
        <v>#VALUE!</v>
      </c>
      <c r="W433" s="150"/>
      <c r="X433" s="69"/>
      <c r="Y433" s="41"/>
      <c r="Z433" s="53" t="str">
        <f t="array" ref="Z433">INDEX(Problems!J:J, MATCH(1, (Problems!B:B=B433)*1, 0))</f>
        <v>n</v>
      </c>
      <c r="AA433" s="41"/>
      <c r="AB433" s="41"/>
      <c r="AC433" s="41"/>
      <c r="AD433" s="41"/>
      <c r="AE433" s="85" t="str">
        <f>IFERROR(__xludf.DUMMYFUNCTION("INDEX(SPLIT(SUBSTITUTE(AF433,CHAR(10), """"),"",:""), MATCH(Z433, SPLIT(SUBSTITUTE(AF433,CHAR(10), """"),"",:""), 0) + 1)"),"#VALUE!")</f>
        <v>#VALUE!</v>
      </c>
      <c r="AF433" s="102"/>
      <c r="AG433" s="41"/>
      <c r="AH433" s="41"/>
      <c r="AI433" s="104"/>
      <c r="AJ433" s="84" t="s">
        <v>2520</v>
      </c>
      <c r="AK433" s="104"/>
      <c r="AL433" s="35">
        <v>0.0</v>
      </c>
      <c r="AM433" s="104"/>
      <c r="AN433" s="35">
        <v>1.0</v>
      </c>
      <c r="AO433" s="110"/>
      <c r="AP433" s="35">
        <v>0.0</v>
      </c>
      <c r="AQ433" s="35">
        <v>0.0</v>
      </c>
      <c r="AR433" s="69"/>
      <c r="AS433" s="98">
        <v>0.0</v>
      </c>
      <c r="AT433" s="98">
        <v>0.0</v>
      </c>
      <c r="AU433" s="69"/>
      <c r="AV433" s="13"/>
      <c r="AW433" s="13"/>
      <c r="AX433" s="13"/>
      <c r="AY433" s="13"/>
      <c r="AZ433" s="13"/>
      <c r="BA433" s="13"/>
      <c r="BB433" s="13"/>
      <c r="BC433" s="13"/>
      <c r="BD433" s="13"/>
      <c r="BE433" s="13"/>
      <c r="BF433" s="13"/>
      <c r="BG433" s="13"/>
      <c r="BH433" s="13"/>
      <c r="BI433" s="13"/>
      <c r="BJ433" s="13"/>
      <c r="BK433" s="13"/>
      <c r="BL433" s="13"/>
      <c r="BM433" s="13"/>
      <c r="BN433" s="6"/>
      <c r="BO433" s="6">
        <v>1.0</v>
      </c>
      <c r="BP433" s="13"/>
      <c r="BQ433" s="13"/>
      <c r="BR433" s="6" t="s">
        <v>196</v>
      </c>
    </row>
    <row r="434">
      <c r="A434" s="35">
        <v>109.0</v>
      </c>
      <c r="B434" s="35" t="s">
        <v>1057</v>
      </c>
      <c r="C434" s="53">
        <v>0.0</v>
      </c>
      <c r="D434" s="104" t="s">
        <v>1057</v>
      </c>
      <c r="E434" s="7">
        <v>878.0</v>
      </c>
      <c r="F434" s="53"/>
      <c r="G434" s="6"/>
      <c r="H434" s="35">
        <v>0.0</v>
      </c>
      <c r="I434" s="35">
        <v>0.0</v>
      </c>
      <c r="J434" s="69"/>
      <c r="K434" s="99"/>
      <c r="L434" s="99"/>
      <c r="M434" s="39" t="str">
        <f t="shared" si="1"/>
        <v>[ Simplification via intermediate hierarchical rep-resentation - He;  T.;  Hong;  1996 (1996)]</v>
      </c>
      <c r="N434" s="69" t="s">
        <v>3571</v>
      </c>
      <c r="O434" s="98">
        <v>1996.0</v>
      </c>
      <c r="P434" s="69"/>
      <c r="Q434" s="13"/>
      <c r="R434" s="13"/>
      <c r="S434" s="13"/>
      <c r="T434" s="69"/>
      <c r="U434" s="69"/>
      <c r="V434" s="89" t="str">
        <f>IFERROR(__xludf.DUMMYFUNCTION("INDEX(SPLIT(SUBSTITUTE(W434,CHAR(10), """"),"",:""), MATCH(Z434, SPLIT(SUBSTITUTE(W434,CHAR(10), """"),"",:""), 0) + 1)"),"#VALUE!")</f>
        <v>#VALUE!</v>
      </c>
      <c r="W434" s="150"/>
      <c r="X434" s="69"/>
      <c r="Y434" s="41"/>
      <c r="Z434" s="53" t="str">
        <f t="array" ref="Z434">INDEX(Problems!J:J, MATCH(1, (Problems!B:B=B434)*1, 0))</f>
        <v>n</v>
      </c>
      <c r="AA434" s="41"/>
      <c r="AB434" s="41"/>
      <c r="AC434" s="41"/>
      <c r="AD434" s="41"/>
      <c r="AE434" s="85" t="str">
        <f>IFERROR(__xludf.DUMMYFUNCTION("INDEX(SPLIT(SUBSTITUTE(AF434,CHAR(10), """"),"",:""), MATCH(Z434, SPLIT(SUBSTITUTE(AF434,CHAR(10), """"),"",:""), 0) + 1)"),"#VALUE!")</f>
        <v>#VALUE!</v>
      </c>
      <c r="AF434" s="102"/>
      <c r="AG434" s="41"/>
      <c r="AH434" s="41"/>
      <c r="AI434" s="104"/>
      <c r="AJ434" s="84" t="s">
        <v>2520</v>
      </c>
      <c r="AK434" s="104"/>
      <c r="AL434" s="35">
        <v>0.0</v>
      </c>
      <c r="AM434" s="104"/>
      <c r="AN434" s="35">
        <v>1.0</v>
      </c>
      <c r="AO434" s="110"/>
      <c r="AP434" s="35">
        <v>0.0</v>
      </c>
      <c r="AQ434" s="35">
        <v>0.0</v>
      </c>
      <c r="AR434" s="69"/>
      <c r="AS434" s="98">
        <v>0.0</v>
      </c>
      <c r="AT434" s="98">
        <v>0.0</v>
      </c>
      <c r="AU434" s="69"/>
      <c r="AV434" s="13"/>
      <c r="AW434" s="13"/>
      <c r="AX434" s="13"/>
      <c r="AY434" s="13"/>
      <c r="AZ434" s="13"/>
      <c r="BA434" s="13"/>
      <c r="BB434" s="13"/>
      <c r="BC434" s="13"/>
      <c r="BD434" s="13"/>
      <c r="BE434" s="13"/>
      <c r="BF434" s="13"/>
      <c r="BG434" s="13"/>
      <c r="BH434" s="13"/>
      <c r="BI434" s="13"/>
      <c r="BJ434" s="13"/>
      <c r="BK434" s="13"/>
      <c r="BL434" s="13"/>
      <c r="BM434" s="13"/>
      <c r="BN434" s="6"/>
      <c r="BO434" s="6">
        <v>1.0</v>
      </c>
      <c r="BP434" s="13"/>
      <c r="BQ434" s="13"/>
      <c r="BR434" s="6" t="s">
        <v>196</v>
      </c>
    </row>
    <row r="435">
      <c r="A435" s="35">
        <v>111.0</v>
      </c>
      <c r="B435" s="35" t="s">
        <v>1064</v>
      </c>
      <c r="C435" s="53">
        <v>0.0</v>
      </c>
      <c r="D435" s="53" t="s">
        <v>1064</v>
      </c>
      <c r="E435" s="7">
        <v>882.0</v>
      </c>
      <c r="F435" s="53"/>
      <c r="G435" s="6"/>
      <c r="H435" s="35">
        <v>0.0</v>
      </c>
      <c r="I435" s="35">
        <v>0.0</v>
      </c>
      <c r="J435" s="69" t="s">
        <v>1937</v>
      </c>
      <c r="K435" s="99"/>
      <c r="L435" s="99"/>
      <c r="M435" s="39" t="str">
        <f t="shared" si="1"/>
        <v>[ Hauskrecht; 2000; (2000)]</v>
      </c>
      <c r="N435" s="69" t="s">
        <v>3572</v>
      </c>
      <c r="O435" s="98">
        <v>2000.0</v>
      </c>
      <c r="P435" s="69"/>
      <c r="Q435" s="13"/>
      <c r="R435" s="13"/>
      <c r="S435" s="13"/>
      <c r="T435" s="69"/>
      <c r="U435" s="69"/>
      <c r="V435" s="89" t="str">
        <f>IFERROR(__xludf.DUMMYFUNCTION("INDEX(SPLIT(SUBSTITUTE(W435,CHAR(10), """"),"",:""), MATCH(Z435, SPLIT(SUBSTITUTE(W435,CHAR(10), """"),"",:""), 0) + 1)"),"#VALUE!")</f>
        <v>#VALUE!</v>
      </c>
      <c r="W435" s="150"/>
      <c r="X435" s="69"/>
      <c r="Y435" s="41"/>
      <c r="Z435" s="53" t="str">
        <f t="array" ref="Z435">INDEX(Problems!J:J, MATCH(1, (Problems!B:B=B435)*1, 0))</f>
        <v/>
      </c>
      <c r="AA435" s="41"/>
      <c r="AB435" s="41"/>
      <c r="AC435" s="41"/>
      <c r="AD435" s="41"/>
      <c r="AE435" s="85" t="str">
        <f>IFERROR(__xludf.DUMMYFUNCTION("INDEX(SPLIT(SUBSTITUTE(AF435,CHAR(10), """"),"",:""), MATCH(Z435, SPLIT(SUBSTITUTE(AF435,CHAR(10), """"),"",:""), 0) + 1)"),"#VALUE!")</f>
        <v>#VALUE!</v>
      </c>
      <c r="AF435" s="102"/>
      <c r="AG435" s="41"/>
      <c r="AH435" s="41"/>
      <c r="AI435" s="104"/>
      <c r="AJ435" s="84" t="s">
        <v>2520</v>
      </c>
      <c r="AK435" s="104"/>
      <c r="AL435" s="35">
        <v>0.0</v>
      </c>
      <c r="AM435" s="104"/>
      <c r="AN435" s="35">
        <v>1.0</v>
      </c>
      <c r="AO435" s="110"/>
      <c r="AP435" s="35">
        <v>0.0</v>
      </c>
      <c r="AQ435" s="35">
        <v>0.0</v>
      </c>
      <c r="AR435" s="69"/>
      <c r="AS435" s="98">
        <v>0.0</v>
      </c>
      <c r="AT435" s="98">
        <v>0.0</v>
      </c>
      <c r="AU435" s="69"/>
      <c r="AV435" s="13"/>
      <c r="AW435" s="13"/>
      <c r="AX435" s="13"/>
      <c r="AY435" s="13"/>
      <c r="AZ435" s="6"/>
      <c r="BA435" s="6"/>
      <c r="BB435" s="6"/>
      <c r="BC435" s="6"/>
      <c r="BD435" s="6"/>
      <c r="BE435" s="6"/>
      <c r="BF435" s="6" t="s">
        <v>1944</v>
      </c>
      <c r="BG435" s="13"/>
      <c r="BH435" s="13"/>
      <c r="BI435" s="13"/>
      <c r="BJ435" s="13"/>
      <c r="BK435" s="13"/>
      <c r="BL435" s="13"/>
      <c r="BM435" s="13"/>
      <c r="BN435" s="6"/>
      <c r="BO435" s="6">
        <v>1.0</v>
      </c>
      <c r="BP435" s="13"/>
      <c r="BQ435" s="13"/>
      <c r="BR435" s="6" t="s">
        <v>411</v>
      </c>
    </row>
    <row r="436">
      <c r="A436" s="35">
        <v>111.0</v>
      </c>
      <c r="B436" s="35" t="s">
        <v>1064</v>
      </c>
      <c r="C436" s="53">
        <v>0.0</v>
      </c>
      <c r="D436" s="53" t="s">
        <v>1064</v>
      </c>
      <c r="E436" s="7">
        <v>883.0</v>
      </c>
      <c r="F436" s="53"/>
      <c r="G436" s="6"/>
      <c r="H436" s="35">
        <v>0.0</v>
      </c>
      <c r="I436" s="35">
        <v>0.0</v>
      </c>
      <c r="J436" s="69" t="s">
        <v>1937</v>
      </c>
      <c r="K436" s="99"/>
      <c r="L436" s="99"/>
      <c r="M436" s="39" t="str">
        <f t="shared" si="1"/>
        <v>[  Pineau; Gordon; &amp; Thrun; 2003;  (2003)]</v>
      </c>
      <c r="N436" s="69" t="s">
        <v>3573</v>
      </c>
      <c r="O436" s="98">
        <v>2003.0</v>
      </c>
      <c r="P436" s="69"/>
      <c r="Q436" s="13"/>
      <c r="R436" s="13"/>
      <c r="S436" s="13"/>
      <c r="T436" s="69"/>
      <c r="U436" s="69"/>
      <c r="V436" s="89" t="str">
        <f>IFERROR(__xludf.DUMMYFUNCTION("INDEX(SPLIT(SUBSTITUTE(W436,CHAR(10), """"),"",:""), MATCH(Z436, SPLIT(SUBSTITUTE(W436,CHAR(10), """"),"",:""), 0) + 1)"),"#VALUE!")</f>
        <v>#VALUE!</v>
      </c>
      <c r="W436" s="150"/>
      <c r="X436" s="69"/>
      <c r="Y436" s="41"/>
      <c r="Z436" s="53" t="str">
        <f t="array" ref="Z436">INDEX(Problems!J:J, MATCH(1, (Problems!B:B=B436)*1, 0))</f>
        <v/>
      </c>
      <c r="AA436" s="41"/>
      <c r="AB436" s="41"/>
      <c r="AC436" s="41"/>
      <c r="AD436" s="41"/>
      <c r="AE436" s="85" t="str">
        <f>IFERROR(__xludf.DUMMYFUNCTION("INDEX(SPLIT(SUBSTITUTE(AF436,CHAR(10), """"),"",:""), MATCH(Z436, SPLIT(SUBSTITUTE(AF436,CHAR(10), """"),"",:""), 0) + 1)"),"#VALUE!")</f>
        <v>#VALUE!</v>
      </c>
      <c r="AF436" s="102"/>
      <c r="AG436" s="41"/>
      <c r="AH436" s="41"/>
      <c r="AI436" s="104"/>
      <c r="AJ436" s="84" t="s">
        <v>2520</v>
      </c>
      <c r="AK436" s="104"/>
      <c r="AL436" s="35">
        <v>0.0</v>
      </c>
      <c r="AM436" s="104"/>
      <c r="AN436" s="35">
        <v>1.0</v>
      </c>
      <c r="AO436" s="110"/>
      <c r="AP436" s="35">
        <v>0.0</v>
      </c>
      <c r="AQ436" s="35">
        <v>0.0</v>
      </c>
      <c r="AR436" s="69"/>
      <c r="AS436" s="98">
        <v>0.0</v>
      </c>
      <c r="AT436" s="98">
        <v>0.0</v>
      </c>
      <c r="AU436" s="69"/>
      <c r="AV436" s="13"/>
      <c r="AW436" s="13"/>
      <c r="AX436" s="13"/>
      <c r="AY436" s="13"/>
      <c r="AZ436" s="6"/>
      <c r="BA436" s="6"/>
      <c r="BB436" s="6"/>
      <c r="BC436" s="6"/>
      <c r="BD436" s="6"/>
      <c r="BE436" s="6"/>
      <c r="BF436" s="6" t="s">
        <v>1944</v>
      </c>
      <c r="BG436" s="13"/>
      <c r="BH436" s="13"/>
      <c r="BI436" s="13"/>
      <c r="BJ436" s="13"/>
      <c r="BK436" s="13"/>
      <c r="BL436" s="13"/>
      <c r="BM436" s="13"/>
      <c r="BN436" s="6"/>
      <c r="BO436" s="6">
        <v>1.0</v>
      </c>
      <c r="BP436" s="13"/>
      <c r="BQ436" s="13"/>
      <c r="BR436" s="6" t="s">
        <v>411</v>
      </c>
    </row>
    <row r="437">
      <c r="A437" s="35">
        <v>111.0</v>
      </c>
      <c r="B437" s="35" t="s">
        <v>1064</v>
      </c>
      <c r="C437" s="53">
        <v>0.0</v>
      </c>
      <c r="D437" s="53" t="s">
        <v>1064</v>
      </c>
      <c r="E437" s="7">
        <v>884.0</v>
      </c>
      <c r="F437" s="53"/>
      <c r="G437" s="6"/>
      <c r="H437" s="35">
        <v>0.0</v>
      </c>
      <c r="I437" s="35">
        <v>0.0</v>
      </c>
      <c r="J437" s="69" t="s">
        <v>1937</v>
      </c>
      <c r="K437" s="99"/>
      <c r="L437" s="99"/>
      <c r="M437" s="39" t="str">
        <f t="shared" si="1"/>
        <v>[ Braziunas &amp; Boutilier; 2004;  (2004)]</v>
      </c>
      <c r="N437" s="69" t="s">
        <v>3574</v>
      </c>
      <c r="O437" s="98">
        <v>2004.0</v>
      </c>
      <c r="P437" s="69"/>
      <c r="Q437" s="13"/>
      <c r="R437" s="13"/>
      <c r="S437" s="13"/>
      <c r="T437" s="69"/>
      <c r="U437" s="69"/>
      <c r="V437" s="89" t="str">
        <f>IFERROR(__xludf.DUMMYFUNCTION("INDEX(SPLIT(SUBSTITUTE(W437,CHAR(10), """"),"",:""), MATCH(Z437, SPLIT(SUBSTITUTE(W437,CHAR(10), """"),"",:""), 0) + 1)"),"#VALUE!")</f>
        <v>#VALUE!</v>
      </c>
      <c r="W437" s="150"/>
      <c r="X437" s="69"/>
      <c r="Y437" s="41"/>
      <c r="Z437" s="53" t="str">
        <f t="array" ref="Z437">INDEX(Problems!J:J, MATCH(1, (Problems!B:B=B437)*1, 0))</f>
        <v/>
      </c>
      <c r="AA437" s="41"/>
      <c r="AB437" s="41"/>
      <c r="AC437" s="41"/>
      <c r="AD437" s="41"/>
      <c r="AE437" s="85" t="str">
        <f>IFERROR(__xludf.DUMMYFUNCTION("INDEX(SPLIT(SUBSTITUTE(AF437,CHAR(10), """"),"",:""), MATCH(Z437, SPLIT(SUBSTITUTE(AF437,CHAR(10), """"),"",:""), 0) + 1)"),"#VALUE!")</f>
        <v>#VALUE!</v>
      </c>
      <c r="AF437" s="102"/>
      <c r="AG437" s="41"/>
      <c r="AH437" s="41"/>
      <c r="AI437" s="104"/>
      <c r="AJ437" s="84" t="s">
        <v>2520</v>
      </c>
      <c r="AK437" s="104"/>
      <c r="AL437" s="35">
        <v>0.0</v>
      </c>
      <c r="AM437" s="104"/>
      <c r="AN437" s="35">
        <v>1.0</v>
      </c>
      <c r="AO437" s="110"/>
      <c r="AP437" s="35">
        <v>0.0</v>
      </c>
      <c r="AQ437" s="35">
        <v>0.0</v>
      </c>
      <c r="AR437" s="69"/>
      <c r="AS437" s="98">
        <v>0.0</v>
      </c>
      <c r="AT437" s="98">
        <v>0.0</v>
      </c>
      <c r="AU437" s="69"/>
      <c r="AV437" s="13"/>
      <c r="AW437" s="13"/>
      <c r="AX437" s="13"/>
      <c r="AY437" s="13"/>
      <c r="AZ437" s="6"/>
      <c r="BA437" s="6"/>
      <c r="BB437" s="6"/>
      <c r="BC437" s="6"/>
      <c r="BD437" s="6"/>
      <c r="BE437" s="6"/>
      <c r="BF437" s="6" t="s">
        <v>1944</v>
      </c>
      <c r="BG437" s="13"/>
      <c r="BH437" s="13"/>
      <c r="BI437" s="13"/>
      <c r="BJ437" s="13"/>
      <c r="BK437" s="13"/>
      <c r="BL437" s="13"/>
      <c r="BM437" s="13"/>
      <c r="BN437" s="6"/>
      <c r="BO437" s="6">
        <v>1.0</v>
      </c>
      <c r="BP437" s="13"/>
      <c r="BQ437" s="13"/>
      <c r="BR437" s="6" t="s">
        <v>411</v>
      </c>
    </row>
    <row r="438">
      <c r="A438" s="35">
        <v>111.0</v>
      </c>
      <c r="B438" s="35" t="s">
        <v>1064</v>
      </c>
      <c r="C438" s="53">
        <v>0.0</v>
      </c>
      <c r="D438" s="53" t="s">
        <v>1064</v>
      </c>
      <c r="E438" s="7">
        <v>885.0</v>
      </c>
      <c r="F438" s="53"/>
      <c r="G438" s="6"/>
      <c r="H438" s="35">
        <v>0.0</v>
      </c>
      <c r="I438" s="35">
        <v>0.0</v>
      </c>
      <c r="J438" s="69" t="s">
        <v>1937</v>
      </c>
      <c r="K438" s="99"/>
      <c r="L438" s="99"/>
      <c r="M438" s="39" t="str">
        <f t="shared" si="1"/>
        <v>[ Poupart; 2005;  (2005)]</v>
      </c>
      <c r="N438" s="69" t="s">
        <v>3575</v>
      </c>
      <c r="O438" s="98">
        <v>2005.0</v>
      </c>
      <c r="P438" s="69"/>
      <c r="Q438" s="13"/>
      <c r="R438" s="13"/>
      <c r="S438" s="13"/>
      <c r="T438" s="69"/>
      <c r="U438" s="69"/>
      <c r="V438" s="89" t="str">
        <f>IFERROR(__xludf.DUMMYFUNCTION("INDEX(SPLIT(SUBSTITUTE(W438,CHAR(10), """"),"",:""), MATCH(Z438, SPLIT(SUBSTITUTE(W438,CHAR(10), """"),"",:""), 0) + 1)"),"#VALUE!")</f>
        <v>#VALUE!</v>
      </c>
      <c r="W438" s="150"/>
      <c r="X438" s="69"/>
      <c r="Y438" s="41"/>
      <c r="Z438" s="53" t="str">
        <f t="array" ref="Z438">INDEX(Problems!J:J, MATCH(1, (Problems!B:B=B438)*1, 0))</f>
        <v/>
      </c>
      <c r="AA438" s="41"/>
      <c r="AB438" s="41"/>
      <c r="AC438" s="41"/>
      <c r="AD438" s="41"/>
      <c r="AE438" s="85" t="str">
        <f>IFERROR(__xludf.DUMMYFUNCTION("INDEX(SPLIT(SUBSTITUTE(AF438,CHAR(10), """"),"",:""), MATCH(Z438, SPLIT(SUBSTITUTE(AF438,CHAR(10), """"),"",:""), 0) + 1)"),"#VALUE!")</f>
        <v>#VALUE!</v>
      </c>
      <c r="AF438" s="102"/>
      <c r="AG438" s="41"/>
      <c r="AH438" s="41"/>
      <c r="AI438" s="104"/>
      <c r="AJ438" s="84" t="s">
        <v>2520</v>
      </c>
      <c r="AK438" s="104"/>
      <c r="AL438" s="35">
        <v>0.0</v>
      </c>
      <c r="AM438" s="104"/>
      <c r="AN438" s="35">
        <v>1.0</v>
      </c>
      <c r="AO438" s="110"/>
      <c r="AP438" s="35">
        <v>0.0</v>
      </c>
      <c r="AQ438" s="35">
        <v>0.0</v>
      </c>
      <c r="AR438" s="69"/>
      <c r="AS438" s="98">
        <v>0.0</v>
      </c>
      <c r="AT438" s="98">
        <v>0.0</v>
      </c>
      <c r="AU438" s="69"/>
      <c r="AV438" s="13"/>
      <c r="AW438" s="13"/>
      <c r="AX438" s="13"/>
      <c r="AY438" s="13"/>
      <c r="AZ438" s="6"/>
      <c r="BA438" s="6"/>
      <c r="BB438" s="6"/>
      <c r="BC438" s="6"/>
      <c r="BD438" s="6"/>
      <c r="BE438" s="6"/>
      <c r="BF438" s="6" t="s">
        <v>1944</v>
      </c>
      <c r="BG438" s="13"/>
      <c r="BH438" s="13"/>
      <c r="BI438" s="13"/>
      <c r="BJ438" s="13"/>
      <c r="BK438" s="13"/>
      <c r="BL438" s="13"/>
      <c r="BM438" s="13"/>
      <c r="BN438" s="6"/>
      <c r="BO438" s="6">
        <v>1.0</v>
      </c>
      <c r="BP438" s="13"/>
      <c r="BQ438" s="13"/>
      <c r="BR438" s="6" t="s">
        <v>411</v>
      </c>
    </row>
    <row r="439">
      <c r="A439" s="35">
        <v>111.0</v>
      </c>
      <c r="B439" s="35" t="s">
        <v>1064</v>
      </c>
      <c r="C439" s="53">
        <v>0.0</v>
      </c>
      <c r="D439" s="53" t="s">
        <v>1064</v>
      </c>
      <c r="E439" s="7">
        <v>886.0</v>
      </c>
      <c r="F439" s="53"/>
      <c r="G439" s="6"/>
      <c r="H439" s="35">
        <v>0.0</v>
      </c>
      <c r="I439" s="35">
        <v>0.0</v>
      </c>
      <c r="J439" s="69" t="s">
        <v>1937</v>
      </c>
      <c r="K439" s="99"/>
      <c r="L439" s="99"/>
      <c r="M439" s="39" t="str">
        <f t="shared" si="1"/>
        <v>[ Smith &amp; Simmons; 2005;  (2005)]</v>
      </c>
      <c r="N439" s="69" t="s">
        <v>3576</v>
      </c>
      <c r="O439" s="98">
        <v>2005.0</v>
      </c>
      <c r="P439" s="69"/>
      <c r="Q439" s="13"/>
      <c r="R439" s="13"/>
      <c r="S439" s="13"/>
      <c r="T439" s="69"/>
      <c r="U439" s="69"/>
      <c r="V439" s="89" t="str">
        <f>IFERROR(__xludf.DUMMYFUNCTION("INDEX(SPLIT(SUBSTITUTE(W439,CHAR(10), """"),"",:""), MATCH(Z439, SPLIT(SUBSTITUTE(W439,CHAR(10), """"),"",:""), 0) + 1)"),"#VALUE!")</f>
        <v>#VALUE!</v>
      </c>
      <c r="W439" s="150"/>
      <c r="X439" s="69"/>
      <c r="Y439" s="41"/>
      <c r="Z439" s="53" t="str">
        <f t="array" ref="Z439">INDEX(Problems!J:J, MATCH(1, (Problems!B:B=B439)*1, 0))</f>
        <v/>
      </c>
      <c r="AA439" s="41"/>
      <c r="AB439" s="41"/>
      <c r="AC439" s="41"/>
      <c r="AD439" s="41"/>
      <c r="AE439" s="85" t="str">
        <f>IFERROR(__xludf.DUMMYFUNCTION("INDEX(SPLIT(SUBSTITUTE(AF439,CHAR(10), """"),"",:""), MATCH(Z439, SPLIT(SUBSTITUTE(AF439,CHAR(10), """"),"",:""), 0) + 1)"),"#VALUE!")</f>
        <v>#VALUE!</v>
      </c>
      <c r="AF439" s="102"/>
      <c r="AG439" s="41"/>
      <c r="AH439" s="41"/>
      <c r="AI439" s="104"/>
      <c r="AJ439" s="84" t="s">
        <v>2520</v>
      </c>
      <c r="AK439" s="104"/>
      <c r="AL439" s="35">
        <v>0.0</v>
      </c>
      <c r="AM439" s="104"/>
      <c r="AN439" s="35">
        <v>1.0</v>
      </c>
      <c r="AO439" s="110"/>
      <c r="AP439" s="35">
        <v>0.0</v>
      </c>
      <c r="AQ439" s="35">
        <v>0.0</v>
      </c>
      <c r="AR439" s="69"/>
      <c r="AS439" s="98">
        <v>0.0</v>
      </c>
      <c r="AT439" s="98">
        <v>0.0</v>
      </c>
      <c r="AU439" s="69"/>
      <c r="AV439" s="13"/>
      <c r="AW439" s="13"/>
      <c r="AX439" s="13"/>
      <c r="AY439" s="13"/>
      <c r="AZ439" s="6"/>
      <c r="BA439" s="6"/>
      <c r="BB439" s="6"/>
      <c r="BC439" s="6"/>
      <c r="BD439" s="6"/>
      <c r="BE439" s="6"/>
      <c r="BF439" s="6" t="s">
        <v>1944</v>
      </c>
      <c r="BG439" s="13"/>
      <c r="BH439" s="13"/>
      <c r="BI439" s="13"/>
      <c r="BJ439" s="13"/>
      <c r="BK439" s="13"/>
      <c r="BL439" s="13"/>
      <c r="BM439" s="13"/>
      <c r="BN439" s="6"/>
      <c r="BO439" s="6">
        <v>1.0</v>
      </c>
      <c r="BP439" s="13"/>
      <c r="BQ439" s="13"/>
      <c r="BR439" s="6" t="s">
        <v>411</v>
      </c>
    </row>
    <row r="440">
      <c r="A440" s="35">
        <v>111.0</v>
      </c>
      <c r="B440" s="35" t="s">
        <v>1064</v>
      </c>
      <c r="C440" s="53">
        <v>0.0</v>
      </c>
      <c r="D440" s="53" t="s">
        <v>1064</v>
      </c>
      <c r="E440" s="7">
        <v>887.0</v>
      </c>
      <c r="F440" s="53"/>
      <c r="G440" s="6"/>
      <c r="H440" s="35">
        <v>0.0</v>
      </c>
      <c r="I440" s="35">
        <v>0.0</v>
      </c>
      <c r="J440" s="69" t="s">
        <v>1937</v>
      </c>
      <c r="K440" s="99"/>
      <c r="L440" s="99"/>
      <c r="M440" s="39" t="str">
        <f t="shared" si="1"/>
        <v>[ Spaan &amp; Vlassis; 2005 (2005)]</v>
      </c>
      <c r="N440" s="69" t="s">
        <v>3577</v>
      </c>
      <c r="O440" s="98">
        <v>2005.0</v>
      </c>
      <c r="P440" s="69"/>
      <c r="Q440" s="13"/>
      <c r="R440" s="13"/>
      <c r="S440" s="13"/>
      <c r="T440" s="69"/>
      <c r="U440" s="69"/>
      <c r="V440" s="89" t="str">
        <f>IFERROR(__xludf.DUMMYFUNCTION("INDEX(SPLIT(SUBSTITUTE(W440,CHAR(10), """"),"",:""), MATCH(Z440, SPLIT(SUBSTITUTE(W440,CHAR(10), """"),"",:""), 0) + 1)"),"#VALUE!")</f>
        <v>#VALUE!</v>
      </c>
      <c r="W440" s="150"/>
      <c r="X440" s="69"/>
      <c r="Y440" s="41"/>
      <c r="Z440" s="53" t="str">
        <f t="array" ref="Z440">INDEX(Problems!J:J, MATCH(1, (Problems!B:B=B440)*1, 0))</f>
        <v/>
      </c>
      <c r="AA440" s="41"/>
      <c r="AB440" s="41"/>
      <c r="AC440" s="41"/>
      <c r="AD440" s="41"/>
      <c r="AE440" s="85" t="str">
        <f>IFERROR(__xludf.DUMMYFUNCTION("INDEX(SPLIT(SUBSTITUTE(AF440,CHAR(10), """"),"",:""), MATCH(Z440, SPLIT(SUBSTITUTE(AF440,CHAR(10), """"),"",:""), 0) + 1)"),"#VALUE!")</f>
        <v>#VALUE!</v>
      </c>
      <c r="AF440" s="102"/>
      <c r="AG440" s="41"/>
      <c r="AH440" s="41"/>
      <c r="AI440" s="104"/>
      <c r="AJ440" s="84" t="s">
        <v>2520</v>
      </c>
      <c r="AK440" s="104"/>
      <c r="AL440" s="35">
        <v>0.0</v>
      </c>
      <c r="AM440" s="104"/>
      <c r="AN440" s="35">
        <v>1.0</v>
      </c>
      <c r="AO440" s="110"/>
      <c r="AP440" s="35">
        <v>0.0</v>
      </c>
      <c r="AQ440" s="35">
        <v>0.0</v>
      </c>
      <c r="AR440" s="69"/>
      <c r="AS440" s="98">
        <v>0.0</v>
      </c>
      <c r="AT440" s="98">
        <v>0.0</v>
      </c>
      <c r="AU440" s="69"/>
      <c r="AV440" s="13"/>
      <c r="AW440" s="13"/>
      <c r="AX440" s="13"/>
      <c r="AY440" s="13"/>
      <c r="AZ440" s="6"/>
      <c r="BA440" s="6"/>
      <c r="BB440" s="6"/>
      <c r="BC440" s="6"/>
      <c r="BD440" s="6"/>
      <c r="BE440" s="6"/>
      <c r="BF440" s="6" t="s">
        <v>1944</v>
      </c>
      <c r="BG440" s="13"/>
      <c r="BH440" s="13"/>
      <c r="BI440" s="13"/>
      <c r="BJ440" s="13"/>
      <c r="BK440" s="13"/>
      <c r="BL440" s="13"/>
      <c r="BM440" s="13"/>
      <c r="BN440" s="6"/>
      <c r="BO440" s="6">
        <v>1.0</v>
      </c>
      <c r="BP440" s="13"/>
      <c r="BQ440" s="13"/>
      <c r="BR440" s="6" t="s">
        <v>411</v>
      </c>
    </row>
    <row r="441">
      <c r="A441" s="35">
        <v>111.0</v>
      </c>
      <c r="B441" s="35" t="s">
        <v>1064</v>
      </c>
      <c r="C441" s="53">
        <v>0.0</v>
      </c>
      <c r="D441" s="53" t="s">
        <v>1064</v>
      </c>
      <c r="E441" s="7">
        <v>888.0</v>
      </c>
      <c r="F441" s="53"/>
      <c r="G441" s="6"/>
      <c r="H441" s="35">
        <v>0.0</v>
      </c>
      <c r="I441" s="35">
        <v>0.0</v>
      </c>
      <c r="J441" s="69" t="s">
        <v>1937</v>
      </c>
      <c r="K441" s="99"/>
      <c r="L441" s="99"/>
      <c r="M441" s="39" t="str">
        <f t="shared" si="1"/>
        <v>[ Satia &amp; Lave; 1973;  (1973)]</v>
      </c>
      <c r="N441" s="69" t="s">
        <v>3578</v>
      </c>
      <c r="O441" s="98">
        <v>1973.0</v>
      </c>
      <c r="P441" s="69"/>
      <c r="Q441" s="13"/>
      <c r="R441" s="13"/>
      <c r="S441" s="13"/>
      <c r="T441" s="69"/>
      <c r="U441" s="69"/>
      <c r="V441" s="89" t="str">
        <f>IFERROR(__xludf.DUMMYFUNCTION("INDEX(SPLIT(SUBSTITUTE(W441,CHAR(10), """"),"",:""), MATCH(Z441, SPLIT(SUBSTITUTE(W441,CHAR(10), """"),"",:""), 0) + 1)"),"#VALUE!")</f>
        <v>#VALUE!</v>
      </c>
      <c r="W441" s="150"/>
      <c r="X441" s="69"/>
      <c r="Y441" s="41"/>
      <c r="Z441" s="53" t="str">
        <f t="array" ref="Z441">INDEX(Problems!J:J, MATCH(1, (Problems!B:B=B441)*1, 0))</f>
        <v/>
      </c>
      <c r="AA441" s="41"/>
      <c r="AB441" s="41"/>
      <c r="AC441" s="41"/>
      <c r="AD441" s="41"/>
      <c r="AE441" s="85" t="str">
        <f>IFERROR(__xludf.DUMMYFUNCTION("INDEX(SPLIT(SUBSTITUTE(AF441,CHAR(10), """"),"",:""), MATCH(Z441, SPLIT(SUBSTITUTE(AF441,CHAR(10), """"),"",:""), 0) + 1)"),"#VALUE!")</f>
        <v>#VALUE!</v>
      </c>
      <c r="AF441" s="102"/>
      <c r="AG441" s="41"/>
      <c r="AH441" s="41"/>
      <c r="AI441" s="104"/>
      <c r="AJ441" s="84" t="s">
        <v>2520</v>
      </c>
      <c r="AK441" s="104"/>
      <c r="AL441" s="35">
        <v>0.0</v>
      </c>
      <c r="AM441" s="104"/>
      <c r="AN441" s="35">
        <v>1.0</v>
      </c>
      <c r="AO441" s="110"/>
      <c r="AP441" s="35">
        <v>0.0</v>
      </c>
      <c r="AQ441" s="35">
        <v>0.0</v>
      </c>
      <c r="AR441" s="69"/>
      <c r="AS441" s="98">
        <v>0.0</v>
      </c>
      <c r="AT441" s="98">
        <v>0.0</v>
      </c>
      <c r="AU441" s="69"/>
      <c r="AV441" s="13"/>
      <c r="AW441" s="13"/>
      <c r="AX441" s="13"/>
      <c r="AY441" s="13"/>
      <c r="AZ441" s="6"/>
      <c r="BA441" s="6"/>
      <c r="BB441" s="6"/>
      <c r="BC441" s="6"/>
      <c r="BD441" s="6"/>
      <c r="BE441" s="6"/>
      <c r="BF441" s="6" t="s">
        <v>1944</v>
      </c>
      <c r="BG441" s="13"/>
      <c r="BH441" s="13"/>
      <c r="BI441" s="13"/>
      <c r="BJ441" s="13"/>
      <c r="BK441" s="13"/>
      <c r="BL441" s="13"/>
      <c r="BM441" s="13"/>
      <c r="BN441" s="6"/>
      <c r="BO441" s="6">
        <v>1.0</v>
      </c>
      <c r="BP441" s="13"/>
      <c r="BQ441" s="13"/>
      <c r="BR441" s="6" t="s">
        <v>411</v>
      </c>
    </row>
    <row r="442">
      <c r="A442" s="35">
        <v>111.0</v>
      </c>
      <c r="B442" s="35" t="s">
        <v>1064</v>
      </c>
      <c r="C442" s="53">
        <v>0.0</v>
      </c>
      <c r="D442" s="53" t="s">
        <v>1064</v>
      </c>
      <c r="E442" s="7">
        <v>889.0</v>
      </c>
      <c r="F442" s="53"/>
      <c r="G442" s="6"/>
      <c r="H442" s="35">
        <v>0.0</v>
      </c>
      <c r="I442" s="35">
        <v>0.0</v>
      </c>
      <c r="J442" s="69" t="s">
        <v>1937</v>
      </c>
      <c r="K442" s="99"/>
      <c r="L442" s="99"/>
      <c r="M442" s="39" t="str">
        <f t="shared" si="1"/>
        <v>[ Washington; 1997;  (1997)]</v>
      </c>
      <c r="N442" s="69" t="s">
        <v>3579</v>
      </c>
      <c r="O442" s="98">
        <v>1997.0</v>
      </c>
      <c r="P442" s="69"/>
      <c r="Q442" s="13"/>
      <c r="R442" s="13"/>
      <c r="S442" s="13"/>
      <c r="T442" s="69"/>
      <c r="U442" s="69"/>
      <c r="V442" s="89" t="str">
        <f>IFERROR(__xludf.DUMMYFUNCTION("INDEX(SPLIT(SUBSTITUTE(W442,CHAR(10), """"),"",:""), MATCH(Z442, SPLIT(SUBSTITUTE(W442,CHAR(10), """"),"",:""), 0) + 1)"),"#VALUE!")</f>
        <v>#VALUE!</v>
      </c>
      <c r="W442" s="150"/>
      <c r="X442" s="69"/>
      <c r="Y442" s="41"/>
      <c r="Z442" s="53" t="str">
        <f t="array" ref="Z442">INDEX(Problems!J:J, MATCH(1, (Problems!B:B=B442)*1, 0))</f>
        <v/>
      </c>
      <c r="AA442" s="41"/>
      <c r="AB442" s="41"/>
      <c r="AC442" s="41"/>
      <c r="AD442" s="41"/>
      <c r="AE442" s="85" t="str">
        <f>IFERROR(__xludf.DUMMYFUNCTION("INDEX(SPLIT(SUBSTITUTE(AF442,CHAR(10), """"),"",:""), MATCH(Z442, SPLIT(SUBSTITUTE(AF442,CHAR(10), """"),"",:""), 0) + 1)"),"#VALUE!")</f>
        <v>#VALUE!</v>
      </c>
      <c r="AF442" s="102"/>
      <c r="AG442" s="41"/>
      <c r="AH442" s="41"/>
      <c r="AI442" s="104"/>
      <c r="AJ442" s="84" t="s">
        <v>2520</v>
      </c>
      <c r="AK442" s="104"/>
      <c r="AL442" s="35">
        <v>0.0</v>
      </c>
      <c r="AM442" s="104"/>
      <c r="AN442" s="35">
        <v>1.0</v>
      </c>
      <c r="AO442" s="110"/>
      <c r="AP442" s="35">
        <v>0.0</v>
      </c>
      <c r="AQ442" s="35">
        <v>0.0</v>
      </c>
      <c r="AR442" s="69"/>
      <c r="AS442" s="98">
        <v>0.0</v>
      </c>
      <c r="AT442" s="98">
        <v>0.0</v>
      </c>
      <c r="AU442" s="69"/>
      <c r="AV442" s="13"/>
      <c r="AW442" s="13"/>
      <c r="AX442" s="13"/>
      <c r="AY442" s="13"/>
      <c r="AZ442" s="6"/>
      <c r="BA442" s="6"/>
      <c r="BB442" s="6"/>
      <c r="BC442" s="6"/>
      <c r="BD442" s="6"/>
      <c r="BE442" s="6"/>
      <c r="BF442" s="6" t="s">
        <v>1944</v>
      </c>
      <c r="BG442" s="13"/>
      <c r="BH442" s="13"/>
      <c r="BI442" s="13"/>
      <c r="BJ442" s="13"/>
      <c r="BK442" s="13"/>
      <c r="BL442" s="13"/>
      <c r="BM442" s="13"/>
      <c r="BN442" s="6"/>
      <c r="BO442" s="6">
        <v>1.0</v>
      </c>
      <c r="BP442" s="13"/>
      <c r="BQ442" s="13"/>
      <c r="BR442" s="6" t="s">
        <v>411</v>
      </c>
    </row>
    <row r="443">
      <c r="A443" s="35">
        <v>111.0</v>
      </c>
      <c r="B443" s="35" t="s">
        <v>1064</v>
      </c>
      <c r="C443" s="53">
        <v>0.0</v>
      </c>
      <c r="D443" s="53" t="s">
        <v>1064</v>
      </c>
      <c r="E443" s="7">
        <v>890.0</v>
      </c>
      <c r="F443" s="53"/>
      <c r="G443" s="6"/>
      <c r="H443" s="35">
        <v>0.0</v>
      </c>
      <c r="I443" s="35">
        <v>0.0</v>
      </c>
      <c r="J443" s="69" t="s">
        <v>1937</v>
      </c>
      <c r="K443" s="99"/>
      <c r="L443" s="99"/>
      <c r="M443" s="39" t="str">
        <f t="shared" si="1"/>
        <v>[ Barto;Bradtke; &amp; Singhe; 1995;  (1995)]</v>
      </c>
      <c r="N443" s="69" t="s">
        <v>3580</v>
      </c>
      <c r="O443" s="98">
        <v>1995.0</v>
      </c>
      <c r="P443" s="69"/>
      <c r="Q443" s="13"/>
      <c r="R443" s="13"/>
      <c r="S443" s="13"/>
      <c r="T443" s="69"/>
      <c r="U443" s="69"/>
      <c r="V443" s="89" t="str">
        <f>IFERROR(__xludf.DUMMYFUNCTION("INDEX(SPLIT(SUBSTITUTE(W443,CHAR(10), """"),"",:""), MATCH(Z443, SPLIT(SUBSTITUTE(W443,CHAR(10), """"),"",:""), 0) + 1)"),"#VALUE!")</f>
        <v>#VALUE!</v>
      </c>
      <c r="W443" s="150"/>
      <c r="X443" s="69"/>
      <c r="Y443" s="41"/>
      <c r="Z443" s="53" t="str">
        <f t="array" ref="Z443">INDEX(Problems!J:J, MATCH(1, (Problems!B:B=B443)*1, 0))</f>
        <v/>
      </c>
      <c r="AA443" s="41"/>
      <c r="AB443" s="41"/>
      <c r="AC443" s="41"/>
      <c r="AD443" s="41"/>
      <c r="AE443" s="85" t="str">
        <f>IFERROR(__xludf.DUMMYFUNCTION("INDEX(SPLIT(SUBSTITUTE(AF443,CHAR(10), """"),"",:""), MATCH(Z443, SPLIT(SUBSTITUTE(AF443,CHAR(10), """"),"",:""), 0) + 1)"),"#VALUE!")</f>
        <v>#VALUE!</v>
      </c>
      <c r="AF443" s="102"/>
      <c r="AG443" s="41"/>
      <c r="AH443" s="41"/>
      <c r="AI443" s="104"/>
      <c r="AJ443" s="84" t="s">
        <v>2520</v>
      </c>
      <c r="AK443" s="104"/>
      <c r="AL443" s="35">
        <v>0.0</v>
      </c>
      <c r="AM443" s="104"/>
      <c r="AN443" s="35">
        <v>1.0</v>
      </c>
      <c r="AO443" s="110"/>
      <c r="AP443" s="35">
        <v>0.0</v>
      </c>
      <c r="AQ443" s="35">
        <v>0.0</v>
      </c>
      <c r="AR443" s="69"/>
      <c r="AS443" s="98">
        <v>0.0</v>
      </c>
      <c r="AT443" s="98">
        <v>0.0</v>
      </c>
      <c r="AU443" s="69"/>
      <c r="AV443" s="13"/>
      <c r="AW443" s="13"/>
      <c r="AX443" s="13"/>
      <c r="AY443" s="13"/>
      <c r="AZ443" s="6"/>
      <c r="BA443" s="6"/>
      <c r="BB443" s="6"/>
      <c r="BC443" s="6"/>
      <c r="BD443" s="6"/>
      <c r="BE443" s="6"/>
      <c r="BF443" s="6" t="s">
        <v>1944</v>
      </c>
      <c r="BG443" s="13"/>
      <c r="BH443" s="13"/>
      <c r="BI443" s="13"/>
      <c r="BJ443" s="13"/>
      <c r="BK443" s="13"/>
      <c r="BL443" s="13"/>
      <c r="BM443" s="13"/>
      <c r="BN443" s="6"/>
      <c r="BO443" s="6">
        <v>1.0</v>
      </c>
      <c r="BP443" s="13"/>
      <c r="BQ443" s="13"/>
      <c r="BR443" s="6" t="s">
        <v>411</v>
      </c>
    </row>
    <row r="444">
      <c r="A444" s="35">
        <v>111.0</v>
      </c>
      <c r="B444" s="35" t="s">
        <v>1064</v>
      </c>
      <c r="C444" s="53">
        <v>0.0</v>
      </c>
      <c r="D444" s="53" t="s">
        <v>1064</v>
      </c>
      <c r="E444" s="7">
        <v>891.0</v>
      </c>
      <c r="F444" s="53"/>
      <c r="G444" s="6"/>
      <c r="H444" s="35">
        <v>0.0</v>
      </c>
      <c r="I444" s="35">
        <v>0.0</v>
      </c>
      <c r="J444" s="69" t="s">
        <v>1937</v>
      </c>
      <c r="K444" s="99"/>
      <c r="L444" s="99"/>
      <c r="M444" s="39" t="str">
        <f t="shared" si="1"/>
        <v>[ Paquet; Tobin; &amp; Chaib-draa; 2005;  (2005)]</v>
      </c>
      <c r="N444" s="69" t="s">
        <v>3581</v>
      </c>
      <c r="O444" s="98">
        <v>2005.0</v>
      </c>
      <c r="P444" s="69"/>
      <c r="Q444" s="13"/>
      <c r="R444" s="13"/>
      <c r="S444" s="13"/>
      <c r="T444" s="69"/>
      <c r="U444" s="69"/>
      <c r="V444" s="89" t="str">
        <f>IFERROR(__xludf.DUMMYFUNCTION("INDEX(SPLIT(SUBSTITUTE(W444,CHAR(10), """"),"",:""), MATCH(Z444, SPLIT(SUBSTITUTE(W444,CHAR(10), """"),"",:""), 0) + 1)"),"#VALUE!")</f>
        <v>#VALUE!</v>
      </c>
      <c r="W444" s="150"/>
      <c r="X444" s="69"/>
      <c r="Y444" s="41"/>
      <c r="Z444" s="53" t="str">
        <f t="array" ref="Z444">INDEX(Problems!J:J, MATCH(1, (Problems!B:B=B444)*1, 0))</f>
        <v/>
      </c>
      <c r="AA444" s="41"/>
      <c r="AB444" s="41"/>
      <c r="AC444" s="41"/>
      <c r="AD444" s="41"/>
      <c r="AE444" s="85" t="str">
        <f>IFERROR(__xludf.DUMMYFUNCTION("INDEX(SPLIT(SUBSTITUTE(AF444,CHAR(10), """"),"",:""), MATCH(Z444, SPLIT(SUBSTITUTE(AF444,CHAR(10), """"),"",:""), 0) + 1)"),"#VALUE!")</f>
        <v>#VALUE!</v>
      </c>
      <c r="AF444" s="102"/>
      <c r="AG444" s="41"/>
      <c r="AH444" s="41"/>
      <c r="AI444" s="104"/>
      <c r="AJ444" s="84" t="s">
        <v>2520</v>
      </c>
      <c r="AK444" s="104"/>
      <c r="AL444" s="35">
        <v>0.0</v>
      </c>
      <c r="AM444" s="104"/>
      <c r="AN444" s="35">
        <v>1.0</v>
      </c>
      <c r="AO444" s="110"/>
      <c r="AP444" s="35">
        <v>0.0</v>
      </c>
      <c r="AQ444" s="35">
        <v>0.0</v>
      </c>
      <c r="AR444" s="69"/>
      <c r="AS444" s="98">
        <v>0.0</v>
      </c>
      <c r="AT444" s="98">
        <v>0.0</v>
      </c>
      <c r="AU444" s="69"/>
      <c r="AV444" s="13"/>
      <c r="AW444" s="13"/>
      <c r="AX444" s="13"/>
      <c r="AY444" s="13"/>
      <c r="AZ444" s="6"/>
      <c r="BA444" s="6"/>
      <c r="BB444" s="6"/>
      <c r="BC444" s="6"/>
      <c r="BD444" s="6"/>
      <c r="BE444" s="6"/>
      <c r="BF444" s="6" t="s">
        <v>1944</v>
      </c>
      <c r="BG444" s="13"/>
      <c r="BH444" s="13"/>
      <c r="BI444" s="13"/>
      <c r="BJ444" s="13"/>
      <c r="BK444" s="13"/>
      <c r="BL444" s="13"/>
      <c r="BM444" s="13"/>
      <c r="BN444" s="6"/>
      <c r="BO444" s="6">
        <v>1.0</v>
      </c>
      <c r="BP444" s="13"/>
      <c r="BQ444" s="13"/>
      <c r="BR444" s="6" t="s">
        <v>411</v>
      </c>
    </row>
    <row r="445">
      <c r="A445" s="35">
        <v>111.0</v>
      </c>
      <c r="B445" s="35" t="s">
        <v>1064</v>
      </c>
      <c r="C445" s="53">
        <v>0.0</v>
      </c>
      <c r="D445" s="53" t="s">
        <v>1064</v>
      </c>
      <c r="E445" s="7">
        <v>892.0</v>
      </c>
      <c r="F445" s="53"/>
      <c r="G445" s="6"/>
      <c r="H445" s="35">
        <v>0.0</v>
      </c>
      <c r="I445" s="35">
        <v>0.0</v>
      </c>
      <c r="J445" s="69" t="s">
        <v>1937</v>
      </c>
      <c r="K445" s="99"/>
      <c r="L445" s="99"/>
      <c r="M445" s="39" t="str">
        <f t="shared" si="1"/>
        <v>[ McAllester &amp; Singh; 1999; (1999)]</v>
      </c>
      <c r="N445" s="69" t="s">
        <v>3582</v>
      </c>
      <c r="O445" s="98">
        <v>1999.0</v>
      </c>
      <c r="P445" s="69"/>
      <c r="Q445" s="13"/>
      <c r="R445" s="13"/>
      <c r="S445" s="13"/>
      <c r="T445" s="69"/>
      <c r="U445" s="69"/>
      <c r="V445" s="89" t="str">
        <f>IFERROR(__xludf.DUMMYFUNCTION("INDEX(SPLIT(SUBSTITUTE(W445,CHAR(10), """"),"",:""), MATCH(Z445, SPLIT(SUBSTITUTE(W445,CHAR(10), """"),"",:""), 0) + 1)"),"#VALUE!")</f>
        <v>#VALUE!</v>
      </c>
      <c r="W445" s="150"/>
      <c r="X445" s="69"/>
      <c r="Y445" s="41"/>
      <c r="Z445" s="53" t="str">
        <f t="array" ref="Z445">INDEX(Problems!J:J, MATCH(1, (Problems!B:B=B445)*1, 0))</f>
        <v/>
      </c>
      <c r="AA445" s="41"/>
      <c r="AB445" s="41"/>
      <c r="AC445" s="41"/>
      <c r="AD445" s="41"/>
      <c r="AE445" s="85" t="str">
        <f>IFERROR(__xludf.DUMMYFUNCTION("INDEX(SPLIT(SUBSTITUTE(AF445,CHAR(10), """"),"",:""), MATCH(Z445, SPLIT(SUBSTITUTE(AF445,CHAR(10), """"),"",:""), 0) + 1)"),"#VALUE!")</f>
        <v>#VALUE!</v>
      </c>
      <c r="AF445" s="102"/>
      <c r="AG445" s="41"/>
      <c r="AH445" s="41"/>
      <c r="AI445" s="104"/>
      <c r="AJ445" s="84" t="s">
        <v>2520</v>
      </c>
      <c r="AK445" s="104"/>
      <c r="AL445" s="35">
        <v>0.0</v>
      </c>
      <c r="AM445" s="104"/>
      <c r="AN445" s="35">
        <v>1.0</v>
      </c>
      <c r="AO445" s="110"/>
      <c r="AP445" s="35">
        <v>0.0</v>
      </c>
      <c r="AQ445" s="35">
        <v>0.0</v>
      </c>
      <c r="AR445" s="69"/>
      <c r="AS445" s="98">
        <v>0.0</v>
      </c>
      <c r="AT445" s="98">
        <v>0.0</v>
      </c>
      <c r="AU445" s="69"/>
      <c r="AV445" s="13"/>
      <c r="AW445" s="13"/>
      <c r="AX445" s="13"/>
      <c r="AY445" s="13"/>
      <c r="AZ445" s="6"/>
      <c r="BA445" s="6"/>
      <c r="BB445" s="6"/>
      <c r="BC445" s="6"/>
      <c r="BD445" s="6"/>
      <c r="BE445" s="6"/>
      <c r="BF445" s="6" t="s">
        <v>1944</v>
      </c>
      <c r="BG445" s="13"/>
      <c r="BH445" s="13"/>
      <c r="BI445" s="13"/>
      <c r="BJ445" s="13"/>
      <c r="BK445" s="13"/>
      <c r="BL445" s="13"/>
      <c r="BM445" s="13"/>
      <c r="BN445" s="6"/>
      <c r="BO445" s="6">
        <v>1.0</v>
      </c>
      <c r="BP445" s="13"/>
      <c r="BQ445" s="13"/>
      <c r="BR445" s="6" t="s">
        <v>411</v>
      </c>
    </row>
    <row r="446">
      <c r="A446" s="35">
        <v>111.0</v>
      </c>
      <c r="B446" s="35" t="s">
        <v>1064</v>
      </c>
      <c r="C446" s="53">
        <v>0.0</v>
      </c>
      <c r="D446" s="53" t="s">
        <v>1064</v>
      </c>
      <c r="E446" s="7">
        <v>893.0</v>
      </c>
      <c r="F446" s="53"/>
      <c r="G446" s="6"/>
      <c r="H446" s="35">
        <v>0.0</v>
      </c>
      <c r="I446" s="35">
        <v>0.0</v>
      </c>
      <c r="J446" s="69" t="s">
        <v>1937</v>
      </c>
      <c r="K446" s="99"/>
      <c r="L446" s="99"/>
      <c r="M446" s="39" t="str">
        <f t="shared" si="1"/>
        <v>[ Bertsekas &amp; Castanon; 1999;  (1999)]</v>
      </c>
      <c r="N446" s="69" t="s">
        <v>3583</v>
      </c>
      <c r="O446" s="98">
        <v>1999.0</v>
      </c>
      <c r="P446" s="69"/>
      <c r="Q446" s="13"/>
      <c r="R446" s="13"/>
      <c r="S446" s="13"/>
      <c r="T446" s="69"/>
      <c r="U446" s="69"/>
      <c r="V446" s="89" t="str">
        <f>IFERROR(__xludf.DUMMYFUNCTION("INDEX(SPLIT(SUBSTITUTE(W446,CHAR(10), """"),"",:""), MATCH(Z446, SPLIT(SUBSTITUTE(W446,CHAR(10), """"),"",:""), 0) + 1)"),"#VALUE!")</f>
        <v>#VALUE!</v>
      </c>
      <c r="W446" s="150"/>
      <c r="X446" s="69"/>
      <c r="Y446" s="41"/>
      <c r="Z446" s="53" t="str">
        <f t="array" ref="Z446">INDEX(Problems!J:J, MATCH(1, (Problems!B:B=B446)*1, 0))</f>
        <v/>
      </c>
      <c r="AA446" s="41"/>
      <c r="AB446" s="41"/>
      <c r="AC446" s="41"/>
      <c r="AD446" s="41"/>
      <c r="AE446" s="85" t="str">
        <f>IFERROR(__xludf.DUMMYFUNCTION("INDEX(SPLIT(SUBSTITUTE(AF446,CHAR(10), """"),"",:""), MATCH(Z446, SPLIT(SUBSTITUTE(AF446,CHAR(10), """"),"",:""), 0) + 1)"),"#VALUE!")</f>
        <v>#VALUE!</v>
      </c>
      <c r="AF446" s="102"/>
      <c r="AG446" s="41"/>
      <c r="AH446" s="41"/>
      <c r="AI446" s="104"/>
      <c r="AJ446" s="84" t="s">
        <v>2520</v>
      </c>
      <c r="AK446" s="104"/>
      <c r="AL446" s="35">
        <v>0.0</v>
      </c>
      <c r="AM446" s="104"/>
      <c r="AN446" s="35">
        <v>1.0</v>
      </c>
      <c r="AO446" s="110"/>
      <c r="AP446" s="35">
        <v>0.0</v>
      </c>
      <c r="AQ446" s="35">
        <v>0.0</v>
      </c>
      <c r="AR446" s="69"/>
      <c r="AS446" s="98">
        <v>0.0</v>
      </c>
      <c r="AT446" s="98">
        <v>0.0</v>
      </c>
      <c r="AU446" s="69"/>
      <c r="AV446" s="13"/>
      <c r="AW446" s="13"/>
      <c r="AX446" s="13"/>
      <c r="AY446" s="13"/>
      <c r="AZ446" s="6"/>
      <c r="BA446" s="6"/>
      <c r="BB446" s="6"/>
      <c r="BC446" s="6"/>
      <c r="BD446" s="6"/>
      <c r="BE446" s="6"/>
      <c r="BF446" s="6" t="s">
        <v>1944</v>
      </c>
      <c r="BG446" s="13"/>
      <c r="BH446" s="13"/>
      <c r="BI446" s="13"/>
      <c r="BJ446" s="13"/>
      <c r="BK446" s="13"/>
      <c r="BL446" s="13"/>
      <c r="BM446" s="13"/>
      <c r="BN446" s="6"/>
      <c r="BO446" s="6">
        <v>1.0</v>
      </c>
      <c r="BP446" s="13"/>
      <c r="BQ446" s="13"/>
      <c r="BR446" s="6" t="s">
        <v>411</v>
      </c>
    </row>
    <row r="447">
      <c r="A447" s="35">
        <v>111.0</v>
      </c>
      <c r="B447" s="35" t="s">
        <v>1064</v>
      </c>
      <c r="C447" s="53">
        <v>0.0</v>
      </c>
      <c r="D447" s="53" t="s">
        <v>1064</v>
      </c>
      <c r="E447" s="7">
        <v>894.0</v>
      </c>
      <c r="F447" s="53"/>
      <c r="G447" s="6"/>
      <c r="H447" s="35">
        <v>0.0</v>
      </c>
      <c r="I447" s="35">
        <v>0.0</v>
      </c>
      <c r="J447" s="69" t="s">
        <v>1937</v>
      </c>
      <c r="K447" s="99"/>
      <c r="L447" s="99"/>
      <c r="M447" s="39" t="str">
        <f t="shared" si="1"/>
        <v>[ Shani; Brafman; &amp; Shimony; 2005 (2005)]</v>
      </c>
      <c r="N447" s="69" t="s">
        <v>3584</v>
      </c>
      <c r="O447" s="98">
        <v>2005.0</v>
      </c>
      <c r="P447" s="69"/>
      <c r="Q447" s="13"/>
      <c r="R447" s="13"/>
      <c r="S447" s="13"/>
      <c r="T447" s="69"/>
      <c r="U447" s="69"/>
      <c r="V447" s="89" t="str">
        <f>IFERROR(__xludf.DUMMYFUNCTION("INDEX(SPLIT(SUBSTITUTE(W447,CHAR(10), """"),"",:""), MATCH(Z447, SPLIT(SUBSTITUTE(W447,CHAR(10), """"),"",:""), 0) + 1)"),"#VALUE!")</f>
        <v>#VALUE!</v>
      </c>
      <c r="W447" s="150"/>
      <c r="X447" s="69"/>
      <c r="Y447" s="41"/>
      <c r="Z447" s="53" t="str">
        <f t="array" ref="Z447">INDEX(Problems!J:J, MATCH(1, (Problems!B:B=B447)*1, 0))</f>
        <v/>
      </c>
      <c r="AA447" s="41"/>
      <c r="AB447" s="41"/>
      <c r="AC447" s="41"/>
      <c r="AD447" s="41"/>
      <c r="AE447" s="85" t="str">
        <f>IFERROR(__xludf.DUMMYFUNCTION("INDEX(SPLIT(SUBSTITUTE(AF447,CHAR(10), """"),"",:""), MATCH(Z447, SPLIT(SUBSTITUTE(AF447,CHAR(10), """"),"",:""), 0) + 1)"),"#VALUE!")</f>
        <v>#VALUE!</v>
      </c>
      <c r="AF447" s="102"/>
      <c r="AG447" s="41"/>
      <c r="AH447" s="41"/>
      <c r="AI447" s="104"/>
      <c r="AJ447" s="84" t="s">
        <v>2520</v>
      </c>
      <c r="AK447" s="104"/>
      <c r="AL447" s="35">
        <v>0.0</v>
      </c>
      <c r="AM447" s="104"/>
      <c r="AN447" s="35">
        <v>1.0</v>
      </c>
      <c r="AO447" s="110"/>
      <c r="AP447" s="35">
        <v>0.0</v>
      </c>
      <c r="AQ447" s="35">
        <v>0.0</v>
      </c>
      <c r="AR447" s="69"/>
      <c r="AS447" s="98">
        <v>0.0</v>
      </c>
      <c r="AT447" s="98">
        <v>0.0</v>
      </c>
      <c r="AU447" s="69"/>
      <c r="AV447" s="13"/>
      <c r="AW447" s="13"/>
      <c r="AX447" s="13"/>
      <c r="AY447" s="13"/>
      <c r="AZ447" s="6"/>
      <c r="BA447" s="6"/>
      <c r="BB447" s="6"/>
      <c r="BC447" s="6"/>
      <c r="BD447" s="6"/>
      <c r="BE447" s="6"/>
      <c r="BF447" s="6" t="s">
        <v>1944</v>
      </c>
      <c r="BG447" s="13"/>
      <c r="BH447" s="13"/>
      <c r="BI447" s="13"/>
      <c r="BJ447" s="13"/>
      <c r="BK447" s="13"/>
      <c r="BL447" s="13"/>
      <c r="BM447" s="13"/>
      <c r="BN447" s="6"/>
      <c r="BO447" s="6">
        <v>1.0</v>
      </c>
      <c r="BP447" s="13"/>
      <c r="BQ447" s="13"/>
      <c r="BR447" s="6" t="s">
        <v>411</v>
      </c>
    </row>
    <row r="448">
      <c r="A448" s="35">
        <v>112.0</v>
      </c>
      <c r="B448" s="35" t="s">
        <v>1068</v>
      </c>
      <c r="C448" s="53">
        <v>2.0</v>
      </c>
      <c r="D448" s="53" t="s">
        <v>1068</v>
      </c>
      <c r="E448" s="7">
        <v>895.0</v>
      </c>
      <c r="F448" s="53" t="s">
        <v>3585</v>
      </c>
      <c r="G448" s="6"/>
      <c r="H448" s="35">
        <v>0.0</v>
      </c>
      <c r="I448" s="35">
        <v>0.0</v>
      </c>
      <c r="J448" s="69" t="s">
        <v>3586</v>
      </c>
      <c r="K448" s="99"/>
      <c r="L448" s="99"/>
      <c r="M448" s="39" t="str">
        <f t="shared" si="1"/>
        <v>[Hearn, Baker (1997) pg. 87 Digital Differential Analyzer (DDA) (1983)]</v>
      </c>
      <c r="N448" s="69" t="s">
        <v>3587</v>
      </c>
      <c r="O448" s="98">
        <v>1983.0</v>
      </c>
      <c r="P448" s="35" t="s">
        <v>3588</v>
      </c>
      <c r="Q448" s="13"/>
      <c r="R448" s="13"/>
      <c r="S448" s="13"/>
      <c r="T448" s="35">
        <v>1.0</v>
      </c>
      <c r="U448" s="35">
        <v>0.0</v>
      </c>
      <c r="V448" s="89">
        <f>IFERROR(__xludf.DUMMYFUNCTION("INDEX(SPLIT(SUBSTITUTE(W448,CHAR(10), """"),"",:""), MATCH(Z448, SPLIT(SUBSTITUTE(W448,CHAR(10), """"),"",:""), 0) + 1)"),3.0)</f>
        <v>3</v>
      </c>
      <c r="W448" s="102" t="s">
        <v>1763</v>
      </c>
      <c r="X448" s="104" t="s">
        <v>35</v>
      </c>
      <c r="Y448" s="41" t="s">
        <v>3589</v>
      </c>
      <c r="Z448" s="53" t="str">
        <f t="array" ref="Z448">INDEX(Problems!J:J, MATCH(1, (Problems!B:B=B448)*1, 0))</f>
        <v>n</v>
      </c>
      <c r="AA448" s="41"/>
      <c r="AB448" s="41"/>
      <c r="AC448" s="41" t="s">
        <v>1813</v>
      </c>
      <c r="AD448" s="41" t="s">
        <v>3590</v>
      </c>
      <c r="AE448" s="85">
        <f>IFERROR(__xludf.DUMMYFUNCTION("INDEX(SPLIT(SUBSTITUTE(AF448,CHAR(10), """"),"",:""), MATCH(Z448, SPLIT(SUBSTITUTE(AF448,CHAR(10), """"),"",:""), 0) + 1)"),1.0)</f>
        <v>1</v>
      </c>
      <c r="AF448" s="102" t="s">
        <v>1774</v>
      </c>
      <c r="AG448" s="41" t="s">
        <v>34</v>
      </c>
      <c r="AH448" s="41" t="s">
        <v>3591</v>
      </c>
      <c r="AI448" s="104">
        <v>1.0</v>
      </c>
      <c r="AJ448" s="84">
        <v>0.0</v>
      </c>
      <c r="AK448" s="104"/>
      <c r="AL448" s="35">
        <v>0.0</v>
      </c>
      <c r="AM448" s="104"/>
      <c r="AN448" s="35">
        <v>1.0</v>
      </c>
      <c r="AO448" s="104" t="s">
        <v>2489</v>
      </c>
      <c r="AP448" s="35">
        <v>0.0</v>
      </c>
      <c r="AQ448" s="35">
        <v>0.0</v>
      </c>
      <c r="AR448" s="69"/>
      <c r="AS448" s="98">
        <v>0.0</v>
      </c>
      <c r="AT448" s="98">
        <v>0.0</v>
      </c>
      <c r="AU448" s="69"/>
      <c r="AV448" s="13"/>
      <c r="AW448" s="13"/>
      <c r="AX448" s="13"/>
      <c r="AY448" s="13"/>
      <c r="AZ448" s="6"/>
      <c r="BA448" s="6"/>
      <c r="BB448" s="6"/>
      <c r="BC448" s="6"/>
      <c r="BD448" s="6"/>
      <c r="BE448" s="6"/>
      <c r="BF448" s="6">
        <v>223088.0</v>
      </c>
      <c r="BG448" s="13"/>
      <c r="BH448" s="13"/>
      <c r="BI448" s="13"/>
      <c r="BJ448" s="13"/>
      <c r="BK448" s="13"/>
      <c r="BL448" s="13"/>
      <c r="BM448" s="13"/>
      <c r="BN448" s="6"/>
      <c r="BO448" s="6">
        <v>4.0</v>
      </c>
      <c r="BP448" s="13"/>
      <c r="BQ448" s="13"/>
      <c r="BR448" s="6" t="s">
        <v>196</v>
      </c>
    </row>
    <row r="449">
      <c r="A449" s="35">
        <v>112.0</v>
      </c>
      <c r="B449" s="35" t="s">
        <v>1068</v>
      </c>
      <c r="C449" s="53">
        <v>2.0</v>
      </c>
      <c r="D449" s="53" t="s">
        <v>1068</v>
      </c>
      <c r="E449" s="7">
        <v>896.0</v>
      </c>
      <c r="F449" s="53"/>
      <c r="G449" s="6"/>
      <c r="H449" s="35">
        <v>0.0</v>
      </c>
      <c r="I449" s="35">
        <v>0.0</v>
      </c>
      <c r="J449" s="69" t="s">
        <v>115</v>
      </c>
      <c r="K449" s="99"/>
      <c r="L449" s="99"/>
      <c r="M449" s="39" t="str">
        <f t="shared" si="1"/>
        <v>[Hearn, Baker (1997) pg. 88 Bresenham Algorithm (1962)]</v>
      </c>
      <c r="N449" s="69" t="s">
        <v>3592</v>
      </c>
      <c r="O449" s="98">
        <v>1962.0</v>
      </c>
      <c r="P449" s="35" t="s">
        <v>3593</v>
      </c>
      <c r="Q449" s="13"/>
      <c r="R449" s="13"/>
      <c r="S449" s="13"/>
      <c r="T449" s="35">
        <v>1.0</v>
      </c>
      <c r="U449" s="35">
        <v>0.0</v>
      </c>
      <c r="V449" s="89">
        <f>IFERROR(__xludf.DUMMYFUNCTION("INDEX(SPLIT(SUBSTITUTE(W449,CHAR(10), """"),"",:""), MATCH(Z449, SPLIT(SUBSTITUTE(W449,CHAR(10), """"),"",:""), 0) + 1)"),3.0)</f>
        <v>3</v>
      </c>
      <c r="W449" s="102" t="s">
        <v>1763</v>
      </c>
      <c r="X449" s="104" t="s">
        <v>35</v>
      </c>
      <c r="Y449" s="41" t="s">
        <v>3589</v>
      </c>
      <c r="Z449" s="53" t="str">
        <f t="array" ref="Z449">INDEX(Problems!J:J, MATCH(1, (Problems!B:B=B449)*1, 0))</f>
        <v>n</v>
      </c>
      <c r="AA449" s="41"/>
      <c r="AB449" s="41"/>
      <c r="AC449" s="41" t="s">
        <v>1813</v>
      </c>
      <c r="AD449" s="41" t="s">
        <v>3590</v>
      </c>
      <c r="AE449" s="85">
        <f>IFERROR(__xludf.DUMMYFUNCTION("INDEX(SPLIT(SUBSTITUTE(AF449,CHAR(10), """"),"",:""), MATCH(Z449, SPLIT(SUBSTITUTE(AF449,CHAR(10), """"),"",:""), 0) + 1)"),1.0)</f>
        <v>1</v>
      </c>
      <c r="AF449" s="102" t="s">
        <v>1774</v>
      </c>
      <c r="AG449" s="41" t="s">
        <v>34</v>
      </c>
      <c r="AH449" s="41" t="s">
        <v>3591</v>
      </c>
      <c r="AI449" s="104">
        <v>1.0</v>
      </c>
      <c r="AJ449" s="84">
        <v>0.0</v>
      </c>
      <c r="AK449" s="104"/>
      <c r="AL449" s="35">
        <v>0.0</v>
      </c>
      <c r="AM449" s="104"/>
      <c r="AN449" s="35">
        <v>1.0</v>
      </c>
      <c r="AO449" s="104" t="s">
        <v>2489</v>
      </c>
      <c r="AP449" s="35">
        <v>0.0</v>
      </c>
      <c r="AQ449" s="35">
        <v>0.0</v>
      </c>
      <c r="AR449" s="69"/>
      <c r="AS449" s="98">
        <v>0.0</v>
      </c>
      <c r="AT449" s="98">
        <v>0.0</v>
      </c>
      <c r="AU449" s="69"/>
      <c r="AV449" s="13"/>
      <c r="AW449" s="13"/>
      <c r="AX449" s="13"/>
      <c r="AY449" s="13"/>
      <c r="AZ449" s="6"/>
      <c r="BA449" s="6"/>
      <c r="BB449" s="6"/>
      <c r="BC449" s="6"/>
      <c r="BD449" s="6"/>
      <c r="BE449" s="6"/>
      <c r="BF449" s="6">
        <v>1000000.0</v>
      </c>
      <c r="BG449" s="13"/>
      <c r="BH449" s="13"/>
      <c r="BI449" s="13"/>
      <c r="BJ449" s="13"/>
      <c r="BK449" s="13"/>
      <c r="BL449" s="13"/>
      <c r="BM449" s="13"/>
      <c r="BN449" s="6"/>
      <c r="BO449" s="6">
        <v>4.0</v>
      </c>
      <c r="BP449" s="13"/>
      <c r="BQ449" s="13"/>
      <c r="BR449" s="6" t="s">
        <v>196</v>
      </c>
    </row>
    <row r="450">
      <c r="A450" s="35">
        <v>113.0</v>
      </c>
      <c r="B450" s="35" t="s">
        <v>1044</v>
      </c>
      <c r="C450" s="53">
        <v>0.0</v>
      </c>
      <c r="D450" s="53" t="s">
        <v>1071</v>
      </c>
      <c r="E450" s="7">
        <v>897.0</v>
      </c>
      <c r="F450" s="53"/>
      <c r="G450" s="6"/>
      <c r="H450" s="35">
        <v>0.0</v>
      </c>
      <c r="I450" s="35">
        <v>0.0</v>
      </c>
      <c r="J450" s="69" t="s">
        <v>1937</v>
      </c>
      <c r="K450" s="99"/>
      <c r="L450" s="99"/>
      <c r="M450" s="39" t="str">
        <f t="shared" si="1"/>
        <v>[ Blinn and Newell (1976)]</v>
      </c>
      <c r="N450" s="35" t="s">
        <v>3594</v>
      </c>
      <c r="O450" s="98">
        <v>1976.0</v>
      </c>
      <c r="P450" s="69"/>
      <c r="Q450" s="13"/>
      <c r="R450" s="13"/>
      <c r="S450" s="13"/>
      <c r="T450" s="69"/>
      <c r="U450" s="69"/>
      <c r="V450" s="89" t="str">
        <f>IFERROR(__xludf.DUMMYFUNCTION("INDEX(SPLIT(SUBSTITUTE(W450,CHAR(10), """"),"",:""), MATCH(Z450, SPLIT(SUBSTITUTE(W450,CHAR(10), """"),"",:""), 0) + 1)"),"#VALUE!")</f>
        <v>#VALUE!</v>
      </c>
      <c r="W450" s="150"/>
      <c r="X450" s="69" t="s">
        <v>1937</v>
      </c>
      <c r="Y450" s="41"/>
      <c r="Z450" s="53" t="str">
        <f t="array" ref="Z450">INDEX(Problems!J:J, MATCH(1, (Problems!B:B=B450)*1, 0))</f>
        <v>n</v>
      </c>
      <c r="AA450" s="41"/>
      <c r="AB450" s="41"/>
      <c r="AC450" s="41"/>
      <c r="AD450" s="41"/>
      <c r="AE450" s="85" t="str">
        <f>IFERROR(__xludf.DUMMYFUNCTION("INDEX(SPLIT(SUBSTITUTE(AF450,CHAR(10), """"),"",:""), MATCH(Z450, SPLIT(SUBSTITUTE(AF450,CHAR(10), """"),"",:""), 0) + 1)"),"#VALUE!")</f>
        <v>#VALUE!</v>
      </c>
      <c r="AF450" s="102"/>
      <c r="AG450" s="41"/>
      <c r="AH450" s="41"/>
      <c r="AI450" s="104"/>
      <c r="AJ450" s="84" t="s">
        <v>2520</v>
      </c>
      <c r="AK450" s="104"/>
      <c r="AL450" s="35">
        <v>0.0</v>
      </c>
      <c r="AM450" s="104"/>
      <c r="AN450" s="35">
        <v>1.0</v>
      </c>
      <c r="AO450" s="110"/>
      <c r="AP450" s="35">
        <v>0.0</v>
      </c>
      <c r="AQ450" s="35">
        <v>0.0</v>
      </c>
      <c r="AR450" s="69"/>
      <c r="AS450" s="98">
        <v>0.0</v>
      </c>
      <c r="AT450" s="98">
        <v>0.0</v>
      </c>
      <c r="AU450" s="69"/>
      <c r="AV450" s="13"/>
      <c r="AW450" s="13"/>
      <c r="AX450" s="13"/>
      <c r="AY450" s="13"/>
      <c r="AZ450" s="13"/>
      <c r="BA450" s="13"/>
      <c r="BB450" s="13"/>
      <c r="BC450" s="13"/>
      <c r="BD450" s="13"/>
      <c r="BE450" s="13"/>
      <c r="BF450" s="13"/>
      <c r="BG450" s="13"/>
      <c r="BH450" s="13"/>
      <c r="BI450" s="13"/>
      <c r="BJ450" s="13"/>
      <c r="BK450" s="13"/>
      <c r="BL450" s="13"/>
      <c r="BM450" s="13"/>
      <c r="BN450" s="6"/>
      <c r="BO450" s="6">
        <v>2.0</v>
      </c>
      <c r="BP450" s="13"/>
      <c r="BQ450" s="13"/>
      <c r="BR450" s="6" t="s">
        <v>411</v>
      </c>
    </row>
    <row r="451">
      <c r="A451" s="35">
        <v>113.0</v>
      </c>
      <c r="B451" s="35" t="s">
        <v>1044</v>
      </c>
      <c r="C451" s="53">
        <v>0.0</v>
      </c>
      <c r="D451" s="53" t="s">
        <v>1071</v>
      </c>
      <c r="E451" s="7">
        <v>898.0</v>
      </c>
      <c r="F451" s="53"/>
      <c r="G451" s="6"/>
      <c r="H451" s="35">
        <v>0.0</v>
      </c>
      <c r="I451" s="35">
        <v>0.0</v>
      </c>
      <c r="J451" s="69" t="s">
        <v>3153</v>
      </c>
      <c r="K451" s="99"/>
      <c r="L451" s="99"/>
      <c r="M451" s="39" t="str">
        <f t="shared" si="1"/>
        <v>[  Nate Green (1986)]</v>
      </c>
      <c r="N451" s="35" t="s">
        <v>3595</v>
      </c>
      <c r="O451" s="98">
        <v>1986.0</v>
      </c>
      <c r="P451" s="69"/>
      <c r="Q451" s="13"/>
      <c r="R451" s="13"/>
      <c r="S451" s="13"/>
      <c r="T451" s="69"/>
      <c r="U451" s="69"/>
      <c r="V451" s="89">
        <f>IFERROR(__xludf.DUMMYFUNCTION("INDEX(SPLIT(SUBSTITUTE(W451,CHAR(10), """"),"",:""), MATCH(Z451, SPLIT(SUBSTITUTE(W451,CHAR(10), """"),"",:""), 0) + 1)"),7.0)</f>
        <v>7</v>
      </c>
      <c r="W451" s="102" t="s">
        <v>2517</v>
      </c>
      <c r="X451" s="69" t="s">
        <v>3153</v>
      </c>
      <c r="Y451" s="41"/>
      <c r="Z451" s="53" t="str">
        <f t="array" ref="Z451">INDEX(Problems!J:J, MATCH(1, (Problems!B:B=B451)*1, 0))</f>
        <v>n</v>
      </c>
      <c r="AA451" s="41"/>
      <c r="AB451" s="41"/>
      <c r="AC451" s="41"/>
      <c r="AD451" s="41"/>
      <c r="AE451" s="85" t="str">
        <f>IFERROR(__xludf.DUMMYFUNCTION("INDEX(SPLIT(SUBSTITUTE(AF451,CHAR(10), """"),"",:""), MATCH(Z451, SPLIT(SUBSTITUTE(AF451,CHAR(10), """"),"",:""), 0) + 1)"),"#VALUE!")</f>
        <v>#VALUE!</v>
      </c>
      <c r="AF451" s="102"/>
      <c r="AG451" s="41"/>
      <c r="AH451" s="41"/>
      <c r="AI451" s="104"/>
      <c r="AJ451" s="84" t="s">
        <v>2520</v>
      </c>
      <c r="AK451" s="104"/>
      <c r="AL451" s="35">
        <v>0.0</v>
      </c>
      <c r="AM451" s="104"/>
      <c r="AN451" s="35">
        <v>1.0</v>
      </c>
      <c r="AO451" s="110"/>
      <c r="AP451" s="35">
        <v>0.0</v>
      </c>
      <c r="AQ451" s="35">
        <v>0.0</v>
      </c>
      <c r="AR451" s="69"/>
      <c r="AS451" s="98">
        <v>0.0</v>
      </c>
      <c r="AT451" s="98">
        <v>0.0</v>
      </c>
      <c r="AU451" s="69"/>
      <c r="AV451" s="13"/>
      <c r="AW451" s="13"/>
      <c r="AX451" s="13"/>
      <c r="AY451" s="13"/>
      <c r="AZ451" s="6"/>
      <c r="BA451" s="6"/>
      <c r="BB451" s="6"/>
      <c r="BC451" s="6"/>
      <c r="BD451" s="6"/>
      <c r="BE451" s="6"/>
      <c r="BF451" s="6">
        <v>1.0E12</v>
      </c>
      <c r="BG451" s="13"/>
      <c r="BH451" s="13"/>
      <c r="BI451" s="13"/>
      <c r="BJ451" s="13"/>
      <c r="BK451" s="13"/>
      <c r="BL451" s="13"/>
      <c r="BM451" s="13"/>
      <c r="BN451" s="6"/>
      <c r="BO451" s="6">
        <v>2.0</v>
      </c>
      <c r="BP451" s="13"/>
      <c r="BQ451" s="13"/>
      <c r="BR451" s="6" t="s">
        <v>411</v>
      </c>
    </row>
    <row r="452">
      <c r="A452" s="35">
        <v>113.0</v>
      </c>
      <c r="B452" s="35" t="s">
        <v>1044</v>
      </c>
      <c r="C452" s="53">
        <v>0.0</v>
      </c>
      <c r="D452" s="53" t="s">
        <v>1071</v>
      </c>
      <c r="E452" s="7">
        <v>899.0</v>
      </c>
      <c r="F452" s="53"/>
      <c r="G452" s="6"/>
      <c r="H452" s="35">
        <v>0.0</v>
      </c>
      <c r="I452" s="35">
        <v>0.0</v>
      </c>
      <c r="J452" s="69" t="s">
        <v>1937</v>
      </c>
      <c r="K452" s="99"/>
      <c r="L452" s="99"/>
      <c r="M452" s="39" t="str">
        <f t="shared" si="1"/>
        <v>[ Sphere mapping (1984)]</v>
      </c>
      <c r="N452" s="69" t="s">
        <v>3596</v>
      </c>
      <c r="O452" s="98">
        <v>1984.0</v>
      </c>
      <c r="P452" s="69"/>
      <c r="Q452" s="13"/>
      <c r="R452" s="13"/>
      <c r="S452" s="13"/>
      <c r="T452" s="69"/>
      <c r="U452" s="69"/>
      <c r="V452" s="89" t="str">
        <f>IFERROR(__xludf.DUMMYFUNCTION("INDEX(SPLIT(SUBSTITUTE(W452,CHAR(10), """"),"",:""), MATCH(Z452, SPLIT(SUBSTITUTE(W452,CHAR(10), """"),"",:""), 0) + 1)"),"#VALUE!")</f>
        <v>#VALUE!</v>
      </c>
      <c r="W452" s="150"/>
      <c r="X452" s="69" t="s">
        <v>1937</v>
      </c>
      <c r="Y452" s="41"/>
      <c r="Z452" s="53" t="str">
        <f t="array" ref="Z452">INDEX(Problems!J:J, MATCH(1, (Problems!B:B=B452)*1, 0))</f>
        <v>n</v>
      </c>
      <c r="AA452" s="41"/>
      <c r="AB452" s="41"/>
      <c r="AC452" s="41"/>
      <c r="AD452" s="41"/>
      <c r="AE452" s="85" t="str">
        <f>IFERROR(__xludf.DUMMYFUNCTION("INDEX(SPLIT(SUBSTITUTE(AF452,CHAR(10), """"),"",:""), MATCH(Z452, SPLIT(SUBSTITUTE(AF452,CHAR(10), """"),"",:""), 0) + 1)"),"#VALUE!")</f>
        <v>#VALUE!</v>
      </c>
      <c r="AF452" s="102"/>
      <c r="AG452" s="41"/>
      <c r="AH452" s="41"/>
      <c r="AI452" s="104"/>
      <c r="AJ452" s="84" t="s">
        <v>2520</v>
      </c>
      <c r="AK452" s="104"/>
      <c r="AL452" s="35">
        <v>0.0</v>
      </c>
      <c r="AM452" s="104"/>
      <c r="AN452" s="35">
        <v>1.0</v>
      </c>
      <c r="AO452" s="110"/>
      <c r="AP452" s="35">
        <v>0.0</v>
      </c>
      <c r="AQ452" s="35">
        <v>0.0</v>
      </c>
      <c r="AR452" s="69"/>
      <c r="AS452" s="98">
        <v>0.0</v>
      </c>
      <c r="AT452" s="98">
        <v>0.0</v>
      </c>
      <c r="AU452" s="69"/>
      <c r="AV452" s="13"/>
      <c r="AW452" s="13"/>
      <c r="AX452" s="13"/>
      <c r="AY452" s="13"/>
      <c r="AZ452" s="13"/>
      <c r="BA452" s="13"/>
      <c r="BB452" s="13"/>
      <c r="BC452" s="13"/>
      <c r="BD452" s="13"/>
      <c r="BE452" s="13"/>
      <c r="BF452" s="13"/>
      <c r="BG452" s="13"/>
      <c r="BH452" s="13"/>
      <c r="BI452" s="13"/>
      <c r="BJ452" s="13"/>
      <c r="BK452" s="13"/>
      <c r="BL452" s="13"/>
      <c r="BM452" s="13"/>
      <c r="BN452" s="6"/>
      <c r="BO452" s="6">
        <v>2.0</v>
      </c>
      <c r="BP452" s="13"/>
      <c r="BQ452" s="13"/>
      <c r="BR452" s="6" t="s">
        <v>411</v>
      </c>
    </row>
    <row r="453">
      <c r="A453" s="35">
        <v>113.0</v>
      </c>
      <c r="B453" s="35" t="s">
        <v>1044</v>
      </c>
      <c r="C453" s="53">
        <v>0.0</v>
      </c>
      <c r="D453" s="53" t="s">
        <v>1071</v>
      </c>
      <c r="E453" s="7">
        <v>900.0</v>
      </c>
      <c r="F453" s="53"/>
      <c r="G453" s="6"/>
      <c r="H453" s="35">
        <v>0.0</v>
      </c>
      <c r="I453" s="35">
        <v>0.0</v>
      </c>
      <c r="J453" s="69" t="s">
        <v>834</v>
      </c>
      <c r="K453" s="99"/>
      <c r="L453" s="99"/>
      <c r="M453" s="39" t="str">
        <f t="shared" si="1"/>
        <v>[ Heidrich; W.; and H.-P. Seidel (1998)]</v>
      </c>
      <c r="N453" s="35" t="s">
        <v>3597</v>
      </c>
      <c r="O453" s="98">
        <v>1998.0</v>
      </c>
      <c r="P453" s="69"/>
      <c r="Q453" s="13"/>
      <c r="R453" s="13"/>
      <c r="S453" s="13"/>
      <c r="T453" s="69"/>
      <c r="U453" s="69"/>
      <c r="V453" s="89">
        <f>IFERROR(__xludf.DUMMYFUNCTION("INDEX(SPLIT(SUBSTITUTE(W453,CHAR(10), """"),"",:""), MATCH(Z453, SPLIT(SUBSTITUTE(W453,CHAR(10), """"),"",:""), 0) + 1)"),6.0)</f>
        <v>6</v>
      </c>
      <c r="W453" s="102" t="s">
        <v>2008</v>
      </c>
      <c r="X453" s="69" t="s">
        <v>834</v>
      </c>
      <c r="Y453" s="41"/>
      <c r="Z453" s="53" t="str">
        <f t="array" ref="Z453">INDEX(Problems!J:J, MATCH(1, (Problems!B:B=B453)*1, 0))</f>
        <v>n</v>
      </c>
      <c r="AA453" s="41"/>
      <c r="AB453" s="41"/>
      <c r="AC453" s="41"/>
      <c r="AD453" s="41"/>
      <c r="AE453" s="85" t="str">
        <f>IFERROR(__xludf.DUMMYFUNCTION("INDEX(SPLIT(SUBSTITUTE(AF453,CHAR(10), """"),"",:""), MATCH(Z453, SPLIT(SUBSTITUTE(AF453,CHAR(10), """"),"",:""), 0) + 1)"),"#VALUE!")</f>
        <v>#VALUE!</v>
      </c>
      <c r="AF453" s="102"/>
      <c r="AG453" s="41"/>
      <c r="AH453" s="41"/>
      <c r="AI453" s="104"/>
      <c r="AJ453" s="84" t="s">
        <v>2520</v>
      </c>
      <c r="AK453" s="104"/>
      <c r="AL453" s="35">
        <v>0.0</v>
      </c>
      <c r="AM453" s="104"/>
      <c r="AN453" s="35">
        <v>1.0</v>
      </c>
      <c r="AO453" s="110"/>
      <c r="AP453" s="35">
        <v>0.0</v>
      </c>
      <c r="AQ453" s="35">
        <v>0.0</v>
      </c>
      <c r="AR453" s="69"/>
      <c r="AS453" s="98">
        <v>0.0</v>
      </c>
      <c r="AT453" s="98">
        <v>0.0</v>
      </c>
      <c r="AU453" s="69"/>
      <c r="AV453" s="13"/>
      <c r="AW453" s="13"/>
      <c r="AX453" s="13"/>
      <c r="AY453" s="13"/>
      <c r="AZ453" s="6"/>
      <c r="BA453" s="6"/>
      <c r="BB453" s="6"/>
      <c r="BC453" s="6"/>
      <c r="BD453" s="6"/>
      <c r="BE453" s="6"/>
      <c r="BF453" s="6">
        <v>1.0E9</v>
      </c>
      <c r="BG453" s="13"/>
      <c r="BH453" s="13"/>
      <c r="BI453" s="13"/>
      <c r="BJ453" s="13"/>
      <c r="BK453" s="13"/>
      <c r="BL453" s="13"/>
      <c r="BM453" s="13"/>
      <c r="BN453" s="6"/>
      <c r="BO453" s="6">
        <v>2.0</v>
      </c>
      <c r="BP453" s="13"/>
      <c r="BQ453" s="13"/>
      <c r="BR453" s="6" t="s">
        <v>411</v>
      </c>
    </row>
    <row r="454">
      <c r="A454" s="35">
        <v>113.0</v>
      </c>
      <c r="B454" s="35" t="s">
        <v>1044</v>
      </c>
      <c r="C454" s="53">
        <v>0.0</v>
      </c>
      <c r="D454" s="53" t="s">
        <v>1071</v>
      </c>
      <c r="E454" s="7">
        <v>901.0</v>
      </c>
      <c r="F454" s="53"/>
      <c r="G454" s="6"/>
      <c r="H454" s="35">
        <v>0.0</v>
      </c>
      <c r="I454" s="35">
        <v>0.0</v>
      </c>
      <c r="J454" s="69" t="s">
        <v>834</v>
      </c>
      <c r="K454" s="99"/>
      <c r="L454" s="99"/>
      <c r="M454" s="39" t="str">
        <f t="shared" si="1"/>
        <v>[ Emil Praun (2003)]</v>
      </c>
      <c r="N454" s="35" t="s">
        <v>3598</v>
      </c>
      <c r="O454" s="98">
        <v>2003.0</v>
      </c>
      <c r="P454" s="69"/>
      <c r="Q454" s="13"/>
      <c r="R454" s="13"/>
      <c r="S454" s="13"/>
      <c r="T454" s="69"/>
      <c r="U454" s="69"/>
      <c r="V454" s="89">
        <f>IFERROR(__xludf.DUMMYFUNCTION("INDEX(SPLIT(SUBSTITUTE(W454,CHAR(10), """"),"",:""), MATCH(Z454, SPLIT(SUBSTITUTE(W454,CHAR(10), """"),"",:""), 0) + 1)"),6.0)</f>
        <v>6</v>
      </c>
      <c r="W454" s="102" t="s">
        <v>2008</v>
      </c>
      <c r="X454" s="69" t="s">
        <v>834</v>
      </c>
      <c r="Y454" s="41"/>
      <c r="Z454" s="53" t="str">
        <f t="array" ref="Z454">INDEX(Problems!J:J, MATCH(1, (Problems!B:B=B454)*1, 0))</f>
        <v>n</v>
      </c>
      <c r="AA454" s="41"/>
      <c r="AB454" s="41"/>
      <c r="AC454" s="41"/>
      <c r="AD454" s="41"/>
      <c r="AE454" s="85" t="str">
        <f>IFERROR(__xludf.DUMMYFUNCTION("INDEX(SPLIT(SUBSTITUTE(AF454,CHAR(10), """"),"",:""), MATCH(Z454, SPLIT(SUBSTITUTE(AF454,CHAR(10), """"),"",:""), 0) + 1)"),"#VALUE!")</f>
        <v>#VALUE!</v>
      </c>
      <c r="AF454" s="102"/>
      <c r="AG454" s="41"/>
      <c r="AH454" s="41"/>
      <c r="AI454" s="104"/>
      <c r="AJ454" s="84" t="s">
        <v>2520</v>
      </c>
      <c r="AK454" s="104"/>
      <c r="AL454" s="35">
        <v>0.0</v>
      </c>
      <c r="AM454" s="104"/>
      <c r="AN454" s="35">
        <v>1.0</v>
      </c>
      <c r="AO454" s="110"/>
      <c r="AP454" s="35">
        <v>0.0</v>
      </c>
      <c r="AQ454" s="35">
        <v>0.0</v>
      </c>
      <c r="AR454" s="69"/>
      <c r="AS454" s="98">
        <v>0.0</v>
      </c>
      <c r="AT454" s="98">
        <v>0.0</v>
      </c>
      <c r="AU454" s="69"/>
      <c r="AV454" s="13"/>
      <c r="AW454" s="13"/>
      <c r="AX454" s="13"/>
      <c r="AY454" s="13"/>
      <c r="AZ454" s="6"/>
      <c r="BA454" s="6"/>
      <c r="BB454" s="6"/>
      <c r="BC454" s="6"/>
      <c r="BD454" s="6"/>
      <c r="BE454" s="6"/>
      <c r="BF454" s="6">
        <v>1.0E9</v>
      </c>
      <c r="BG454" s="13"/>
      <c r="BH454" s="13"/>
      <c r="BI454" s="13"/>
      <c r="BJ454" s="13"/>
      <c r="BK454" s="13"/>
      <c r="BL454" s="13"/>
      <c r="BM454" s="13"/>
      <c r="BN454" s="6"/>
      <c r="BO454" s="6">
        <v>2.0</v>
      </c>
      <c r="BP454" s="13"/>
      <c r="BQ454" s="13"/>
      <c r="BR454" s="6" t="s">
        <v>411</v>
      </c>
    </row>
    <row r="455">
      <c r="A455" s="35">
        <v>113.0</v>
      </c>
      <c r="B455" s="35" t="s">
        <v>1044</v>
      </c>
      <c r="C455" s="53">
        <v>0.0</v>
      </c>
      <c r="D455" s="53" t="s">
        <v>1071</v>
      </c>
      <c r="E455" s="7">
        <v>902.0</v>
      </c>
      <c r="F455" s="53"/>
      <c r="G455" s="6"/>
      <c r="H455" s="35">
        <v>0.0</v>
      </c>
      <c r="I455" s="35">
        <v>0.0</v>
      </c>
      <c r="J455" s="69" t="s">
        <v>1937</v>
      </c>
      <c r="K455" s="99"/>
      <c r="L455" s="99"/>
      <c r="M455" s="39" t="str">
        <f t="shared" si="1"/>
        <v>[ Mauro Steigleder (2005)]</v>
      </c>
      <c r="N455" s="107" t="s">
        <v>3599</v>
      </c>
      <c r="O455" s="98">
        <v>2005.0</v>
      </c>
      <c r="P455" s="69"/>
      <c r="Q455" s="13"/>
      <c r="R455" s="13"/>
      <c r="S455" s="13"/>
      <c r="T455" s="69"/>
      <c r="U455" s="69"/>
      <c r="V455" s="89" t="str">
        <f>IFERROR(__xludf.DUMMYFUNCTION("INDEX(SPLIT(SUBSTITUTE(W455,CHAR(10), """"),"",:""), MATCH(Z455, SPLIT(SUBSTITUTE(W455,CHAR(10), """"),"",:""), 0) + 1)"),"#VALUE!")</f>
        <v>#VALUE!</v>
      </c>
      <c r="W455" s="150"/>
      <c r="X455" s="69" t="s">
        <v>1937</v>
      </c>
      <c r="Y455" s="41"/>
      <c r="Z455" s="53" t="str">
        <f t="array" ref="Z455">INDEX(Problems!J:J, MATCH(1, (Problems!B:B=B455)*1, 0))</f>
        <v>n</v>
      </c>
      <c r="AA455" s="41"/>
      <c r="AB455" s="41"/>
      <c r="AC455" s="41"/>
      <c r="AD455" s="41"/>
      <c r="AE455" s="85" t="str">
        <f>IFERROR(__xludf.DUMMYFUNCTION("INDEX(SPLIT(SUBSTITUTE(AF455,CHAR(10), """"),"",:""), MATCH(Z455, SPLIT(SUBSTITUTE(AF455,CHAR(10), """"),"",:""), 0) + 1)"),"#VALUE!")</f>
        <v>#VALUE!</v>
      </c>
      <c r="AF455" s="102"/>
      <c r="AG455" s="41"/>
      <c r="AH455" s="41"/>
      <c r="AI455" s="104"/>
      <c r="AJ455" s="84" t="s">
        <v>2520</v>
      </c>
      <c r="AK455" s="104"/>
      <c r="AL455" s="35">
        <v>0.0</v>
      </c>
      <c r="AM455" s="104"/>
      <c r="AN455" s="35">
        <v>1.0</v>
      </c>
      <c r="AO455" s="110"/>
      <c r="AP455" s="35">
        <v>0.0</v>
      </c>
      <c r="AQ455" s="35">
        <v>0.0</v>
      </c>
      <c r="AR455" s="69"/>
      <c r="AS455" s="98">
        <v>0.0</v>
      </c>
      <c r="AT455" s="98">
        <v>0.0</v>
      </c>
      <c r="AU455" s="69"/>
      <c r="AV455" s="13"/>
      <c r="AW455" s="13"/>
      <c r="AX455" s="13"/>
      <c r="AY455" s="13"/>
      <c r="AZ455" s="13"/>
      <c r="BA455" s="13"/>
      <c r="BB455" s="13"/>
      <c r="BC455" s="13"/>
      <c r="BD455" s="13"/>
      <c r="BE455" s="13"/>
      <c r="BF455" s="13"/>
      <c r="BG455" s="13"/>
      <c r="BH455" s="13"/>
      <c r="BI455" s="13"/>
      <c r="BJ455" s="13"/>
      <c r="BK455" s="13"/>
      <c r="BL455" s="13"/>
      <c r="BM455" s="13"/>
      <c r="BN455" s="6"/>
      <c r="BO455" s="6">
        <v>2.0</v>
      </c>
      <c r="BP455" s="13"/>
      <c r="BQ455" s="13"/>
      <c r="BR455" s="6" t="s">
        <v>411</v>
      </c>
    </row>
    <row r="456">
      <c r="A456" s="35">
        <v>113.0</v>
      </c>
      <c r="B456" s="35" t="s">
        <v>1044</v>
      </c>
      <c r="C456" s="53">
        <v>0.0</v>
      </c>
      <c r="D456" s="53" t="s">
        <v>1071</v>
      </c>
      <c r="E456" s="7">
        <v>903.0</v>
      </c>
      <c r="F456" s="53"/>
      <c r="G456" s="6"/>
      <c r="H456" s="35">
        <v>0.0</v>
      </c>
      <c r="I456" s="35">
        <v>0.0</v>
      </c>
      <c r="J456" s="69" t="s">
        <v>115</v>
      </c>
      <c r="K456" s="99"/>
      <c r="L456" s="99"/>
      <c r="M456" s="39" t="str">
        <f t="shared" si="1"/>
        <v>[ HEALPix mapping Wong (2008)]</v>
      </c>
      <c r="N456" s="35" t="s">
        <v>3600</v>
      </c>
      <c r="O456" s="98">
        <v>2008.0</v>
      </c>
      <c r="P456" s="69"/>
      <c r="Q456" s="13"/>
      <c r="R456" s="13"/>
      <c r="S456" s="13"/>
      <c r="T456" s="69"/>
      <c r="U456" s="69"/>
      <c r="V456" s="89">
        <f>IFERROR(__xludf.DUMMYFUNCTION("INDEX(SPLIT(SUBSTITUTE(W456,CHAR(10), """"),"",:""), MATCH(Z456, SPLIT(SUBSTITUTE(W456,CHAR(10), """"),"",:""), 0) + 1)"),5.0)</f>
        <v>5</v>
      </c>
      <c r="W456" s="102" t="s">
        <v>1938</v>
      </c>
      <c r="X456" s="69" t="s">
        <v>115</v>
      </c>
      <c r="Y456" s="41"/>
      <c r="Z456" s="53" t="str">
        <f t="array" ref="Z456">INDEX(Problems!J:J, MATCH(1, (Problems!B:B=B456)*1, 0))</f>
        <v>n</v>
      </c>
      <c r="AA456" s="41"/>
      <c r="AB456" s="41"/>
      <c r="AC456" s="41"/>
      <c r="AD456" s="41"/>
      <c r="AE456" s="85" t="str">
        <f>IFERROR(__xludf.DUMMYFUNCTION("INDEX(SPLIT(SUBSTITUTE(AF456,CHAR(10), """"),"",:""), MATCH(Z456, SPLIT(SUBSTITUTE(AF456,CHAR(10), """"),"",:""), 0) + 1)"),"#VALUE!")</f>
        <v>#VALUE!</v>
      </c>
      <c r="AF456" s="102"/>
      <c r="AG456" s="41"/>
      <c r="AH456" s="41"/>
      <c r="AI456" s="104"/>
      <c r="AJ456" s="84" t="s">
        <v>2520</v>
      </c>
      <c r="AK456" s="104"/>
      <c r="AL456" s="35">
        <v>0.0</v>
      </c>
      <c r="AM456" s="104"/>
      <c r="AN456" s="35">
        <v>1.0</v>
      </c>
      <c r="AO456" s="110"/>
      <c r="AP456" s="35">
        <v>0.0</v>
      </c>
      <c r="AQ456" s="35">
        <v>0.0</v>
      </c>
      <c r="AR456" s="69"/>
      <c r="AS456" s="98">
        <v>0.0</v>
      </c>
      <c r="AT456" s="98">
        <v>0.0</v>
      </c>
      <c r="AU456" s="69"/>
      <c r="AV456" s="13"/>
      <c r="AW456" s="13"/>
      <c r="AX456" s="13"/>
      <c r="AY456" s="13"/>
      <c r="AZ456" s="6"/>
      <c r="BA456" s="6"/>
      <c r="BB456" s="6"/>
      <c r="BC456" s="6"/>
      <c r="BD456" s="6"/>
      <c r="BE456" s="6"/>
      <c r="BF456" s="6">
        <v>1000000.0</v>
      </c>
      <c r="BG456" s="13"/>
      <c r="BH456" s="13"/>
      <c r="BI456" s="13"/>
      <c r="BJ456" s="13"/>
      <c r="BK456" s="13"/>
      <c r="BL456" s="13"/>
      <c r="BM456" s="13"/>
      <c r="BN456" s="6"/>
      <c r="BO456" s="6">
        <v>2.0</v>
      </c>
      <c r="BP456" s="13"/>
      <c r="BQ456" s="13"/>
      <c r="BR456" s="6" t="s">
        <v>411</v>
      </c>
    </row>
    <row r="457">
      <c r="A457" s="35">
        <v>114.0</v>
      </c>
      <c r="B457" s="35" t="s">
        <v>1075</v>
      </c>
      <c r="C457" s="53">
        <v>0.0</v>
      </c>
      <c r="D457" s="53" t="s">
        <v>1075</v>
      </c>
      <c r="E457" s="7">
        <v>904.0</v>
      </c>
      <c r="F457" s="53"/>
      <c r="G457" s="6"/>
      <c r="H457" s="35">
        <v>0.0</v>
      </c>
      <c r="I457" s="35">
        <v>0.0</v>
      </c>
      <c r="J457" s="69" t="s">
        <v>834</v>
      </c>
      <c r="K457" s="99"/>
      <c r="L457" s="99"/>
      <c r="M457" s="39" t="str">
        <f t="shared" si="1"/>
        <v>[ Maximum a Posteriori Occupancy Mapping (2004)]</v>
      </c>
      <c r="N457" s="35" t="s">
        <v>3601</v>
      </c>
      <c r="O457" s="98">
        <v>2004.0</v>
      </c>
      <c r="P457" s="69"/>
      <c r="Q457" s="13"/>
      <c r="R457" s="13"/>
      <c r="S457" s="13"/>
      <c r="T457" s="35">
        <v>1.0</v>
      </c>
      <c r="U457" s="35">
        <v>0.0</v>
      </c>
      <c r="V457" s="89">
        <f>IFERROR(__xludf.DUMMYFUNCTION("INDEX(SPLIT(SUBSTITUTE(W457,CHAR(10), """"),"",:""), MATCH(Z457, SPLIT(SUBSTITUTE(W457,CHAR(10), """"),"",:""), 0) + 1)"),6.0)</f>
        <v>6</v>
      </c>
      <c r="W457" s="102" t="s">
        <v>2008</v>
      </c>
      <c r="X457" s="69" t="s">
        <v>834</v>
      </c>
      <c r="Y457" s="41"/>
      <c r="Z457" s="53" t="str">
        <f t="array" ref="Z457">INDEX(Problems!J:J, MATCH(1, (Problems!B:B=B457)*1, 0))</f>
        <v>n</v>
      </c>
      <c r="AA457" s="41"/>
      <c r="AB457" s="41"/>
      <c r="AC457" s="41"/>
      <c r="AD457" s="41"/>
      <c r="AE457" s="85" t="str">
        <f>IFERROR(__xludf.DUMMYFUNCTION("INDEX(SPLIT(SUBSTITUTE(AF457,CHAR(10), """"),"",:""), MATCH(Z457, SPLIT(SUBSTITUTE(AF457,CHAR(10), """"),"",:""), 0) + 1)"),"#VALUE!")</f>
        <v>#VALUE!</v>
      </c>
      <c r="AF457" s="102"/>
      <c r="AG457" s="41"/>
      <c r="AH457" s="41"/>
      <c r="AI457" s="104"/>
      <c r="AJ457" s="84" t="s">
        <v>2520</v>
      </c>
      <c r="AK457" s="104"/>
      <c r="AL457" s="35">
        <v>0.0</v>
      </c>
      <c r="AM457" s="104"/>
      <c r="AN457" s="35">
        <v>1.0</v>
      </c>
      <c r="AO457" s="110"/>
      <c r="AP457" s="35">
        <v>0.0</v>
      </c>
      <c r="AQ457" s="35">
        <v>0.0</v>
      </c>
      <c r="AR457" s="69"/>
      <c r="AS457" s="98">
        <v>0.0</v>
      </c>
      <c r="AT457" s="98">
        <v>0.0</v>
      </c>
      <c r="AU457" s="69"/>
      <c r="AV457" s="13"/>
      <c r="AW457" s="13"/>
      <c r="AX457" s="13"/>
      <c r="AY457" s="13"/>
      <c r="AZ457" s="6"/>
      <c r="BA457" s="6"/>
      <c r="BB457" s="6"/>
      <c r="BC457" s="6"/>
      <c r="BD457" s="6"/>
      <c r="BE457" s="6"/>
      <c r="BF457" s="6">
        <v>1.0E9</v>
      </c>
      <c r="BG457" s="13"/>
      <c r="BH457" s="13"/>
      <c r="BI457" s="13"/>
      <c r="BJ457" s="13"/>
      <c r="BK457" s="13"/>
      <c r="BL457" s="13"/>
      <c r="BM457" s="13"/>
      <c r="BN457" s="6"/>
      <c r="BO457" s="6">
        <v>3.0</v>
      </c>
      <c r="BP457" s="13"/>
      <c r="BQ457" s="13"/>
      <c r="BR457" s="6" t="s">
        <v>411</v>
      </c>
    </row>
    <row r="458">
      <c r="A458" s="35">
        <v>115.0</v>
      </c>
      <c r="B458" s="35" t="s">
        <v>1079</v>
      </c>
      <c r="C458" s="53">
        <v>1.0</v>
      </c>
      <c r="D458" s="53" t="s">
        <v>1079</v>
      </c>
      <c r="E458" s="7">
        <v>908.0</v>
      </c>
      <c r="F458" s="53"/>
      <c r="G458" s="6">
        <v>0.0</v>
      </c>
      <c r="H458" s="35">
        <v>1.0</v>
      </c>
      <c r="I458" s="98">
        <v>0.0</v>
      </c>
      <c r="J458" s="104" t="s">
        <v>3602</v>
      </c>
      <c r="K458" s="41" t="s">
        <v>2117</v>
      </c>
      <c r="L458" s="41" t="s">
        <v>484</v>
      </c>
      <c r="M458" s="39" t="str">
        <f t="shared" si="1"/>
        <v>[http://robots.stanford.edu/papers/montemerlo.fastslam-tr.pdf FastSlam (2003)]</v>
      </c>
      <c r="N458" s="69" t="s">
        <v>3603</v>
      </c>
      <c r="O458" s="98">
        <v>2003.0</v>
      </c>
      <c r="P458" s="109" t="s">
        <v>3604</v>
      </c>
      <c r="Q458" s="13"/>
      <c r="R458" s="13"/>
      <c r="S458" s="13"/>
      <c r="T458" s="35">
        <v>0.0</v>
      </c>
      <c r="U458" s="35">
        <v>0.0</v>
      </c>
      <c r="V458" s="89">
        <f>IFERROR(__xludf.DUMMYFUNCTION("INDEX(SPLIT(SUBSTITUTE(W458,CHAR(10), """"),"",:""), MATCH(Z458, SPLIT(SUBSTITUTE(W458,CHAR(10), """"),"",:""), 0) + 1)"),2.0)</f>
        <v>2</v>
      </c>
      <c r="W458" s="102" t="s">
        <v>3605</v>
      </c>
      <c r="X458" s="104" t="s">
        <v>3606</v>
      </c>
      <c r="Y458" s="41" t="s">
        <v>3607</v>
      </c>
      <c r="Z458" s="53" t="str">
        <f t="array" ref="Z458">INDEX(Problems!J:J, MATCH(1, (Problems!B:B=B458)*1, 0))</f>
        <v>n</v>
      </c>
      <c r="AA458" s="109" t="s">
        <v>3604</v>
      </c>
      <c r="AB458" s="41">
        <v>0.0</v>
      </c>
      <c r="AC458" s="41" t="s">
        <v>2614</v>
      </c>
      <c r="AD458" s="41" t="s">
        <v>2487</v>
      </c>
      <c r="AE458" s="85">
        <f>IFERROR(__xludf.DUMMYFUNCTION("INDEX(SPLIT(SUBSTITUTE(AF458,CHAR(10), """"),"",:""), MATCH(Z458, SPLIT(SUBSTITUTE(AF458,CHAR(10), """"),"",:""), 0) + 1)"),3.0)</f>
        <v>3</v>
      </c>
      <c r="AF458" s="102" t="s">
        <v>3608</v>
      </c>
      <c r="AG458" s="41" t="s">
        <v>3296</v>
      </c>
      <c r="AH458" s="41" t="s">
        <v>3609</v>
      </c>
      <c r="AI458" s="108">
        <v>1.0</v>
      </c>
      <c r="AJ458" s="84">
        <v>0.0</v>
      </c>
      <c r="AK458" s="105"/>
      <c r="AL458" s="98">
        <v>0.0</v>
      </c>
      <c r="AM458" s="105"/>
      <c r="AN458" s="98">
        <v>1.0</v>
      </c>
      <c r="AO458" s="110"/>
      <c r="AP458" s="98">
        <v>0.0</v>
      </c>
      <c r="AQ458" s="98">
        <v>0.0</v>
      </c>
      <c r="AR458" s="69"/>
      <c r="AS458" s="98">
        <v>0.0</v>
      </c>
      <c r="AT458" s="98">
        <v>0.0</v>
      </c>
      <c r="AU458" s="104" t="s">
        <v>2620</v>
      </c>
      <c r="AV458" s="13"/>
      <c r="AW458" s="13"/>
      <c r="AX458" s="13"/>
      <c r="AY458" s="13"/>
      <c r="AZ458" s="6"/>
      <c r="BA458" s="6"/>
      <c r="BB458" s="6"/>
      <c r="BC458" s="6"/>
      <c r="BD458" s="6"/>
      <c r="BE458" s="6"/>
      <c r="BF458" s="6">
        <v>1.0E9</v>
      </c>
      <c r="BG458" s="13"/>
      <c r="BH458" s="13"/>
      <c r="BI458" s="13"/>
      <c r="BJ458" s="13"/>
      <c r="BK458" s="13"/>
      <c r="BL458" s="13"/>
      <c r="BM458" s="13"/>
      <c r="BN458" s="6"/>
      <c r="BO458" s="6">
        <v>3.0</v>
      </c>
      <c r="BP458" s="13"/>
      <c r="BQ458" s="13"/>
      <c r="BR458" s="6" t="s">
        <v>411</v>
      </c>
    </row>
    <row r="459">
      <c r="A459" s="35">
        <v>115.0</v>
      </c>
      <c r="B459" s="35" t="s">
        <v>1079</v>
      </c>
      <c r="C459" s="53">
        <v>1.0</v>
      </c>
      <c r="D459" s="53" t="s">
        <v>1079</v>
      </c>
      <c r="E459" s="7">
        <v>910.0</v>
      </c>
      <c r="F459" s="53"/>
      <c r="G459" s="6">
        <v>0.0</v>
      </c>
      <c r="H459" s="35">
        <v>1.0</v>
      </c>
      <c r="I459" s="98">
        <v>0.0</v>
      </c>
      <c r="J459" s="69" t="s">
        <v>115</v>
      </c>
      <c r="K459" s="41" t="s">
        <v>2117</v>
      </c>
      <c r="L459" s="41" t="s">
        <v>484</v>
      </c>
      <c r="M459" s="39" t="str">
        <f t="shared" si="1"/>
        <v>[http://ingmec.ual.es/~jlblanco/papers/blanco2013rba.pdf srba (2002)]</v>
      </c>
      <c r="N459" s="69" t="s">
        <v>3610</v>
      </c>
      <c r="O459" s="98">
        <v>2002.0</v>
      </c>
      <c r="P459" s="100" t="s">
        <v>3611</v>
      </c>
      <c r="Q459" s="13"/>
      <c r="R459" s="13"/>
      <c r="S459" s="13"/>
      <c r="T459" s="35">
        <v>0.0</v>
      </c>
      <c r="U459" s="35">
        <v>0.0</v>
      </c>
      <c r="V459" s="89">
        <f>IFERROR(__xludf.DUMMYFUNCTION("INDEX(SPLIT(SUBSTITUTE(W459,CHAR(10), """"),"",:""), MATCH(Z459, SPLIT(SUBSTITUTE(W459,CHAR(10), """"),"",:""), 0) + 1)"),5.0)</f>
        <v>5</v>
      </c>
      <c r="W459" s="102" t="s">
        <v>1938</v>
      </c>
      <c r="X459" s="69" t="s">
        <v>115</v>
      </c>
      <c r="Y459" s="41" t="s">
        <v>2613</v>
      </c>
      <c r="Z459" s="53" t="str">
        <f t="array" ref="Z459">INDEX(Problems!J:J, MATCH(1, (Problems!B:B=B459)*1, 0))</f>
        <v>n</v>
      </c>
      <c r="AA459" s="41"/>
      <c r="AB459" s="41"/>
      <c r="AC459" s="41" t="s">
        <v>2614</v>
      </c>
      <c r="AD459" s="41" t="s">
        <v>2487</v>
      </c>
      <c r="AE459" s="85">
        <f>IFERROR(__xludf.DUMMYFUNCTION("INDEX(SPLIT(SUBSTITUTE(AF459,CHAR(10), """"),"",:""), MATCH(Z459, SPLIT(SUBSTITUTE(AF459,CHAR(10), """"),"",:""), 0) + 1)"),5.0)</f>
        <v>5</v>
      </c>
      <c r="AF459" s="102" t="s">
        <v>1938</v>
      </c>
      <c r="AG459" s="41" t="s">
        <v>2615</v>
      </c>
      <c r="AH459" s="41" t="s">
        <v>3612</v>
      </c>
      <c r="AI459" s="104">
        <v>1.0</v>
      </c>
      <c r="AJ459" s="84">
        <v>0.0</v>
      </c>
      <c r="AK459" s="105"/>
      <c r="AL459" s="98">
        <v>0.0</v>
      </c>
      <c r="AM459" s="105"/>
      <c r="AN459" s="98">
        <v>1.0</v>
      </c>
      <c r="AO459" s="110"/>
      <c r="AP459" s="98">
        <v>0.0</v>
      </c>
      <c r="AQ459" s="98">
        <v>0.0</v>
      </c>
      <c r="AR459" s="69"/>
      <c r="AS459" s="98">
        <v>0.0</v>
      </c>
      <c r="AT459" s="98">
        <v>0.0</v>
      </c>
      <c r="AU459" s="104" t="s">
        <v>2620</v>
      </c>
      <c r="AV459" s="13"/>
      <c r="AW459" s="13"/>
      <c r="AX459" s="13"/>
      <c r="AY459" s="13"/>
      <c r="AZ459" s="6"/>
      <c r="BA459" s="6"/>
      <c r="BB459" s="6"/>
      <c r="BC459" s="6"/>
      <c r="BD459" s="6"/>
      <c r="BE459" s="6"/>
      <c r="BF459" s="6">
        <v>1000000.0</v>
      </c>
      <c r="BG459" s="13"/>
      <c r="BH459" s="13"/>
      <c r="BI459" s="13"/>
      <c r="BJ459" s="13"/>
      <c r="BK459" s="13"/>
      <c r="BL459" s="13"/>
      <c r="BM459" s="13"/>
      <c r="BN459" s="6"/>
      <c r="BO459" s="6">
        <v>3.0</v>
      </c>
      <c r="BP459" s="13"/>
      <c r="BQ459" s="13"/>
      <c r="BR459" s="6" t="s">
        <v>411</v>
      </c>
    </row>
    <row r="460">
      <c r="A460" s="35">
        <v>130.0</v>
      </c>
      <c r="B460" s="35" t="s">
        <v>1146</v>
      </c>
      <c r="C460" s="53">
        <v>2.0</v>
      </c>
      <c r="D460" s="53" t="s">
        <v>1146</v>
      </c>
      <c r="E460" s="7">
        <v>962.0</v>
      </c>
      <c r="F460" s="53"/>
      <c r="G460" s="6"/>
      <c r="H460" s="35">
        <v>1.0</v>
      </c>
      <c r="I460" s="111">
        <v>0.0</v>
      </c>
      <c r="J460" s="61" t="s">
        <v>3613</v>
      </c>
      <c r="K460" s="99"/>
      <c r="L460" s="99"/>
      <c r="M460" s="39" t="str">
        <f t="shared" si="1"/>
        <v>[https://www.ncbi.nlm.nih.gov/pubmed/24626234 Probabilistic Convolution Tree (2014)]</v>
      </c>
      <c r="N460" s="107" t="s">
        <v>3614</v>
      </c>
      <c r="O460" s="111">
        <v>2014.0</v>
      </c>
      <c r="P460" s="106" t="s">
        <v>3615</v>
      </c>
      <c r="Q460" s="13"/>
      <c r="R460" s="13"/>
      <c r="S460" s="13"/>
      <c r="T460" s="111">
        <v>0.0</v>
      </c>
      <c r="U460" s="35">
        <v>0.0</v>
      </c>
      <c r="V460" s="89">
        <f>IFERROR(__xludf.DUMMYFUNCTION("INDEX(SPLIT(SUBSTITUTE(W460,CHAR(10), """"),"",:""), MATCH(Z460, SPLIT(SUBSTITUTE(W460,CHAR(10), """"),"",:""), 0) + 1)"),4.0)</f>
        <v>4</v>
      </c>
      <c r="W460" s="102" t="s">
        <v>1791</v>
      </c>
      <c r="X460" s="61" t="s">
        <v>1953</v>
      </c>
      <c r="Y460" s="41" t="s">
        <v>3616</v>
      </c>
      <c r="Z460" s="53" t="str">
        <f t="array" ref="Z460">INDEX(Problems!J:J, MATCH(1, (Problems!B:B=B460)*1, 0))</f>
        <v>n</v>
      </c>
      <c r="AA460" s="41"/>
      <c r="AB460" s="41"/>
      <c r="AC460" s="41" t="s">
        <v>1813</v>
      </c>
      <c r="AD460" s="41" t="s">
        <v>1814</v>
      </c>
      <c r="AE460" s="85">
        <f>IFERROR(__xludf.DUMMYFUNCTION("INDEX(SPLIT(SUBSTITUTE(AF460,CHAR(10), """"),"",:""), MATCH(Z460, SPLIT(SUBSTITUTE(AF460,CHAR(10), """"),"",:""), 0) + 1)"),4.0)</f>
        <v>4</v>
      </c>
      <c r="AF460" s="102" t="s">
        <v>1791</v>
      </c>
      <c r="AG460" s="41" t="s">
        <v>3613</v>
      </c>
      <c r="AH460" s="109" t="s">
        <v>3617</v>
      </c>
      <c r="AI460" s="108">
        <v>0.0</v>
      </c>
      <c r="AJ460" s="84">
        <v>1.0</v>
      </c>
      <c r="AK460" s="108"/>
      <c r="AL460" s="111">
        <v>0.0</v>
      </c>
      <c r="AM460" s="108"/>
      <c r="AN460" s="111">
        <v>1.0</v>
      </c>
      <c r="AO460" s="104"/>
      <c r="AP460" s="111">
        <v>0.0</v>
      </c>
      <c r="AQ460" s="111">
        <v>0.0</v>
      </c>
      <c r="AR460" s="69"/>
      <c r="AS460" s="111">
        <v>0.0</v>
      </c>
      <c r="AT460" s="111">
        <v>0.0</v>
      </c>
      <c r="AU460" s="69"/>
      <c r="AV460" s="13"/>
      <c r="AW460" s="13"/>
      <c r="AX460" s="13"/>
      <c r="AY460" s="13"/>
      <c r="AZ460" s="13"/>
      <c r="BA460" s="13"/>
      <c r="BB460" s="13"/>
      <c r="BC460" s="13"/>
      <c r="BD460" s="13"/>
      <c r="BE460" s="13"/>
      <c r="BF460" s="13"/>
      <c r="BG460" s="13"/>
      <c r="BH460" s="13"/>
      <c r="BI460" s="13"/>
      <c r="BJ460" s="13"/>
      <c r="BK460" s="13"/>
      <c r="BL460" s="13"/>
      <c r="BM460" s="13"/>
      <c r="BN460" s="6"/>
      <c r="BO460" s="6">
        <v>1.0</v>
      </c>
      <c r="BP460" s="13"/>
      <c r="BQ460" s="13"/>
      <c r="BR460" s="6" t="s">
        <v>23</v>
      </c>
    </row>
    <row r="461">
      <c r="A461" s="16">
        <v>1.0</v>
      </c>
      <c r="B461" s="16" t="s">
        <v>18</v>
      </c>
      <c r="C461" s="53">
        <v>2.0</v>
      </c>
      <c r="D461" s="53" t="s">
        <v>24</v>
      </c>
      <c r="E461" s="7">
        <v>19.0</v>
      </c>
      <c r="F461" s="53"/>
      <c r="G461" s="7"/>
      <c r="H461" s="16">
        <v>1.0</v>
      </c>
      <c r="I461" s="81">
        <v>1.0</v>
      </c>
      <c r="J461" s="115" t="s">
        <v>1933</v>
      </c>
      <c r="K461" s="53" t="s">
        <v>3618</v>
      </c>
      <c r="L461" s="53" t="s">
        <v>3619</v>
      </c>
      <c r="M461" s="39" t="str">
        <f t="shared" si="1"/>
        <v>[https://www.semanticscholar.org/paper/Parallel-Neighbor-Sort-(or-the-Glory-of-the-Habermann/bc7b6efb99aae6225239425747fd0169a51f30ce Odd Even Sort Parallel  Implementation (1972)]</v>
      </c>
      <c r="N461" s="39" t="s">
        <v>3620</v>
      </c>
      <c r="O461" s="81">
        <v>1972.0</v>
      </c>
      <c r="P461" s="28" t="s">
        <v>3621</v>
      </c>
      <c r="Q461" s="82"/>
      <c r="R461" s="82"/>
      <c r="S461" s="82"/>
      <c r="T461" s="81">
        <v>0.0</v>
      </c>
      <c r="U461" s="81">
        <v>0.0</v>
      </c>
      <c r="V461" s="89">
        <f>IFERROR(__xludf.DUMMYFUNCTION("INDEX(SPLIT(SUBSTITUTE(W461,CHAR(10), """"),"",:""), MATCH(Z461, SPLIT(SUBSTITUTE(W461,CHAR(10), """"),"",:""), 0) + 1)"),5.0)</f>
        <v>5</v>
      </c>
      <c r="W461" s="85" t="s">
        <v>1938</v>
      </c>
      <c r="X461" s="16" t="s">
        <v>115</v>
      </c>
      <c r="Y461" s="53" t="s">
        <v>1939</v>
      </c>
      <c r="Z461" s="53" t="str">
        <f t="array" ref="Z461">INDEX(Problems!J:J, MATCH(1, (Problems!B:B=B461)*1, 0))</f>
        <v>n</v>
      </c>
      <c r="AA461" s="53"/>
      <c r="AB461" s="53"/>
      <c r="AC461" s="53" t="s">
        <v>1813</v>
      </c>
      <c r="AD461" s="53" t="s">
        <v>1814</v>
      </c>
      <c r="AE461" s="85">
        <f>IFERROR(__xludf.DUMMYFUNCTION("INDEX(SPLIT(SUBSTITUTE(AF461,CHAR(10), """"),"",:""), MATCH(Z461, SPLIT(SUBSTITUTE(AF461,CHAR(10), """"),"",:""), 0) + 1)"),1.0)</f>
        <v>1</v>
      </c>
      <c r="AF461" s="85" t="s">
        <v>1774</v>
      </c>
      <c r="AG461" s="53" t="s">
        <v>34</v>
      </c>
      <c r="AH461" s="53" t="s">
        <v>1941</v>
      </c>
      <c r="AI461" s="84">
        <v>0.0</v>
      </c>
      <c r="AJ461" s="84">
        <v>1.0</v>
      </c>
      <c r="AK461" s="87"/>
      <c r="AL461" s="81">
        <v>0.0</v>
      </c>
      <c r="AM461" s="87"/>
      <c r="AN461" s="81">
        <v>0.0</v>
      </c>
      <c r="AO461" s="116"/>
      <c r="AP461" s="81">
        <v>0.0</v>
      </c>
      <c r="AQ461" s="81">
        <v>1.0</v>
      </c>
      <c r="AR461" s="39"/>
      <c r="AS461" s="81">
        <v>0.0</v>
      </c>
      <c r="AT461" s="81">
        <v>0.0</v>
      </c>
      <c r="AU461" s="28" t="s">
        <v>3622</v>
      </c>
      <c r="AV461" s="7" t="s">
        <v>1942</v>
      </c>
      <c r="AW461" s="7">
        <v>1.0</v>
      </c>
      <c r="AX461" s="7" t="s">
        <v>1943</v>
      </c>
      <c r="AY461" s="7"/>
      <c r="AZ461" s="7"/>
      <c r="BA461" s="7"/>
      <c r="BB461" s="7"/>
      <c r="BC461" s="7"/>
      <c r="BD461" s="7"/>
      <c r="BE461" s="7"/>
      <c r="BF461" s="7">
        <v>1000000.0</v>
      </c>
      <c r="BG461" s="82">
        <f t="shared" ref="BG461:BG462" si="48">1000000/BF461</f>
        <v>1</v>
      </c>
      <c r="BH461" s="82"/>
      <c r="BI461" s="82"/>
      <c r="BJ461" s="82"/>
      <c r="BK461" s="82"/>
      <c r="BL461" s="82"/>
      <c r="BM461" s="82"/>
      <c r="BN461" s="7"/>
      <c r="BO461" s="7">
        <v>4.0</v>
      </c>
      <c r="BP461" s="82"/>
      <c r="BQ461" s="7"/>
      <c r="BR461" s="7" t="s">
        <v>23</v>
      </c>
    </row>
    <row r="462">
      <c r="A462" s="16">
        <v>1.0</v>
      </c>
      <c r="B462" s="16" t="s">
        <v>18</v>
      </c>
      <c r="C462" s="53">
        <v>1.0</v>
      </c>
      <c r="D462" s="53" t="s">
        <v>29</v>
      </c>
      <c r="E462" s="7">
        <v>25.0</v>
      </c>
      <c r="F462" s="53"/>
      <c r="G462" s="7"/>
      <c r="H462" s="16">
        <v>1.0</v>
      </c>
      <c r="I462" s="81">
        <v>1.0</v>
      </c>
      <c r="J462" s="115" t="s">
        <v>35</v>
      </c>
      <c r="K462" s="53" t="s">
        <v>3618</v>
      </c>
      <c r="L462" s="53" t="s">
        <v>3623</v>
      </c>
      <c r="M462" s="39" t="str">
        <f t="shared" si="1"/>
        <v>[https://link.springer.com/chapter/10.1007/978-94-009-2794-0_11 Spaghetti Sort Parallel Implementation (1984)]</v>
      </c>
      <c r="N462" s="39" t="s">
        <v>3624</v>
      </c>
      <c r="O462" s="81">
        <v>1984.0</v>
      </c>
      <c r="P462" s="28" t="s">
        <v>3625</v>
      </c>
      <c r="Q462" s="82"/>
      <c r="R462" s="82"/>
      <c r="S462" s="82"/>
      <c r="T462" s="81">
        <v>0.0</v>
      </c>
      <c r="U462" s="81">
        <v>0.0</v>
      </c>
      <c r="V462" s="89">
        <f>IFERROR(__xludf.DUMMYFUNCTION("INDEX(SPLIT(SUBSTITUTE(W462,CHAR(10), """"),"",:""), MATCH(Z462, SPLIT(SUBSTITUTE(W462,CHAR(10), """"),"",:""), 0) + 1)"),3.0)</f>
        <v>3</v>
      </c>
      <c r="W462" s="85" t="s">
        <v>1763</v>
      </c>
      <c r="X462" s="39" t="s">
        <v>35</v>
      </c>
      <c r="Y462" s="53" t="s">
        <v>1939</v>
      </c>
      <c r="Z462" s="53" t="str">
        <f t="array" ref="Z462">INDEX(Problems!J:J, MATCH(1, (Problems!B:B=B462)*1, 0))</f>
        <v>n</v>
      </c>
      <c r="AA462" s="53"/>
      <c r="AB462" s="53"/>
      <c r="AC462" s="53" t="s">
        <v>3403</v>
      </c>
      <c r="AD462" s="53" t="s">
        <v>1814</v>
      </c>
      <c r="AE462" s="85">
        <f>IFERROR(__xludf.DUMMYFUNCTION("INDEX(SPLIT(SUBSTITUTE(AF462,CHAR(10), """"),"",:""), MATCH(Z462, SPLIT(SUBSTITUTE(AF462,CHAR(10), """"),"",:""), 0) + 1)"),1.0)</f>
        <v>1</v>
      </c>
      <c r="AF462" s="85" t="s">
        <v>1774</v>
      </c>
      <c r="AG462" s="53" t="s">
        <v>3626</v>
      </c>
      <c r="AH462" s="53" t="s">
        <v>3627</v>
      </c>
      <c r="AI462" s="84">
        <v>1.0</v>
      </c>
      <c r="AJ462" s="84">
        <v>0.0</v>
      </c>
      <c r="AK462" s="87"/>
      <c r="AL462" s="81">
        <v>0.0</v>
      </c>
      <c r="AM462" s="87"/>
      <c r="AN462" s="81">
        <v>0.0</v>
      </c>
      <c r="AO462" s="116"/>
      <c r="AP462" s="81">
        <v>0.0</v>
      </c>
      <c r="AQ462" s="81">
        <v>1.0</v>
      </c>
      <c r="AR462" s="39"/>
      <c r="AS462" s="81">
        <v>0.0</v>
      </c>
      <c r="AT462" s="81">
        <v>0.0</v>
      </c>
      <c r="AU462" s="25" t="s">
        <v>3628</v>
      </c>
      <c r="AV462" s="7" t="s">
        <v>1942</v>
      </c>
      <c r="AW462" s="7">
        <v>1.0</v>
      </c>
      <c r="AX462" s="7" t="s">
        <v>1943</v>
      </c>
      <c r="AY462" s="7"/>
      <c r="AZ462" s="7"/>
      <c r="BA462" s="7"/>
      <c r="BB462" s="7"/>
      <c r="BC462" s="7"/>
      <c r="BD462" s="7"/>
      <c r="BE462" s="7"/>
      <c r="BF462" s="7">
        <v>1000.0</v>
      </c>
      <c r="BG462" s="82">
        <f t="shared" si="48"/>
        <v>1000</v>
      </c>
      <c r="BH462" s="82"/>
      <c r="BI462" s="82"/>
      <c r="BJ462" s="82"/>
      <c r="BK462" s="82"/>
      <c r="BL462" s="82"/>
      <c r="BM462" s="82"/>
      <c r="BN462" s="7"/>
      <c r="BO462" s="7">
        <v>4.0</v>
      </c>
      <c r="BP462" s="82"/>
      <c r="BQ462" s="7"/>
      <c r="BR462" s="7" t="s">
        <v>23</v>
      </c>
    </row>
    <row r="463">
      <c r="A463" s="16">
        <v>3.0</v>
      </c>
      <c r="B463" s="16" t="s">
        <v>39</v>
      </c>
      <c r="C463" s="53">
        <v>1.0</v>
      </c>
      <c r="D463" s="53" t="s">
        <v>59</v>
      </c>
      <c r="E463" s="7">
        <v>32.0</v>
      </c>
      <c r="F463" s="53"/>
      <c r="G463" s="7"/>
      <c r="H463" s="16">
        <v>1.0</v>
      </c>
      <c r="I463" s="81">
        <v>1.0</v>
      </c>
      <c r="J463" s="16" t="s">
        <v>115</v>
      </c>
      <c r="K463" s="53"/>
      <c r="L463" s="53"/>
      <c r="M463" s="39" t="str">
        <f t="shared" si="1"/>
        <v>[http://citeseerx.ist.psu.edu/viewdoc/download?doi=10.1.1.56.222&amp;rep=rep1&amp;type=pdf Heejo Lee; Jong Kim; Sungje Hong; and Sunggu Lee (1997)]</v>
      </c>
      <c r="N463" s="39" t="s">
        <v>3629</v>
      </c>
      <c r="O463" s="81">
        <v>1997.0</v>
      </c>
      <c r="P463" s="28" t="s">
        <v>62</v>
      </c>
      <c r="Q463" s="82"/>
      <c r="R463" s="82"/>
      <c r="S463" s="82"/>
      <c r="T463" s="81">
        <v>0.0</v>
      </c>
      <c r="U463" s="81">
        <v>0.0</v>
      </c>
      <c r="V463" s="89">
        <f>IFERROR(__xludf.DUMMYFUNCTION("INDEX(SPLIT(SUBSTITUTE(W463,CHAR(10), """"),"",:""), MATCH(Z463, SPLIT(SUBSTITUTE(W463,CHAR(10), """"),"",:""), 0) + 1)"),5.0)</f>
        <v>5</v>
      </c>
      <c r="W463" s="85" t="s">
        <v>1938</v>
      </c>
      <c r="X463" s="16" t="s">
        <v>61</v>
      </c>
      <c r="Y463" s="53" t="s">
        <v>55</v>
      </c>
      <c r="Z463" s="53" t="str">
        <f t="array" ref="Z463">INDEX(Problems!J:J, MATCH(1, (Problems!B:B=B463)*1, 0))</f>
        <v>n</v>
      </c>
      <c r="AA463" s="53"/>
      <c r="AB463" s="53"/>
      <c r="AC463" s="53" t="s">
        <v>2337</v>
      </c>
      <c r="AD463" s="53" t="s">
        <v>1814</v>
      </c>
      <c r="AE463" s="85">
        <f>IFERROR(__xludf.DUMMYFUNCTION("INDEX(SPLIT(SUBSTITUTE(AF463,CHAR(10), """"),"",:""), MATCH(Z463, SPLIT(SUBSTITUTE(AF463,CHAR(10), """"),"",:""), 0) + 1)"),5.0)</f>
        <v>5</v>
      </c>
      <c r="AF463" s="85" t="s">
        <v>1938</v>
      </c>
      <c r="AG463" s="53" t="s">
        <v>3630</v>
      </c>
      <c r="AH463" s="53" t="s">
        <v>3631</v>
      </c>
      <c r="AI463" s="84">
        <v>1.0</v>
      </c>
      <c r="AJ463" s="84">
        <v>0.0</v>
      </c>
      <c r="AK463" s="87"/>
      <c r="AL463" s="81">
        <v>0.0</v>
      </c>
      <c r="AM463" s="87"/>
      <c r="AN463" s="88">
        <v>1.0</v>
      </c>
      <c r="AO463" s="21" t="s">
        <v>3632</v>
      </c>
      <c r="AP463" s="81">
        <v>0.0</v>
      </c>
      <c r="AQ463" s="88" t="s">
        <v>3633</v>
      </c>
      <c r="AR463" s="16"/>
      <c r="AS463" s="81">
        <v>0.0</v>
      </c>
      <c r="AT463" s="81">
        <v>0.0</v>
      </c>
      <c r="AU463" s="82"/>
      <c r="AV463" s="7" t="s">
        <v>2005</v>
      </c>
      <c r="AW463" s="82"/>
      <c r="AX463" s="82"/>
      <c r="AY463" s="7"/>
      <c r="AZ463" s="7"/>
      <c r="BA463" s="7"/>
      <c r="BB463" s="7"/>
      <c r="BC463" s="7"/>
      <c r="BD463" s="7"/>
      <c r="BE463" s="7"/>
      <c r="BF463" s="7">
        <v>1000000.0</v>
      </c>
      <c r="BG463" s="7" t="s">
        <v>1781</v>
      </c>
      <c r="BH463" s="82"/>
      <c r="BI463" s="82"/>
      <c r="BJ463" s="82"/>
      <c r="BK463" s="82"/>
      <c r="BL463" s="82"/>
      <c r="BM463" s="82"/>
      <c r="BN463" s="7"/>
      <c r="BO463" s="7">
        <v>1.0</v>
      </c>
      <c r="BP463" s="82"/>
      <c r="BQ463" s="7"/>
      <c r="BR463" s="7" t="s">
        <v>23</v>
      </c>
    </row>
    <row r="464">
      <c r="A464" s="16">
        <v>3.0</v>
      </c>
      <c r="B464" s="16" t="s">
        <v>39</v>
      </c>
      <c r="C464" s="53">
        <v>2.0</v>
      </c>
      <c r="D464" s="53" t="s">
        <v>47</v>
      </c>
      <c r="E464" s="7">
        <v>33.0</v>
      </c>
      <c r="F464" s="53"/>
      <c r="G464" s="7"/>
      <c r="H464" s="16">
        <v>1.0</v>
      </c>
      <c r="I464" s="81">
        <v>1.0</v>
      </c>
      <c r="J464" s="21" t="s">
        <v>3634</v>
      </c>
      <c r="K464" s="53"/>
      <c r="L464" s="53"/>
      <c r="M464" s="39" t="str">
        <f t="shared" si="1"/>
        <v>[https://epubs.siam.org/doi/abs/10.1137/0225039 Prakesh Ramanan (1996)]</v>
      </c>
      <c r="N464" s="39" t="s">
        <v>3635</v>
      </c>
      <c r="O464" s="81">
        <v>1996.0</v>
      </c>
      <c r="P464" s="28" t="s">
        <v>3636</v>
      </c>
      <c r="Q464" s="82"/>
      <c r="R464" s="82"/>
      <c r="S464" s="82"/>
      <c r="T464" s="81">
        <v>0.0</v>
      </c>
      <c r="U464" s="81">
        <v>0.0</v>
      </c>
      <c r="V464" s="89">
        <f>IFERROR(__xludf.DUMMYFUNCTION("INDEX(SPLIT(SUBSTITUTE(W464,CHAR(10), """"),"",:""), MATCH(Z464, SPLIT(SUBSTITUTE(W464,CHAR(10), """"),"",:""), 0) + 1)"),2.03)</f>
        <v>2.03</v>
      </c>
      <c r="W464" s="85" t="s">
        <v>3637</v>
      </c>
      <c r="X464" s="21" t="s">
        <v>3634</v>
      </c>
      <c r="Y464" s="53" t="s">
        <v>44</v>
      </c>
      <c r="Z464" s="53" t="str">
        <f t="array" ref="Z464">INDEX(Problems!J:J, MATCH(1, (Problems!B:B=B464)*1, 0))</f>
        <v>n</v>
      </c>
      <c r="AA464" s="53"/>
      <c r="AB464" s="53"/>
      <c r="AC464" s="53" t="s">
        <v>2486</v>
      </c>
      <c r="AD464" s="53" t="s">
        <v>1814</v>
      </c>
      <c r="AE464" s="85">
        <f>IFERROR(__xludf.DUMMYFUNCTION("INDEX(SPLIT(SUBSTITUTE(AF464,CHAR(10), """"),"",:""), MATCH(Z464, SPLIT(SUBSTITUTE(AF464,CHAR(10), """"),"",:""), 0) + 1)"),3.0)</f>
        <v>3</v>
      </c>
      <c r="AF464" s="85" t="s">
        <v>1763</v>
      </c>
      <c r="AG464" s="53" t="s">
        <v>2496</v>
      </c>
      <c r="AH464" s="53" t="s">
        <v>3638</v>
      </c>
      <c r="AI464" s="84">
        <v>1.0</v>
      </c>
      <c r="AJ464" s="84">
        <v>0.0</v>
      </c>
      <c r="AK464" s="87"/>
      <c r="AL464" s="81">
        <v>0.0</v>
      </c>
      <c r="AM464" s="87"/>
      <c r="AN464" s="81">
        <v>0.0</v>
      </c>
      <c r="AO464" s="90"/>
      <c r="AP464" s="81">
        <v>0.0</v>
      </c>
      <c r="AQ464" s="81">
        <v>1.0</v>
      </c>
      <c r="AR464" s="16" t="s">
        <v>3639</v>
      </c>
      <c r="AS464" s="81">
        <v>0.0</v>
      </c>
      <c r="AT464" s="81">
        <v>0.0</v>
      </c>
      <c r="AU464" s="82"/>
      <c r="AV464" s="7" t="s">
        <v>2005</v>
      </c>
      <c r="AW464" s="82"/>
      <c r="AX464" s="82"/>
      <c r="AY464" s="7"/>
      <c r="AZ464" s="7"/>
      <c r="BA464" s="7"/>
      <c r="BB464" s="7"/>
      <c r="BC464" s="7"/>
      <c r="BD464" s="7"/>
      <c r="BE464" s="7"/>
      <c r="BF464" s="7">
        <v>99.0</v>
      </c>
      <c r="BG464" s="7" t="s">
        <v>1781</v>
      </c>
      <c r="BH464" s="82"/>
      <c r="BI464" s="82"/>
      <c r="BJ464" s="82"/>
      <c r="BK464" s="82"/>
      <c r="BL464" s="82"/>
      <c r="BM464" s="82"/>
      <c r="BN464" s="7"/>
      <c r="BO464" s="7">
        <v>1.0</v>
      </c>
      <c r="BP464" s="82"/>
      <c r="BQ464" s="7"/>
      <c r="BR464" s="7" t="s">
        <v>23</v>
      </c>
    </row>
    <row r="465">
      <c r="A465" s="16">
        <v>3.0</v>
      </c>
      <c r="B465" s="16" t="s">
        <v>39</v>
      </c>
      <c r="C465" s="53">
        <v>2.0</v>
      </c>
      <c r="D465" s="53" t="s">
        <v>51</v>
      </c>
      <c r="E465" s="7">
        <v>34.0</v>
      </c>
      <c r="F465" s="53"/>
      <c r="G465" s="7"/>
      <c r="H465" s="16">
        <v>1.0</v>
      </c>
      <c r="I465" s="81">
        <v>1.0</v>
      </c>
      <c r="J465" s="39" t="s">
        <v>3640</v>
      </c>
      <c r="K465" s="53"/>
      <c r="L465" s="53"/>
      <c r="M465" s="39" t="str">
        <f t="shared" si="1"/>
        <v>[https://citeseerx.ist.psu.edu/viewdoc/download?doi=10.1.1.54.9426&amp;rep=rep1&amp;type=pdf Czumaj (1993)]</v>
      </c>
      <c r="N465" s="16" t="s">
        <v>2484</v>
      </c>
      <c r="O465" s="83">
        <v>1993.0</v>
      </c>
      <c r="P465" s="25" t="s">
        <v>57</v>
      </c>
      <c r="Q465" s="82"/>
      <c r="R465" s="82"/>
      <c r="S465" s="82"/>
      <c r="T465" s="81">
        <v>0.0</v>
      </c>
      <c r="U465" s="81">
        <v>0.0</v>
      </c>
      <c r="V465" s="89">
        <f>IFERROR(__xludf.DUMMYFUNCTION("INDEX(SPLIT(SUBSTITUTE(W465,CHAR(10), """"),"",:""), MATCH(Z465, SPLIT(SUBSTITUTE(W465,CHAR(10), """"),"",:""), 0) + 1)"),2.02)</f>
        <v>2.02</v>
      </c>
      <c r="W465" s="85" t="s">
        <v>3641</v>
      </c>
      <c r="X465" s="16" t="s">
        <v>3642</v>
      </c>
      <c r="Y465" s="53" t="s">
        <v>44</v>
      </c>
      <c r="Z465" s="53" t="str">
        <f t="array" ref="Z465">INDEX(Problems!J:J, MATCH(1, (Problems!B:B=B465)*1, 0))</f>
        <v>n</v>
      </c>
      <c r="AA465" s="53"/>
      <c r="AB465" s="53"/>
      <c r="AC465" s="53" t="s">
        <v>2486</v>
      </c>
      <c r="AD465" s="53" t="s">
        <v>1814</v>
      </c>
      <c r="AE465" s="85">
        <f>IFERROR(__xludf.DUMMYFUNCTION("INDEX(SPLIT(SUBSTITUTE(AF465,CHAR(10), """"),"",:""), MATCH(Z465, SPLIT(SUBSTITUTE(AF465,CHAR(10), """"),"",:""), 0) + 1)"),5.0)</f>
        <v>5</v>
      </c>
      <c r="AF465" s="85" t="s">
        <v>1938</v>
      </c>
      <c r="AG465" s="53" t="s">
        <v>3630</v>
      </c>
      <c r="AH465" s="53" t="s">
        <v>3643</v>
      </c>
      <c r="AI465" s="84">
        <v>1.0</v>
      </c>
      <c r="AJ465" s="84">
        <v>0.0</v>
      </c>
      <c r="AK465" s="87"/>
      <c r="AL465" s="81">
        <v>0.0</v>
      </c>
      <c r="AM465" s="87"/>
      <c r="AN465" s="81">
        <v>0.0</v>
      </c>
      <c r="AO465" s="90"/>
      <c r="AP465" s="81">
        <v>0.0</v>
      </c>
      <c r="AQ465" s="81">
        <v>1.0</v>
      </c>
      <c r="AR465" s="16" t="s">
        <v>3644</v>
      </c>
      <c r="AS465" s="81">
        <v>0.0</v>
      </c>
      <c r="AT465" s="81">
        <v>0.0</v>
      </c>
      <c r="AU465" s="82"/>
      <c r="AV465" s="7" t="s">
        <v>2005</v>
      </c>
      <c r="AW465" s="82"/>
      <c r="AX465" s="82"/>
      <c r="AY465" s="7"/>
      <c r="AZ465" s="7"/>
      <c r="BA465" s="7"/>
      <c r="BB465" s="7"/>
      <c r="BC465" s="7"/>
      <c r="BD465" s="7"/>
      <c r="BE465" s="7"/>
      <c r="BF465" s="7">
        <v>989.0</v>
      </c>
      <c r="BG465" s="7" t="s">
        <v>1781</v>
      </c>
      <c r="BH465" s="82"/>
      <c r="BI465" s="82"/>
      <c r="BJ465" s="82"/>
      <c r="BK465" s="82"/>
      <c r="BL465" s="82"/>
      <c r="BM465" s="82"/>
      <c r="BN465" s="7"/>
      <c r="BO465" s="7">
        <v>1.0</v>
      </c>
      <c r="BP465" s="82"/>
      <c r="BQ465" s="7"/>
      <c r="BR465" s="7" t="s">
        <v>23</v>
      </c>
    </row>
    <row r="466">
      <c r="A466" s="16">
        <v>4.0</v>
      </c>
      <c r="B466" s="16" t="s">
        <v>63</v>
      </c>
      <c r="C466" s="53">
        <v>1.0</v>
      </c>
      <c r="D466" s="53" t="s">
        <v>64</v>
      </c>
      <c r="E466" s="7">
        <v>41.0</v>
      </c>
      <c r="F466" s="53"/>
      <c r="G466" s="7"/>
      <c r="H466" s="16">
        <v>1.0</v>
      </c>
      <c r="I466" s="81">
        <v>1.0</v>
      </c>
      <c r="J466" s="16" t="s">
        <v>3645</v>
      </c>
      <c r="K466" s="53"/>
      <c r="L466" s="53"/>
      <c r="M466" s="39" t="str">
        <f t="shared" si="1"/>
        <v>[https://www.sciencedirect.com/science/article/pii/0022000084900254 Hsu and Du (Scheme 2) (1984)]</v>
      </c>
      <c r="N466" s="16" t="s">
        <v>3646</v>
      </c>
      <c r="O466" s="81">
        <v>1984.0</v>
      </c>
      <c r="P466" s="28" t="s">
        <v>3647</v>
      </c>
      <c r="Q466" s="82"/>
      <c r="R466" s="82"/>
      <c r="S466" s="82"/>
      <c r="T466" s="81">
        <v>1.0</v>
      </c>
      <c r="U466" s="81" t="s">
        <v>1937</v>
      </c>
      <c r="V466" s="89">
        <f>IFERROR(__xludf.DUMMYFUNCTION("INDEX(SPLIT(SUBSTITUTE(W466,CHAR(10), """"),"",:""), MATCH(Z466, SPLIT(SUBSTITUTE(W466,CHAR(10), """"),"",:""), 0) + 1)"),5.01)</f>
        <v>5.01</v>
      </c>
      <c r="W466" s="85" t="s">
        <v>3648</v>
      </c>
      <c r="X466" s="16" t="s">
        <v>3645</v>
      </c>
      <c r="Y466" s="53" t="s">
        <v>3649</v>
      </c>
      <c r="Z466" s="53" t="str">
        <f t="array" ref="Z466">INDEX(Problems!J:J, MATCH(1, (Problems!B:B=B466)*1, 0))</f>
        <v>m+n</v>
      </c>
      <c r="AA466" s="53"/>
      <c r="AB466" s="53"/>
      <c r="AC466" s="53" t="s">
        <v>1813</v>
      </c>
      <c r="AD466" s="53" t="s">
        <v>1814</v>
      </c>
      <c r="AE466" s="85">
        <f>IFERROR(__xludf.DUMMYFUNCTION("INDEX(SPLIT(SUBSTITUTE(AF466,CHAR(10), """"),"",:""), MATCH(Z466, SPLIT(SUBSTITUTE(AF466,CHAR(10), """"),"",:""), 0) + 1)"),5.0)</f>
        <v>5</v>
      </c>
      <c r="AF466" s="85" t="s">
        <v>3650</v>
      </c>
      <c r="AG466" s="53" t="s">
        <v>3651</v>
      </c>
      <c r="AH466" s="91" t="s">
        <v>3647</v>
      </c>
      <c r="AI466" s="84">
        <v>0.0</v>
      </c>
      <c r="AJ466" s="84">
        <v>1.0</v>
      </c>
      <c r="AK466" s="87"/>
      <c r="AL466" s="81">
        <v>0.0</v>
      </c>
      <c r="AM466" s="87"/>
      <c r="AN466" s="81">
        <v>0.0</v>
      </c>
      <c r="AO466" s="90"/>
      <c r="AP466" s="81">
        <v>0.0</v>
      </c>
      <c r="AQ466" s="81">
        <v>0.0</v>
      </c>
      <c r="AR466" s="39"/>
      <c r="AS466" s="81">
        <v>0.0</v>
      </c>
      <c r="AT466" s="81">
        <v>0.0</v>
      </c>
      <c r="AU466" s="82"/>
      <c r="AV466" s="14" t="s">
        <v>65</v>
      </c>
      <c r="AW466" s="82"/>
      <c r="AX466" s="82"/>
      <c r="AY466" s="7"/>
      <c r="AZ466" s="7"/>
      <c r="BA466" s="7"/>
      <c r="BB466" s="7"/>
      <c r="BC466" s="7"/>
      <c r="BD466" s="7"/>
      <c r="BE466" s="7"/>
      <c r="BF466" s="7" t="s">
        <v>1944</v>
      </c>
      <c r="BG466" s="50" t="s">
        <v>1944</v>
      </c>
      <c r="BH466" s="82"/>
      <c r="BI466" s="82"/>
      <c r="BJ466" s="82"/>
      <c r="BK466" s="82"/>
      <c r="BL466" s="82"/>
      <c r="BM466" s="82"/>
      <c r="BN466" s="7"/>
      <c r="BO466" s="7">
        <v>4.0</v>
      </c>
      <c r="BP466" s="82"/>
      <c r="BQ466" s="7"/>
      <c r="BR466" s="7" t="s">
        <v>23</v>
      </c>
    </row>
    <row r="467">
      <c r="A467" s="16">
        <v>4.0</v>
      </c>
      <c r="B467" s="16" t="s">
        <v>63</v>
      </c>
      <c r="C467" s="53">
        <v>2.0</v>
      </c>
      <c r="D467" s="53" t="s">
        <v>64</v>
      </c>
      <c r="E467" s="7">
        <v>42.0</v>
      </c>
      <c r="F467" s="53"/>
      <c r="G467" s="7"/>
      <c r="H467" s="16">
        <v>1.0</v>
      </c>
      <c r="I467" s="81">
        <v>1.0</v>
      </c>
      <c r="J467" s="21" t="s">
        <v>3652</v>
      </c>
      <c r="K467" s="53" t="s">
        <v>3653</v>
      </c>
      <c r="L467" s="91" t="s">
        <v>2738</v>
      </c>
      <c r="M467" s="39" t="str">
        <f t="shared" si="1"/>
        <v>[https://link.springer.com/article/10.1007/BF01840365 Apostolico and Guerra (HS1 Algorithm) (1987)]</v>
      </c>
      <c r="N467" s="16" t="s">
        <v>3654</v>
      </c>
      <c r="O467" s="81">
        <v>1987.0</v>
      </c>
      <c r="P467" s="28" t="s">
        <v>3655</v>
      </c>
      <c r="Q467" s="82"/>
      <c r="R467" s="82"/>
      <c r="S467" s="82"/>
      <c r="T467" s="81">
        <v>0.0</v>
      </c>
      <c r="U467" s="81" t="s">
        <v>1937</v>
      </c>
      <c r="V467" s="89">
        <f>IFERROR(__xludf.DUMMYFUNCTION("INDEX(SPLIT(SUBSTITUTE(W467,CHAR(10), """"),"",:""), MATCH(Z467, SPLIT(SUBSTITUTE(W467,CHAR(10), """"),"",:""), 0) + 1)"),5.0)</f>
        <v>5</v>
      </c>
      <c r="W467" s="85" t="s">
        <v>3656</v>
      </c>
      <c r="X467" s="16" t="s">
        <v>3657</v>
      </c>
      <c r="Y467" s="53" t="s">
        <v>3658</v>
      </c>
      <c r="Z467" s="53" t="str">
        <f t="array" ref="Z467">INDEX(Problems!J:J, MATCH(1, (Problems!B:B=B467)*1, 0))</f>
        <v>m+n</v>
      </c>
      <c r="AA467" s="53"/>
      <c r="AB467" s="53"/>
      <c r="AC467" s="53" t="s">
        <v>1813</v>
      </c>
      <c r="AD467" s="53" t="s">
        <v>1814</v>
      </c>
      <c r="AE467" s="85">
        <f>IFERROR(__xludf.DUMMYFUNCTION("INDEX(SPLIT(SUBSTITUTE(AF467,CHAR(10), """"),"",:""), MATCH(Z467, SPLIT(SUBSTITUTE(AF467,CHAR(10), """"),"",:""), 0) + 1)"),3.0)</f>
        <v>3</v>
      </c>
      <c r="AF467" s="85" t="s">
        <v>3659</v>
      </c>
      <c r="AG467" s="53" t="s">
        <v>2745</v>
      </c>
      <c r="AH467" s="91" t="s">
        <v>3655</v>
      </c>
      <c r="AI467" s="84">
        <v>0.0</v>
      </c>
      <c r="AJ467" s="84">
        <v>1.0</v>
      </c>
      <c r="AK467" s="87"/>
      <c r="AL467" s="81">
        <v>0.0</v>
      </c>
      <c r="AM467" s="87"/>
      <c r="AN467" s="81">
        <v>0.0</v>
      </c>
      <c r="AO467" s="90"/>
      <c r="AP467" s="81">
        <v>0.0</v>
      </c>
      <c r="AQ467" s="81">
        <v>0.0</v>
      </c>
      <c r="AR467" s="39"/>
      <c r="AS467" s="81">
        <v>0.0</v>
      </c>
      <c r="AT467" s="81">
        <v>0.0</v>
      </c>
      <c r="AU467" s="82"/>
      <c r="AV467" s="14" t="s">
        <v>65</v>
      </c>
      <c r="AW467" s="82"/>
      <c r="AX467" s="82"/>
      <c r="AY467" s="7"/>
      <c r="AZ467" s="7"/>
      <c r="BA467" s="7"/>
      <c r="BB467" s="7"/>
      <c r="BC467" s="7"/>
      <c r="BD467" s="7"/>
      <c r="BE467" s="7"/>
      <c r="BF467" s="7" t="s">
        <v>1944</v>
      </c>
      <c r="BG467" s="50" t="s">
        <v>1944</v>
      </c>
      <c r="BH467" s="82"/>
      <c r="BI467" s="82"/>
      <c r="BJ467" s="82"/>
      <c r="BK467" s="82"/>
      <c r="BL467" s="82"/>
      <c r="BM467" s="82"/>
      <c r="BN467" s="7"/>
      <c r="BO467" s="7">
        <v>4.0</v>
      </c>
      <c r="BP467" s="82"/>
      <c r="BQ467" s="7"/>
      <c r="BR467" s="7" t="s">
        <v>23</v>
      </c>
    </row>
    <row r="468">
      <c r="A468" s="16">
        <v>4.0</v>
      </c>
      <c r="B468" s="16" t="s">
        <v>63</v>
      </c>
      <c r="C468" s="53">
        <v>2.0</v>
      </c>
      <c r="D468" s="53" t="s">
        <v>64</v>
      </c>
      <c r="E468" s="7">
        <v>43.0</v>
      </c>
      <c r="F468" s="53"/>
      <c r="G468" s="7"/>
      <c r="H468" s="16">
        <v>1.0</v>
      </c>
      <c r="I468" s="81">
        <v>1.0</v>
      </c>
      <c r="J468" s="21" t="s">
        <v>3660</v>
      </c>
      <c r="K468" s="53" t="s">
        <v>3653</v>
      </c>
      <c r="L468" s="91" t="s">
        <v>2738</v>
      </c>
      <c r="M468" s="39" t="str">
        <f t="shared" si="1"/>
        <v>[https://dl.acm.org/citation.cfm?id=74702 Kuo and Cross (1989)]</v>
      </c>
      <c r="N468" s="39" t="s">
        <v>3661</v>
      </c>
      <c r="O468" s="81">
        <v>1989.0</v>
      </c>
      <c r="P468" s="28" t="s">
        <v>3662</v>
      </c>
      <c r="Q468" s="82"/>
      <c r="R468" s="82"/>
      <c r="S468" s="82"/>
      <c r="T468" s="81">
        <v>0.0</v>
      </c>
      <c r="U468" s="81" t="s">
        <v>1937</v>
      </c>
      <c r="V468" s="89">
        <f>IFERROR(__xludf.DUMMYFUNCTION("INDEX(SPLIT(SUBSTITUTE(W468,CHAR(10), """"),"",:""), MATCH(Z468, SPLIT(SUBSTITUTE(W468,CHAR(10), """"),"",:""), 0) + 1)"),5.0)</f>
        <v>5</v>
      </c>
      <c r="W468" s="85" t="s">
        <v>3663</v>
      </c>
      <c r="X468" s="16" t="s">
        <v>3664</v>
      </c>
      <c r="Y468" s="53" t="s">
        <v>3665</v>
      </c>
      <c r="Z468" s="53" t="str">
        <f t="array" ref="Z468">INDEX(Problems!J:J, MATCH(1, (Problems!B:B=B468)*1, 0))</f>
        <v>m+n</v>
      </c>
      <c r="AA468" s="53"/>
      <c r="AB468" s="53"/>
      <c r="AC468" s="53" t="s">
        <v>1813</v>
      </c>
      <c r="AD468" s="53" t="s">
        <v>1814</v>
      </c>
      <c r="AE468" s="85">
        <f>IFERROR(__xludf.DUMMYFUNCTION("INDEX(SPLIT(SUBSTITUTE(AF468,CHAR(10), """"),"",:""), MATCH(Z468, SPLIT(SUBSTITUTE(AF468,CHAR(10), """"),"",:""), 0) + 1)"),3.0)</f>
        <v>3</v>
      </c>
      <c r="AF468" s="85" t="s">
        <v>3659</v>
      </c>
      <c r="AG468" s="53" t="s">
        <v>2745</v>
      </c>
      <c r="AH468" s="86" t="s">
        <v>3666</v>
      </c>
      <c r="AI468" s="84">
        <v>0.0</v>
      </c>
      <c r="AJ468" s="84">
        <v>1.0</v>
      </c>
      <c r="AK468" s="87"/>
      <c r="AL468" s="81">
        <v>0.0</v>
      </c>
      <c r="AM468" s="87"/>
      <c r="AN468" s="81">
        <v>0.0</v>
      </c>
      <c r="AO468" s="90"/>
      <c r="AP468" s="81">
        <v>0.0</v>
      </c>
      <c r="AQ468" s="81">
        <v>0.0</v>
      </c>
      <c r="AR468" s="39"/>
      <c r="AS468" s="81">
        <v>0.0</v>
      </c>
      <c r="AT468" s="81">
        <v>0.0</v>
      </c>
      <c r="AU468" s="82"/>
      <c r="AV468" s="14" t="s">
        <v>65</v>
      </c>
      <c r="AW468" s="82"/>
      <c r="AX468" s="82"/>
      <c r="AY468" s="7"/>
      <c r="AZ468" s="7"/>
      <c r="BA468" s="7"/>
      <c r="BB468" s="7"/>
      <c r="BC468" s="7"/>
      <c r="BD468" s="7"/>
      <c r="BE468" s="7"/>
      <c r="BF468" s="7" t="s">
        <v>1944</v>
      </c>
      <c r="BG468" s="50" t="s">
        <v>1944</v>
      </c>
      <c r="BH468" s="82"/>
      <c r="BI468" s="82"/>
      <c r="BJ468" s="82"/>
      <c r="BK468" s="82"/>
      <c r="BL468" s="82"/>
      <c r="BM468" s="82"/>
      <c r="BN468" s="7"/>
      <c r="BO468" s="7">
        <v>4.0</v>
      </c>
      <c r="BP468" s="82"/>
      <c r="BQ468" s="7"/>
      <c r="BR468" s="7" t="s">
        <v>23</v>
      </c>
    </row>
    <row r="469">
      <c r="A469" s="16">
        <v>4.0</v>
      </c>
      <c r="B469" s="16" t="s">
        <v>63</v>
      </c>
      <c r="C469" s="53">
        <v>2.0</v>
      </c>
      <c r="D469" s="53" t="s">
        <v>64</v>
      </c>
      <c r="E469" s="7">
        <v>44.0</v>
      </c>
      <c r="F469" s="53"/>
      <c r="G469" s="7"/>
      <c r="H469" s="16">
        <v>1.0</v>
      </c>
      <c r="I469" s="81">
        <v>1.0</v>
      </c>
      <c r="J469" s="16" t="s">
        <v>3667</v>
      </c>
      <c r="K469" s="53"/>
      <c r="L469" s="53"/>
      <c r="M469" s="39" t="str">
        <f t="shared" si="1"/>
        <v>[https://link.springer.com/chapter/10.1007/3-540-60044-2_53 Rick (1995)]</v>
      </c>
      <c r="N469" s="39" t="s">
        <v>3668</v>
      </c>
      <c r="O469" s="81">
        <v>1995.0</v>
      </c>
      <c r="P469" s="25" t="s">
        <v>3669</v>
      </c>
      <c r="Q469" s="82"/>
      <c r="R469" s="82"/>
      <c r="S469" s="82"/>
      <c r="T469" s="81">
        <v>1.0</v>
      </c>
      <c r="U469" s="81" t="s">
        <v>1937</v>
      </c>
      <c r="V469" s="89">
        <f>IFERROR(__xludf.DUMMYFUNCTION("INDEX(SPLIT(SUBSTITUTE(W469,CHAR(10), """"),"",:""), MATCH(Z469, SPLIT(SUBSTITUTE(W469,CHAR(10), """"),"",:""), 0) + 1)"),5.0)</f>
        <v>5</v>
      </c>
      <c r="W469" s="85" t="s">
        <v>3670</v>
      </c>
      <c r="X469" s="16" t="s">
        <v>3667</v>
      </c>
      <c r="Y469" s="53" t="s">
        <v>3665</v>
      </c>
      <c r="Z469" s="53" t="str">
        <f t="array" ref="Z469">INDEX(Problems!J:J, MATCH(1, (Problems!B:B=B469)*1, 0))</f>
        <v>m+n</v>
      </c>
      <c r="AA469" s="53"/>
      <c r="AB469" s="53"/>
      <c r="AC469" s="53" t="s">
        <v>1813</v>
      </c>
      <c r="AD469" s="53" t="s">
        <v>1814</v>
      </c>
      <c r="AE469" s="85">
        <f>IFERROR(__xludf.DUMMYFUNCTION("INDEX(SPLIT(SUBSTITUTE(AF469,CHAR(10), """"),"",:""), MATCH(Z469, SPLIT(SUBSTITUTE(AF469,CHAR(10), """"),"",:""), 0) + 1)"),3.0)</f>
        <v>3</v>
      </c>
      <c r="AF469" s="85" t="s">
        <v>3671</v>
      </c>
      <c r="AG469" s="53" t="s">
        <v>3672</v>
      </c>
      <c r="AH469" s="91" t="s">
        <v>3669</v>
      </c>
      <c r="AI469" s="84">
        <v>0.0</v>
      </c>
      <c r="AJ469" s="84">
        <v>1.0</v>
      </c>
      <c r="AK469" s="87"/>
      <c r="AL469" s="81">
        <v>0.0</v>
      </c>
      <c r="AM469" s="87"/>
      <c r="AN469" s="81">
        <v>0.0</v>
      </c>
      <c r="AO469" s="90"/>
      <c r="AP469" s="81">
        <v>0.0</v>
      </c>
      <c r="AQ469" s="81">
        <v>0.0</v>
      </c>
      <c r="AR469" s="39"/>
      <c r="AS469" s="81">
        <v>0.0</v>
      </c>
      <c r="AT469" s="81">
        <v>0.0</v>
      </c>
      <c r="AU469" s="82"/>
      <c r="AV469" s="14" t="s">
        <v>65</v>
      </c>
      <c r="AW469" s="82"/>
      <c r="AX469" s="82"/>
      <c r="AY469" s="7"/>
      <c r="AZ469" s="7"/>
      <c r="BA469" s="7"/>
      <c r="BB469" s="7"/>
      <c r="BC469" s="7"/>
      <c r="BD469" s="7"/>
      <c r="BE469" s="7"/>
      <c r="BF469" s="7" t="s">
        <v>1944</v>
      </c>
      <c r="BG469" s="50" t="s">
        <v>1944</v>
      </c>
      <c r="BH469" s="82"/>
      <c r="BI469" s="82"/>
      <c r="BJ469" s="82"/>
      <c r="BK469" s="82"/>
      <c r="BL469" s="82"/>
      <c r="BM469" s="82"/>
      <c r="BN469" s="7"/>
      <c r="BO469" s="7">
        <v>4.0</v>
      </c>
      <c r="BP469" s="82"/>
      <c r="BQ469" s="7"/>
      <c r="BR469" s="7" t="s">
        <v>23</v>
      </c>
    </row>
    <row r="470">
      <c r="A470" s="16">
        <v>4.0</v>
      </c>
      <c r="B470" s="16" t="s">
        <v>63</v>
      </c>
      <c r="C470" s="53">
        <v>0.001</v>
      </c>
      <c r="D470" s="53" t="s">
        <v>64</v>
      </c>
      <c r="E470" s="7">
        <v>45.0</v>
      </c>
      <c r="F470" s="53"/>
      <c r="G470" s="7"/>
      <c r="H470" s="16">
        <v>1.0</v>
      </c>
      <c r="I470" s="81">
        <v>1.0</v>
      </c>
      <c r="J470" s="147" t="s">
        <v>3673</v>
      </c>
      <c r="K470" s="53"/>
      <c r="L470" s="53"/>
      <c r="M470" s="39" t="str">
        <f t="shared" si="1"/>
        <v>[https://link.springer.com/chapter/10.1007/3-540-60044-2_53 Rick (1995)]</v>
      </c>
      <c r="N470" s="39" t="s">
        <v>3668</v>
      </c>
      <c r="O470" s="81">
        <v>1995.0</v>
      </c>
      <c r="P470" s="25" t="s">
        <v>3669</v>
      </c>
      <c r="Q470" s="82"/>
      <c r="R470" s="82"/>
      <c r="S470" s="82"/>
      <c r="T470" s="81">
        <v>0.0</v>
      </c>
      <c r="U470" s="81" t="s">
        <v>1937</v>
      </c>
      <c r="V470" s="89">
        <f>IFERROR(__xludf.DUMMYFUNCTION("INDEX(SPLIT(SUBSTITUTE(W470,CHAR(10), """"),"",:""), MATCH(Z470, SPLIT(SUBSTITUTE(W470,CHAR(10), """"),"",:""), 0) + 1)"),5.0)</f>
        <v>5</v>
      </c>
      <c r="W470" s="85" t="s">
        <v>3670</v>
      </c>
      <c r="X470" s="147" t="s">
        <v>3673</v>
      </c>
      <c r="Y470" s="53" t="s">
        <v>3665</v>
      </c>
      <c r="Z470" s="53" t="str">
        <f t="array" ref="Z470">INDEX(Problems!J:J, MATCH(1, (Problems!B:B=B470)*1, 0))</f>
        <v>m+n</v>
      </c>
      <c r="AA470" s="53"/>
      <c r="AB470" s="53"/>
      <c r="AC470" s="53" t="s">
        <v>1813</v>
      </c>
      <c r="AD470" s="53" t="s">
        <v>1814</v>
      </c>
      <c r="AE470" s="85">
        <f>IFERROR(__xludf.DUMMYFUNCTION("INDEX(SPLIT(SUBSTITUTE(AF470,CHAR(10), """"),"",:""), MATCH(Z470, SPLIT(SUBSTITUTE(AF470,CHAR(10), """"),"",:""), 0) + 1)"),3.0)</f>
        <v>3</v>
      </c>
      <c r="AF470" s="85" t="s">
        <v>3671</v>
      </c>
      <c r="AG470" s="53" t="s">
        <v>3672</v>
      </c>
      <c r="AH470" s="91" t="s">
        <v>3669</v>
      </c>
      <c r="AI470" s="84">
        <v>0.0</v>
      </c>
      <c r="AJ470" s="84">
        <v>1.0</v>
      </c>
      <c r="AK470" s="87"/>
      <c r="AL470" s="81">
        <v>0.0</v>
      </c>
      <c r="AM470" s="87"/>
      <c r="AN470" s="81">
        <v>0.0</v>
      </c>
      <c r="AO470" s="90"/>
      <c r="AP470" s="81">
        <v>0.0</v>
      </c>
      <c r="AQ470" s="81">
        <v>0.0</v>
      </c>
      <c r="AR470" s="39"/>
      <c r="AS470" s="81">
        <v>0.0</v>
      </c>
      <c r="AT470" s="81">
        <v>0.0</v>
      </c>
      <c r="AU470" s="82"/>
      <c r="AV470" s="14" t="s">
        <v>65</v>
      </c>
      <c r="AW470" s="82"/>
      <c r="AX470" s="82"/>
      <c r="AY470" s="7"/>
      <c r="AZ470" s="7"/>
      <c r="BA470" s="7"/>
      <c r="BB470" s="7"/>
      <c r="BC470" s="7"/>
      <c r="BD470" s="7"/>
      <c r="BE470" s="7"/>
      <c r="BF470" s="7" t="s">
        <v>1944</v>
      </c>
      <c r="BG470" s="50" t="s">
        <v>1944</v>
      </c>
      <c r="BH470" s="82"/>
      <c r="BI470" s="82"/>
      <c r="BJ470" s="82"/>
      <c r="BK470" s="82"/>
      <c r="BL470" s="82"/>
      <c r="BM470" s="82"/>
      <c r="BN470" s="7"/>
      <c r="BO470" s="7">
        <v>4.0</v>
      </c>
      <c r="BP470" s="82"/>
      <c r="BQ470" s="7"/>
      <c r="BR470" s="7" t="s">
        <v>23</v>
      </c>
    </row>
    <row r="471">
      <c r="A471" s="16">
        <v>4.0</v>
      </c>
      <c r="B471" s="16" t="s">
        <v>63</v>
      </c>
      <c r="C471" s="53">
        <v>2.0</v>
      </c>
      <c r="D471" s="53" t="s">
        <v>64</v>
      </c>
      <c r="E471" s="7">
        <v>46.0</v>
      </c>
      <c r="F471" s="53"/>
      <c r="G471" s="7"/>
      <c r="H471" s="16">
        <v>1.0</v>
      </c>
      <c r="I471" s="81">
        <v>1.0</v>
      </c>
      <c r="J471" s="16" t="s">
        <v>3674</v>
      </c>
      <c r="K471" s="53"/>
      <c r="L471" s="53"/>
      <c r="M471" s="39" t="str">
        <f t="shared" si="1"/>
        <v>[https://dl.acm.org/citation.cfm?id=322044 Hirschberg (1977)]</v>
      </c>
      <c r="N471" s="39" t="s">
        <v>3675</v>
      </c>
      <c r="O471" s="81">
        <v>1977.0</v>
      </c>
      <c r="P471" s="17" t="s">
        <v>3676</v>
      </c>
      <c r="Q471" s="82"/>
      <c r="R471" s="82"/>
      <c r="S471" s="82"/>
      <c r="T471" s="81">
        <v>1.0</v>
      </c>
      <c r="U471" s="81" t="s">
        <v>1937</v>
      </c>
      <c r="V471" s="89">
        <f>IFERROR(__xludf.DUMMYFUNCTION("INDEX(SPLIT(SUBSTITUTE(W471,CHAR(10), """"),"",:""), MATCH(Z471, SPLIT(SUBSTITUTE(W471,CHAR(10), """"),"",:""), 0) + 1)"),5.0)</f>
        <v>5</v>
      </c>
      <c r="W471" s="85" t="s">
        <v>3677</v>
      </c>
      <c r="X471" s="16" t="s">
        <v>3674</v>
      </c>
      <c r="Y471" s="53" t="s">
        <v>3678</v>
      </c>
      <c r="Z471" s="53" t="str">
        <f t="array" ref="Z471">INDEX(Problems!J:J, MATCH(1, (Problems!B:B=B471)*1, 0))</f>
        <v>m+n</v>
      </c>
      <c r="AA471" s="53"/>
      <c r="AB471" s="53"/>
      <c r="AC471" s="53" t="s">
        <v>1813</v>
      </c>
      <c r="AD471" s="53" t="s">
        <v>1814</v>
      </c>
      <c r="AE471" s="85">
        <f>IFERROR(__xludf.DUMMYFUNCTION("INDEX(SPLIT(SUBSTITUTE(AF471,CHAR(10), """"),"",:""), MATCH(Z471, SPLIT(SUBSTITUTE(AF471,CHAR(10), """"),"",:""), 0) + 1)"),3.0)</f>
        <v>3</v>
      </c>
      <c r="AF471" s="85" t="s">
        <v>3659</v>
      </c>
      <c r="AG471" s="53" t="s">
        <v>3679</v>
      </c>
      <c r="AH471" s="91" t="s">
        <v>3680</v>
      </c>
      <c r="AI471" s="84">
        <v>0.0</v>
      </c>
      <c r="AJ471" s="84">
        <v>0.0</v>
      </c>
      <c r="AK471" s="87"/>
      <c r="AL471" s="81">
        <v>0.0</v>
      </c>
      <c r="AM471" s="87"/>
      <c r="AN471" s="81">
        <v>0.0</v>
      </c>
      <c r="AO471" s="90"/>
      <c r="AP471" s="81">
        <v>0.0</v>
      </c>
      <c r="AQ471" s="81">
        <v>0.0</v>
      </c>
      <c r="AR471" s="39"/>
      <c r="AS471" s="81">
        <v>0.0</v>
      </c>
      <c r="AT471" s="81">
        <v>0.0</v>
      </c>
      <c r="AU471" s="82"/>
      <c r="AV471" s="14" t="s">
        <v>65</v>
      </c>
      <c r="AW471" s="82"/>
      <c r="AX471" s="82"/>
      <c r="AY471" s="7"/>
      <c r="AZ471" s="7"/>
      <c r="BA471" s="7"/>
      <c r="BB471" s="7"/>
      <c r="BC471" s="7"/>
      <c r="BD471" s="7"/>
      <c r="BE471" s="7"/>
      <c r="BF471" s="7" t="s">
        <v>1944</v>
      </c>
      <c r="BG471" s="50" t="s">
        <v>1944</v>
      </c>
      <c r="BH471" s="82"/>
      <c r="BI471" s="82"/>
      <c r="BJ471" s="82"/>
      <c r="BK471" s="82"/>
      <c r="BL471" s="82"/>
      <c r="BM471" s="82"/>
      <c r="BN471" s="7"/>
      <c r="BO471" s="7">
        <v>4.0</v>
      </c>
      <c r="BP471" s="82"/>
      <c r="BQ471" s="7"/>
      <c r="BR471" s="7" t="s">
        <v>23</v>
      </c>
    </row>
    <row r="472">
      <c r="A472" s="16">
        <v>4.0</v>
      </c>
      <c r="B472" s="16" t="s">
        <v>63</v>
      </c>
      <c r="C472" s="53">
        <v>2.0</v>
      </c>
      <c r="D472" s="53" t="s">
        <v>64</v>
      </c>
      <c r="E472" s="7">
        <v>47.0</v>
      </c>
      <c r="F472" s="53"/>
      <c r="G472" s="7"/>
      <c r="H472" s="16">
        <v>1.0</v>
      </c>
      <c r="I472" s="81">
        <v>1.0</v>
      </c>
      <c r="J472" s="16" t="s">
        <v>3681</v>
      </c>
      <c r="K472" s="53"/>
      <c r="L472" s="53"/>
      <c r="M472" s="39" t="str">
        <f t="shared" si="1"/>
        <v>[https://www.sciencedirect.com/science/article/pii/0022000084900254 Hsu and Du (Scheme 1) (1984)]</v>
      </c>
      <c r="N472" s="16" t="s">
        <v>3682</v>
      </c>
      <c r="O472" s="81">
        <v>1984.0</v>
      </c>
      <c r="P472" s="28" t="s">
        <v>3647</v>
      </c>
      <c r="Q472" s="82"/>
      <c r="R472" s="82"/>
      <c r="S472" s="82"/>
      <c r="T472" s="81">
        <v>0.0</v>
      </c>
      <c r="U472" s="81" t="s">
        <v>1937</v>
      </c>
      <c r="V472" s="89">
        <f>IFERROR(__xludf.DUMMYFUNCTION("INDEX(SPLIT(SUBSTITUTE(W472,CHAR(10), """"),"",:""), MATCH(Z472, SPLIT(SUBSTITUTE(W472,CHAR(10), """"),"",:""), 0) + 1)"),5.0)</f>
        <v>5</v>
      </c>
      <c r="W472" s="85" t="s">
        <v>3683</v>
      </c>
      <c r="X472" s="16" t="s">
        <v>3681</v>
      </c>
      <c r="Y472" s="53" t="s">
        <v>3649</v>
      </c>
      <c r="Z472" s="53" t="str">
        <f t="array" ref="Z472">INDEX(Problems!J:J, MATCH(1, (Problems!B:B=B472)*1, 0))</f>
        <v>m+n</v>
      </c>
      <c r="AA472" s="53"/>
      <c r="AB472" s="53"/>
      <c r="AC472" s="53" t="s">
        <v>1813</v>
      </c>
      <c r="AD472" s="53" t="s">
        <v>1814</v>
      </c>
      <c r="AE472" s="85">
        <f>IFERROR(__xludf.DUMMYFUNCTION("INDEX(SPLIT(SUBSTITUTE(AF472,CHAR(10), """"),"",:""), MATCH(Z472, SPLIT(SUBSTITUTE(AF472,CHAR(10), """"),"",:""), 0) + 1)"),5.0)</f>
        <v>5</v>
      </c>
      <c r="AF472" s="85" t="s">
        <v>3650</v>
      </c>
      <c r="AG472" s="53" t="s">
        <v>3651</v>
      </c>
      <c r="AH472" s="91" t="s">
        <v>3647</v>
      </c>
      <c r="AI472" s="84">
        <v>0.0</v>
      </c>
      <c r="AJ472" s="84">
        <v>1.0</v>
      </c>
      <c r="AK472" s="87"/>
      <c r="AL472" s="81">
        <v>0.0</v>
      </c>
      <c r="AM472" s="87"/>
      <c r="AN472" s="81">
        <v>0.0</v>
      </c>
      <c r="AO472" s="90"/>
      <c r="AP472" s="81">
        <v>0.0</v>
      </c>
      <c r="AQ472" s="81">
        <v>0.0</v>
      </c>
      <c r="AR472" s="39"/>
      <c r="AS472" s="81">
        <v>0.0</v>
      </c>
      <c r="AT472" s="81">
        <v>0.0</v>
      </c>
      <c r="AU472" s="82"/>
      <c r="AV472" s="14" t="s">
        <v>65</v>
      </c>
      <c r="AW472" s="82"/>
      <c r="AX472" s="82"/>
      <c r="AY472" s="7"/>
      <c r="AZ472" s="50"/>
      <c r="BA472" s="50"/>
      <c r="BB472" s="50"/>
      <c r="BC472" s="50"/>
      <c r="BD472" s="50"/>
      <c r="BE472" s="50"/>
      <c r="BF472" s="50" t="s">
        <v>1944</v>
      </c>
      <c r="BG472" s="50" t="s">
        <v>1944</v>
      </c>
      <c r="BH472" s="82"/>
      <c r="BI472" s="82"/>
      <c r="BJ472" s="82"/>
      <c r="BK472" s="82"/>
      <c r="BL472" s="82"/>
      <c r="BM472" s="82"/>
      <c r="BN472" s="7"/>
      <c r="BO472" s="7">
        <v>4.0</v>
      </c>
      <c r="BP472" s="82"/>
      <c r="BQ472" s="7"/>
      <c r="BR472" s="7" t="s">
        <v>23</v>
      </c>
    </row>
    <row r="473">
      <c r="A473" s="16">
        <v>4.0</v>
      </c>
      <c r="B473" s="16" t="s">
        <v>63</v>
      </c>
      <c r="C473" s="53">
        <v>2.0</v>
      </c>
      <c r="D473" s="53" t="s">
        <v>64</v>
      </c>
      <c r="E473" s="7">
        <v>48.0</v>
      </c>
      <c r="F473" s="53"/>
      <c r="G473" s="7"/>
      <c r="H473" s="16">
        <v>1.0</v>
      </c>
      <c r="I473" s="81">
        <v>1.0</v>
      </c>
      <c r="J473" s="16" t="s">
        <v>3684</v>
      </c>
      <c r="K473" s="53"/>
      <c r="L473" s="53"/>
      <c r="M473" s="39" t="str">
        <f t="shared" si="1"/>
        <v>[https://link.springer.com/article/10.1007/BF01840365 Apostolico and Guerra (Algorithm 2) (1987)]</v>
      </c>
      <c r="N473" s="16" t="s">
        <v>3685</v>
      </c>
      <c r="O473" s="81">
        <v>1987.0</v>
      </c>
      <c r="P473" s="28" t="s">
        <v>3655</v>
      </c>
      <c r="Q473" s="82"/>
      <c r="R473" s="82"/>
      <c r="S473" s="82"/>
      <c r="T473" s="81">
        <v>1.0</v>
      </c>
      <c r="U473" s="81" t="s">
        <v>1937</v>
      </c>
      <c r="V473" s="89">
        <f>IFERROR(__xludf.DUMMYFUNCTION("INDEX(SPLIT(SUBSTITUTE(W473,CHAR(10), """"),"",:""), MATCH(Z473, SPLIT(SUBSTITUTE(W473,CHAR(10), """"),"",:""), 0) + 1)"),5.0)</f>
        <v>5</v>
      </c>
      <c r="W473" s="85" t="s">
        <v>3686</v>
      </c>
      <c r="X473" s="16" t="s">
        <v>3684</v>
      </c>
      <c r="Y473" s="53" t="s">
        <v>3665</v>
      </c>
      <c r="Z473" s="53" t="str">
        <f t="array" ref="Z473">INDEX(Problems!J:J, MATCH(1, (Problems!B:B=B473)*1, 0))</f>
        <v>m+n</v>
      </c>
      <c r="AA473" s="53"/>
      <c r="AB473" s="53"/>
      <c r="AC473" s="53" t="s">
        <v>1813</v>
      </c>
      <c r="AD473" s="53" t="s">
        <v>1814</v>
      </c>
      <c r="AE473" s="85">
        <f>IFERROR(__xludf.DUMMYFUNCTION("INDEX(SPLIT(SUBSTITUTE(AF473,CHAR(10), """"),"",:""), MATCH(Z473, SPLIT(SUBSTITUTE(AF473,CHAR(10), """"),"",:""), 0) + 1)"),3.0)</f>
        <v>3</v>
      </c>
      <c r="AF473" s="85" t="s">
        <v>3671</v>
      </c>
      <c r="AG473" s="53" t="s">
        <v>3687</v>
      </c>
      <c r="AH473" s="91" t="s">
        <v>3680</v>
      </c>
      <c r="AI473" s="84">
        <v>0.0</v>
      </c>
      <c r="AJ473" s="84">
        <v>0.0</v>
      </c>
      <c r="AK473" s="87"/>
      <c r="AL473" s="81">
        <v>0.0</v>
      </c>
      <c r="AM473" s="87"/>
      <c r="AN473" s="81">
        <v>0.0</v>
      </c>
      <c r="AO473" s="90"/>
      <c r="AP473" s="81">
        <v>0.0</v>
      </c>
      <c r="AQ473" s="81">
        <v>0.0</v>
      </c>
      <c r="AR473" s="39"/>
      <c r="AS473" s="81">
        <v>0.0</v>
      </c>
      <c r="AT473" s="81">
        <v>0.0</v>
      </c>
      <c r="AU473" s="82"/>
      <c r="AV473" s="14" t="s">
        <v>65</v>
      </c>
      <c r="AW473" s="82"/>
      <c r="AX473" s="82"/>
      <c r="AY473" s="7"/>
      <c r="AZ473" s="50"/>
      <c r="BA473" s="50"/>
      <c r="BB473" s="50"/>
      <c r="BC473" s="50"/>
      <c r="BD473" s="50"/>
      <c r="BE473" s="50"/>
      <c r="BF473" s="50" t="s">
        <v>1944</v>
      </c>
      <c r="BG473" s="50" t="s">
        <v>1944</v>
      </c>
      <c r="BH473" s="82"/>
      <c r="BI473" s="82"/>
      <c r="BJ473" s="82"/>
      <c r="BK473" s="82"/>
      <c r="BL473" s="82"/>
      <c r="BM473" s="82"/>
      <c r="BN473" s="7"/>
      <c r="BO473" s="7">
        <v>4.0</v>
      </c>
      <c r="BP473" s="82"/>
      <c r="BQ473" s="7"/>
      <c r="BR473" s="7" t="s">
        <v>23</v>
      </c>
    </row>
    <row r="474">
      <c r="A474" s="16">
        <v>4.0</v>
      </c>
      <c r="B474" s="16" t="s">
        <v>63</v>
      </c>
      <c r="C474" s="53">
        <v>2.0</v>
      </c>
      <c r="D474" s="53" t="s">
        <v>64</v>
      </c>
      <c r="E474" s="7">
        <v>49.0</v>
      </c>
      <c r="F474" s="53"/>
      <c r="G474" s="7"/>
      <c r="H474" s="16">
        <v>1.0</v>
      </c>
      <c r="I474" s="81">
        <v>1.0</v>
      </c>
      <c r="J474" s="16" t="s">
        <v>3688</v>
      </c>
      <c r="K474" s="53"/>
      <c r="L474" s="53"/>
      <c r="M474" s="39" t="str">
        <f t="shared" si="1"/>
        <v>[https://dl.acm.org/doi/abs/10.5555/105582.105592 Chin and Poon (1991)]</v>
      </c>
      <c r="N474" s="39" t="s">
        <v>3689</v>
      </c>
      <c r="O474" s="81">
        <v>1991.0</v>
      </c>
      <c r="P474" s="25" t="s">
        <v>3690</v>
      </c>
      <c r="Q474" s="82"/>
      <c r="R474" s="82"/>
      <c r="S474" s="82"/>
      <c r="T474" s="81">
        <v>0.0</v>
      </c>
      <c r="U474" s="81" t="s">
        <v>1937</v>
      </c>
      <c r="V474" s="89">
        <f>IFERROR(__xludf.DUMMYFUNCTION("INDEX(SPLIT(SUBSTITUTE(W474,CHAR(10), """"),"",:""), MATCH(Z474, SPLIT(SUBSTITUTE(W474,CHAR(10), """"),"",:""), 0) + 1)"),5.0)</f>
        <v>5</v>
      </c>
      <c r="W474" s="85" t="s">
        <v>3691</v>
      </c>
      <c r="X474" s="16" t="s">
        <v>3688</v>
      </c>
      <c r="Y474" s="53" t="s">
        <v>3665</v>
      </c>
      <c r="Z474" s="53" t="str">
        <f t="array" ref="Z474">INDEX(Problems!J:J, MATCH(1, (Problems!B:B=B474)*1, 0))</f>
        <v>m+n</v>
      </c>
      <c r="AA474" s="53"/>
      <c r="AB474" s="53"/>
      <c r="AC474" s="53" t="s">
        <v>1813</v>
      </c>
      <c r="AD474" s="53" t="s">
        <v>1814</v>
      </c>
      <c r="AE474" s="85">
        <f>IFERROR(__xludf.DUMMYFUNCTION("INDEX(SPLIT(SUBSTITUTE(AF474,CHAR(10), """"),"",:""), MATCH(Z474, SPLIT(SUBSTITUTE(AF474,CHAR(10), """"),"",:""), 0) + 1)"),3.0)</f>
        <v>3</v>
      </c>
      <c r="AF474" s="85" t="s">
        <v>3659</v>
      </c>
      <c r="AG474" s="53" t="s">
        <v>2745</v>
      </c>
      <c r="AH474" s="86" t="s">
        <v>3692</v>
      </c>
      <c r="AI474" s="84">
        <v>0.0</v>
      </c>
      <c r="AJ474" s="84">
        <v>0.0</v>
      </c>
      <c r="AK474" s="87"/>
      <c r="AL474" s="81">
        <v>0.0</v>
      </c>
      <c r="AM474" s="87"/>
      <c r="AN474" s="81">
        <v>0.0</v>
      </c>
      <c r="AO474" s="90"/>
      <c r="AP474" s="81">
        <v>0.0</v>
      </c>
      <c r="AQ474" s="81">
        <v>0.0</v>
      </c>
      <c r="AR474" s="39"/>
      <c r="AS474" s="81">
        <v>0.0</v>
      </c>
      <c r="AT474" s="81">
        <v>0.0</v>
      </c>
      <c r="AU474" s="47" t="s">
        <v>3693</v>
      </c>
      <c r="AV474" s="14" t="s">
        <v>65</v>
      </c>
      <c r="AW474" s="82"/>
      <c r="AX474" s="82"/>
      <c r="AY474" s="7"/>
      <c r="AZ474" s="50"/>
      <c r="BA474" s="50"/>
      <c r="BB474" s="50"/>
      <c r="BC474" s="50"/>
      <c r="BD474" s="50"/>
      <c r="BE474" s="50"/>
      <c r="BF474" s="50" t="s">
        <v>1944</v>
      </c>
      <c r="BG474" s="50" t="s">
        <v>1944</v>
      </c>
      <c r="BH474" s="82"/>
      <c r="BI474" s="82"/>
      <c r="BJ474" s="82"/>
      <c r="BK474" s="82"/>
      <c r="BL474" s="82"/>
      <c r="BM474" s="82"/>
      <c r="BN474" s="7"/>
      <c r="BO474" s="7">
        <v>4.0</v>
      </c>
      <c r="BP474" s="82"/>
      <c r="BQ474" s="7"/>
      <c r="BR474" s="7" t="s">
        <v>23</v>
      </c>
    </row>
    <row r="475">
      <c r="A475" s="16">
        <v>4.0</v>
      </c>
      <c r="B475" s="16" t="s">
        <v>63</v>
      </c>
      <c r="C475" s="53">
        <v>2.0</v>
      </c>
      <c r="D475" s="53" t="s">
        <v>64</v>
      </c>
      <c r="E475" s="7">
        <v>50.0</v>
      </c>
      <c r="F475" s="53"/>
      <c r="G475" s="7"/>
      <c r="H475" s="16">
        <v>1.0</v>
      </c>
      <c r="I475" s="81">
        <v>1.0</v>
      </c>
      <c r="J475" s="39" t="s">
        <v>3694</v>
      </c>
      <c r="K475" s="53"/>
      <c r="L475" s="53"/>
      <c r="M475" s="39" t="str">
        <f t="shared" si="1"/>
        <v>[https://link.springer.com/article/10.1007/BF00264437 Nakatsu et al. (1982)]</v>
      </c>
      <c r="N475" s="16" t="s">
        <v>3695</v>
      </c>
      <c r="O475" s="81">
        <v>1982.0</v>
      </c>
      <c r="P475" s="28" t="s">
        <v>3696</v>
      </c>
      <c r="Q475" s="82"/>
      <c r="R475" s="82"/>
      <c r="S475" s="82"/>
      <c r="T475" s="81">
        <v>0.0</v>
      </c>
      <c r="U475" s="81" t="s">
        <v>1937</v>
      </c>
      <c r="V475" s="89">
        <f>IFERROR(__xludf.DUMMYFUNCTION("INDEX(SPLIT(SUBSTITUTE(W475,CHAR(10), """"),"",:""), MATCH(Z475, SPLIT(SUBSTITUTE(W475,CHAR(10), """"),"",:""), 0) + 1)"),5.0)</f>
        <v>5</v>
      </c>
      <c r="W475" s="85" t="s">
        <v>2012</v>
      </c>
      <c r="X475" s="39" t="s">
        <v>3694</v>
      </c>
      <c r="Y475" s="53" t="s">
        <v>3649</v>
      </c>
      <c r="Z475" s="53" t="str">
        <f t="array" ref="Z475">INDEX(Problems!J:J, MATCH(1, (Problems!B:B=B475)*1, 0))</f>
        <v>m+n</v>
      </c>
      <c r="AA475" s="53"/>
      <c r="AB475" s="53"/>
      <c r="AC475" s="53" t="s">
        <v>1813</v>
      </c>
      <c r="AD475" s="53" t="s">
        <v>1814</v>
      </c>
      <c r="AE475" s="85">
        <f>IFERROR(__xludf.DUMMYFUNCTION("INDEX(SPLIT(SUBSTITUTE(AF475,CHAR(10), """"),"",:""), MATCH(Z475, SPLIT(SUBSTITUTE(AF475,CHAR(10), """"),"",:""), 0) + 1)"),5.0)</f>
        <v>5</v>
      </c>
      <c r="AF475" s="85" t="s">
        <v>3697</v>
      </c>
      <c r="AG475" s="53" t="s">
        <v>3698</v>
      </c>
      <c r="AH475" s="86" t="s">
        <v>3699</v>
      </c>
      <c r="AI475" s="84">
        <v>0.0</v>
      </c>
      <c r="AJ475" s="84">
        <v>0.0</v>
      </c>
      <c r="AK475" s="87"/>
      <c r="AL475" s="81">
        <v>0.0</v>
      </c>
      <c r="AM475" s="87"/>
      <c r="AN475" s="81">
        <v>0.0</v>
      </c>
      <c r="AO475" s="90"/>
      <c r="AP475" s="81">
        <v>0.0</v>
      </c>
      <c r="AQ475" s="81">
        <v>0.0</v>
      </c>
      <c r="AR475" s="39"/>
      <c r="AS475" s="81">
        <v>0.0</v>
      </c>
      <c r="AT475" s="81">
        <v>0.0</v>
      </c>
      <c r="AU475" s="47" t="s">
        <v>3693</v>
      </c>
      <c r="AV475" s="14" t="s">
        <v>65</v>
      </c>
      <c r="AW475" s="82"/>
      <c r="AX475" s="82"/>
      <c r="AY475" s="7"/>
      <c r="AZ475" s="50"/>
      <c r="BA475" s="50"/>
      <c r="BB475" s="50"/>
      <c r="BC475" s="50"/>
      <c r="BD475" s="50"/>
      <c r="BE475" s="50"/>
      <c r="BF475" s="50" t="s">
        <v>1944</v>
      </c>
      <c r="BG475" s="50" t="s">
        <v>1944</v>
      </c>
      <c r="BH475" s="82"/>
      <c r="BI475" s="82"/>
      <c r="BJ475" s="82"/>
      <c r="BK475" s="82"/>
      <c r="BL475" s="82"/>
      <c r="BM475" s="82"/>
      <c r="BN475" s="7"/>
      <c r="BO475" s="7">
        <v>4.0</v>
      </c>
      <c r="BP475" s="82"/>
      <c r="BQ475" s="7"/>
      <c r="BR475" s="7" t="s">
        <v>23</v>
      </c>
    </row>
    <row r="476">
      <c r="A476" s="16">
        <v>4.0</v>
      </c>
      <c r="B476" s="16" t="s">
        <v>63</v>
      </c>
      <c r="C476" s="53">
        <v>2.0</v>
      </c>
      <c r="D476" s="53" t="s">
        <v>64</v>
      </c>
      <c r="E476" s="7">
        <v>51.0</v>
      </c>
      <c r="F476" s="53"/>
      <c r="G476" s="7"/>
      <c r="H476" s="16">
        <v>1.0</v>
      </c>
      <c r="I476" s="81">
        <v>1.0</v>
      </c>
      <c r="J476" s="16" t="s">
        <v>3694</v>
      </c>
      <c r="K476" s="53"/>
      <c r="L476" s="53"/>
      <c r="M476" s="39" t="str">
        <f t="shared" si="1"/>
        <v>[https://onlinelibrary.wiley.com/doi/abs/10.1002/spe.4380151102 Miller and Myers (1985)]</v>
      </c>
      <c r="N476" s="39" t="s">
        <v>3700</v>
      </c>
      <c r="O476" s="81">
        <v>1985.0</v>
      </c>
      <c r="P476" s="28" t="s">
        <v>3701</v>
      </c>
      <c r="Q476" s="82"/>
      <c r="R476" s="82"/>
      <c r="S476" s="82"/>
      <c r="T476" s="81">
        <v>0.0</v>
      </c>
      <c r="U476" s="81" t="s">
        <v>1937</v>
      </c>
      <c r="V476" s="89">
        <f>IFERROR(__xludf.DUMMYFUNCTION("INDEX(SPLIT(SUBSTITUTE(W476,CHAR(10), """"),"",:""), MATCH(Z476, SPLIT(SUBSTITUTE(W476,CHAR(10), """"),"",:""), 0) + 1)"),5.0)</f>
        <v>5</v>
      </c>
      <c r="W476" s="85" t="s">
        <v>2012</v>
      </c>
      <c r="X476" s="16" t="s">
        <v>3694</v>
      </c>
      <c r="Y476" s="53" t="s">
        <v>3649</v>
      </c>
      <c r="Z476" s="53" t="str">
        <f t="array" ref="Z476">INDEX(Problems!J:J, MATCH(1, (Problems!B:B=B476)*1, 0))</f>
        <v>m+n</v>
      </c>
      <c r="AA476" s="53"/>
      <c r="AB476" s="53"/>
      <c r="AC476" s="53" t="s">
        <v>1813</v>
      </c>
      <c r="AD476" s="53" t="s">
        <v>1814</v>
      </c>
      <c r="AE476" s="85">
        <f>IFERROR(__xludf.DUMMYFUNCTION("INDEX(SPLIT(SUBSTITUTE(AF476,CHAR(10), """"),"",:""), MATCH(Z476, SPLIT(SUBSTITUTE(AF476,CHAR(10), """"),"",:""), 0) + 1)"),5.0)</f>
        <v>5</v>
      </c>
      <c r="AF476" s="85" t="s">
        <v>3697</v>
      </c>
      <c r="AG476" s="53" t="s">
        <v>3698</v>
      </c>
      <c r="AH476" s="53" t="s">
        <v>3702</v>
      </c>
      <c r="AI476" s="84">
        <v>1.0</v>
      </c>
      <c r="AJ476" s="84">
        <v>0.0</v>
      </c>
      <c r="AK476" s="87"/>
      <c r="AL476" s="81">
        <v>0.0</v>
      </c>
      <c r="AM476" s="87"/>
      <c r="AN476" s="81">
        <v>0.0</v>
      </c>
      <c r="AO476" s="90"/>
      <c r="AP476" s="81">
        <v>0.0</v>
      </c>
      <c r="AQ476" s="81">
        <v>0.0</v>
      </c>
      <c r="AR476" s="39"/>
      <c r="AS476" s="81">
        <v>0.0</v>
      </c>
      <c r="AT476" s="81">
        <v>0.0</v>
      </c>
      <c r="AU476" s="82"/>
      <c r="AV476" s="14" t="s">
        <v>65</v>
      </c>
      <c r="AW476" s="82"/>
      <c r="AX476" s="82"/>
      <c r="AY476" s="7"/>
      <c r="AZ476" s="50"/>
      <c r="BA476" s="50"/>
      <c r="BB476" s="50"/>
      <c r="BC476" s="50"/>
      <c r="BD476" s="50"/>
      <c r="BE476" s="50"/>
      <c r="BF476" s="50" t="s">
        <v>1944</v>
      </c>
      <c r="BG476" s="50" t="s">
        <v>1944</v>
      </c>
      <c r="BH476" s="82"/>
      <c r="BI476" s="82"/>
      <c r="BJ476" s="82"/>
      <c r="BK476" s="82"/>
      <c r="BL476" s="82"/>
      <c r="BM476" s="82"/>
      <c r="BN476" s="7"/>
      <c r="BO476" s="7">
        <v>4.0</v>
      </c>
      <c r="BP476" s="82"/>
      <c r="BQ476" s="7"/>
      <c r="BR476" s="7" t="s">
        <v>23</v>
      </c>
    </row>
    <row r="477">
      <c r="A477" s="16">
        <v>4.0</v>
      </c>
      <c r="B477" s="16" t="s">
        <v>63</v>
      </c>
      <c r="C477" s="53">
        <v>2.0</v>
      </c>
      <c r="D477" s="53" t="s">
        <v>64</v>
      </c>
      <c r="E477" s="7">
        <v>52.0</v>
      </c>
      <c r="F477" s="53"/>
      <c r="G477" s="7"/>
      <c r="H477" s="16">
        <v>1.0</v>
      </c>
      <c r="I477" s="81">
        <v>1.0</v>
      </c>
      <c r="J477" s="39" t="s">
        <v>3694</v>
      </c>
      <c r="K477" s="53"/>
      <c r="L477" s="53"/>
      <c r="M477" s="39" t="str">
        <f t="shared" si="1"/>
        <v>[https://publications.mpi-cbg.de/Wu_1990_6334.pdf Wu et al. (1990)]</v>
      </c>
      <c r="N477" s="16" t="s">
        <v>3703</v>
      </c>
      <c r="O477" s="81">
        <v>1990.0</v>
      </c>
      <c r="P477" s="25" t="s">
        <v>3704</v>
      </c>
      <c r="Q477" s="82"/>
      <c r="R477" s="82"/>
      <c r="S477" s="82"/>
      <c r="T477" s="81">
        <v>0.0</v>
      </c>
      <c r="U477" s="81" t="s">
        <v>1937</v>
      </c>
      <c r="V477" s="89">
        <f>IFERROR(__xludf.DUMMYFUNCTION("INDEX(SPLIT(SUBSTITUTE(W477,CHAR(10), """"),"",:""), MATCH(Z477, SPLIT(SUBSTITUTE(W477,CHAR(10), """"),"",:""), 0) + 1)"),5.0)</f>
        <v>5</v>
      </c>
      <c r="W477" s="85" t="s">
        <v>2012</v>
      </c>
      <c r="X477" s="39" t="s">
        <v>3694</v>
      </c>
      <c r="Y477" s="53" t="s">
        <v>3649</v>
      </c>
      <c r="Z477" s="53" t="str">
        <f t="array" ref="Z477">INDEX(Problems!J:J, MATCH(1, (Problems!B:B=B477)*1, 0))</f>
        <v>m+n</v>
      </c>
      <c r="AA477" s="53"/>
      <c r="AB477" s="53"/>
      <c r="AC477" s="53" t="s">
        <v>1813</v>
      </c>
      <c r="AD477" s="53" t="s">
        <v>1814</v>
      </c>
      <c r="AE477" s="85">
        <f>IFERROR(__xludf.DUMMYFUNCTION("INDEX(SPLIT(SUBSTITUTE(AF477,CHAR(10), """"),"",:""), MATCH(Z477, SPLIT(SUBSTITUTE(AF477,CHAR(10), """"),"",:""), 0) + 1)"),5.0)</f>
        <v>5</v>
      </c>
      <c r="AF477" s="85" t="s">
        <v>3697</v>
      </c>
      <c r="AG477" s="53" t="s">
        <v>3705</v>
      </c>
      <c r="AH477" s="53" t="s">
        <v>3706</v>
      </c>
      <c r="AI477" s="84">
        <v>1.0</v>
      </c>
      <c r="AJ477" s="84">
        <v>0.0</v>
      </c>
      <c r="AK477" s="87"/>
      <c r="AL477" s="81">
        <v>0.0</v>
      </c>
      <c r="AM477" s="87"/>
      <c r="AN477" s="81">
        <v>0.0</v>
      </c>
      <c r="AO477" s="90"/>
      <c r="AP477" s="81">
        <v>0.0</v>
      </c>
      <c r="AQ477" s="81">
        <v>0.0</v>
      </c>
      <c r="AR477" s="39"/>
      <c r="AS477" s="81">
        <v>0.0</v>
      </c>
      <c r="AT477" s="81">
        <v>0.0</v>
      </c>
      <c r="AU477" s="82"/>
      <c r="AV477" s="14" t="s">
        <v>65</v>
      </c>
      <c r="AW477" s="82"/>
      <c r="AX477" s="82"/>
      <c r="AY477" s="7"/>
      <c r="AZ477" s="50"/>
      <c r="BA477" s="50"/>
      <c r="BB477" s="50"/>
      <c r="BC477" s="50"/>
      <c r="BD477" s="50"/>
      <c r="BE477" s="50"/>
      <c r="BF477" s="50" t="s">
        <v>1944</v>
      </c>
      <c r="BG477" s="50" t="s">
        <v>1944</v>
      </c>
      <c r="BH477" s="82"/>
      <c r="BI477" s="82"/>
      <c r="BJ477" s="82"/>
      <c r="BK477" s="82"/>
      <c r="BL477" s="82"/>
      <c r="BM477" s="82"/>
      <c r="BN477" s="7"/>
      <c r="BO477" s="7">
        <v>4.0</v>
      </c>
      <c r="BP477" s="82"/>
      <c r="BQ477" s="7"/>
      <c r="BR477" s="7" t="s">
        <v>23</v>
      </c>
    </row>
    <row r="478">
      <c r="A478" s="16">
        <v>5.0</v>
      </c>
      <c r="B478" s="16" t="s">
        <v>76</v>
      </c>
      <c r="C478" s="53">
        <v>0.001</v>
      </c>
      <c r="D478" s="53"/>
      <c r="E478" s="7">
        <v>64.0</v>
      </c>
      <c r="F478" s="53"/>
      <c r="G478" s="7"/>
      <c r="H478" s="16">
        <v>1.0</v>
      </c>
      <c r="I478" s="81">
        <v>1.0</v>
      </c>
      <c r="J478" s="39" t="s">
        <v>3707</v>
      </c>
      <c r="K478" s="53"/>
      <c r="L478" s="53"/>
      <c r="M478" s="39" t="str">
        <f t="shared" si="1"/>
        <v>[http://citeseerx.ist.psu.edu/viewdoc/download?doi=10.1.1.86.5093&amp;rep=rep1&amp;type=pdf Ahuja et al. (1987)]</v>
      </c>
      <c r="N478" s="39" t="s">
        <v>3708</v>
      </c>
      <c r="O478" s="81">
        <v>1987.0</v>
      </c>
      <c r="P478" s="28" t="s">
        <v>3709</v>
      </c>
      <c r="Q478" s="82"/>
      <c r="R478" s="82"/>
      <c r="S478" s="82"/>
      <c r="T478" s="81">
        <v>1.0</v>
      </c>
      <c r="U478" s="83">
        <v>0.0</v>
      </c>
      <c r="V478" s="89">
        <f>IFERROR(__xludf.DUMMYFUNCTION("INDEX(SPLIT(SUBSTITUTE(W478,CHAR(10), """"),"",:""), MATCH(Z478, SPLIT(SUBSTITUTE(W478,CHAR(10), """"),"",:""), 0) + 1)"),6.0)</f>
        <v>6</v>
      </c>
      <c r="W478" s="85" t="s">
        <v>2754</v>
      </c>
      <c r="X478" s="39" t="s">
        <v>3707</v>
      </c>
      <c r="Y478" s="53"/>
      <c r="Z478" s="53" t="str">
        <f t="array" ref="Z478">INDEX(Problems!J:J, MATCH(1, (Problems!B:B=B478)*1, 0))</f>
        <v>V</v>
      </c>
      <c r="AA478" s="53"/>
      <c r="AB478" s="53"/>
      <c r="AC478" s="53"/>
      <c r="AD478" s="53"/>
      <c r="AE478" s="85" t="str">
        <f>IFERROR(__xludf.DUMMYFUNCTION("INDEX(SPLIT(SUBSTITUTE(AF478,CHAR(10), """"),"",:""), MATCH(Z478, SPLIT(SUBSTITUTE(AF478,CHAR(10), """"),"",:""), 0) + 1)"),"#VALUE!")</f>
        <v>#VALUE!</v>
      </c>
      <c r="AF478" s="131"/>
      <c r="AG478" s="53"/>
      <c r="AH478" s="53"/>
      <c r="AI478" s="87"/>
      <c r="AJ478" s="84" t="s">
        <v>2520</v>
      </c>
      <c r="AK478" s="87"/>
      <c r="AL478" s="81">
        <v>0.0</v>
      </c>
      <c r="AM478" s="87"/>
      <c r="AN478" s="81">
        <v>0.0</v>
      </c>
      <c r="AO478" s="90"/>
      <c r="AP478" s="81">
        <v>0.0</v>
      </c>
      <c r="AQ478" s="81">
        <v>0.0</v>
      </c>
      <c r="AR478" s="39"/>
      <c r="AS478" s="81">
        <v>0.0</v>
      </c>
      <c r="AT478" s="81">
        <v>0.0</v>
      </c>
      <c r="AU478" s="39"/>
      <c r="AV478" s="14" t="s">
        <v>2024</v>
      </c>
      <c r="AW478" s="82"/>
      <c r="AX478" s="82"/>
      <c r="AY478" s="7" t="s">
        <v>2025</v>
      </c>
      <c r="AZ478" s="7"/>
      <c r="BA478" s="7"/>
      <c r="BB478" s="7"/>
      <c r="BC478" s="7"/>
      <c r="BD478" s="7"/>
      <c r="BE478" s="7"/>
      <c r="BF478" s="7">
        <f>(1/2.6)*(0.6/2.6)*LOG((0.6/2.6)*1000*POW(LOG((1/2.6)*1000,2),0.5)/((1/2.6)*1000),2)</f>
        <v>0.07226045025</v>
      </c>
      <c r="BG478" s="82" t="str">
        <f>BF467/BF478</f>
        <v>#VALUE!</v>
      </c>
      <c r="BH478" s="82"/>
      <c r="BI478" s="82">
        <f>(1/2.6)*(0.6/2.6)*LOG((0.6/2.6)*1000000*POW(LOG((1/2.6)*1000000,2),0.5)/((1/2.6)*1000000),2)</f>
        <v>0.1215822702</v>
      </c>
      <c r="BJ478" s="82">
        <f>BI467/BI478</f>
        <v>0</v>
      </c>
      <c r="BK478" s="82"/>
      <c r="BL478" s="82">
        <f>(1/2.6)*(0.6/2.6)*LOG((0.6/2.6)*1000000000*POW(LOG((1/2.6)*1000000000,2),0.5)/((1/2.6)*1000000000),2)</f>
        <v>0.1491085327</v>
      </c>
      <c r="BM478" s="82">
        <f>BI467/BI478</f>
        <v>0</v>
      </c>
      <c r="BN478" s="7"/>
      <c r="BO478" s="7">
        <v>2.0</v>
      </c>
      <c r="BP478" s="82"/>
      <c r="BQ478" s="7"/>
      <c r="BR478" s="7" t="s">
        <v>23</v>
      </c>
    </row>
    <row r="479">
      <c r="A479" s="145">
        <v>7.0</v>
      </c>
      <c r="B479" s="48" t="s">
        <v>1261</v>
      </c>
      <c r="C479" s="53">
        <v>0.001</v>
      </c>
      <c r="D479" s="53" t="s">
        <v>1276</v>
      </c>
      <c r="E479" s="7">
        <v>90.0</v>
      </c>
      <c r="F479" s="53"/>
      <c r="G479" s="7"/>
      <c r="H479" s="16">
        <v>1.0</v>
      </c>
      <c r="I479" s="81">
        <v>1.0</v>
      </c>
      <c r="J479" s="39" t="s">
        <v>3710</v>
      </c>
      <c r="K479" s="53"/>
      <c r="L479" s="53"/>
      <c r="M479" s="39" t="str">
        <f t="shared" si="1"/>
        <v>[https://www.sciencedirect.com/science/article/pii/0196677486900325 Robson (1986)]</v>
      </c>
      <c r="N479" s="39" t="s">
        <v>3711</v>
      </c>
      <c r="O479" s="81">
        <v>1986.0</v>
      </c>
      <c r="P479" s="96" t="s">
        <v>3712</v>
      </c>
      <c r="Q479" s="82"/>
      <c r="R479" s="82"/>
      <c r="S479" s="82"/>
      <c r="T479" s="16">
        <v>1.0</v>
      </c>
      <c r="U479" s="16">
        <v>0.0</v>
      </c>
      <c r="V479" s="89">
        <f>IFERROR(__xludf.DUMMYFUNCTION("INDEX(SPLIT(SUBSTITUTE(W479,CHAR(10), """"),"",:""), MATCH(Z479, SPLIT(SUBSTITUTE(W479,CHAR(10), """"),"",:""), 0) + 1)"),8.0)</f>
        <v>8</v>
      </c>
      <c r="W479" s="85" t="s">
        <v>2001</v>
      </c>
      <c r="X479" s="39" t="s">
        <v>3710</v>
      </c>
      <c r="Y479" s="53"/>
      <c r="Z479" s="53" t="str">
        <f t="array" ref="Z479">INDEX(Problems!J:J, MATCH(1, (Problems!B:B=B479)*1, 0))</f>
        <v>n</v>
      </c>
      <c r="AA479" s="53"/>
      <c r="AB479" s="53"/>
      <c r="AC479" s="53"/>
      <c r="AD479" s="53"/>
      <c r="AE479" s="85" t="str">
        <f>IFERROR(__xludf.DUMMYFUNCTION("INDEX(SPLIT(SUBSTITUTE(AF479,CHAR(10), """"),"",:""), MATCH(Z479, SPLIT(SUBSTITUTE(AF479,CHAR(10), """"),"",:""), 0) + 1)"),"#VALUE!")</f>
        <v>#VALUE!</v>
      </c>
      <c r="AF479" s="131"/>
      <c r="AG479" s="53"/>
      <c r="AH479" s="53"/>
      <c r="AI479" s="87"/>
      <c r="AJ479" s="84" t="s">
        <v>2520</v>
      </c>
      <c r="AK479" s="87"/>
      <c r="AL479" s="81">
        <v>0.0</v>
      </c>
      <c r="AM479" s="87"/>
      <c r="AN479" s="81">
        <v>0.0</v>
      </c>
      <c r="AO479" s="90"/>
      <c r="AP479" s="81">
        <v>0.0</v>
      </c>
      <c r="AQ479" s="81">
        <v>0.0</v>
      </c>
      <c r="AR479" s="39"/>
      <c r="AS479" s="81">
        <v>0.0</v>
      </c>
      <c r="AT479" s="81">
        <v>0.0</v>
      </c>
      <c r="AU479" s="28" t="s">
        <v>3713</v>
      </c>
      <c r="AV479" s="7" t="s">
        <v>2104</v>
      </c>
      <c r="AW479" s="82"/>
      <c r="AX479" s="82"/>
      <c r="AY479" s="7"/>
      <c r="AZ479" s="7"/>
      <c r="BA479" s="7"/>
      <c r="BB479" s="7"/>
      <c r="BC479" s="7"/>
      <c r="BD479" s="7"/>
      <c r="BE479" s="7"/>
      <c r="BF479" s="7" t="s">
        <v>1781</v>
      </c>
      <c r="BG479" s="7">
        <v>1.0</v>
      </c>
      <c r="BH479" s="7"/>
      <c r="BI479" s="7" t="s">
        <v>1781</v>
      </c>
      <c r="BJ479" s="7">
        <v>1.0</v>
      </c>
      <c r="BK479" s="7"/>
      <c r="BL479" s="7" t="s">
        <v>1781</v>
      </c>
      <c r="BM479" s="7">
        <v>1.0</v>
      </c>
      <c r="BN479" s="7"/>
      <c r="BO479" s="7">
        <v>1.0</v>
      </c>
      <c r="BP479" s="82"/>
      <c r="BQ479" s="7"/>
      <c r="BR479" s="7" t="s">
        <v>23</v>
      </c>
    </row>
    <row r="480">
      <c r="A480" s="145">
        <v>7.0</v>
      </c>
      <c r="B480" s="48" t="s">
        <v>1261</v>
      </c>
      <c r="C480" s="53">
        <v>0.001</v>
      </c>
      <c r="D480" s="53" t="s">
        <v>1276</v>
      </c>
      <c r="E480" s="7">
        <v>91.0</v>
      </c>
      <c r="F480" s="53"/>
      <c r="G480" s="7"/>
      <c r="H480" s="16">
        <v>1.0</v>
      </c>
      <c r="I480" s="81">
        <v>1.0</v>
      </c>
      <c r="J480" s="39" t="s">
        <v>3714</v>
      </c>
      <c r="K480" s="53"/>
      <c r="L480" s="53"/>
      <c r="M480" s="39" t="str">
        <f t="shared" si="1"/>
        <v>[https://ieeexplore.ieee.org/document/814612 Schöning (1999)]</v>
      </c>
      <c r="N480" s="16" t="s">
        <v>3715</v>
      </c>
      <c r="O480" s="81">
        <v>1999.0</v>
      </c>
      <c r="P480" s="28" t="s">
        <v>3716</v>
      </c>
      <c r="Q480" s="82"/>
      <c r="R480" s="82"/>
      <c r="S480" s="82"/>
      <c r="T480" s="16">
        <v>0.0</v>
      </c>
      <c r="U480" s="16">
        <v>0.0</v>
      </c>
      <c r="V480" s="89">
        <f>IFERROR(__xludf.DUMMYFUNCTION("INDEX(SPLIT(SUBSTITUTE(W480,CHAR(10), """"),"",:""), MATCH(Z480, SPLIT(SUBSTITUTE(W480,CHAR(10), """"),"",:""), 0) + 1)"),8.0)</f>
        <v>8</v>
      </c>
      <c r="W480" s="85" t="s">
        <v>2001</v>
      </c>
      <c r="X480" s="39" t="s">
        <v>3714</v>
      </c>
      <c r="Y480" s="53"/>
      <c r="Z480" s="53" t="str">
        <f t="array" ref="Z480">INDEX(Problems!J:J, MATCH(1, (Problems!B:B=B480)*1, 0))</f>
        <v>n</v>
      </c>
      <c r="AA480" s="53"/>
      <c r="AB480" s="53"/>
      <c r="AC480" s="53"/>
      <c r="AD480" s="53"/>
      <c r="AE480" s="85" t="str">
        <f>IFERROR(__xludf.DUMMYFUNCTION("INDEX(SPLIT(SUBSTITUTE(AF480,CHAR(10), """"),"",:""), MATCH(Z480, SPLIT(SUBSTITUTE(AF480,CHAR(10), """"),"",:""), 0) + 1)"),"#VALUE!")</f>
        <v>#VALUE!</v>
      </c>
      <c r="AF480" s="131"/>
      <c r="AG480" s="53"/>
      <c r="AH480" s="53"/>
      <c r="AI480" s="87"/>
      <c r="AJ480" s="84" t="s">
        <v>2520</v>
      </c>
      <c r="AK480" s="87"/>
      <c r="AL480" s="81">
        <v>1.0</v>
      </c>
      <c r="AM480" s="87"/>
      <c r="AN480" s="81">
        <v>0.0</v>
      </c>
      <c r="AO480" s="90"/>
      <c r="AP480" s="81">
        <v>0.0</v>
      </c>
      <c r="AQ480" s="81">
        <v>0.0</v>
      </c>
      <c r="AR480" s="39"/>
      <c r="AS480" s="81">
        <v>0.0</v>
      </c>
      <c r="AT480" s="81">
        <v>0.0</v>
      </c>
      <c r="AU480" s="39"/>
      <c r="AV480" s="7" t="s">
        <v>2104</v>
      </c>
      <c r="AW480" s="82"/>
      <c r="AX480" s="82"/>
      <c r="AY480" s="7"/>
      <c r="AZ480" s="7"/>
      <c r="BA480" s="7"/>
      <c r="BB480" s="7"/>
      <c r="BC480" s="7"/>
      <c r="BD480" s="7"/>
      <c r="BE480" s="7"/>
      <c r="BF480" s="7" t="s">
        <v>1781</v>
      </c>
      <c r="BG480" s="7">
        <v>1.0</v>
      </c>
      <c r="BH480" s="82"/>
      <c r="BI480" s="82"/>
      <c r="BJ480" s="82"/>
      <c r="BK480" s="82"/>
      <c r="BL480" s="82"/>
      <c r="BM480" s="82"/>
      <c r="BN480" s="7"/>
      <c r="BO480" s="7">
        <v>1.0</v>
      </c>
      <c r="BP480" s="82"/>
      <c r="BQ480" s="7"/>
      <c r="BR480" s="7" t="s">
        <v>23</v>
      </c>
    </row>
    <row r="481">
      <c r="A481" s="145">
        <v>7.0</v>
      </c>
      <c r="B481" s="48" t="s">
        <v>1261</v>
      </c>
      <c r="C481" s="53">
        <v>0.001</v>
      </c>
      <c r="D481" s="53" t="s">
        <v>1276</v>
      </c>
      <c r="E481" s="7">
        <v>92.0</v>
      </c>
      <c r="F481" s="53"/>
      <c r="G481" s="7"/>
      <c r="H481" s="16">
        <v>1.0</v>
      </c>
      <c r="I481" s="81">
        <v>1.0</v>
      </c>
      <c r="J481" s="39" t="s">
        <v>3717</v>
      </c>
      <c r="K481" s="53"/>
      <c r="L481" s="53"/>
      <c r="M481" s="39" t="str">
        <f t="shared" si="1"/>
        <v>[https://dl.acm.org/doi/10.5555/314613.314838 Hirsch (1998)]</v>
      </c>
      <c r="N481" s="39" t="s">
        <v>3718</v>
      </c>
      <c r="O481" s="81">
        <v>1998.0</v>
      </c>
      <c r="P481" s="17" t="s">
        <v>3719</v>
      </c>
      <c r="Q481" s="82"/>
      <c r="R481" s="82"/>
      <c r="S481" s="82"/>
      <c r="T481" s="16">
        <v>0.0</v>
      </c>
      <c r="U481" s="16">
        <v>0.0</v>
      </c>
      <c r="V481" s="89">
        <f>IFERROR(__xludf.DUMMYFUNCTION("INDEX(SPLIT(SUBSTITUTE(W481,CHAR(10), """"),"",:""), MATCH(Z481, SPLIT(SUBSTITUTE(W481,CHAR(10), """"),"",:""), 0) + 1)"),8.0)</f>
        <v>8</v>
      </c>
      <c r="W481" s="85" t="s">
        <v>2001</v>
      </c>
      <c r="X481" s="39" t="s">
        <v>3717</v>
      </c>
      <c r="Y481" s="53"/>
      <c r="Z481" s="53" t="str">
        <f t="array" ref="Z481">INDEX(Problems!J:J, MATCH(1, (Problems!B:B=B481)*1, 0))</f>
        <v>n</v>
      </c>
      <c r="AA481" s="53"/>
      <c r="AB481" s="53"/>
      <c r="AC481" s="53"/>
      <c r="AD481" s="53"/>
      <c r="AE481" s="85" t="str">
        <f>IFERROR(__xludf.DUMMYFUNCTION("INDEX(SPLIT(SUBSTITUTE(AF481,CHAR(10), """"),"",:""), MATCH(Z481, SPLIT(SUBSTITUTE(AF481,CHAR(10), """"),"",:""), 0) + 1)"),"#VALUE!")</f>
        <v>#VALUE!</v>
      </c>
      <c r="AF481" s="131"/>
      <c r="AG481" s="53"/>
      <c r="AH481" s="53"/>
      <c r="AI481" s="87"/>
      <c r="AJ481" s="84" t="s">
        <v>2520</v>
      </c>
      <c r="AK481" s="87"/>
      <c r="AL481" s="81">
        <v>0.0</v>
      </c>
      <c r="AM481" s="87"/>
      <c r="AN481" s="81">
        <v>0.0</v>
      </c>
      <c r="AO481" s="90"/>
      <c r="AP481" s="81">
        <v>0.0</v>
      </c>
      <c r="AQ481" s="81">
        <v>0.0</v>
      </c>
      <c r="AR481" s="39"/>
      <c r="AS481" s="81">
        <v>0.0</v>
      </c>
      <c r="AT481" s="81">
        <v>0.0</v>
      </c>
      <c r="AU481" s="39"/>
      <c r="AV481" s="7" t="s">
        <v>2104</v>
      </c>
      <c r="AW481" s="82"/>
      <c r="AX481" s="82"/>
      <c r="AY481" s="7"/>
      <c r="AZ481" s="7"/>
      <c r="BA481" s="7"/>
      <c r="BB481" s="7"/>
      <c r="BC481" s="7"/>
      <c r="BD481" s="7"/>
      <c r="BE481" s="7"/>
      <c r="BF481" s="7" t="s">
        <v>1781</v>
      </c>
      <c r="BG481" s="7">
        <v>1.0</v>
      </c>
      <c r="BH481" s="82"/>
      <c r="BI481" s="82"/>
      <c r="BJ481" s="82"/>
      <c r="BK481" s="82"/>
      <c r="BL481" s="82"/>
      <c r="BM481" s="82"/>
      <c r="BN481" s="7"/>
      <c r="BO481" s="7">
        <v>1.0</v>
      </c>
      <c r="BP481" s="82"/>
      <c r="BQ481" s="7"/>
      <c r="BR481" s="7" t="s">
        <v>23</v>
      </c>
    </row>
    <row r="482">
      <c r="A482" s="145">
        <v>7.0</v>
      </c>
      <c r="B482" s="48" t="s">
        <v>1261</v>
      </c>
      <c r="C482" s="53">
        <v>0.001</v>
      </c>
      <c r="D482" s="53" t="s">
        <v>1276</v>
      </c>
      <c r="E482" s="7">
        <v>93.0</v>
      </c>
      <c r="F482" s="53"/>
      <c r="G482" s="7"/>
      <c r="H482" s="16">
        <v>1.0</v>
      </c>
      <c r="I482" s="81">
        <v>1.0</v>
      </c>
      <c r="J482" s="39" t="s">
        <v>3720</v>
      </c>
      <c r="K482" s="53"/>
      <c r="L482" s="53"/>
      <c r="M482" s="39" t="str">
        <f t="shared" si="1"/>
        <v>[https://www.sciencedirect.com/science/article/abs/pii/0020019088900658 Johnson (1988)]</v>
      </c>
      <c r="N482" s="16" t="s">
        <v>3721</v>
      </c>
      <c r="O482" s="81">
        <v>1988.0</v>
      </c>
      <c r="P482" s="17" t="s">
        <v>3722</v>
      </c>
      <c r="Q482" s="82"/>
      <c r="R482" s="82"/>
      <c r="S482" s="82"/>
      <c r="T482" s="16">
        <v>0.0</v>
      </c>
      <c r="U482" s="16">
        <v>0.0</v>
      </c>
      <c r="V482" s="89">
        <f>IFERROR(__xludf.DUMMYFUNCTION("INDEX(SPLIT(SUBSTITUTE(W482,CHAR(10), """"),"",:""), MATCH(Z482, SPLIT(SUBSTITUTE(W482,CHAR(10), """"),"",:""), 0) + 1)"),8.0)</f>
        <v>8</v>
      </c>
      <c r="W482" s="85" t="s">
        <v>2001</v>
      </c>
      <c r="X482" s="39" t="s">
        <v>3720</v>
      </c>
      <c r="Y482" s="53"/>
      <c r="Z482" s="53" t="str">
        <f t="array" ref="Z482">INDEX(Problems!J:J, MATCH(1, (Problems!B:B=B482)*1, 0))</f>
        <v>n</v>
      </c>
      <c r="AA482" s="53"/>
      <c r="AB482" s="53"/>
      <c r="AC482" s="53"/>
      <c r="AD482" s="53"/>
      <c r="AE482" s="85" t="str">
        <f>IFERROR(__xludf.DUMMYFUNCTION("INDEX(SPLIT(SUBSTITUTE(AF482,CHAR(10), """"),"",:""), MATCH(Z482, SPLIT(SUBSTITUTE(AF482,CHAR(10), """"),"",:""), 0) + 1)"),"#VALUE!")</f>
        <v>#VALUE!</v>
      </c>
      <c r="AF482" s="131"/>
      <c r="AG482" s="53"/>
      <c r="AH482" s="53"/>
      <c r="AI482" s="87"/>
      <c r="AJ482" s="84" t="s">
        <v>2520</v>
      </c>
      <c r="AK482" s="87"/>
      <c r="AL482" s="81">
        <v>0.0</v>
      </c>
      <c r="AM482" s="87"/>
      <c r="AN482" s="81">
        <v>0.0</v>
      </c>
      <c r="AO482" s="90"/>
      <c r="AP482" s="81">
        <v>0.0</v>
      </c>
      <c r="AQ482" s="81">
        <v>0.0</v>
      </c>
      <c r="AR482" s="39"/>
      <c r="AS482" s="81">
        <v>0.0</v>
      </c>
      <c r="AT482" s="81">
        <v>0.0</v>
      </c>
      <c r="AU482" s="39"/>
      <c r="AV482" s="7" t="s">
        <v>2104</v>
      </c>
      <c r="AW482" s="82"/>
      <c r="AX482" s="82"/>
      <c r="AY482" s="7"/>
      <c r="AZ482" s="7"/>
      <c r="BA482" s="7"/>
      <c r="BB482" s="7"/>
      <c r="BC482" s="7"/>
      <c r="BD482" s="7"/>
      <c r="BE482" s="7"/>
      <c r="BF482" s="7" t="s">
        <v>1781</v>
      </c>
      <c r="BG482" s="7">
        <v>1.0</v>
      </c>
      <c r="BH482" s="82"/>
      <c r="BI482" s="82"/>
      <c r="BJ482" s="82"/>
      <c r="BK482" s="82"/>
      <c r="BL482" s="82"/>
      <c r="BM482" s="82"/>
      <c r="BN482" s="7"/>
      <c r="BO482" s="7">
        <v>1.0</v>
      </c>
      <c r="BP482" s="82"/>
      <c r="BQ482" s="7"/>
      <c r="BR482" s="7" t="s">
        <v>23</v>
      </c>
    </row>
    <row r="483">
      <c r="A483" s="145">
        <v>7.0</v>
      </c>
      <c r="B483" s="48" t="s">
        <v>1261</v>
      </c>
      <c r="C483" s="53">
        <v>0.001</v>
      </c>
      <c r="D483" s="53" t="s">
        <v>1276</v>
      </c>
      <c r="E483" s="7">
        <v>94.0</v>
      </c>
      <c r="F483" s="53"/>
      <c r="G483" s="7"/>
      <c r="H483" s="16">
        <v>1.0</v>
      </c>
      <c r="I483" s="81">
        <v>1.0</v>
      </c>
      <c r="J483" s="39" t="s">
        <v>3723</v>
      </c>
      <c r="K483" s="53"/>
      <c r="L483" s="53"/>
      <c r="M483" s="39" t="str">
        <f t="shared" si="1"/>
        <v>[http://www.cs.tau.ac.il/~nogaa/PDFS/spectcolpr1.pdf Alon and Kahale (1997)]</v>
      </c>
      <c r="N483" s="39" t="s">
        <v>3724</v>
      </c>
      <c r="O483" s="81">
        <v>1997.0</v>
      </c>
      <c r="P483" s="17" t="s">
        <v>3725</v>
      </c>
      <c r="Q483" s="7">
        <v>2.0</v>
      </c>
      <c r="R483" s="7">
        <v>1.0</v>
      </c>
      <c r="S483" s="114" t="s">
        <v>3725</v>
      </c>
      <c r="T483" s="16">
        <v>0.0</v>
      </c>
      <c r="U483" s="16">
        <v>0.0</v>
      </c>
      <c r="V483" s="89">
        <f>IFERROR(__xludf.DUMMYFUNCTION("INDEX(SPLIT(SUBSTITUTE(W483,CHAR(10), """"),"",:""), MATCH(Z483, SPLIT(SUBSTITUTE(W483,CHAR(10), """"),"",:""), 0) + 1)"),8.0)</f>
        <v>8</v>
      </c>
      <c r="W483" s="85" t="s">
        <v>2001</v>
      </c>
      <c r="X483" s="39" t="s">
        <v>3723</v>
      </c>
      <c r="Y483" s="53"/>
      <c r="Z483" s="53" t="str">
        <f t="array" ref="Z483">INDEX(Problems!J:J, MATCH(1, (Problems!B:B=B483)*1, 0))</f>
        <v>n</v>
      </c>
      <c r="AA483" s="53"/>
      <c r="AB483" s="53"/>
      <c r="AC483" s="53"/>
      <c r="AD483" s="53"/>
      <c r="AE483" s="85" t="str">
        <f>IFERROR(__xludf.DUMMYFUNCTION("INDEX(SPLIT(SUBSTITUTE(AF483,CHAR(10), """"),"",:""), MATCH(Z483, SPLIT(SUBSTITUTE(AF483,CHAR(10), """"),"",:""), 0) + 1)"),"#VALUE!")</f>
        <v>#VALUE!</v>
      </c>
      <c r="AF483" s="131"/>
      <c r="AG483" s="53"/>
      <c r="AH483" s="53"/>
      <c r="AI483" s="87"/>
      <c r="AJ483" s="84" t="s">
        <v>2520</v>
      </c>
      <c r="AK483" s="87"/>
      <c r="AL483" s="81">
        <v>0.0</v>
      </c>
      <c r="AM483" s="87"/>
      <c r="AN483" s="81">
        <v>0.0</v>
      </c>
      <c r="AO483" s="90"/>
      <c r="AP483" s="81">
        <v>0.0</v>
      </c>
      <c r="AQ483" s="81">
        <v>0.0</v>
      </c>
      <c r="AR483" s="39"/>
      <c r="AS483" s="81">
        <v>0.0</v>
      </c>
      <c r="AT483" s="81">
        <v>0.0</v>
      </c>
      <c r="AU483" s="39"/>
      <c r="AV483" s="7" t="s">
        <v>2104</v>
      </c>
      <c r="AW483" s="82"/>
      <c r="AX483" s="82"/>
      <c r="AY483" s="7"/>
      <c r="AZ483" s="7"/>
      <c r="BA483" s="7"/>
      <c r="BB483" s="7"/>
      <c r="BC483" s="7"/>
      <c r="BD483" s="7"/>
      <c r="BE483" s="7"/>
      <c r="BF483" s="7" t="s">
        <v>1781</v>
      </c>
      <c r="BG483" s="7">
        <v>1.0</v>
      </c>
      <c r="BH483" s="82"/>
      <c r="BI483" s="82"/>
      <c r="BJ483" s="82"/>
      <c r="BK483" s="82"/>
      <c r="BL483" s="82"/>
      <c r="BM483" s="82"/>
      <c r="BN483" s="7"/>
      <c r="BO483" s="7">
        <v>1.0</v>
      </c>
      <c r="BP483" s="82"/>
      <c r="BQ483" s="7"/>
      <c r="BR483" s="7" t="s">
        <v>23</v>
      </c>
    </row>
    <row r="484">
      <c r="A484" s="48">
        <v>12.0</v>
      </c>
      <c r="B484" s="48" t="s">
        <v>213</v>
      </c>
      <c r="C484" s="53">
        <v>0.001</v>
      </c>
      <c r="D484" s="53"/>
      <c r="E484" s="7">
        <v>133.0</v>
      </c>
      <c r="F484" s="53"/>
      <c r="G484" s="7"/>
      <c r="H484" s="16">
        <v>1.0</v>
      </c>
      <c r="I484" s="81">
        <v>1.0</v>
      </c>
      <c r="J484" s="39" t="s">
        <v>3613</v>
      </c>
      <c r="K484" s="53"/>
      <c r="L484" s="53"/>
      <c r="M484" s="39" t="str">
        <f t="shared" si="1"/>
        <v>[https://www.sciencedirect.com/science/article/pii/002001908490084X Incremental convex hull algorithm; Michael Kallay (1984)]</v>
      </c>
      <c r="N484" s="39" t="s">
        <v>3726</v>
      </c>
      <c r="O484" s="81">
        <v>1984.0</v>
      </c>
      <c r="P484" s="28" t="s">
        <v>3727</v>
      </c>
      <c r="Q484" s="82"/>
      <c r="R484" s="82"/>
      <c r="S484" s="82"/>
      <c r="T484" s="81">
        <v>0.0</v>
      </c>
      <c r="U484" s="16">
        <v>0.0</v>
      </c>
      <c r="V484" s="89">
        <f>IFERROR(__xludf.DUMMYFUNCTION("INDEX(SPLIT(SUBSTITUTE(W484,CHAR(10), """"),"",:""), MATCH(Z484, SPLIT(SUBSTITUTE(W484,CHAR(10), """"),"",:""), 0) + 1)"),4.0)</f>
        <v>4</v>
      </c>
      <c r="W484" s="85" t="s">
        <v>1791</v>
      </c>
      <c r="X484" s="16" t="s">
        <v>1953</v>
      </c>
      <c r="Y484" s="53"/>
      <c r="Z484" s="53" t="str">
        <f t="array" ref="Z484">INDEX(Problems!J:J, MATCH(1, (Problems!B:B=B484)*1, 0))</f>
        <v>n</v>
      </c>
      <c r="AA484" s="53"/>
      <c r="AB484" s="53"/>
      <c r="AC484" s="53"/>
      <c r="AD484" s="53"/>
      <c r="AE484" s="85" t="str">
        <f>IFERROR(__xludf.DUMMYFUNCTION("INDEX(SPLIT(SUBSTITUTE(AF484,CHAR(10), """"),"",:""), MATCH(Z484, SPLIT(SUBSTITUTE(AF484,CHAR(10), """"),"",:""), 0) + 1)"),"#VALUE!")</f>
        <v>#VALUE!</v>
      </c>
      <c r="AF484" s="131"/>
      <c r="AG484" s="53"/>
      <c r="AH484" s="53"/>
      <c r="AI484" s="87"/>
      <c r="AJ484" s="84" t="s">
        <v>2520</v>
      </c>
      <c r="AK484" s="87"/>
      <c r="AL484" s="81">
        <v>0.0</v>
      </c>
      <c r="AM484" s="87"/>
      <c r="AN484" s="81">
        <v>0.0</v>
      </c>
      <c r="AO484" s="90"/>
      <c r="AP484" s="81">
        <v>0.0</v>
      </c>
      <c r="AQ484" s="81">
        <v>0.0</v>
      </c>
      <c r="AR484" s="39"/>
      <c r="AS484" s="81">
        <v>0.0</v>
      </c>
      <c r="AT484" s="81">
        <v>0.0</v>
      </c>
      <c r="AU484" s="39"/>
      <c r="AV484" s="7" t="s">
        <v>2164</v>
      </c>
      <c r="AW484" s="82"/>
      <c r="AX484" s="82"/>
      <c r="AY484" s="7" t="s">
        <v>2165</v>
      </c>
      <c r="AZ484" s="7"/>
      <c r="BA484" s="7"/>
      <c r="BB484" s="7"/>
      <c r="BC484" s="7"/>
      <c r="BD484" s="7"/>
      <c r="BE484" s="7"/>
      <c r="BF484" s="7">
        <v>9965.0</v>
      </c>
      <c r="BG484" s="82">
        <f>1000000000/BF484</f>
        <v>100351.2293</v>
      </c>
      <c r="BH484" s="82"/>
      <c r="BI484" s="82"/>
      <c r="BJ484" s="82"/>
      <c r="BK484" s="82"/>
      <c r="BL484" s="82"/>
      <c r="BM484" s="82"/>
      <c r="BN484" s="7"/>
      <c r="BO484" s="7">
        <v>3.0</v>
      </c>
      <c r="BP484" s="82"/>
      <c r="BQ484" s="7"/>
      <c r="BR484" s="7" t="s">
        <v>196</v>
      </c>
    </row>
    <row r="485">
      <c r="A485" s="16">
        <v>14.0</v>
      </c>
      <c r="B485" s="16" t="s">
        <v>263</v>
      </c>
      <c r="C485" s="53">
        <v>2.0</v>
      </c>
      <c r="D485" s="53" t="s">
        <v>264</v>
      </c>
      <c r="E485" s="7">
        <v>163.0</v>
      </c>
      <c r="F485" s="53" t="s">
        <v>3728</v>
      </c>
      <c r="G485" s="7"/>
      <c r="H485" s="16">
        <v>1.0</v>
      </c>
      <c r="I485" s="81">
        <v>1.0</v>
      </c>
      <c r="J485" s="21" t="s">
        <v>3729</v>
      </c>
      <c r="K485" s="53"/>
      <c r="L485" s="53"/>
      <c r="M485" s="39" t="str">
        <f t="shared" si="1"/>
        <v>[https://www.sciencedirect.com/science/article/pii/S0743731506001262 Bader &amp; Cong Parallel Implementation  (2006)]</v>
      </c>
      <c r="N485" s="16" t="s">
        <v>3730</v>
      </c>
      <c r="O485" s="81">
        <v>2006.0</v>
      </c>
      <c r="P485" s="28" t="s">
        <v>3731</v>
      </c>
      <c r="Q485" s="82"/>
      <c r="R485" s="82"/>
      <c r="S485" s="82"/>
      <c r="T485" s="81">
        <v>0.0</v>
      </c>
      <c r="U485" s="16">
        <v>0.0</v>
      </c>
      <c r="V485" s="89">
        <f>IFERROR(__xludf.DUMMYFUNCTION("INDEX(SPLIT(SUBSTITUTE(W485,CHAR(10), """"),"",:""), MATCH(Z485, SPLIT(SUBSTITUTE(W485,CHAR(10), """"),"",:""), 0) + 1)"),5.01)</f>
        <v>5.01</v>
      </c>
      <c r="W485" s="85" t="s">
        <v>2985</v>
      </c>
      <c r="X485" s="21" t="s">
        <v>3732</v>
      </c>
      <c r="Y485" s="53" t="s">
        <v>3733</v>
      </c>
      <c r="Z485" s="53" t="str">
        <f t="array" ref="Z485">INDEX(Problems!J:J, MATCH(1, (Problems!B:B=B485)*1, 0))</f>
        <v>V</v>
      </c>
      <c r="AA485" s="121" t="s">
        <v>3731</v>
      </c>
      <c r="AB485" s="53">
        <v>0.0</v>
      </c>
      <c r="AC485" s="53" t="s">
        <v>3734</v>
      </c>
      <c r="AD485" s="53" t="s">
        <v>1814</v>
      </c>
      <c r="AE485" s="85">
        <f>IFERROR(__xludf.DUMMYFUNCTION("INDEX(SPLIT(SUBSTITUTE(AF485,CHAR(10), """"),"",:""), MATCH(Z485, SPLIT(SUBSTITUTE(AF485,CHAR(10), """"),"",:""), 0) + 1)"),3.0)</f>
        <v>3</v>
      </c>
      <c r="AF485" s="85" t="s">
        <v>2977</v>
      </c>
      <c r="AG485" s="53" t="s">
        <v>3735</v>
      </c>
      <c r="AH485" s="53" t="s">
        <v>3736</v>
      </c>
      <c r="AI485" s="84">
        <v>1.0</v>
      </c>
      <c r="AJ485" s="84">
        <v>0.0</v>
      </c>
      <c r="AK485" s="87"/>
      <c r="AL485" s="81">
        <v>0.0</v>
      </c>
      <c r="AM485" s="87"/>
      <c r="AN485" s="81">
        <v>0.0</v>
      </c>
      <c r="AO485" s="90"/>
      <c r="AP485" s="81">
        <v>0.0</v>
      </c>
      <c r="AQ485" s="81">
        <v>1.0</v>
      </c>
      <c r="AR485" s="21" t="s">
        <v>3737</v>
      </c>
      <c r="AS485" s="81">
        <v>0.0</v>
      </c>
      <c r="AT485" s="81">
        <v>0.0</v>
      </c>
      <c r="AU485" s="39"/>
      <c r="AV485" s="7" t="s">
        <v>2178</v>
      </c>
      <c r="AW485" s="82"/>
      <c r="AX485" s="82"/>
      <c r="AY485" s="7" t="s">
        <v>2179</v>
      </c>
      <c r="AZ485" s="7"/>
      <c r="BA485" s="7"/>
      <c r="BB485" s="7"/>
      <c r="BC485" s="7"/>
      <c r="BD485" s="7"/>
      <c r="BE485" s="7"/>
      <c r="BF485" s="7">
        <v>8.7</v>
      </c>
      <c r="BG485" s="82">
        <f>5075/BF485</f>
        <v>583.3333333</v>
      </c>
      <c r="BH485" s="82"/>
      <c r="BI485" s="82"/>
      <c r="BJ485" s="82"/>
      <c r="BK485" s="82"/>
      <c r="BL485" s="82"/>
      <c r="BM485" s="82"/>
      <c r="BN485" s="7"/>
      <c r="BO485" s="7">
        <v>5.0</v>
      </c>
      <c r="BP485" s="82"/>
      <c r="BQ485" s="7"/>
      <c r="BR485" s="7" t="s">
        <v>23</v>
      </c>
    </row>
    <row r="486">
      <c r="A486" s="16">
        <v>18.0</v>
      </c>
      <c r="B486" s="16" t="s">
        <v>377</v>
      </c>
      <c r="C486" s="53">
        <v>2.0</v>
      </c>
      <c r="D486" s="53" t="s">
        <v>378</v>
      </c>
      <c r="E486" s="7">
        <v>200.0</v>
      </c>
      <c r="F486" s="53" t="s">
        <v>3738</v>
      </c>
      <c r="G486" s="7"/>
      <c r="H486" s="16">
        <v>1.0</v>
      </c>
      <c r="I486" s="81">
        <v>1.0</v>
      </c>
      <c r="J486" s="147" t="s">
        <v>3739</v>
      </c>
      <c r="K486" s="53"/>
      <c r="L486" s="91" t="s">
        <v>3740</v>
      </c>
      <c r="M486" s="39" t="str">
        <f t="shared" si="1"/>
        <v>[ Special number field sieve (1940)]</v>
      </c>
      <c r="N486" s="39" t="s">
        <v>3741</v>
      </c>
      <c r="O486" s="81">
        <v>1940.0</v>
      </c>
      <c r="P486" s="39"/>
      <c r="Q486" s="82"/>
      <c r="R486" s="82"/>
      <c r="S486" s="82"/>
      <c r="T486" s="81">
        <v>0.0</v>
      </c>
      <c r="U486" s="16">
        <v>0.0</v>
      </c>
      <c r="V486" s="89">
        <f>IFERROR(__xludf.DUMMYFUNCTION("INDEX(SPLIT(SUBSTITUTE(W486,CHAR(10), """"),"",:""), MATCH(Z486, SPLIT(SUBSTITUTE(W486,CHAR(10), """"),"",:""), 0) + 1)"),8.0)</f>
        <v>8</v>
      </c>
      <c r="W486" s="85" t="s">
        <v>2001</v>
      </c>
      <c r="X486" s="147" t="s">
        <v>3742</v>
      </c>
      <c r="Y486" s="53" t="s">
        <v>3743</v>
      </c>
      <c r="Z486" s="53" t="str">
        <f t="array" ref="Z486">INDEX(Problems!J:J, MATCH(1, (Problems!B:B=B486)*1, 0))</f>
        <v>n</v>
      </c>
      <c r="AA486" s="53"/>
      <c r="AB486" s="53"/>
      <c r="AC486" s="53"/>
      <c r="AD486" s="53" t="s">
        <v>2338</v>
      </c>
      <c r="AE486" s="85">
        <f>IFERROR(__xludf.DUMMYFUNCTION("INDEX(SPLIT(SUBSTITUTE(AF486,CHAR(10), """"),"",:""), MATCH(Z486, SPLIT(SUBSTITUTE(AF486,CHAR(10), """"),"",:""), 0) + 1)"),2.66)</f>
        <v>2.66</v>
      </c>
      <c r="AF486" s="85" t="s">
        <v>3744</v>
      </c>
      <c r="AG486" s="53" t="s">
        <v>3745</v>
      </c>
      <c r="AH486" s="91" t="s">
        <v>3740</v>
      </c>
      <c r="AI486" s="84">
        <v>0.0</v>
      </c>
      <c r="AJ486" s="84">
        <v>0.0</v>
      </c>
      <c r="AK486" s="87"/>
      <c r="AL486" s="81">
        <v>0.0</v>
      </c>
      <c r="AM486" s="87"/>
      <c r="AN486" s="81">
        <v>0.0</v>
      </c>
      <c r="AO486" s="90"/>
      <c r="AP486" s="84">
        <v>1.0</v>
      </c>
      <c r="AQ486" s="81">
        <v>0.0</v>
      </c>
      <c r="AR486" s="39"/>
      <c r="AS486" s="81">
        <v>0.0</v>
      </c>
      <c r="AT486" s="81">
        <v>0.0</v>
      </c>
      <c r="AU486" s="39"/>
      <c r="AV486" s="7" t="s">
        <v>3204</v>
      </c>
      <c r="AW486" s="82"/>
      <c r="AX486" s="82"/>
      <c r="AY486" s="7"/>
      <c r="AZ486" s="7">
        <f>POW(1000, 2/3)</f>
        <v>100</v>
      </c>
      <c r="BA486" s="7"/>
      <c r="BB486" s="7">
        <f>POW(1000000, 2/3)</f>
        <v>10000</v>
      </c>
      <c r="BC486" s="7"/>
      <c r="BD486" s="7">
        <f>POW(1000000000, 2/3)</f>
        <v>1000000</v>
      </c>
      <c r="BE486" s="7"/>
      <c r="BF486" s="7" t="s">
        <v>1781</v>
      </c>
      <c r="BG486" s="7">
        <v>1.0</v>
      </c>
      <c r="BH486" s="82"/>
      <c r="BI486" s="82"/>
      <c r="BJ486" s="82"/>
      <c r="BK486" s="82"/>
      <c r="BL486" s="82"/>
      <c r="BM486" s="82"/>
      <c r="BN486" s="7"/>
      <c r="BO486" s="7">
        <v>1.0</v>
      </c>
      <c r="BP486" s="82"/>
      <c r="BQ486" s="7"/>
      <c r="BR486" s="7" t="s">
        <v>144</v>
      </c>
    </row>
    <row r="487">
      <c r="A487" s="16">
        <v>19.0</v>
      </c>
      <c r="B487" s="16" t="s">
        <v>377</v>
      </c>
      <c r="C487" s="53">
        <v>2.0</v>
      </c>
      <c r="D487" s="53" t="s">
        <v>385</v>
      </c>
      <c r="E487" s="7">
        <v>205.0</v>
      </c>
      <c r="F487" s="53"/>
      <c r="G487" s="7"/>
      <c r="H487" s="16">
        <v>1.0</v>
      </c>
      <c r="I487" s="81">
        <v>1.0</v>
      </c>
      <c r="J487" s="147" t="s">
        <v>3746</v>
      </c>
      <c r="K487" s="148"/>
      <c r="L487" s="148"/>
      <c r="M487" s="39" t="str">
        <f t="shared" si="1"/>
        <v>[http://www.ams.org/notices/199612/pomerance.pdf General number field sieve (1996)]</v>
      </c>
      <c r="N487" s="39" t="s">
        <v>3747</v>
      </c>
      <c r="O487" s="83">
        <v>1996.0</v>
      </c>
      <c r="P487" s="25" t="s">
        <v>3740</v>
      </c>
      <c r="Q487" s="82"/>
      <c r="R487" s="82"/>
      <c r="S487" s="82"/>
      <c r="T487" s="81">
        <v>0.0</v>
      </c>
      <c r="U487" s="16">
        <v>0.0</v>
      </c>
      <c r="V487" s="89">
        <f>IFERROR(__xludf.DUMMYFUNCTION("INDEX(SPLIT(SUBSTITUTE(W487,CHAR(10), """"),"",:""), MATCH(Z487, SPLIT(SUBSTITUTE(W487,CHAR(10), """"),"",:""), 0) + 1)"),8.0)</f>
        <v>8</v>
      </c>
      <c r="W487" s="85" t="s">
        <v>2001</v>
      </c>
      <c r="X487" s="147" t="s">
        <v>3748</v>
      </c>
      <c r="Y487" s="53" t="s">
        <v>3743</v>
      </c>
      <c r="Z487" s="53" t="str">
        <f t="array" ref="Z487">INDEX(Problems!J:J, MATCH(1, (Problems!B:B=B487)*1, 0))</f>
        <v>n</v>
      </c>
      <c r="AA487" s="53"/>
      <c r="AB487" s="53"/>
      <c r="AC487" s="53"/>
      <c r="AD487" s="53" t="s">
        <v>2338</v>
      </c>
      <c r="AE487" s="85">
        <f>IFERROR(__xludf.DUMMYFUNCTION("INDEX(SPLIT(SUBSTITUTE(AF487,CHAR(10), """"),"",:""), MATCH(Z487, SPLIT(SUBSTITUTE(AF487,CHAR(10), """"),"",:""), 0) + 1)"),2.66)</f>
        <v>2.66</v>
      </c>
      <c r="AF487" s="85" t="s">
        <v>3744</v>
      </c>
      <c r="AG487" s="53" t="s">
        <v>3745</v>
      </c>
      <c r="AH487" s="91" t="s">
        <v>3740</v>
      </c>
      <c r="AI487" s="84">
        <v>0.0</v>
      </c>
      <c r="AJ487" s="84">
        <v>1.0</v>
      </c>
      <c r="AK487" s="87"/>
      <c r="AL487" s="81">
        <v>0.0</v>
      </c>
      <c r="AM487" s="87"/>
      <c r="AN487" s="81">
        <v>0.0</v>
      </c>
      <c r="AO487" s="90"/>
      <c r="AP487" s="84">
        <v>1.0</v>
      </c>
      <c r="AQ487" s="81">
        <v>0.0</v>
      </c>
      <c r="AR487" s="39"/>
      <c r="AS487" s="81">
        <v>0.0</v>
      </c>
      <c r="AT487" s="81">
        <v>0.0</v>
      </c>
      <c r="AU487" s="39"/>
      <c r="AV487" s="7" t="s">
        <v>3242</v>
      </c>
      <c r="AW487" s="82"/>
      <c r="AX487" s="82"/>
      <c r="AY487" s="82"/>
      <c r="AZ487" s="82"/>
      <c r="BA487" s="82"/>
      <c r="BB487" s="82"/>
      <c r="BC487" s="82"/>
      <c r="BD487" s="82"/>
      <c r="BE487" s="82"/>
      <c r="BF487" s="82"/>
      <c r="BG487" s="82"/>
      <c r="BH487" s="82"/>
      <c r="BI487" s="82"/>
      <c r="BJ487" s="82"/>
      <c r="BK487" s="82"/>
      <c r="BL487" s="82"/>
      <c r="BM487" s="82"/>
      <c r="BN487" s="7"/>
      <c r="BO487" s="7">
        <v>4.0</v>
      </c>
      <c r="BP487" s="82"/>
      <c r="BQ487" s="82"/>
      <c r="BR487" s="7" t="s">
        <v>144</v>
      </c>
    </row>
    <row r="488">
      <c r="A488" s="16">
        <v>19.0</v>
      </c>
      <c r="B488" s="16" t="s">
        <v>377</v>
      </c>
      <c r="C488" s="53">
        <v>2.0</v>
      </c>
      <c r="D488" s="53" t="s">
        <v>385</v>
      </c>
      <c r="E488" s="7">
        <v>207.0</v>
      </c>
      <c r="F488" s="53" t="s">
        <v>2867</v>
      </c>
      <c r="G488" s="7"/>
      <c r="H488" s="16">
        <v>1.0</v>
      </c>
      <c r="I488" s="81">
        <v>1.0</v>
      </c>
      <c r="J488" s="21" t="s">
        <v>35</v>
      </c>
      <c r="K488" s="148"/>
      <c r="L488" s="148"/>
      <c r="M488" s="39" t="str">
        <f t="shared" si="1"/>
        <v>[https://ieeexplore.ieee.org/document/365700/ Shor's algorithm Quantum Implementation (1994)]</v>
      </c>
      <c r="N488" s="39" t="s">
        <v>3749</v>
      </c>
      <c r="O488" s="81">
        <v>1994.0</v>
      </c>
      <c r="P488" s="25" t="s">
        <v>3750</v>
      </c>
      <c r="Q488" s="82"/>
      <c r="R488" s="82"/>
      <c r="S488" s="82"/>
      <c r="T488" s="81">
        <v>0.0</v>
      </c>
      <c r="U488" s="81">
        <v>0.0</v>
      </c>
      <c r="V488" s="89">
        <f>IFERROR(__xludf.DUMMYFUNCTION("INDEX(SPLIT(SUBSTITUTE(W488,CHAR(10), """"),"",:""), MATCH(Z488, SPLIT(SUBSTITUTE(W488,CHAR(10), """"),"",:""), 0) + 1)"),3.0)</f>
        <v>3</v>
      </c>
      <c r="W488" s="85" t="s">
        <v>1763</v>
      </c>
      <c r="X488" s="21" t="s">
        <v>35</v>
      </c>
      <c r="Y488" s="53" t="s">
        <v>3743</v>
      </c>
      <c r="Z488" s="53" t="str">
        <f t="array" ref="Z488">INDEX(Problems!J:J, MATCH(1, (Problems!B:B=B488)*1, 0))</f>
        <v>n</v>
      </c>
      <c r="AA488" s="53"/>
      <c r="AB488" s="53"/>
      <c r="AC488" s="53" t="s">
        <v>2874</v>
      </c>
      <c r="AD488" s="53" t="s">
        <v>2875</v>
      </c>
      <c r="AE488" s="85">
        <f>IFERROR(__xludf.DUMMYFUNCTION("INDEX(SPLIT(SUBSTITUTE(AF488,CHAR(10), """"),"",:""), MATCH(Z488, SPLIT(SUBSTITUTE(AF488,CHAR(10), """"),"",:""), 0) + 1)"),3.0)</f>
        <v>3</v>
      </c>
      <c r="AF488" s="85" t="s">
        <v>1763</v>
      </c>
      <c r="AG488" s="53" t="s">
        <v>35</v>
      </c>
      <c r="AH488" s="91" t="s">
        <v>3751</v>
      </c>
      <c r="AI488" s="84">
        <v>0.0</v>
      </c>
      <c r="AJ488" s="84">
        <v>0.0</v>
      </c>
      <c r="AK488" s="87"/>
      <c r="AL488" s="81">
        <v>0.0</v>
      </c>
      <c r="AM488" s="87"/>
      <c r="AN488" s="81">
        <v>0.0</v>
      </c>
      <c r="AO488" s="90"/>
      <c r="AP488" s="81">
        <v>0.0</v>
      </c>
      <c r="AQ488" s="81">
        <v>0.0</v>
      </c>
      <c r="AR488" s="39"/>
      <c r="AS488" s="81">
        <v>1.0</v>
      </c>
      <c r="AT488" s="81">
        <v>0.0</v>
      </c>
      <c r="AU488" s="25" t="s">
        <v>3751</v>
      </c>
      <c r="AV488" s="7" t="s">
        <v>3242</v>
      </c>
      <c r="AW488" s="82"/>
      <c r="AX488" s="82"/>
      <c r="AY488" s="82"/>
      <c r="AZ488" s="7"/>
      <c r="BA488" s="7"/>
      <c r="BB488" s="7"/>
      <c r="BC488" s="7"/>
      <c r="BD488" s="7"/>
      <c r="BE488" s="7"/>
      <c r="BF488" s="7"/>
      <c r="BG488" s="82"/>
      <c r="BH488" s="82"/>
      <c r="BI488" s="82"/>
      <c r="BJ488" s="82"/>
      <c r="BK488" s="82"/>
      <c r="BL488" s="82"/>
      <c r="BM488" s="82"/>
      <c r="BN488" s="7"/>
      <c r="BO488" s="7">
        <v>4.0</v>
      </c>
      <c r="BP488" s="7" t="s">
        <v>3752</v>
      </c>
      <c r="BQ488" s="82"/>
      <c r="BR488" s="7" t="s">
        <v>144</v>
      </c>
    </row>
    <row r="489">
      <c r="A489" s="16">
        <v>22.0</v>
      </c>
      <c r="B489" s="16" t="s">
        <v>412</v>
      </c>
      <c r="C489" s="53">
        <v>2.0</v>
      </c>
      <c r="D489" s="53" t="s">
        <v>413</v>
      </c>
      <c r="E489" s="7">
        <v>238.0</v>
      </c>
      <c r="F489" s="53"/>
      <c r="G489" s="7"/>
      <c r="H489" s="16">
        <v>1.0</v>
      </c>
      <c r="I489" s="16">
        <v>1.0</v>
      </c>
      <c r="J489" s="21" t="s">
        <v>1883</v>
      </c>
      <c r="K489" s="53"/>
      <c r="L489" s="53"/>
      <c r="M489" s="39" t="str">
        <f t="shared" si="1"/>
        <v>[http://monge.univ-mlv.fr/~mac/Articles-PDF/CP-1991-jacm.pdf Two-way String-Matching Algorithm (1991)]</v>
      </c>
      <c r="N489" s="16" t="s">
        <v>3753</v>
      </c>
      <c r="O489" s="81">
        <v>1991.0</v>
      </c>
      <c r="P489" s="28" t="s">
        <v>3754</v>
      </c>
      <c r="Q489" s="82"/>
      <c r="R489" s="82"/>
      <c r="S489" s="82"/>
      <c r="T489" s="16">
        <v>0.0</v>
      </c>
      <c r="U489" s="16">
        <v>0.0</v>
      </c>
      <c r="V489" s="89">
        <f>IFERROR(__xludf.DUMMYFUNCTION("INDEX(SPLIT(SUBSTITUTE(W489,CHAR(10), """"),"",:""), MATCH(Z489, SPLIT(SUBSTITUTE(W489,CHAR(10), """"),"",:""), 0) + 1)"),3.0)</f>
        <v>3</v>
      </c>
      <c r="W489" s="85" t="s">
        <v>3755</v>
      </c>
      <c r="X489" s="21" t="s">
        <v>1883</v>
      </c>
      <c r="Y489" s="53" t="s">
        <v>3756</v>
      </c>
      <c r="Z489" s="53" t="str">
        <f t="array" ref="Z489">INDEX(Problems!J:J, MATCH(1, (Problems!B:B=B489)*1, 0))</f>
        <v>m+n</v>
      </c>
      <c r="AA489" s="53"/>
      <c r="AB489" s="53"/>
      <c r="AC489" s="53" t="s">
        <v>1813</v>
      </c>
      <c r="AD489" s="53" t="s">
        <v>1814</v>
      </c>
      <c r="AE489" s="85">
        <f>IFERROR(__xludf.DUMMYFUNCTION("INDEX(SPLIT(SUBSTITUTE(AF489,CHAR(10), """"),"",:""), MATCH(Z489, SPLIT(SUBSTITUTE(AF489,CHAR(10), """"),"",:""), 0) + 1)"),1.0)</f>
        <v>1</v>
      </c>
      <c r="AF489" s="85" t="s">
        <v>3757</v>
      </c>
      <c r="AG489" s="53" t="s">
        <v>939</v>
      </c>
      <c r="AH489" s="91" t="s">
        <v>3754</v>
      </c>
      <c r="AI489" s="84">
        <v>0.0</v>
      </c>
      <c r="AJ489" s="84">
        <v>1.0</v>
      </c>
      <c r="AK489" s="87"/>
      <c r="AL489" s="81">
        <v>0.0</v>
      </c>
      <c r="AM489" s="21"/>
      <c r="AN489" s="16">
        <v>0.0</v>
      </c>
      <c r="AO489" s="90"/>
      <c r="AP489" s="16">
        <v>0.0</v>
      </c>
      <c r="AQ489" s="16">
        <v>0.0</v>
      </c>
      <c r="AR489" s="39"/>
      <c r="AS489" s="81">
        <v>0.0</v>
      </c>
      <c r="AT489" s="81">
        <v>0.0</v>
      </c>
      <c r="AU489" s="39"/>
      <c r="AV489" s="7" t="s">
        <v>2249</v>
      </c>
      <c r="AW489" s="82"/>
      <c r="AX489" s="82"/>
      <c r="AY489" s="7" t="s">
        <v>2658</v>
      </c>
      <c r="AZ489" s="122"/>
      <c r="BA489" s="122"/>
      <c r="BB489" s="122"/>
      <c r="BC489" s="122"/>
      <c r="BD489" s="122"/>
      <c r="BE489" s="122"/>
      <c r="BF489" s="122"/>
      <c r="BG489" s="82"/>
      <c r="BH489" s="82"/>
      <c r="BI489" s="82"/>
      <c r="BJ489" s="82"/>
      <c r="BK489" s="82"/>
      <c r="BL489" s="82"/>
      <c r="BM489" s="82"/>
      <c r="BN489" s="7"/>
      <c r="BO489" s="7">
        <v>4.0</v>
      </c>
      <c r="BP489" s="82"/>
      <c r="BQ489" s="47" t="s">
        <v>2251</v>
      </c>
      <c r="BR489" s="7" t="s">
        <v>23</v>
      </c>
    </row>
    <row r="490">
      <c r="A490" s="16">
        <v>22.0</v>
      </c>
      <c r="B490" s="16" t="s">
        <v>412</v>
      </c>
      <c r="C490" s="53">
        <v>2.0</v>
      </c>
      <c r="D490" s="53" t="s">
        <v>413</v>
      </c>
      <c r="E490" s="7">
        <v>239.0</v>
      </c>
      <c r="F490" s="53"/>
      <c r="G490" s="7"/>
      <c r="H490" s="16">
        <v>1.0</v>
      </c>
      <c r="I490" s="16">
        <v>1.0</v>
      </c>
      <c r="J490" s="39" t="s">
        <v>399</v>
      </c>
      <c r="K490" s="53"/>
      <c r="L490" s="53"/>
      <c r="M490" s="39" t="str">
        <f t="shared" si="1"/>
        <v>[- String-Matching with Finite Automata (1940)]</v>
      </c>
      <c r="N490" s="16" t="s">
        <v>3758</v>
      </c>
      <c r="O490" s="16">
        <v>1940.0</v>
      </c>
      <c r="P490" s="39" t="s">
        <v>1937</v>
      </c>
      <c r="Q490" s="82"/>
      <c r="R490" s="82"/>
      <c r="S490" s="82"/>
      <c r="T490" s="16">
        <v>0.0</v>
      </c>
      <c r="U490" s="16">
        <v>0.0</v>
      </c>
      <c r="V490" s="89">
        <f>IFERROR(__xludf.DUMMYFUNCTION("INDEX(SPLIT(SUBSTITUTE(W490,CHAR(10), """"),"",:""), MATCH(Z490, SPLIT(SUBSTITUTE(W490,CHAR(10), """"),"",:""), 0) + 1)"),5.0)</f>
        <v>5</v>
      </c>
      <c r="W490" s="85" t="s">
        <v>2012</v>
      </c>
      <c r="X490" s="39" t="s">
        <v>399</v>
      </c>
      <c r="Y490" s="53" t="s">
        <v>3756</v>
      </c>
      <c r="Z490" s="53" t="str">
        <f t="array" ref="Z490">INDEX(Problems!J:J, MATCH(1, (Problems!B:B=B490)*1, 0))</f>
        <v>m+n</v>
      </c>
      <c r="AA490" s="53"/>
      <c r="AB490" s="53"/>
      <c r="AC490" s="53" t="s">
        <v>1813</v>
      </c>
      <c r="AD490" s="53" t="s">
        <v>1814</v>
      </c>
      <c r="AE490" s="85">
        <f>IFERROR(__xludf.DUMMYFUNCTION("INDEX(SPLIT(SUBSTITUTE(AF490,CHAR(10), """"),"",:""), MATCH(Z490, SPLIT(SUBSTITUTE(AF490,CHAR(10), """"),"",:""), 0) + 1)"),3.0)</f>
        <v>3</v>
      </c>
      <c r="AF490" s="85" t="s">
        <v>3759</v>
      </c>
      <c r="AG490" s="53" t="s">
        <v>2656</v>
      </c>
      <c r="AH490" s="53" t="s">
        <v>3760</v>
      </c>
      <c r="AI490" s="84">
        <v>1.0</v>
      </c>
      <c r="AJ490" s="84">
        <v>0.0</v>
      </c>
      <c r="AK490" s="87"/>
      <c r="AL490" s="81">
        <v>0.0</v>
      </c>
      <c r="AM490" s="21"/>
      <c r="AN490" s="16">
        <v>0.0</v>
      </c>
      <c r="AO490" s="90"/>
      <c r="AP490" s="16">
        <v>0.0</v>
      </c>
      <c r="AQ490" s="16">
        <v>0.0</v>
      </c>
      <c r="AR490" s="39"/>
      <c r="AS490" s="81">
        <v>0.0</v>
      </c>
      <c r="AT490" s="81">
        <v>0.0</v>
      </c>
      <c r="AU490" s="25" t="s">
        <v>3761</v>
      </c>
      <c r="AV490" s="7" t="s">
        <v>2249</v>
      </c>
      <c r="AW490" s="82"/>
      <c r="AX490" s="82"/>
      <c r="AY490" s="7" t="s">
        <v>2658</v>
      </c>
      <c r="AZ490" s="122"/>
      <c r="BA490" s="122"/>
      <c r="BB490" s="122"/>
      <c r="BC490" s="122"/>
      <c r="BD490" s="122"/>
      <c r="BE490" s="122"/>
      <c r="BF490" s="122"/>
      <c r="BG490" s="82"/>
      <c r="BH490" s="82"/>
      <c r="BI490" s="82"/>
      <c r="BJ490" s="82"/>
      <c r="BK490" s="82"/>
      <c r="BL490" s="82"/>
      <c r="BM490" s="82"/>
      <c r="BN490" s="7"/>
      <c r="BO490" s="7">
        <v>4.0</v>
      </c>
      <c r="BP490" s="82"/>
      <c r="BQ490" s="47" t="s">
        <v>2251</v>
      </c>
      <c r="BR490" s="7" t="s">
        <v>23</v>
      </c>
    </row>
    <row r="491">
      <c r="A491" s="16">
        <v>22.0</v>
      </c>
      <c r="B491" s="16" t="s">
        <v>412</v>
      </c>
      <c r="C491" s="53">
        <v>2.0</v>
      </c>
      <c r="D491" s="53" t="s">
        <v>413</v>
      </c>
      <c r="E491" s="7">
        <v>240.0</v>
      </c>
      <c r="F491" s="53"/>
      <c r="G491" s="7"/>
      <c r="H491" s="16">
        <v>1.0</v>
      </c>
      <c r="I491" s="16">
        <v>1.0</v>
      </c>
      <c r="J491" s="21" t="s">
        <v>399</v>
      </c>
      <c r="K491" s="53"/>
      <c r="L491" s="53"/>
      <c r="M491" s="39" t="str">
        <f t="shared" si="1"/>
        <v>[http://www.ijcte.org/papers/462-G1278.pdf Quick-Skip Searching (2012)]</v>
      </c>
      <c r="N491" s="16" t="s">
        <v>3762</v>
      </c>
      <c r="O491" s="81">
        <v>2012.0</v>
      </c>
      <c r="P491" s="28" t="s">
        <v>3763</v>
      </c>
      <c r="Q491" s="82"/>
      <c r="R491" s="82"/>
      <c r="S491" s="82"/>
      <c r="T491" s="16">
        <v>0.0</v>
      </c>
      <c r="U491" s="16">
        <v>0.0</v>
      </c>
      <c r="V491" s="89">
        <f>IFERROR(__xludf.DUMMYFUNCTION("INDEX(SPLIT(SUBSTITUTE(W491,CHAR(10), """"),"",:""), MATCH(Z491, SPLIT(SUBSTITUTE(W491,CHAR(10), """"),"",:""), 0) + 1)"),5.0)</f>
        <v>5</v>
      </c>
      <c r="W491" s="85" t="s">
        <v>2012</v>
      </c>
      <c r="X491" s="21" t="s">
        <v>399</v>
      </c>
      <c r="Y491" s="53" t="s">
        <v>3756</v>
      </c>
      <c r="Z491" s="53" t="str">
        <f t="array" ref="Z491">INDEX(Problems!J:J, MATCH(1, (Problems!B:B=B491)*1, 0))</f>
        <v>m+n</v>
      </c>
      <c r="AA491" s="53"/>
      <c r="AB491" s="53"/>
      <c r="AC491" s="53" t="s">
        <v>1813</v>
      </c>
      <c r="AD491" s="53" t="s">
        <v>1814</v>
      </c>
      <c r="AE491" s="85">
        <f>IFERROR(__xludf.DUMMYFUNCTION("INDEX(SPLIT(SUBSTITUTE(AF491,CHAR(10), """"),"",:""), MATCH(Z491, SPLIT(SUBSTITUTE(AF491,CHAR(10), """"),"",:""), 0) + 1)"),3.0)</f>
        <v>3</v>
      </c>
      <c r="AF491" s="85" t="s">
        <v>3759</v>
      </c>
      <c r="AG491" s="53" t="s">
        <v>2656</v>
      </c>
      <c r="AH491" s="53" t="s">
        <v>3764</v>
      </c>
      <c r="AI491" s="84">
        <v>1.0</v>
      </c>
      <c r="AJ491" s="84">
        <v>0.0</v>
      </c>
      <c r="AK491" s="87"/>
      <c r="AL491" s="81">
        <v>0.0</v>
      </c>
      <c r="AM491" s="21"/>
      <c r="AN491" s="16">
        <v>0.0</v>
      </c>
      <c r="AO491" s="90"/>
      <c r="AP491" s="16">
        <v>0.0</v>
      </c>
      <c r="AQ491" s="16">
        <v>0.0</v>
      </c>
      <c r="AR491" s="39"/>
      <c r="AS491" s="81">
        <v>0.0</v>
      </c>
      <c r="AT491" s="81">
        <v>0.0</v>
      </c>
      <c r="AU491" s="39"/>
      <c r="AV491" s="7" t="s">
        <v>2249</v>
      </c>
      <c r="AW491" s="82"/>
      <c r="AX491" s="82"/>
      <c r="AY491" s="7" t="s">
        <v>2658</v>
      </c>
      <c r="AZ491" s="82"/>
      <c r="BA491" s="82"/>
      <c r="BB491" s="82"/>
      <c r="BC491" s="82"/>
      <c r="BD491" s="82"/>
      <c r="BE491" s="82"/>
      <c r="BF491" s="82"/>
      <c r="BG491" s="82"/>
      <c r="BH491" s="82"/>
      <c r="BI491" s="82"/>
      <c r="BJ491" s="82"/>
      <c r="BK491" s="82"/>
      <c r="BL491" s="82"/>
      <c r="BM491" s="82"/>
      <c r="BN491" s="7"/>
      <c r="BO491" s="7">
        <v>4.0</v>
      </c>
      <c r="BP491" s="82"/>
      <c r="BQ491" s="7"/>
      <c r="BR491" s="7" t="s">
        <v>23</v>
      </c>
    </row>
    <row r="492">
      <c r="A492" s="16">
        <v>22.0</v>
      </c>
      <c r="B492" s="16" t="s">
        <v>412</v>
      </c>
      <c r="C492" s="53">
        <v>2.0</v>
      </c>
      <c r="D492" s="53" t="s">
        <v>413</v>
      </c>
      <c r="E492" s="7">
        <v>241.0</v>
      </c>
      <c r="F492" s="53"/>
      <c r="G492" s="7"/>
      <c r="H492" s="16">
        <v>1.0</v>
      </c>
      <c r="I492" s="16">
        <v>1.0</v>
      </c>
      <c r="J492" s="16" t="s">
        <v>3765</v>
      </c>
      <c r="K492" s="53"/>
      <c r="L492" s="53"/>
      <c r="M492" s="39" t="str">
        <f t="shared" si="1"/>
        <v>[https://thesai.org/Downloads/Volume8No6/Paper_15-Fast_Hybrid_String_Matching_Algorithm.pdf Fast Hybrid Algorithm (2017)]</v>
      </c>
      <c r="N492" s="16" t="s">
        <v>3766</v>
      </c>
      <c r="O492" s="84">
        <v>2017.0</v>
      </c>
      <c r="P492" s="17" t="s">
        <v>3767</v>
      </c>
      <c r="Q492" s="7">
        <v>4.0</v>
      </c>
      <c r="R492" s="7">
        <v>1.0</v>
      </c>
      <c r="S492" s="114" t="s">
        <v>3767</v>
      </c>
      <c r="T492" s="16">
        <v>1.0</v>
      </c>
      <c r="U492" s="16" t="s">
        <v>1983</v>
      </c>
      <c r="V492" s="89">
        <f>IFERROR(__xludf.DUMMYFUNCTION("INDEX(SPLIT(SUBSTITUTE(W492,CHAR(10), """"),"",:""), MATCH(Z492, SPLIT(SUBSTITUTE(W492,CHAR(10), """"),"",:""), 0) + 1)"),3.0)</f>
        <v>3</v>
      </c>
      <c r="W492" s="85" t="s">
        <v>3768</v>
      </c>
      <c r="X492" s="16" t="s">
        <v>3765</v>
      </c>
      <c r="Y492" s="53" t="s">
        <v>416</v>
      </c>
      <c r="Z492" s="53" t="str">
        <f t="array" ref="Z492">INDEX(Problems!J:J, MATCH(1, (Problems!B:B=B492)*1, 0))</f>
        <v>m+n</v>
      </c>
      <c r="AA492" s="53"/>
      <c r="AB492" s="53"/>
      <c r="AC492" s="53" t="s">
        <v>1813</v>
      </c>
      <c r="AD492" s="53" t="s">
        <v>1814</v>
      </c>
      <c r="AE492" s="85">
        <f>IFERROR(__xludf.DUMMYFUNCTION("INDEX(SPLIT(SUBSTITUTE(AF492,CHAR(10), """"),"",:""), MATCH(Z492, SPLIT(SUBSTITUTE(AF492,CHAR(10), """"),"",:""), 0) + 1)"),3.0)</f>
        <v>3</v>
      </c>
      <c r="AF492" s="85" t="s">
        <v>3759</v>
      </c>
      <c r="AG492" s="53" t="s">
        <v>2656</v>
      </c>
      <c r="AH492" s="53" t="s">
        <v>3769</v>
      </c>
      <c r="AI492" s="84">
        <v>1.0</v>
      </c>
      <c r="AJ492" s="84">
        <v>0.0</v>
      </c>
      <c r="AK492" s="87"/>
      <c r="AL492" s="81">
        <v>0.0</v>
      </c>
      <c r="AM492" s="21"/>
      <c r="AN492" s="16">
        <v>0.0</v>
      </c>
      <c r="AO492" s="90"/>
      <c r="AP492" s="16">
        <v>0.0</v>
      </c>
      <c r="AQ492" s="16">
        <v>0.0</v>
      </c>
      <c r="AR492" s="39"/>
      <c r="AS492" s="81">
        <v>0.0</v>
      </c>
      <c r="AT492" s="81">
        <v>0.0</v>
      </c>
      <c r="AU492" s="39"/>
      <c r="AV492" s="7" t="s">
        <v>2249</v>
      </c>
      <c r="AW492" s="82"/>
      <c r="AX492" s="82"/>
      <c r="AY492" s="7" t="s">
        <v>2658</v>
      </c>
      <c r="AZ492" s="82"/>
      <c r="BA492" s="82"/>
      <c r="BB492" s="82"/>
      <c r="BC492" s="82"/>
      <c r="BD492" s="82"/>
      <c r="BE492" s="82"/>
      <c r="BF492" s="82">
        <f>1000+(1000/10)+50</f>
        <v>1150</v>
      </c>
      <c r="BG492" s="82">
        <f>BF87/BF492</f>
        <v>69.65217391</v>
      </c>
      <c r="BH492" s="82">
        <f>POW(BG492,1/($O492-$O87)) - 1</f>
        <v>0.05665744313</v>
      </c>
      <c r="BI492" s="82">
        <f>1000000+(1000000/10)+50</f>
        <v>1100050</v>
      </c>
      <c r="BJ492" s="82">
        <f>BI87/BI492</f>
        <v>72724.058</v>
      </c>
      <c r="BK492" s="82">
        <f>POW(BJ492,1/($O492-$O87)) - 1</f>
        <v>0.156481465</v>
      </c>
      <c r="BL492" s="82">
        <f>1000000000+(1000000000/10)+50</f>
        <v>1100000050</v>
      </c>
      <c r="BM492" s="82">
        <f>BL87/BL492</f>
        <v>72727269.51</v>
      </c>
      <c r="BN492" s="82">
        <f>POW(BM492,1/($O492-$O87)) - 1</f>
        <v>0.2650274945</v>
      </c>
      <c r="BO492" s="7">
        <v>4.0</v>
      </c>
      <c r="BP492" s="82"/>
      <c r="BQ492" s="7"/>
      <c r="BR492" s="7" t="s">
        <v>23</v>
      </c>
    </row>
    <row r="493">
      <c r="A493" s="16">
        <v>22.0</v>
      </c>
      <c r="B493" s="16" t="s">
        <v>412</v>
      </c>
      <c r="C493" s="53">
        <v>2.0</v>
      </c>
      <c r="D493" s="53" t="s">
        <v>413</v>
      </c>
      <c r="E493" s="7">
        <v>243.0</v>
      </c>
      <c r="F493" s="53"/>
      <c r="G493" s="7"/>
      <c r="H493" s="16">
        <v>1.0</v>
      </c>
      <c r="I493" s="16">
        <v>1.0</v>
      </c>
      <c r="J493" s="9" t="s">
        <v>3770</v>
      </c>
      <c r="K493" s="53"/>
      <c r="L493" s="53"/>
      <c r="M493" s="39" t="str">
        <f t="shared" si="1"/>
        <v>[https://link.springer.com/chapter/10.1007/BFb0030778 Backward Non-Deterministic DAWG Matching (BNDM) (1998)]</v>
      </c>
      <c r="N493" s="16" t="s">
        <v>3771</v>
      </c>
      <c r="O493" s="81">
        <v>1998.0</v>
      </c>
      <c r="P493" s="17" t="s">
        <v>3772</v>
      </c>
      <c r="Q493" s="82"/>
      <c r="R493" s="82"/>
      <c r="S493" s="82"/>
      <c r="T493" s="16">
        <v>0.0</v>
      </c>
      <c r="U493" s="16">
        <v>0.0</v>
      </c>
      <c r="V493" s="89">
        <f>IFERROR(__xludf.DUMMYFUNCTION("INDEX(SPLIT(SUBSTITUTE(W493,CHAR(10), """"),"",:""), MATCH(Z493, SPLIT(SUBSTITUTE(W493,CHAR(10), """"),"",:""), 0) + 1)"),3.0)</f>
        <v>3</v>
      </c>
      <c r="W493" s="85" t="s">
        <v>3755</v>
      </c>
      <c r="X493" s="39" t="s">
        <v>1095</v>
      </c>
      <c r="Y493" s="53" t="s">
        <v>416</v>
      </c>
      <c r="Z493" s="53" t="str">
        <f t="array" ref="Z493">INDEX(Problems!J:J, MATCH(1, (Problems!B:B=B493)*1, 0))</f>
        <v>m+n</v>
      </c>
      <c r="AA493" s="53"/>
      <c r="AB493" s="53"/>
      <c r="AC493" s="53" t="s">
        <v>1813</v>
      </c>
      <c r="AD493" s="53" t="s">
        <v>1814</v>
      </c>
      <c r="AE493" s="85">
        <f>IFERROR(__xludf.DUMMYFUNCTION("INDEX(SPLIT(SUBSTITUTE(AF493,CHAR(10), """"),"",:""), MATCH(Z493, SPLIT(SUBSTITUTE(AF493,CHAR(10), """"),"",:""), 0) + 1)"),3.0)</f>
        <v>3</v>
      </c>
      <c r="AF493" s="85" t="s">
        <v>3292</v>
      </c>
      <c r="AG493" s="53" t="s">
        <v>3773</v>
      </c>
      <c r="AH493" s="91" t="s">
        <v>3772</v>
      </c>
      <c r="AI493" s="84">
        <v>0.0</v>
      </c>
      <c r="AJ493" s="84">
        <v>1.0</v>
      </c>
      <c r="AK493" s="87"/>
      <c r="AL493" s="81">
        <v>0.0</v>
      </c>
      <c r="AM493" s="21"/>
      <c r="AN493" s="16">
        <v>0.0</v>
      </c>
      <c r="AO493" s="90"/>
      <c r="AP493" s="16">
        <v>0.0</v>
      </c>
      <c r="AQ493" s="81">
        <v>1.0</v>
      </c>
      <c r="AR493" s="39"/>
      <c r="AS493" s="81">
        <v>0.0</v>
      </c>
      <c r="AT493" s="81">
        <v>0.0</v>
      </c>
      <c r="AU493" s="39"/>
      <c r="AV493" s="7" t="s">
        <v>2249</v>
      </c>
      <c r="AW493" s="82"/>
      <c r="AX493" s="82"/>
      <c r="AY493" s="7" t="s">
        <v>2658</v>
      </c>
      <c r="AZ493" s="82"/>
      <c r="BA493" s="82"/>
      <c r="BB493" s="82"/>
      <c r="BC493" s="82"/>
      <c r="BD493" s="82"/>
      <c r="BE493" s="82"/>
      <c r="BF493" s="82"/>
      <c r="BG493" s="82"/>
      <c r="BH493" s="82"/>
      <c r="BI493" s="82"/>
      <c r="BJ493" s="82"/>
      <c r="BK493" s="82"/>
      <c r="BL493" s="82"/>
      <c r="BM493" s="82"/>
      <c r="BN493" s="7"/>
      <c r="BO493" s="7">
        <v>4.0</v>
      </c>
      <c r="BP493" s="82"/>
      <c r="BQ493" s="7"/>
      <c r="BR493" s="7" t="s">
        <v>23</v>
      </c>
    </row>
    <row r="494">
      <c r="A494" s="16">
        <v>22.0</v>
      </c>
      <c r="B494" s="16" t="s">
        <v>412</v>
      </c>
      <c r="C494" s="53">
        <v>2.0</v>
      </c>
      <c r="D494" s="53" t="s">
        <v>418</v>
      </c>
      <c r="E494" s="7">
        <v>244.0</v>
      </c>
      <c r="F494" s="53" t="s">
        <v>3774</v>
      </c>
      <c r="G494" s="7"/>
      <c r="H494" s="16">
        <v>1.0</v>
      </c>
      <c r="I494" s="16">
        <v>1.0</v>
      </c>
      <c r="J494" s="39" t="s">
        <v>399</v>
      </c>
      <c r="K494" s="53"/>
      <c r="L494" s="53"/>
      <c r="M494" s="39" t="str">
        <f t="shared" si="1"/>
        <v>[https://link.springer.com/chapter/10.1007/3-540-09510-1_10 Commentz-Walter Algorithm (1979)]</v>
      </c>
      <c r="N494" s="16" t="s">
        <v>3775</v>
      </c>
      <c r="O494" s="81">
        <v>1979.0</v>
      </c>
      <c r="P494" s="28" t="s">
        <v>3776</v>
      </c>
      <c r="Q494" s="82"/>
      <c r="R494" s="82"/>
      <c r="S494" s="82"/>
      <c r="T494" s="16">
        <v>0.0</v>
      </c>
      <c r="U494" s="16">
        <v>0.0</v>
      </c>
      <c r="V494" s="89">
        <f>IFERROR(__xludf.DUMMYFUNCTION("INDEX(SPLIT(SUBSTITUTE(W494,CHAR(10), """"),"",:""), MATCH(Z494, SPLIT(SUBSTITUTE(W494,CHAR(10), """"),"",:""), 0) + 1)"),5.0)</f>
        <v>5</v>
      </c>
      <c r="W494" s="85" t="s">
        <v>2012</v>
      </c>
      <c r="X494" s="39" t="s">
        <v>399</v>
      </c>
      <c r="Y494" s="53" t="s">
        <v>3777</v>
      </c>
      <c r="Z494" s="53" t="str">
        <f t="array" ref="Z494">INDEX(Problems!J:J, MATCH(1, (Problems!B:B=B494)*1, 0))</f>
        <v>m+n</v>
      </c>
      <c r="AA494" s="53"/>
      <c r="AB494" s="53"/>
      <c r="AC494" s="53" t="s">
        <v>1813</v>
      </c>
      <c r="AD494" s="53" t="s">
        <v>1814</v>
      </c>
      <c r="AE494" s="85">
        <f>IFERROR(__xludf.DUMMYFUNCTION("INDEX(SPLIT(SUBSTITUTE(AF494,CHAR(10), """"),"",:""), MATCH(Z494, SPLIT(SUBSTITUTE(AF494,CHAR(10), """"),"",:""), 0) + 1)"),3.0)</f>
        <v>3</v>
      </c>
      <c r="AF494" s="85" t="s">
        <v>3778</v>
      </c>
      <c r="AG494" s="53" t="s">
        <v>3779</v>
      </c>
      <c r="AH494" s="53" t="s">
        <v>3780</v>
      </c>
      <c r="AI494" s="84">
        <v>1.0</v>
      </c>
      <c r="AJ494" s="84">
        <v>0.0</v>
      </c>
      <c r="AK494" s="87"/>
      <c r="AL494" s="81">
        <v>0.0</v>
      </c>
      <c r="AM494" s="21"/>
      <c r="AN494" s="16">
        <v>0.0</v>
      </c>
      <c r="AO494" s="90"/>
      <c r="AP494" s="16">
        <v>0.0</v>
      </c>
      <c r="AQ494" s="16">
        <v>0.0</v>
      </c>
      <c r="AR494" s="39"/>
      <c r="AS494" s="81">
        <v>0.0</v>
      </c>
      <c r="AT494" s="81">
        <v>0.0</v>
      </c>
      <c r="AU494" s="39"/>
      <c r="AV494" s="7" t="s">
        <v>2249</v>
      </c>
      <c r="AW494" s="82"/>
      <c r="AX494" s="82"/>
      <c r="AY494" s="7" t="s">
        <v>2250</v>
      </c>
      <c r="AZ494" s="82"/>
      <c r="BA494" s="82"/>
      <c r="BB494" s="82"/>
      <c r="BC494" s="82"/>
      <c r="BD494" s="82"/>
      <c r="BE494" s="82"/>
      <c r="BF494" s="82"/>
      <c r="BG494" s="82"/>
      <c r="BH494" s="82"/>
      <c r="BI494" s="82"/>
      <c r="BJ494" s="82"/>
      <c r="BK494" s="82"/>
      <c r="BL494" s="82"/>
      <c r="BM494" s="82"/>
      <c r="BN494" s="7"/>
      <c r="BO494" s="7">
        <v>4.0</v>
      </c>
      <c r="BP494" s="82"/>
      <c r="BQ494" s="7"/>
      <c r="BR494" s="7" t="s">
        <v>23</v>
      </c>
    </row>
    <row r="495">
      <c r="A495" s="16">
        <v>22.0</v>
      </c>
      <c r="B495" s="16" t="s">
        <v>412</v>
      </c>
      <c r="C495" s="53">
        <v>2.0</v>
      </c>
      <c r="D495" s="53" t="s">
        <v>418</v>
      </c>
      <c r="E495" s="7">
        <v>245.0</v>
      </c>
      <c r="F495" s="53" t="s">
        <v>3781</v>
      </c>
      <c r="G495" s="7"/>
      <c r="H495" s="16">
        <v>1.0</v>
      </c>
      <c r="I495" s="16">
        <v>1.0</v>
      </c>
      <c r="J495" s="21" t="s">
        <v>3782</v>
      </c>
      <c r="K495" s="53"/>
      <c r="L495" s="53"/>
      <c r="M495" s="39" t="str">
        <f t="shared" si="1"/>
        <v>[https://cr.yp.to/bib/1975/aho.pdf Aho–Corasick (AC) Algorithm (1975)]</v>
      </c>
      <c r="N495" s="16" t="s">
        <v>3783</v>
      </c>
      <c r="O495" s="81">
        <v>1975.0</v>
      </c>
      <c r="P495" s="28" t="s">
        <v>423</v>
      </c>
      <c r="Q495" s="82"/>
      <c r="R495" s="82"/>
      <c r="S495" s="82"/>
      <c r="T495" s="16">
        <v>0.0</v>
      </c>
      <c r="U495" s="16">
        <v>0.0</v>
      </c>
      <c r="V495" s="89">
        <f>IFERROR(__xludf.DUMMYFUNCTION("INDEX(SPLIT(SUBSTITUTE(W495,CHAR(10), """"),"",:""), MATCH(Z495, SPLIT(SUBSTITUTE(W495,CHAR(10), """"),"",:""), 0) + 1)"),3.0)</f>
        <v>3</v>
      </c>
      <c r="W495" s="85" t="s">
        <v>3784</v>
      </c>
      <c r="X495" s="21" t="s">
        <v>3782</v>
      </c>
      <c r="Y495" s="53" t="s">
        <v>3785</v>
      </c>
      <c r="Z495" s="53" t="str">
        <f t="array" ref="Z495">INDEX(Problems!J:J, MATCH(1, (Problems!B:B=B495)*1, 0))</f>
        <v>m+n</v>
      </c>
      <c r="AA495" s="53"/>
      <c r="AB495" s="53"/>
      <c r="AC495" s="53" t="s">
        <v>1813</v>
      </c>
      <c r="AD495" s="53" t="s">
        <v>1814</v>
      </c>
      <c r="AE495" s="85">
        <f>IFERROR(__xludf.DUMMYFUNCTION("INDEX(SPLIT(SUBSTITUTE(AF495,CHAR(10), """"),"",:""), MATCH(Z495, SPLIT(SUBSTITUTE(AF495,CHAR(10), """"),"",:""), 0) + 1)"),3.0)</f>
        <v>3</v>
      </c>
      <c r="AF495" s="85" t="s">
        <v>3778</v>
      </c>
      <c r="AG495" s="53" t="s">
        <v>3779</v>
      </c>
      <c r="AH495" s="53" t="s">
        <v>3780</v>
      </c>
      <c r="AI495" s="84">
        <v>1.0</v>
      </c>
      <c r="AJ495" s="84">
        <v>0.0</v>
      </c>
      <c r="AK495" s="87"/>
      <c r="AL495" s="81">
        <v>0.0</v>
      </c>
      <c r="AM495" s="21"/>
      <c r="AN495" s="16">
        <v>0.0</v>
      </c>
      <c r="AO495" s="90"/>
      <c r="AP495" s="16">
        <v>0.0</v>
      </c>
      <c r="AQ495" s="16">
        <v>0.0</v>
      </c>
      <c r="AR495" s="39"/>
      <c r="AS495" s="81">
        <v>0.0</v>
      </c>
      <c r="AT495" s="81">
        <v>0.0</v>
      </c>
      <c r="AU495" s="39"/>
      <c r="AV495" s="7" t="s">
        <v>2249</v>
      </c>
      <c r="AW495" s="82"/>
      <c r="AX495" s="82"/>
      <c r="AY495" s="7" t="s">
        <v>2250</v>
      </c>
      <c r="AZ495" s="82"/>
      <c r="BA495" s="82"/>
      <c r="BB495" s="82"/>
      <c r="BC495" s="82"/>
      <c r="BD495" s="82"/>
      <c r="BE495" s="82"/>
      <c r="BF495" s="82"/>
      <c r="BG495" s="82"/>
      <c r="BH495" s="82"/>
      <c r="BI495" s="82"/>
      <c r="BJ495" s="82"/>
      <c r="BK495" s="82"/>
      <c r="BL495" s="82"/>
      <c r="BM495" s="82"/>
      <c r="BN495" s="7"/>
      <c r="BO495" s="7">
        <v>4.0</v>
      </c>
      <c r="BP495" s="82"/>
      <c r="BQ495" s="7"/>
      <c r="BR495" s="7" t="s">
        <v>23</v>
      </c>
    </row>
    <row r="496">
      <c r="A496" s="16">
        <v>22.0</v>
      </c>
      <c r="B496" s="16" t="s">
        <v>412</v>
      </c>
      <c r="C496" s="53">
        <v>2.0</v>
      </c>
      <c r="D496" s="53" t="s">
        <v>413</v>
      </c>
      <c r="E496" s="7">
        <v>246.0</v>
      </c>
      <c r="F496" s="53" t="s">
        <v>3786</v>
      </c>
      <c r="G496" s="7"/>
      <c r="H496" s="16">
        <v>1.0</v>
      </c>
      <c r="I496" s="16">
        <v>1.0</v>
      </c>
      <c r="J496" s="21" t="s">
        <v>35</v>
      </c>
      <c r="K496" s="53" t="s">
        <v>3787</v>
      </c>
      <c r="L496" s="91" t="s">
        <v>3788</v>
      </c>
      <c r="M496" s="39" t="str">
        <f t="shared" si="1"/>
        <v>[https://onlinelibrary.wiley.com/doi/abs/10.1002/spe.4380100608 Boyer-Moore-Horspool (BMH) (1980)]</v>
      </c>
      <c r="N496" s="16" t="s">
        <v>3789</v>
      </c>
      <c r="O496" s="81">
        <v>1980.0</v>
      </c>
      <c r="P496" s="28" t="s">
        <v>3790</v>
      </c>
      <c r="Q496" s="82"/>
      <c r="R496" s="82"/>
      <c r="S496" s="82"/>
      <c r="T496" s="16">
        <v>0.0</v>
      </c>
      <c r="U496" s="16">
        <v>0.0</v>
      </c>
      <c r="V496" s="89">
        <f>IFERROR(__xludf.DUMMYFUNCTION("INDEX(SPLIT(SUBSTITUTE(W496,CHAR(10), """"),"",:""), MATCH(Z496, SPLIT(SUBSTITUTE(W496,CHAR(10), """"),"",:""), 0) + 1)"),5.0)</f>
        <v>5</v>
      </c>
      <c r="W496" s="85" t="s">
        <v>2012</v>
      </c>
      <c r="X496" s="21" t="s">
        <v>2259</v>
      </c>
      <c r="Y496" s="53" t="s">
        <v>416</v>
      </c>
      <c r="Z496" s="53" t="str">
        <f t="array" ref="Z496">INDEX(Problems!J:J, MATCH(1, (Problems!B:B=B496)*1, 0))</f>
        <v>m+n</v>
      </c>
      <c r="AA496" s="53"/>
      <c r="AB496" s="53"/>
      <c r="AC496" s="53" t="s">
        <v>1813</v>
      </c>
      <c r="AD496" s="53" t="s">
        <v>1814</v>
      </c>
      <c r="AE496" s="85">
        <f>IFERROR(__xludf.DUMMYFUNCTION("INDEX(SPLIT(SUBSTITUTE(AF496,CHAR(10), """"),"",:""), MATCH(Z496, SPLIT(SUBSTITUTE(AF496,CHAR(10), """"),"",:""), 0) + 1)"),1.0)</f>
        <v>1</v>
      </c>
      <c r="AF496" s="85" t="s">
        <v>3791</v>
      </c>
      <c r="AG496" s="53" t="s">
        <v>3792</v>
      </c>
      <c r="AH496" s="53" t="s">
        <v>3793</v>
      </c>
      <c r="AI496" s="84">
        <v>1.0</v>
      </c>
      <c r="AJ496" s="84">
        <v>0.0</v>
      </c>
      <c r="AK496" s="87"/>
      <c r="AL496" s="81">
        <v>0.0</v>
      </c>
      <c r="AM496" s="21"/>
      <c r="AN496" s="16">
        <v>0.0</v>
      </c>
      <c r="AO496" s="90"/>
      <c r="AP496" s="16">
        <v>0.0</v>
      </c>
      <c r="AQ496" s="16">
        <v>0.0</v>
      </c>
      <c r="AR496" s="39"/>
      <c r="AS496" s="81">
        <v>0.0</v>
      </c>
      <c r="AT496" s="81">
        <v>0.0</v>
      </c>
      <c r="AU496" s="39"/>
      <c r="AV496" s="7" t="s">
        <v>2249</v>
      </c>
      <c r="AW496" s="82"/>
      <c r="AX496" s="82"/>
      <c r="AY496" s="7" t="s">
        <v>2250</v>
      </c>
      <c r="AZ496" s="82"/>
      <c r="BA496" s="82"/>
      <c r="BB496" s="82"/>
      <c r="BC496" s="82"/>
      <c r="BD496" s="82"/>
      <c r="BE496" s="82"/>
      <c r="BF496" s="82"/>
      <c r="BG496" s="82"/>
      <c r="BH496" s="82"/>
      <c r="BI496" s="82"/>
      <c r="BJ496" s="82"/>
      <c r="BK496" s="82"/>
      <c r="BL496" s="82"/>
      <c r="BM496" s="82"/>
      <c r="BN496" s="7"/>
      <c r="BO496" s="7">
        <v>4.0</v>
      </c>
      <c r="BP496" s="82"/>
      <c r="BQ496" s="7"/>
      <c r="BR496" s="7" t="s">
        <v>23</v>
      </c>
    </row>
    <row r="497">
      <c r="A497" s="16">
        <v>22.0</v>
      </c>
      <c r="B497" s="16" t="s">
        <v>412</v>
      </c>
      <c r="C497" s="53">
        <v>2.0</v>
      </c>
      <c r="D497" s="53" t="s">
        <v>413</v>
      </c>
      <c r="E497" s="7">
        <v>247.0</v>
      </c>
      <c r="F497" s="53" t="s">
        <v>3794</v>
      </c>
      <c r="G497" s="7"/>
      <c r="H497" s="16">
        <v>1.0</v>
      </c>
      <c r="I497" s="16">
        <v>1.0</v>
      </c>
      <c r="J497" s="21" t="s">
        <v>35</v>
      </c>
      <c r="K497" s="53" t="s">
        <v>3787</v>
      </c>
      <c r="L497" s="91" t="s">
        <v>3788</v>
      </c>
      <c r="M497" s="39" t="str">
        <f t="shared" si="1"/>
        <v>[https://www.cin.ufpe.br/~paguso/courses/if767/bib/Raita_1992.pdf Raita Algorithm (1991)]</v>
      </c>
      <c r="N497" s="16" t="s">
        <v>3795</v>
      </c>
      <c r="O497" s="81">
        <v>1991.0</v>
      </c>
      <c r="P497" s="28" t="s">
        <v>3796</v>
      </c>
      <c r="Q497" s="82"/>
      <c r="R497" s="82"/>
      <c r="S497" s="82"/>
      <c r="T497" s="16">
        <v>0.0</v>
      </c>
      <c r="U497" s="16">
        <v>0.0</v>
      </c>
      <c r="V497" s="89">
        <f>IFERROR(__xludf.DUMMYFUNCTION("INDEX(SPLIT(SUBSTITUTE(W497,CHAR(10), """"),"",:""), MATCH(Z497, SPLIT(SUBSTITUTE(W497,CHAR(10), """"),"",:""), 0) + 1)"),5.0)</f>
        <v>5</v>
      </c>
      <c r="W497" s="85" t="s">
        <v>3797</v>
      </c>
      <c r="X497" s="21" t="s">
        <v>2259</v>
      </c>
      <c r="Y497" s="53" t="s">
        <v>416</v>
      </c>
      <c r="Z497" s="53" t="str">
        <f t="array" ref="Z497">INDEX(Problems!J:J, MATCH(1, (Problems!B:B=B497)*1, 0))</f>
        <v>m+n</v>
      </c>
      <c r="AA497" s="53"/>
      <c r="AB497" s="53"/>
      <c r="AC497" s="53" t="s">
        <v>1813</v>
      </c>
      <c r="AD497" s="53" t="s">
        <v>1814</v>
      </c>
      <c r="AE497" s="85">
        <f>IFERROR(__xludf.DUMMYFUNCTION("INDEX(SPLIT(SUBSTITUTE(AF497,CHAR(10), """"),"",:""), MATCH(Z497, SPLIT(SUBSTITUTE(AF497,CHAR(10), """"),"",:""), 0) + 1)"),1.0)</f>
        <v>1</v>
      </c>
      <c r="AF497" s="85" t="s">
        <v>3791</v>
      </c>
      <c r="AG497" s="53" t="s">
        <v>3792</v>
      </c>
      <c r="AH497" s="53" t="s">
        <v>3793</v>
      </c>
      <c r="AI497" s="84">
        <v>1.0</v>
      </c>
      <c r="AJ497" s="84">
        <v>0.0</v>
      </c>
      <c r="AK497" s="87"/>
      <c r="AL497" s="81">
        <v>0.0</v>
      </c>
      <c r="AM497" s="21"/>
      <c r="AN497" s="16">
        <v>0.0</v>
      </c>
      <c r="AO497" s="90"/>
      <c r="AP497" s="16">
        <v>0.0</v>
      </c>
      <c r="AQ497" s="16">
        <v>0.0</v>
      </c>
      <c r="AR497" s="39"/>
      <c r="AS497" s="81">
        <v>0.0</v>
      </c>
      <c r="AT497" s="81">
        <v>0.0</v>
      </c>
      <c r="AU497" s="39"/>
      <c r="AV497" s="7" t="s">
        <v>2249</v>
      </c>
      <c r="AW497" s="82"/>
      <c r="AX497" s="82"/>
      <c r="AY497" s="7" t="s">
        <v>2250</v>
      </c>
      <c r="AZ497" s="82"/>
      <c r="BA497" s="82"/>
      <c r="BB497" s="82"/>
      <c r="BC497" s="82"/>
      <c r="BD497" s="82"/>
      <c r="BE497" s="82"/>
      <c r="BF497" s="82"/>
      <c r="BG497" s="82"/>
      <c r="BH497" s="82"/>
      <c r="BI497" s="82"/>
      <c r="BJ497" s="82"/>
      <c r="BK497" s="82"/>
      <c r="BL497" s="82"/>
      <c r="BM497" s="82"/>
      <c r="BN497" s="7"/>
      <c r="BO497" s="7">
        <v>4.0</v>
      </c>
      <c r="BP497" s="82"/>
      <c r="BQ497" s="7"/>
      <c r="BR497" s="7" t="s">
        <v>23</v>
      </c>
    </row>
    <row r="498">
      <c r="A498" s="16">
        <v>22.0</v>
      </c>
      <c r="B498" s="16" t="s">
        <v>412</v>
      </c>
      <c r="C498" s="53">
        <v>2.0</v>
      </c>
      <c r="D498" s="53" t="s">
        <v>413</v>
      </c>
      <c r="E498" s="7">
        <v>248.0</v>
      </c>
      <c r="F498" s="53" t="s">
        <v>3798</v>
      </c>
      <c r="G498" s="7"/>
      <c r="H498" s="16">
        <v>1.0</v>
      </c>
      <c r="I498" s="16">
        <v>1.0</v>
      </c>
      <c r="J498" s="21" t="s">
        <v>3799</v>
      </c>
      <c r="K498" s="53"/>
      <c r="L498" s="53"/>
      <c r="M498" s="39" t="str">
        <f t="shared" si="1"/>
        <v>[https://link.springer.com/chapter/10.1007/3-540-47849-3_18 BOM (Backward Oracle Matching) (1999)]</v>
      </c>
      <c r="N498" s="39" t="s">
        <v>3800</v>
      </c>
      <c r="O498" s="83">
        <v>1999.0</v>
      </c>
      <c r="P498" s="25" t="s">
        <v>3801</v>
      </c>
      <c r="Q498" s="82"/>
      <c r="R498" s="82"/>
      <c r="S498" s="82"/>
      <c r="T498" s="16">
        <v>0.0</v>
      </c>
      <c r="U498" s="16">
        <v>0.0</v>
      </c>
      <c r="V498" s="89">
        <f>IFERROR(__xludf.DUMMYFUNCTION("INDEX(SPLIT(SUBSTITUTE(W498,CHAR(10), """"),"",:""), MATCH(Z498, SPLIT(SUBSTITUTE(W498,CHAR(10), """"),"",:""), 0) + 1)"),5.0)</f>
        <v>5</v>
      </c>
      <c r="W498" s="85" t="s">
        <v>2012</v>
      </c>
      <c r="X498" s="21" t="s">
        <v>3799</v>
      </c>
      <c r="Y498" s="53" t="s">
        <v>3756</v>
      </c>
      <c r="Z498" s="53" t="str">
        <f t="array" ref="Z498">INDEX(Problems!J:J, MATCH(1, (Problems!B:B=B498)*1, 0))</f>
        <v>m+n</v>
      </c>
      <c r="AA498" s="53"/>
      <c r="AB498" s="53"/>
      <c r="AC498" s="53" t="s">
        <v>1813</v>
      </c>
      <c r="AD498" s="53" t="s">
        <v>1814</v>
      </c>
      <c r="AE498" s="85">
        <f>IFERROR(__xludf.DUMMYFUNCTION("INDEX(SPLIT(SUBSTITUTE(AF498,CHAR(10), """"),"",:""), MATCH(Z498, SPLIT(SUBSTITUTE(AF498,CHAR(10), """"),"",:""), 0) + 1)"),3.0)</f>
        <v>3</v>
      </c>
      <c r="AF498" s="85" t="s">
        <v>3759</v>
      </c>
      <c r="AG498" s="53" t="s">
        <v>2656</v>
      </c>
      <c r="AH498" s="91" t="s">
        <v>3802</v>
      </c>
      <c r="AI498" s="84">
        <v>0.0</v>
      </c>
      <c r="AJ498" s="84">
        <v>1.0</v>
      </c>
      <c r="AK498" s="87"/>
      <c r="AL498" s="81">
        <v>0.0</v>
      </c>
      <c r="AM498" s="21"/>
      <c r="AN498" s="16">
        <v>0.0</v>
      </c>
      <c r="AO498" s="90"/>
      <c r="AP498" s="16">
        <v>0.0</v>
      </c>
      <c r="AQ498" s="16">
        <v>0.0</v>
      </c>
      <c r="AR498" s="39"/>
      <c r="AS498" s="81">
        <v>0.0</v>
      </c>
      <c r="AT498" s="81">
        <v>0.0</v>
      </c>
      <c r="AU498" s="25" t="s">
        <v>3803</v>
      </c>
      <c r="AV498" s="7" t="s">
        <v>2249</v>
      </c>
      <c r="AW498" s="82"/>
      <c r="AX498" s="82"/>
      <c r="AY498" s="7" t="s">
        <v>2250</v>
      </c>
      <c r="AZ498" s="82"/>
      <c r="BA498" s="82"/>
      <c r="BB498" s="82"/>
      <c r="BC498" s="82"/>
      <c r="BD498" s="82"/>
      <c r="BE498" s="82"/>
      <c r="BF498" s="82"/>
      <c r="BG498" s="82"/>
      <c r="BH498" s="82"/>
      <c r="BI498" s="82"/>
      <c r="BJ498" s="82"/>
      <c r="BK498" s="82"/>
      <c r="BL498" s="82"/>
      <c r="BM498" s="82"/>
      <c r="BN498" s="7"/>
      <c r="BO498" s="7">
        <v>4.0</v>
      </c>
      <c r="BP498" s="82"/>
      <c r="BQ498" s="7"/>
      <c r="BR498" s="7" t="s">
        <v>23</v>
      </c>
    </row>
    <row r="499">
      <c r="A499" s="16">
        <v>22.0</v>
      </c>
      <c r="B499" s="16" t="s">
        <v>412</v>
      </c>
      <c r="C499" s="53">
        <v>2.0</v>
      </c>
      <c r="D499" s="53" t="s">
        <v>413</v>
      </c>
      <c r="E499" s="7">
        <v>249.0</v>
      </c>
      <c r="F499" s="53" t="s">
        <v>3804</v>
      </c>
      <c r="G499" s="7"/>
      <c r="H499" s="16">
        <v>1.0</v>
      </c>
      <c r="I499" s="16">
        <v>1.0</v>
      </c>
      <c r="J499" s="21" t="s">
        <v>3805</v>
      </c>
      <c r="K499" s="53"/>
      <c r="L499" s="53"/>
      <c r="M499" s="39" t="str">
        <f t="shared" si="1"/>
        <v>[https://docs.lib.purdue.edu/cgi/viewcontent.cgi?article=1456&amp;context=cstech&amp;sei-redir=1 Apostolico–Giancarlo Algorithm (1986)]</v>
      </c>
      <c r="N499" s="16" t="s">
        <v>3806</v>
      </c>
      <c r="O499" s="81">
        <v>1986.0</v>
      </c>
      <c r="P499" s="28" t="s">
        <v>3807</v>
      </c>
      <c r="Q499" s="82"/>
      <c r="R499" s="82"/>
      <c r="S499" s="82"/>
      <c r="T499" s="16">
        <v>0.0</v>
      </c>
      <c r="U499" s="16">
        <v>0.0</v>
      </c>
      <c r="V499" s="89">
        <f>IFERROR(__xludf.DUMMYFUNCTION("INDEX(SPLIT(SUBSTITUTE(W499,CHAR(10), """"),"",:""), MATCH(Z499, SPLIT(SUBSTITUTE(W499,CHAR(10), """"),"",:""), 0) + 1)"),3.0)</f>
        <v>3</v>
      </c>
      <c r="W499" s="85" t="s">
        <v>3768</v>
      </c>
      <c r="X499" s="21" t="s">
        <v>3805</v>
      </c>
      <c r="Y499" s="53" t="s">
        <v>3756</v>
      </c>
      <c r="Z499" s="53" t="str">
        <f t="array" ref="Z499">INDEX(Problems!J:J, MATCH(1, (Problems!B:B=B499)*1, 0))</f>
        <v>m+n</v>
      </c>
      <c r="AA499" s="53"/>
      <c r="AB499" s="53"/>
      <c r="AC499" s="53" t="s">
        <v>1813</v>
      </c>
      <c r="AD499" s="53" t="s">
        <v>1814</v>
      </c>
      <c r="AE499" s="85">
        <f>IFERROR(__xludf.DUMMYFUNCTION("INDEX(SPLIT(SUBSTITUTE(AF499,CHAR(10), """"),"",:""), MATCH(Z499, SPLIT(SUBSTITUTE(AF499,CHAR(10), """"),"",:""), 0) + 1)"),3.0)</f>
        <v>3</v>
      </c>
      <c r="AF499" s="85" t="s">
        <v>3759</v>
      </c>
      <c r="AG499" s="53" t="s">
        <v>2656</v>
      </c>
      <c r="AH499" s="91" t="s">
        <v>3807</v>
      </c>
      <c r="AI499" s="84">
        <v>0.0</v>
      </c>
      <c r="AJ499" s="84">
        <v>1.0</v>
      </c>
      <c r="AK499" s="87"/>
      <c r="AL499" s="81">
        <v>0.0</v>
      </c>
      <c r="AM499" s="21"/>
      <c r="AN499" s="16">
        <v>0.0</v>
      </c>
      <c r="AO499" s="90"/>
      <c r="AP499" s="16">
        <v>0.0</v>
      </c>
      <c r="AQ499" s="16">
        <v>0.0</v>
      </c>
      <c r="AR499" s="39"/>
      <c r="AS499" s="81">
        <v>0.0</v>
      </c>
      <c r="AT499" s="81">
        <v>0.0</v>
      </c>
      <c r="AU499" s="25" t="s">
        <v>3808</v>
      </c>
      <c r="AV499" s="7" t="s">
        <v>2249</v>
      </c>
      <c r="AW499" s="82"/>
      <c r="AX499" s="82"/>
      <c r="AY499" s="7" t="s">
        <v>2250</v>
      </c>
      <c r="AZ499" s="82"/>
      <c r="BA499" s="82"/>
      <c r="BB499" s="82"/>
      <c r="BC499" s="82"/>
      <c r="BD499" s="82"/>
      <c r="BE499" s="82"/>
      <c r="BF499" s="82"/>
      <c r="BG499" s="82"/>
      <c r="BH499" s="82"/>
      <c r="BI499" s="82"/>
      <c r="BJ499" s="82"/>
      <c r="BK499" s="82"/>
      <c r="BL499" s="82"/>
      <c r="BM499" s="82"/>
      <c r="BN499" s="7"/>
      <c r="BO499" s="7">
        <v>4.0</v>
      </c>
      <c r="BP499" s="82"/>
      <c r="BQ499" s="7"/>
      <c r="BR499" s="7" t="s">
        <v>23</v>
      </c>
    </row>
    <row r="500">
      <c r="A500" s="16">
        <v>23.0</v>
      </c>
      <c r="B500" s="16" t="s">
        <v>424</v>
      </c>
      <c r="C500" s="53">
        <v>1.0</v>
      </c>
      <c r="D500" s="53" t="s">
        <v>434</v>
      </c>
      <c r="E500" s="7">
        <v>258.0</v>
      </c>
      <c r="F500" s="53"/>
      <c r="G500" s="7"/>
      <c r="H500" s="16">
        <v>1.0</v>
      </c>
      <c r="I500" s="16">
        <v>1.0</v>
      </c>
      <c r="J500" s="39" t="s">
        <v>399</v>
      </c>
      <c r="K500" s="53"/>
      <c r="L500" s="53"/>
      <c r="M500" s="39" t="str">
        <f t="shared" si="1"/>
        <v>[https://www.ncbi.nlm.nih.gov/pubmed/9254694 Gapped BLAST (1997)]</v>
      </c>
      <c r="N500" s="39" t="s">
        <v>3809</v>
      </c>
      <c r="O500" s="81">
        <v>1997.0</v>
      </c>
      <c r="P500" s="28" t="s">
        <v>3810</v>
      </c>
      <c r="Q500" s="82"/>
      <c r="R500" s="82"/>
      <c r="S500" s="82"/>
      <c r="T500" s="81">
        <v>0.0</v>
      </c>
      <c r="U500" s="16">
        <v>0.0</v>
      </c>
      <c r="V500" s="89">
        <f>IFERROR(__xludf.DUMMYFUNCTION("INDEX(SPLIT(SUBSTITUTE(W500,CHAR(10), """"),"",:""), MATCH(Z500, SPLIT(SUBSTITUTE(W500,CHAR(10), """"),"",:""), 0) + 1)"),5.0)</f>
        <v>5</v>
      </c>
      <c r="W500" s="85" t="s">
        <v>2012</v>
      </c>
      <c r="X500" s="39" t="s">
        <v>399</v>
      </c>
      <c r="Y500" s="120" t="s">
        <v>2275</v>
      </c>
      <c r="Z500" s="53" t="str">
        <f t="array" ref="Z500">INDEX(Problems!J:J, MATCH(1, (Problems!B:B=B500)*1, 0))</f>
        <v>m+n</v>
      </c>
      <c r="AA500" s="120"/>
      <c r="AB500" s="120"/>
      <c r="AC500" s="120" t="s">
        <v>1813</v>
      </c>
      <c r="AD500" s="120" t="s">
        <v>1814</v>
      </c>
      <c r="AE500" s="85">
        <f>IFERROR(__xludf.DUMMYFUNCTION("INDEX(SPLIT(SUBSTITUTE(AF500,CHAR(10), """"),"",:""), MATCH(Z500, SPLIT(SUBSTITUTE(AF500,CHAR(10), """"),"",:""), 0) + 1)"),5.0)</f>
        <v>5</v>
      </c>
      <c r="AF500" s="85" t="s">
        <v>3811</v>
      </c>
      <c r="AG500" s="53" t="s">
        <v>3296</v>
      </c>
      <c r="AH500" s="53" t="s">
        <v>3812</v>
      </c>
      <c r="AI500" s="151">
        <v>1.0</v>
      </c>
      <c r="AJ500" s="84">
        <v>0.0</v>
      </c>
      <c r="AK500" s="87"/>
      <c r="AL500" s="81">
        <v>0.0</v>
      </c>
      <c r="AM500" s="21"/>
      <c r="AN500" s="16">
        <v>0.0</v>
      </c>
      <c r="AO500" s="90"/>
      <c r="AP500" s="16">
        <v>0.0</v>
      </c>
      <c r="AQ500" s="16">
        <v>0.0</v>
      </c>
      <c r="AR500" s="39"/>
      <c r="AS500" s="81">
        <v>0.0</v>
      </c>
      <c r="AT500" s="81">
        <v>0.0</v>
      </c>
      <c r="AU500" s="39"/>
      <c r="AV500" s="7" t="s">
        <v>2277</v>
      </c>
      <c r="AW500" s="82"/>
      <c r="AX500" s="82"/>
      <c r="AY500" s="7" t="s">
        <v>2278</v>
      </c>
      <c r="AZ500" s="7"/>
      <c r="BA500" s="7"/>
      <c r="BB500" s="7"/>
      <c r="BC500" s="7"/>
      <c r="BD500" s="7"/>
      <c r="BE500" s="7"/>
      <c r="BF500" s="7">
        <v>250000.0</v>
      </c>
      <c r="BG500" s="82">
        <f t="shared" ref="BG500:BG504" si="49">250000/BF500</f>
        <v>1</v>
      </c>
      <c r="BH500" s="82"/>
      <c r="BI500" s="82"/>
      <c r="BJ500" s="82"/>
      <c r="BK500" s="82"/>
      <c r="BL500" s="82"/>
      <c r="BM500" s="82"/>
      <c r="BN500" s="7"/>
      <c r="BO500" s="7">
        <v>4.0</v>
      </c>
      <c r="BP500" s="82"/>
      <c r="BQ500" s="7"/>
      <c r="BR500" s="7" t="s">
        <v>433</v>
      </c>
    </row>
    <row r="501">
      <c r="A501" s="16">
        <v>23.0</v>
      </c>
      <c r="B501" s="16" t="s">
        <v>424</v>
      </c>
      <c r="C501" s="53">
        <v>1.0</v>
      </c>
      <c r="D501" s="53" t="s">
        <v>434</v>
      </c>
      <c r="E501" s="7">
        <v>259.0</v>
      </c>
      <c r="F501" s="53"/>
      <c r="G501" s="7"/>
      <c r="H501" s="16">
        <v>1.0</v>
      </c>
      <c r="I501" s="16">
        <v>1.0</v>
      </c>
      <c r="J501" s="39" t="s">
        <v>399</v>
      </c>
      <c r="K501" s="53"/>
      <c r="L501" s="53"/>
      <c r="M501" s="39" t="str">
        <f t="shared" si="1"/>
        <v>[https://www.ncbi.nlm.nih.gov/pubmed/2231712 Basic Local Alignment Search Tool (BLAST) (1990)]</v>
      </c>
      <c r="N501" s="16" t="s">
        <v>3813</v>
      </c>
      <c r="O501" s="81">
        <v>1990.0</v>
      </c>
      <c r="P501" s="28" t="s">
        <v>3814</v>
      </c>
      <c r="Q501" s="82"/>
      <c r="R501" s="82"/>
      <c r="S501" s="82"/>
      <c r="T501" s="81">
        <v>0.0</v>
      </c>
      <c r="U501" s="16">
        <v>0.0</v>
      </c>
      <c r="V501" s="89">
        <f>IFERROR(__xludf.DUMMYFUNCTION("INDEX(SPLIT(SUBSTITUTE(W501,CHAR(10), """"),"",:""), MATCH(Z501, SPLIT(SUBSTITUTE(W501,CHAR(10), """"),"",:""), 0) + 1)"),5.0)</f>
        <v>5</v>
      </c>
      <c r="W501" s="85" t="s">
        <v>2012</v>
      </c>
      <c r="X501" s="39" t="s">
        <v>399</v>
      </c>
      <c r="Y501" s="120" t="s">
        <v>2275</v>
      </c>
      <c r="Z501" s="53" t="str">
        <f t="array" ref="Z501">INDEX(Problems!J:J, MATCH(1, (Problems!B:B=B501)*1, 0))</f>
        <v>m+n</v>
      </c>
      <c r="AA501" s="120"/>
      <c r="AB501" s="120"/>
      <c r="AC501" s="120" t="s">
        <v>1813</v>
      </c>
      <c r="AD501" s="120" t="s">
        <v>1814</v>
      </c>
      <c r="AE501" s="85">
        <f>IFERROR(__xludf.DUMMYFUNCTION("INDEX(SPLIT(SUBSTITUTE(AF501,CHAR(10), """"),"",:""), MATCH(Z501, SPLIT(SUBSTITUTE(AF501,CHAR(10), """"),"",:""), 0) + 1)"),5.0)</f>
        <v>5</v>
      </c>
      <c r="AF501" s="85" t="s">
        <v>3811</v>
      </c>
      <c r="AG501" s="53" t="s">
        <v>3296</v>
      </c>
      <c r="AH501" s="53" t="s">
        <v>3812</v>
      </c>
      <c r="AI501" s="151">
        <v>1.0</v>
      </c>
      <c r="AJ501" s="84">
        <v>0.0</v>
      </c>
      <c r="AK501" s="87"/>
      <c r="AL501" s="81">
        <v>0.0</v>
      </c>
      <c r="AM501" s="21"/>
      <c r="AN501" s="16">
        <v>0.0</v>
      </c>
      <c r="AO501" s="90"/>
      <c r="AP501" s="16">
        <v>0.0</v>
      </c>
      <c r="AQ501" s="16">
        <v>0.0</v>
      </c>
      <c r="AR501" s="39"/>
      <c r="AS501" s="81">
        <v>0.0</v>
      </c>
      <c r="AT501" s="81">
        <v>0.0</v>
      </c>
      <c r="AU501" s="39"/>
      <c r="AV501" s="7" t="s">
        <v>2277</v>
      </c>
      <c r="AW501" s="82"/>
      <c r="AX501" s="82"/>
      <c r="AY501" s="7" t="s">
        <v>2278</v>
      </c>
      <c r="AZ501" s="7"/>
      <c r="BA501" s="7"/>
      <c r="BB501" s="7"/>
      <c r="BC501" s="7"/>
      <c r="BD501" s="7"/>
      <c r="BE501" s="7"/>
      <c r="BF501" s="7">
        <v>250000.0</v>
      </c>
      <c r="BG501" s="82">
        <f t="shared" si="49"/>
        <v>1</v>
      </c>
      <c r="BH501" s="82"/>
      <c r="BI501" s="82"/>
      <c r="BJ501" s="82"/>
      <c r="BK501" s="82"/>
      <c r="BL501" s="82"/>
      <c r="BM501" s="82"/>
      <c r="BN501" s="7"/>
      <c r="BO501" s="7">
        <v>4.0</v>
      </c>
      <c r="BP501" s="82"/>
      <c r="BQ501" s="7"/>
      <c r="BR501" s="7" t="s">
        <v>433</v>
      </c>
    </row>
    <row r="502">
      <c r="A502" s="16">
        <v>24.0</v>
      </c>
      <c r="B502" s="16" t="s">
        <v>436</v>
      </c>
      <c r="C502" s="53">
        <v>1.0</v>
      </c>
      <c r="D502" s="53"/>
      <c r="E502" s="7">
        <v>262.0</v>
      </c>
      <c r="F502" s="53"/>
      <c r="G502" s="7"/>
      <c r="H502" s="16">
        <v>1.0</v>
      </c>
      <c r="I502" s="16">
        <v>1.0</v>
      </c>
      <c r="J502" s="39" t="s">
        <v>1873</v>
      </c>
      <c r="K502" s="53"/>
      <c r="L502" s="53"/>
      <c r="M502" s="39" t="str">
        <f t="shared" si="1"/>
        <v>[- Nested loop join (1960)]</v>
      </c>
      <c r="N502" s="39" t="s">
        <v>3815</v>
      </c>
      <c r="O502" s="81">
        <v>1960.0</v>
      </c>
      <c r="P502" s="39" t="s">
        <v>1937</v>
      </c>
      <c r="Q502" s="7">
        <v>1.0</v>
      </c>
      <c r="R502" s="7">
        <v>1.0</v>
      </c>
      <c r="S502" s="114" t="s">
        <v>3816</v>
      </c>
      <c r="T502" s="16">
        <v>1.0</v>
      </c>
      <c r="U502" s="16">
        <v>0.0</v>
      </c>
      <c r="V502" s="89">
        <f>IFERROR(__xludf.DUMMYFUNCTION("INDEX(SPLIT(SUBSTITUTE(W502,CHAR(10), """"),"",:""), MATCH(Z502, SPLIT(SUBSTITUTE(W502,CHAR(10), """"),"",:""), 0) + 1)"),5.0)</f>
        <v>5</v>
      </c>
      <c r="W502" s="85" t="s">
        <v>2012</v>
      </c>
      <c r="X502" s="39" t="s">
        <v>1873</v>
      </c>
      <c r="Y502" s="53" t="s">
        <v>3817</v>
      </c>
      <c r="Z502" s="53" t="str">
        <f t="array" ref="Z502">INDEX(Problems!J:J, MATCH(1, (Problems!B:B=B502)*1, 0))</f>
        <v>m+n</v>
      </c>
      <c r="AA502" s="53"/>
      <c r="AB502" s="53"/>
      <c r="AC502" s="120" t="s">
        <v>1813</v>
      </c>
      <c r="AD502" s="53" t="s">
        <v>1814</v>
      </c>
      <c r="AE502" s="85">
        <f>IFERROR(__xludf.DUMMYFUNCTION("INDEX(SPLIT(SUBSTITUTE(AF502,CHAR(10), """"),"",:""), MATCH(Z502, SPLIT(SUBSTITUTE(AF502,CHAR(10), """"),"",:""), 0) + 1)"),1.0)</f>
        <v>1</v>
      </c>
      <c r="AF502" s="85" t="s">
        <v>3757</v>
      </c>
      <c r="AG502" s="53" t="s">
        <v>34</v>
      </c>
      <c r="AH502" s="53" t="s">
        <v>3818</v>
      </c>
      <c r="AI502" s="84">
        <v>1.0</v>
      </c>
      <c r="AJ502" s="84">
        <v>0.0</v>
      </c>
      <c r="AK502" s="87"/>
      <c r="AL502" s="81">
        <v>0.0</v>
      </c>
      <c r="AM502" s="21"/>
      <c r="AN502" s="16">
        <v>0.0</v>
      </c>
      <c r="AO502" s="90"/>
      <c r="AP502" s="16">
        <v>0.0</v>
      </c>
      <c r="AQ502" s="16">
        <v>0.0</v>
      </c>
      <c r="AR502" s="39"/>
      <c r="AS502" s="81">
        <v>0.0</v>
      </c>
      <c r="AT502" s="81">
        <v>0.0</v>
      </c>
      <c r="AU502" s="28" t="s">
        <v>3816</v>
      </c>
      <c r="AV502" s="7" t="s">
        <v>3819</v>
      </c>
      <c r="AW502" s="82"/>
      <c r="AX502" s="82"/>
      <c r="AY502" s="7" t="s">
        <v>2278</v>
      </c>
      <c r="AZ502" s="7"/>
      <c r="BA502" s="7"/>
      <c r="BB502" s="7"/>
      <c r="BC502" s="7"/>
      <c r="BD502" s="7"/>
      <c r="BE502" s="7"/>
      <c r="BF502" s="7">
        <f>POW(500,2)</f>
        <v>250000</v>
      </c>
      <c r="BG502" s="82">
        <f t="shared" si="49"/>
        <v>1</v>
      </c>
      <c r="BH502" s="82"/>
      <c r="BI502" s="7">
        <f>POW(500000,2)</f>
        <v>250000000000</v>
      </c>
      <c r="BJ502" s="7">
        <v>1.0</v>
      </c>
      <c r="BK502" s="82"/>
      <c r="BL502" s="7">
        <f>POW(500000000,2)</f>
        <v>2.5E+17</v>
      </c>
      <c r="BM502" s="7">
        <v>1.0</v>
      </c>
      <c r="BN502" s="7"/>
      <c r="BO502" s="7">
        <v>4.0</v>
      </c>
      <c r="BP502" s="82"/>
      <c r="BQ502" s="7"/>
      <c r="BR502" s="7" t="s">
        <v>440</v>
      </c>
    </row>
    <row r="503">
      <c r="A503" s="16">
        <v>24.0</v>
      </c>
      <c r="B503" s="16" t="s">
        <v>436</v>
      </c>
      <c r="C503" s="53">
        <v>1.0</v>
      </c>
      <c r="D503" s="53"/>
      <c r="E503" s="7">
        <v>263.0</v>
      </c>
      <c r="F503" s="53"/>
      <c r="G503" s="7"/>
      <c r="H503" s="16">
        <v>1.0</v>
      </c>
      <c r="I503" s="16">
        <v>1.0</v>
      </c>
      <c r="J503" s="39" t="s">
        <v>3820</v>
      </c>
      <c r="K503" s="53"/>
      <c r="L503" s="53"/>
      <c r="M503" s="39" t="str">
        <f t="shared" si="1"/>
        <v>[- Sort merge join (1960)]</v>
      </c>
      <c r="N503" s="39" t="s">
        <v>3821</v>
      </c>
      <c r="O503" s="81">
        <v>1960.0</v>
      </c>
      <c r="P503" s="39" t="s">
        <v>1937</v>
      </c>
      <c r="Q503" s="82"/>
      <c r="R503" s="82"/>
      <c r="S503" s="82"/>
      <c r="T503" s="16">
        <v>1.0</v>
      </c>
      <c r="U503" s="16" t="s">
        <v>1952</v>
      </c>
      <c r="V503" s="89">
        <f>IFERROR(__xludf.DUMMYFUNCTION("INDEX(SPLIT(SUBSTITUTE(W503,CHAR(10), """"),"",:""), MATCH(Z503, SPLIT(SUBSTITUTE(W503,CHAR(10), """"),"",:""), 0) + 1)"),4.0)</f>
        <v>4</v>
      </c>
      <c r="W503" s="85" t="s">
        <v>3822</v>
      </c>
      <c r="X503" s="39" t="s">
        <v>3820</v>
      </c>
      <c r="Y503" s="53" t="s">
        <v>3817</v>
      </c>
      <c r="Z503" s="53" t="str">
        <f t="array" ref="Z503">INDEX(Problems!J:J, MATCH(1, (Problems!B:B=B503)*1, 0))</f>
        <v>m+n</v>
      </c>
      <c r="AA503" s="53"/>
      <c r="AB503" s="53"/>
      <c r="AC503" s="120" t="s">
        <v>1813</v>
      </c>
      <c r="AD503" s="53" t="s">
        <v>1814</v>
      </c>
      <c r="AE503" s="85">
        <f>IFERROR(__xludf.DUMMYFUNCTION("INDEX(SPLIT(SUBSTITUTE(AF503,CHAR(10), """"),"",:""), MATCH(Z503, SPLIT(SUBSTITUTE(AF503,CHAR(10), """"),"",:""), 0) + 1)"),3.0)</f>
        <v>3</v>
      </c>
      <c r="AF503" s="85" t="s">
        <v>3755</v>
      </c>
      <c r="AG503" s="53" t="s">
        <v>3823</v>
      </c>
      <c r="AH503" s="53" t="s">
        <v>3824</v>
      </c>
      <c r="AI503" s="84">
        <v>1.0</v>
      </c>
      <c r="AJ503" s="84">
        <v>0.0</v>
      </c>
      <c r="AK503" s="87"/>
      <c r="AL503" s="81">
        <v>0.0</v>
      </c>
      <c r="AM503" s="21"/>
      <c r="AN503" s="16">
        <v>0.0</v>
      </c>
      <c r="AO503" s="90"/>
      <c r="AP503" s="16">
        <v>0.0</v>
      </c>
      <c r="AQ503" s="16">
        <v>0.0</v>
      </c>
      <c r="AR503" s="39"/>
      <c r="AS503" s="81">
        <v>0.0</v>
      </c>
      <c r="AT503" s="81">
        <v>0.0</v>
      </c>
      <c r="AU503" s="28" t="s">
        <v>3825</v>
      </c>
      <c r="AV503" s="7" t="s">
        <v>3819</v>
      </c>
      <c r="AW503" s="82"/>
      <c r="AX503" s="82"/>
      <c r="AY503" s="7" t="s">
        <v>2278</v>
      </c>
      <c r="AZ503" s="7"/>
      <c r="BA503" s="7"/>
      <c r="BB503" s="7"/>
      <c r="BC503" s="7"/>
      <c r="BD503" s="7"/>
      <c r="BE503" s="7"/>
      <c r="BF503" s="7">
        <v>8960.0</v>
      </c>
      <c r="BG503" s="82">
        <f t="shared" si="49"/>
        <v>27.90178571</v>
      </c>
      <c r="BH503" s="82">
        <f t="shared" ref="BH503:BH504" si="50">POW(BG503, 1)-1</f>
        <v>26.90178571</v>
      </c>
      <c r="BI503" s="82">
        <f>500000*LOG(500000,2)*2</f>
        <v>18931568.57</v>
      </c>
      <c r="BJ503" s="82">
        <f>BI502/BI503</f>
        <v>13205.45622</v>
      </c>
      <c r="BK503" s="82">
        <f t="shared" ref="BK503:BK504" si="51">POW(BJ503, 1)-1</f>
        <v>13204.45622</v>
      </c>
      <c r="BL503" s="82">
        <f>500000000*LOG(500000000,2)*2</f>
        <v>28897352854</v>
      </c>
      <c r="BM503" s="82">
        <f>BL502/BL503</f>
        <v>8651311.463</v>
      </c>
      <c r="BN503" s="82">
        <f t="shared" ref="BN503:BN504" si="52">POW(BM503, 1)-1</f>
        <v>8651310.463</v>
      </c>
      <c r="BO503" s="7">
        <v>4.0</v>
      </c>
      <c r="BP503" s="82"/>
      <c r="BQ503" s="7"/>
      <c r="BR503" s="7" t="s">
        <v>440</v>
      </c>
    </row>
    <row r="504">
      <c r="A504" s="16">
        <v>24.0</v>
      </c>
      <c r="B504" s="16" t="s">
        <v>436</v>
      </c>
      <c r="C504" s="53">
        <v>1.0</v>
      </c>
      <c r="D504" s="53"/>
      <c r="E504" s="7">
        <v>264.0</v>
      </c>
      <c r="F504" s="53"/>
      <c r="G504" s="7"/>
      <c r="H504" s="16">
        <v>1.0</v>
      </c>
      <c r="I504" s="16">
        <v>1.0</v>
      </c>
      <c r="J504" s="39" t="s">
        <v>1095</v>
      </c>
      <c r="K504" s="53"/>
      <c r="L504" s="53"/>
      <c r="M504" s="39" t="str">
        <f t="shared" si="1"/>
        <v>[- Hash join (1960)]</v>
      </c>
      <c r="N504" s="39" t="s">
        <v>3826</v>
      </c>
      <c r="O504" s="81">
        <v>1960.0</v>
      </c>
      <c r="P504" s="39" t="s">
        <v>1937</v>
      </c>
      <c r="Q504" s="7">
        <v>2.0</v>
      </c>
      <c r="R504" s="7">
        <v>1.0</v>
      </c>
      <c r="S504" s="7" t="s">
        <v>3827</v>
      </c>
      <c r="T504" s="16">
        <v>1.0</v>
      </c>
      <c r="U504" s="16" t="s">
        <v>1818</v>
      </c>
      <c r="V504" s="89">
        <f>IFERROR(__xludf.DUMMYFUNCTION("INDEX(SPLIT(SUBSTITUTE(W504,CHAR(10), """"),"",:""), MATCH(Z504, SPLIT(SUBSTITUTE(W504,CHAR(10), """"),"",:""), 0) + 1)"),3.0)</f>
        <v>3</v>
      </c>
      <c r="W504" s="85" t="s">
        <v>3755</v>
      </c>
      <c r="X504" s="39" t="s">
        <v>1095</v>
      </c>
      <c r="Y504" s="53" t="s">
        <v>3817</v>
      </c>
      <c r="Z504" s="53" t="str">
        <f t="array" ref="Z504">INDEX(Problems!J:J, MATCH(1, (Problems!B:B=B504)*1, 0))</f>
        <v>m+n</v>
      </c>
      <c r="AA504" s="53"/>
      <c r="AB504" s="53"/>
      <c r="AC504" s="120" t="s">
        <v>1813</v>
      </c>
      <c r="AD504" s="53" t="s">
        <v>1814</v>
      </c>
      <c r="AE504" s="85">
        <f>IFERROR(__xludf.DUMMYFUNCTION("INDEX(SPLIT(SUBSTITUTE(AF504,CHAR(10), """"),"",:""), MATCH(Z504, SPLIT(SUBSTITUTE(AF504,CHAR(10), """"),"",:""), 0) + 1)"),3.0)</f>
        <v>3</v>
      </c>
      <c r="AF504" s="85" t="s">
        <v>3755</v>
      </c>
      <c r="AG504" s="53" t="s">
        <v>3823</v>
      </c>
      <c r="AH504" s="53" t="s">
        <v>3828</v>
      </c>
      <c r="AI504" s="84">
        <v>1.0</v>
      </c>
      <c r="AJ504" s="84">
        <v>0.0</v>
      </c>
      <c r="AK504" s="87"/>
      <c r="AL504" s="81">
        <v>0.0</v>
      </c>
      <c r="AM504" s="21"/>
      <c r="AN504" s="16">
        <v>0.0</v>
      </c>
      <c r="AO504" s="90"/>
      <c r="AP504" s="16">
        <v>0.0</v>
      </c>
      <c r="AQ504" s="16">
        <v>0.0</v>
      </c>
      <c r="AR504" s="39"/>
      <c r="AS504" s="81">
        <v>0.0</v>
      </c>
      <c r="AT504" s="81">
        <v>0.0</v>
      </c>
      <c r="AU504" s="28" t="s">
        <v>3829</v>
      </c>
      <c r="AV504" s="7" t="s">
        <v>3819</v>
      </c>
      <c r="AW504" s="82"/>
      <c r="AX504" s="82"/>
      <c r="AY504" s="7" t="s">
        <v>2278</v>
      </c>
      <c r="AZ504" s="7"/>
      <c r="BA504" s="7"/>
      <c r="BB504" s="7"/>
      <c r="BC504" s="7"/>
      <c r="BD504" s="7"/>
      <c r="BE504" s="7"/>
      <c r="BF504" s="7">
        <v>1000.0</v>
      </c>
      <c r="BG504" s="82">
        <f t="shared" si="49"/>
        <v>250</v>
      </c>
      <c r="BH504" s="82">
        <f t="shared" si="50"/>
        <v>249</v>
      </c>
      <c r="BI504" s="7">
        <v>1000000.0</v>
      </c>
      <c r="BJ504" s="82">
        <f>BI502/BI504</f>
        <v>250000</v>
      </c>
      <c r="BK504" s="82">
        <f t="shared" si="51"/>
        <v>249999</v>
      </c>
      <c r="BL504" s="7">
        <v>1.0E9</v>
      </c>
      <c r="BM504" s="82">
        <f>BL502/BL504</f>
        <v>250000000</v>
      </c>
      <c r="BN504" s="82">
        <f t="shared" si="52"/>
        <v>249999999</v>
      </c>
      <c r="BO504" s="7">
        <v>4.0</v>
      </c>
      <c r="BP504" s="82"/>
      <c r="BQ504" s="7"/>
      <c r="BR504" s="7" t="s">
        <v>440</v>
      </c>
    </row>
    <row r="505">
      <c r="A505" s="16">
        <v>28.0</v>
      </c>
      <c r="B505" s="16" t="s">
        <v>470</v>
      </c>
      <c r="C505" s="53">
        <v>1.0</v>
      </c>
      <c r="D505" s="53" t="s">
        <v>471</v>
      </c>
      <c r="E505" s="7">
        <v>284.0</v>
      </c>
      <c r="F505" s="53"/>
      <c r="G505" s="7"/>
      <c r="H505" s="16">
        <v>1.0</v>
      </c>
      <c r="I505" s="16">
        <v>1.0</v>
      </c>
      <c r="J505" s="39" t="s">
        <v>2825</v>
      </c>
      <c r="K505" s="53"/>
      <c r="L505" s="53"/>
      <c r="M505" s="39" t="str">
        <f t="shared" si="1"/>
        <v>[https://www.cambridge.org/core/journals/canadian-journal-of-mathematics/article/maximal-flow-through-a-network/5D6E55D3B06C4F7B1043BC1D82D40764 Ford–Fulkerson algorithm (1956)]</v>
      </c>
      <c r="N505" s="39" t="s">
        <v>3830</v>
      </c>
      <c r="O505" s="81">
        <v>1956.0</v>
      </c>
      <c r="P505" s="17" t="s">
        <v>3831</v>
      </c>
      <c r="Q505" s="82"/>
      <c r="R505" s="82"/>
      <c r="S505" s="82"/>
      <c r="T505" s="16">
        <v>1.0</v>
      </c>
      <c r="U505" s="16">
        <v>0.0</v>
      </c>
      <c r="V505" s="89">
        <f>IFERROR(__xludf.DUMMYFUNCTION("INDEX(SPLIT(SUBSTITUTE(W505,CHAR(10), """"),"",:""), MATCH(Z505, SPLIT(SUBSTITUTE(W505,CHAR(10), """"),"",:""), 0) + 1)"),6.0)</f>
        <v>6</v>
      </c>
      <c r="W505" s="85" t="s">
        <v>2754</v>
      </c>
      <c r="X505" s="39" t="s">
        <v>2825</v>
      </c>
      <c r="Y505" s="53" t="s">
        <v>2542</v>
      </c>
      <c r="Z505" s="53" t="str">
        <f t="array" ref="Z505">INDEX(Problems!J:J, MATCH(1, (Problems!B:B=B505)*1, 0))</f>
        <v>V</v>
      </c>
      <c r="AA505" s="53"/>
      <c r="AB505" s="53"/>
      <c r="AC505" s="53" t="s">
        <v>1813</v>
      </c>
      <c r="AD505" s="53" t="s">
        <v>1814</v>
      </c>
      <c r="AE505" s="85">
        <f>IFERROR(__xludf.DUMMYFUNCTION("INDEX(SPLIT(SUBSTITUTE(AF505,CHAR(10), """"),"",:""), MATCH(Z505, SPLIT(SUBSTITUTE(AF505,CHAR(10), """"),"",:""), 0) + 1)"),5.0)</f>
        <v>5</v>
      </c>
      <c r="AF505" s="85" t="s">
        <v>2022</v>
      </c>
      <c r="AG505" s="53" t="s">
        <v>92</v>
      </c>
      <c r="AH505" s="53" t="s">
        <v>3832</v>
      </c>
      <c r="AI505" s="84">
        <v>1.0</v>
      </c>
      <c r="AJ505" s="84">
        <v>0.0</v>
      </c>
      <c r="AK505" s="87"/>
      <c r="AL505" s="81">
        <v>0.0</v>
      </c>
      <c r="AM505" s="21"/>
      <c r="AN505" s="16">
        <v>0.0</v>
      </c>
      <c r="AO505" s="90"/>
      <c r="AP505" s="16">
        <v>0.0</v>
      </c>
      <c r="AQ505" s="81">
        <v>0.0</v>
      </c>
      <c r="AR505" s="39"/>
      <c r="AS505" s="81">
        <v>0.0</v>
      </c>
      <c r="AT505" s="81">
        <v>0.0</v>
      </c>
      <c r="AU505" s="39"/>
      <c r="AV505" s="7" t="s">
        <v>2536</v>
      </c>
      <c r="AW505" s="82"/>
      <c r="AX505" s="82"/>
      <c r="AY505" s="7" t="s">
        <v>3833</v>
      </c>
      <c r="AZ505" s="82">
        <f t="shared" ref="AZ505:AZ506" si="53">1000/2</f>
        <v>500</v>
      </c>
      <c r="BA505" s="82"/>
      <c r="BB505" s="82">
        <f t="shared" ref="BB505:BB506" si="54">1000000/2</f>
        <v>500000</v>
      </c>
      <c r="BC505" s="82"/>
      <c r="BD505" s="82">
        <f t="shared" ref="BD505:BD506" si="55">1000000000/2</f>
        <v>500000000</v>
      </c>
      <c r="BE505" s="82"/>
      <c r="BF505" s="82">
        <f>1000000/4</f>
        <v>250000</v>
      </c>
      <c r="BG505" s="7">
        <v>1.0</v>
      </c>
      <c r="BH505" s="82"/>
      <c r="BI505" s="82">
        <f>1000000000000/4</f>
        <v>250000000000</v>
      </c>
      <c r="BJ505" s="7">
        <v>1.0</v>
      </c>
      <c r="BK505" s="82"/>
      <c r="BL505" s="82">
        <f>1000000000000000000/4</f>
        <v>2.5E+17</v>
      </c>
      <c r="BM505" s="7">
        <v>1.0</v>
      </c>
      <c r="BN505" s="7"/>
      <c r="BO505" s="7">
        <v>4.0</v>
      </c>
      <c r="BP505" s="82"/>
      <c r="BQ505" s="114" t="s">
        <v>3834</v>
      </c>
      <c r="BR505" s="7" t="s">
        <v>23</v>
      </c>
    </row>
    <row r="506">
      <c r="A506" s="16">
        <v>28.0</v>
      </c>
      <c r="B506" s="16" t="s">
        <v>470</v>
      </c>
      <c r="C506" s="53">
        <v>1.0</v>
      </c>
      <c r="D506" s="53" t="s">
        <v>471</v>
      </c>
      <c r="E506" s="7">
        <v>285.0</v>
      </c>
      <c r="F506" s="53"/>
      <c r="G506" s="7"/>
      <c r="H506" s="16">
        <v>1.0</v>
      </c>
      <c r="I506" s="16">
        <v>1.0</v>
      </c>
      <c r="J506" s="21" t="s">
        <v>3835</v>
      </c>
      <c r="K506" s="53"/>
      <c r="L506" s="53"/>
      <c r="M506" s="39" t="str">
        <f t="shared" si="1"/>
        <v>[https://epubs.siam.org/doi/10.1137/0202019 Hopcroft–Karp algorithm (1973)]</v>
      </c>
      <c r="N506" s="39" t="s">
        <v>3836</v>
      </c>
      <c r="O506" s="81">
        <v>1973.0</v>
      </c>
      <c r="P506" s="25" t="s">
        <v>3837</v>
      </c>
      <c r="Q506" s="82"/>
      <c r="R506" s="82"/>
      <c r="S506" s="82"/>
      <c r="T506" s="16">
        <v>1.0</v>
      </c>
      <c r="U506" s="16">
        <v>0.0</v>
      </c>
      <c r="V506" s="89">
        <f>IFERROR(__xludf.DUMMYFUNCTION("INDEX(SPLIT(SUBSTITUTE(W506,CHAR(10), """"),"",:""), MATCH(Z506, SPLIT(SUBSTITUTE(W506,CHAR(10), """"),"",:""), 0) + 1)"),5.5)</f>
        <v>5.5</v>
      </c>
      <c r="W506" s="85" t="s">
        <v>2530</v>
      </c>
      <c r="X506" s="21" t="s">
        <v>3838</v>
      </c>
      <c r="Y506" s="53" t="s">
        <v>2542</v>
      </c>
      <c r="Z506" s="53" t="str">
        <f t="array" ref="Z506">INDEX(Problems!J:J, MATCH(1, (Problems!B:B=B506)*1, 0))</f>
        <v>V</v>
      </c>
      <c r="AA506" s="53"/>
      <c r="AB506" s="53"/>
      <c r="AC506" s="53" t="s">
        <v>1813</v>
      </c>
      <c r="AD506" s="53" t="s">
        <v>1814</v>
      </c>
      <c r="AE506" s="85">
        <f>IFERROR(__xludf.DUMMYFUNCTION("INDEX(SPLIT(SUBSTITUTE(AF506,CHAR(10), """"),"",:""), MATCH(Z506, SPLIT(SUBSTITUTE(AF506,CHAR(10), """"),"",:""), 0) + 1)"),3.0)</f>
        <v>3</v>
      </c>
      <c r="AF506" s="85" t="s">
        <v>2534</v>
      </c>
      <c r="AG506" s="53" t="s">
        <v>268</v>
      </c>
      <c r="AH506" s="53" t="s">
        <v>3839</v>
      </c>
      <c r="AI506" s="84">
        <v>1.0</v>
      </c>
      <c r="AJ506" s="84">
        <v>0.0</v>
      </c>
      <c r="AK506" s="87"/>
      <c r="AL506" s="81">
        <v>0.0</v>
      </c>
      <c r="AM506" s="21"/>
      <c r="AN506" s="16">
        <v>0.0</v>
      </c>
      <c r="AO506" s="90"/>
      <c r="AP506" s="16">
        <v>0.0</v>
      </c>
      <c r="AQ506" s="81">
        <v>0.0</v>
      </c>
      <c r="AR506" s="39"/>
      <c r="AS506" s="81">
        <v>0.0</v>
      </c>
      <c r="AT506" s="81">
        <v>0.0</v>
      </c>
      <c r="AU506" s="16" t="s">
        <v>3840</v>
      </c>
      <c r="AV506" s="7" t="s">
        <v>2536</v>
      </c>
      <c r="AW506" s="82"/>
      <c r="AX506" s="82"/>
      <c r="AY506" s="7"/>
      <c r="AZ506" s="82">
        <f t="shared" si="53"/>
        <v>500</v>
      </c>
      <c r="BA506" s="82"/>
      <c r="BB506" s="82">
        <f t="shared" si="54"/>
        <v>500000</v>
      </c>
      <c r="BC506" s="82"/>
      <c r="BD506" s="82">
        <f t="shared" si="55"/>
        <v>500000000</v>
      </c>
      <c r="BE506" s="82"/>
      <c r="BF506" s="82"/>
      <c r="BG506" s="82"/>
      <c r="BH506" s="82"/>
      <c r="BI506" s="82"/>
      <c r="BJ506" s="82"/>
      <c r="BK506" s="82"/>
      <c r="BL506" s="82"/>
      <c r="BM506" s="82"/>
      <c r="BN506" s="7"/>
      <c r="BO506" s="7">
        <v>4.0</v>
      </c>
      <c r="BP506" s="82"/>
      <c r="BQ506" s="7"/>
      <c r="BR506" s="7" t="s">
        <v>23</v>
      </c>
    </row>
    <row r="507">
      <c r="A507" s="16">
        <v>28.0</v>
      </c>
      <c r="B507" s="16" t="s">
        <v>470</v>
      </c>
      <c r="C507" s="53">
        <v>1.0</v>
      </c>
      <c r="D507" s="53" t="s">
        <v>471</v>
      </c>
      <c r="E507" s="7">
        <v>287.0</v>
      </c>
      <c r="F507" s="53"/>
      <c r="G507" s="7"/>
      <c r="H507" s="16">
        <v>1.0</v>
      </c>
      <c r="I507" s="16">
        <v>1.0</v>
      </c>
      <c r="J507" s="21" t="s">
        <v>3841</v>
      </c>
      <c r="K507" s="53"/>
      <c r="L507" s="53"/>
      <c r="M507" s="39" t="str">
        <f t="shared" si="1"/>
        <v>[https://link.springer.com/article/10.1007/s00453-005-1187-5 Mucha; Sankowski (planar) (2006)]</v>
      </c>
      <c r="N507" s="16" t="s">
        <v>3842</v>
      </c>
      <c r="O507" s="81">
        <v>2006.0</v>
      </c>
      <c r="P507" s="28" t="s">
        <v>3843</v>
      </c>
      <c r="Q507" s="82"/>
      <c r="R507" s="82"/>
      <c r="S507" s="82"/>
      <c r="T507" s="16">
        <v>1.0</v>
      </c>
      <c r="U507" s="16">
        <v>0.0</v>
      </c>
      <c r="V507" s="89">
        <f>IFERROR(__xludf.DUMMYFUNCTION("INDEX(SPLIT(SUBSTITUTE(W507,CHAR(10), """"),"",:""), MATCH(Z507, SPLIT(SUBSTITUTE(W507,CHAR(10), """"),"",:""), 0) + 1)"),4.1864298)</f>
        <v>4.1864298</v>
      </c>
      <c r="W507" s="85" t="s">
        <v>3844</v>
      </c>
      <c r="X507" s="21" t="s">
        <v>3845</v>
      </c>
      <c r="Y507" s="53" t="s">
        <v>2542</v>
      </c>
      <c r="Z507" s="53" t="str">
        <f t="array" ref="Z507">INDEX(Problems!J:J, MATCH(1, (Problems!B:B=B507)*1, 0))</f>
        <v>V</v>
      </c>
      <c r="AA507" s="53"/>
      <c r="AB507" s="53"/>
      <c r="AC507" s="53" t="s">
        <v>1813</v>
      </c>
      <c r="AD507" s="53" t="s">
        <v>1814</v>
      </c>
      <c r="AE507" s="85">
        <f>IFERROR(__xludf.DUMMYFUNCTION("INDEX(SPLIT(SUBSTITUTE(AF507,CHAR(10), """"),"",:""), MATCH(Z507, SPLIT(SUBSTITUTE(AF507,CHAR(10), """"),"",:""), 0) + 1)"),4.0)</f>
        <v>4</v>
      </c>
      <c r="AF507" s="85" t="s">
        <v>3846</v>
      </c>
      <c r="AG507" s="53" t="s">
        <v>3847</v>
      </c>
      <c r="AH507" s="53" t="s">
        <v>3848</v>
      </c>
      <c r="AI507" s="84">
        <v>0.0</v>
      </c>
      <c r="AJ507" s="84">
        <v>1.0</v>
      </c>
      <c r="AK507" s="84"/>
      <c r="AL507" s="84">
        <v>1.0</v>
      </c>
      <c r="AM507" s="21" t="s">
        <v>1907</v>
      </c>
      <c r="AN507" s="16">
        <v>0.0</v>
      </c>
      <c r="AO507" s="90"/>
      <c r="AP507" s="16">
        <v>0.0</v>
      </c>
      <c r="AQ507" s="81">
        <v>0.0</v>
      </c>
      <c r="AR507" s="39"/>
      <c r="AS507" s="81">
        <v>0.0</v>
      </c>
      <c r="AT507" s="81">
        <v>0.0</v>
      </c>
      <c r="AU507" s="39"/>
      <c r="AV507" s="7" t="s">
        <v>2536</v>
      </c>
      <c r="AW507" s="82"/>
      <c r="AX507" s="82"/>
      <c r="AY507" s="7"/>
      <c r="AZ507" s="82"/>
      <c r="BA507" s="82"/>
      <c r="BB507" s="82"/>
      <c r="BC507" s="82"/>
      <c r="BD507" s="82"/>
      <c r="BE507" s="82"/>
      <c r="BF507" s="82">
        <f>POW(500,1.188)</f>
        <v>1608.334452</v>
      </c>
      <c r="BG507" s="82">
        <f>BF505/BF507</f>
        <v>155.4403063</v>
      </c>
      <c r="BH507" s="82">
        <f>POW(BG507,1/($O507-$O$505)) - 1</f>
        <v>0.1061939347</v>
      </c>
      <c r="BI507" s="82">
        <f>POW(500000,1.188)</f>
        <v>5893541.76</v>
      </c>
      <c r="BJ507" s="82">
        <f>BI505/BI507</f>
        <v>42419.31426</v>
      </c>
      <c r="BK507" s="82">
        <f>POW(BJ507,1/($O507-$O$505)) - 1</f>
        <v>0.2375172828</v>
      </c>
      <c r="BL507" s="82">
        <f>POW(500000000,1.188)</f>
        <v>21596151485</v>
      </c>
      <c r="BM507" s="82">
        <f>BL505/BL507</f>
        <v>11576136.62</v>
      </c>
      <c r="BN507" s="82">
        <f>POW(BM507,1/($O507-$O$505)) - 1</f>
        <v>0.3844308644</v>
      </c>
      <c r="BO507" s="7">
        <v>4.0</v>
      </c>
      <c r="BP507" s="82"/>
      <c r="BQ507" s="7"/>
      <c r="BR507" s="7" t="s">
        <v>23</v>
      </c>
    </row>
    <row r="508">
      <c r="A508" s="16">
        <v>28.0</v>
      </c>
      <c r="B508" s="16" t="s">
        <v>470</v>
      </c>
      <c r="C508" s="53">
        <v>2.0</v>
      </c>
      <c r="D508" s="53" t="s">
        <v>471</v>
      </c>
      <c r="E508" s="7">
        <v>288.0</v>
      </c>
      <c r="F508" s="53" t="s">
        <v>3849</v>
      </c>
      <c r="G508" s="7"/>
      <c r="H508" s="16">
        <v>1.0</v>
      </c>
      <c r="I508" s="16">
        <v>1.0</v>
      </c>
      <c r="J508" s="21" t="s">
        <v>3850</v>
      </c>
      <c r="K508" s="53"/>
      <c r="L508" s="53"/>
      <c r="M508" s="39" t="str">
        <f t="shared" si="1"/>
        <v>[https://arxiv.org/abs/1307.2205 Madry's algorithm (2013)]</v>
      </c>
      <c r="N508" s="39" t="s">
        <v>3851</v>
      </c>
      <c r="O508" s="84">
        <v>2013.0</v>
      </c>
      <c r="P508" s="96" t="s">
        <v>3852</v>
      </c>
      <c r="Q508" s="82"/>
      <c r="R508" s="82"/>
      <c r="S508" s="82"/>
      <c r="T508" s="16">
        <v>0.0</v>
      </c>
      <c r="U508" s="16">
        <v>0.0</v>
      </c>
      <c r="V508" s="89">
        <f>IFERROR(__xludf.DUMMYFUNCTION("INDEX(SPLIT(SUBSTITUTE(W508,CHAR(10), """"),"",:""), MATCH(Z508, SPLIT(SUBSTITUTE(W508,CHAR(10), """"),"",:""), 0) + 1)"),5.857)</f>
        <v>5.857</v>
      </c>
      <c r="W508" s="85" t="s">
        <v>3853</v>
      </c>
      <c r="X508" s="21" t="s">
        <v>3854</v>
      </c>
      <c r="Y508" s="53" t="s">
        <v>2542</v>
      </c>
      <c r="Z508" s="53" t="str">
        <f t="array" ref="Z508">INDEX(Problems!J:J, MATCH(1, (Problems!B:B=B508)*1, 0))</f>
        <v>V</v>
      </c>
      <c r="AA508" s="96" t="s">
        <v>3852</v>
      </c>
      <c r="AB508" s="53">
        <v>0.0</v>
      </c>
      <c r="AC508" s="53" t="s">
        <v>1813</v>
      </c>
      <c r="AD508" s="53" t="s">
        <v>1814</v>
      </c>
      <c r="AE508" s="85">
        <f>IFERROR(__xludf.DUMMYFUNCTION("INDEX(SPLIT(SUBSTITUTE(AF508,CHAR(10), """"),"",:""), MATCH(Z508, SPLIT(SUBSTITUTE(AF508,CHAR(10), """"),"",:""), 0) + 1)"),5.0)</f>
        <v>5</v>
      </c>
      <c r="AF508" s="85" t="s">
        <v>2185</v>
      </c>
      <c r="AG508" s="53" t="s">
        <v>3855</v>
      </c>
      <c r="AH508" s="53" t="s">
        <v>3856</v>
      </c>
      <c r="AI508" s="84">
        <v>1.0</v>
      </c>
      <c r="AJ508" s="84">
        <v>0.0</v>
      </c>
      <c r="AK508" s="87"/>
      <c r="AL508" s="81">
        <v>0.0</v>
      </c>
      <c r="AM508" s="21"/>
      <c r="AN508" s="16">
        <v>0.0</v>
      </c>
      <c r="AO508" s="90"/>
      <c r="AP508" s="16">
        <v>0.0</v>
      </c>
      <c r="AQ508" s="81">
        <v>0.0</v>
      </c>
      <c r="AR508" s="39"/>
      <c r="AS508" s="81">
        <v>0.0</v>
      </c>
      <c r="AT508" s="81">
        <v>0.0</v>
      </c>
      <c r="AU508" s="39"/>
      <c r="AV508" s="7" t="s">
        <v>2536</v>
      </c>
      <c r="AW508" s="82"/>
      <c r="AX508" s="82"/>
      <c r="AY508" s="7"/>
      <c r="AZ508" s="82"/>
      <c r="BA508" s="82"/>
      <c r="BB508" s="82"/>
      <c r="BC508" s="82"/>
      <c r="BD508" s="82"/>
      <c r="BE508" s="82"/>
      <c r="BF508" s="82"/>
      <c r="BG508" s="82"/>
      <c r="BH508" s="82"/>
      <c r="BI508" s="82"/>
      <c r="BJ508" s="82"/>
      <c r="BK508" s="82"/>
      <c r="BL508" s="82"/>
      <c r="BM508" s="82"/>
      <c r="BN508" s="7"/>
      <c r="BO508" s="7">
        <v>4.0</v>
      </c>
      <c r="BP508" s="82"/>
      <c r="BQ508" s="7"/>
      <c r="BR508" s="7" t="s">
        <v>23</v>
      </c>
    </row>
    <row r="509">
      <c r="A509" s="16">
        <v>28.0</v>
      </c>
      <c r="B509" s="16" t="s">
        <v>470</v>
      </c>
      <c r="C509" s="53">
        <v>1.0</v>
      </c>
      <c r="D509" s="53" t="s">
        <v>471</v>
      </c>
      <c r="E509" s="7">
        <v>289.0</v>
      </c>
      <c r="F509" s="53"/>
      <c r="G509" s="7"/>
      <c r="H509" s="16">
        <v>1.0</v>
      </c>
      <c r="I509" s="16">
        <v>1.0</v>
      </c>
      <c r="J509" s="21" t="s">
        <v>3857</v>
      </c>
      <c r="K509" s="53"/>
      <c r="L509" s="53"/>
      <c r="M509" s="39" t="str">
        <f t="shared" si="1"/>
        <v>[https://arxiv.org/abs/1105.1569 Chandran and Hochbaum (2011)]</v>
      </c>
      <c r="N509" s="16" t="s">
        <v>3858</v>
      </c>
      <c r="O509" s="81">
        <v>2011.0</v>
      </c>
      <c r="P509" s="25" t="s">
        <v>3859</v>
      </c>
      <c r="Q509" s="82"/>
      <c r="R509" s="82"/>
      <c r="S509" s="82"/>
      <c r="T509" s="16">
        <v>0.0</v>
      </c>
      <c r="U509" s="16">
        <v>0.0</v>
      </c>
      <c r="V509" s="89">
        <f>IFERROR(__xludf.DUMMYFUNCTION("INDEX(SPLIT(SUBSTITUTE(W509,CHAR(10), """"),"",:""), MATCH(Z509, SPLIT(SUBSTITUTE(W509,CHAR(10), """"),"",:""), 0) + 1)"),3.0)</f>
        <v>3</v>
      </c>
      <c r="W509" s="85" t="s">
        <v>3860</v>
      </c>
      <c r="X509" s="21" t="s">
        <v>3861</v>
      </c>
      <c r="Y509" s="53" t="s">
        <v>3862</v>
      </c>
      <c r="Z509" s="53" t="str">
        <f t="array" ref="Z509">INDEX(Problems!J:J, MATCH(1, (Problems!B:B=B509)*1, 0))</f>
        <v>V</v>
      </c>
      <c r="AA509" s="53"/>
      <c r="AB509" s="53"/>
      <c r="AC509" s="53" t="s">
        <v>1813</v>
      </c>
      <c r="AD509" s="53" t="s">
        <v>1814</v>
      </c>
      <c r="AE509" s="85">
        <f>IFERROR(__xludf.DUMMYFUNCTION("INDEX(SPLIT(SUBSTITUTE(AF509,CHAR(10), """"),"",:""), MATCH(Z509, SPLIT(SUBSTITUTE(AF509,CHAR(10), """"),"",:""), 0) + 1)"),5.0)</f>
        <v>5</v>
      </c>
      <c r="AF509" s="85" t="s">
        <v>2022</v>
      </c>
      <c r="AG509" s="53" t="s">
        <v>3863</v>
      </c>
      <c r="AH509" s="53" t="s">
        <v>3864</v>
      </c>
      <c r="AI509" s="84">
        <v>1.0</v>
      </c>
      <c r="AJ509" s="84">
        <v>0.0</v>
      </c>
      <c r="AK509" s="84"/>
      <c r="AL509" s="83">
        <v>1.0</v>
      </c>
      <c r="AM509" s="21"/>
      <c r="AN509" s="16">
        <v>0.0</v>
      </c>
      <c r="AO509" s="21"/>
      <c r="AP509" s="16">
        <v>0.0</v>
      </c>
      <c r="AQ509" s="81">
        <v>0.0</v>
      </c>
      <c r="AR509" s="39"/>
      <c r="AS509" s="81">
        <v>0.0</v>
      </c>
      <c r="AT509" s="81">
        <v>0.0</v>
      </c>
      <c r="AU509" s="39"/>
      <c r="AV509" s="7" t="s">
        <v>2536</v>
      </c>
      <c r="AW509" s="82"/>
      <c r="AX509" s="82"/>
      <c r="AY509" s="7"/>
      <c r="AZ509" s="82"/>
      <c r="BA509" s="82"/>
      <c r="BB509" s="82"/>
      <c r="BC509" s="82"/>
      <c r="BD509" s="82"/>
      <c r="BE509" s="82"/>
      <c r="BF509" s="82"/>
      <c r="BG509" s="82"/>
      <c r="BH509" s="82"/>
      <c r="BI509" s="82"/>
      <c r="BJ509" s="82"/>
      <c r="BK509" s="82"/>
      <c r="BL509" s="82"/>
      <c r="BM509" s="82"/>
      <c r="BN509" s="7"/>
      <c r="BO509" s="7">
        <v>4.0</v>
      </c>
      <c r="BP509" s="82"/>
      <c r="BQ509" s="7"/>
      <c r="BR509" s="7" t="s">
        <v>23</v>
      </c>
    </row>
    <row r="510">
      <c r="A510" s="16">
        <v>28.0</v>
      </c>
      <c r="B510" s="16" t="s">
        <v>470</v>
      </c>
      <c r="C510" s="53">
        <v>1.0</v>
      </c>
      <c r="D510" s="53" t="s">
        <v>472</v>
      </c>
      <c r="E510" s="7">
        <v>290.0</v>
      </c>
      <c r="F510" s="53"/>
      <c r="G510" s="7"/>
      <c r="H510" s="16">
        <v>1.0</v>
      </c>
      <c r="I510" s="16">
        <v>1.0</v>
      </c>
      <c r="J510" s="21" t="s">
        <v>3865</v>
      </c>
      <c r="K510" s="53"/>
      <c r="L510" s="53"/>
      <c r="M510" s="39" t="str">
        <f t="shared" si="1"/>
        <v>[https://web.eecs.umich.edu/~pettie/matching/Blum-matching-ICALP90.pdf Blum (1990)]</v>
      </c>
      <c r="N510" s="16" t="s">
        <v>3866</v>
      </c>
      <c r="O510" s="81">
        <v>1990.0</v>
      </c>
      <c r="P510" s="28" t="s">
        <v>476</v>
      </c>
      <c r="Q510" s="82"/>
      <c r="R510" s="82"/>
      <c r="S510" s="82"/>
      <c r="T510" s="16">
        <v>0.0</v>
      </c>
      <c r="U510" s="16">
        <v>0.0</v>
      </c>
      <c r="V510" s="89">
        <f>IFERROR(__xludf.DUMMYFUNCTION("INDEX(SPLIT(SUBSTITUTE(W510,CHAR(10), """"),"",:""), MATCH(Z510, SPLIT(SUBSTITUTE(W510,CHAR(10), """"),"",:""), 0) + 1)"),5.5)</f>
        <v>5.5</v>
      </c>
      <c r="W510" s="85" t="s">
        <v>2530</v>
      </c>
      <c r="X510" s="21" t="s">
        <v>3865</v>
      </c>
      <c r="Y510" s="53" t="s">
        <v>2542</v>
      </c>
      <c r="Z510" s="53" t="str">
        <f t="array" ref="Z510">INDEX(Problems!J:J, MATCH(1, (Problems!B:B=B510)*1, 0))</f>
        <v>V</v>
      </c>
      <c r="AA510" s="53"/>
      <c r="AB510" s="53"/>
      <c r="AC510" s="53" t="s">
        <v>1813</v>
      </c>
      <c r="AD510" s="53" t="s">
        <v>1814</v>
      </c>
      <c r="AE510" s="85">
        <f>IFERROR(__xludf.DUMMYFUNCTION("INDEX(SPLIT(SUBSTITUTE(AF510,CHAR(10), """"),"",:""), MATCH(Z510, SPLIT(SUBSTITUTE(AF510,CHAR(10), """"),"",:""), 0) + 1)"),5.0)</f>
        <v>5</v>
      </c>
      <c r="AF510" s="85" t="s">
        <v>2022</v>
      </c>
      <c r="AG510" s="53" t="s">
        <v>3863</v>
      </c>
      <c r="AH510" s="53" t="s">
        <v>3867</v>
      </c>
      <c r="AI510" s="84">
        <v>1.0</v>
      </c>
      <c r="AJ510" s="84">
        <v>0.0</v>
      </c>
      <c r="AK510" s="87"/>
      <c r="AL510" s="81">
        <v>0.0</v>
      </c>
      <c r="AM510" s="21"/>
      <c r="AN510" s="16">
        <v>0.0</v>
      </c>
      <c r="AO510" s="90"/>
      <c r="AP510" s="16">
        <v>0.0</v>
      </c>
      <c r="AQ510" s="81">
        <v>0.0</v>
      </c>
      <c r="AR510" s="39"/>
      <c r="AS510" s="81">
        <v>0.0</v>
      </c>
      <c r="AT510" s="81">
        <v>0.0</v>
      </c>
      <c r="AU510" s="39"/>
      <c r="AV510" s="7" t="s">
        <v>2536</v>
      </c>
      <c r="AW510" s="82"/>
      <c r="AX510" s="82"/>
      <c r="AY510" s="7"/>
      <c r="AZ510" s="82"/>
      <c r="BA510" s="82"/>
      <c r="BB510" s="82"/>
      <c r="BC510" s="82"/>
      <c r="BD510" s="82"/>
      <c r="BE510" s="82"/>
      <c r="BF510" s="82"/>
      <c r="BG510" s="82"/>
      <c r="BH510" s="82"/>
      <c r="BI510" s="82"/>
      <c r="BJ510" s="82"/>
      <c r="BK510" s="82"/>
      <c r="BL510" s="82"/>
      <c r="BM510" s="82"/>
      <c r="BN510" s="7"/>
      <c r="BO510" s="7">
        <v>4.0</v>
      </c>
      <c r="BP510" s="82"/>
      <c r="BQ510" s="7"/>
      <c r="BR510" s="7" t="s">
        <v>23</v>
      </c>
    </row>
    <row r="511">
      <c r="A511" s="16">
        <v>28.0</v>
      </c>
      <c r="B511" s="16" t="s">
        <v>470</v>
      </c>
      <c r="C511" s="53">
        <v>1.0</v>
      </c>
      <c r="D511" s="53" t="s">
        <v>472</v>
      </c>
      <c r="E511" s="7">
        <v>291.0</v>
      </c>
      <c r="F511" s="53"/>
      <c r="G511" s="7"/>
      <c r="H511" s="16">
        <v>1.0</v>
      </c>
      <c r="I511" s="16">
        <v>1.0</v>
      </c>
      <c r="J511" s="21" t="s">
        <v>3865</v>
      </c>
      <c r="K511" s="53"/>
      <c r="L511" s="53"/>
      <c r="M511" s="39" t="str">
        <f t="shared" si="1"/>
        <v>[https://web.eecs.umich.edu/~pettie/matching/Gabow-Tarjan-scaling-general-graph-matching.pdf Gabow; Tarjan (1991)]</v>
      </c>
      <c r="N511" s="16" t="s">
        <v>3868</v>
      </c>
      <c r="O511" s="81">
        <v>1991.0</v>
      </c>
      <c r="P511" s="96" t="s">
        <v>3869</v>
      </c>
      <c r="Q511" s="82"/>
      <c r="R511" s="82"/>
      <c r="S511" s="82"/>
      <c r="T511" s="16">
        <v>0.0</v>
      </c>
      <c r="U511" s="16">
        <v>0.0</v>
      </c>
      <c r="V511" s="89">
        <f>IFERROR(__xludf.DUMMYFUNCTION("INDEX(SPLIT(SUBSTITUTE(W511,CHAR(10), """"),"",:""), MATCH(Z511, SPLIT(SUBSTITUTE(W511,CHAR(10), """"),"",:""), 0) + 1)"),5.5)</f>
        <v>5.5</v>
      </c>
      <c r="W511" s="85" t="s">
        <v>2530</v>
      </c>
      <c r="X511" s="21" t="s">
        <v>3865</v>
      </c>
      <c r="Y511" s="53" t="s">
        <v>2542</v>
      </c>
      <c r="Z511" s="53" t="str">
        <f t="array" ref="Z511">INDEX(Problems!J:J, MATCH(1, (Problems!B:B=B511)*1, 0))</f>
        <v>V</v>
      </c>
      <c r="AA511" s="53"/>
      <c r="AB511" s="53"/>
      <c r="AC511" s="53" t="s">
        <v>1813</v>
      </c>
      <c r="AD511" s="53" t="s">
        <v>1814</v>
      </c>
      <c r="AE511" s="85">
        <f>IFERROR(__xludf.DUMMYFUNCTION("INDEX(SPLIT(SUBSTITUTE(AF511,CHAR(10), """"),"",:""), MATCH(Z511, SPLIT(SUBSTITUTE(AF511,CHAR(10), """"),"",:""), 0) + 1)"),5.0)</f>
        <v>5</v>
      </c>
      <c r="AF511" s="85" t="s">
        <v>2022</v>
      </c>
      <c r="AG511" s="53" t="s">
        <v>3870</v>
      </c>
      <c r="AH511" s="96" t="s">
        <v>3869</v>
      </c>
      <c r="AI511" s="84">
        <v>0.0</v>
      </c>
      <c r="AJ511" s="84">
        <v>1.0</v>
      </c>
      <c r="AK511" s="87"/>
      <c r="AL511" s="81">
        <v>0.0</v>
      </c>
      <c r="AM511" s="21"/>
      <c r="AN511" s="16">
        <v>0.0</v>
      </c>
      <c r="AO511" s="90"/>
      <c r="AP511" s="16">
        <v>0.0</v>
      </c>
      <c r="AQ511" s="81">
        <v>0.0</v>
      </c>
      <c r="AR511" s="39"/>
      <c r="AS511" s="81">
        <v>0.0</v>
      </c>
      <c r="AT511" s="81">
        <v>0.0</v>
      </c>
      <c r="AU511" s="39"/>
      <c r="AV511" s="7" t="s">
        <v>2536</v>
      </c>
      <c r="AW511" s="82"/>
      <c r="AX511" s="82"/>
      <c r="AY511" s="7"/>
      <c r="AZ511" s="82"/>
      <c r="BA511" s="82"/>
      <c r="BB511" s="82"/>
      <c r="BC511" s="82"/>
      <c r="BD511" s="82"/>
      <c r="BE511" s="82"/>
      <c r="BF511" s="82"/>
      <c r="BG511" s="82"/>
      <c r="BH511" s="82"/>
      <c r="BI511" s="82"/>
      <c r="BJ511" s="82"/>
      <c r="BK511" s="82"/>
      <c r="BL511" s="82"/>
      <c r="BM511" s="82"/>
      <c r="BN511" s="7"/>
      <c r="BO511" s="7">
        <v>4.0</v>
      </c>
      <c r="BP511" s="82"/>
      <c r="BQ511" s="7"/>
      <c r="BR511" s="7" t="s">
        <v>23</v>
      </c>
    </row>
    <row r="512">
      <c r="A512" s="16">
        <v>28.0</v>
      </c>
      <c r="B512" s="16" t="s">
        <v>470</v>
      </c>
      <c r="C512" s="53">
        <v>1.0</v>
      </c>
      <c r="D512" s="53" t="s">
        <v>472</v>
      </c>
      <c r="E512" s="7">
        <v>292.0</v>
      </c>
      <c r="F512" s="53"/>
      <c r="G512" s="7"/>
      <c r="H512" s="16">
        <v>1.0</v>
      </c>
      <c r="I512" s="16">
        <v>1.0</v>
      </c>
      <c r="J512" s="16" t="s">
        <v>3871</v>
      </c>
      <c r="K512" s="53"/>
      <c r="L512" s="53"/>
      <c r="M512" s="39" t="str">
        <f t="shared" si="1"/>
        <v>[https://ieeexplore.ieee.org/document/1366244 Mucha, Sankowski (general) (2004)]</v>
      </c>
      <c r="N512" s="21" t="s">
        <v>3872</v>
      </c>
      <c r="O512" s="81">
        <v>2004.0</v>
      </c>
      <c r="P512" s="17" t="s">
        <v>3873</v>
      </c>
      <c r="Q512" s="82"/>
      <c r="R512" s="82"/>
      <c r="S512" s="82"/>
      <c r="T512" s="16">
        <v>0.0</v>
      </c>
      <c r="U512" s="16">
        <v>0.0</v>
      </c>
      <c r="V512" s="89">
        <f>IFERROR(__xludf.DUMMYFUNCTION("INDEX(SPLIT(SUBSTITUTE(W512,CHAR(10), """"),"",:""), MATCH(Z512, SPLIT(SUBSTITUTE(W512,CHAR(10), """"),"",:""), 0) + 1)"),5.376)</f>
        <v>5.376</v>
      </c>
      <c r="W512" s="85" t="s">
        <v>3874</v>
      </c>
      <c r="X512" s="16" t="s">
        <v>3871</v>
      </c>
      <c r="Y512" s="53" t="s">
        <v>2542</v>
      </c>
      <c r="Z512" s="53" t="str">
        <f t="array" ref="Z512">INDEX(Problems!J:J, MATCH(1, (Problems!B:B=B512)*1, 0))</f>
        <v>V</v>
      </c>
      <c r="AA512" s="53"/>
      <c r="AB512" s="53"/>
      <c r="AC512" s="53" t="s">
        <v>1813</v>
      </c>
      <c r="AD512" s="53" t="s">
        <v>1814</v>
      </c>
      <c r="AE512" s="85">
        <f>IFERROR(__xludf.DUMMYFUNCTION("INDEX(SPLIT(SUBSTITUTE(AF512,CHAR(10), """"),"",:""), MATCH(Z512, SPLIT(SUBSTITUTE(AF512,CHAR(10), """"),"",:""), 0) + 1)"),5.0)</f>
        <v>5</v>
      </c>
      <c r="AF512" s="85" t="s">
        <v>3038</v>
      </c>
      <c r="AG512" s="53" t="s">
        <v>3875</v>
      </c>
      <c r="AH512" s="53" t="s">
        <v>3876</v>
      </c>
      <c r="AI512" s="84">
        <v>1.0</v>
      </c>
      <c r="AJ512" s="84">
        <v>0.0</v>
      </c>
      <c r="AK512" s="84"/>
      <c r="AL512" s="83">
        <v>1.0</v>
      </c>
      <c r="AM512" s="21" t="s">
        <v>1907</v>
      </c>
      <c r="AN512" s="16">
        <v>0.0</v>
      </c>
      <c r="AO512" s="90"/>
      <c r="AP512" s="16">
        <v>0.0</v>
      </c>
      <c r="AQ512" s="81">
        <v>0.0</v>
      </c>
      <c r="AR512" s="39"/>
      <c r="AS512" s="81">
        <v>0.0</v>
      </c>
      <c r="AT512" s="81">
        <v>0.0</v>
      </c>
      <c r="AU512" s="39"/>
      <c r="AV512" s="7" t="s">
        <v>2536</v>
      </c>
      <c r="AW512" s="82"/>
      <c r="AX512" s="82"/>
      <c r="AY512" s="7"/>
      <c r="AZ512" s="82"/>
      <c r="BA512" s="82"/>
      <c r="BB512" s="82"/>
      <c r="BC512" s="82"/>
      <c r="BD512" s="82"/>
      <c r="BE512" s="82"/>
      <c r="BF512" s="82"/>
      <c r="BG512" s="82"/>
      <c r="BH512" s="82"/>
      <c r="BI512" s="82"/>
      <c r="BJ512" s="82"/>
      <c r="BK512" s="82"/>
      <c r="BL512" s="82"/>
      <c r="BM512" s="82"/>
      <c r="BN512" s="7"/>
      <c r="BO512" s="7">
        <v>4.0</v>
      </c>
      <c r="BP512" s="82"/>
      <c r="BQ512" s="7"/>
      <c r="BR512" s="7" t="s">
        <v>23</v>
      </c>
    </row>
    <row r="513">
      <c r="A513" s="16">
        <v>28.0</v>
      </c>
      <c r="B513" s="16" t="s">
        <v>470</v>
      </c>
      <c r="C513" s="53">
        <v>2.0</v>
      </c>
      <c r="D513" s="53" t="s">
        <v>477</v>
      </c>
      <c r="E513" s="7">
        <v>293.0</v>
      </c>
      <c r="F513" s="53"/>
      <c r="G513" s="7"/>
      <c r="H513" s="16">
        <v>1.0</v>
      </c>
      <c r="I513" s="16">
        <v>1.0</v>
      </c>
      <c r="J513" s="21" t="s">
        <v>3877</v>
      </c>
      <c r="K513" s="53"/>
      <c r="L513" s="53"/>
      <c r="M513" s="39" t="str">
        <f t="shared" si="1"/>
        <v>[http://theory.stanford.edu/~virgi/cs267/papers/planar-sssp.pdf Klein (section 5) (1997)]</v>
      </c>
      <c r="N513" s="21" t="s">
        <v>3878</v>
      </c>
      <c r="O513" s="81">
        <v>1997.0</v>
      </c>
      <c r="P513" s="96" t="s">
        <v>479</v>
      </c>
      <c r="Q513" s="82"/>
      <c r="R513" s="82"/>
      <c r="S513" s="82"/>
      <c r="T513" s="16">
        <v>1.0</v>
      </c>
      <c r="U513" s="16">
        <v>0.0</v>
      </c>
      <c r="V513" s="89">
        <f>IFERROR(__xludf.DUMMYFUNCTION("INDEX(SPLIT(SUBSTITUTE(W513,CHAR(10), """"),"",:""), MATCH(Z513, SPLIT(SUBSTITUTE(W513,CHAR(10), """"),"",:""), 0) + 1)"),4.33)</f>
        <v>4.33</v>
      </c>
      <c r="W513" s="85" t="s">
        <v>3879</v>
      </c>
      <c r="X513" s="21" t="s">
        <v>3877</v>
      </c>
      <c r="Y513" s="53" t="s">
        <v>2542</v>
      </c>
      <c r="Z513" s="53" t="str">
        <f t="array" ref="Z513">INDEX(Problems!J:J, MATCH(1, (Problems!B:B=B513)*1, 0))</f>
        <v>V</v>
      </c>
      <c r="AA513" s="53"/>
      <c r="AB513" s="53"/>
      <c r="AC513" s="53" t="s">
        <v>1813</v>
      </c>
      <c r="AD513" s="53" t="s">
        <v>1814</v>
      </c>
      <c r="AE513" s="85">
        <f>IFERROR(__xludf.DUMMYFUNCTION("INDEX(SPLIT(SUBSTITUTE(AF513,CHAR(10), """"),"",:""), MATCH(Z513, SPLIT(SUBSTITUTE(AF513,CHAR(10), """"),"",:""), 0) + 1)"),4.33)</f>
        <v>4.33</v>
      </c>
      <c r="AF513" s="85" t="s">
        <v>3879</v>
      </c>
      <c r="AG513" s="53" t="s">
        <v>3880</v>
      </c>
      <c r="AH513" s="53" t="s">
        <v>3881</v>
      </c>
      <c r="AI513" s="84">
        <v>1.0</v>
      </c>
      <c r="AJ513" s="84">
        <v>0.0</v>
      </c>
      <c r="AK513" s="87"/>
      <c r="AL513" s="81">
        <v>0.0</v>
      </c>
      <c r="AM513" s="21"/>
      <c r="AN513" s="16">
        <v>0.0</v>
      </c>
      <c r="AO513" s="90"/>
      <c r="AP513" s="16">
        <v>0.0</v>
      </c>
      <c r="AQ513" s="81">
        <v>0.0</v>
      </c>
      <c r="AR513" s="39"/>
      <c r="AS513" s="81">
        <v>0.0</v>
      </c>
      <c r="AT513" s="81">
        <v>0.0</v>
      </c>
      <c r="AU513" s="39"/>
      <c r="AV513" s="7" t="s">
        <v>2536</v>
      </c>
      <c r="AW513" s="82"/>
      <c r="AX513" s="82"/>
      <c r="AY513" s="7"/>
      <c r="AZ513" s="82"/>
      <c r="BA513" s="82"/>
      <c r="BB513" s="82"/>
      <c r="BC513" s="82"/>
      <c r="BD513" s="82"/>
      <c r="BE513" s="82"/>
      <c r="BF513" s="82">
        <f>POW(500,1.33)*LOG(500,2)</f>
        <v>34851.25256</v>
      </c>
      <c r="BG513" s="82">
        <f>BF505/BF513</f>
        <v>7.173343327</v>
      </c>
      <c r="BH513" s="82">
        <f>POW(BG513,1/($O513-$O$505)) - 1</f>
        <v>0.04923135134</v>
      </c>
      <c r="BI513" s="82">
        <f>POW(500000,1.33)*LOG(500000,2)</f>
        <v>719145396.2</v>
      </c>
      <c r="BJ513" s="82">
        <f>BI505/BI513</f>
        <v>347.6348473</v>
      </c>
      <c r="BK513" s="82">
        <f>POW(BJ513,1/($O513-$O$505)) - 1</f>
        <v>0.1533964681</v>
      </c>
      <c r="BL513" s="82">
        <f>POW(500000000,1.33)*LOG(500000000,2)</f>
        <v>10727244188189</v>
      </c>
      <c r="BM513" s="82">
        <f>BL505/BL513</f>
        <v>23305.14675</v>
      </c>
      <c r="BN513" s="82">
        <f>POW(BM513,1/($O513-$O$505)) - 1</f>
        <v>0.2779775233</v>
      </c>
      <c r="BO513" s="7">
        <v>4.0</v>
      </c>
      <c r="BP513" s="82"/>
      <c r="BQ513" s="7"/>
      <c r="BR513" s="7" t="s">
        <v>23</v>
      </c>
    </row>
    <row r="514">
      <c r="A514" s="16">
        <v>29.0</v>
      </c>
      <c r="B514" s="16" t="s">
        <v>480</v>
      </c>
      <c r="C514" s="53">
        <v>1.0</v>
      </c>
      <c r="D514" s="53" t="s">
        <v>480</v>
      </c>
      <c r="E514" s="7">
        <v>294.0</v>
      </c>
      <c r="F514" s="53"/>
      <c r="G514" s="7"/>
      <c r="H514" s="16">
        <v>1.0</v>
      </c>
      <c r="I514" s="16">
        <v>1.0</v>
      </c>
      <c r="J514" s="21" t="s">
        <v>3882</v>
      </c>
      <c r="K514" s="53" t="s">
        <v>3883</v>
      </c>
      <c r="L514" s="53" t="s">
        <v>484</v>
      </c>
      <c r="M514" s="39" t="str">
        <f t="shared" si="1"/>
        <v>[https://ieeexplore.ieee.org/document/1055638 Diffie–Hellman key exchange (1978)]</v>
      </c>
      <c r="N514" s="39" t="s">
        <v>3884</v>
      </c>
      <c r="O514" s="16">
        <v>1978.0</v>
      </c>
      <c r="P514" s="113" t="s">
        <v>3885</v>
      </c>
      <c r="Q514" s="7">
        <v>2.0</v>
      </c>
      <c r="R514" s="7">
        <v>1.0</v>
      </c>
      <c r="S514" s="113" t="s">
        <v>3886</v>
      </c>
      <c r="T514" s="16">
        <v>1.0</v>
      </c>
      <c r="U514" s="16">
        <v>0.0</v>
      </c>
      <c r="V514" s="89">
        <f>IFERROR(__xludf.DUMMYFUNCTION("INDEX(SPLIT(SUBSTITUTE(W514,CHAR(10), """"),"",:""), MATCH(Z514, SPLIT(SUBSTITUTE(W514,CHAR(10), """"),"",:""), 0) + 1)"),7.0)</f>
        <v>7</v>
      </c>
      <c r="W514" s="85" t="s">
        <v>2517</v>
      </c>
      <c r="X514" s="21" t="s">
        <v>3882</v>
      </c>
      <c r="Y514" s="53" t="s">
        <v>3887</v>
      </c>
      <c r="Z514" s="53" t="str">
        <f t="array" ref="Z514">INDEX(Problems!J:J, MATCH(1, (Problems!B:B=B514)*1, 0))</f>
        <v>n</v>
      </c>
      <c r="AA514" s="53"/>
      <c r="AB514" s="53"/>
      <c r="AC514" s="53" t="s">
        <v>2337</v>
      </c>
      <c r="AD514" s="53" t="s">
        <v>2338</v>
      </c>
      <c r="AE514" s="85">
        <f>IFERROR(__xludf.DUMMYFUNCTION("INDEX(SPLIT(SUBSTITUTE(AF514,CHAR(10), """"),"",:""), MATCH(Z514, SPLIT(SUBSTITUTE(AF514,CHAR(10), """"),"",:""), 0) + 1)"),3.0)</f>
        <v>3</v>
      </c>
      <c r="AF514" s="85" t="s">
        <v>1763</v>
      </c>
      <c r="AG514" s="53" t="s">
        <v>35</v>
      </c>
      <c r="AH514" s="53" t="s">
        <v>3888</v>
      </c>
      <c r="AI514" s="84">
        <v>1.0</v>
      </c>
      <c r="AJ514" s="84">
        <v>0.0</v>
      </c>
      <c r="AK514" s="87"/>
      <c r="AL514" s="81">
        <v>0.0</v>
      </c>
      <c r="AM514" s="87"/>
      <c r="AN514" s="81">
        <v>0.0</v>
      </c>
      <c r="AO514" s="90"/>
      <c r="AP514" s="81">
        <v>0.0</v>
      </c>
      <c r="AQ514" s="81">
        <v>0.0</v>
      </c>
      <c r="AR514" s="39"/>
      <c r="AS514" s="81">
        <v>0.0</v>
      </c>
      <c r="AT514" s="81">
        <v>0.0</v>
      </c>
      <c r="AU514" s="39"/>
      <c r="AV514" s="7" t="s">
        <v>481</v>
      </c>
      <c r="AW514" s="82"/>
      <c r="AX514" s="82"/>
      <c r="AY514" s="7"/>
      <c r="AZ514" s="82"/>
      <c r="BA514" s="82"/>
      <c r="BB514" s="82"/>
      <c r="BC514" s="82"/>
      <c r="BD514" s="82"/>
      <c r="BE514" s="82"/>
      <c r="BF514" s="82">
        <f>1000000000000/16</f>
        <v>62500000000</v>
      </c>
      <c r="BG514" s="7">
        <v>1.0</v>
      </c>
      <c r="BH514" s="82"/>
      <c r="BI514" s="82">
        <f>POW((1000000/2),4)</f>
        <v>6.25E+22</v>
      </c>
      <c r="BJ514" s="7">
        <v>1.0</v>
      </c>
      <c r="BK514" s="82"/>
      <c r="BL514" s="82">
        <f>POW((1000000000/2),4)</f>
        <v>6.25E+34</v>
      </c>
      <c r="BM514" s="7">
        <v>1.0</v>
      </c>
      <c r="BN514" s="7"/>
      <c r="BO514" s="7">
        <v>2.0</v>
      </c>
      <c r="BP514" s="82"/>
      <c r="BQ514" s="7"/>
      <c r="BR514" s="7" t="s">
        <v>485</v>
      </c>
    </row>
    <row r="515">
      <c r="A515" s="16">
        <v>29.0</v>
      </c>
      <c r="B515" s="16" t="s">
        <v>480</v>
      </c>
      <c r="C515" s="53">
        <v>1.0</v>
      </c>
      <c r="D515" s="53" t="s">
        <v>480</v>
      </c>
      <c r="E515" s="7">
        <v>295.0</v>
      </c>
      <c r="F515" s="53"/>
      <c r="G515" s="7"/>
      <c r="H515" s="16">
        <v>1.0</v>
      </c>
      <c r="I515" s="16">
        <v>1.0</v>
      </c>
      <c r="J515" s="21" t="s">
        <v>3889</v>
      </c>
      <c r="K515" s="53" t="s">
        <v>2117</v>
      </c>
      <c r="L515" s="53" t="s">
        <v>484</v>
      </c>
      <c r="M515" s="39" t="str">
        <f t="shared" si="1"/>
        <v>[https://csrc.nist.gov/publications/detail/sp/800-56a/revised/archive/2007-03-14 Elliptic-curve Diffie-Hellman (ECDH) (2006)]</v>
      </c>
      <c r="N515" s="39" t="s">
        <v>3890</v>
      </c>
      <c r="O515" s="16">
        <v>2006.0</v>
      </c>
      <c r="P515" s="17" t="s">
        <v>3891</v>
      </c>
      <c r="Q515" s="7">
        <v>2.0</v>
      </c>
      <c r="R515" s="7">
        <v>1.0</v>
      </c>
      <c r="S515" s="82"/>
      <c r="T515" s="16">
        <v>0.0</v>
      </c>
      <c r="U515" s="16">
        <v>0.0</v>
      </c>
      <c r="V515" s="89">
        <f>IFERROR(__xludf.DUMMYFUNCTION("INDEX(SPLIT(SUBSTITUTE(W515,CHAR(10), """"),"",:""), MATCH(Z515, SPLIT(SUBSTITUTE(W515,CHAR(10), """"),"",:""), 0) + 1)"),7.0)</f>
        <v>7</v>
      </c>
      <c r="W515" s="85" t="s">
        <v>2517</v>
      </c>
      <c r="X515" s="21" t="s">
        <v>3889</v>
      </c>
      <c r="Y515" s="53" t="s">
        <v>3892</v>
      </c>
      <c r="Z515" s="53" t="str">
        <f t="array" ref="Z515">INDEX(Problems!J:J, MATCH(1, (Problems!B:B=B515)*1, 0))</f>
        <v>n</v>
      </c>
      <c r="AA515" s="53"/>
      <c r="AB515" s="53"/>
      <c r="AC515" s="53" t="s">
        <v>2337</v>
      </c>
      <c r="AD515" s="53" t="s">
        <v>2338</v>
      </c>
      <c r="AE515" s="85">
        <f>IFERROR(__xludf.DUMMYFUNCTION("INDEX(SPLIT(SUBSTITUTE(AF515,CHAR(10), """"),"",:""), MATCH(Z515, SPLIT(SUBSTITUTE(AF515,CHAR(10), """"),"",:""), 0) + 1)"),3.0)</f>
        <v>3</v>
      </c>
      <c r="AF515" s="85" t="s">
        <v>1763</v>
      </c>
      <c r="AG515" s="53" t="s">
        <v>35</v>
      </c>
      <c r="AH515" s="53" t="s">
        <v>3888</v>
      </c>
      <c r="AI515" s="84">
        <v>1.0</v>
      </c>
      <c r="AJ515" s="84">
        <v>0.0</v>
      </c>
      <c r="AK515" s="87"/>
      <c r="AL515" s="81">
        <v>0.0</v>
      </c>
      <c r="AM515" s="87"/>
      <c r="AN515" s="81">
        <v>0.0</v>
      </c>
      <c r="AO515" s="90"/>
      <c r="AP515" s="81">
        <v>0.0</v>
      </c>
      <c r="AQ515" s="81">
        <v>0.0</v>
      </c>
      <c r="AR515" s="39"/>
      <c r="AS515" s="81">
        <v>0.0</v>
      </c>
      <c r="AT515" s="81">
        <v>0.0</v>
      </c>
      <c r="AU515" s="39"/>
      <c r="AV515" s="7" t="s">
        <v>481</v>
      </c>
      <c r="AW515" s="82"/>
      <c r="AX515" s="82"/>
      <c r="AY515" s="7"/>
      <c r="AZ515" s="82"/>
      <c r="BA515" s="82"/>
      <c r="BB515" s="82"/>
      <c r="BC515" s="82"/>
      <c r="BD515" s="82"/>
      <c r="BE515" s="82"/>
      <c r="BF515" s="82">
        <f>1000000000/8</f>
        <v>125000000</v>
      </c>
      <c r="BG515" s="82">
        <f>BF514/BF515</f>
        <v>500</v>
      </c>
      <c r="BH515" s="82"/>
      <c r="BI515" s="82">
        <f>POW((1000000/2),3)</f>
        <v>1.25E+17</v>
      </c>
      <c r="BJ515" s="82">
        <f>BI514/BI515</f>
        <v>500000</v>
      </c>
      <c r="BK515" s="82"/>
      <c r="BL515" s="82">
        <f>POW((1000000000/2),3)</f>
        <v>1.25E+26</v>
      </c>
      <c r="BM515" s="82">
        <f>BL514/BL515</f>
        <v>500000000</v>
      </c>
      <c r="BN515" s="7"/>
      <c r="BO515" s="7">
        <v>2.0</v>
      </c>
      <c r="BP515" s="82"/>
      <c r="BQ515" s="7"/>
      <c r="BR515" s="7" t="s">
        <v>485</v>
      </c>
    </row>
    <row r="516">
      <c r="A516" s="16">
        <v>30.0</v>
      </c>
      <c r="B516" s="16" t="s">
        <v>486</v>
      </c>
      <c r="C516" s="53">
        <v>0.001</v>
      </c>
      <c r="D516" s="53" t="s">
        <v>3893</v>
      </c>
      <c r="E516" s="7">
        <v>296.0</v>
      </c>
      <c r="F516" s="53"/>
      <c r="G516" s="7"/>
      <c r="H516" s="16">
        <v>1.0</v>
      </c>
      <c r="I516" s="81">
        <v>1.0</v>
      </c>
      <c r="J516" s="39" t="s">
        <v>35</v>
      </c>
      <c r="K516" s="53" t="s">
        <v>3883</v>
      </c>
      <c r="L516" s="53" t="s">
        <v>484</v>
      </c>
      <c r="M516" s="39" t="str">
        <f t="shared" si="1"/>
        <v>[- Dekker's algorithm (1963)]</v>
      </c>
      <c r="N516" s="39" t="s">
        <v>3894</v>
      </c>
      <c r="O516" s="81">
        <v>1963.0</v>
      </c>
      <c r="P516" s="39" t="s">
        <v>1937</v>
      </c>
      <c r="Q516" s="7">
        <v>1.0</v>
      </c>
      <c r="R516" s="7">
        <v>1.0</v>
      </c>
      <c r="S516" s="82"/>
      <c r="T516" s="81">
        <v>1.0</v>
      </c>
      <c r="U516" s="81">
        <v>0.0</v>
      </c>
      <c r="V516" s="89">
        <f>IFERROR(__xludf.DUMMYFUNCTION("INDEX(SPLIT(SUBSTITUTE(W516,CHAR(10), """"),"",:""), MATCH(Z516, SPLIT(SUBSTITUTE(W516,CHAR(10), """"),"",:""), 0) + 1)"),3.0)</f>
        <v>3</v>
      </c>
      <c r="W516" s="85" t="s">
        <v>1763</v>
      </c>
      <c r="X516" s="39" t="s">
        <v>35</v>
      </c>
      <c r="Y516" s="53" t="s">
        <v>3341</v>
      </c>
      <c r="Z516" s="53" t="str">
        <f t="array" ref="Z516">INDEX(Problems!J:J, MATCH(1, (Problems!B:B=B516)*1, 0))</f>
        <v>n</v>
      </c>
      <c r="AA516" s="53"/>
      <c r="AB516" s="53"/>
      <c r="AC516" s="53"/>
      <c r="AD516" s="53" t="s">
        <v>3342</v>
      </c>
      <c r="AE516" s="85" t="str">
        <f>IFERROR(__xludf.DUMMYFUNCTION("INDEX(SPLIT(SUBSTITUTE(AF516,CHAR(10), """"),"",:""), MATCH(Z516, SPLIT(SUBSTITUTE(AF516,CHAR(10), """"),"",:""), 0) + 1)"),"#VALUE!")</f>
        <v>#VALUE!</v>
      </c>
      <c r="AF516" s="85"/>
      <c r="AG516" s="53"/>
      <c r="AH516" s="53"/>
      <c r="AI516" s="87"/>
      <c r="AJ516" s="84" t="s">
        <v>2520</v>
      </c>
      <c r="AK516" s="87"/>
      <c r="AL516" s="81">
        <v>0.0</v>
      </c>
      <c r="AM516" s="87"/>
      <c r="AN516" s="81">
        <v>0.0</v>
      </c>
      <c r="AO516" s="90"/>
      <c r="AP516" s="81">
        <v>0.0</v>
      </c>
      <c r="AQ516" s="81">
        <v>0.0</v>
      </c>
      <c r="AR516" s="39"/>
      <c r="AS516" s="81">
        <v>0.0</v>
      </c>
      <c r="AT516" s="81">
        <v>0.0</v>
      </c>
      <c r="AU516" s="28" t="s">
        <v>3895</v>
      </c>
      <c r="AV516" s="7" t="s">
        <v>3345</v>
      </c>
      <c r="AW516" s="82"/>
      <c r="AX516" s="82"/>
      <c r="AY516" s="7"/>
      <c r="AZ516" s="7"/>
      <c r="BA516" s="7"/>
      <c r="BB516" s="7"/>
      <c r="BC516" s="7"/>
      <c r="BD516" s="7"/>
      <c r="BE516" s="7"/>
      <c r="BF516" s="7">
        <v>1000.0</v>
      </c>
      <c r="BG516" s="7">
        <v>1.0</v>
      </c>
      <c r="BH516" s="7"/>
      <c r="BI516" s="7">
        <v>1000000.0</v>
      </c>
      <c r="BJ516" s="7">
        <v>1.0</v>
      </c>
      <c r="BK516" s="7"/>
      <c r="BL516" s="7">
        <v>1.0E9</v>
      </c>
      <c r="BM516" s="7">
        <v>1.0</v>
      </c>
      <c r="BN516" s="7"/>
      <c r="BO516" s="7">
        <v>6.0</v>
      </c>
      <c r="BP516" s="82"/>
      <c r="BQ516" s="7"/>
      <c r="BR516" s="7" t="s">
        <v>490</v>
      </c>
    </row>
    <row r="517">
      <c r="A517" s="16">
        <v>30.0</v>
      </c>
      <c r="B517" s="16" t="s">
        <v>486</v>
      </c>
      <c r="C517" s="53">
        <v>1.0</v>
      </c>
      <c r="D517" s="53"/>
      <c r="E517" s="7">
        <v>297.0</v>
      </c>
      <c r="F517" s="53"/>
      <c r="G517" s="7"/>
      <c r="H517" s="16">
        <v>1.0</v>
      </c>
      <c r="I517" s="81">
        <v>1.0</v>
      </c>
      <c r="J517" s="39" t="s">
        <v>35</v>
      </c>
      <c r="K517" s="53" t="s">
        <v>2117</v>
      </c>
      <c r="L517" s="53" t="s">
        <v>484</v>
      </c>
      <c r="M517" s="39" t="str">
        <f t="shared" si="1"/>
        <v>[https://zoo.cs.yale.edu/classes/cs323/doc/Peterson.pdf Peterson's algorithm (1981)]</v>
      </c>
      <c r="N517" s="39" t="s">
        <v>3896</v>
      </c>
      <c r="O517" s="81">
        <v>1981.0</v>
      </c>
      <c r="P517" s="49" t="s">
        <v>3897</v>
      </c>
      <c r="Q517" s="82"/>
      <c r="R517" s="82"/>
      <c r="S517" s="82"/>
      <c r="T517" s="81">
        <v>0.0</v>
      </c>
      <c r="U517" s="16">
        <v>0.0</v>
      </c>
      <c r="V517" s="89">
        <f>IFERROR(__xludf.DUMMYFUNCTION("INDEX(SPLIT(SUBSTITUTE(W517,CHAR(10), """"),"",:""), MATCH(Z517, SPLIT(SUBSTITUTE(W517,CHAR(10), """"),"",:""), 0) + 1)"),3.0)</f>
        <v>3</v>
      </c>
      <c r="W517" s="85" t="s">
        <v>1763</v>
      </c>
      <c r="X517" s="39" t="s">
        <v>35</v>
      </c>
      <c r="Y517" s="53" t="s">
        <v>3341</v>
      </c>
      <c r="Z517" s="53" t="str">
        <f t="array" ref="Z517">INDEX(Problems!J:J, MATCH(1, (Problems!B:B=B517)*1, 0))</f>
        <v>n</v>
      </c>
      <c r="AA517" s="53"/>
      <c r="AB517" s="53"/>
      <c r="AC517" s="53"/>
      <c r="AD517" s="53" t="s">
        <v>3342</v>
      </c>
      <c r="AE517" s="85">
        <f>IFERROR(__xludf.DUMMYFUNCTION("INDEX(SPLIT(SUBSTITUTE(AF517,CHAR(10), """"),"",:""), MATCH(Z517, SPLIT(SUBSTITUTE(AF517,CHAR(10), """"),"",:""), 0) + 1)"),3.0)</f>
        <v>3</v>
      </c>
      <c r="AF517" s="85" t="s">
        <v>1763</v>
      </c>
      <c r="AG517" s="53" t="s">
        <v>3898</v>
      </c>
      <c r="AH517" s="53" t="s">
        <v>3899</v>
      </c>
      <c r="AI517" s="84">
        <v>0.0</v>
      </c>
      <c r="AJ517" s="84">
        <v>1.0</v>
      </c>
      <c r="AK517" s="87"/>
      <c r="AL517" s="81">
        <v>0.0</v>
      </c>
      <c r="AM517" s="87"/>
      <c r="AN517" s="81">
        <v>0.0</v>
      </c>
      <c r="AO517" s="90"/>
      <c r="AP517" s="81">
        <v>0.0</v>
      </c>
      <c r="AQ517" s="81">
        <v>0.0</v>
      </c>
      <c r="AR517" s="39"/>
      <c r="AS517" s="81">
        <v>0.0</v>
      </c>
      <c r="AT517" s="81">
        <v>0.0</v>
      </c>
      <c r="AU517" s="39"/>
      <c r="AV517" s="7" t="s">
        <v>3345</v>
      </c>
      <c r="AW517" s="82"/>
      <c r="AX517" s="82"/>
      <c r="AY517" s="7"/>
      <c r="AZ517" s="7"/>
      <c r="BA517" s="7"/>
      <c r="BB517" s="7"/>
      <c r="BC517" s="7"/>
      <c r="BD517" s="7"/>
      <c r="BE517" s="7"/>
      <c r="BF517" s="7">
        <v>1000.0</v>
      </c>
      <c r="BG517" s="7">
        <v>1.0</v>
      </c>
      <c r="BH517" s="82"/>
      <c r="BI517" s="82"/>
      <c r="BJ517" s="82"/>
      <c r="BK517" s="82"/>
      <c r="BL517" s="82"/>
      <c r="BM517" s="82"/>
      <c r="BN517" s="7"/>
      <c r="BO517" s="7">
        <v>6.0</v>
      </c>
      <c r="BP517" s="82"/>
      <c r="BQ517" s="7"/>
      <c r="BR517" s="7" t="s">
        <v>490</v>
      </c>
    </row>
    <row r="518">
      <c r="A518" s="16">
        <v>30.0</v>
      </c>
      <c r="B518" s="16" t="s">
        <v>486</v>
      </c>
      <c r="C518" s="53">
        <v>1.0</v>
      </c>
      <c r="D518" s="53"/>
      <c r="E518" s="7">
        <v>303.0</v>
      </c>
      <c r="F518" s="53"/>
      <c r="G518" s="7"/>
      <c r="H518" s="16">
        <v>1.0</v>
      </c>
      <c r="I518" s="81">
        <v>1.0</v>
      </c>
      <c r="J518" s="39" t="s">
        <v>1963</v>
      </c>
      <c r="K518" s="53" t="s">
        <v>2117</v>
      </c>
      <c r="L518" s="53" t="s">
        <v>484</v>
      </c>
      <c r="M518" s="39" t="str">
        <f t="shared" si="1"/>
        <v>[https://www.sciencedirect.com/science/article/abs/pii/S0743731596900416 Naimi-Trehel's algorithm (1996)]</v>
      </c>
      <c r="N518" s="39" t="s">
        <v>3900</v>
      </c>
      <c r="O518" s="81">
        <v>1996.0</v>
      </c>
      <c r="P518" s="17" t="s">
        <v>3901</v>
      </c>
      <c r="Q518" s="82"/>
      <c r="R518" s="82"/>
      <c r="S518" s="82"/>
      <c r="T518" s="81">
        <v>0.0</v>
      </c>
      <c r="U518" s="16">
        <v>0.0</v>
      </c>
      <c r="V518" s="89">
        <f>IFERROR(__xludf.DUMMYFUNCTION("INDEX(SPLIT(SUBSTITUTE(W518,CHAR(10), """"),"",:""), MATCH(Z518, SPLIT(SUBSTITUTE(W518,CHAR(10), """"),"",:""), 0) + 1)"),2.0)</f>
        <v>2</v>
      </c>
      <c r="W518" s="85" t="s">
        <v>1962</v>
      </c>
      <c r="X518" s="16" t="s">
        <v>2430</v>
      </c>
      <c r="Y518" s="53" t="s">
        <v>3341</v>
      </c>
      <c r="Z518" s="53" t="str">
        <f t="array" ref="Z518">INDEX(Problems!J:J, MATCH(1, (Problems!B:B=B518)*1, 0))</f>
        <v>n</v>
      </c>
      <c r="AA518" s="53"/>
      <c r="AB518" s="53"/>
      <c r="AC518" s="53"/>
      <c r="AD518" s="53" t="s">
        <v>3342</v>
      </c>
      <c r="AE518" s="85">
        <f>IFERROR(__xludf.DUMMYFUNCTION("INDEX(SPLIT(SUBSTITUTE(AF518,CHAR(10), """"),"",:""), MATCH(Z518, SPLIT(SUBSTITUTE(AF518,CHAR(10), """"),"",:""), 0) + 1)"),3.0)</f>
        <v>3</v>
      </c>
      <c r="AF518" s="85" t="s">
        <v>1763</v>
      </c>
      <c r="AG518" s="53" t="s">
        <v>3902</v>
      </c>
      <c r="AH518" s="53" t="s">
        <v>3903</v>
      </c>
      <c r="AI518" s="84">
        <v>1.0</v>
      </c>
      <c r="AJ518" s="84">
        <v>0.0</v>
      </c>
      <c r="AK518" s="87"/>
      <c r="AL518" s="81">
        <v>0.0</v>
      </c>
      <c r="AM518" s="87"/>
      <c r="AN518" s="81">
        <v>0.0</v>
      </c>
      <c r="AO518" s="90"/>
      <c r="AP518" s="81">
        <v>0.0</v>
      </c>
      <c r="AQ518" s="81">
        <v>0.0</v>
      </c>
      <c r="AR518" s="39"/>
      <c r="AS518" s="81">
        <v>0.0</v>
      </c>
      <c r="AT518" s="81">
        <v>0.0</v>
      </c>
      <c r="AU518" s="39"/>
      <c r="AV518" s="7" t="s">
        <v>3345</v>
      </c>
      <c r="AW518" s="82"/>
      <c r="AX518" s="82"/>
      <c r="AY518" s="7"/>
      <c r="AZ518" s="7"/>
      <c r="BA518" s="7"/>
      <c r="BB518" s="7"/>
      <c r="BC518" s="7"/>
      <c r="BD518" s="7"/>
      <c r="BE518" s="7"/>
      <c r="BF518" s="7">
        <v>9.965</v>
      </c>
      <c r="BG518" s="82">
        <f>1000/BF518</f>
        <v>100.3512293</v>
      </c>
      <c r="BH518" s="82"/>
      <c r="BI518" s="82"/>
      <c r="BJ518" s="82"/>
      <c r="BK518" s="82"/>
      <c r="BL518" s="82"/>
      <c r="BM518" s="82"/>
      <c r="BN518" s="7"/>
      <c r="BO518" s="7">
        <v>6.0</v>
      </c>
      <c r="BP518" s="82"/>
      <c r="BQ518" s="7"/>
      <c r="BR518" s="7" t="s">
        <v>490</v>
      </c>
    </row>
    <row r="519">
      <c r="A519" s="16">
        <v>30.0</v>
      </c>
      <c r="B519" s="16" t="s">
        <v>486</v>
      </c>
      <c r="C519" s="53">
        <v>1.0</v>
      </c>
      <c r="D519" s="53"/>
      <c r="E519" s="7">
        <v>305.0</v>
      </c>
      <c r="F519" s="53"/>
      <c r="G519" s="7"/>
      <c r="H519" s="16">
        <v>1.0</v>
      </c>
      <c r="I519" s="81">
        <v>1.0</v>
      </c>
      <c r="J519" s="39" t="s">
        <v>1963</v>
      </c>
      <c r="K519" s="53" t="s">
        <v>2117</v>
      </c>
      <c r="L519" s="53" t="s">
        <v>484</v>
      </c>
      <c r="M519" s="39" t="str">
        <f t="shared" si="1"/>
        <v>[https://ieeexplore.ieee.org/document/113817 Chan-Singhal-Liu (1990)]</v>
      </c>
      <c r="N519" s="39" t="s">
        <v>3904</v>
      </c>
      <c r="O519" s="81">
        <v>1990.0</v>
      </c>
      <c r="P519" s="28" t="s">
        <v>3905</v>
      </c>
      <c r="Q519" s="82"/>
      <c r="R519" s="82"/>
      <c r="S519" s="82"/>
      <c r="T519" s="81">
        <v>0.0</v>
      </c>
      <c r="U519" s="16">
        <v>0.0</v>
      </c>
      <c r="V519" s="89">
        <f>IFERROR(__xludf.DUMMYFUNCTION("INDEX(SPLIT(SUBSTITUTE(W519,CHAR(10), """"),"",:""), MATCH(Z519, SPLIT(SUBSTITUTE(W519,CHAR(10), """"),"",:""), 0) + 1)"),2.0)</f>
        <v>2</v>
      </c>
      <c r="W519" s="85" t="s">
        <v>1962</v>
      </c>
      <c r="X519" s="16" t="s">
        <v>2430</v>
      </c>
      <c r="Y519" s="53" t="s">
        <v>3341</v>
      </c>
      <c r="Z519" s="53" t="str">
        <f t="array" ref="Z519">INDEX(Problems!J:J, MATCH(1, (Problems!B:B=B519)*1, 0))</f>
        <v>n</v>
      </c>
      <c r="AA519" s="53"/>
      <c r="AB519" s="53"/>
      <c r="AC519" s="53"/>
      <c r="AD519" s="53" t="s">
        <v>3342</v>
      </c>
      <c r="AE519" s="85">
        <f>IFERROR(__xludf.DUMMYFUNCTION("INDEX(SPLIT(SUBSTITUTE(AF519,CHAR(10), """"),"",:""), MATCH(Z519, SPLIT(SUBSTITUTE(AF519,CHAR(10), """"),"",:""), 0) + 1)"),3.0)</f>
        <v>3</v>
      </c>
      <c r="AF519" s="85" t="s">
        <v>1763</v>
      </c>
      <c r="AG519" s="53" t="s">
        <v>3902</v>
      </c>
      <c r="AH519" s="53" t="s">
        <v>3906</v>
      </c>
      <c r="AI519" s="84">
        <v>1.0</v>
      </c>
      <c r="AJ519" s="84">
        <v>0.0</v>
      </c>
      <c r="AK519" s="87"/>
      <c r="AL519" s="81">
        <v>0.0</v>
      </c>
      <c r="AM519" s="87"/>
      <c r="AN519" s="81">
        <v>0.0</v>
      </c>
      <c r="AO519" s="90"/>
      <c r="AP519" s="81">
        <v>0.0</v>
      </c>
      <c r="AQ519" s="81">
        <v>0.0</v>
      </c>
      <c r="AR519" s="39"/>
      <c r="AS519" s="81">
        <v>0.0</v>
      </c>
      <c r="AT519" s="81">
        <v>0.0</v>
      </c>
      <c r="AU519" s="39"/>
      <c r="AV519" s="7" t="s">
        <v>3345</v>
      </c>
      <c r="AW519" s="82"/>
      <c r="AX519" s="82"/>
      <c r="AY519" s="7"/>
      <c r="AZ519" s="7"/>
      <c r="BA519" s="7"/>
      <c r="BB519" s="7"/>
      <c r="BC519" s="7"/>
      <c r="BD519" s="7"/>
      <c r="BE519" s="7"/>
      <c r="BF519" s="7">
        <v>9.965</v>
      </c>
      <c r="BG519" s="82">
        <f>BF$315/BF519</f>
        <v>100.3512293</v>
      </c>
      <c r="BH519" s="82">
        <f>POW(BG519,1/($O519-$O$315)) - 1</f>
        <v>0.3338136837</v>
      </c>
      <c r="BI519" s="82">
        <f>LOG(1000000,2)</f>
        <v>19.93156857</v>
      </c>
      <c r="BJ519" s="82">
        <f>BI$315/BI519</f>
        <v>50171.66594</v>
      </c>
      <c r="BK519" s="82">
        <f>POW(BJ519,1/($O519-$O$315)) - 1</f>
        <v>0.966883593</v>
      </c>
      <c r="BL519" s="82">
        <f>LOG(1000000000,2)</f>
        <v>29.89735285</v>
      </c>
      <c r="BM519" s="82">
        <f>BL$315/BL519</f>
        <v>33447777.3</v>
      </c>
      <c r="BN519" s="82">
        <f>POW(BM519,1/($O519-$O$315)) - 1</f>
        <v>1.953064644</v>
      </c>
      <c r="BO519" s="7">
        <v>6.0</v>
      </c>
      <c r="BP519" s="82"/>
      <c r="BQ519" s="7"/>
      <c r="BR519" s="7" t="s">
        <v>490</v>
      </c>
    </row>
    <row r="520">
      <c r="A520" s="16">
        <v>31.0</v>
      </c>
      <c r="B520" s="16" t="s">
        <v>491</v>
      </c>
      <c r="C520" s="53">
        <v>2.0</v>
      </c>
      <c r="D520" s="53" t="s">
        <v>497</v>
      </c>
      <c r="E520" s="7">
        <v>306.0</v>
      </c>
      <c r="F520" s="53" t="s">
        <v>3907</v>
      </c>
      <c r="G520" s="7"/>
      <c r="H520" s="16">
        <v>1.0</v>
      </c>
      <c r="I520" s="48">
        <v>0.0</v>
      </c>
      <c r="J520" s="21" t="s">
        <v>3908</v>
      </c>
      <c r="K520" s="53"/>
      <c r="L520" s="53"/>
      <c r="M520" s="39" t="str">
        <f t="shared" si="1"/>
        <v>[https://dl.acm.org/doi/pdf/10.1145/1007352.1007372?casa_token=k60CrC_UJp0AAAAA:yGVve4fRNbftRM0P7aaEbq8OIlxa4nRy8-CjZErlGrBwBfPEt0ECHGYc8Ei48rdA9W9NoY73xC2W Spielman, Teng  (2004)]</v>
      </c>
      <c r="N520" s="16" t="s">
        <v>3909</v>
      </c>
      <c r="O520" s="81">
        <v>2004.0</v>
      </c>
      <c r="P520" s="96" t="s">
        <v>3910</v>
      </c>
      <c r="Q520" s="82"/>
      <c r="R520" s="82"/>
      <c r="S520" s="82"/>
      <c r="T520" s="16">
        <v>0.0</v>
      </c>
      <c r="U520" s="16">
        <v>0.0</v>
      </c>
      <c r="V520" s="89">
        <f>IFERROR(__xludf.DUMMYFUNCTION("INDEX(SPLIT(SUBSTITUTE(W520,CHAR(10), """"),"",:""), MATCH(Z520, SPLIT(SUBSTITUTE(W520,CHAR(10), """"),"",:""), 0) + 1)"),4.0)</f>
        <v>4</v>
      </c>
      <c r="W520" s="85" t="s">
        <v>3911</v>
      </c>
      <c r="X520" s="21" t="s">
        <v>3912</v>
      </c>
      <c r="Y520" s="53" t="s">
        <v>3913</v>
      </c>
      <c r="Z520" s="53" t="str">
        <f t="array" ref="Z520">INDEX(Problems!J:J, MATCH(1, (Problems!B:B=B520)*1, 0))</f>
        <v>n^2</v>
      </c>
      <c r="AA520" s="53"/>
      <c r="AB520" s="53"/>
      <c r="AC520" s="53" t="s">
        <v>1813</v>
      </c>
      <c r="AD520" s="53" t="s">
        <v>1814</v>
      </c>
      <c r="AE520" s="85">
        <f>IFERROR(__xludf.DUMMYFUNCTION("INDEX(SPLIT(SUBSTITUTE(AF520,CHAR(10), """"),"",:""), MATCH(Z520, SPLIT(SUBSTITUTE(AF520,CHAR(10), """"),"",:""), 0) + 1)"),2.5)</f>
        <v>2.5</v>
      </c>
      <c r="AF520" s="85" t="s">
        <v>1903</v>
      </c>
      <c r="AG520" s="53" t="s">
        <v>35</v>
      </c>
      <c r="AH520" s="53" t="s">
        <v>3914</v>
      </c>
      <c r="AI520" s="84">
        <v>1.0</v>
      </c>
      <c r="AJ520" s="84">
        <v>0.0</v>
      </c>
      <c r="AK520" s="87"/>
      <c r="AL520" s="81">
        <v>0.0</v>
      </c>
      <c r="AM520" s="21"/>
      <c r="AN520" s="48">
        <v>1.0</v>
      </c>
      <c r="AO520" s="21" t="s">
        <v>3915</v>
      </c>
      <c r="AP520" s="16">
        <v>0.0</v>
      </c>
      <c r="AQ520" s="16">
        <v>0.0</v>
      </c>
      <c r="AR520" s="39"/>
      <c r="AS520" s="81">
        <v>0.0</v>
      </c>
      <c r="AT520" s="81">
        <v>0.0</v>
      </c>
      <c r="AU520" s="25" t="s">
        <v>3916</v>
      </c>
      <c r="AV520" s="7" t="s">
        <v>3917</v>
      </c>
      <c r="AW520" s="82"/>
      <c r="AX520" s="82"/>
      <c r="AY520" s="7"/>
      <c r="AZ520" s="82"/>
      <c r="BA520" s="82"/>
      <c r="BB520" s="82"/>
      <c r="BC520" s="82"/>
      <c r="BD520" s="82"/>
      <c r="BE520" s="82"/>
      <c r="BF520" s="82"/>
      <c r="BG520" s="82"/>
      <c r="BH520" s="82"/>
      <c r="BI520" s="82"/>
      <c r="BJ520" s="82"/>
      <c r="BK520" s="82"/>
      <c r="BL520" s="82"/>
      <c r="BM520" s="82"/>
      <c r="BN520" s="7"/>
      <c r="BO520" s="7">
        <v>1.0</v>
      </c>
      <c r="BP520" s="82"/>
      <c r="BQ520" s="7"/>
      <c r="BR520" s="7" t="s">
        <v>144</v>
      </c>
    </row>
    <row r="521">
      <c r="A521" s="16">
        <v>31.0</v>
      </c>
      <c r="B521" s="16" t="s">
        <v>491</v>
      </c>
      <c r="C521" s="53">
        <v>2.0</v>
      </c>
      <c r="D521" s="53" t="s">
        <v>497</v>
      </c>
      <c r="E521" s="7">
        <v>307.0</v>
      </c>
      <c r="F521" s="53" t="s">
        <v>3918</v>
      </c>
      <c r="G521" s="7"/>
      <c r="H521" s="16">
        <v>1.0</v>
      </c>
      <c r="I521" s="48">
        <v>0.0</v>
      </c>
      <c r="J521" s="21" t="s">
        <v>3919</v>
      </c>
      <c r="K521" s="53"/>
      <c r="L521" s="53"/>
      <c r="M521" s="39" t="str">
        <f t="shared" si="1"/>
        <v>[ Vaidya (1990)]</v>
      </c>
      <c r="N521" s="16" t="s">
        <v>3920</v>
      </c>
      <c r="O521" s="81">
        <v>1990.0</v>
      </c>
      <c r="P521" s="39"/>
      <c r="Q521" s="82"/>
      <c r="R521" s="82"/>
      <c r="S521" s="82"/>
      <c r="T521" s="16">
        <v>1.0</v>
      </c>
      <c r="U521" s="16">
        <v>0.0</v>
      </c>
      <c r="V521" s="89">
        <f>IFERROR(__xludf.DUMMYFUNCTION("INDEX(SPLIT(SUBSTITUTE(W521,CHAR(10), """"),"",:""), MATCH(Z521, SPLIT(SUBSTITUTE(W521,CHAR(10), """"),"",:""), 0) + 1)"),4.375)</f>
        <v>4.375</v>
      </c>
      <c r="W521" s="85" t="s">
        <v>3921</v>
      </c>
      <c r="X521" s="21" t="s">
        <v>3919</v>
      </c>
      <c r="Y521" s="53" t="s">
        <v>3913</v>
      </c>
      <c r="Z521" s="53" t="str">
        <f t="array" ref="Z521">INDEX(Problems!J:J, MATCH(1, (Problems!B:B=B521)*1, 0))</f>
        <v>n^2</v>
      </c>
      <c r="AA521" s="53"/>
      <c r="AB521" s="53"/>
      <c r="AC521" s="53" t="s">
        <v>1813</v>
      </c>
      <c r="AD521" s="53" t="s">
        <v>1814</v>
      </c>
      <c r="AE521" s="85">
        <f>IFERROR(__xludf.DUMMYFUNCTION("INDEX(SPLIT(SUBSTITUTE(AF521,CHAR(10), """"),"",:""), MATCH(Z521, SPLIT(SUBSTITUTE(AF521,CHAR(10), """"),"",:""), 0) + 1)"),2.5)</f>
        <v>2.5</v>
      </c>
      <c r="AF521" s="85" t="s">
        <v>1903</v>
      </c>
      <c r="AG521" s="53" t="s">
        <v>35</v>
      </c>
      <c r="AH521" s="53" t="s">
        <v>3922</v>
      </c>
      <c r="AI521" s="84">
        <v>1.0</v>
      </c>
      <c r="AJ521" s="84">
        <v>0.0</v>
      </c>
      <c r="AK521" s="87"/>
      <c r="AL521" s="81">
        <v>0.0</v>
      </c>
      <c r="AM521" s="21"/>
      <c r="AN521" s="48">
        <v>1.0</v>
      </c>
      <c r="AO521" s="21" t="s">
        <v>3915</v>
      </c>
      <c r="AP521" s="16">
        <v>0.0</v>
      </c>
      <c r="AQ521" s="16">
        <v>0.0</v>
      </c>
      <c r="AR521" s="39"/>
      <c r="AS521" s="81">
        <v>0.0</v>
      </c>
      <c r="AT521" s="81">
        <v>0.0</v>
      </c>
      <c r="AU521" s="25" t="s">
        <v>3916</v>
      </c>
      <c r="AV521" s="7" t="s">
        <v>3917</v>
      </c>
      <c r="AW521" s="82"/>
      <c r="AX521" s="82"/>
      <c r="AY521" s="7"/>
      <c r="AZ521" s="82"/>
      <c r="BA521" s="82"/>
      <c r="BB521" s="82"/>
      <c r="BC521" s="82"/>
      <c r="BD521" s="82"/>
      <c r="BE521" s="82"/>
      <c r="BF521" s="82">
        <f>POW(1000,2)*LOG(LOG(100,2),2)</f>
        <v>2732020.846</v>
      </c>
      <c r="BG521" s="7" t="s">
        <v>1781</v>
      </c>
      <c r="BH521" s="82"/>
      <c r="BI521" s="82">
        <f>POW(1000000,2)*LOG(LOG(100,2),2)</f>
        <v>2732020845645</v>
      </c>
      <c r="BJ521" s="7" t="s">
        <v>1781</v>
      </c>
      <c r="BK521" s="82"/>
      <c r="BL521" s="82">
        <f>POW(1000000000,2)*LOG(LOG(100,2),2)</f>
        <v>2.73202E+18</v>
      </c>
      <c r="BM521" s="7" t="s">
        <v>1781</v>
      </c>
      <c r="BN521" s="7"/>
      <c r="BO521" s="7">
        <v>1.0</v>
      </c>
      <c r="BP521" s="82"/>
      <c r="BQ521" s="7"/>
      <c r="BR521" s="7" t="s">
        <v>144</v>
      </c>
    </row>
    <row r="522">
      <c r="A522" s="16">
        <v>31.0</v>
      </c>
      <c r="B522" s="16" t="s">
        <v>491</v>
      </c>
      <c r="C522" s="53">
        <v>2.0</v>
      </c>
      <c r="D522" s="53" t="s">
        <v>497</v>
      </c>
      <c r="E522" s="7">
        <v>308.0</v>
      </c>
      <c r="F522" s="53" t="s">
        <v>3923</v>
      </c>
      <c r="G522" s="7"/>
      <c r="H522" s="16">
        <v>1.0</v>
      </c>
      <c r="I522" s="16">
        <v>1.0</v>
      </c>
      <c r="J522" s="39" t="s">
        <v>115</v>
      </c>
      <c r="K522" s="53"/>
      <c r="L522" s="53"/>
      <c r="M522" s="39" t="str">
        <f t="shared" si="1"/>
        <v>[https://www.cs.cmu.edu/~glmiller/Publications/Papers/GrMiZa94-tr.pdf Gremban; Miller; Zagha (1995)]</v>
      </c>
      <c r="N522" s="16" t="s">
        <v>3924</v>
      </c>
      <c r="O522" s="81">
        <v>1995.0</v>
      </c>
      <c r="P522" s="28" t="s">
        <v>3925</v>
      </c>
      <c r="Q522" s="82"/>
      <c r="R522" s="82"/>
      <c r="S522" s="82"/>
      <c r="T522" s="16">
        <v>1.0</v>
      </c>
      <c r="U522" s="16" t="s">
        <v>2425</v>
      </c>
      <c r="V522" s="89">
        <f>IFERROR(__xludf.DUMMYFUNCTION("INDEX(SPLIT(SUBSTITUTE(W522,CHAR(10), """"),"",:""), MATCH(Z522, SPLIT(SUBSTITUTE(W522,CHAR(10), """"),"",:""), 0) + 1)"),3.0)</f>
        <v>3</v>
      </c>
      <c r="W522" s="85" t="s">
        <v>2059</v>
      </c>
      <c r="X522" s="39" t="s">
        <v>115</v>
      </c>
      <c r="Y522" s="53" t="s">
        <v>3393</v>
      </c>
      <c r="Z522" s="53" t="str">
        <f t="array" ref="Z522">INDEX(Problems!J:J, MATCH(1, (Problems!B:B=B522)*1, 0))</f>
        <v>n^2</v>
      </c>
      <c r="AA522" s="53"/>
      <c r="AB522" s="53"/>
      <c r="AC522" s="53" t="s">
        <v>1813</v>
      </c>
      <c r="AD522" s="53" t="s">
        <v>1814</v>
      </c>
      <c r="AE522" s="85">
        <f>IFERROR(__xludf.DUMMYFUNCTION("INDEX(SPLIT(SUBSTITUTE(AF522,CHAR(10), """"),"",:""), MATCH(Z522, SPLIT(SUBSTITUTE(AF522,CHAR(10), """"),"",:""), 0) + 1)"),3.0)</f>
        <v>3</v>
      </c>
      <c r="AF522" s="85" t="s">
        <v>2059</v>
      </c>
      <c r="AG522" s="53" t="s">
        <v>115</v>
      </c>
      <c r="AH522" s="91" t="s">
        <v>3925</v>
      </c>
      <c r="AI522" s="84">
        <v>0.0</v>
      </c>
      <c r="AJ522" s="84">
        <v>1.0</v>
      </c>
      <c r="AK522" s="87"/>
      <c r="AL522" s="81">
        <v>0.0</v>
      </c>
      <c r="AM522" s="21"/>
      <c r="AN522" s="48">
        <v>1.0</v>
      </c>
      <c r="AO522" s="21" t="s">
        <v>1182</v>
      </c>
      <c r="AP522" s="16">
        <v>0.0</v>
      </c>
      <c r="AQ522" s="16">
        <v>0.0</v>
      </c>
      <c r="AR522" s="39"/>
      <c r="AS522" s="81">
        <v>0.0</v>
      </c>
      <c r="AT522" s="81">
        <v>0.0</v>
      </c>
      <c r="AU522" s="39"/>
      <c r="AV522" s="7" t="s">
        <v>3917</v>
      </c>
      <c r="AW522" s="82"/>
      <c r="AX522" s="82"/>
      <c r="AY522" s="7"/>
      <c r="AZ522" s="82"/>
      <c r="BA522" s="82"/>
      <c r="BB522" s="82"/>
      <c r="BC522" s="82"/>
      <c r="BD522" s="82"/>
      <c r="BE522" s="82"/>
      <c r="BF522" s="82">
        <f>POW(1000, 2)</f>
        <v>1000000</v>
      </c>
      <c r="BG522" s="7" t="s">
        <v>1781</v>
      </c>
      <c r="BH522" s="82"/>
      <c r="BI522" s="82">
        <f>POW(1000000,2)</f>
        <v>1000000000000</v>
      </c>
      <c r="BJ522" s="7" t="s">
        <v>1781</v>
      </c>
      <c r="BK522" s="82"/>
      <c r="BL522" s="82">
        <f>POW(1000000000,2)</f>
        <v>1E+18</v>
      </c>
      <c r="BM522" s="7" t="s">
        <v>1781</v>
      </c>
      <c r="BN522" s="7"/>
      <c r="BO522" s="7">
        <v>1.0</v>
      </c>
      <c r="BP522" s="82"/>
      <c r="BQ522" s="7"/>
      <c r="BR522" s="7" t="s">
        <v>144</v>
      </c>
    </row>
    <row r="523">
      <c r="A523" s="16">
        <v>31.0</v>
      </c>
      <c r="B523" s="16" t="s">
        <v>491</v>
      </c>
      <c r="C523" s="53">
        <v>0.001</v>
      </c>
      <c r="D523" s="53" t="s">
        <v>497</v>
      </c>
      <c r="E523" s="7">
        <v>309.0</v>
      </c>
      <c r="F523" s="53" t="s">
        <v>3926</v>
      </c>
      <c r="G523" s="7"/>
      <c r="H523" s="16">
        <v>1.0</v>
      </c>
      <c r="I523" s="16">
        <v>1.0</v>
      </c>
      <c r="J523" s="39" t="s">
        <v>2705</v>
      </c>
      <c r="K523" s="53"/>
      <c r="L523" s="53"/>
      <c r="M523" s="39" t="str">
        <f t="shared" si="1"/>
        <v>[https://dl.acm.org/citation.cfm?id=1117896 Bern; Gilbert;  Hendrickson (2006)]</v>
      </c>
      <c r="N523" s="16" t="s">
        <v>3927</v>
      </c>
      <c r="O523" s="81">
        <v>2006.0</v>
      </c>
      <c r="P523" s="28" t="s">
        <v>3928</v>
      </c>
      <c r="Q523" s="82"/>
      <c r="R523" s="82"/>
      <c r="S523" s="82"/>
      <c r="T523" s="16">
        <v>0.0</v>
      </c>
      <c r="U523" s="16">
        <v>0.0</v>
      </c>
      <c r="V523" s="89">
        <f>IFERROR(__xludf.DUMMYFUNCTION("INDEX(SPLIT(SUBSTITUTE(W523,CHAR(10), """"),"",:""), MATCH(Z523, SPLIT(SUBSTITUTE(W523,CHAR(10), """"),"",:""), 0) + 1)"),2.501)</f>
        <v>2.501</v>
      </c>
      <c r="W523" s="85" t="s">
        <v>3929</v>
      </c>
      <c r="X523" s="16" t="s">
        <v>3930</v>
      </c>
      <c r="Y523" s="53"/>
      <c r="Z523" s="53" t="str">
        <f t="array" ref="Z523">INDEX(Problems!J:J, MATCH(1, (Problems!B:B=B523)*1, 0))</f>
        <v>n^2</v>
      </c>
      <c r="AA523" s="53"/>
      <c r="AB523" s="53"/>
      <c r="AC523" s="53"/>
      <c r="AD523" s="53"/>
      <c r="AE523" s="85" t="str">
        <f>IFERROR(__xludf.DUMMYFUNCTION("INDEX(SPLIT(SUBSTITUTE(AF523,CHAR(10), """"),"",:""), MATCH(Z523, SPLIT(SUBSTITUTE(AF523,CHAR(10), """"),"",:""), 0) + 1)"),"#VALUE!")</f>
        <v>#VALUE!</v>
      </c>
      <c r="AF523" s="131"/>
      <c r="AG523" s="53"/>
      <c r="AH523" s="53"/>
      <c r="AI523" s="87"/>
      <c r="AJ523" s="84" t="s">
        <v>2520</v>
      </c>
      <c r="AK523" s="87"/>
      <c r="AL523" s="81">
        <v>0.0</v>
      </c>
      <c r="AM523" s="21"/>
      <c r="AN523" s="16">
        <v>0.0</v>
      </c>
      <c r="AO523" s="90"/>
      <c r="AP523" s="16">
        <v>0.0</v>
      </c>
      <c r="AQ523" s="16">
        <v>0.0</v>
      </c>
      <c r="AR523" s="39"/>
      <c r="AS523" s="81">
        <v>0.0</v>
      </c>
      <c r="AT523" s="81">
        <v>0.0</v>
      </c>
      <c r="AU523" s="39"/>
      <c r="AV523" s="7" t="s">
        <v>3917</v>
      </c>
      <c r="AW523" s="82"/>
      <c r="AX523" s="82"/>
      <c r="AY523" s="7"/>
      <c r="AZ523" s="82"/>
      <c r="BA523" s="82"/>
      <c r="BB523" s="82"/>
      <c r="BC523" s="82"/>
      <c r="BD523" s="82"/>
      <c r="BE523" s="82"/>
      <c r="BF523" s="82"/>
      <c r="BG523" s="82"/>
      <c r="BH523" s="82"/>
      <c r="BI523" s="82"/>
      <c r="BJ523" s="82"/>
      <c r="BK523" s="82"/>
      <c r="BL523" s="82"/>
      <c r="BM523" s="82"/>
      <c r="BN523" s="7"/>
      <c r="BO523" s="7">
        <v>1.0</v>
      </c>
      <c r="BP523" s="82"/>
      <c r="BQ523" s="7"/>
      <c r="BR523" s="7" t="s">
        <v>144</v>
      </c>
    </row>
    <row r="524">
      <c r="A524" s="16">
        <v>31.0</v>
      </c>
      <c r="B524" s="16" t="s">
        <v>491</v>
      </c>
      <c r="C524" s="53">
        <v>0.001</v>
      </c>
      <c r="D524" s="53" t="s">
        <v>497</v>
      </c>
      <c r="E524" s="7">
        <v>310.0</v>
      </c>
      <c r="F524" s="53"/>
      <c r="G524" s="7"/>
      <c r="H524" s="16">
        <v>1.0</v>
      </c>
      <c r="I524" s="48">
        <v>0.0</v>
      </c>
      <c r="J524" s="21" t="s">
        <v>3931</v>
      </c>
      <c r="K524" s="53"/>
      <c r="L524" s="53"/>
      <c r="M524" s="39" t="str">
        <f t="shared" si="1"/>
        <v>[https://epubs.siam.org/doi/10.1137/S0895479801390637 Boman; Hendrickson (2003)]</v>
      </c>
      <c r="N524" s="16" t="s">
        <v>3932</v>
      </c>
      <c r="O524" s="81">
        <v>2003.0</v>
      </c>
      <c r="P524" s="28" t="s">
        <v>3933</v>
      </c>
      <c r="Q524" s="82"/>
      <c r="R524" s="82"/>
      <c r="S524" s="82"/>
      <c r="T524" s="16">
        <v>1.0</v>
      </c>
      <c r="U524" s="16">
        <v>0.0</v>
      </c>
      <c r="V524" s="89">
        <f>IFERROR(__xludf.DUMMYFUNCTION("INDEX(SPLIT(SUBSTITUTE(W524,CHAR(10), """"),"",:""), MATCH(Z524, SPLIT(SUBSTITUTE(W524,CHAR(10), """"),"",:""), 0) + 1)"),4.25)</f>
        <v>4.25</v>
      </c>
      <c r="W524" s="85" t="s">
        <v>3934</v>
      </c>
      <c r="X524" s="21" t="s">
        <v>3931</v>
      </c>
      <c r="Y524" s="53" t="s">
        <v>3913</v>
      </c>
      <c r="Z524" s="53" t="str">
        <f t="array" ref="Z524">INDEX(Problems!J:J, MATCH(1, (Problems!B:B=B524)*1, 0))</f>
        <v>n^2</v>
      </c>
      <c r="AA524" s="53"/>
      <c r="AB524" s="53"/>
      <c r="AC524" s="53"/>
      <c r="AD524" s="53"/>
      <c r="AE524" s="85" t="str">
        <f>IFERROR(__xludf.DUMMYFUNCTION("INDEX(SPLIT(SUBSTITUTE(AF524,CHAR(10), """"),"",:""), MATCH(Z524, SPLIT(SUBSTITUTE(AF524,CHAR(10), """"),"",:""), 0) + 1)"),"#VALUE!")</f>
        <v>#VALUE!</v>
      </c>
      <c r="AF524" s="131"/>
      <c r="AG524" s="53"/>
      <c r="AH524" s="53"/>
      <c r="AI524" s="87"/>
      <c r="AJ524" s="84" t="s">
        <v>2520</v>
      </c>
      <c r="AK524" s="87"/>
      <c r="AL524" s="81">
        <v>0.0</v>
      </c>
      <c r="AM524" s="21"/>
      <c r="AN524" s="48">
        <v>1.0</v>
      </c>
      <c r="AO524" s="21" t="s">
        <v>3915</v>
      </c>
      <c r="AP524" s="16">
        <v>0.0</v>
      </c>
      <c r="AQ524" s="16">
        <v>0.0</v>
      </c>
      <c r="AR524" s="39"/>
      <c r="AS524" s="81">
        <v>0.0</v>
      </c>
      <c r="AT524" s="81">
        <v>0.0</v>
      </c>
      <c r="AU524" s="25" t="s">
        <v>3916</v>
      </c>
      <c r="AV524" s="7" t="s">
        <v>3917</v>
      </c>
      <c r="AW524" s="82"/>
      <c r="AX524" s="82"/>
      <c r="AY524" s="7"/>
      <c r="AZ524" s="7"/>
      <c r="BA524" s="7"/>
      <c r="BB524" s="7"/>
      <c r="BC524" s="7"/>
      <c r="BD524" s="7"/>
      <c r="BE524" s="7"/>
      <c r="BF524" s="7">
        <f>1000*LOG(LOG(1000,2),2)</f>
        <v>3316.983346</v>
      </c>
      <c r="BG524" s="7" t="s">
        <v>1781</v>
      </c>
      <c r="BH524" s="82"/>
      <c r="BI524" s="82">
        <f>1000000*LOG(LOG(1000000,2),2)</f>
        <v>4316983.346</v>
      </c>
      <c r="BJ524" s="7" t="s">
        <v>1781</v>
      </c>
      <c r="BK524" s="152"/>
      <c r="BL524" s="152">
        <f>1000000000*LOG(LOG(1000000000,2),2)</f>
        <v>4901945847</v>
      </c>
      <c r="BM524" s="7" t="s">
        <v>1781</v>
      </c>
      <c r="BN524" s="7"/>
      <c r="BO524" s="7">
        <v>1.0</v>
      </c>
      <c r="BP524" s="82"/>
      <c r="BQ524" s="7"/>
      <c r="BR524" s="7" t="s">
        <v>144</v>
      </c>
    </row>
    <row r="525">
      <c r="A525" s="16">
        <v>31.0</v>
      </c>
      <c r="B525" s="16" t="s">
        <v>491</v>
      </c>
      <c r="C525" s="53">
        <v>2.0</v>
      </c>
      <c r="D525" s="53" t="s">
        <v>497</v>
      </c>
      <c r="E525" s="7">
        <v>311.0</v>
      </c>
      <c r="F525" s="53" t="s">
        <v>3935</v>
      </c>
      <c r="G525" s="7"/>
      <c r="H525" s="16">
        <v>1.0</v>
      </c>
      <c r="I525" s="48">
        <v>0.0</v>
      </c>
      <c r="J525" s="39" t="s">
        <v>3936</v>
      </c>
      <c r="K525" s="53"/>
      <c r="L525" s="53"/>
      <c r="M525" s="39" t="str">
        <f t="shared" si="1"/>
        <v>[https://onlinelibrary.wiley.com/doi/abs/10.1002/nla.343 Boman; Chen; Hendrickson; Toledo (2004)]</v>
      </c>
      <c r="N525" s="16" t="s">
        <v>3937</v>
      </c>
      <c r="O525" s="81">
        <v>2004.0</v>
      </c>
      <c r="P525" s="28" t="s">
        <v>3938</v>
      </c>
      <c r="Q525" s="82"/>
      <c r="R525" s="82"/>
      <c r="S525" s="82"/>
      <c r="T525" s="16">
        <v>0.0</v>
      </c>
      <c r="U525" s="16">
        <v>0.0</v>
      </c>
      <c r="V525" s="89">
        <f>IFERROR(__xludf.DUMMYFUNCTION("INDEX(SPLIT(SUBSTITUTE(W525,CHAR(10), """"),"",:""), MATCH(Z525, SPLIT(SUBSTITUTE(W525,CHAR(10), """"),"",:""), 0) + 1)"),2.5)</f>
        <v>2.5</v>
      </c>
      <c r="W525" s="85" t="s">
        <v>1903</v>
      </c>
      <c r="X525" s="16" t="s">
        <v>3939</v>
      </c>
      <c r="Y525" s="53" t="s">
        <v>3913</v>
      </c>
      <c r="Z525" s="53" t="str">
        <f t="array" ref="Z525">INDEX(Problems!J:J, MATCH(1, (Problems!B:B=B525)*1, 0))</f>
        <v>n^2</v>
      </c>
      <c r="AA525" s="53"/>
      <c r="AB525" s="53"/>
      <c r="AC525" s="53" t="s">
        <v>1813</v>
      </c>
      <c r="AD525" s="53" t="s">
        <v>1814</v>
      </c>
      <c r="AE525" s="85">
        <f>IFERROR(__xludf.DUMMYFUNCTION("INDEX(SPLIT(SUBSTITUTE(AF525,CHAR(10), """"),"",:""), MATCH(Z525, SPLIT(SUBSTITUTE(AF525,CHAR(10), """"),"",:""), 0) + 1)"),2.5)</f>
        <v>2.5</v>
      </c>
      <c r="AF525" s="85" t="s">
        <v>1903</v>
      </c>
      <c r="AG525" s="53" t="s">
        <v>35</v>
      </c>
      <c r="AH525" s="53" t="s">
        <v>3940</v>
      </c>
      <c r="AI525" s="84">
        <v>1.0</v>
      </c>
      <c r="AJ525" s="84">
        <v>0.0</v>
      </c>
      <c r="AK525" s="87"/>
      <c r="AL525" s="81">
        <v>0.0</v>
      </c>
      <c r="AM525" s="21"/>
      <c r="AN525" s="48">
        <v>1.0</v>
      </c>
      <c r="AO525" s="21" t="s">
        <v>3915</v>
      </c>
      <c r="AP525" s="16">
        <v>0.0</v>
      </c>
      <c r="AQ525" s="16">
        <v>0.0</v>
      </c>
      <c r="AR525" s="39"/>
      <c r="AS525" s="81">
        <v>0.0</v>
      </c>
      <c r="AT525" s="81">
        <v>0.0</v>
      </c>
      <c r="AU525" s="39"/>
      <c r="AV525" s="7" t="s">
        <v>3917</v>
      </c>
      <c r="AW525" s="82"/>
      <c r="AX525" s="82"/>
      <c r="AY525" s="7"/>
      <c r="AZ525" s="82"/>
      <c r="BA525" s="82"/>
      <c r="BB525" s="82"/>
      <c r="BC525" s="82"/>
      <c r="BD525" s="82"/>
      <c r="BE525" s="82"/>
      <c r="BF525" s="82"/>
      <c r="BG525" s="82"/>
      <c r="BH525" s="82"/>
      <c r="BI525" s="82"/>
      <c r="BJ525" s="82"/>
      <c r="BK525" s="82"/>
      <c r="BL525" s="82"/>
      <c r="BM525" s="82"/>
      <c r="BN525" s="7"/>
      <c r="BO525" s="7">
        <v>1.0</v>
      </c>
      <c r="BP525" s="82"/>
      <c r="BQ525" s="7"/>
      <c r="BR525" s="7" t="s">
        <v>144</v>
      </c>
    </row>
    <row r="526">
      <c r="A526" s="16">
        <v>31.0</v>
      </c>
      <c r="B526" s="16" t="s">
        <v>491</v>
      </c>
      <c r="C526" s="53">
        <v>2.0</v>
      </c>
      <c r="D526" s="53" t="s">
        <v>497</v>
      </c>
      <c r="E526" s="7">
        <v>312.0</v>
      </c>
      <c r="F526" s="53" t="s">
        <v>3941</v>
      </c>
      <c r="G526" s="7"/>
      <c r="H526" s="16">
        <v>1.0</v>
      </c>
      <c r="I526" s="48">
        <v>0.0</v>
      </c>
      <c r="J526" s="21" t="s">
        <v>3942</v>
      </c>
      <c r="K526" s="53"/>
      <c r="L526" s="53"/>
      <c r="M526" s="39" t="str">
        <f t="shared" si="1"/>
        <v>[https://arxiv.org/abs/1102.4842 Koutis; Miller and Peng (2010)]</v>
      </c>
      <c r="N526" s="16" t="s">
        <v>3943</v>
      </c>
      <c r="O526" s="81">
        <v>2010.0</v>
      </c>
      <c r="P526" s="17" t="s">
        <v>3944</v>
      </c>
      <c r="Q526" s="82"/>
      <c r="R526" s="82"/>
      <c r="S526" s="82"/>
      <c r="T526" s="16">
        <v>0.0</v>
      </c>
      <c r="U526" s="16">
        <v>0.0</v>
      </c>
      <c r="V526" s="89">
        <f>IFERROR(__xludf.DUMMYFUNCTION("INDEX(SPLIT(SUBSTITUTE(W526,CHAR(10), """"),"",:""), MATCH(Z526, SPLIT(SUBSTITUTE(W526,CHAR(10), """"),"",:""), 0) + 1)"),4.0)</f>
        <v>4</v>
      </c>
      <c r="W526" s="85" t="s">
        <v>3911</v>
      </c>
      <c r="X526" s="21" t="s">
        <v>3945</v>
      </c>
      <c r="Y526" s="53" t="s">
        <v>3913</v>
      </c>
      <c r="Z526" s="53" t="str">
        <f t="array" ref="Z526">INDEX(Problems!J:J, MATCH(1, (Problems!B:B=B526)*1, 0))</f>
        <v>n^2</v>
      </c>
      <c r="AA526" s="53"/>
      <c r="AB526" s="53"/>
      <c r="AC526" s="53" t="s">
        <v>1813</v>
      </c>
      <c r="AD526" s="53" t="s">
        <v>1814</v>
      </c>
      <c r="AE526" s="85">
        <f>IFERROR(__xludf.DUMMYFUNCTION("INDEX(SPLIT(SUBSTITUTE(AF526,CHAR(10), """"),"",:""), MATCH(Z526, SPLIT(SUBSTITUTE(AF526,CHAR(10), """"),"",:""), 0) + 1)"),2.5)</f>
        <v>2.5</v>
      </c>
      <c r="AF526" s="85" t="s">
        <v>1903</v>
      </c>
      <c r="AG526" s="53" t="s">
        <v>35</v>
      </c>
      <c r="AH526" s="53" t="s">
        <v>3946</v>
      </c>
      <c r="AI526" s="84">
        <v>1.0</v>
      </c>
      <c r="AJ526" s="84">
        <v>0.0</v>
      </c>
      <c r="AK526" s="87"/>
      <c r="AL526" s="81">
        <v>0.0</v>
      </c>
      <c r="AM526" s="21"/>
      <c r="AN526" s="48">
        <v>1.0</v>
      </c>
      <c r="AO526" s="21" t="s">
        <v>3915</v>
      </c>
      <c r="AP526" s="16">
        <v>0.0</v>
      </c>
      <c r="AQ526" s="16">
        <v>0.0</v>
      </c>
      <c r="AR526" s="39"/>
      <c r="AS526" s="81">
        <v>0.0</v>
      </c>
      <c r="AT526" s="81">
        <v>0.0</v>
      </c>
      <c r="AU526" s="39"/>
      <c r="AV526" s="7" t="s">
        <v>3917</v>
      </c>
      <c r="AW526" s="82"/>
      <c r="AX526" s="82"/>
      <c r="AY526" s="7"/>
      <c r="AZ526" s="82"/>
      <c r="BA526" s="82"/>
      <c r="BB526" s="82"/>
      <c r="BC526" s="82"/>
      <c r="BD526" s="82"/>
      <c r="BE526" s="82"/>
      <c r="BF526" s="82"/>
      <c r="BG526" s="82"/>
      <c r="BH526" s="82"/>
      <c r="BI526" s="82"/>
      <c r="BJ526" s="82"/>
      <c r="BK526" s="82"/>
      <c r="BL526" s="82"/>
      <c r="BM526" s="82"/>
      <c r="BN526" s="7"/>
      <c r="BO526" s="7">
        <v>1.0</v>
      </c>
      <c r="BP526" s="82"/>
      <c r="BQ526" s="7"/>
      <c r="BR526" s="7" t="s">
        <v>144</v>
      </c>
    </row>
    <row r="527">
      <c r="A527" s="16">
        <v>31.0</v>
      </c>
      <c r="B527" s="16" t="s">
        <v>491</v>
      </c>
      <c r="C527" s="53">
        <v>2.0</v>
      </c>
      <c r="D527" s="53" t="s">
        <v>497</v>
      </c>
      <c r="E527" s="7">
        <v>313.0</v>
      </c>
      <c r="F527" s="53" t="s">
        <v>3941</v>
      </c>
      <c r="G527" s="7"/>
      <c r="H527" s="16">
        <v>1.0</v>
      </c>
      <c r="I527" s="48">
        <v>0.0</v>
      </c>
      <c r="J527" s="21" t="s">
        <v>3942</v>
      </c>
      <c r="K527" s="53"/>
      <c r="L527" s="53"/>
      <c r="M527" s="39" t="str">
        <f t="shared" si="1"/>
        <v>[https://arxiv.org/abs/1003.2958 Koutis; Miller and Peng (2011)]</v>
      </c>
      <c r="N527" s="16" t="s">
        <v>3943</v>
      </c>
      <c r="O527" s="81">
        <v>2011.0</v>
      </c>
      <c r="P527" s="28" t="s">
        <v>3947</v>
      </c>
      <c r="Q527" s="82"/>
      <c r="R527" s="82"/>
      <c r="S527" s="82"/>
      <c r="T527" s="16">
        <v>0.0</v>
      </c>
      <c r="U527" s="16">
        <v>0.0</v>
      </c>
      <c r="V527" s="89">
        <f>IFERROR(__xludf.DUMMYFUNCTION("INDEX(SPLIT(SUBSTITUTE(W527,CHAR(10), """"),"",:""), MATCH(Z527, SPLIT(SUBSTITUTE(W527,CHAR(10), """"),"",:""), 0) + 1)"),4.0)</f>
        <v>4</v>
      </c>
      <c r="W527" s="85" t="s">
        <v>3911</v>
      </c>
      <c r="X527" s="21" t="s">
        <v>3945</v>
      </c>
      <c r="Y527" s="53" t="s">
        <v>3913</v>
      </c>
      <c r="Z527" s="53" t="str">
        <f t="array" ref="Z527">INDEX(Problems!J:J, MATCH(1, (Problems!B:B=B527)*1, 0))</f>
        <v>n^2</v>
      </c>
      <c r="AA527" s="53"/>
      <c r="AB527" s="53"/>
      <c r="AC527" s="53" t="s">
        <v>1813</v>
      </c>
      <c r="AD527" s="53" t="s">
        <v>1814</v>
      </c>
      <c r="AE527" s="85">
        <f>IFERROR(__xludf.DUMMYFUNCTION("INDEX(SPLIT(SUBSTITUTE(AF527,CHAR(10), """"),"",:""), MATCH(Z527, SPLIT(SUBSTITUTE(AF527,CHAR(10), """"),"",:""), 0) + 1)"),2.5)</f>
        <v>2.5</v>
      </c>
      <c r="AF527" s="85" t="s">
        <v>1903</v>
      </c>
      <c r="AG527" s="53" t="s">
        <v>35</v>
      </c>
      <c r="AH527" s="53" t="s">
        <v>3946</v>
      </c>
      <c r="AI527" s="84">
        <v>1.0</v>
      </c>
      <c r="AJ527" s="84">
        <v>0.0</v>
      </c>
      <c r="AK527" s="87"/>
      <c r="AL527" s="81">
        <v>0.0</v>
      </c>
      <c r="AM527" s="21"/>
      <c r="AN527" s="48">
        <v>1.0</v>
      </c>
      <c r="AO527" s="21" t="s">
        <v>3915</v>
      </c>
      <c r="AP527" s="16">
        <v>0.0</v>
      </c>
      <c r="AQ527" s="16">
        <v>0.0</v>
      </c>
      <c r="AR527" s="39"/>
      <c r="AS527" s="81">
        <v>0.0</v>
      </c>
      <c r="AT527" s="81">
        <v>0.0</v>
      </c>
      <c r="AU527" s="25" t="s">
        <v>3916</v>
      </c>
      <c r="AV527" s="7" t="s">
        <v>3917</v>
      </c>
      <c r="AW527" s="82"/>
      <c r="AX527" s="82"/>
      <c r="AY527" s="7"/>
      <c r="AZ527" s="82"/>
      <c r="BA527" s="82"/>
      <c r="BB527" s="82"/>
      <c r="BC527" s="82"/>
      <c r="BD527" s="82"/>
      <c r="BE527" s="82"/>
      <c r="BF527" s="82"/>
      <c r="BG527" s="82"/>
      <c r="BH527" s="82"/>
      <c r="BI527" s="82"/>
      <c r="BJ527" s="82"/>
      <c r="BK527" s="82"/>
      <c r="BL527" s="82"/>
      <c r="BM527" s="82"/>
      <c r="BN527" s="7"/>
      <c r="BO527" s="7">
        <v>1.0</v>
      </c>
      <c r="BP527" s="82"/>
      <c r="BQ527" s="7"/>
      <c r="BR527" s="7" t="s">
        <v>144</v>
      </c>
    </row>
    <row r="528">
      <c r="A528" s="16">
        <v>31.0</v>
      </c>
      <c r="B528" s="16" t="s">
        <v>491</v>
      </c>
      <c r="C528" s="53">
        <v>2.0</v>
      </c>
      <c r="D528" s="53" t="s">
        <v>497</v>
      </c>
      <c r="E528" s="7">
        <v>314.0</v>
      </c>
      <c r="F528" s="53" t="s">
        <v>3948</v>
      </c>
      <c r="G528" s="7"/>
      <c r="H528" s="16">
        <v>1.0</v>
      </c>
      <c r="I528" s="48">
        <v>0.0</v>
      </c>
      <c r="J528" s="39" t="s">
        <v>1949</v>
      </c>
      <c r="K528" s="53"/>
      <c r="L528" s="53"/>
      <c r="M528" s="39" t="str">
        <f t="shared" si="1"/>
        <v>[https://ieeexplore.ieee.org/document/5644892 Blelloch; Koutis;  Miller; Tangwongsan (2010)]</v>
      </c>
      <c r="N528" s="16" t="s">
        <v>3949</v>
      </c>
      <c r="O528" s="81">
        <v>2010.0</v>
      </c>
      <c r="P528" s="28" t="s">
        <v>3950</v>
      </c>
      <c r="Q528" s="82"/>
      <c r="R528" s="82"/>
      <c r="S528" s="82"/>
      <c r="T528" s="16">
        <v>1.0</v>
      </c>
      <c r="U528" s="16" t="s">
        <v>1952</v>
      </c>
      <c r="V528" s="89">
        <f>IFERROR(__xludf.DUMMYFUNCTION("INDEX(SPLIT(SUBSTITUTE(W528,CHAR(10), """"),"",:""), MATCH(Z528, SPLIT(SUBSTITUTE(W528,CHAR(10), """"),"",:""), 0) + 1)"),2.51)</f>
        <v>2.51</v>
      </c>
      <c r="W528" s="85" t="s">
        <v>3260</v>
      </c>
      <c r="X528" s="16" t="s">
        <v>1953</v>
      </c>
      <c r="Y528" s="53" t="s">
        <v>3951</v>
      </c>
      <c r="Z528" s="53" t="str">
        <f t="array" ref="Z528">INDEX(Problems!J:J, MATCH(1, (Problems!B:B=B528)*1, 0))</f>
        <v>n^2</v>
      </c>
      <c r="AA528" s="53"/>
      <c r="AB528" s="53"/>
      <c r="AC528" s="53" t="s">
        <v>1813</v>
      </c>
      <c r="AD528" s="53" t="s">
        <v>1814</v>
      </c>
      <c r="AE528" s="85">
        <f>IFERROR(__xludf.DUMMYFUNCTION("INDEX(SPLIT(SUBSTITUTE(AF528,CHAR(10), """"),"",:""), MATCH(Z528, SPLIT(SUBSTITUTE(AF528,CHAR(10), """"),"",:""), 0) + 1)"),2.5)</f>
        <v>2.5</v>
      </c>
      <c r="AF528" s="85" t="s">
        <v>3952</v>
      </c>
      <c r="AG528" s="53" t="s">
        <v>3953</v>
      </c>
      <c r="AH528" s="91" t="s">
        <v>3954</v>
      </c>
      <c r="AI528" s="84">
        <v>0.0</v>
      </c>
      <c r="AJ528" s="84">
        <v>1.0</v>
      </c>
      <c r="AK528" s="87"/>
      <c r="AL528" s="81">
        <v>0.0</v>
      </c>
      <c r="AM528" s="21"/>
      <c r="AN528" s="48">
        <v>1.0</v>
      </c>
      <c r="AO528" s="21" t="s">
        <v>1182</v>
      </c>
      <c r="AP528" s="16">
        <v>0.0</v>
      </c>
      <c r="AQ528" s="16">
        <v>0.0</v>
      </c>
      <c r="AR528" s="39"/>
      <c r="AS528" s="81">
        <v>0.0</v>
      </c>
      <c r="AT528" s="81">
        <v>0.0</v>
      </c>
      <c r="AU528" s="39"/>
      <c r="AV528" s="7" t="s">
        <v>3917</v>
      </c>
      <c r="AW528" s="82"/>
      <c r="AX528" s="82"/>
      <c r="AY528" s="7"/>
      <c r="AZ528" s="82"/>
      <c r="BA528" s="82"/>
      <c r="BB528" s="82"/>
      <c r="BC528" s="82"/>
      <c r="BD528" s="82"/>
      <c r="BE528" s="82"/>
      <c r="BF528" s="82">
        <f>1000*LOG(1000,2)</f>
        <v>9965.784285</v>
      </c>
      <c r="BG528" s="7" t="s">
        <v>1781</v>
      </c>
      <c r="BH528" s="82"/>
      <c r="BI528" s="82">
        <f>1000000*LOG(1000000,2)</f>
        <v>19931568.57</v>
      </c>
      <c r="BJ528" s="7" t="s">
        <v>1781</v>
      </c>
      <c r="BK528" s="152"/>
      <c r="BL528" s="152">
        <f>1000000000*LOG(1000000000,2)</f>
        <v>29897352854</v>
      </c>
      <c r="BM528" s="7" t="s">
        <v>1781</v>
      </c>
      <c r="BN528" s="7"/>
      <c r="BO528" s="7">
        <v>1.0</v>
      </c>
      <c r="BP528" s="82"/>
      <c r="BQ528" s="7"/>
      <c r="BR528" s="7" t="s">
        <v>144</v>
      </c>
    </row>
    <row r="529">
      <c r="A529" s="16">
        <v>31.0</v>
      </c>
      <c r="B529" s="16" t="s">
        <v>491</v>
      </c>
      <c r="C529" s="53">
        <v>0.001</v>
      </c>
      <c r="D529" s="53"/>
      <c r="E529" s="7">
        <v>315.0</v>
      </c>
      <c r="F529" s="53" t="s">
        <v>3955</v>
      </c>
      <c r="G529" s="7"/>
      <c r="H529" s="16">
        <v>1.0</v>
      </c>
      <c r="I529" s="16">
        <v>1.0</v>
      </c>
      <c r="J529" s="16" t="s">
        <v>3956</v>
      </c>
      <c r="K529" s="53"/>
      <c r="L529" s="53"/>
      <c r="M529" s="39" t="str">
        <f t="shared" si="1"/>
        <v>[http://www.math.ust.hk/~mamu/courses/531/tutorial_with_corrections.pdf Briggs; Henson; McCormick (2000)]</v>
      </c>
      <c r="N529" s="16" t="s">
        <v>3957</v>
      </c>
      <c r="O529" s="81">
        <v>2000.0</v>
      </c>
      <c r="P529" s="28" t="s">
        <v>3958</v>
      </c>
      <c r="Q529" s="82"/>
      <c r="R529" s="82"/>
      <c r="S529" s="82"/>
      <c r="T529" s="16">
        <v>1.0</v>
      </c>
      <c r="U529" s="16">
        <v>0.0</v>
      </c>
      <c r="V529" s="89">
        <f>IFERROR(__xludf.DUMMYFUNCTION("INDEX(SPLIT(SUBSTITUTE(W529,CHAR(10), """"),"",:""), MATCH(Z529, SPLIT(SUBSTITUTE(W529,CHAR(10), """"),"",:""), 0) + 1)"),2.635)</f>
        <v>2.635</v>
      </c>
      <c r="W529" s="85" t="s">
        <v>3959</v>
      </c>
      <c r="X529" s="16" t="s">
        <v>3960</v>
      </c>
      <c r="Y529" s="53"/>
      <c r="Z529" s="53" t="str">
        <f t="array" ref="Z529">INDEX(Problems!J:J, MATCH(1, (Problems!B:B=B529)*1, 0))</f>
        <v>n^2</v>
      </c>
      <c r="AA529" s="53"/>
      <c r="AB529" s="53"/>
      <c r="AC529" s="53"/>
      <c r="AD529" s="53"/>
      <c r="AE529" s="85" t="str">
        <f>IFERROR(__xludf.DUMMYFUNCTION("INDEX(SPLIT(SUBSTITUTE(AF529,CHAR(10), """"),"",:""), MATCH(Z529, SPLIT(SUBSTITUTE(AF529,CHAR(10), """"),"",:""), 0) + 1)"),"#VALUE!")</f>
        <v>#VALUE!</v>
      </c>
      <c r="AF529" s="131"/>
      <c r="AG529" s="53"/>
      <c r="AH529" s="53"/>
      <c r="AI529" s="87"/>
      <c r="AJ529" s="84" t="s">
        <v>2520</v>
      </c>
      <c r="AK529" s="87"/>
      <c r="AL529" s="81">
        <v>0.0</v>
      </c>
      <c r="AM529" s="21"/>
      <c r="AN529" s="16">
        <v>0.0</v>
      </c>
      <c r="AO529" s="90"/>
      <c r="AP529" s="16">
        <v>0.0</v>
      </c>
      <c r="AQ529" s="16">
        <v>0.0</v>
      </c>
      <c r="AR529" s="39"/>
      <c r="AS529" s="81">
        <v>0.0</v>
      </c>
      <c r="AT529" s="81">
        <v>0.0</v>
      </c>
      <c r="AU529" s="39"/>
      <c r="AV529" s="7" t="s">
        <v>3917</v>
      </c>
      <c r="AW529" s="82"/>
      <c r="AX529" s="82"/>
      <c r="AY529" s="7"/>
      <c r="AZ529" s="82"/>
      <c r="BA529" s="82"/>
      <c r="BB529" s="82"/>
      <c r="BC529" s="82"/>
      <c r="BD529" s="82"/>
      <c r="BE529" s="82"/>
      <c r="BF529" s="82">
        <f>POW(1000,1.25)*LOG(LOG(1000,2),2)</f>
        <v>18652.76811</v>
      </c>
      <c r="BG529" s="7" t="s">
        <v>1781</v>
      </c>
      <c r="BH529" s="82"/>
      <c r="BI529" s="82">
        <f>POW(1000000,1.25)*LOG(LOG(1000000,2),2)</f>
        <v>136515000</v>
      </c>
      <c r="BJ529" s="7" t="s">
        <v>1781</v>
      </c>
      <c r="BK529" s="82"/>
      <c r="BL529" s="82">
        <f>POW(1000000000,1.25)*LOG(LOG(1000000000,2),2)</f>
        <v>871702936900</v>
      </c>
      <c r="BM529" s="7" t="s">
        <v>1781</v>
      </c>
      <c r="BN529" s="7"/>
      <c r="BO529" s="7">
        <v>1.0</v>
      </c>
      <c r="BP529" s="82"/>
      <c r="BQ529" s="7"/>
      <c r="BR529" s="7" t="s">
        <v>144</v>
      </c>
    </row>
    <row r="530">
      <c r="A530" s="16">
        <v>31.0</v>
      </c>
      <c r="B530" s="16" t="s">
        <v>491</v>
      </c>
      <c r="C530" s="53">
        <v>2.0</v>
      </c>
      <c r="D530" s="53" t="s">
        <v>497</v>
      </c>
      <c r="E530" s="7">
        <v>316.0</v>
      </c>
      <c r="F530" s="53" t="s">
        <v>3961</v>
      </c>
      <c r="G530" s="7"/>
      <c r="H530" s="16">
        <v>1.0</v>
      </c>
      <c r="I530" s="48">
        <v>0.0</v>
      </c>
      <c r="J530" s="16" t="s">
        <v>3962</v>
      </c>
      <c r="K530" s="53"/>
      <c r="L530" s="53"/>
      <c r="M530" s="39" t="str">
        <f t="shared" si="1"/>
        <v>[https://arxiv.org/pdf/1301.6628.pdf Kelner; Orecchia; Sidford; Zhu (2013)]</v>
      </c>
      <c r="N530" s="16" t="s">
        <v>3963</v>
      </c>
      <c r="O530" s="81">
        <v>2013.0</v>
      </c>
      <c r="P530" s="28" t="s">
        <v>3964</v>
      </c>
      <c r="Q530" s="82"/>
      <c r="R530" s="82"/>
      <c r="S530" s="82"/>
      <c r="T530" s="16">
        <v>0.0</v>
      </c>
      <c r="U530" s="16">
        <v>0.0</v>
      </c>
      <c r="V530" s="89">
        <f>IFERROR(__xludf.DUMMYFUNCTION("INDEX(SPLIT(SUBSTITUTE(W530,CHAR(10), """"),"",:""), MATCH(Z530, SPLIT(SUBSTITUTE(W530,CHAR(10), """"),"",:""), 0) + 1)"),4.011)</f>
        <v>4.011</v>
      </c>
      <c r="W530" s="85" t="s">
        <v>3965</v>
      </c>
      <c r="X530" s="16" t="s">
        <v>3966</v>
      </c>
      <c r="Y530" s="53" t="s">
        <v>3913</v>
      </c>
      <c r="Z530" s="53" t="str">
        <f t="array" ref="Z530">INDEX(Problems!J:J, MATCH(1, (Problems!B:B=B530)*1, 0))</f>
        <v>n^2</v>
      </c>
      <c r="AA530" s="53"/>
      <c r="AB530" s="53"/>
      <c r="AC530" s="53" t="s">
        <v>1813</v>
      </c>
      <c r="AD530" s="53" t="s">
        <v>1814</v>
      </c>
      <c r="AE530" s="85">
        <f>IFERROR(__xludf.DUMMYFUNCTION("INDEX(SPLIT(SUBSTITUTE(AF530,CHAR(10), """"),"",:""), MATCH(Z530, SPLIT(SUBSTITUTE(AF530,CHAR(10), """"),"",:""), 0) + 1)"),2.5)</f>
        <v>2.5</v>
      </c>
      <c r="AF530" s="85" t="s">
        <v>1903</v>
      </c>
      <c r="AG530" s="53" t="s">
        <v>35</v>
      </c>
      <c r="AH530" s="53" t="s">
        <v>3967</v>
      </c>
      <c r="AI530" s="84">
        <v>1.0</v>
      </c>
      <c r="AJ530" s="84">
        <v>0.0</v>
      </c>
      <c r="AK530" s="87"/>
      <c r="AL530" s="81">
        <v>0.0</v>
      </c>
      <c r="AM530" s="21"/>
      <c r="AN530" s="48">
        <v>1.0</v>
      </c>
      <c r="AO530" s="21" t="s">
        <v>3915</v>
      </c>
      <c r="AP530" s="16">
        <v>0.0</v>
      </c>
      <c r="AQ530" s="16">
        <v>0.0</v>
      </c>
      <c r="AR530" s="39"/>
      <c r="AS530" s="81">
        <v>0.0</v>
      </c>
      <c r="AT530" s="81">
        <v>0.0</v>
      </c>
      <c r="AU530" s="39"/>
      <c r="AV530" s="7" t="s">
        <v>3917</v>
      </c>
      <c r="AW530" s="82"/>
      <c r="AX530" s="82"/>
      <c r="AY530" s="7"/>
      <c r="AZ530" s="82"/>
      <c r="BA530" s="82"/>
      <c r="BB530" s="82"/>
      <c r="BC530" s="82"/>
      <c r="BD530" s="82"/>
      <c r="BE530" s="82"/>
      <c r="BF530" s="82"/>
      <c r="BG530" s="82"/>
      <c r="BH530" s="82"/>
      <c r="BI530" s="82"/>
      <c r="BJ530" s="82"/>
      <c r="BK530" s="82"/>
      <c r="BL530" s="82"/>
      <c r="BM530" s="82"/>
      <c r="BN530" s="7"/>
      <c r="BO530" s="7">
        <v>1.0</v>
      </c>
      <c r="BP530" s="82"/>
      <c r="BQ530" s="7"/>
      <c r="BR530" s="7" t="s">
        <v>144</v>
      </c>
    </row>
    <row r="531">
      <c r="A531" s="16">
        <v>31.0</v>
      </c>
      <c r="B531" s="16" t="s">
        <v>491</v>
      </c>
      <c r="C531" s="53">
        <v>2.0</v>
      </c>
      <c r="D531" s="53" t="s">
        <v>497</v>
      </c>
      <c r="E531" s="7">
        <v>317.0</v>
      </c>
      <c r="F531" s="53" t="s">
        <v>3968</v>
      </c>
      <c r="G531" s="7"/>
      <c r="H531" s="16">
        <v>1.0</v>
      </c>
      <c r="I531" s="48">
        <v>0.0</v>
      </c>
      <c r="J531" s="39" t="s">
        <v>35</v>
      </c>
      <c r="K531" s="53"/>
      <c r="L531" s="53"/>
      <c r="M531" s="39" t="str">
        <f t="shared" si="1"/>
        <v>[https://arxiv.org/abs/1506.08204 Lee; Peng; Spielman (2015)]</v>
      </c>
      <c r="N531" s="16" t="s">
        <v>3969</v>
      </c>
      <c r="O531" s="81">
        <v>2015.0</v>
      </c>
      <c r="P531" s="17" t="s">
        <v>3970</v>
      </c>
      <c r="Q531" s="7">
        <v>2.0</v>
      </c>
      <c r="R531" s="7">
        <v>1.0</v>
      </c>
      <c r="S531" s="114" t="s">
        <v>3971</v>
      </c>
      <c r="T531" s="16">
        <v>1.0</v>
      </c>
      <c r="U531" s="16" t="s">
        <v>1818</v>
      </c>
      <c r="V531" s="89">
        <f>IFERROR(__xludf.DUMMYFUNCTION("INDEX(SPLIT(SUBSTITUTE(W531,CHAR(10), """"),"",:""), MATCH(Z531, SPLIT(SUBSTITUTE(W531,CHAR(10), """"),"",:""), 0) + 1)"),2.5)</f>
        <v>2.5</v>
      </c>
      <c r="W531" s="85" t="s">
        <v>1903</v>
      </c>
      <c r="X531" s="39" t="s">
        <v>35</v>
      </c>
      <c r="Y531" s="53" t="s">
        <v>3393</v>
      </c>
      <c r="Z531" s="53" t="str">
        <f t="array" ref="Z531">INDEX(Problems!J:J, MATCH(1, (Problems!B:B=B531)*1, 0))</f>
        <v>n^2</v>
      </c>
      <c r="AA531" s="53"/>
      <c r="AB531" s="53"/>
      <c r="AC531" s="53" t="s">
        <v>1813</v>
      </c>
      <c r="AD531" s="53" t="s">
        <v>1814</v>
      </c>
      <c r="AE531" s="85">
        <f>IFERROR(__xludf.DUMMYFUNCTION("INDEX(SPLIT(SUBSTITUTE(AF531,CHAR(10), """"),"",:""), MATCH(Z531, SPLIT(SUBSTITUTE(AF531,CHAR(10), """"),"",:""), 0) + 1)"),2.5)</f>
        <v>2.5</v>
      </c>
      <c r="AF531" s="85" t="s">
        <v>1903</v>
      </c>
      <c r="AG531" s="53" t="s">
        <v>35</v>
      </c>
      <c r="AH531" s="53" t="s">
        <v>3972</v>
      </c>
      <c r="AI531" s="84">
        <v>1.0</v>
      </c>
      <c r="AJ531" s="84">
        <v>0.0</v>
      </c>
      <c r="AK531" s="87"/>
      <c r="AL531" s="81">
        <v>0.0</v>
      </c>
      <c r="AM531" s="21"/>
      <c r="AN531" s="48">
        <v>1.0</v>
      </c>
      <c r="AO531" s="21" t="s">
        <v>3973</v>
      </c>
      <c r="AP531" s="16">
        <v>0.0</v>
      </c>
      <c r="AQ531" s="16">
        <v>0.0</v>
      </c>
      <c r="AR531" s="39"/>
      <c r="AS531" s="81">
        <v>0.0</v>
      </c>
      <c r="AT531" s="81">
        <v>0.0</v>
      </c>
      <c r="AU531" s="39"/>
      <c r="AV531" s="7" t="s">
        <v>3917</v>
      </c>
      <c r="AW531" s="82"/>
      <c r="AX531" s="82"/>
      <c r="AY531" s="7"/>
      <c r="AZ531" s="7"/>
      <c r="BA531" s="7"/>
      <c r="BB531" s="7"/>
      <c r="BC531" s="7"/>
      <c r="BD531" s="7"/>
      <c r="BE531" s="7"/>
      <c r="BF531" s="7">
        <v>1000.0</v>
      </c>
      <c r="BG531" s="7" t="s">
        <v>1781</v>
      </c>
      <c r="BH531" s="7"/>
      <c r="BI531" s="7">
        <v>1000000.0</v>
      </c>
      <c r="BJ531" s="7" t="s">
        <v>1781</v>
      </c>
      <c r="BK531" s="7"/>
      <c r="BL531" s="7">
        <v>1.0E9</v>
      </c>
      <c r="BM531" s="7" t="s">
        <v>1781</v>
      </c>
      <c r="BN531" s="7"/>
      <c r="BO531" s="7">
        <v>1.0</v>
      </c>
      <c r="BP531" s="82"/>
      <c r="BQ531" s="7"/>
      <c r="BR531" s="7" t="s">
        <v>144</v>
      </c>
    </row>
    <row r="532">
      <c r="A532" s="16">
        <v>31.0</v>
      </c>
      <c r="B532" s="16" t="s">
        <v>491</v>
      </c>
      <c r="C532" s="53">
        <v>1.0</v>
      </c>
      <c r="D532" s="53" t="s">
        <v>497</v>
      </c>
      <c r="E532" s="7">
        <v>318.0</v>
      </c>
      <c r="F532" s="53" t="s">
        <v>3974</v>
      </c>
      <c r="G532" s="7"/>
      <c r="H532" s="16">
        <v>1.0</v>
      </c>
      <c r="I532" s="48">
        <v>0.0</v>
      </c>
      <c r="J532" s="16" t="s">
        <v>3975</v>
      </c>
      <c r="K532" s="53"/>
      <c r="L532" s="53"/>
      <c r="M532" s="39" t="str">
        <f t="shared" si="1"/>
        <v>[https://arxiv.org/abs/cs/0703119 Daitch; Spielman (2007)]</v>
      </c>
      <c r="N532" s="21" t="s">
        <v>3976</v>
      </c>
      <c r="O532" s="81">
        <v>2007.0</v>
      </c>
      <c r="P532" s="28" t="s">
        <v>3977</v>
      </c>
      <c r="Q532" s="82"/>
      <c r="R532" s="82"/>
      <c r="S532" s="82"/>
      <c r="T532" s="16">
        <v>0.0</v>
      </c>
      <c r="U532" s="16">
        <v>0.0</v>
      </c>
      <c r="V532" s="89">
        <f>IFERROR(__xludf.DUMMYFUNCTION("INDEX(SPLIT(SUBSTITUTE(W532,CHAR(10), """"),"",:""), MATCH(Z532, SPLIT(SUBSTITUTE(W532,CHAR(10), """"),"",:""), 0) + 1)"),2.635)</f>
        <v>2.635</v>
      </c>
      <c r="W532" s="85" t="s">
        <v>3959</v>
      </c>
      <c r="X532" s="16" t="s">
        <v>3978</v>
      </c>
      <c r="Y532" s="53" t="s">
        <v>3393</v>
      </c>
      <c r="Z532" s="53" t="str">
        <f t="array" ref="Z532">INDEX(Problems!J:J, MATCH(1, (Problems!B:B=B532)*1, 0))</f>
        <v>n^2</v>
      </c>
      <c r="AA532" s="53"/>
      <c r="AB532" s="53"/>
      <c r="AC532" s="53" t="s">
        <v>1813</v>
      </c>
      <c r="AD532" s="53" t="s">
        <v>1814</v>
      </c>
      <c r="AE532" s="85">
        <f>IFERROR(__xludf.DUMMYFUNCTION("INDEX(SPLIT(SUBSTITUTE(AF532,CHAR(10), """"),"",:""), MATCH(Z532, SPLIT(SUBSTITUTE(AF532,CHAR(10), """"),"",:""), 0) + 1)"),2.5)</f>
        <v>2.5</v>
      </c>
      <c r="AF532" s="85" t="s">
        <v>1903</v>
      </c>
      <c r="AG532" s="53" t="s">
        <v>35</v>
      </c>
      <c r="AH532" s="53" t="s">
        <v>3972</v>
      </c>
      <c r="AI532" s="84">
        <v>1.0</v>
      </c>
      <c r="AJ532" s="84">
        <v>0.0</v>
      </c>
      <c r="AK532" s="87"/>
      <c r="AL532" s="81">
        <v>0.0</v>
      </c>
      <c r="AM532" s="21"/>
      <c r="AN532" s="48">
        <v>1.0</v>
      </c>
      <c r="AO532" s="21" t="s">
        <v>3915</v>
      </c>
      <c r="AP532" s="16">
        <v>0.0</v>
      </c>
      <c r="AQ532" s="16">
        <v>0.0</v>
      </c>
      <c r="AR532" s="39"/>
      <c r="AS532" s="81">
        <v>0.0</v>
      </c>
      <c r="AT532" s="81">
        <v>0.0</v>
      </c>
      <c r="AU532" s="39"/>
      <c r="AV532" s="7" t="s">
        <v>3917</v>
      </c>
      <c r="AW532" s="82"/>
      <c r="AX532" s="82"/>
      <c r="AY532" s="7"/>
      <c r="AZ532" s="82"/>
      <c r="BA532" s="82"/>
      <c r="BB532" s="82"/>
      <c r="BC532" s="82"/>
      <c r="BD532" s="82"/>
      <c r="BE532" s="82"/>
      <c r="BF532" s="82"/>
      <c r="BG532" s="82"/>
      <c r="BH532" s="82"/>
      <c r="BI532" s="82"/>
      <c r="BJ532" s="82"/>
      <c r="BK532" s="82"/>
      <c r="BL532" s="82"/>
      <c r="BM532" s="82"/>
      <c r="BN532" s="7"/>
      <c r="BO532" s="7">
        <v>1.0</v>
      </c>
      <c r="BP532" s="82"/>
      <c r="BQ532" s="7"/>
      <c r="BR532" s="7" t="s">
        <v>144</v>
      </c>
    </row>
    <row r="533">
      <c r="A533" s="16">
        <v>31.0</v>
      </c>
      <c r="B533" s="16" t="s">
        <v>491</v>
      </c>
      <c r="C533" s="53">
        <v>2.0</v>
      </c>
      <c r="D533" s="53" t="s">
        <v>492</v>
      </c>
      <c r="E533" s="7">
        <v>319.0</v>
      </c>
      <c r="F533" s="53" t="s">
        <v>3979</v>
      </c>
      <c r="G533" s="7"/>
      <c r="H533" s="16">
        <v>1.0</v>
      </c>
      <c r="I533" s="16">
        <v>1.0</v>
      </c>
      <c r="J533" s="39" t="s">
        <v>834</v>
      </c>
      <c r="K533" s="53"/>
      <c r="L533" s="53"/>
      <c r="M533" s="39" t="str">
        <f t="shared" si="1"/>
        <v>[- Gaussian Elimination (-150)]</v>
      </c>
      <c r="N533" s="39" t="s">
        <v>1370</v>
      </c>
      <c r="O533" s="83">
        <v>-150.0</v>
      </c>
      <c r="P533" s="39" t="s">
        <v>1937</v>
      </c>
      <c r="Q533" s="7">
        <v>1.0</v>
      </c>
      <c r="R533" s="7">
        <v>1.0</v>
      </c>
      <c r="S533" s="82"/>
      <c r="T533" s="16">
        <v>1.0</v>
      </c>
      <c r="U533" s="16" t="s">
        <v>2007</v>
      </c>
      <c r="V533" s="89">
        <f>IFERROR(__xludf.DUMMYFUNCTION("INDEX(SPLIT(SUBSTITUTE(W533,CHAR(10), """"),"",:""), MATCH(Z533, SPLIT(SUBSTITUTE(W533,CHAR(10), """"),"",:""), 0) + 1)"),4.5)</f>
        <v>4.5</v>
      </c>
      <c r="W533" s="85" t="s">
        <v>2049</v>
      </c>
      <c r="X533" s="39" t="s">
        <v>834</v>
      </c>
      <c r="Y533" s="53" t="s">
        <v>3980</v>
      </c>
      <c r="Z533" s="53" t="str">
        <f t="array" ref="Z533">INDEX(Problems!J:J, MATCH(1, (Problems!B:B=B533)*1, 0))</f>
        <v>n^2</v>
      </c>
      <c r="AA533" s="53"/>
      <c r="AB533" s="53"/>
      <c r="AC533" s="53" t="s">
        <v>1813</v>
      </c>
      <c r="AD533" s="53" t="s">
        <v>1814</v>
      </c>
      <c r="AE533" s="85">
        <f>IFERROR(__xludf.DUMMYFUNCTION("INDEX(SPLIT(SUBSTITUTE(AF533,CHAR(10), """"),"",:""), MATCH(Z533, SPLIT(SUBSTITUTE(AF533,CHAR(10), """"),"",:""), 0) + 1)"),3.0)</f>
        <v>3</v>
      </c>
      <c r="AF533" s="85" t="s">
        <v>2059</v>
      </c>
      <c r="AG533" s="53" t="s">
        <v>115</v>
      </c>
      <c r="AH533" s="53" t="s">
        <v>3981</v>
      </c>
      <c r="AI533" s="84">
        <v>1.0</v>
      </c>
      <c r="AJ533" s="84">
        <v>0.0</v>
      </c>
      <c r="AK533" s="87"/>
      <c r="AL533" s="81">
        <v>0.0</v>
      </c>
      <c r="AM533" s="21"/>
      <c r="AN533" s="16">
        <v>0.0</v>
      </c>
      <c r="AO533" s="90"/>
      <c r="AP533" s="16">
        <v>0.0</v>
      </c>
      <c r="AQ533" s="16">
        <v>0.0</v>
      </c>
      <c r="AR533" s="39"/>
      <c r="AS533" s="81">
        <v>0.0</v>
      </c>
      <c r="AT533" s="81">
        <v>0.0</v>
      </c>
      <c r="AU533" s="25" t="s">
        <v>3982</v>
      </c>
      <c r="AV533" s="7" t="s">
        <v>3917</v>
      </c>
      <c r="AW533" s="82"/>
      <c r="AX533" s="82"/>
      <c r="AY533" s="7"/>
      <c r="AZ533" s="7"/>
      <c r="BA533" s="7"/>
      <c r="BB533" s="7"/>
      <c r="BC533" s="7"/>
      <c r="BD533" s="7"/>
      <c r="BE533" s="7"/>
      <c r="BF533" s="7">
        <v>1.0E9</v>
      </c>
      <c r="BG533" s="6" t="s">
        <v>1781</v>
      </c>
      <c r="BH533" s="82"/>
      <c r="BI533" s="82">
        <f>POW(1000000,3)</f>
        <v>1E+18</v>
      </c>
      <c r="BJ533" s="7" t="s">
        <v>1781</v>
      </c>
      <c r="BK533" s="82"/>
      <c r="BL533" s="82">
        <f>POW(1000000000,3)</f>
        <v>1E+27</v>
      </c>
      <c r="BM533" s="7" t="s">
        <v>1781</v>
      </c>
      <c r="BN533" s="7"/>
      <c r="BO533" s="7">
        <v>1.0</v>
      </c>
      <c r="BP533" s="82"/>
      <c r="BQ533" s="7"/>
      <c r="BR533" s="7" t="s">
        <v>144</v>
      </c>
    </row>
    <row r="534">
      <c r="A534" s="16">
        <v>31.0</v>
      </c>
      <c r="B534" s="16" t="s">
        <v>491</v>
      </c>
      <c r="C534" s="53">
        <v>2.0</v>
      </c>
      <c r="D534" s="53" t="s">
        <v>492</v>
      </c>
      <c r="E534" s="7">
        <v>320.0</v>
      </c>
      <c r="F534" s="53" t="s">
        <v>3983</v>
      </c>
      <c r="G534" s="7"/>
      <c r="H534" s="16">
        <v>1.0</v>
      </c>
      <c r="I534" s="16">
        <v>1.0</v>
      </c>
      <c r="J534" s="39" t="s">
        <v>3984</v>
      </c>
      <c r="K534" s="53"/>
      <c r="L534" s="53"/>
      <c r="M534" s="39" t="str">
        <f t="shared" si="1"/>
        <v>[- Naive Implementation (1940)]</v>
      </c>
      <c r="N534" s="39" t="s">
        <v>2189</v>
      </c>
      <c r="O534" s="81">
        <v>1940.0</v>
      </c>
      <c r="P534" s="39" t="s">
        <v>1937</v>
      </c>
      <c r="Q534" s="7">
        <v>1.0</v>
      </c>
      <c r="R534" s="7">
        <v>1.0</v>
      </c>
      <c r="S534" s="82"/>
      <c r="T534" s="16">
        <v>1.0</v>
      </c>
      <c r="U534" s="16">
        <v>0.0</v>
      </c>
      <c r="V534" s="89">
        <f>IFERROR(__xludf.DUMMYFUNCTION("INDEX(SPLIT(SUBSTITUTE(W534,CHAR(10), """"),"",:""), MATCH(Z534, SPLIT(SUBSTITUTE(W534,CHAR(10), """"),"",:""), 0) + 1)"),8.0)</f>
        <v>8</v>
      </c>
      <c r="W534" s="85" t="s">
        <v>3985</v>
      </c>
      <c r="X534" s="39" t="s">
        <v>3984</v>
      </c>
      <c r="Y534" s="53" t="s">
        <v>3393</v>
      </c>
      <c r="Z534" s="53" t="str">
        <f t="array" ref="Z534">INDEX(Problems!J:J, MATCH(1, (Problems!B:B=B534)*1, 0))</f>
        <v>n^2</v>
      </c>
      <c r="AA534" s="53"/>
      <c r="AB534" s="53"/>
      <c r="AC534" s="53" t="s">
        <v>1813</v>
      </c>
      <c r="AD534" s="53" t="s">
        <v>1813</v>
      </c>
      <c r="AE534" s="85">
        <f>IFERROR(__xludf.DUMMYFUNCTION("INDEX(SPLIT(SUBSTITUTE(AF534,CHAR(10), """"),"",:""), MATCH(Z534, SPLIT(SUBSTITUTE(AF534,CHAR(10), """"),"",:""), 0) + 1)"),3.0)</f>
        <v>3</v>
      </c>
      <c r="AF534" s="85" t="s">
        <v>2059</v>
      </c>
      <c r="AG534" s="53" t="s">
        <v>115</v>
      </c>
      <c r="AH534" s="53" t="s">
        <v>3986</v>
      </c>
      <c r="AI534" s="84">
        <v>1.0</v>
      </c>
      <c r="AJ534" s="84">
        <v>0.0</v>
      </c>
      <c r="AK534" s="87"/>
      <c r="AL534" s="81">
        <v>0.0</v>
      </c>
      <c r="AM534" s="21"/>
      <c r="AN534" s="16">
        <v>0.0</v>
      </c>
      <c r="AO534" s="90"/>
      <c r="AP534" s="16">
        <v>0.0</v>
      </c>
      <c r="AQ534" s="16">
        <v>0.0</v>
      </c>
      <c r="AR534" s="39"/>
      <c r="AS534" s="81">
        <v>0.0</v>
      </c>
      <c r="AT534" s="81">
        <v>0.0</v>
      </c>
      <c r="AU534" s="39"/>
      <c r="AV534" s="7" t="s">
        <v>3917</v>
      </c>
      <c r="AW534" s="82"/>
      <c r="AX534" s="82"/>
      <c r="AY534" s="7"/>
      <c r="AZ534" s="7"/>
      <c r="BA534" s="7"/>
      <c r="BB534" s="7"/>
      <c r="BC534" s="7"/>
      <c r="BD534" s="7"/>
      <c r="BE534" s="7"/>
      <c r="BF534" s="7" t="s">
        <v>1781</v>
      </c>
      <c r="BG534" s="6">
        <v>1.0</v>
      </c>
      <c r="BH534" s="7"/>
      <c r="BI534" s="7" t="s">
        <v>1781</v>
      </c>
      <c r="BJ534" s="7">
        <v>1.0</v>
      </c>
      <c r="BK534" s="7"/>
      <c r="BL534" s="7" t="s">
        <v>1781</v>
      </c>
      <c r="BM534" s="7">
        <v>1.0</v>
      </c>
      <c r="BN534" s="7"/>
      <c r="BO534" s="7">
        <v>1.0</v>
      </c>
      <c r="BP534" s="82"/>
      <c r="BQ534" s="7"/>
      <c r="BR534" s="7" t="s">
        <v>144</v>
      </c>
    </row>
    <row r="535">
      <c r="A535" s="16">
        <v>32.0</v>
      </c>
      <c r="B535" s="16" t="s">
        <v>499</v>
      </c>
      <c r="C535" s="53">
        <v>1.0</v>
      </c>
      <c r="D535" s="53"/>
      <c r="E535" s="7">
        <v>321.0</v>
      </c>
      <c r="F535" s="53"/>
      <c r="G535" s="7"/>
      <c r="H535" s="16">
        <v>1.0</v>
      </c>
      <c r="I535" s="16">
        <v>1.0</v>
      </c>
      <c r="J535" s="16" t="s">
        <v>3987</v>
      </c>
      <c r="K535" s="53" t="s">
        <v>3988</v>
      </c>
      <c r="L535" s="53"/>
      <c r="M535" s="39" t="str">
        <f t="shared" si="1"/>
        <v>[http://pds7.egloos.com/pds/200801/07/29/p636-floyd.pdf Floyd's tortoise and hare algorithm (1967)]</v>
      </c>
      <c r="N535" s="16" t="s">
        <v>3989</v>
      </c>
      <c r="O535" s="81">
        <v>1967.0</v>
      </c>
      <c r="P535" s="25" t="s">
        <v>3990</v>
      </c>
      <c r="Q535" s="7">
        <v>3.0</v>
      </c>
      <c r="R535" s="7">
        <v>0.0</v>
      </c>
      <c r="S535" s="114" t="s">
        <v>1913</v>
      </c>
      <c r="T535" s="16">
        <v>1.0</v>
      </c>
      <c r="U535" s="16">
        <v>0.0</v>
      </c>
      <c r="V535" s="89">
        <f>IFERROR(__xludf.DUMMYFUNCTION("INDEX(SPLIT(SUBSTITUTE(W535,CHAR(10), """"),"",:""), MATCH(Z535, SPLIT(SUBSTITUTE(W535,CHAR(10), """"),"",:""), 0) + 1)"),3.0)</f>
        <v>3</v>
      </c>
      <c r="W535" s="85" t="s">
        <v>3991</v>
      </c>
      <c r="X535" s="16" t="s">
        <v>3987</v>
      </c>
      <c r="Y535" s="153" t="s">
        <v>3992</v>
      </c>
      <c r="Z535" s="53" t="str">
        <f t="array" ref="Z535">INDEX(Problems!J:J, MATCH(1, (Problems!B:B=B535)*1, 0))</f>
        <v>\mu</v>
      </c>
      <c r="AA535" s="153"/>
      <c r="AB535" s="153"/>
      <c r="AC535" s="53"/>
      <c r="AD535" s="53" t="s">
        <v>3993</v>
      </c>
      <c r="AE535" s="85">
        <f>IFERROR(__xludf.DUMMYFUNCTION("INDEX(SPLIT(SUBSTITUTE(AF535,CHAR(10), """"),"",:""), MATCH(Z535, SPLIT(SUBSTITUTE(AF535,CHAR(10), """"),"",:""), 0) + 1)"),1.0)</f>
        <v>1</v>
      </c>
      <c r="AF535" s="85" t="s">
        <v>3994</v>
      </c>
      <c r="AG535" s="53" t="s">
        <v>34</v>
      </c>
      <c r="AH535" s="154" t="s">
        <v>3995</v>
      </c>
      <c r="AI535" s="84">
        <v>0.0</v>
      </c>
      <c r="AJ535" s="84">
        <v>0.0</v>
      </c>
      <c r="AK535" s="87"/>
      <c r="AL535" s="81">
        <v>0.0</v>
      </c>
      <c r="AM535" s="21"/>
      <c r="AN535" s="16">
        <v>0.0</v>
      </c>
      <c r="AO535" s="90"/>
      <c r="AP535" s="16">
        <v>0.0</v>
      </c>
      <c r="AQ535" s="16">
        <v>0.0</v>
      </c>
      <c r="AR535" s="39"/>
      <c r="AS535" s="81">
        <v>0.0</v>
      </c>
      <c r="AT535" s="81">
        <v>0.0</v>
      </c>
      <c r="AU535" s="25" t="s">
        <v>3996</v>
      </c>
      <c r="AV535" s="7" t="s">
        <v>1920</v>
      </c>
      <c r="AW535" s="82"/>
      <c r="AX535" s="82"/>
      <c r="AY535" s="7"/>
      <c r="AZ535" s="7"/>
      <c r="BA535" s="7"/>
      <c r="BB535" s="7"/>
      <c r="BC535" s="7"/>
      <c r="BD535" s="7"/>
      <c r="BE535" s="7"/>
      <c r="BF535" s="7">
        <v>1000.0</v>
      </c>
      <c r="BG535" s="6">
        <v>1.0</v>
      </c>
      <c r="BH535" s="7"/>
      <c r="BI535" s="7">
        <v>1000000.0</v>
      </c>
      <c r="BJ535" s="7">
        <v>1.0</v>
      </c>
      <c r="BK535" s="7"/>
      <c r="BL535" s="7">
        <v>1.0E9</v>
      </c>
      <c r="BM535" s="7">
        <v>1.0</v>
      </c>
      <c r="BN535" s="7"/>
      <c r="BO535" s="7">
        <v>6.0</v>
      </c>
      <c r="BP535" s="82"/>
      <c r="BQ535" s="7"/>
      <c r="BR535" s="7" t="s">
        <v>23</v>
      </c>
    </row>
    <row r="536">
      <c r="A536" s="16">
        <v>32.0</v>
      </c>
      <c r="B536" s="16" t="s">
        <v>499</v>
      </c>
      <c r="C536" s="53">
        <v>1.0</v>
      </c>
      <c r="D536" s="53"/>
      <c r="E536" s="7">
        <v>322.0</v>
      </c>
      <c r="F536" s="53"/>
      <c r="G536" s="7"/>
      <c r="H536" s="16">
        <v>1.0</v>
      </c>
      <c r="I536" s="16">
        <v>1.0</v>
      </c>
      <c r="J536" s="16" t="s">
        <v>3987</v>
      </c>
      <c r="K536" s="53"/>
      <c r="L536" s="53"/>
      <c r="M536" s="39" t="str">
        <f t="shared" si="1"/>
        <v>[https://maths-people.anu.edu.au/~brent/pd/rpb005.pdf Brent's algorithm (1973)]</v>
      </c>
      <c r="N536" s="39" t="s">
        <v>3997</v>
      </c>
      <c r="O536" s="83">
        <v>1973.0</v>
      </c>
      <c r="P536" s="25" t="s">
        <v>3998</v>
      </c>
      <c r="Q536" s="82"/>
      <c r="R536" s="82"/>
      <c r="S536" s="82"/>
      <c r="T536" s="16">
        <v>0.0</v>
      </c>
      <c r="U536" s="16">
        <v>0.0</v>
      </c>
      <c r="V536" s="89">
        <f>IFERROR(__xludf.DUMMYFUNCTION("INDEX(SPLIT(SUBSTITUTE(W536,CHAR(10), """"),"",:""), MATCH(Z536, SPLIT(SUBSTITUTE(W536,CHAR(10), """"),"",:""), 0) + 1)"),3.0)</f>
        <v>3</v>
      </c>
      <c r="W536" s="85" t="s">
        <v>3991</v>
      </c>
      <c r="X536" s="16" t="s">
        <v>3987</v>
      </c>
      <c r="Y536" s="153" t="s">
        <v>3992</v>
      </c>
      <c r="Z536" s="53" t="str">
        <f t="array" ref="Z536">INDEX(Problems!J:J, MATCH(1, (Problems!B:B=B536)*1, 0))</f>
        <v>\mu</v>
      </c>
      <c r="AA536" s="153"/>
      <c r="AB536" s="153"/>
      <c r="AC536" s="53"/>
      <c r="AD536" s="53" t="s">
        <v>3993</v>
      </c>
      <c r="AE536" s="85">
        <f>IFERROR(__xludf.DUMMYFUNCTION("INDEX(SPLIT(SUBSTITUTE(AF536,CHAR(10), """"),"",:""), MATCH(Z536, SPLIT(SUBSTITUTE(AF536,CHAR(10), """"),"",:""), 0) + 1)"),1.0)</f>
        <v>1</v>
      </c>
      <c r="AF536" s="85" t="s">
        <v>3994</v>
      </c>
      <c r="AG536" s="53" t="s">
        <v>34</v>
      </c>
      <c r="AH536" s="154" t="s">
        <v>3995</v>
      </c>
      <c r="AI536" s="84">
        <v>0.0</v>
      </c>
      <c r="AJ536" s="84">
        <v>0.0</v>
      </c>
      <c r="AK536" s="87"/>
      <c r="AL536" s="81">
        <v>0.0</v>
      </c>
      <c r="AM536" s="21"/>
      <c r="AN536" s="16">
        <v>0.0</v>
      </c>
      <c r="AO536" s="90"/>
      <c r="AP536" s="16">
        <v>0.0</v>
      </c>
      <c r="AQ536" s="16">
        <v>0.0</v>
      </c>
      <c r="AR536" s="39"/>
      <c r="AS536" s="81">
        <v>0.0</v>
      </c>
      <c r="AT536" s="81">
        <v>0.0</v>
      </c>
      <c r="AU536" s="39"/>
      <c r="AV536" s="7" t="s">
        <v>1920</v>
      </c>
      <c r="AW536" s="82"/>
      <c r="AX536" s="82"/>
      <c r="AY536" s="7"/>
      <c r="AZ536" s="7"/>
      <c r="BA536" s="7"/>
      <c r="BB536" s="7"/>
      <c r="BC536" s="7"/>
      <c r="BD536" s="7"/>
      <c r="BE536" s="7"/>
      <c r="BF536" s="7">
        <v>1000.0</v>
      </c>
      <c r="BG536" s="13"/>
      <c r="BH536" s="82"/>
      <c r="BI536" s="82"/>
      <c r="BJ536" s="82"/>
      <c r="BK536" s="82"/>
      <c r="BL536" s="82"/>
      <c r="BM536" s="82"/>
      <c r="BN536" s="7"/>
      <c r="BO536" s="7">
        <v>6.0</v>
      </c>
      <c r="BP536" s="82"/>
      <c r="BQ536" s="7"/>
      <c r="BR536" s="7" t="s">
        <v>23</v>
      </c>
    </row>
    <row r="537">
      <c r="A537" s="16">
        <v>32.0</v>
      </c>
      <c r="B537" s="16" t="s">
        <v>499</v>
      </c>
      <c r="C537" s="53">
        <v>1.0</v>
      </c>
      <c r="D537" s="53"/>
      <c r="E537" s="7">
        <v>323.0</v>
      </c>
      <c r="F537" s="53"/>
      <c r="G537" s="7"/>
      <c r="H537" s="16">
        <v>1.0</v>
      </c>
      <c r="I537" s="16">
        <v>1.0</v>
      </c>
      <c r="J537" s="16" t="s">
        <v>3999</v>
      </c>
      <c r="K537" s="53"/>
      <c r="L537" s="53"/>
      <c r="M537" s="39" t="str">
        <f t="shared" si="1"/>
        <v>[https://www.inwap.com/pdp10/hbaker/hakmem/flows.html#item132 Gosper's algorithm (1978)]</v>
      </c>
      <c r="N537" s="39" t="s">
        <v>4000</v>
      </c>
      <c r="O537" s="83">
        <v>1978.0</v>
      </c>
      <c r="P537" s="25" t="s">
        <v>4001</v>
      </c>
      <c r="Q537" s="82"/>
      <c r="R537" s="82"/>
      <c r="S537" s="82"/>
      <c r="T537" s="16">
        <v>0.0</v>
      </c>
      <c r="U537" s="16">
        <v>0.0</v>
      </c>
      <c r="V537" s="89">
        <f>IFERROR(__xludf.DUMMYFUNCTION("INDEX(SPLIT(SUBSTITUTE(W537,CHAR(10), """"),"",:""), MATCH(Z537, SPLIT(SUBSTITUTE(W537,CHAR(10), """"),"",:""), 0) + 1)"),4.0)</f>
        <v>4</v>
      </c>
      <c r="W537" s="85" t="s">
        <v>4002</v>
      </c>
      <c r="X537" s="16" t="s">
        <v>3999</v>
      </c>
      <c r="Y537" s="153" t="s">
        <v>3992</v>
      </c>
      <c r="Z537" s="53" t="str">
        <f t="array" ref="Z537">INDEX(Problems!J:J, MATCH(1, (Problems!B:B=B537)*1, 0))</f>
        <v>\mu</v>
      </c>
      <c r="AA537" s="153"/>
      <c r="AB537" s="153"/>
      <c r="AC537" s="53"/>
      <c r="AD537" s="53"/>
      <c r="AE537" s="85">
        <f>IFERROR(__xludf.DUMMYFUNCTION("INDEX(SPLIT(SUBSTITUTE(AF537,CHAR(10), """"),"",:""), MATCH(Z537, SPLIT(SUBSTITUTE(AF537,CHAR(10), """"),"",:""), 0) + 1)"),2.0)</f>
        <v>2</v>
      </c>
      <c r="AF537" s="85" t="s">
        <v>4003</v>
      </c>
      <c r="AG537" s="53" t="s">
        <v>4004</v>
      </c>
      <c r="AH537" s="91" t="s">
        <v>4005</v>
      </c>
      <c r="AI537" s="84">
        <v>0.0</v>
      </c>
      <c r="AJ537" s="84">
        <v>0.0</v>
      </c>
      <c r="AK537" s="87"/>
      <c r="AL537" s="81">
        <v>0.0</v>
      </c>
      <c r="AM537" s="21"/>
      <c r="AN537" s="16">
        <v>0.0</v>
      </c>
      <c r="AO537" s="90"/>
      <c r="AP537" s="16">
        <v>0.0</v>
      </c>
      <c r="AQ537" s="16">
        <v>0.0</v>
      </c>
      <c r="AR537" s="39"/>
      <c r="AS537" s="81">
        <v>0.0</v>
      </c>
      <c r="AT537" s="81">
        <v>0.0</v>
      </c>
      <c r="AU537" s="39"/>
      <c r="AV537" s="7" t="s">
        <v>1920</v>
      </c>
      <c r="AW537" s="82"/>
      <c r="AX537" s="82"/>
      <c r="AY537" s="7"/>
      <c r="AZ537" s="7"/>
      <c r="BA537" s="7"/>
      <c r="BB537" s="7"/>
      <c r="BC537" s="7"/>
      <c r="BD537" s="7"/>
      <c r="BE537" s="7"/>
      <c r="BF537" s="7">
        <v>1000.0</v>
      </c>
      <c r="BG537" s="13"/>
      <c r="BH537" s="82"/>
      <c r="BI537" s="82"/>
      <c r="BJ537" s="82"/>
      <c r="BK537" s="82"/>
      <c r="BL537" s="82"/>
      <c r="BM537" s="82"/>
      <c r="BN537" s="7"/>
      <c r="BO537" s="7">
        <v>6.0</v>
      </c>
      <c r="BP537" s="82"/>
      <c r="BQ537" s="7"/>
      <c r="BR537" s="7" t="s">
        <v>23</v>
      </c>
    </row>
    <row r="538">
      <c r="A538" s="16">
        <v>33.0</v>
      </c>
      <c r="B538" s="16" t="s">
        <v>509</v>
      </c>
      <c r="C538" s="53">
        <v>2.0</v>
      </c>
      <c r="D538" s="53" t="s">
        <v>510</v>
      </c>
      <c r="E538" s="7">
        <v>326.0</v>
      </c>
      <c r="F538" s="53"/>
      <c r="G538" s="7"/>
      <c r="H538" s="16">
        <v>1.0</v>
      </c>
      <c r="I538" s="16">
        <v>1.0</v>
      </c>
      <c r="J538" s="21" t="s">
        <v>115</v>
      </c>
      <c r="K538" s="53" t="s">
        <v>4006</v>
      </c>
      <c r="L538" s="53" t="s">
        <v>484</v>
      </c>
      <c r="M538" s="39" t="str">
        <f t="shared" si="1"/>
        <v>[https://www.worldcat.org/title/statistical-tables-for-biological-agricultural-and-medical-research/oclc/14222135 Fisher–Yates/Knuth shuffle (1938)]</v>
      </c>
      <c r="N538" s="39" t="s">
        <v>4007</v>
      </c>
      <c r="O538" s="83">
        <v>1938.0</v>
      </c>
      <c r="P538" s="25" t="s">
        <v>4008</v>
      </c>
      <c r="Q538" s="82"/>
      <c r="R538" s="82"/>
      <c r="S538" s="82"/>
      <c r="T538" s="16">
        <v>0.0</v>
      </c>
      <c r="U538" s="16">
        <v>0.0</v>
      </c>
      <c r="V538" s="89">
        <f>IFERROR(__xludf.DUMMYFUNCTION("INDEX(SPLIT(SUBSTITUTE(W538,CHAR(10), """"),"",:""), MATCH(Z538, SPLIT(SUBSTITUTE(W538,CHAR(10), """"),"",:""), 0) + 1)"),5.0)</f>
        <v>5</v>
      </c>
      <c r="W538" s="85" t="s">
        <v>1938</v>
      </c>
      <c r="X538" s="21" t="s">
        <v>115</v>
      </c>
      <c r="Y538" s="53" t="s">
        <v>1773</v>
      </c>
      <c r="Z538" s="53" t="str">
        <f t="array" ref="Z538">INDEX(Problems!J:J, MATCH(1, (Problems!B:B=B538)*1, 0))</f>
        <v>n</v>
      </c>
      <c r="AA538" s="53"/>
      <c r="AB538" s="53"/>
      <c r="AC538" s="53" t="s">
        <v>1813</v>
      </c>
      <c r="AD538" s="53" t="s">
        <v>1814</v>
      </c>
      <c r="AE538" s="85">
        <f>IFERROR(__xludf.DUMMYFUNCTION("INDEX(SPLIT(SUBSTITUTE(AF538,CHAR(10), """"),"",:""), MATCH(Z538, SPLIT(SUBSTITUTE(AF538,CHAR(10), """"),"",:""), 0) + 1)"),3.0)</f>
        <v>3</v>
      </c>
      <c r="AF538" s="85" t="s">
        <v>1763</v>
      </c>
      <c r="AG538" s="53" t="s">
        <v>35</v>
      </c>
      <c r="AH538" s="53" t="s">
        <v>4009</v>
      </c>
      <c r="AI538" s="84">
        <v>1.0</v>
      </c>
      <c r="AJ538" s="84">
        <v>0.0</v>
      </c>
      <c r="AK538" s="84"/>
      <c r="AL538" s="84">
        <v>1.0</v>
      </c>
      <c r="AM538" s="21" t="s">
        <v>4010</v>
      </c>
      <c r="AN538" s="16">
        <v>0.0</v>
      </c>
      <c r="AO538" s="21"/>
      <c r="AP538" s="16">
        <v>0.0</v>
      </c>
      <c r="AQ538" s="16">
        <v>0.0</v>
      </c>
      <c r="AR538" s="39"/>
      <c r="AS538" s="81">
        <v>0.0</v>
      </c>
      <c r="AT538" s="81">
        <v>0.0</v>
      </c>
      <c r="AU538" s="96" t="s">
        <v>4011</v>
      </c>
      <c r="AV538" s="7" t="s">
        <v>4012</v>
      </c>
      <c r="AW538" s="82"/>
      <c r="AX538" s="82"/>
      <c r="AY538" s="7"/>
      <c r="AZ538" s="7"/>
      <c r="BA538" s="7"/>
      <c r="BB538" s="7"/>
      <c r="BC538" s="7"/>
      <c r="BD538" s="7"/>
      <c r="BE538" s="7"/>
      <c r="BF538" s="7">
        <v>1000.0</v>
      </c>
      <c r="BG538" s="13"/>
      <c r="BH538" s="82"/>
      <c r="BI538" s="82"/>
      <c r="BJ538" s="82"/>
      <c r="BK538" s="82"/>
      <c r="BL538" s="82"/>
      <c r="BM538" s="82"/>
      <c r="BN538" s="7"/>
      <c r="BO538" s="7">
        <v>6.0</v>
      </c>
      <c r="BP538" s="82"/>
      <c r="BQ538" s="7"/>
      <c r="BR538" s="7" t="s">
        <v>144</v>
      </c>
    </row>
    <row r="539">
      <c r="A539" s="16">
        <v>33.0</v>
      </c>
      <c r="B539" s="16" t="s">
        <v>509</v>
      </c>
      <c r="C539" s="53">
        <v>2.0</v>
      </c>
      <c r="D539" s="53" t="s">
        <v>510</v>
      </c>
      <c r="E539" s="7">
        <v>327.0</v>
      </c>
      <c r="F539" s="53"/>
      <c r="G539" s="7"/>
      <c r="H539" s="16">
        <v>1.0</v>
      </c>
      <c r="I539" s="16">
        <v>1.0</v>
      </c>
      <c r="J539" s="39" t="s">
        <v>35</v>
      </c>
      <c r="K539" s="53" t="s">
        <v>2117</v>
      </c>
      <c r="L539" s="53" t="s">
        <v>484</v>
      </c>
      <c r="M539" s="39" t="str">
        <f t="shared" si="1"/>
        <v>[https://dl.acm.org/doi/10.1145/364520.364540 Durstenfeld's Algorithm 235 (1964)]</v>
      </c>
      <c r="N539" s="39" t="s">
        <v>514</v>
      </c>
      <c r="O539" s="81">
        <v>1964.0</v>
      </c>
      <c r="P539" s="25" t="s">
        <v>512</v>
      </c>
      <c r="Q539" s="82"/>
      <c r="R539" s="82"/>
      <c r="S539" s="82"/>
      <c r="T539" s="16">
        <v>0.0</v>
      </c>
      <c r="U539" s="16">
        <v>0.0</v>
      </c>
      <c r="V539" s="89">
        <f>IFERROR(__xludf.DUMMYFUNCTION("INDEX(SPLIT(SUBSTITUTE(W539,CHAR(10), """"),"",:""), MATCH(Z539, SPLIT(SUBSTITUTE(W539,CHAR(10), """"),"",:""), 0) + 1)"),3.0)</f>
        <v>3</v>
      </c>
      <c r="W539" s="85" t="s">
        <v>1763</v>
      </c>
      <c r="X539" s="39" t="s">
        <v>35</v>
      </c>
      <c r="Y539" s="53" t="s">
        <v>1773</v>
      </c>
      <c r="Z539" s="53" t="str">
        <f t="array" ref="Z539">INDEX(Problems!J:J, MATCH(1, (Problems!B:B=B539)*1, 0))</f>
        <v>n</v>
      </c>
      <c r="AA539" s="53"/>
      <c r="AB539" s="53"/>
      <c r="AC539" s="53" t="s">
        <v>1813</v>
      </c>
      <c r="AD539" s="53" t="s">
        <v>1814</v>
      </c>
      <c r="AE539" s="85">
        <f>IFERROR(__xludf.DUMMYFUNCTION("INDEX(SPLIT(SUBSTITUTE(AF539,CHAR(10), """"),"",:""), MATCH(Z539, SPLIT(SUBSTITUTE(AF539,CHAR(10), """"),"",:""), 0) + 1)"),1.0)</f>
        <v>1</v>
      </c>
      <c r="AF539" s="85" t="s">
        <v>1774</v>
      </c>
      <c r="AG539" s="53" t="s">
        <v>34</v>
      </c>
      <c r="AH539" s="53" t="s">
        <v>4013</v>
      </c>
      <c r="AI539" s="84">
        <v>1.0</v>
      </c>
      <c r="AJ539" s="84">
        <v>0.0</v>
      </c>
      <c r="AK539" s="84"/>
      <c r="AL539" s="84">
        <v>1.0</v>
      </c>
      <c r="AM539" s="21" t="s">
        <v>4010</v>
      </c>
      <c r="AN539" s="16">
        <v>0.0</v>
      </c>
      <c r="AO539" s="90"/>
      <c r="AP539" s="16">
        <v>0.0</v>
      </c>
      <c r="AQ539" s="16">
        <v>0.0</v>
      </c>
      <c r="AR539" s="39"/>
      <c r="AS539" s="81">
        <v>0.0</v>
      </c>
      <c r="AT539" s="81">
        <v>0.0</v>
      </c>
      <c r="AU539" s="39"/>
      <c r="AV539" s="7" t="s">
        <v>4012</v>
      </c>
      <c r="AW539" s="82"/>
      <c r="AX539" s="82"/>
      <c r="AY539" s="7"/>
      <c r="AZ539" s="7">
        <f>1</f>
        <v>1</v>
      </c>
      <c r="BA539" s="7">
        <f>POW(AZ540/AZ539,1/($O539-1940))-1</f>
        <v>0.3335214322</v>
      </c>
      <c r="BB539" s="7">
        <v>1.0</v>
      </c>
      <c r="BC539" s="7">
        <f>POW(BB540/BB539,1/($O539-1940))-1</f>
        <v>0.77827941</v>
      </c>
      <c r="BD539" s="7">
        <v>1.0</v>
      </c>
      <c r="BE539" s="7">
        <f>POW(BD540/BD539,1/($O539-1940))-1</f>
        <v>1.371373706</v>
      </c>
      <c r="BF539" s="7">
        <v>1000.0</v>
      </c>
      <c r="BG539" s="13"/>
      <c r="BH539" s="82"/>
      <c r="BI539" s="82"/>
      <c r="BJ539" s="82"/>
      <c r="BK539" s="82"/>
      <c r="BL539" s="82"/>
      <c r="BM539" s="82"/>
      <c r="BN539" s="7"/>
      <c r="BO539" s="7">
        <v>6.0</v>
      </c>
      <c r="BP539" s="82"/>
      <c r="BQ539" s="7"/>
      <c r="BR539" s="7" t="s">
        <v>144</v>
      </c>
    </row>
    <row r="540">
      <c r="A540" s="16">
        <v>33.0</v>
      </c>
      <c r="B540" s="16" t="s">
        <v>509</v>
      </c>
      <c r="C540" s="53">
        <v>2.0</v>
      </c>
      <c r="D540" s="53" t="s">
        <v>510</v>
      </c>
      <c r="E540" s="7">
        <v>328.0</v>
      </c>
      <c r="F540" s="53"/>
      <c r="G540" s="7"/>
      <c r="H540" s="16">
        <v>1.0</v>
      </c>
      <c r="I540" s="16">
        <v>1.0</v>
      </c>
      <c r="J540" s="39" t="s">
        <v>35</v>
      </c>
      <c r="K540" s="53" t="s">
        <v>2117</v>
      </c>
      <c r="L540" s="53" t="s">
        <v>484</v>
      </c>
      <c r="M540" s="39" t="str">
        <f t="shared" si="1"/>
        <v>[- Radix sorting method (1887)]</v>
      </c>
      <c r="N540" s="39" t="s">
        <v>4014</v>
      </c>
      <c r="O540" s="83">
        <v>1887.0</v>
      </c>
      <c r="P540" s="16" t="s">
        <v>1937</v>
      </c>
      <c r="Q540" s="7">
        <v>4.0</v>
      </c>
      <c r="R540" s="7">
        <v>1.0</v>
      </c>
      <c r="S540" s="114" t="s">
        <v>4015</v>
      </c>
      <c r="T540" s="16">
        <v>1.0</v>
      </c>
      <c r="U540" s="16">
        <v>0.0</v>
      </c>
      <c r="V540" s="89">
        <f>IFERROR(__xludf.DUMMYFUNCTION("INDEX(SPLIT(SUBSTITUTE(W540,CHAR(10), """"),"",:""), MATCH(Z540, SPLIT(SUBSTITUTE(W540,CHAR(10), """"),"",:""), 0) + 1)"),3.0)</f>
        <v>3</v>
      </c>
      <c r="W540" s="85" t="s">
        <v>1763</v>
      </c>
      <c r="X540" s="39" t="s">
        <v>35</v>
      </c>
      <c r="Y540" s="53" t="s">
        <v>1773</v>
      </c>
      <c r="Z540" s="53" t="str">
        <f t="array" ref="Z540">INDEX(Problems!J:J, MATCH(1, (Problems!B:B=B540)*1, 0))</f>
        <v>n</v>
      </c>
      <c r="AA540" s="53"/>
      <c r="AB540" s="53"/>
      <c r="AC540" s="53" t="s">
        <v>1813</v>
      </c>
      <c r="AD540" s="53" t="s">
        <v>1814</v>
      </c>
      <c r="AE540" s="85">
        <f>IFERROR(__xludf.DUMMYFUNCTION("INDEX(SPLIT(SUBSTITUTE(AF540,CHAR(10), """"),"",:""), MATCH(Z540, SPLIT(SUBSTITUTE(AF540,CHAR(10), """"),"",:""), 0) + 1)"),3.0)</f>
        <v>3</v>
      </c>
      <c r="AF540" s="85" t="s">
        <v>1763</v>
      </c>
      <c r="AG540" s="53" t="s">
        <v>35</v>
      </c>
      <c r="AH540" s="53" t="s">
        <v>4016</v>
      </c>
      <c r="AI540" s="84">
        <v>1.0</v>
      </c>
      <c r="AJ540" s="84">
        <v>0.0</v>
      </c>
      <c r="AK540" s="84"/>
      <c r="AL540" s="84">
        <v>1.0</v>
      </c>
      <c r="AM540" s="21" t="s">
        <v>4010</v>
      </c>
      <c r="AN540" s="16">
        <v>0.0</v>
      </c>
      <c r="AO540" s="90"/>
      <c r="AP540" s="16">
        <v>0.0</v>
      </c>
      <c r="AQ540" s="16">
        <v>0.0</v>
      </c>
      <c r="AR540" s="39"/>
      <c r="AS540" s="81">
        <v>0.0</v>
      </c>
      <c r="AT540" s="81">
        <v>0.0</v>
      </c>
      <c r="AU540" s="25" t="s">
        <v>4017</v>
      </c>
      <c r="AV540" s="7" t="s">
        <v>4012</v>
      </c>
      <c r="AW540" s="82"/>
      <c r="AX540" s="82"/>
      <c r="AY540" s="7"/>
      <c r="AZ540" s="7">
        <f> 1000</f>
        <v>1000</v>
      </c>
      <c r="BA540" s="7"/>
      <c r="BB540" s="7">
        <f> 1000000</f>
        <v>1000000</v>
      </c>
      <c r="BC540" s="7"/>
      <c r="BD540" s="7">
        <f> 1000000000</f>
        <v>1000000000</v>
      </c>
      <c r="BE540" s="7"/>
      <c r="BF540" s="7">
        <v>1000.0</v>
      </c>
      <c r="BG540" s="6">
        <v>1.0</v>
      </c>
      <c r="BH540" s="7"/>
      <c r="BI540" s="7">
        <v>1000000.0</v>
      </c>
      <c r="BJ540" s="7">
        <v>1.0</v>
      </c>
      <c r="BK540" s="7"/>
      <c r="BL540" s="7">
        <v>1.0E9</v>
      </c>
      <c r="BM540" s="7">
        <v>1.0</v>
      </c>
      <c r="BN540" s="7"/>
      <c r="BO540" s="7">
        <v>6.0</v>
      </c>
      <c r="BP540" s="82"/>
      <c r="BQ540" s="7"/>
      <c r="BR540" s="7" t="s">
        <v>144</v>
      </c>
    </row>
    <row r="541">
      <c r="A541" s="16">
        <v>33.0</v>
      </c>
      <c r="B541" s="16" t="s">
        <v>509</v>
      </c>
      <c r="C541" s="53">
        <v>2.0</v>
      </c>
      <c r="D541" s="53" t="s">
        <v>515</v>
      </c>
      <c r="E541" s="7">
        <v>329.0</v>
      </c>
      <c r="F541" s="53"/>
      <c r="G541" s="7"/>
      <c r="H541" s="16">
        <v>1.0</v>
      </c>
      <c r="I541" s="16">
        <v>1.0</v>
      </c>
      <c r="J541" s="90" t="s">
        <v>35</v>
      </c>
      <c r="K541" s="53" t="s">
        <v>2117</v>
      </c>
      <c r="L541" s="53" t="s">
        <v>484</v>
      </c>
      <c r="M541" s="39" t="str">
        <f t="shared" si="1"/>
        <v>[https://www.sciencedirect.com/science/article/abs/pii/0020019086900736 Sattolo's algorithm (1986)]</v>
      </c>
      <c r="N541" s="39" t="s">
        <v>518</v>
      </c>
      <c r="O541" s="83">
        <v>1986.0</v>
      </c>
      <c r="P541" s="25" t="s">
        <v>4018</v>
      </c>
      <c r="Q541" s="82"/>
      <c r="R541" s="82"/>
      <c r="S541" s="82"/>
      <c r="T541" s="16">
        <v>0.0</v>
      </c>
      <c r="U541" s="16">
        <v>0.0</v>
      </c>
      <c r="V541" s="89">
        <f>IFERROR(__xludf.DUMMYFUNCTION("INDEX(SPLIT(SUBSTITUTE(W541,CHAR(10), """"),"",:""), MATCH(Z541, SPLIT(SUBSTITUTE(W541,CHAR(10), """"),"",:""), 0) + 1)"),3.0)</f>
        <v>3</v>
      </c>
      <c r="W541" s="85" t="s">
        <v>1763</v>
      </c>
      <c r="X541" s="90" t="s">
        <v>35</v>
      </c>
      <c r="Y541" s="53" t="s">
        <v>1773</v>
      </c>
      <c r="Z541" s="53" t="str">
        <f t="array" ref="Z541">INDEX(Problems!J:J, MATCH(1, (Problems!B:B=B541)*1, 0))</f>
        <v>n</v>
      </c>
      <c r="AA541" s="53"/>
      <c r="AB541" s="53"/>
      <c r="AC541" s="53" t="s">
        <v>1813</v>
      </c>
      <c r="AD541" s="53" t="s">
        <v>1814</v>
      </c>
      <c r="AE541" s="85">
        <f>IFERROR(__xludf.DUMMYFUNCTION("INDEX(SPLIT(SUBSTITUTE(AF541,CHAR(10), """"),"",:""), MATCH(Z541, SPLIT(SUBSTITUTE(AF541,CHAR(10), """"),"",:""), 0) + 1)"),1.0)</f>
        <v>1</v>
      </c>
      <c r="AF541" s="85" t="s">
        <v>1774</v>
      </c>
      <c r="AG541" s="53" t="s">
        <v>34</v>
      </c>
      <c r="AH541" s="53" t="s">
        <v>4013</v>
      </c>
      <c r="AI541" s="84">
        <v>1.0</v>
      </c>
      <c r="AJ541" s="84">
        <v>0.0</v>
      </c>
      <c r="AK541" s="84"/>
      <c r="AL541" s="84">
        <v>1.0</v>
      </c>
      <c r="AM541" s="21" t="s">
        <v>4010</v>
      </c>
      <c r="AN541" s="16">
        <v>0.0</v>
      </c>
      <c r="AO541" s="90"/>
      <c r="AP541" s="16">
        <v>0.0</v>
      </c>
      <c r="AQ541" s="16">
        <v>0.0</v>
      </c>
      <c r="AR541" s="39"/>
      <c r="AS541" s="81">
        <v>0.0</v>
      </c>
      <c r="AT541" s="81">
        <v>0.0</v>
      </c>
      <c r="AU541" s="39"/>
      <c r="AV541" s="7" t="s">
        <v>4012</v>
      </c>
      <c r="AW541" s="82"/>
      <c r="AX541" s="82"/>
      <c r="AY541" s="7"/>
      <c r="AZ541" s="7"/>
      <c r="BA541" s="7"/>
      <c r="BB541" s="7"/>
      <c r="BC541" s="7"/>
      <c r="BD541" s="7"/>
      <c r="BE541" s="7"/>
      <c r="BF541" s="7">
        <v>1000000.0</v>
      </c>
      <c r="BG541" s="13"/>
      <c r="BH541" s="82"/>
      <c r="BI541" s="82"/>
      <c r="BJ541" s="82"/>
      <c r="BK541" s="82"/>
      <c r="BL541" s="82"/>
      <c r="BM541" s="82"/>
      <c r="BN541" s="7"/>
      <c r="BO541" s="7">
        <v>6.0</v>
      </c>
      <c r="BP541" s="82"/>
      <c r="BQ541" s="7"/>
      <c r="BR541" s="7" t="s">
        <v>144</v>
      </c>
    </row>
    <row r="542">
      <c r="A542" s="16">
        <v>34.0</v>
      </c>
      <c r="B542" s="16" t="s">
        <v>519</v>
      </c>
      <c r="C542" s="53">
        <v>1.0</v>
      </c>
      <c r="D542" s="53" t="s">
        <v>4019</v>
      </c>
      <c r="E542" s="7">
        <v>330.0</v>
      </c>
      <c r="F542" s="53"/>
      <c r="G542" s="7">
        <v>0.0</v>
      </c>
      <c r="H542" s="16">
        <v>1.0</v>
      </c>
      <c r="I542" s="16">
        <v>1.0</v>
      </c>
      <c r="J542" s="21" t="s">
        <v>4020</v>
      </c>
      <c r="K542" s="53"/>
      <c r="L542" s="53"/>
      <c r="M542" s="39" t="str">
        <f t="shared" si="1"/>
        <v>[https://www.cs.uleth.ca/~benkoczi/OR/read/cutting-stock-LP.pdf Gomory's cutting method (1953)]</v>
      </c>
      <c r="N542" s="39" t="s">
        <v>4021</v>
      </c>
      <c r="O542" s="81">
        <v>1953.0</v>
      </c>
      <c r="P542" s="25" t="s">
        <v>4022</v>
      </c>
      <c r="Q542" s="7">
        <v>2.0</v>
      </c>
      <c r="R542" s="7">
        <v>1.0</v>
      </c>
      <c r="S542" s="47" t="s">
        <v>4023</v>
      </c>
      <c r="T542" s="16">
        <v>1.0</v>
      </c>
      <c r="U542" s="16">
        <v>0.0</v>
      </c>
      <c r="V542" s="89">
        <f>IFERROR(__xludf.DUMMYFUNCTION("INDEX(SPLIT(SUBSTITUTE(W542,CHAR(10), """"),"",:""), MATCH(Z542, SPLIT(SUBSTITUTE(W542,CHAR(10), """"),"",:""), 0) + 1)"),8.0)</f>
        <v>8</v>
      </c>
      <c r="W542" s="85" t="s">
        <v>2135</v>
      </c>
      <c r="X542" s="21" t="s">
        <v>4020</v>
      </c>
      <c r="Y542" s="53" t="s">
        <v>2136</v>
      </c>
      <c r="Z542" s="53" t="str">
        <f t="array" ref="Z542">INDEX(Problems!J:J, MATCH(1, (Problems!B:B=B542)*1, 0))</f>
        <v>n</v>
      </c>
      <c r="AA542" s="53"/>
      <c r="AB542" s="53"/>
      <c r="AC542" s="53" t="s">
        <v>2312</v>
      </c>
      <c r="AD542" s="53" t="s">
        <v>1814</v>
      </c>
      <c r="AE542" s="85">
        <f>IFERROR(__xludf.DUMMYFUNCTION("INDEX(SPLIT(SUBSTITUTE(AF542,CHAR(10), """"),"",:""), MATCH(Z542, SPLIT(SUBSTITUTE(AF542,CHAR(10), """"),"",:""), 0) + 1)"),3.0)</f>
        <v>3</v>
      </c>
      <c r="AF542" s="85" t="s">
        <v>2897</v>
      </c>
      <c r="AG542" s="53" t="s">
        <v>4024</v>
      </c>
      <c r="AH542" s="53" t="s">
        <v>4025</v>
      </c>
      <c r="AI542" s="84">
        <v>1.0</v>
      </c>
      <c r="AJ542" s="84">
        <v>0.0</v>
      </c>
      <c r="AK542" s="87"/>
      <c r="AL542" s="81">
        <v>0.0</v>
      </c>
      <c r="AM542" s="21"/>
      <c r="AN542" s="16">
        <v>0.0</v>
      </c>
      <c r="AO542" s="21"/>
      <c r="AP542" s="16">
        <v>0.0</v>
      </c>
      <c r="AQ542" s="16">
        <v>0.0</v>
      </c>
      <c r="AR542" s="39"/>
      <c r="AS542" s="81">
        <v>0.0</v>
      </c>
      <c r="AT542" s="81">
        <v>0.0</v>
      </c>
      <c r="AU542" s="18" t="s">
        <v>4026</v>
      </c>
      <c r="AV542" s="50" t="s">
        <v>520</v>
      </c>
      <c r="AW542" s="82"/>
      <c r="AX542" s="82"/>
      <c r="AY542" s="7"/>
      <c r="AZ542" s="7"/>
      <c r="BA542" s="7"/>
      <c r="BB542" s="7"/>
      <c r="BC542" s="7"/>
      <c r="BD542" s="7"/>
      <c r="BE542" s="7"/>
      <c r="BF542" s="7">
        <v>1.0E9</v>
      </c>
      <c r="BG542" s="6">
        <v>1.0</v>
      </c>
      <c r="BH542" s="82"/>
      <c r="BI542" s="82">
        <f>POW(1000000,3)</f>
        <v>1E+18</v>
      </c>
      <c r="BJ542" s="7">
        <v>1.0</v>
      </c>
      <c r="BK542" s="82"/>
      <c r="BL542" s="82">
        <f>POW(1000000000,3)</f>
        <v>1E+27</v>
      </c>
      <c r="BM542" s="7">
        <v>1.0</v>
      </c>
      <c r="BN542" s="7"/>
      <c r="BO542" s="7">
        <v>3.0</v>
      </c>
      <c r="BP542" s="82"/>
      <c r="BQ542" s="7"/>
      <c r="BR542" s="7" t="s">
        <v>144</v>
      </c>
    </row>
    <row r="543">
      <c r="A543" s="16">
        <v>34.0</v>
      </c>
      <c r="B543" s="16" t="s">
        <v>519</v>
      </c>
      <c r="C543" s="53">
        <v>1.0</v>
      </c>
      <c r="D543" s="53" t="s">
        <v>4027</v>
      </c>
      <c r="E543" s="7">
        <v>331.0</v>
      </c>
      <c r="F543" s="53"/>
      <c r="G543" s="7">
        <v>0.0</v>
      </c>
      <c r="H543" s="16">
        <v>1.0</v>
      </c>
      <c r="I543" s="16">
        <v>1.0</v>
      </c>
      <c r="J543" s="48" t="s">
        <v>3153</v>
      </c>
      <c r="K543" s="53"/>
      <c r="L543" s="53"/>
      <c r="M543" s="39" t="str">
        <f t="shared" si="1"/>
        <v>[https://link.springer.com/content/pdf/10.1007/BFb0120703.pdf Wolfe; Lemaréchal; Kiwiel (1964)]</v>
      </c>
      <c r="N543" s="39" t="s">
        <v>4028</v>
      </c>
      <c r="O543" s="81">
        <v>1964.0</v>
      </c>
      <c r="P543" s="25" t="s">
        <v>4029</v>
      </c>
      <c r="Q543" s="82"/>
      <c r="R543" s="82"/>
      <c r="S543" s="82"/>
      <c r="T543" s="16">
        <v>0.0</v>
      </c>
      <c r="U543" s="16">
        <v>0.0</v>
      </c>
      <c r="V543" s="89">
        <f>IFERROR(__xludf.DUMMYFUNCTION("INDEX(SPLIT(SUBSTITUTE(W543,CHAR(10), """"),"",:""), MATCH(Z543, SPLIT(SUBSTITUTE(W543,CHAR(10), """"),"",:""), 0) + 1)"),7.0)</f>
        <v>7</v>
      </c>
      <c r="W543" s="85" t="s">
        <v>2517</v>
      </c>
      <c r="X543" s="48" t="s">
        <v>3153</v>
      </c>
      <c r="Y543" s="53" t="s">
        <v>2136</v>
      </c>
      <c r="Z543" s="53" t="str">
        <f t="array" ref="Z543">INDEX(Problems!J:J, MATCH(1, (Problems!B:B=B543)*1, 0))</f>
        <v>n</v>
      </c>
      <c r="AA543" s="53"/>
      <c r="AB543" s="53"/>
      <c r="AC543" s="53" t="s">
        <v>1813</v>
      </c>
      <c r="AD543" s="53" t="s">
        <v>1814</v>
      </c>
      <c r="AE543" s="85">
        <f>IFERROR(__xludf.DUMMYFUNCTION("INDEX(SPLIT(SUBSTITUTE(AF543,CHAR(10), """"),"",:""), MATCH(Z543, SPLIT(SUBSTITUTE(AF543,CHAR(10), """"),"",:""), 0) + 1)"),3.0)</f>
        <v>3</v>
      </c>
      <c r="AF543" s="110" t="s">
        <v>1805</v>
      </c>
      <c r="AG543" s="104" t="s">
        <v>4030</v>
      </c>
      <c r="AH543" s="53" t="s">
        <v>4031</v>
      </c>
      <c r="AI543" s="84">
        <v>1.0</v>
      </c>
      <c r="AJ543" s="84">
        <v>0.0</v>
      </c>
      <c r="AK543" s="87"/>
      <c r="AL543" s="81">
        <v>0.0</v>
      </c>
      <c r="AM543" s="21"/>
      <c r="AN543" s="16">
        <v>0.0</v>
      </c>
      <c r="AO543" s="21"/>
      <c r="AP543" s="16">
        <v>0.0</v>
      </c>
      <c r="AQ543" s="16">
        <v>0.0</v>
      </c>
      <c r="AR543" s="39"/>
      <c r="AS543" s="81">
        <v>0.0</v>
      </c>
      <c r="AT543" s="81">
        <v>0.0</v>
      </c>
      <c r="AU543" s="39"/>
      <c r="AV543" s="50" t="s">
        <v>520</v>
      </c>
      <c r="AW543" s="82"/>
      <c r="AX543" s="82"/>
      <c r="AY543" s="7"/>
      <c r="AZ543" s="7"/>
      <c r="BA543" s="7"/>
      <c r="BB543" s="7"/>
      <c r="BC543" s="7"/>
      <c r="BD543" s="7"/>
      <c r="BE543" s="7"/>
      <c r="BF543" s="7">
        <v>1.0E12</v>
      </c>
      <c r="BG543" s="13"/>
      <c r="BH543" s="82"/>
      <c r="BI543" s="82"/>
      <c r="BJ543" s="82"/>
      <c r="BK543" s="82"/>
      <c r="BL543" s="82"/>
      <c r="BM543" s="82"/>
      <c r="BN543" s="7"/>
      <c r="BO543" s="7">
        <v>3.0</v>
      </c>
      <c r="BP543" s="82"/>
      <c r="BQ543" s="7"/>
      <c r="BR543" s="7" t="s">
        <v>144</v>
      </c>
    </row>
    <row r="544">
      <c r="A544" s="16">
        <v>34.0</v>
      </c>
      <c r="B544" s="16" t="s">
        <v>519</v>
      </c>
      <c r="C544" s="53">
        <v>1.0</v>
      </c>
      <c r="D544" s="53" t="s">
        <v>4027</v>
      </c>
      <c r="E544" s="7">
        <v>332.0</v>
      </c>
      <c r="F544" s="53"/>
      <c r="G544" s="7">
        <v>0.0</v>
      </c>
      <c r="H544" s="16">
        <v>1.0</v>
      </c>
      <c r="I544" s="16">
        <v>1.0</v>
      </c>
      <c r="J544" s="48" t="s">
        <v>3529</v>
      </c>
      <c r="K544" s="53"/>
      <c r="L544" s="53"/>
      <c r="M544" s="39" t="str">
        <f t="shared" si="1"/>
        <v>[https://www.sciencedirect.com/science/article/abs/pii/0041555380900610 Ellipsoid method (1971)]</v>
      </c>
      <c r="N544" s="39" t="s">
        <v>4032</v>
      </c>
      <c r="O544" s="83">
        <v>1971.0</v>
      </c>
      <c r="P544" s="28" t="s">
        <v>2142</v>
      </c>
      <c r="Q544" s="82"/>
      <c r="R544" s="82"/>
      <c r="S544" s="82"/>
      <c r="T544" s="16">
        <v>1.0</v>
      </c>
      <c r="U544" s="16">
        <v>0.0</v>
      </c>
      <c r="V544" s="89">
        <f>IFERROR(__xludf.DUMMYFUNCTION("INDEX(SPLIT(SUBSTITUTE(W544,CHAR(10), """"),"",:""), MATCH(Z544, SPLIT(SUBSTITUTE(W544,CHAR(10), """"),"",:""), 0) + 1)"),5.01)</f>
        <v>5.01</v>
      </c>
      <c r="W544" s="85" t="s">
        <v>1890</v>
      </c>
      <c r="X544" s="48" t="s">
        <v>1564</v>
      </c>
      <c r="Y544" s="53" t="s">
        <v>2136</v>
      </c>
      <c r="Z544" s="53" t="str">
        <f t="array" ref="Z544">INDEX(Problems!J:J, MATCH(1, (Problems!B:B=B544)*1, 0))</f>
        <v>n</v>
      </c>
      <c r="AA544" s="53"/>
      <c r="AB544" s="53"/>
      <c r="AC544" s="53" t="s">
        <v>1813</v>
      </c>
      <c r="AD544" s="53" t="s">
        <v>1814</v>
      </c>
      <c r="AE544" s="85">
        <f>IFERROR(__xludf.DUMMYFUNCTION("INDEX(SPLIT(SUBSTITUTE(AF544,CHAR(10), """"),"",:""), MATCH(Z544, SPLIT(SUBSTITUTE(AF544,CHAR(10), """"),"",:""), 0) + 1)"),3.0)</f>
        <v>3</v>
      </c>
      <c r="AF544" s="85" t="s">
        <v>2146</v>
      </c>
      <c r="AG544" s="53" t="s">
        <v>2147</v>
      </c>
      <c r="AH544" s="118" t="s">
        <v>2148</v>
      </c>
      <c r="AI544" s="84">
        <v>0.0</v>
      </c>
      <c r="AJ544" s="84">
        <v>1.0</v>
      </c>
      <c r="AK544" s="87"/>
      <c r="AL544" s="81">
        <v>0.0</v>
      </c>
      <c r="AM544" s="21"/>
      <c r="AN544" s="16">
        <v>0.0</v>
      </c>
      <c r="AO544" s="21"/>
      <c r="AP544" s="16">
        <v>0.0</v>
      </c>
      <c r="AQ544" s="16">
        <v>0.0</v>
      </c>
      <c r="AR544" s="39"/>
      <c r="AS544" s="81">
        <v>0.0</v>
      </c>
      <c r="AT544" s="81">
        <v>0.0</v>
      </c>
      <c r="AU544" s="25" t="s">
        <v>4033</v>
      </c>
      <c r="AV544" s="50" t="s">
        <v>520</v>
      </c>
      <c r="AW544" s="82"/>
      <c r="AX544" s="82"/>
      <c r="AY544" s="7"/>
      <c r="AZ544" s="7"/>
      <c r="BA544" s="7"/>
      <c r="BB544" s="7"/>
      <c r="BC544" s="7"/>
      <c r="BD544" s="7"/>
      <c r="BE544" s="7"/>
      <c r="BF544" s="7">
        <f>POW(1000,2)*LOG(1000,2)</f>
        <v>9965784.285</v>
      </c>
      <c r="BG544" s="82">
        <f>BF542/BF544</f>
        <v>100.3433319</v>
      </c>
      <c r="BH544" s="82">
        <f t="shared" ref="BH544:BH545" si="56">POW(BG544,1/($O544-$O$542)) - 1</f>
        <v>0.2917956166</v>
      </c>
      <c r="BI544" s="82">
        <f>POW(1000000,2)*LOG(1000000,2)</f>
        <v>19931568569324</v>
      </c>
      <c r="BJ544" s="82">
        <f>BI542/BI544</f>
        <v>50171.66594</v>
      </c>
      <c r="BK544" s="82">
        <f t="shared" ref="BK544:BK545" si="57">POW(BJ544,1/($O544-$O$542)) - 1</f>
        <v>0.8244694033</v>
      </c>
      <c r="BL544" s="82">
        <f>POW(1000000000,2)*LOG(1000000000,2)</f>
        <v>2.98974E+19</v>
      </c>
      <c r="BM544" s="82">
        <f>BL542/BL544</f>
        <v>33447777.3</v>
      </c>
      <c r="BN544" s="82">
        <f t="shared" ref="BN544:BN545" si="58">POW(BM544,1/($O544-$O$542)) - 1</f>
        <v>1.618306015</v>
      </c>
      <c r="BO544" s="7">
        <v>3.0</v>
      </c>
      <c r="BP544" s="82"/>
      <c r="BQ544" s="7"/>
      <c r="BR544" s="7" t="s">
        <v>144</v>
      </c>
    </row>
    <row r="545">
      <c r="A545" s="16">
        <v>34.0</v>
      </c>
      <c r="B545" s="16" t="s">
        <v>519</v>
      </c>
      <c r="C545" s="53">
        <v>1.0</v>
      </c>
      <c r="D545" s="53" t="s">
        <v>4027</v>
      </c>
      <c r="E545" s="7">
        <v>333.0</v>
      </c>
      <c r="F545" s="53"/>
      <c r="G545" s="7">
        <v>0.0</v>
      </c>
      <c r="H545" s="16">
        <v>1.0</v>
      </c>
      <c r="I545" s="16">
        <v>1.0</v>
      </c>
      <c r="J545" s="48" t="s">
        <v>4034</v>
      </c>
      <c r="K545" s="53"/>
      <c r="L545" s="53"/>
      <c r="M545" s="39" t="str">
        <f t="shared" si="1"/>
        <v>[https://www.springer.com/gp/book/9783642821202 Subgradient method (1981)]</v>
      </c>
      <c r="N545" s="39" t="s">
        <v>4035</v>
      </c>
      <c r="O545" s="81">
        <v>1981.0</v>
      </c>
      <c r="P545" s="25" t="s">
        <v>4036</v>
      </c>
      <c r="Q545" s="7">
        <v>1.0</v>
      </c>
      <c r="R545" s="7">
        <v>1.0</v>
      </c>
      <c r="S545" s="114" t="s">
        <v>4037</v>
      </c>
      <c r="T545" s="16">
        <v>1.0</v>
      </c>
      <c r="U545" s="16" t="s">
        <v>2425</v>
      </c>
      <c r="V545" s="89">
        <f>IFERROR(__xludf.DUMMYFUNCTION("INDEX(SPLIT(SUBSTITUTE(W545,CHAR(10), """"),"",:""), MATCH(Z545, SPLIT(SUBSTITUTE(W545,CHAR(10), """"),"",:""), 0) + 1)"),5.0)</f>
        <v>5</v>
      </c>
      <c r="W545" s="85" t="s">
        <v>1938</v>
      </c>
      <c r="X545" s="48" t="s">
        <v>4034</v>
      </c>
      <c r="Y545" s="120" t="s">
        <v>2136</v>
      </c>
      <c r="Z545" s="53" t="str">
        <f t="array" ref="Z545">INDEX(Problems!J:J, MATCH(1, (Problems!B:B=B545)*1, 0))</f>
        <v>n</v>
      </c>
      <c r="AA545" s="120"/>
      <c r="AB545" s="120"/>
      <c r="AC545" s="120" t="s">
        <v>2312</v>
      </c>
      <c r="AD545" s="120" t="s">
        <v>1814</v>
      </c>
      <c r="AE545" s="85">
        <f>IFERROR(__xludf.DUMMYFUNCTION("INDEX(SPLIT(SUBSTITUTE(AF545,CHAR(10), """"),"",:""), MATCH(Z545, SPLIT(SUBSTITUTE(AF545,CHAR(10), """"),"",:""), 0) + 1)"),3.0)</f>
        <v>3</v>
      </c>
      <c r="AF545" s="110" t="s">
        <v>1805</v>
      </c>
      <c r="AG545" s="120" t="s">
        <v>4038</v>
      </c>
      <c r="AH545" s="120" t="s">
        <v>4039</v>
      </c>
      <c r="AI545" s="105">
        <v>1.0</v>
      </c>
      <c r="AJ545" s="84">
        <v>0.0</v>
      </c>
      <c r="AK545" s="87"/>
      <c r="AL545" s="81">
        <v>0.0</v>
      </c>
      <c r="AM545" s="21"/>
      <c r="AN545" s="16">
        <v>0.0</v>
      </c>
      <c r="AO545" s="21"/>
      <c r="AP545" s="16">
        <v>0.0</v>
      </c>
      <c r="AQ545" s="16">
        <v>0.0</v>
      </c>
      <c r="AR545" s="39"/>
      <c r="AS545" s="81">
        <v>0.0</v>
      </c>
      <c r="AT545" s="81">
        <v>0.0</v>
      </c>
      <c r="AU545" s="39"/>
      <c r="AV545" s="50" t="s">
        <v>520</v>
      </c>
      <c r="AW545" s="82"/>
      <c r="AX545" s="82"/>
      <c r="AY545" s="7"/>
      <c r="AZ545" s="7"/>
      <c r="BA545" s="7"/>
      <c r="BB545" s="7"/>
      <c r="BC545" s="7"/>
      <c r="BD545" s="7"/>
      <c r="BE545" s="7"/>
      <c r="BF545" s="7">
        <v>1000000.0</v>
      </c>
      <c r="BG545" s="7">
        <v>1000.0</v>
      </c>
      <c r="BH545" s="82">
        <f t="shared" si="56"/>
        <v>0.279802214</v>
      </c>
      <c r="BI545" s="82">
        <f>POW(1000000,2)</f>
        <v>1000000000000</v>
      </c>
      <c r="BJ545" s="82">
        <f>BI542/BI545</f>
        <v>1000000</v>
      </c>
      <c r="BK545" s="82">
        <f t="shared" si="57"/>
        <v>0.637893707</v>
      </c>
      <c r="BL545" s="82">
        <f>POW(1000000000,2)</f>
        <v>1E+18</v>
      </c>
      <c r="BM545" s="82">
        <f>BL542/BL545</f>
        <v>1000000000</v>
      </c>
      <c r="BN545" s="82">
        <f t="shared" si="58"/>
        <v>1.096179992</v>
      </c>
      <c r="BO545" s="7">
        <v>3.0</v>
      </c>
      <c r="BP545" s="82"/>
      <c r="BQ545" s="7"/>
      <c r="BR545" s="7" t="s">
        <v>144</v>
      </c>
    </row>
    <row r="546">
      <c r="A546" s="16">
        <v>34.0</v>
      </c>
      <c r="B546" s="16" t="s">
        <v>519</v>
      </c>
      <c r="C546" s="53">
        <v>1.0</v>
      </c>
      <c r="D546" s="53" t="s">
        <v>4040</v>
      </c>
      <c r="E546" s="7">
        <v>334.0</v>
      </c>
      <c r="F546" s="53"/>
      <c r="G546" s="7">
        <v>0.0</v>
      </c>
      <c r="H546" s="16">
        <v>1.0</v>
      </c>
      <c r="I546" s="16">
        <v>1.0</v>
      </c>
      <c r="J546" s="48" t="s">
        <v>115</v>
      </c>
      <c r="K546" s="53"/>
      <c r="L546" s="53"/>
      <c r="M546" s="39" t="str">
        <f t="shared" si="1"/>
        <v>[ Dual subgradients and the drift-plus-penalty method (1993)]</v>
      </c>
      <c r="N546" s="39" t="s">
        <v>4041</v>
      </c>
      <c r="O546" s="81">
        <v>1993.0</v>
      </c>
      <c r="P546" s="39"/>
      <c r="Q546" s="82"/>
      <c r="R546" s="82"/>
      <c r="S546" s="82"/>
      <c r="T546" s="16">
        <v>0.0</v>
      </c>
      <c r="U546" s="16">
        <v>0.0</v>
      </c>
      <c r="V546" s="89">
        <f>IFERROR(__xludf.DUMMYFUNCTION("INDEX(SPLIT(SUBSTITUTE(W546,CHAR(10), """"),"",:""), MATCH(Z546, SPLIT(SUBSTITUTE(W546,CHAR(10), """"),"",:""), 0) + 1)"),5.0)</f>
        <v>5</v>
      </c>
      <c r="W546" s="85" t="s">
        <v>1938</v>
      </c>
      <c r="X546" s="48" t="s">
        <v>115</v>
      </c>
      <c r="Y546" s="104" t="s">
        <v>4042</v>
      </c>
      <c r="Z546" s="53" t="str">
        <f t="array" ref="Z546">INDEX(Problems!J:J, MATCH(1, (Problems!B:B=B546)*1, 0))</f>
        <v>n</v>
      </c>
      <c r="AA546" s="104"/>
      <c r="AB546" s="104"/>
      <c r="AC546" s="120" t="s">
        <v>2312</v>
      </c>
      <c r="AD546" s="120" t="s">
        <v>1814</v>
      </c>
      <c r="AE546" s="85">
        <f>IFERROR(__xludf.DUMMYFUNCTION("INDEX(SPLIT(SUBSTITUTE(AF546,CHAR(10), """"),"",:""), MATCH(Z546, SPLIT(SUBSTITUTE(AF546,CHAR(10), """"),"",:""), 0) + 1)"),3.0)</f>
        <v>3</v>
      </c>
      <c r="AF546" s="85" t="s">
        <v>4043</v>
      </c>
      <c r="AG546" s="53" t="s">
        <v>4044</v>
      </c>
      <c r="AH546" s="53" t="s">
        <v>4045</v>
      </c>
      <c r="AI546" s="84">
        <v>1.0</v>
      </c>
      <c r="AJ546" s="84">
        <v>0.0</v>
      </c>
      <c r="AK546" s="87"/>
      <c r="AL546" s="81">
        <v>0.0</v>
      </c>
      <c r="AM546" s="21"/>
      <c r="AN546" s="16">
        <v>0.0</v>
      </c>
      <c r="AO546" s="21"/>
      <c r="AP546" s="16">
        <v>0.0</v>
      </c>
      <c r="AQ546" s="16">
        <v>0.0</v>
      </c>
      <c r="AR546" s="39"/>
      <c r="AS546" s="81">
        <v>0.0</v>
      </c>
      <c r="AT546" s="81">
        <v>0.0</v>
      </c>
      <c r="AU546" s="39"/>
      <c r="AV546" s="50" t="s">
        <v>520</v>
      </c>
      <c r="AW546" s="82"/>
      <c r="AX546" s="82"/>
      <c r="AY546" s="7"/>
      <c r="AZ546" s="7"/>
      <c r="BA546" s="7"/>
      <c r="BB546" s="7"/>
      <c r="BC546" s="7"/>
      <c r="BD546" s="7"/>
      <c r="BE546" s="7"/>
      <c r="BF546" s="7">
        <v>1000000.0</v>
      </c>
      <c r="BG546" s="82"/>
      <c r="BH546" s="82"/>
      <c r="BI546" s="82"/>
      <c r="BJ546" s="82"/>
      <c r="BK546" s="82"/>
      <c r="BL546" s="82"/>
      <c r="BM546" s="82"/>
      <c r="BN546" s="7"/>
      <c r="BO546" s="7">
        <v>3.0</v>
      </c>
      <c r="BP546" s="82"/>
      <c r="BQ546" s="7"/>
      <c r="BR546" s="7" t="s">
        <v>144</v>
      </c>
    </row>
    <row r="547">
      <c r="A547" s="16">
        <v>35.0</v>
      </c>
      <c r="B547" s="16" t="s">
        <v>522</v>
      </c>
      <c r="C547" s="53">
        <v>1.0</v>
      </c>
      <c r="D547" s="53" t="s">
        <v>522</v>
      </c>
      <c r="E547" s="7">
        <v>335.0</v>
      </c>
      <c r="F547" s="53"/>
      <c r="G547" s="7"/>
      <c r="H547" s="16">
        <v>1.0</v>
      </c>
      <c r="I547" s="16">
        <v>1.0</v>
      </c>
      <c r="J547" s="21" t="s">
        <v>4046</v>
      </c>
      <c r="K547" s="53"/>
      <c r="L547" s="53"/>
      <c r="M547" s="39" t="str">
        <f t="shared" si="1"/>
        <v>[https://dl.acm.org/doi/10.1145/1088216.1088219 Buchberger's algorithm (1976)]</v>
      </c>
      <c r="N547" s="39" t="s">
        <v>4047</v>
      </c>
      <c r="O547" s="81">
        <v>1976.0</v>
      </c>
      <c r="P547" s="17" t="s">
        <v>524</v>
      </c>
      <c r="Q547" s="7">
        <v>2.0</v>
      </c>
      <c r="R547" s="7">
        <v>0.0</v>
      </c>
      <c r="S547" s="47" t="s">
        <v>4048</v>
      </c>
      <c r="T547" s="16">
        <v>1.0</v>
      </c>
      <c r="U547" s="16">
        <v>0.0</v>
      </c>
      <c r="V547" s="89">
        <f>IFERROR(__xludf.DUMMYFUNCTION("INDEX(SPLIT(SUBSTITUTE(W547,CHAR(10), """"),"",:""), MATCH(Z547, SPLIT(SUBSTITUTE(W547,CHAR(10), """"),"",:""), 0) + 1)"),8.0)</f>
        <v>8</v>
      </c>
      <c r="W547" s="85" t="s">
        <v>2001</v>
      </c>
      <c r="X547" s="21" t="s">
        <v>4049</v>
      </c>
      <c r="Y547" s="53" t="s">
        <v>4050</v>
      </c>
      <c r="Z547" s="53" t="str">
        <f t="array" ref="Z547">INDEX(Problems!J:J, MATCH(1, (Problems!B:B=B547)*1, 0))</f>
        <v>n</v>
      </c>
      <c r="AA547" s="53"/>
      <c r="AB547" s="53"/>
      <c r="AC547" s="53" t="s">
        <v>1813</v>
      </c>
      <c r="AD547" s="53" t="s">
        <v>1814</v>
      </c>
      <c r="AE547" s="85">
        <f>IFERROR(__xludf.DUMMYFUNCTION("INDEX(SPLIT(SUBSTITUTE(AF547,CHAR(10), """"),"",:""), MATCH(Z547, SPLIT(SUBSTITUTE(AF547,CHAR(10), """"),"",:""), 0) + 1)"),8.0)</f>
        <v>8</v>
      </c>
      <c r="AF547" s="85" t="s">
        <v>4051</v>
      </c>
      <c r="AG547" s="21" t="s">
        <v>4052</v>
      </c>
      <c r="AH547" s="53" t="s">
        <v>4053</v>
      </c>
      <c r="AI547" s="84">
        <v>1.0</v>
      </c>
      <c r="AJ547" s="84">
        <v>0.0</v>
      </c>
      <c r="AK547" s="87"/>
      <c r="AL547" s="81">
        <v>0.0</v>
      </c>
      <c r="AM547" s="21"/>
      <c r="AN547" s="16">
        <v>0.0</v>
      </c>
      <c r="AO547" s="90"/>
      <c r="AP547" s="16">
        <v>0.0</v>
      </c>
      <c r="AQ547" s="16">
        <v>0.0</v>
      </c>
      <c r="AR547" s="39"/>
      <c r="AS547" s="81">
        <v>0.0</v>
      </c>
      <c r="AT547" s="81">
        <v>0.0</v>
      </c>
      <c r="AU547" s="16" t="s">
        <v>4054</v>
      </c>
      <c r="AV547" s="7" t="s">
        <v>4055</v>
      </c>
      <c r="AW547" s="82"/>
      <c r="AX547" s="82"/>
      <c r="AY547" s="7"/>
      <c r="AZ547" s="7"/>
      <c r="BA547" s="7"/>
      <c r="BB547" s="7"/>
      <c r="BC547" s="7"/>
      <c r="BD547" s="7"/>
      <c r="BE547" s="7"/>
      <c r="BF547" s="7" t="s">
        <v>1781</v>
      </c>
      <c r="BG547" s="7">
        <v>1.0</v>
      </c>
      <c r="BH547" s="7"/>
      <c r="BI547" s="7" t="s">
        <v>1781</v>
      </c>
      <c r="BJ547" s="7">
        <v>1.0</v>
      </c>
      <c r="BK547" s="7"/>
      <c r="BL547" s="7" t="s">
        <v>1781</v>
      </c>
      <c r="BM547" s="7">
        <v>1.0</v>
      </c>
      <c r="BN547" s="7"/>
      <c r="BO547" s="7">
        <v>1.0</v>
      </c>
      <c r="BP547" s="24" t="s">
        <v>4056</v>
      </c>
      <c r="BQ547" s="7"/>
      <c r="BR547" s="7" t="s">
        <v>144</v>
      </c>
    </row>
    <row r="548">
      <c r="A548" s="16">
        <v>35.0</v>
      </c>
      <c r="B548" s="16" t="s">
        <v>522</v>
      </c>
      <c r="C548" s="53">
        <v>1.0</v>
      </c>
      <c r="D548" s="53" t="s">
        <v>522</v>
      </c>
      <c r="E548" s="7">
        <v>336.0</v>
      </c>
      <c r="F548" s="53"/>
      <c r="G548" s="7"/>
      <c r="H548" s="16">
        <v>1.0</v>
      </c>
      <c r="I548" s="16">
        <v>1.0</v>
      </c>
      <c r="J548" s="21" t="s">
        <v>4057</v>
      </c>
      <c r="K548" s="53"/>
      <c r="L548" s="53"/>
      <c r="M548" s="39" t="str">
        <f t="shared" si="1"/>
        <v>[https://linkinghub.elsevier.com/retrieve/pii/S0022404999000055 Faugère F4 algorithm (1999)]</v>
      </c>
      <c r="N548" s="39" t="s">
        <v>4058</v>
      </c>
      <c r="O548" s="81">
        <v>1999.0</v>
      </c>
      <c r="P548" s="17" t="s">
        <v>4059</v>
      </c>
      <c r="Q548" s="7">
        <v>1.0</v>
      </c>
      <c r="R548" s="7">
        <v>1.0</v>
      </c>
      <c r="S548" s="47" t="s">
        <v>4060</v>
      </c>
      <c r="T548" s="16">
        <v>1.0</v>
      </c>
      <c r="U548" s="16">
        <v>0.0</v>
      </c>
      <c r="V548" s="89">
        <f>IFERROR(__xludf.DUMMYFUNCTION("INDEX(SPLIT(SUBSTITUTE(W548,CHAR(10), """"),"",:""), MATCH(Z548, SPLIT(SUBSTITUTE(W548,CHAR(10), """"),"",:""), 0) + 1)"),8.0)</f>
        <v>8</v>
      </c>
      <c r="W548" s="85" t="s">
        <v>2001</v>
      </c>
      <c r="X548" s="21" t="s">
        <v>4057</v>
      </c>
      <c r="Y548" s="53" t="s">
        <v>4061</v>
      </c>
      <c r="Z548" s="53" t="str">
        <f t="array" ref="Z548">INDEX(Problems!J:J, MATCH(1, (Problems!B:B=B548)*1, 0))</f>
        <v>n</v>
      </c>
      <c r="AA548" s="53"/>
      <c r="AB548" s="53"/>
      <c r="AC548" s="53" t="s">
        <v>1813</v>
      </c>
      <c r="AD548" s="53" t="s">
        <v>1814</v>
      </c>
      <c r="AE548" s="85">
        <f>IFERROR(__xludf.DUMMYFUNCTION("INDEX(SPLIT(SUBSTITUTE(AF548,CHAR(10), """"),"",:""), MATCH(Z548, SPLIT(SUBSTITUTE(AF548,CHAR(10), """"),"",:""), 0) + 1)"),8.0)</f>
        <v>8</v>
      </c>
      <c r="AF548" s="85" t="s">
        <v>2001</v>
      </c>
      <c r="AG548" s="21" t="s">
        <v>4062</v>
      </c>
      <c r="AH548" s="53" t="s">
        <v>4063</v>
      </c>
      <c r="AI548" s="84">
        <v>1.0</v>
      </c>
      <c r="AJ548" s="84">
        <v>0.0</v>
      </c>
      <c r="AK548" s="87"/>
      <c r="AL548" s="81">
        <v>0.0</v>
      </c>
      <c r="AM548" s="21"/>
      <c r="AN548" s="16">
        <v>0.0</v>
      </c>
      <c r="AO548" s="90"/>
      <c r="AP548" s="16">
        <v>0.0</v>
      </c>
      <c r="AQ548" s="16">
        <v>0.0</v>
      </c>
      <c r="AR548" s="39"/>
      <c r="AS548" s="81">
        <v>0.0</v>
      </c>
      <c r="AT548" s="81">
        <v>0.0</v>
      </c>
      <c r="AU548" s="96" t="s">
        <v>4064</v>
      </c>
      <c r="AV548" s="7" t="s">
        <v>4055</v>
      </c>
      <c r="AW548" s="82"/>
      <c r="AX548" s="82"/>
      <c r="AY548" s="7" t="s">
        <v>4065</v>
      </c>
      <c r="AZ548" s="82"/>
      <c r="BA548" s="82"/>
      <c r="BB548" s="82"/>
      <c r="BC548" s="82"/>
      <c r="BD548" s="82"/>
      <c r="BE548" s="82"/>
      <c r="BF548" s="82">
        <f>POW(1000,3)</f>
        <v>1000000000</v>
      </c>
      <c r="BG548" s="7" t="s">
        <v>1781</v>
      </c>
      <c r="BH548" s="82"/>
      <c r="BI548" s="82">
        <f>POW(1000000,3)</f>
        <v>1E+18</v>
      </c>
      <c r="BJ548" s="7" t="s">
        <v>1781</v>
      </c>
      <c r="BK548" s="82"/>
      <c r="BL548" s="82">
        <f>POW(1000000000,3)</f>
        <v>1E+27</v>
      </c>
      <c r="BM548" s="7" t="s">
        <v>1781</v>
      </c>
      <c r="BN548" s="7"/>
      <c r="BO548" s="7">
        <v>1.0</v>
      </c>
      <c r="BQ548" s="7"/>
      <c r="BR548" s="7" t="s">
        <v>144</v>
      </c>
    </row>
    <row r="549">
      <c r="A549" s="16">
        <v>35.0</v>
      </c>
      <c r="B549" s="16" t="s">
        <v>522</v>
      </c>
      <c r="C549" s="53">
        <v>1.0</v>
      </c>
      <c r="D549" s="53" t="s">
        <v>522</v>
      </c>
      <c r="E549" s="7">
        <v>337.0</v>
      </c>
      <c r="F549" s="53"/>
      <c r="G549" s="7"/>
      <c r="H549" s="16">
        <v>1.0</v>
      </c>
      <c r="I549" s="16">
        <v>1.0</v>
      </c>
      <c r="J549" s="21" t="s">
        <v>4057</v>
      </c>
      <c r="K549" s="53"/>
      <c r="L549" s="53"/>
      <c r="M549" s="39" t="str">
        <f t="shared" si="1"/>
        <v>[https://dl.acm.org/doi/10.1145/780506.780516 Faugère F5 algorithm (2002)]</v>
      </c>
      <c r="N549" s="39" t="s">
        <v>4066</v>
      </c>
      <c r="O549" s="81">
        <v>2002.0</v>
      </c>
      <c r="P549" s="25" t="s">
        <v>4067</v>
      </c>
      <c r="Q549" s="82"/>
      <c r="R549" s="82"/>
      <c r="S549" s="82"/>
      <c r="T549" s="16">
        <v>0.0</v>
      </c>
      <c r="U549" s="16">
        <v>0.0</v>
      </c>
      <c r="V549" s="89">
        <f>IFERROR(__xludf.DUMMYFUNCTION("INDEX(SPLIT(SUBSTITUTE(W549,CHAR(10), """"),"",:""), MATCH(Z549, SPLIT(SUBSTITUTE(W549,CHAR(10), """"),"",:""), 0) + 1)"),8.0)</f>
        <v>8</v>
      </c>
      <c r="W549" s="85" t="s">
        <v>2001</v>
      </c>
      <c r="X549" s="147" t="s">
        <v>4057</v>
      </c>
      <c r="Y549" s="53" t="s">
        <v>4061</v>
      </c>
      <c r="Z549" s="53" t="str">
        <f t="array" ref="Z549">INDEX(Problems!J:J, MATCH(1, (Problems!B:B=B549)*1, 0))</f>
        <v>n</v>
      </c>
      <c r="AA549" s="53"/>
      <c r="AB549" s="53"/>
      <c r="AC549" s="53" t="s">
        <v>1813</v>
      </c>
      <c r="AD549" s="53" t="s">
        <v>1814</v>
      </c>
      <c r="AE549" s="85">
        <f>IFERROR(__xludf.DUMMYFUNCTION("INDEX(SPLIT(SUBSTITUTE(AF549,CHAR(10), """"),"",:""), MATCH(Z549, SPLIT(SUBSTITUTE(AF549,CHAR(10), """"),"",:""), 0) + 1)"),8.0)</f>
        <v>8</v>
      </c>
      <c r="AF549" s="85" t="s">
        <v>2001</v>
      </c>
      <c r="AG549" s="21" t="s">
        <v>4062</v>
      </c>
      <c r="AH549" s="53" t="s">
        <v>4063</v>
      </c>
      <c r="AI549" s="84">
        <v>1.0</v>
      </c>
      <c r="AJ549" s="84">
        <v>0.0</v>
      </c>
      <c r="AK549" s="87"/>
      <c r="AL549" s="81">
        <v>0.0</v>
      </c>
      <c r="AM549" s="21"/>
      <c r="AN549" s="16">
        <v>0.0</v>
      </c>
      <c r="AO549" s="90"/>
      <c r="AP549" s="16">
        <v>0.0</v>
      </c>
      <c r="AQ549" s="16">
        <v>0.0</v>
      </c>
      <c r="AR549" s="39"/>
      <c r="AS549" s="81">
        <v>0.0</v>
      </c>
      <c r="AT549" s="81">
        <v>0.0</v>
      </c>
      <c r="AU549" s="96" t="s">
        <v>4068</v>
      </c>
      <c r="AV549" s="7" t="s">
        <v>4055</v>
      </c>
      <c r="AW549" s="82"/>
      <c r="AX549" s="82"/>
      <c r="AY549" s="7"/>
      <c r="AZ549" s="82"/>
      <c r="BA549" s="82"/>
      <c r="BB549" s="82"/>
      <c r="BC549" s="82"/>
      <c r="BD549" s="82"/>
      <c r="BE549" s="82"/>
      <c r="BF549" s="82"/>
      <c r="BG549" s="82"/>
      <c r="BH549" s="82"/>
      <c r="BI549" s="82"/>
      <c r="BJ549" s="82"/>
      <c r="BK549" s="82"/>
      <c r="BL549" s="82"/>
      <c r="BM549" s="82"/>
      <c r="BN549" s="7"/>
      <c r="BO549" s="7">
        <v>1.0</v>
      </c>
      <c r="BP549" s="82"/>
      <c r="BQ549" s="7"/>
      <c r="BR549" s="7" t="s">
        <v>144</v>
      </c>
    </row>
    <row r="550">
      <c r="A550" s="16">
        <v>36.0</v>
      </c>
      <c r="B550" s="16" t="s">
        <v>527</v>
      </c>
      <c r="C550" s="53">
        <v>1.0</v>
      </c>
      <c r="D550" s="53"/>
      <c r="E550" s="7">
        <v>338.0</v>
      </c>
      <c r="F550" s="53"/>
      <c r="G550" s="7"/>
      <c r="H550" s="16">
        <v>1.0</v>
      </c>
      <c r="I550" s="81">
        <v>1.0</v>
      </c>
      <c r="J550" s="39" t="s">
        <v>1873</v>
      </c>
      <c r="K550" s="53"/>
      <c r="L550" s="53"/>
      <c r="M550" s="39" t="str">
        <f t="shared" si="1"/>
        <v>[- Naive algorithm (1940)]</v>
      </c>
      <c r="N550" s="39" t="s">
        <v>2048</v>
      </c>
      <c r="O550" s="81">
        <v>1940.0</v>
      </c>
      <c r="P550" s="16" t="s">
        <v>1937</v>
      </c>
      <c r="Q550" s="7">
        <v>1.0</v>
      </c>
      <c r="R550" s="7">
        <v>1.0</v>
      </c>
      <c r="S550" s="82"/>
      <c r="T550" s="16">
        <v>1.0</v>
      </c>
      <c r="U550" s="16">
        <v>0.0</v>
      </c>
      <c r="V550" s="89">
        <f>IFERROR(__xludf.DUMMYFUNCTION("INDEX(SPLIT(SUBSTITUTE(W550,CHAR(10), """"),"",:""), MATCH(Z550, SPLIT(SUBSTITUTE(W550,CHAR(10), """"),"",:""), 0) + 1)"),3.0)</f>
        <v>3</v>
      </c>
      <c r="W550" s="85" t="s">
        <v>1876</v>
      </c>
      <c r="X550" s="16" t="s">
        <v>399</v>
      </c>
      <c r="Y550" s="53" t="s">
        <v>4069</v>
      </c>
      <c r="Z550" s="53" t="str">
        <f t="array" ref="Z550">INDEX(Problems!J:J, MATCH(1, (Problems!B:B=B550)*1, 0))</f>
        <v>mn</v>
      </c>
      <c r="AA550" s="53"/>
      <c r="AB550" s="53"/>
      <c r="AC550" s="53" t="s">
        <v>1813</v>
      </c>
      <c r="AD550" s="53" t="s">
        <v>1814</v>
      </c>
      <c r="AE550" s="85">
        <f>IFERROR(__xludf.DUMMYFUNCTION("INDEX(SPLIT(SUBSTITUTE(AF550,CHAR(10), """"),"",:""), MATCH(Z550, SPLIT(SUBSTITUTE(AF550,CHAR(10), """"),"",:""), 0) + 1)"),1.0)</f>
        <v>1</v>
      </c>
      <c r="AF550" s="85" t="s">
        <v>4070</v>
      </c>
      <c r="AG550" s="53" t="s">
        <v>939</v>
      </c>
      <c r="AH550" s="53" t="s">
        <v>4071</v>
      </c>
      <c r="AI550" s="84">
        <v>1.0</v>
      </c>
      <c r="AJ550" s="84">
        <v>0.0</v>
      </c>
      <c r="AK550" s="87"/>
      <c r="AL550" s="81">
        <v>0.0</v>
      </c>
      <c r="AM550" s="87"/>
      <c r="AN550" s="81">
        <v>0.0</v>
      </c>
      <c r="AO550" s="90"/>
      <c r="AP550" s="81">
        <v>0.0</v>
      </c>
      <c r="AQ550" s="81">
        <v>0.0</v>
      </c>
      <c r="AR550" s="39"/>
      <c r="AS550" s="81">
        <v>0.0</v>
      </c>
      <c r="AT550" s="81">
        <v>0.0</v>
      </c>
      <c r="AU550" s="39"/>
      <c r="AV550" s="82"/>
      <c r="AW550" s="82"/>
      <c r="AX550" s="82"/>
      <c r="AY550" s="7"/>
      <c r="AZ550" s="82"/>
      <c r="BA550" s="82"/>
      <c r="BB550" s="82"/>
      <c r="BC550" s="82"/>
      <c r="BD550" s="82"/>
      <c r="BE550" s="82"/>
      <c r="BF550" s="82">
        <f>1000000/4</f>
        <v>250000</v>
      </c>
      <c r="BG550" s="7">
        <v>1.0</v>
      </c>
      <c r="BH550" s="82"/>
      <c r="BI550" s="82">
        <f>POW(1000000/2,2)</f>
        <v>250000000000</v>
      </c>
      <c r="BJ550" s="7">
        <v>1.0</v>
      </c>
      <c r="BK550" s="82"/>
      <c r="BL550" s="82">
        <f>POW(1000000000/2,2)</f>
        <v>2.5E+17</v>
      </c>
      <c r="BM550" s="7">
        <v>1.0</v>
      </c>
      <c r="BN550" s="7"/>
      <c r="BO550" s="7">
        <v>4.0</v>
      </c>
      <c r="BP550" s="82"/>
      <c r="BQ550" s="7"/>
      <c r="BR550" s="7" t="s">
        <v>23</v>
      </c>
    </row>
    <row r="551">
      <c r="A551" s="16">
        <v>36.0</v>
      </c>
      <c r="B551" s="16" t="s">
        <v>527</v>
      </c>
      <c r="C551" s="53">
        <v>1.0</v>
      </c>
      <c r="D551" s="53"/>
      <c r="E551" s="7">
        <v>339.0</v>
      </c>
      <c r="F551" s="53"/>
      <c r="G551" s="7"/>
      <c r="H551" s="16">
        <v>1.0</v>
      </c>
      <c r="I551" s="81">
        <v>1.0</v>
      </c>
      <c r="J551" s="39" t="s">
        <v>531</v>
      </c>
      <c r="K551" s="53"/>
      <c r="L551" s="53"/>
      <c r="M551" s="39" t="str">
        <f t="shared" si="1"/>
        <v>[https://link.springer.com/article/10.1007/BF01840359 SMAWK algorithm (1987)]</v>
      </c>
      <c r="N551" s="39" t="s">
        <v>532</v>
      </c>
      <c r="O551" s="81">
        <v>1987.0</v>
      </c>
      <c r="P551" s="17" t="s">
        <v>529</v>
      </c>
      <c r="Q551" s="7">
        <v>0.25</v>
      </c>
      <c r="R551" s="7">
        <v>0.0</v>
      </c>
      <c r="S551" s="47" t="s">
        <v>4072</v>
      </c>
      <c r="T551" s="16">
        <v>1.0</v>
      </c>
      <c r="U551" s="16" t="s">
        <v>1983</v>
      </c>
      <c r="V551" s="89">
        <f>IFERROR(__xludf.DUMMYFUNCTION("INDEX(SPLIT(SUBSTITUTE(W551,CHAR(10), """"),"",:""), MATCH(Z551, SPLIT(SUBSTITUTE(W551,CHAR(10), """"),"",:""), 0) + 1)"),2.51)</f>
        <v>2.51</v>
      </c>
      <c r="W551" s="85" t="s">
        <v>4073</v>
      </c>
      <c r="X551" s="16" t="s">
        <v>4074</v>
      </c>
      <c r="Y551" s="53" t="s">
        <v>4069</v>
      </c>
      <c r="Z551" s="53" t="str">
        <f t="array" ref="Z551">INDEX(Problems!J:J, MATCH(1, (Problems!B:B=B551)*1, 0))</f>
        <v>mn</v>
      </c>
      <c r="AA551" s="53"/>
      <c r="AB551" s="53"/>
      <c r="AC551" s="53" t="s">
        <v>1813</v>
      </c>
      <c r="AD551" s="53" t="s">
        <v>1814</v>
      </c>
      <c r="AE551" s="85">
        <f>IFERROR(__xludf.DUMMYFUNCTION("INDEX(SPLIT(SUBSTITUTE(AF551,CHAR(10), """"),"",:""), MATCH(Z551, SPLIT(SUBSTITUTE(AF551,CHAR(10), """"),"",:""), 0) + 1)"),2.5)</f>
        <v>2.5</v>
      </c>
      <c r="AF551" s="85" t="s">
        <v>4075</v>
      </c>
      <c r="AG551" s="53" t="s">
        <v>2496</v>
      </c>
      <c r="AH551" s="53" t="s">
        <v>4076</v>
      </c>
      <c r="AI551" s="84">
        <v>1.0</v>
      </c>
      <c r="AJ551" s="84">
        <v>0.0</v>
      </c>
      <c r="AK551" s="87"/>
      <c r="AL551" s="81">
        <v>0.0</v>
      </c>
      <c r="AM551" s="87"/>
      <c r="AN551" s="81">
        <v>0.0</v>
      </c>
      <c r="AO551" s="90"/>
      <c r="AP551" s="81">
        <v>0.0</v>
      </c>
      <c r="AQ551" s="81">
        <v>0.0</v>
      </c>
      <c r="AR551" s="39"/>
      <c r="AS551" s="81">
        <v>0.0</v>
      </c>
      <c r="AT551" s="81">
        <v>0.0</v>
      </c>
      <c r="AU551" s="39"/>
      <c r="AV551" s="82"/>
      <c r="AW551" s="82"/>
      <c r="AX551" s="82"/>
      <c r="AY551" s="7"/>
      <c r="AZ551" s="7"/>
      <c r="BA551" s="7"/>
      <c r="BB551" s="7"/>
      <c r="BC551" s="7"/>
      <c r="BD551" s="7"/>
      <c r="BE551" s="7"/>
      <c r="BF551" s="7">
        <v>1000.0</v>
      </c>
      <c r="BG551" s="82">
        <f>250000/1000</f>
        <v>250</v>
      </c>
      <c r="BH551" s="7">
        <f>POW(BG551,1/($O551-$O$550)) - 1</f>
        <v>0.1246567656</v>
      </c>
      <c r="BI551" s="7">
        <v>1000000.0</v>
      </c>
      <c r="BJ551" s="82">
        <f>BI550/BI551</f>
        <v>250000</v>
      </c>
      <c r="BK551" s="7">
        <f>POW(BJ551,1/($O551-$O$550)) - 1</f>
        <v>0.3027161207</v>
      </c>
      <c r="BL551" s="7">
        <v>1.0E9</v>
      </c>
      <c r="BM551" s="82">
        <f>BL550/BL551</f>
        <v>250000000</v>
      </c>
      <c r="BN551" s="7">
        <f>POW(BM551,1/($O551-$O$550)) - 1</f>
        <v>0.5089664179</v>
      </c>
      <c r="BO551" s="7">
        <v>4.0</v>
      </c>
      <c r="BP551" s="82"/>
      <c r="BQ551" s="7"/>
      <c r="BR551" s="7" t="s">
        <v>23</v>
      </c>
    </row>
    <row r="552">
      <c r="A552" s="16">
        <v>37.0</v>
      </c>
      <c r="B552" s="16" t="s">
        <v>533</v>
      </c>
      <c r="C552" s="53">
        <v>2.0</v>
      </c>
      <c r="D552" s="53" t="s">
        <v>533</v>
      </c>
      <c r="E552" s="7">
        <v>340.0</v>
      </c>
      <c r="F552" s="53"/>
      <c r="G552" s="7"/>
      <c r="H552" s="16">
        <v>1.0</v>
      </c>
      <c r="I552" s="16">
        <v>1.0</v>
      </c>
      <c r="J552" s="21" t="s">
        <v>4077</v>
      </c>
      <c r="K552" s="53" t="s">
        <v>4078</v>
      </c>
      <c r="L552" s="91" t="s">
        <v>540</v>
      </c>
      <c r="M552" s="39" t="str">
        <f t="shared" si="1"/>
        <v>[https://www.ams.org/journals/mcom/1963-17-083/S0025-5718-1963-0159764-2/home.html Steinhaus–Johnson–Trotter algorithm (1963)]</v>
      </c>
      <c r="N552" s="39" t="s">
        <v>4079</v>
      </c>
      <c r="O552" s="83">
        <v>1963.0</v>
      </c>
      <c r="P552" s="17" t="s">
        <v>4080</v>
      </c>
      <c r="Q552" s="7">
        <v>2.0</v>
      </c>
      <c r="R552" s="7">
        <v>1.0</v>
      </c>
      <c r="S552" s="7" t="s">
        <v>4081</v>
      </c>
      <c r="T552" s="16">
        <v>1.0</v>
      </c>
      <c r="U552" s="16" t="s">
        <v>1983</v>
      </c>
      <c r="V552" s="89">
        <f>IFERROR(__xludf.DUMMYFUNCTION("INDEX(SPLIT(SUBSTITUTE(W552,CHAR(10), """"),"",:""), MATCH(Z552, SPLIT(SUBSTITUTE(W552,CHAR(10), """"),"",:""), 0) + 1)"),3.0)</f>
        <v>3</v>
      </c>
      <c r="W552" s="85" t="s">
        <v>1763</v>
      </c>
      <c r="X552" s="21" t="s">
        <v>4082</v>
      </c>
      <c r="Y552" s="53" t="s">
        <v>1773</v>
      </c>
      <c r="Z552" s="53" t="str">
        <f t="array" ref="Z552">INDEX(Problems!J:J, MATCH(1, (Problems!B:B=B552)*1, 0))</f>
        <v>n</v>
      </c>
      <c r="AA552" s="53"/>
      <c r="AB552" s="53"/>
      <c r="AC552" s="53" t="s">
        <v>1813</v>
      </c>
      <c r="AD552" s="53" t="s">
        <v>1814</v>
      </c>
      <c r="AE552" s="85">
        <f>IFERROR(__xludf.DUMMYFUNCTION("INDEX(SPLIT(SUBSTITUTE(AF552,CHAR(10), """"),"",:""), MATCH(Z552, SPLIT(SUBSTITUTE(AF552,CHAR(10), """"),"",:""), 0) + 1)"),1.0)</f>
        <v>1</v>
      </c>
      <c r="AF552" s="85" t="s">
        <v>1774</v>
      </c>
      <c r="AG552" s="53" t="s">
        <v>939</v>
      </c>
      <c r="AH552" s="53" t="s">
        <v>4083</v>
      </c>
      <c r="AI552" s="84">
        <v>1.0</v>
      </c>
      <c r="AJ552" s="84">
        <v>0.0</v>
      </c>
      <c r="AK552" s="87"/>
      <c r="AL552" s="81">
        <v>0.0</v>
      </c>
      <c r="AM552" s="21"/>
      <c r="AN552" s="16">
        <v>0.0</v>
      </c>
      <c r="AO552" s="90"/>
      <c r="AP552" s="16">
        <v>0.0</v>
      </c>
      <c r="AQ552" s="16">
        <v>0.0</v>
      </c>
      <c r="AR552" s="39"/>
      <c r="AS552" s="81">
        <v>0.0</v>
      </c>
      <c r="AT552" s="81">
        <v>0.0</v>
      </c>
      <c r="AU552" s="39"/>
      <c r="AV552" s="155" t="s">
        <v>4084</v>
      </c>
      <c r="AW552" s="82"/>
      <c r="AX552" s="82"/>
      <c r="AY552" s="7"/>
      <c r="AZ552" s="7">
        <v>1.0</v>
      </c>
      <c r="BA552" s="7">
        <f>POW(AZ553/AZ552,1/($O552-$O553)) - 1</f>
        <v>1.682695795</v>
      </c>
      <c r="BB552" s="7">
        <v>1.0</v>
      </c>
      <c r="BC552" s="7">
        <f>POW(BB553/BB552,1/($O552-$O553)) - 1</f>
        <v>6.19685673</v>
      </c>
      <c r="BD552" s="7">
        <v>1.0</v>
      </c>
      <c r="BE552" s="7">
        <f>POW(BD553/BD552,1/($O552-$O553)) - 1</f>
        <v>18.30697729</v>
      </c>
      <c r="BF552" s="7">
        <v>1000.0</v>
      </c>
      <c r="BG552" s="7">
        <v>1000.0</v>
      </c>
      <c r="BH552" s="7"/>
      <c r="BI552" s="7">
        <v>1000000.0</v>
      </c>
      <c r="BJ552" s="7">
        <v>1000000.0</v>
      </c>
      <c r="BK552" s="7"/>
      <c r="BL552" s="7">
        <v>1.0E9</v>
      </c>
      <c r="BM552" s="7">
        <v>1.0E9</v>
      </c>
      <c r="BN552" s="7"/>
      <c r="BO552" s="7">
        <v>4.0</v>
      </c>
      <c r="BP552" s="82"/>
      <c r="BQ552" s="7"/>
      <c r="BR552" s="7" t="s">
        <v>144</v>
      </c>
    </row>
    <row r="553">
      <c r="A553" s="16">
        <v>37.0</v>
      </c>
      <c r="B553" s="16" t="s">
        <v>533</v>
      </c>
      <c r="C553" s="53">
        <v>2.0</v>
      </c>
      <c r="D553" s="53" t="s">
        <v>533</v>
      </c>
      <c r="E553" s="7">
        <v>341.0</v>
      </c>
      <c r="F553" s="53"/>
      <c r="G553" s="7"/>
      <c r="H553" s="16">
        <v>1.0</v>
      </c>
      <c r="I553" s="16">
        <v>1.0</v>
      </c>
      <c r="J553" s="21" t="s">
        <v>4077</v>
      </c>
      <c r="K553" s="53" t="s">
        <v>4078</v>
      </c>
      <c r="L553" s="53" t="s">
        <v>4085</v>
      </c>
      <c r="M553" s="39" t="str">
        <f t="shared" si="1"/>
        <v>[https://mathscinet.ams.org/mathscinet-getitem?mr=0080380 Tompkins–Paige algorithm (1956)]</v>
      </c>
      <c r="N553" s="39" t="s">
        <v>4086</v>
      </c>
      <c r="O553" s="81">
        <v>1956.0</v>
      </c>
      <c r="P553" s="25" t="s">
        <v>4087</v>
      </c>
      <c r="Q553" s="7">
        <v>1.0</v>
      </c>
      <c r="R553" s="7">
        <v>1.0</v>
      </c>
      <c r="S553" s="7" t="s">
        <v>4088</v>
      </c>
      <c r="T553" s="16">
        <v>1.0</v>
      </c>
      <c r="U553" s="16">
        <v>0.0</v>
      </c>
      <c r="V553" s="89">
        <f>IFERROR(__xludf.DUMMYFUNCTION("INDEX(SPLIT(SUBSTITUTE(W553,CHAR(10), """"),"",:""), MATCH(Z553, SPLIT(SUBSTITUTE(W553,CHAR(10), """"),"",:""), 0) + 1)"),3.0)</f>
        <v>3</v>
      </c>
      <c r="W553" s="85" t="s">
        <v>1763</v>
      </c>
      <c r="X553" s="21" t="s">
        <v>4082</v>
      </c>
      <c r="Y553" s="53" t="s">
        <v>1773</v>
      </c>
      <c r="Z553" s="53" t="str">
        <f t="array" ref="Z553">INDEX(Problems!J:J, MATCH(1, (Problems!B:B=B553)*1, 0))</f>
        <v>n</v>
      </c>
      <c r="AA553" s="53"/>
      <c r="AB553" s="53"/>
      <c r="AC553" s="53" t="s">
        <v>1813</v>
      </c>
      <c r="AD553" s="53" t="s">
        <v>1814</v>
      </c>
      <c r="AE553" s="85">
        <f>IFERROR(__xludf.DUMMYFUNCTION("INDEX(SPLIT(SUBSTITUTE(AF553,CHAR(10), """"),"",:""), MATCH(Z553, SPLIT(SUBSTITUTE(AF553,CHAR(10), """"),"",:""), 0) + 1)"),3.0)</f>
        <v>3</v>
      </c>
      <c r="AF553" s="85" t="s">
        <v>1763</v>
      </c>
      <c r="AG553" s="53" t="s">
        <v>584</v>
      </c>
      <c r="AH553" s="53" t="s">
        <v>4089</v>
      </c>
      <c r="AI553" s="84">
        <v>1.0</v>
      </c>
      <c r="AJ553" s="84">
        <v>0.0</v>
      </c>
      <c r="AK553" s="87"/>
      <c r="AL553" s="81">
        <v>0.0</v>
      </c>
      <c r="AM553" s="21"/>
      <c r="AN553" s="16">
        <v>0.0</v>
      </c>
      <c r="AO553" s="90"/>
      <c r="AP553" s="16">
        <v>0.0</v>
      </c>
      <c r="AQ553" s="16">
        <v>0.0</v>
      </c>
      <c r="AR553" s="39"/>
      <c r="AS553" s="81">
        <v>0.0</v>
      </c>
      <c r="AT553" s="81">
        <v>0.0</v>
      </c>
      <c r="AU553" s="39"/>
      <c r="AV553" s="155" t="s">
        <v>4084</v>
      </c>
      <c r="AW553" s="82"/>
      <c r="AX553" s="82"/>
      <c r="AY553" s="7"/>
      <c r="AZ553" s="7">
        <f> 1000</f>
        <v>1000</v>
      </c>
      <c r="BA553" s="7"/>
      <c r="BB553" s="7">
        <f> 1000000</f>
        <v>1000000</v>
      </c>
      <c r="BC553" s="7"/>
      <c r="BD553" s="7">
        <f> 1000000000</f>
        <v>1000000000</v>
      </c>
      <c r="BE553" s="7"/>
      <c r="BF553" s="7">
        <v>1000000.0</v>
      </c>
      <c r="BG553" s="7">
        <v>1.0</v>
      </c>
      <c r="BH553" s="7"/>
      <c r="BI553" s="7">
        <v>1.0E12</v>
      </c>
      <c r="BJ553" s="7">
        <v>1.0</v>
      </c>
      <c r="BK553" s="7"/>
      <c r="BL553" s="7">
        <v>1.0E18</v>
      </c>
      <c r="BM553" s="7">
        <v>1.0</v>
      </c>
      <c r="BN553" s="7"/>
      <c r="BO553" s="7">
        <v>4.0</v>
      </c>
      <c r="BP553" s="82"/>
      <c r="BQ553" s="7"/>
      <c r="BR553" s="7" t="s">
        <v>144</v>
      </c>
    </row>
    <row r="554">
      <c r="A554" s="16">
        <v>37.0</v>
      </c>
      <c r="B554" s="16" t="s">
        <v>533</v>
      </c>
      <c r="C554" s="53">
        <v>2.0</v>
      </c>
      <c r="D554" s="53" t="s">
        <v>533</v>
      </c>
      <c r="E554" s="7">
        <v>342.0</v>
      </c>
      <c r="F554" s="53"/>
      <c r="G554" s="7"/>
      <c r="H554" s="16">
        <v>1.0</v>
      </c>
      <c r="I554" s="16">
        <v>1.0</v>
      </c>
      <c r="J554" s="21" t="s">
        <v>537</v>
      </c>
      <c r="K554" s="53" t="s">
        <v>4078</v>
      </c>
      <c r="L554" s="53" t="s">
        <v>4090</v>
      </c>
      <c r="M554" s="39" t="str">
        <f t="shared" si="1"/>
        <v>[https://academic.oup.com/comjnl/article/6/3/293/360213 Heap's algorithm (1963)]</v>
      </c>
      <c r="N554" s="39" t="s">
        <v>4091</v>
      </c>
      <c r="O554" s="81">
        <v>1963.0</v>
      </c>
      <c r="P554" s="25" t="s">
        <v>4092</v>
      </c>
      <c r="Q554" s="82"/>
      <c r="R554" s="82"/>
      <c r="S554" s="82"/>
      <c r="T554" s="16">
        <v>0.0</v>
      </c>
      <c r="U554" s="16">
        <v>0.0</v>
      </c>
      <c r="V554" s="89">
        <f>IFERROR(__xludf.DUMMYFUNCTION("INDEX(SPLIT(SUBSTITUTE(W554,CHAR(10), """"),"",:""), MATCH(Z554, SPLIT(SUBSTITUTE(W554,CHAR(10), """"),"",:""), 0) + 1)"),3.0)</f>
        <v>3</v>
      </c>
      <c r="W554" s="85" t="s">
        <v>1763</v>
      </c>
      <c r="X554" s="21" t="s">
        <v>4093</v>
      </c>
      <c r="Y554" s="53" t="s">
        <v>1773</v>
      </c>
      <c r="Z554" s="53" t="str">
        <f t="array" ref="Z554">INDEX(Problems!J:J, MATCH(1, (Problems!B:B=B554)*1, 0))</f>
        <v>n</v>
      </c>
      <c r="AA554" s="53"/>
      <c r="AB554" s="53"/>
      <c r="AC554" s="53" t="s">
        <v>1813</v>
      </c>
      <c r="AD554" s="53" t="s">
        <v>1814</v>
      </c>
      <c r="AE554" s="85">
        <f>IFERROR(__xludf.DUMMYFUNCTION("INDEX(SPLIT(SUBSTITUTE(AF554,CHAR(10), """"),"",:""), MATCH(Z554, SPLIT(SUBSTITUTE(AF554,CHAR(10), """"),"",:""), 0) + 1)"),3.0)</f>
        <v>3</v>
      </c>
      <c r="AF554" s="85" t="s">
        <v>1763</v>
      </c>
      <c r="AG554" s="53" t="s">
        <v>584</v>
      </c>
      <c r="AH554" s="53" t="s">
        <v>4094</v>
      </c>
      <c r="AI554" s="84">
        <v>1.0</v>
      </c>
      <c r="AJ554" s="84">
        <v>0.0</v>
      </c>
      <c r="AK554" s="87"/>
      <c r="AL554" s="81">
        <v>0.0</v>
      </c>
      <c r="AM554" s="21"/>
      <c r="AN554" s="16">
        <v>0.0</v>
      </c>
      <c r="AO554" s="90"/>
      <c r="AP554" s="16">
        <v>0.0</v>
      </c>
      <c r="AQ554" s="16">
        <v>0.0</v>
      </c>
      <c r="AR554" s="39"/>
      <c r="AS554" s="81">
        <v>0.0</v>
      </c>
      <c r="AT554" s="81">
        <v>0.0</v>
      </c>
      <c r="AU554" s="39"/>
      <c r="AV554" s="155" t="s">
        <v>4084</v>
      </c>
      <c r="AW554" s="82"/>
      <c r="AX554" s="82"/>
      <c r="AY554" s="7"/>
      <c r="AZ554" s="7"/>
      <c r="BA554" s="7"/>
      <c r="BB554" s="7"/>
      <c r="BC554" s="7"/>
      <c r="BD554" s="7"/>
      <c r="BE554" s="7"/>
      <c r="BF554" s="7">
        <v>1000.0</v>
      </c>
      <c r="BG554" s="82"/>
      <c r="BH554" s="82"/>
      <c r="BI554" s="82"/>
      <c r="BJ554" s="82"/>
      <c r="BK554" s="82"/>
      <c r="BL554" s="82"/>
      <c r="BM554" s="82"/>
      <c r="BN554" s="7"/>
      <c r="BO554" s="7">
        <v>4.0</v>
      </c>
      <c r="BP554" s="82"/>
      <c r="BQ554" s="7"/>
      <c r="BR554" s="7" t="s">
        <v>144</v>
      </c>
    </row>
    <row r="555">
      <c r="A555" s="16">
        <v>38.0</v>
      </c>
      <c r="B555" s="16" t="s">
        <v>544</v>
      </c>
      <c r="C555" s="53">
        <v>2.0</v>
      </c>
      <c r="D555" s="53" t="s">
        <v>554</v>
      </c>
      <c r="E555" s="7">
        <v>343.0</v>
      </c>
      <c r="F555" s="53"/>
      <c r="G555" s="7"/>
      <c r="H555" s="16">
        <v>1.0</v>
      </c>
      <c r="I555" s="81">
        <v>1.0</v>
      </c>
      <c r="J555" s="16" t="s">
        <v>1953</v>
      </c>
      <c r="K555" s="53"/>
      <c r="L555" s="53"/>
      <c r="M555" s="39" t="str">
        <f t="shared" si="1"/>
        <v>[https://epubs.siam.org/doi/abs/10.1137/0206045 Garsia–Wachs algorithm (1977)]</v>
      </c>
      <c r="N555" s="39" t="s">
        <v>4095</v>
      </c>
      <c r="O555" s="81">
        <v>1977.0</v>
      </c>
      <c r="P555" s="49" t="s">
        <v>4096</v>
      </c>
      <c r="Q555" s="82"/>
      <c r="R555" s="82"/>
      <c r="S555" s="82"/>
      <c r="T555" s="83">
        <v>0.0</v>
      </c>
      <c r="U555" s="83">
        <v>0.0</v>
      </c>
      <c r="V555" s="89">
        <f>IFERROR(__xludf.DUMMYFUNCTION("INDEX(SPLIT(SUBSTITUTE(W555,CHAR(10), """"),"",:""), MATCH(Z555, SPLIT(SUBSTITUTE(W555,CHAR(10), """"),"",:""), 0) + 1)"),4.0)</f>
        <v>4</v>
      </c>
      <c r="W555" s="85" t="s">
        <v>1791</v>
      </c>
      <c r="X555" s="16" t="s">
        <v>1953</v>
      </c>
      <c r="Y555" s="53" t="s">
        <v>1773</v>
      </c>
      <c r="Z555" s="53" t="str">
        <f t="array" ref="Z555">INDEX(Problems!J:J, MATCH(1, (Problems!B:B=B555)*1, 0))</f>
        <v>n</v>
      </c>
      <c r="AA555" s="53"/>
      <c r="AB555" s="53"/>
      <c r="AC555" s="53" t="s">
        <v>1813</v>
      </c>
      <c r="AD555" s="53" t="s">
        <v>1814</v>
      </c>
      <c r="AE555" s="85">
        <f>IFERROR(__xludf.DUMMYFUNCTION("INDEX(SPLIT(SUBSTITUTE(AF555,CHAR(10), """"),"",:""), MATCH(Z555, SPLIT(SUBSTITUTE(AF555,CHAR(10), """"),"",:""), 0) + 1)"),3.0)</f>
        <v>3</v>
      </c>
      <c r="AF555" s="85" t="s">
        <v>1763</v>
      </c>
      <c r="AG555" s="53" t="s">
        <v>584</v>
      </c>
      <c r="AH555" s="86" t="s">
        <v>4097</v>
      </c>
      <c r="AI555" s="84">
        <v>0.0</v>
      </c>
      <c r="AJ555" s="84">
        <v>1.0</v>
      </c>
      <c r="AK555" s="87"/>
      <c r="AL555" s="81">
        <v>0.0</v>
      </c>
      <c r="AM555" s="87"/>
      <c r="AN555" s="81">
        <v>0.0</v>
      </c>
      <c r="AO555" s="90"/>
      <c r="AP555" s="81">
        <v>0.0</v>
      </c>
      <c r="AQ555" s="81">
        <v>0.0</v>
      </c>
      <c r="AR555" s="39"/>
      <c r="AS555" s="81">
        <v>0.0</v>
      </c>
      <c r="AT555" s="81">
        <v>0.0</v>
      </c>
      <c r="AU555" s="39"/>
      <c r="AV555" s="7" t="s">
        <v>1767</v>
      </c>
      <c r="AW555" s="82"/>
      <c r="AX555" s="82"/>
      <c r="AY555" s="7"/>
      <c r="AZ555" s="7"/>
      <c r="BA555" s="7"/>
      <c r="BB555" s="7"/>
      <c r="BC555" s="7"/>
      <c r="BD555" s="7"/>
      <c r="BE555" s="7"/>
      <c r="BF555" s="7">
        <v>9965.0</v>
      </c>
      <c r="BG555" s="82"/>
      <c r="BH555" s="82"/>
      <c r="BI555" s="82"/>
      <c r="BJ555" s="82"/>
      <c r="BK555" s="82"/>
      <c r="BL555" s="82"/>
      <c r="BM555" s="82"/>
      <c r="BN555" s="7"/>
      <c r="BO555" s="7">
        <v>1.0</v>
      </c>
      <c r="BP555" s="82"/>
      <c r="BQ555" s="7"/>
      <c r="BR555" s="7" t="s">
        <v>23</v>
      </c>
    </row>
    <row r="556">
      <c r="A556" s="16">
        <v>38.0</v>
      </c>
      <c r="B556" s="16" t="s">
        <v>544</v>
      </c>
      <c r="C556" s="53">
        <v>2.0</v>
      </c>
      <c r="D556" s="53" t="s">
        <v>554</v>
      </c>
      <c r="E556" s="7">
        <v>344.0</v>
      </c>
      <c r="F556" s="53"/>
      <c r="G556" s="7"/>
      <c r="H556" s="16">
        <v>1.0</v>
      </c>
      <c r="I556" s="81">
        <v>1.0</v>
      </c>
      <c r="J556" s="16" t="s">
        <v>1953</v>
      </c>
      <c r="K556" s="53"/>
      <c r="L556" s="53"/>
      <c r="M556" s="39" t="str">
        <f t="shared" si="1"/>
        <v>[https://epubs.siam.org/doi/10.1137/0121057 Hu–Tucker algorithm (1971)]</v>
      </c>
      <c r="N556" s="39" t="s">
        <v>4098</v>
      </c>
      <c r="O556" s="81">
        <v>1971.0</v>
      </c>
      <c r="P556" s="49" t="s">
        <v>4099</v>
      </c>
      <c r="Q556" s="7">
        <v>4.0</v>
      </c>
      <c r="R556" s="7">
        <v>0.0</v>
      </c>
      <c r="S556" s="114" t="s">
        <v>4099</v>
      </c>
      <c r="T556" s="83">
        <v>1.0</v>
      </c>
      <c r="U556" s="83" t="s">
        <v>1952</v>
      </c>
      <c r="V556" s="89">
        <f>IFERROR(__xludf.DUMMYFUNCTION("INDEX(SPLIT(SUBSTITUTE(W556,CHAR(10), """"),"",:""), MATCH(Z556, SPLIT(SUBSTITUTE(W556,CHAR(10), """"),"",:""), 0) + 1)"),4.0)</f>
        <v>4</v>
      </c>
      <c r="W556" s="85" t="s">
        <v>1791</v>
      </c>
      <c r="X556" s="16" t="s">
        <v>1953</v>
      </c>
      <c r="Y556" s="53" t="s">
        <v>1773</v>
      </c>
      <c r="Z556" s="53" t="str">
        <f t="array" ref="Z556">INDEX(Problems!J:J, MATCH(1, (Problems!B:B=B556)*1, 0))</f>
        <v>n</v>
      </c>
      <c r="AA556" s="53"/>
      <c r="AB556" s="53"/>
      <c r="AC556" s="53" t="s">
        <v>1813</v>
      </c>
      <c r="AD556" s="53" t="s">
        <v>1814</v>
      </c>
      <c r="AE556" s="85">
        <f>IFERROR(__xludf.DUMMYFUNCTION("INDEX(SPLIT(SUBSTITUTE(AF556,CHAR(10), """"),"",:""), MATCH(Z556, SPLIT(SUBSTITUTE(AF556,CHAR(10), """"),"",:""), 0) + 1)"),3.0)</f>
        <v>3</v>
      </c>
      <c r="AF556" s="85" t="s">
        <v>1763</v>
      </c>
      <c r="AG556" s="53" t="s">
        <v>584</v>
      </c>
      <c r="AH556" s="91" t="s">
        <v>4099</v>
      </c>
      <c r="AI556" s="84">
        <v>0.0</v>
      </c>
      <c r="AJ556" s="84">
        <v>1.0</v>
      </c>
      <c r="AK556" s="87"/>
      <c r="AL556" s="81">
        <v>0.0</v>
      </c>
      <c r="AM556" s="87"/>
      <c r="AN556" s="81">
        <v>0.0</v>
      </c>
      <c r="AO556" s="90"/>
      <c r="AP556" s="81">
        <v>0.0</v>
      </c>
      <c r="AQ556" s="81">
        <v>0.0</v>
      </c>
      <c r="AR556" s="39"/>
      <c r="AS556" s="81">
        <v>0.0</v>
      </c>
      <c r="AT556" s="81">
        <v>0.0</v>
      </c>
      <c r="AU556" s="39"/>
      <c r="AV556" s="7" t="s">
        <v>1767</v>
      </c>
      <c r="AW556" s="82"/>
      <c r="AX556" s="82"/>
      <c r="AY556" s="7"/>
      <c r="AZ556" s="7"/>
      <c r="BA556" s="7"/>
      <c r="BB556" s="7"/>
      <c r="BC556" s="7"/>
      <c r="BD556" s="7"/>
      <c r="BE556" s="7"/>
      <c r="BF556" s="7">
        <v>9965.0</v>
      </c>
      <c r="BG556" s="7" t="s">
        <v>1781</v>
      </c>
      <c r="BH556" s="82"/>
      <c r="BI556" s="82">
        <f>1000000*LOG(1000000,2)</f>
        <v>19931568.57</v>
      </c>
      <c r="BJ556" s="7" t="s">
        <v>1781</v>
      </c>
      <c r="BK556" s="82"/>
      <c r="BL556" s="82">
        <f>1000000000*LOG(1000000000,2)</f>
        <v>29897352854</v>
      </c>
      <c r="BM556" s="7" t="s">
        <v>1781</v>
      </c>
      <c r="BN556" s="7"/>
      <c r="BO556" s="7">
        <v>1.0</v>
      </c>
      <c r="BP556" s="82"/>
      <c r="BQ556" s="7"/>
      <c r="BR556" s="7" t="s">
        <v>23</v>
      </c>
    </row>
    <row r="557">
      <c r="A557" s="16">
        <v>38.0</v>
      </c>
      <c r="B557" s="16" t="s">
        <v>544</v>
      </c>
      <c r="C557" s="53">
        <v>2.0</v>
      </c>
      <c r="D557" s="53" t="s">
        <v>546</v>
      </c>
      <c r="E557" s="7">
        <v>345.0</v>
      </c>
      <c r="F557" s="53"/>
      <c r="G557" s="7"/>
      <c r="H557" s="16">
        <v>1.0</v>
      </c>
      <c r="I557" s="81">
        <v>1.0</v>
      </c>
      <c r="J557" s="39" t="s">
        <v>115</v>
      </c>
      <c r="K557" s="53"/>
      <c r="L557" s="53"/>
      <c r="M557" s="39" t="str">
        <f t="shared" si="1"/>
        <v>[https://www.cs.bgu.ac.il/~michaluz/seminar/Knuth71.pdf Modified Knuth's DP algorithm (1970)]</v>
      </c>
      <c r="N557" s="39" t="s">
        <v>4100</v>
      </c>
      <c r="O557" s="83">
        <v>1970.0</v>
      </c>
      <c r="P557" s="97" t="s">
        <v>4101</v>
      </c>
      <c r="Q557" s="82"/>
      <c r="R557" s="82"/>
      <c r="S557" s="82"/>
      <c r="T557" s="83">
        <v>1.0</v>
      </c>
      <c r="U557" s="83" t="s">
        <v>2425</v>
      </c>
      <c r="V557" s="89">
        <f>IFERROR(__xludf.DUMMYFUNCTION("INDEX(SPLIT(SUBSTITUTE(W557,CHAR(10), """"),"",:""), MATCH(Z557, SPLIT(SUBSTITUTE(W557,CHAR(10), """"),"",:""), 0) + 1)"),5.0)</f>
        <v>5</v>
      </c>
      <c r="W557" s="85" t="s">
        <v>1938</v>
      </c>
      <c r="X557" s="39" t="s">
        <v>115</v>
      </c>
      <c r="Y557" s="53" t="s">
        <v>1773</v>
      </c>
      <c r="Z557" s="53" t="str">
        <f t="array" ref="Z557">INDEX(Problems!J:J, MATCH(1, (Problems!B:B=B557)*1, 0))</f>
        <v>n</v>
      </c>
      <c r="AA557" s="53"/>
      <c r="AB557" s="53"/>
      <c r="AC557" s="53" t="s">
        <v>1813</v>
      </c>
      <c r="AD557" s="53" t="s">
        <v>1814</v>
      </c>
      <c r="AE557" s="85">
        <f>IFERROR(__xludf.DUMMYFUNCTION("INDEX(SPLIT(SUBSTITUTE(AF557,CHAR(10), """"),"",:""), MATCH(Z557, SPLIT(SUBSTITUTE(AF557,CHAR(10), """"),"",:""), 0) + 1)"),5.0)</f>
        <v>5</v>
      </c>
      <c r="AF557" s="85" t="s">
        <v>1938</v>
      </c>
      <c r="AG557" s="53" t="s">
        <v>61</v>
      </c>
      <c r="AH557" s="91" t="s">
        <v>4102</v>
      </c>
      <c r="AI557" s="84">
        <v>0.0</v>
      </c>
      <c r="AJ557" s="84">
        <v>0.0</v>
      </c>
      <c r="AK557" s="87"/>
      <c r="AL557" s="81">
        <v>0.0</v>
      </c>
      <c r="AM557" s="87"/>
      <c r="AN557" s="81">
        <v>0.0</v>
      </c>
      <c r="AO557" s="90"/>
      <c r="AP557" s="81">
        <v>0.0</v>
      </c>
      <c r="AQ557" s="81">
        <v>0.0</v>
      </c>
      <c r="AR557" s="39"/>
      <c r="AS557" s="81">
        <v>0.0</v>
      </c>
      <c r="AT557" s="81">
        <v>0.0</v>
      </c>
      <c r="AU557" s="39"/>
      <c r="AV557" s="7" t="s">
        <v>1767</v>
      </c>
      <c r="AW557" s="82"/>
      <c r="AX557" s="82"/>
      <c r="AY557" s="7"/>
      <c r="AZ557" s="7"/>
      <c r="BA557" s="7"/>
      <c r="BB557" s="7"/>
      <c r="BC557" s="7"/>
      <c r="BD557" s="7"/>
      <c r="BE557" s="7"/>
      <c r="BF557" s="7">
        <v>1000000.0</v>
      </c>
      <c r="BG557" s="7" t="s">
        <v>1781</v>
      </c>
      <c r="BH557" s="7"/>
      <c r="BI557" s="7">
        <v>1.0E12</v>
      </c>
      <c r="BJ557" s="7" t="s">
        <v>1781</v>
      </c>
      <c r="BK557" s="7"/>
      <c r="BL557" s="7">
        <v>1.0E18</v>
      </c>
      <c r="BM557" s="7" t="s">
        <v>1781</v>
      </c>
      <c r="BN557" s="7"/>
      <c r="BO557" s="7">
        <v>1.0</v>
      </c>
      <c r="BP557" s="82"/>
      <c r="BQ557" s="7"/>
      <c r="BR557" s="7" t="s">
        <v>23</v>
      </c>
    </row>
    <row r="558">
      <c r="A558" s="16">
        <v>38.0</v>
      </c>
      <c r="B558" s="16" t="s">
        <v>544</v>
      </c>
      <c r="C558" s="53">
        <v>2.0</v>
      </c>
      <c r="D558" s="53" t="s">
        <v>546</v>
      </c>
      <c r="E558" s="7">
        <v>346.0</v>
      </c>
      <c r="F558" s="53"/>
      <c r="G558" s="7"/>
      <c r="H558" s="16">
        <v>1.0</v>
      </c>
      <c r="I558" s="81">
        <v>1.0</v>
      </c>
      <c r="J558" s="39" t="s">
        <v>834</v>
      </c>
      <c r="K558" s="53"/>
      <c r="L558" s="53"/>
      <c r="M558" s="39" t="str">
        <f t="shared" si="1"/>
        <v>[https://www.cs.bgu.ac.il/~michaluz/seminar/Knuth71.pdf Knuth's DP algorithm (1970)]</v>
      </c>
      <c r="N558" s="39" t="s">
        <v>4103</v>
      </c>
      <c r="O558" s="83">
        <v>1970.0</v>
      </c>
      <c r="P558" s="97" t="s">
        <v>4101</v>
      </c>
      <c r="Q558" s="82"/>
      <c r="R558" s="82"/>
      <c r="S558" s="82"/>
      <c r="T558" s="83">
        <v>1.0</v>
      </c>
      <c r="U558" s="83" t="s">
        <v>2007</v>
      </c>
      <c r="V558" s="89">
        <f>IFERROR(__xludf.DUMMYFUNCTION("INDEX(SPLIT(SUBSTITUTE(W558,CHAR(10), """"),"",:""), MATCH(Z558, SPLIT(SUBSTITUTE(W558,CHAR(10), """"),"",:""), 0) + 1)"),6.0)</f>
        <v>6</v>
      </c>
      <c r="W558" s="85" t="s">
        <v>2008</v>
      </c>
      <c r="X558" s="39" t="s">
        <v>834</v>
      </c>
      <c r="Y558" s="53" t="s">
        <v>1773</v>
      </c>
      <c r="Z558" s="53" t="str">
        <f t="array" ref="Z558">INDEX(Problems!J:J, MATCH(1, (Problems!B:B=B558)*1, 0))</f>
        <v>n</v>
      </c>
      <c r="AA558" s="53"/>
      <c r="AB558" s="53"/>
      <c r="AC558" s="53" t="s">
        <v>1813</v>
      </c>
      <c r="AD558" s="53" t="s">
        <v>1814</v>
      </c>
      <c r="AE558" s="85">
        <f>IFERROR(__xludf.DUMMYFUNCTION("INDEX(SPLIT(SUBSTITUTE(AF558,CHAR(10), """"),"",:""), MATCH(Z558, SPLIT(SUBSTITUTE(AF558,CHAR(10), """"),"",:""), 0) + 1)"),5.0)</f>
        <v>5</v>
      </c>
      <c r="AF558" s="85" t="s">
        <v>1938</v>
      </c>
      <c r="AG558" s="53" t="s">
        <v>61</v>
      </c>
      <c r="AH558" s="91" t="s">
        <v>4102</v>
      </c>
      <c r="AI558" s="84">
        <v>0.0</v>
      </c>
      <c r="AJ558" s="84">
        <v>0.0</v>
      </c>
      <c r="AK558" s="87"/>
      <c r="AL558" s="81">
        <v>0.0</v>
      </c>
      <c r="AM558" s="87"/>
      <c r="AN558" s="81">
        <v>0.0</v>
      </c>
      <c r="AO558" s="90"/>
      <c r="AP558" s="81">
        <v>0.0</v>
      </c>
      <c r="AQ558" s="81">
        <v>0.0</v>
      </c>
      <c r="AR558" s="39"/>
      <c r="AS558" s="81">
        <v>0.0</v>
      </c>
      <c r="AT558" s="81">
        <v>0.0</v>
      </c>
      <c r="AU558" s="39"/>
      <c r="AV558" s="7" t="s">
        <v>1767</v>
      </c>
      <c r="AW558" s="82"/>
      <c r="AX558" s="82"/>
      <c r="AY558" s="7"/>
      <c r="AZ558" s="7"/>
      <c r="BA558" s="7"/>
      <c r="BB558" s="7"/>
      <c r="BC558" s="7"/>
      <c r="BD558" s="7"/>
      <c r="BE558" s="7"/>
      <c r="BF558" s="7">
        <v>1.0E9</v>
      </c>
      <c r="BG558" s="7" t="s">
        <v>1781</v>
      </c>
      <c r="BH558" s="7"/>
      <c r="BI558" s="7">
        <v>1.0E18</v>
      </c>
      <c r="BJ558" s="7" t="s">
        <v>1781</v>
      </c>
      <c r="BK558" s="7"/>
      <c r="BL558" s="7">
        <v>1.0E27</v>
      </c>
      <c r="BM558" s="7" t="s">
        <v>1781</v>
      </c>
      <c r="BN558" s="7"/>
      <c r="BO558" s="7">
        <v>1.0</v>
      </c>
      <c r="BP558" s="82"/>
      <c r="BQ558" s="7"/>
      <c r="BR558" s="7" t="s">
        <v>23</v>
      </c>
    </row>
    <row r="559">
      <c r="A559" s="16">
        <v>38.0</v>
      </c>
      <c r="B559" s="16" t="s">
        <v>544</v>
      </c>
      <c r="C559" s="53">
        <v>1.0</v>
      </c>
      <c r="D559" s="53" t="s">
        <v>546</v>
      </c>
      <c r="E559" s="7">
        <v>347.0</v>
      </c>
      <c r="F559" s="53"/>
      <c r="G559" s="7"/>
      <c r="H559" s="16">
        <v>1.0</v>
      </c>
      <c r="I559" s="81">
        <v>1.0</v>
      </c>
      <c r="J559" s="21" t="s">
        <v>4104</v>
      </c>
      <c r="K559" s="53"/>
      <c r="L559" s="53"/>
      <c r="M559" s="39" t="str">
        <f t="shared" si="1"/>
        <v>[https://www.cs.bgu.ac.il/~michaluz/seminar/Knuth71.pdf Naive algorithm (1940)]</v>
      </c>
      <c r="N559" s="39" t="s">
        <v>2048</v>
      </c>
      <c r="O559" s="81">
        <v>1940.0</v>
      </c>
      <c r="P559" s="97" t="s">
        <v>4101</v>
      </c>
      <c r="Q559" s="7">
        <v>1.0</v>
      </c>
      <c r="R559" s="7">
        <v>1.0</v>
      </c>
      <c r="S559" s="82"/>
      <c r="T559" s="83">
        <v>1.0</v>
      </c>
      <c r="U559" s="83">
        <v>0.0</v>
      </c>
      <c r="V559" s="89">
        <f>IFERROR(__xludf.DUMMYFUNCTION("INDEX(SPLIT(SUBSTITUTE(W559,CHAR(10), """"),"",:""), MATCH(Z559, SPLIT(SUBSTITUTE(W559,CHAR(10), """"),"",:""), 0) + 1)"),8.0)</f>
        <v>8</v>
      </c>
      <c r="W559" s="85" t="s">
        <v>2001</v>
      </c>
      <c r="X559" s="21" t="s">
        <v>4104</v>
      </c>
      <c r="Y559" s="53" t="s">
        <v>1773</v>
      </c>
      <c r="Z559" s="53" t="str">
        <f t="array" ref="Z559">INDEX(Problems!J:J, MATCH(1, (Problems!B:B=B559)*1, 0))</f>
        <v>n</v>
      </c>
      <c r="AA559" s="53"/>
      <c r="AB559" s="53"/>
      <c r="AC559" s="53" t="s">
        <v>1813</v>
      </c>
      <c r="AD559" s="53" t="s">
        <v>1814</v>
      </c>
      <c r="AE559" s="85">
        <f>IFERROR(__xludf.DUMMYFUNCTION("INDEX(SPLIT(SUBSTITUTE(AF559,CHAR(10), """"),"",:""), MATCH(Z559, SPLIT(SUBSTITUTE(AF559,CHAR(10), """"),"",:""), 0) + 1)"),1.0)</f>
        <v>1</v>
      </c>
      <c r="AF559" s="85" t="s">
        <v>1774</v>
      </c>
      <c r="AG559" s="53" t="s">
        <v>939</v>
      </c>
      <c r="AH559" s="53" t="s">
        <v>4105</v>
      </c>
      <c r="AI559" s="84">
        <v>1.0</v>
      </c>
      <c r="AJ559" s="84">
        <v>0.0</v>
      </c>
      <c r="AK559" s="87"/>
      <c r="AL559" s="81">
        <v>0.0</v>
      </c>
      <c r="AM559" s="87"/>
      <c r="AN559" s="81">
        <v>0.0</v>
      </c>
      <c r="AO559" s="90"/>
      <c r="AP559" s="81">
        <v>0.0</v>
      </c>
      <c r="AQ559" s="81">
        <v>0.0</v>
      </c>
      <c r="AR559" s="39"/>
      <c r="AS559" s="81">
        <v>0.0</v>
      </c>
      <c r="AT559" s="81">
        <v>0.0</v>
      </c>
      <c r="AU559" s="39"/>
      <c r="AV559" s="7" t="s">
        <v>1767</v>
      </c>
      <c r="AW559" s="82"/>
      <c r="AX559" s="82"/>
      <c r="AY559" s="7"/>
      <c r="AZ559" s="7"/>
      <c r="BA559" s="7"/>
      <c r="BB559" s="7"/>
      <c r="BC559" s="7"/>
      <c r="BD559" s="7"/>
      <c r="BE559" s="7"/>
      <c r="BF559" s="7" t="s">
        <v>1781</v>
      </c>
      <c r="BG559" s="7">
        <v>1.0</v>
      </c>
      <c r="BH559" s="7"/>
      <c r="BI559" s="7" t="s">
        <v>1781</v>
      </c>
      <c r="BJ559" s="7">
        <v>1.0</v>
      </c>
      <c r="BK559" s="7"/>
      <c r="BL559" s="7" t="s">
        <v>1781</v>
      </c>
      <c r="BM559" s="7">
        <v>1.0</v>
      </c>
      <c r="BN559" s="7"/>
      <c r="BO559" s="7">
        <v>1.0</v>
      </c>
      <c r="BP559" s="82"/>
      <c r="BQ559" s="7"/>
      <c r="BR559" s="7" t="s">
        <v>23</v>
      </c>
    </row>
    <row r="560">
      <c r="A560" s="16">
        <v>38.0</v>
      </c>
      <c r="B560" s="16" t="s">
        <v>544</v>
      </c>
      <c r="C560" s="53">
        <v>2.0</v>
      </c>
      <c r="D560" s="53" t="s">
        <v>546</v>
      </c>
      <c r="E560" s="7">
        <v>349.0</v>
      </c>
      <c r="F560" s="53"/>
      <c r="G560" s="7"/>
      <c r="H560" s="16">
        <v>1.0</v>
      </c>
      <c r="I560" s="81">
        <v>1.0</v>
      </c>
      <c r="J560" s="39" t="s">
        <v>115</v>
      </c>
      <c r="K560" s="53"/>
      <c r="L560" s="53"/>
      <c r="M560" s="39" t="str">
        <f t="shared" si="1"/>
        <v>[https://doi.org/10.1137/0603055 Yao (1982)]</v>
      </c>
      <c r="N560" s="16" t="s">
        <v>4106</v>
      </c>
      <c r="O560" s="81">
        <v>1982.0</v>
      </c>
      <c r="P560" s="49" t="s">
        <v>4107</v>
      </c>
      <c r="Q560" s="82"/>
      <c r="R560" s="82"/>
      <c r="S560" s="82"/>
      <c r="T560" s="83">
        <v>0.0</v>
      </c>
      <c r="U560" s="83">
        <v>0.0</v>
      </c>
      <c r="V560" s="89">
        <f>IFERROR(__xludf.DUMMYFUNCTION("INDEX(SPLIT(SUBSTITUTE(W560,CHAR(10), """"),"",:""), MATCH(Z560, SPLIT(SUBSTITUTE(W560,CHAR(10), """"),"",:""), 0) + 1)"),5.0)</f>
        <v>5</v>
      </c>
      <c r="W560" s="85" t="s">
        <v>1938</v>
      </c>
      <c r="X560" s="39" t="s">
        <v>115</v>
      </c>
      <c r="Y560" s="53" t="s">
        <v>1773</v>
      </c>
      <c r="Z560" s="53" t="str">
        <f t="array" ref="Z560">INDEX(Problems!J:J, MATCH(1, (Problems!B:B=B560)*1, 0))</f>
        <v>n</v>
      </c>
      <c r="AA560" s="53"/>
      <c r="AB560" s="53"/>
      <c r="AC560" s="53" t="s">
        <v>1813</v>
      </c>
      <c r="AD560" s="53" t="s">
        <v>1814</v>
      </c>
      <c r="AE560" s="85">
        <f>IFERROR(__xludf.DUMMYFUNCTION("INDEX(SPLIT(SUBSTITUTE(AF560,CHAR(10), """"),"",:""), MATCH(Z560, SPLIT(SUBSTITUTE(AF560,CHAR(10), """"),"",:""), 0) + 1)"),5.0)</f>
        <v>5</v>
      </c>
      <c r="AF560" s="85" t="s">
        <v>1938</v>
      </c>
      <c r="AG560" s="53" t="s">
        <v>61</v>
      </c>
      <c r="AH560" s="91" t="s">
        <v>4107</v>
      </c>
      <c r="AI560" s="84">
        <v>0.0</v>
      </c>
      <c r="AJ560" s="84">
        <v>1.0</v>
      </c>
      <c r="AK560" s="87"/>
      <c r="AL560" s="81">
        <v>0.0</v>
      </c>
      <c r="AM560" s="87"/>
      <c r="AN560" s="81">
        <v>0.0</v>
      </c>
      <c r="AO560" s="90"/>
      <c r="AP560" s="81">
        <v>0.0</v>
      </c>
      <c r="AQ560" s="81">
        <v>0.0</v>
      </c>
      <c r="AR560" s="39"/>
      <c r="AS560" s="81">
        <v>0.0</v>
      </c>
      <c r="AT560" s="81">
        <v>0.0</v>
      </c>
      <c r="AU560" s="39"/>
      <c r="AV560" s="7" t="s">
        <v>1767</v>
      </c>
      <c r="AW560" s="82"/>
      <c r="AX560" s="82"/>
      <c r="AY560" s="7"/>
      <c r="AZ560" s="7"/>
      <c r="BA560" s="7"/>
      <c r="BB560" s="7"/>
      <c r="BC560" s="7"/>
      <c r="BD560" s="7"/>
      <c r="BE560" s="7"/>
      <c r="BF560" s="7">
        <v>1000000.0</v>
      </c>
      <c r="BG560" s="82"/>
      <c r="BH560" s="82"/>
      <c r="BI560" s="82"/>
      <c r="BJ560" s="82"/>
      <c r="BK560" s="82"/>
      <c r="BL560" s="82"/>
      <c r="BM560" s="82"/>
      <c r="BN560" s="7"/>
      <c r="BO560" s="7">
        <v>1.0</v>
      </c>
      <c r="BP560" s="82"/>
      <c r="BQ560" s="7"/>
      <c r="BR560" s="7" t="s">
        <v>23</v>
      </c>
    </row>
    <row r="561">
      <c r="A561" s="16">
        <v>38.0</v>
      </c>
      <c r="B561" s="16" t="s">
        <v>544</v>
      </c>
      <c r="C561" s="53">
        <v>2.0</v>
      </c>
      <c r="D561" s="53" t="s">
        <v>549</v>
      </c>
      <c r="E561" s="7">
        <v>353.0</v>
      </c>
      <c r="F561" s="53"/>
      <c r="G561" s="7"/>
      <c r="H561" s="16">
        <v>1.0</v>
      </c>
      <c r="I561" s="88">
        <v>0.0</v>
      </c>
      <c r="J561" s="39" t="s">
        <v>35</v>
      </c>
      <c r="K561" s="53"/>
      <c r="L561" s="53"/>
      <c r="M561" s="39" t="str">
        <f t="shared" si="1"/>
        <v>[https://www.sciencedirect.com/science/article/pii/0304397589901345 Levcopoulos; Lingas; Sack (1989)]</v>
      </c>
      <c r="N561" s="16" t="s">
        <v>4108</v>
      </c>
      <c r="O561" s="81">
        <v>1989.0</v>
      </c>
      <c r="P561" s="49" t="s">
        <v>4109</v>
      </c>
      <c r="Q561" s="82"/>
      <c r="R561" s="82"/>
      <c r="S561" s="82"/>
      <c r="T561" s="83">
        <v>1.0</v>
      </c>
      <c r="U561" s="83" t="s">
        <v>1818</v>
      </c>
      <c r="V561" s="89">
        <f>IFERROR(__xludf.DUMMYFUNCTION("INDEX(SPLIT(SUBSTITUTE(W561,CHAR(10), """"),"",:""), MATCH(Z561, SPLIT(SUBSTITUTE(W561,CHAR(10), """"),"",:""), 0) + 1)"),3.0)</f>
        <v>3</v>
      </c>
      <c r="W561" s="85" t="s">
        <v>1763</v>
      </c>
      <c r="X561" s="39" t="s">
        <v>35</v>
      </c>
      <c r="Y561" s="53" t="s">
        <v>1773</v>
      </c>
      <c r="Z561" s="53" t="str">
        <f t="array" ref="Z561">INDEX(Problems!J:J, MATCH(1, (Problems!B:B=B561)*1, 0))</f>
        <v>n</v>
      </c>
      <c r="AA561" s="53"/>
      <c r="AB561" s="53"/>
      <c r="AC561" s="53" t="s">
        <v>1813</v>
      </c>
      <c r="AD561" s="53" t="s">
        <v>1814</v>
      </c>
      <c r="AE561" s="85">
        <f>IFERROR(__xludf.DUMMYFUNCTION("INDEX(SPLIT(SUBSTITUTE(AF561,CHAR(10), """"),"",:""), MATCH(Z561, SPLIT(SUBSTITUTE(AF561,CHAR(10), """"),"",:""), 0) + 1)"),3.0)</f>
        <v>3</v>
      </c>
      <c r="AF561" s="85" t="s">
        <v>1763</v>
      </c>
      <c r="AG561" s="53" t="s">
        <v>584</v>
      </c>
      <c r="AH561" s="53" t="s">
        <v>4110</v>
      </c>
      <c r="AI561" s="84">
        <v>1.0</v>
      </c>
      <c r="AJ561" s="84">
        <v>0.0</v>
      </c>
      <c r="AK561" s="87"/>
      <c r="AL561" s="81">
        <v>0.0</v>
      </c>
      <c r="AM561" s="87"/>
      <c r="AN561" s="88">
        <v>1.0</v>
      </c>
      <c r="AO561" s="21" t="s">
        <v>4111</v>
      </c>
      <c r="AP561" s="81">
        <v>1.0</v>
      </c>
      <c r="AQ561" s="81">
        <v>0.0</v>
      </c>
      <c r="AR561" s="39"/>
      <c r="AS561" s="81">
        <v>0.0</v>
      </c>
      <c r="AT561" s="81">
        <v>0.0</v>
      </c>
      <c r="AU561" s="39"/>
      <c r="AV561" s="7" t="s">
        <v>1767</v>
      </c>
      <c r="AW561" s="82"/>
      <c r="AX561" s="82"/>
      <c r="AY561" s="7"/>
      <c r="AZ561" s="7"/>
      <c r="BA561" s="7"/>
      <c r="BB561" s="7"/>
      <c r="BC561" s="7"/>
      <c r="BD561" s="7"/>
      <c r="BE561" s="7"/>
      <c r="BF561" s="7">
        <v>1000.0</v>
      </c>
      <c r="BG561" s="82"/>
      <c r="BH561" s="82"/>
      <c r="BI561" s="82"/>
      <c r="BJ561" s="82"/>
      <c r="BK561" s="82"/>
      <c r="BL561" s="82"/>
      <c r="BM561" s="82"/>
      <c r="BN561" s="7"/>
      <c r="BO561" s="7">
        <v>1.0</v>
      </c>
      <c r="BP561" s="82"/>
      <c r="BQ561" s="7"/>
      <c r="BR561" s="7" t="s">
        <v>23</v>
      </c>
    </row>
    <row r="562">
      <c r="A562" s="16">
        <v>38.0</v>
      </c>
      <c r="B562" s="16" t="s">
        <v>544</v>
      </c>
      <c r="C562" s="53">
        <v>2.0</v>
      </c>
      <c r="D562" s="53" t="s">
        <v>549</v>
      </c>
      <c r="E562" s="7">
        <v>354.0</v>
      </c>
      <c r="F562" s="53"/>
      <c r="G562" s="7"/>
      <c r="H562" s="16">
        <v>1.0</v>
      </c>
      <c r="I562" s="88">
        <v>0.0</v>
      </c>
      <c r="J562" s="39" t="s">
        <v>35</v>
      </c>
      <c r="K562" s="53"/>
      <c r="L562" s="53"/>
      <c r="M562" s="39" t="str">
        <f t="shared" si="1"/>
        <v>[https://www.sciencedirect.com/science/article/pii/002001909390212R de Prisco (1993)]</v>
      </c>
      <c r="N562" s="16" t="s">
        <v>4112</v>
      </c>
      <c r="O562" s="81">
        <v>1993.0</v>
      </c>
      <c r="P562" s="49" t="s">
        <v>4113</v>
      </c>
      <c r="Q562" s="82"/>
      <c r="R562" s="82"/>
      <c r="S562" s="82"/>
      <c r="T562" s="83">
        <v>0.0</v>
      </c>
      <c r="U562" s="83">
        <v>0.0</v>
      </c>
      <c r="V562" s="89">
        <f>IFERROR(__xludf.DUMMYFUNCTION("INDEX(SPLIT(SUBSTITUTE(W562,CHAR(10), """"),"",:""), MATCH(Z562, SPLIT(SUBSTITUTE(W562,CHAR(10), """"),"",:""), 0) + 1)"),3.0)</f>
        <v>3</v>
      </c>
      <c r="W562" s="85" t="s">
        <v>1763</v>
      </c>
      <c r="X562" s="39" t="s">
        <v>35</v>
      </c>
      <c r="Y562" s="53" t="s">
        <v>4114</v>
      </c>
      <c r="Z562" s="53" t="str">
        <f t="array" ref="Z562">INDEX(Problems!J:J, MATCH(1, (Problems!B:B=B562)*1, 0))</f>
        <v>n</v>
      </c>
      <c r="AA562" s="53"/>
      <c r="AB562" s="53"/>
      <c r="AC562" s="53" t="s">
        <v>1813</v>
      </c>
      <c r="AD562" s="53" t="s">
        <v>1814</v>
      </c>
      <c r="AE562" s="85">
        <f>IFERROR(__xludf.DUMMYFUNCTION("INDEX(SPLIT(SUBSTITUTE(AF562,CHAR(10), """"),"",:""), MATCH(Z562, SPLIT(SUBSTITUTE(AF562,CHAR(10), """"),"",:""), 0) + 1)"),3.0)</f>
        <v>3</v>
      </c>
      <c r="AF562" s="85" t="s">
        <v>1763</v>
      </c>
      <c r="AG562" s="53" t="s">
        <v>584</v>
      </c>
      <c r="AH562" s="53" t="s">
        <v>4115</v>
      </c>
      <c r="AI562" s="84">
        <v>1.0</v>
      </c>
      <c r="AJ562" s="84">
        <v>0.0</v>
      </c>
      <c r="AK562" s="87"/>
      <c r="AL562" s="81">
        <v>0.0</v>
      </c>
      <c r="AM562" s="87"/>
      <c r="AN562" s="88">
        <v>1.0</v>
      </c>
      <c r="AO562" s="21" t="s">
        <v>4116</v>
      </c>
      <c r="AP562" s="81">
        <v>1.0</v>
      </c>
      <c r="AQ562" s="81">
        <v>0.0</v>
      </c>
      <c r="AR562" s="39"/>
      <c r="AS562" s="81">
        <v>0.0</v>
      </c>
      <c r="AT562" s="81">
        <v>0.0</v>
      </c>
      <c r="AU562" s="39"/>
      <c r="AV562" s="7" t="s">
        <v>1767</v>
      </c>
      <c r="AW562" s="82"/>
      <c r="AX562" s="82"/>
      <c r="AY562" s="7"/>
      <c r="AZ562" s="7"/>
      <c r="BA562" s="7"/>
      <c r="BB562" s="7"/>
      <c r="BC562" s="7"/>
      <c r="BD562" s="7"/>
      <c r="BE562" s="7"/>
      <c r="BF562" s="7">
        <v>1000.0</v>
      </c>
      <c r="BG562" s="82"/>
      <c r="BH562" s="82"/>
      <c r="BI562" s="82"/>
      <c r="BJ562" s="82"/>
      <c r="BK562" s="82"/>
      <c r="BL562" s="82"/>
      <c r="BM562" s="82"/>
      <c r="BN562" s="7"/>
      <c r="BO562" s="7">
        <v>1.0</v>
      </c>
      <c r="BP562" s="82"/>
      <c r="BQ562" s="7"/>
      <c r="BR562" s="7" t="s">
        <v>23</v>
      </c>
    </row>
    <row r="563">
      <c r="A563" s="16">
        <v>39.0</v>
      </c>
      <c r="B563" s="16" t="s">
        <v>556</v>
      </c>
      <c r="C563" s="53">
        <v>1.0</v>
      </c>
      <c r="D563" s="53" t="s">
        <v>4117</v>
      </c>
      <c r="E563" s="7">
        <v>355.0</v>
      </c>
      <c r="F563" s="53"/>
      <c r="G563" s="7"/>
      <c r="H563" s="16">
        <v>1.0</v>
      </c>
      <c r="I563" s="16">
        <v>1.0</v>
      </c>
      <c r="J563" s="48" t="s">
        <v>4118</v>
      </c>
      <c r="K563" s="53"/>
      <c r="L563" s="53"/>
      <c r="M563" s="39" t="str">
        <f t="shared" si="1"/>
        <v>[https://epubs.siam.org/doi/abs/10.1137/0112033?journalCode=smjmap.1 Lemke–Howson algorithm (1964)]</v>
      </c>
      <c r="N563" s="39" t="s">
        <v>4119</v>
      </c>
      <c r="O563" s="81">
        <v>1964.0</v>
      </c>
      <c r="P563" s="17" t="s">
        <v>4120</v>
      </c>
      <c r="Q563" s="7">
        <v>1.0</v>
      </c>
      <c r="R563" s="7">
        <v>1.0</v>
      </c>
      <c r="S563" s="114" t="s">
        <v>4121</v>
      </c>
      <c r="T563" s="16">
        <v>1.0</v>
      </c>
      <c r="U563" s="16">
        <v>0.0</v>
      </c>
      <c r="V563" s="89">
        <f>IFERROR(__xludf.DUMMYFUNCTION("INDEX(SPLIT(SUBSTITUTE(W563,CHAR(10), """"),"",:""), MATCH(Z563, SPLIT(SUBSTITUTE(W563,CHAR(10), """"),"",:""), 0) + 1)"),8.0)</f>
        <v>8</v>
      </c>
      <c r="W563" s="85" t="s">
        <v>4122</v>
      </c>
      <c r="X563" s="48" t="s">
        <v>4118</v>
      </c>
      <c r="Y563" s="53" t="s">
        <v>4123</v>
      </c>
      <c r="Z563" s="53" t="str">
        <f t="array" ref="Z563">INDEX(Problems!J:J, MATCH(1, (Problems!B:B=B563)*1, 0))</f>
        <v>mn</v>
      </c>
      <c r="AA563" s="53"/>
      <c r="AB563" s="53"/>
      <c r="AC563" s="53" t="s">
        <v>1813</v>
      </c>
      <c r="AD563" s="53" t="s">
        <v>1814</v>
      </c>
      <c r="AE563" s="85">
        <f>IFERROR(__xludf.DUMMYFUNCTION("INDEX(SPLIT(SUBSTITUTE(AF563,CHAR(10), """"),"",:""), MATCH(Z563, SPLIT(SUBSTITUTE(AF563,CHAR(10), """"),"",:""), 0) + 1)"),3.0)</f>
        <v>3</v>
      </c>
      <c r="AF563" s="85" t="s">
        <v>1876</v>
      </c>
      <c r="AG563" s="53" t="s">
        <v>3296</v>
      </c>
      <c r="AH563" s="53"/>
      <c r="AI563" s="84">
        <v>1.0</v>
      </c>
      <c r="AJ563" s="84">
        <v>0.0</v>
      </c>
      <c r="AK563" s="87"/>
      <c r="AL563" s="81">
        <v>0.0</v>
      </c>
      <c r="AM563" s="21"/>
      <c r="AN563" s="16">
        <v>0.0</v>
      </c>
      <c r="AO563" s="90"/>
      <c r="AP563" s="16">
        <v>0.0</v>
      </c>
      <c r="AQ563" s="16">
        <v>0.0</v>
      </c>
      <c r="AR563" s="39"/>
      <c r="AS563" s="81">
        <v>0.0</v>
      </c>
      <c r="AT563" s="81">
        <v>0.0</v>
      </c>
      <c r="AU563" s="39"/>
      <c r="AV563" s="7" t="s">
        <v>4124</v>
      </c>
      <c r="AW563" s="82"/>
      <c r="AX563" s="82"/>
      <c r="AY563" s="7"/>
      <c r="AZ563" s="7"/>
      <c r="BA563" s="7"/>
      <c r="BB563" s="7"/>
      <c r="BC563" s="7"/>
      <c r="BD563" s="7"/>
      <c r="BE563" s="7"/>
      <c r="BF563" s="7">
        <v>1.0E12</v>
      </c>
      <c r="BG563" s="7">
        <v>1.0</v>
      </c>
      <c r="BH563" s="82"/>
      <c r="BI563" s="82">
        <f>POW(1000000, 4)</f>
        <v>1E+24</v>
      </c>
      <c r="BJ563" s="7">
        <v>1.0</v>
      </c>
      <c r="BK563" s="82"/>
      <c r="BL563" s="82">
        <f>POW(1000000000, 4)</f>
        <v>1E+36</v>
      </c>
      <c r="BM563" s="7">
        <v>1.0</v>
      </c>
      <c r="BN563" s="7"/>
      <c r="BO563" s="7">
        <v>2.0</v>
      </c>
      <c r="BP563" s="82"/>
      <c r="BQ563" s="7"/>
      <c r="BR563" s="7" t="s">
        <v>411</v>
      </c>
    </row>
    <row r="564">
      <c r="A564" s="16">
        <v>39.0</v>
      </c>
      <c r="B564" s="16" t="s">
        <v>556</v>
      </c>
      <c r="C564" s="53">
        <v>0.001</v>
      </c>
      <c r="D564" s="53" t="s">
        <v>4117</v>
      </c>
      <c r="E564" s="7">
        <v>356.0</v>
      </c>
      <c r="F564" s="53"/>
      <c r="G564" s="7">
        <v>0.0</v>
      </c>
      <c r="H564" s="16">
        <v>1.0</v>
      </c>
      <c r="I564" s="16">
        <v>1.0</v>
      </c>
      <c r="J564" s="48" t="s">
        <v>4125</v>
      </c>
      <c r="K564" s="53"/>
      <c r="L564" s="53"/>
      <c r="M564" s="39" t="str">
        <f t="shared" si="1"/>
        <v>[https://dl.acm.org/doi/10.1145/779928.779933 Lipton; Mehta (2003)]</v>
      </c>
      <c r="N564" s="39" t="s">
        <v>4126</v>
      </c>
      <c r="O564" s="81">
        <v>2003.0</v>
      </c>
      <c r="P564" s="17" t="s">
        <v>4127</v>
      </c>
      <c r="Q564" s="82"/>
      <c r="R564" s="82"/>
      <c r="S564" s="82"/>
      <c r="T564" s="16">
        <v>1.0</v>
      </c>
      <c r="U564" s="21">
        <v>0.0</v>
      </c>
      <c r="V564" s="89">
        <f>IFERROR(__xludf.DUMMYFUNCTION("INDEX(SPLIT(SUBSTITUTE(W564,CHAR(10), """"),"",:""), MATCH(Z564, SPLIT(SUBSTITUTE(W564,CHAR(10), """"),"",:""), 0) + 1)"),8.0)</f>
        <v>8</v>
      </c>
      <c r="W564" s="85" t="s">
        <v>4122</v>
      </c>
      <c r="X564" s="48" t="s">
        <v>4125</v>
      </c>
      <c r="Y564" s="53" t="s">
        <v>4128</v>
      </c>
      <c r="Z564" s="53" t="str">
        <f t="array" ref="Z564">INDEX(Problems!J:J, MATCH(1, (Problems!B:B=B564)*1, 0))</f>
        <v>mn</v>
      </c>
      <c r="AA564" s="53"/>
      <c r="AB564" s="53"/>
      <c r="AC564" s="53" t="s">
        <v>1813</v>
      </c>
      <c r="AD564" s="53" t="s">
        <v>1814</v>
      </c>
      <c r="AE564" s="85" t="str">
        <f>IFERROR(__xludf.DUMMYFUNCTION("INDEX(SPLIT(SUBSTITUTE(AF564,CHAR(10), """"),"",:""), MATCH(Z564, SPLIT(SUBSTITUTE(AF564,CHAR(10), """"),"",:""), 0) + 1)"),"#VALUE!")</f>
        <v>#VALUE!</v>
      </c>
      <c r="AF564" s="85"/>
      <c r="AG564" s="53" t="s">
        <v>4129</v>
      </c>
      <c r="AH564" s="53"/>
      <c r="AI564" s="84">
        <v>1.0</v>
      </c>
      <c r="AJ564" s="84">
        <v>0.0</v>
      </c>
      <c r="AK564" s="87"/>
      <c r="AL564" s="81">
        <v>0.0</v>
      </c>
      <c r="AM564" s="21"/>
      <c r="AN564" s="21" t="s">
        <v>4130</v>
      </c>
      <c r="AO564" s="90"/>
      <c r="AP564" s="16">
        <v>0.0</v>
      </c>
      <c r="AQ564" s="16">
        <v>0.0</v>
      </c>
      <c r="AR564" s="39"/>
      <c r="AS564" s="81">
        <v>0.0</v>
      </c>
      <c r="AT564" s="81">
        <v>0.0</v>
      </c>
      <c r="AU564" s="39"/>
      <c r="AV564" s="7" t="s">
        <v>4124</v>
      </c>
      <c r="AW564" s="82"/>
      <c r="AX564" s="82"/>
      <c r="AY564" s="7"/>
      <c r="AZ564" s="7"/>
      <c r="BA564" s="7"/>
      <c r="BB564" s="7"/>
      <c r="BC564" s="7"/>
      <c r="BD564" s="7"/>
      <c r="BE564" s="7"/>
      <c r="BF564" s="7">
        <v>9965784.0</v>
      </c>
      <c r="BG564" s="82">
        <f>BF563/BF564</f>
        <v>100343.3348</v>
      </c>
      <c r="BH564" s="82"/>
      <c r="BI564" s="82">
        <f>POW(1000000,2)*LOG(1000000,2)</f>
        <v>19931568569324</v>
      </c>
      <c r="BJ564" s="82">
        <f>BI563/BI564</f>
        <v>50171665944</v>
      </c>
      <c r="BK564" s="82"/>
      <c r="BL564" s="82">
        <f>POW(1000000000,2)*LOG(1000000000,2)</f>
        <v>2.98974E+19</v>
      </c>
      <c r="BM564" s="82">
        <f>BL563/BL564</f>
        <v>3.34478E+16</v>
      </c>
      <c r="BN564" s="7"/>
      <c r="BO564" s="7">
        <v>2.0</v>
      </c>
      <c r="BP564" s="82"/>
      <c r="BQ564" s="7"/>
      <c r="BR564" s="7" t="s">
        <v>411</v>
      </c>
    </row>
    <row r="565">
      <c r="A565" s="16">
        <v>40.0</v>
      </c>
      <c r="B565" s="16" t="s">
        <v>568</v>
      </c>
      <c r="C565" s="53">
        <v>1.0</v>
      </c>
      <c r="D565" s="53" t="s">
        <v>573</v>
      </c>
      <c r="E565" s="7">
        <v>357.0</v>
      </c>
      <c r="F565" s="53"/>
      <c r="G565" s="7"/>
      <c r="H565" s="16">
        <v>1.0</v>
      </c>
      <c r="I565" s="16">
        <v>1.0</v>
      </c>
      <c r="J565" s="39" t="s">
        <v>3153</v>
      </c>
      <c r="K565" s="53"/>
      <c r="L565" s="53"/>
      <c r="M565" s="39" t="str">
        <f t="shared" si="1"/>
        <v>[https://web.eecs.umich.edu/~pettie/matching/Kuhn-hungarian-assignment.pdf Hungarian algorithm (1955)]</v>
      </c>
      <c r="N565" s="39" t="s">
        <v>4131</v>
      </c>
      <c r="O565" s="81">
        <v>1955.0</v>
      </c>
      <c r="P565" s="17" t="s">
        <v>4132</v>
      </c>
      <c r="Q565" s="7">
        <v>2.0</v>
      </c>
      <c r="R565" s="7">
        <v>1.0</v>
      </c>
      <c r="S565" s="47" t="s">
        <v>4132</v>
      </c>
      <c r="T565" s="16">
        <v>1.0</v>
      </c>
      <c r="U565" s="16">
        <v>0.0</v>
      </c>
      <c r="V565" s="89">
        <f>IFERROR(__xludf.DUMMYFUNCTION("INDEX(SPLIT(SUBSTITUTE(W565,CHAR(10), """"),"",:""), MATCH(Z565, SPLIT(SUBSTITUTE(W565,CHAR(10), """"),"",:""), 0) + 1)"),7.0)</f>
        <v>7</v>
      </c>
      <c r="W565" s="85" t="s">
        <v>2517</v>
      </c>
      <c r="X565" s="39" t="s">
        <v>3153</v>
      </c>
      <c r="Y565" s="53" t="s">
        <v>3397</v>
      </c>
      <c r="Z565" s="53" t="str">
        <f t="array" ref="Z565">INDEX(Problems!J:J, MATCH(1, (Problems!B:B=B565)*1, 0))</f>
        <v>n</v>
      </c>
      <c r="AA565" s="53"/>
      <c r="AB565" s="53"/>
      <c r="AC565" s="53" t="s">
        <v>1813</v>
      </c>
      <c r="AD565" s="53" t="s">
        <v>1814</v>
      </c>
      <c r="AE565" s="85">
        <f>IFERROR(__xludf.DUMMYFUNCTION("INDEX(SPLIT(SUBSTITUTE(AF565,CHAR(10), """"),"",:""), MATCH(Z565, SPLIT(SUBSTITUTE(AF565,CHAR(10), """"),"",:""), 0) + 1)"),5.0)</f>
        <v>5</v>
      </c>
      <c r="AF565" s="85" t="s">
        <v>1938</v>
      </c>
      <c r="AG565" s="53" t="s">
        <v>115</v>
      </c>
      <c r="AH565" s="53" t="s">
        <v>4133</v>
      </c>
      <c r="AI565" s="21">
        <v>1.0</v>
      </c>
      <c r="AJ565" s="84">
        <v>0.0</v>
      </c>
      <c r="AK565" s="21"/>
      <c r="AL565" s="16">
        <v>0.0</v>
      </c>
      <c r="AM565" s="21"/>
      <c r="AN565" s="16">
        <v>0.0</v>
      </c>
      <c r="AO565" s="90"/>
      <c r="AP565" s="16">
        <v>0.0</v>
      </c>
      <c r="AQ565" s="16">
        <v>0.0</v>
      </c>
      <c r="AR565" s="39"/>
      <c r="AS565" s="81">
        <v>0.0</v>
      </c>
      <c r="AT565" s="81">
        <v>0.0</v>
      </c>
      <c r="AU565" s="39"/>
      <c r="AV565" s="7" t="s">
        <v>4134</v>
      </c>
      <c r="AW565" s="82"/>
      <c r="AX565" s="82"/>
      <c r="AY565" s="7"/>
      <c r="AZ565" s="7"/>
      <c r="BA565" s="7"/>
      <c r="BB565" s="7"/>
      <c r="BC565" s="7"/>
      <c r="BD565" s="7"/>
      <c r="BE565" s="7"/>
      <c r="BF565" s="7">
        <v>1.0E12</v>
      </c>
      <c r="BG565" s="7">
        <v>1.0</v>
      </c>
      <c r="BH565" s="82"/>
      <c r="BI565" s="82">
        <f>POW(1000000, 4)</f>
        <v>1E+24</v>
      </c>
      <c r="BJ565" s="7">
        <v>1.0</v>
      </c>
      <c r="BK565" s="82"/>
      <c r="BL565" s="82">
        <f>POW(1000000000, 4)</f>
        <v>1E+36</v>
      </c>
      <c r="BM565" s="7">
        <v>1.0</v>
      </c>
      <c r="BN565" s="7"/>
      <c r="BO565" s="7">
        <v>2.0</v>
      </c>
      <c r="BP565" s="82"/>
      <c r="BQ565" s="7"/>
      <c r="BR565" s="7" t="s">
        <v>23</v>
      </c>
    </row>
    <row r="566">
      <c r="A566" s="16">
        <v>40.0</v>
      </c>
      <c r="B566" s="16" t="s">
        <v>568</v>
      </c>
      <c r="C566" s="53">
        <v>1.0</v>
      </c>
      <c r="D566" s="53" t="s">
        <v>568</v>
      </c>
      <c r="E566" s="7">
        <v>358.0</v>
      </c>
      <c r="F566" s="53"/>
      <c r="G566" s="7"/>
      <c r="H566" s="16">
        <v>1.0</v>
      </c>
      <c r="I566" s="16">
        <v>1.0</v>
      </c>
      <c r="J566" s="16" t="s">
        <v>1382</v>
      </c>
      <c r="K566" s="53"/>
      <c r="L566" s="53"/>
      <c r="M566" s="39" t="str">
        <f t="shared" si="1"/>
        <v>[https://nvlpubs.nist.gov/nistpubs/jres/69B/jresv69Bn1-2p125_A1b.pdf Edmonds (1965)]</v>
      </c>
      <c r="N566" s="16" t="s">
        <v>4135</v>
      </c>
      <c r="O566" s="83">
        <v>1965.0</v>
      </c>
      <c r="P566" s="113" t="s">
        <v>4136</v>
      </c>
      <c r="Q566" s="7">
        <v>1.0</v>
      </c>
      <c r="R566" s="7">
        <v>1.0</v>
      </c>
      <c r="S566" s="82"/>
      <c r="T566" s="21">
        <v>0.0</v>
      </c>
      <c r="U566" s="21">
        <v>0.0</v>
      </c>
      <c r="V566" s="89">
        <f>IFERROR(__xludf.DUMMYFUNCTION("INDEX(SPLIT(SUBSTITUTE(W566,CHAR(10), """"),"",:""), MATCH(Z566, SPLIT(SUBSTITUTE(W566,CHAR(10), """"),"",:""), 0) + 1)"),7.0)</f>
        <v>7</v>
      </c>
      <c r="W566" s="85" t="s">
        <v>4137</v>
      </c>
      <c r="X566" s="16" t="s">
        <v>1382</v>
      </c>
      <c r="Y566" s="53" t="s">
        <v>2102</v>
      </c>
      <c r="Z566" s="53" t="str">
        <f t="array" ref="Z566">INDEX(Problems!J:J, MATCH(1, (Problems!B:B=B566)*1, 0))</f>
        <v>n</v>
      </c>
      <c r="AA566" s="53"/>
      <c r="AB566" s="53"/>
      <c r="AC566" s="53" t="s">
        <v>1813</v>
      </c>
      <c r="AD566" s="53" t="s">
        <v>1814</v>
      </c>
      <c r="AE566" s="85">
        <f>IFERROR(__xludf.DUMMYFUNCTION("INDEX(SPLIT(SUBSTITUTE(AF566,CHAR(10), """"),"",:""), MATCH(Z566, SPLIT(SUBSTITUTE(AF566,CHAR(10), """"),"",:""), 0) + 1)"),7.0)</f>
        <v>7</v>
      </c>
      <c r="AF566" s="85" t="s">
        <v>4137</v>
      </c>
      <c r="AG566" s="53" t="s">
        <v>4138</v>
      </c>
      <c r="AH566" s="53" t="s">
        <v>4139</v>
      </c>
      <c r="AI566" s="21">
        <v>1.0</v>
      </c>
      <c r="AJ566" s="84">
        <v>0.0</v>
      </c>
      <c r="AK566" s="21"/>
      <c r="AL566" s="16">
        <v>0.0</v>
      </c>
      <c r="AM566" s="21"/>
      <c r="AN566" s="16">
        <v>0.0</v>
      </c>
      <c r="AO566" s="90"/>
      <c r="AP566" s="16">
        <v>0.0</v>
      </c>
      <c r="AQ566" s="16">
        <v>0.0</v>
      </c>
      <c r="AR566" s="39"/>
      <c r="AS566" s="81">
        <v>0.0</v>
      </c>
      <c r="AT566" s="81">
        <v>0.0</v>
      </c>
      <c r="AU566" s="39"/>
      <c r="AV566" s="7" t="s">
        <v>4134</v>
      </c>
      <c r="AW566" s="82"/>
      <c r="AX566" s="82"/>
      <c r="AY566" s="7"/>
      <c r="AZ566" s="7"/>
      <c r="BA566" s="7"/>
      <c r="BB566" s="7"/>
      <c r="BC566" s="7"/>
      <c r="BD566" s="7"/>
      <c r="BE566" s="7"/>
      <c r="BF566" s="7">
        <v>1.0E9</v>
      </c>
      <c r="BG566" s="7">
        <v>1000.0</v>
      </c>
      <c r="BH566" s="82"/>
      <c r="BI566" s="82">
        <f>POW(1000000,3)</f>
        <v>1E+18</v>
      </c>
      <c r="BJ566" s="7">
        <v>1000000.0</v>
      </c>
      <c r="BK566" s="82"/>
      <c r="BL566" s="82">
        <f>POW(1000000000,3)</f>
        <v>1E+27</v>
      </c>
      <c r="BM566" s="7">
        <v>1.0E9</v>
      </c>
      <c r="BN566" s="7"/>
      <c r="BO566" s="7">
        <v>2.0</v>
      </c>
      <c r="BP566" s="82"/>
      <c r="BQ566" s="7"/>
      <c r="BR566" s="7" t="s">
        <v>23</v>
      </c>
    </row>
    <row r="567">
      <c r="A567" s="48">
        <v>40.0</v>
      </c>
      <c r="B567" s="48" t="s">
        <v>568</v>
      </c>
      <c r="C567" s="53">
        <v>0.001</v>
      </c>
      <c r="D567" s="53"/>
      <c r="E567" s="7">
        <v>359.0</v>
      </c>
      <c r="F567" s="53"/>
      <c r="G567" s="7"/>
      <c r="H567" s="16">
        <v>1.0</v>
      </c>
      <c r="I567" s="16">
        <v>1.0</v>
      </c>
      <c r="J567" s="39" t="s">
        <v>4140</v>
      </c>
      <c r="K567" s="53"/>
      <c r="L567" s="53"/>
      <c r="M567" s="39" t="str">
        <f t="shared" si="1"/>
        <v>[https://ieeexplore.ieee.org/document/4567800 Micali; Vazirani (1980)]</v>
      </c>
      <c r="N567" s="39" t="s">
        <v>4141</v>
      </c>
      <c r="O567" s="81">
        <v>1980.0</v>
      </c>
      <c r="P567" s="25" t="s">
        <v>2529</v>
      </c>
      <c r="Q567" s="82"/>
      <c r="R567" s="82"/>
      <c r="S567" s="82"/>
      <c r="T567" s="16">
        <v>0.0</v>
      </c>
      <c r="U567" s="16">
        <v>0.0</v>
      </c>
      <c r="V567" s="89">
        <f>IFERROR(__xludf.DUMMYFUNCTION("INDEX(SPLIT(SUBSTITUTE(W567,CHAR(10), """"),"",:""), MATCH(Z567, SPLIT(SUBSTITUTE(W567,CHAR(10), """"),"",:""), 0) + 1)"),6.01)</f>
        <v>6.01</v>
      </c>
      <c r="W567" s="85" t="s">
        <v>4142</v>
      </c>
      <c r="X567" s="16" t="s">
        <v>4143</v>
      </c>
      <c r="Y567" s="53"/>
      <c r="Z567" s="53" t="str">
        <f t="array" ref="Z567">INDEX(Problems!J:J, MATCH(1, (Problems!B:B=B567)*1, 0))</f>
        <v>n</v>
      </c>
      <c r="AA567" s="53"/>
      <c r="AB567" s="53"/>
      <c r="AC567" s="53"/>
      <c r="AD567" s="53"/>
      <c r="AE567" s="85" t="str">
        <f>IFERROR(__xludf.DUMMYFUNCTION("INDEX(SPLIT(SUBSTITUTE(AF567,CHAR(10), """"),"",:""), MATCH(Z567, SPLIT(SUBSTITUTE(AF567,CHAR(10), """"),"",:""), 0) + 1)"),"#VALUE!")</f>
        <v>#VALUE!</v>
      </c>
      <c r="AF567" s="85"/>
      <c r="AG567" s="53"/>
      <c r="AH567" s="53"/>
      <c r="AI567" s="21"/>
      <c r="AJ567" s="84" t="s">
        <v>2520</v>
      </c>
      <c r="AK567" s="21"/>
      <c r="AL567" s="16">
        <v>0.0</v>
      </c>
      <c r="AM567" s="53"/>
      <c r="AN567" s="16">
        <v>0.0</v>
      </c>
      <c r="AO567" s="90"/>
      <c r="AP567" s="16">
        <v>0.0</v>
      </c>
      <c r="AQ567" s="16">
        <v>0.0</v>
      </c>
      <c r="AR567" s="39"/>
      <c r="AS567" s="81">
        <v>0.0</v>
      </c>
      <c r="AT567" s="81">
        <v>0.0</v>
      </c>
      <c r="AU567" s="39"/>
      <c r="AV567" s="7" t="s">
        <v>4134</v>
      </c>
      <c r="AW567" s="82"/>
      <c r="AX567" s="82"/>
      <c r="AY567" s="7"/>
      <c r="AZ567" s="82"/>
      <c r="BA567" s="82"/>
      <c r="BB567" s="82"/>
      <c r="BC567" s="82"/>
      <c r="BD567" s="82"/>
      <c r="BE567" s="82"/>
      <c r="BF567" s="82"/>
      <c r="BG567" s="82"/>
      <c r="BH567" s="82"/>
      <c r="BI567" s="82"/>
      <c r="BJ567" s="82"/>
      <c r="BK567" s="82"/>
      <c r="BL567" s="82"/>
      <c r="BM567" s="82"/>
      <c r="BN567" s="7"/>
      <c r="BO567" s="7">
        <v>2.0</v>
      </c>
      <c r="BP567" s="82"/>
      <c r="BQ567" s="7"/>
      <c r="BR567" s="7" t="s">
        <v>23</v>
      </c>
    </row>
    <row r="568">
      <c r="A568" s="48">
        <v>40.0</v>
      </c>
      <c r="B568" s="48" t="s">
        <v>568</v>
      </c>
      <c r="C568" s="53">
        <v>0.001</v>
      </c>
      <c r="D568" s="53"/>
      <c r="E568" s="7">
        <v>360.0</v>
      </c>
      <c r="F568" s="53"/>
      <c r="G568" s="7"/>
      <c r="H568" s="16">
        <v>1.0</v>
      </c>
      <c r="I568" s="16">
        <v>1.0</v>
      </c>
      <c r="J568" s="39" t="s">
        <v>834</v>
      </c>
      <c r="K568" s="53"/>
      <c r="L568" s="53"/>
      <c r="M568" s="39" t="str">
        <f t="shared" si="1"/>
        <v>[https://dl.acm.org/doi/10.1109/FOCS.2004.40 Mucha and Sankowski (2004)]</v>
      </c>
      <c r="N568" s="39" t="s">
        <v>4144</v>
      </c>
      <c r="O568" s="81">
        <v>2004.0</v>
      </c>
      <c r="P568" s="25" t="s">
        <v>4145</v>
      </c>
      <c r="Q568" s="82"/>
      <c r="R568" s="82"/>
      <c r="S568" s="82"/>
      <c r="T568" s="29">
        <v>0.0</v>
      </c>
      <c r="U568" s="16">
        <v>0.0</v>
      </c>
      <c r="V568" s="89">
        <f>IFERROR(__xludf.DUMMYFUNCTION("INDEX(SPLIT(SUBSTITUTE(W568,CHAR(10), """"),"",:""), MATCH(Z568, SPLIT(SUBSTITUTE(W568,CHAR(10), """"),"",:""), 0) + 1)"),6.0)</f>
        <v>6</v>
      </c>
      <c r="W568" s="85" t="s">
        <v>2008</v>
      </c>
      <c r="X568" s="39" t="s">
        <v>834</v>
      </c>
      <c r="Y568" s="53"/>
      <c r="Z568" s="53" t="str">
        <f t="array" ref="Z568">INDEX(Problems!J:J, MATCH(1, (Problems!B:B=B568)*1, 0))</f>
        <v>n</v>
      </c>
      <c r="AA568" s="53"/>
      <c r="AB568" s="53"/>
      <c r="AC568" s="53"/>
      <c r="AD568" s="53"/>
      <c r="AE568" s="85" t="str">
        <f>IFERROR(__xludf.DUMMYFUNCTION("INDEX(SPLIT(SUBSTITUTE(AF568,CHAR(10), """"),"",:""), MATCH(Z568, SPLIT(SUBSTITUTE(AF568,CHAR(10), """"),"",:""), 0) + 1)"),"#VALUE!")</f>
        <v>#VALUE!</v>
      </c>
      <c r="AF568" s="85"/>
      <c r="AG568" s="53"/>
      <c r="AH568" s="53"/>
      <c r="AI568" s="21"/>
      <c r="AJ568" s="84" t="s">
        <v>2520</v>
      </c>
      <c r="AK568" s="21"/>
      <c r="AL568" s="16">
        <v>0.0</v>
      </c>
      <c r="AM568" s="21"/>
      <c r="AN568" s="16">
        <v>0.0</v>
      </c>
      <c r="AO568" s="90"/>
      <c r="AP568" s="16">
        <v>0.0</v>
      </c>
      <c r="AQ568" s="16">
        <v>0.0</v>
      </c>
      <c r="AR568" s="39"/>
      <c r="AS568" s="81">
        <v>0.0</v>
      </c>
      <c r="AT568" s="81">
        <v>0.0</v>
      </c>
      <c r="AU568" s="39"/>
      <c r="AV568" s="7" t="s">
        <v>4134</v>
      </c>
      <c r="AW568" s="82"/>
      <c r="AX568" s="82"/>
      <c r="AY568" s="7"/>
      <c r="AZ568" s="7"/>
      <c r="BA568" s="7"/>
      <c r="BB568" s="7"/>
      <c r="BC568" s="7"/>
      <c r="BD568" s="7"/>
      <c r="BE568" s="7"/>
      <c r="BF568" s="7">
        <v>1.0E9</v>
      </c>
      <c r="BG568" s="82"/>
      <c r="BH568" s="82"/>
      <c r="BI568" s="82"/>
      <c r="BJ568" s="82"/>
      <c r="BK568" s="82"/>
      <c r="BL568" s="82"/>
      <c r="BM568" s="82"/>
      <c r="BN568" s="7"/>
      <c r="BO568" s="7">
        <v>2.0</v>
      </c>
      <c r="BP568" s="82"/>
      <c r="BQ568" s="7"/>
      <c r="BR568" s="7" t="s">
        <v>23</v>
      </c>
    </row>
    <row r="569">
      <c r="A569" s="16">
        <v>41.0</v>
      </c>
      <c r="B569" s="16" t="s">
        <v>577</v>
      </c>
      <c r="C569" s="53">
        <v>1.0</v>
      </c>
      <c r="D569" s="53" t="s">
        <v>577</v>
      </c>
      <c r="E569" s="7">
        <v>362.0</v>
      </c>
      <c r="F569" s="53"/>
      <c r="G569" s="7"/>
      <c r="H569" s="16">
        <v>1.0</v>
      </c>
      <c r="I569" s="16">
        <v>1.0</v>
      </c>
      <c r="J569" s="39" t="s">
        <v>4146</v>
      </c>
      <c r="K569" s="53"/>
      <c r="L569" s="53"/>
      <c r="M569" s="39" t="str">
        <f t="shared" si="1"/>
        <v>[https://collaborate.princeton.edu/en/publications/a-note-on-finding-the-bridges-of-a-graph Fleury's algorithm + Tarjan (1974)]</v>
      </c>
      <c r="N569" s="39" t="s">
        <v>4147</v>
      </c>
      <c r="O569" s="83">
        <v>1974.0</v>
      </c>
      <c r="P569" s="25" t="s">
        <v>4148</v>
      </c>
      <c r="Q569" s="82"/>
      <c r="R569" s="82"/>
      <c r="S569" s="82"/>
      <c r="T569" s="16">
        <v>0.0</v>
      </c>
      <c r="U569" s="16">
        <v>0.0</v>
      </c>
      <c r="V569" s="89">
        <f>IFERROR(__xludf.DUMMYFUNCTION("INDEX(SPLIT(SUBSTITUTE(W569,CHAR(10), """"),"",:""), MATCH(Z569, SPLIT(SUBSTITUTE(W569,CHAR(10), """"),"",:""), 0) + 1)"),7.0)</f>
        <v>7</v>
      </c>
      <c r="W569" s="85" t="s">
        <v>4149</v>
      </c>
      <c r="X569" s="39" t="s">
        <v>4146</v>
      </c>
      <c r="Y569" s="53" t="s">
        <v>2542</v>
      </c>
      <c r="Z569" s="53" t="str">
        <f t="array" ref="Z569">INDEX(Problems!J:J, MATCH(1, (Problems!B:B=B569)*1, 0))</f>
        <v>V</v>
      </c>
      <c r="AA569" s="53"/>
      <c r="AB569" s="53"/>
      <c r="AC569" s="53" t="s">
        <v>1813</v>
      </c>
      <c r="AD569" s="53" t="s">
        <v>1814</v>
      </c>
      <c r="AE569" s="85">
        <f>IFERROR(__xludf.DUMMYFUNCTION("INDEX(SPLIT(SUBSTITUTE(AF569,CHAR(10), """"),"",:""), MATCH(Z569, SPLIT(SUBSTITUTE(AF569,CHAR(10), """"),"",:""), 0) + 1)"),5.0)</f>
        <v>5</v>
      </c>
      <c r="AF569" s="85" t="s">
        <v>2022</v>
      </c>
      <c r="AG569" s="53" t="s">
        <v>92</v>
      </c>
      <c r="AH569" s="53" t="s">
        <v>4150</v>
      </c>
      <c r="AI569" s="21">
        <v>1.0</v>
      </c>
      <c r="AJ569" s="84">
        <v>0.0</v>
      </c>
      <c r="AK569" s="21"/>
      <c r="AL569" s="16">
        <v>0.0</v>
      </c>
      <c r="AM569" s="21"/>
      <c r="AN569" s="16">
        <v>0.0</v>
      </c>
      <c r="AO569" s="90"/>
      <c r="AP569" s="16">
        <v>0.0</v>
      </c>
      <c r="AQ569" s="16">
        <v>0.0</v>
      </c>
      <c r="AR569" s="39"/>
      <c r="AS569" s="81">
        <v>0.0</v>
      </c>
      <c r="AT569" s="81">
        <v>0.0</v>
      </c>
      <c r="AU569" s="39"/>
      <c r="AV569" s="7" t="s">
        <v>578</v>
      </c>
      <c r="AW569" s="82"/>
      <c r="AX569" s="82"/>
      <c r="AY569" s="7"/>
      <c r="AZ569" s="82"/>
      <c r="BA569" s="82"/>
      <c r="BB569" s="82"/>
      <c r="BC569" s="82"/>
      <c r="BD569" s="82"/>
      <c r="BE569" s="82"/>
      <c r="BF569" s="82"/>
      <c r="BG569" s="82"/>
      <c r="BH569" s="82"/>
      <c r="BI569" s="82"/>
      <c r="BJ569" s="82"/>
      <c r="BK569" s="82"/>
      <c r="BL569" s="82"/>
      <c r="BM569" s="82"/>
      <c r="BN569" s="7"/>
      <c r="BO569" s="7">
        <v>6.0</v>
      </c>
      <c r="BP569" s="82"/>
      <c r="BQ569" s="7"/>
      <c r="BR569" s="7" t="s">
        <v>23</v>
      </c>
    </row>
    <row r="570">
      <c r="A570" s="16">
        <v>41.0</v>
      </c>
      <c r="B570" s="16" t="s">
        <v>577</v>
      </c>
      <c r="C570" s="53">
        <v>2.0</v>
      </c>
      <c r="D570" s="53" t="s">
        <v>577</v>
      </c>
      <c r="E570" s="7">
        <v>363.0</v>
      </c>
      <c r="F570" s="53"/>
      <c r="G570" s="7"/>
      <c r="H570" s="16">
        <v>1.0</v>
      </c>
      <c r="I570" s="16">
        <v>1.0</v>
      </c>
      <c r="J570" s="39" t="s">
        <v>92</v>
      </c>
      <c r="K570" s="53" t="s">
        <v>4151</v>
      </c>
      <c r="L570" s="53" t="s">
        <v>4152</v>
      </c>
      <c r="M570" s="39" t="str">
        <f t="shared" si="1"/>
        <v>[- Hierholzer's algorithm (1873)]</v>
      </c>
      <c r="N570" s="39" t="s">
        <v>4153</v>
      </c>
      <c r="O570" s="83">
        <v>1873.0</v>
      </c>
      <c r="P570" s="16" t="s">
        <v>1937</v>
      </c>
      <c r="Q570" s="7">
        <v>3.0</v>
      </c>
      <c r="R570" s="7">
        <v>1.0</v>
      </c>
      <c r="S570" s="47" t="s">
        <v>4154</v>
      </c>
      <c r="T570" s="16">
        <v>1.0</v>
      </c>
      <c r="U570" s="16">
        <v>0.0</v>
      </c>
      <c r="V570" s="89">
        <f>IFERROR(__xludf.DUMMYFUNCTION("INDEX(SPLIT(SUBSTITUTE(W570,CHAR(10), """"),"",:""), MATCH(Z570, SPLIT(SUBSTITUTE(W570,CHAR(10), """"),"",:""), 0) + 1)"),5.0)</f>
        <v>5</v>
      </c>
      <c r="W570" s="85" t="s">
        <v>2185</v>
      </c>
      <c r="X570" s="39" t="s">
        <v>92</v>
      </c>
      <c r="Y570" s="53" t="s">
        <v>2542</v>
      </c>
      <c r="Z570" s="53" t="str">
        <f t="array" ref="Z570">INDEX(Problems!J:J, MATCH(1, (Problems!B:B=B570)*1, 0))</f>
        <v>V</v>
      </c>
      <c r="AA570" s="53"/>
      <c r="AB570" s="53"/>
      <c r="AC570" s="53" t="s">
        <v>1813</v>
      </c>
      <c r="AD570" s="53" t="s">
        <v>1814</v>
      </c>
      <c r="AE570" s="85">
        <f>IFERROR(__xludf.DUMMYFUNCTION("INDEX(SPLIT(SUBSTITUTE(AF570,CHAR(10), """"),"",:""), MATCH(Z570, SPLIT(SUBSTITUTE(AF570,CHAR(10), """"),"",:""), 0) + 1)"),5.0)</f>
        <v>5</v>
      </c>
      <c r="AF570" s="85" t="s">
        <v>2022</v>
      </c>
      <c r="AG570" s="53" t="s">
        <v>92</v>
      </c>
      <c r="AH570" s="53" t="s">
        <v>4150</v>
      </c>
      <c r="AI570" s="21">
        <v>1.0</v>
      </c>
      <c r="AJ570" s="84">
        <v>0.0</v>
      </c>
      <c r="AK570" s="21"/>
      <c r="AL570" s="16">
        <v>0.0</v>
      </c>
      <c r="AM570" s="21"/>
      <c r="AN570" s="16">
        <v>0.0</v>
      </c>
      <c r="AO570" s="90"/>
      <c r="AP570" s="16">
        <v>0.0</v>
      </c>
      <c r="AQ570" s="16">
        <v>0.0</v>
      </c>
      <c r="AR570" s="39"/>
      <c r="AS570" s="81">
        <v>0.0</v>
      </c>
      <c r="AT570" s="81">
        <v>0.0</v>
      </c>
      <c r="AU570" s="25" t="s">
        <v>4155</v>
      </c>
      <c r="AV570" s="7" t="s">
        <v>578</v>
      </c>
      <c r="AW570" s="82"/>
      <c r="AX570" s="82"/>
      <c r="AY570" s="7"/>
      <c r="AZ570" s="7"/>
      <c r="BA570" s="7"/>
      <c r="BB570" s="7"/>
      <c r="BC570" s="7"/>
      <c r="BD570" s="7"/>
      <c r="BE570" s="7"/>
      <c r="BF570" s="7">
        <v>1000.0</v>
      </c>
      <c r="BG570" s="7">
        <v>1.0</v>
      </c>
      <c r="BH570" s="7"/>
      <c r="BI570" s="7">
        <v>1000000.0</v>
      </c>
      <c r="BJ570" s="7">
        <v>1.0</v>
      </c>
      <c r="BK570" s="7"/>
      <c r="BL570" s="7">
        <v>1.0E9</v>
      </c>
      <c r="BM570" s="7">
        <v>1.0</v>
      </c>
      <c r="BN570" s="7"/>
      <c r="BO570" s="7">
        <v>6.0</v>
      </c>
      <c r="BP570" s="82"/>
      <c r="BQ570" s="7"/>
      <c r="BR570" s="7" t="s">
        <v>23</v>
      </c>
    </row>
    <row r="571">
      <c r="A571" s="16">
        <v>41.0</v>
      </c>
      <c r="B571" s="16" t="s">
        <v>577</v>
      </c>
      <c r="C571" s="53">
        <v>1.0</v>
      </c>
      <c r="D571" s="53" t="s">
        <v>577</v>
      </c>
      <c r="E571" s="7">
        <v>364.0</v>
      </c>
      <c r="F571" s="53"/>
      <c r="G571" s="7"/>
      <c r="H571" s="16">
        <v>1.0</v>
      </c>
      <c r="I571" s="16">
        <v>1.0</v>
      </c>
      <c r="J571" s="39" t="s">
        <v>4156</v>
      </c>
      <c r="K571" s="53"/>
      <c r="L571" s="53"/>
      <c r="M571" s="39" t="str">
        <f t="shared" si="1"/>
        <v>[https://www.cs.princeton.edu/courses/archive/spr10/cos423/handouts/NearOpt.pdf Fleury's algorithm + Thorup (2000)]</v>
      </c>
      <c r="N571" s="16" t="s">
        <v>4157</v>
      </c>
      <c r="O571" s="81">
        <v>2000.0</v>
      </c>
      <c r="P571" s="25" t="s">
        <v>3069</v>
      </c>
      <c r="Q571" s="82"/>
      <c r="R571" s="82"/>
      <c r="S571" s="82"/>
      <c r="T571" s="16">
        <v>0.0</v>
      </c>
      <c r="U571" s="16">
        <v>0.0</v>
      </c>
      <c r="V571" s="89">
        <f>IFERROR(__xludf.DUMMYFUNCTION("INDEX(SPLIT(SUBSTITUTE(W571,CHAR(10), """"),"",:""), MATCH(Z571, SPLIT(SUBSTITUTE(W571,CHAR(10), """"),"",:""), 0) + 1)"),5.03)</f>
        <v>5.03</v>
      </c>
      <c r="W571" s="85" t="s">
        <v>4158</v>
      </c>
      <c r="X571" s="16" t="s">
        <v>4159</v>
      </c>
      <c r="Y571" s="53" t="s">
        <v>2542</v>
      </c>
      <c r="Z571" s="53" t="str">
        <f t="array" ref="Z571">INDEX(Problems!J:J, MATCH(1, (Problems!B:B=B571)*1, 0))</f>
        <v>V</v>
      </c>
      <c r="AA571" s="53"/>
      <c r="AB571" s="53"/>
      <c r="AC571" s="53" t="s">
        <v>1813</v>
      </c>
      <c r="AD571" s="53" t="s">
        <v>1814</v>
      </c>
      <c r="AE571" s="85">
        <f>IFERROR(__xludf.DUMMYFUNCTION("INDEX(SPLIT(SUBSTITUTE(AF571,CHAR(10), """"),"",:""), MATCH(Z571, SPLIT(SUBSTITUTE(AF571,CHAR(10), """"),"",:""), 0) + 1)"),5.0)</f>
        <v>5</v>
      </c>
      <c r="AF571" s="85" t="s">
        <v>2022</v>
      </c>
      <c r="AG571" s="53" t="s">
        <v>92</v>
      </c>
      <c r="AH571" s="53" t="s">
        <v>4150</v>
      </c>
      <c r="AI571" s="21">
        <v>1.0</v>
      </c>
      <c r="AJ571" s="84">
        <v>0.0</v>
      </c>
      <c r="AK571" s="21"/>
      <c r="AL571" s="16">
        <v>0.0</v>
      </c>
      <c r="AM571" s="21"/>
      <c r="AN571" s="16">
        <v>0.0</v>
      </c>
      <c r="AO571" s="90"/>
      <c r="AP571" s="16">
        <v>0.0</v>
      </c>
      <c r="AQ571" s="16">
        <v>0.0</v>
      </c>
      <c r="AR571" s="39"/>
      <c r="AS571" s="81">
        <v>0.0</v>
      </c>
      <c r="AT571" s="81">
        <v>0.0</v>
      </c>
      <c r="AU571" s="39"/>
      <c r="AV571" s="7" t="s">
        <v>578</v>
      </c>
      <c r="AW571" s="82"/>
      <c r="AX571" s="82"/>
      <c r="AY571" s="7"/>
      <c r="AZ571" s="82"/>
      <c r="BA571" s="82"/>
      <c r="BB571" s="82"/>
      <c r="BC571" s="82"/>
      <c r="BD571" s="82"/>
      <c r="BE571" s="82"/>
      <c r="BF571" s="82"/>
      <c r="BG571" s="82"/>
      <c r="BH571" s="82"/>
      <c r="BI571" s="82"/>
      <c r="BJ571" s="82"/>
      <c r="BK571" s="82"/>
      <c r="BL571" s="82"/>
      <c r="BM571" s="82"/>
      <c r="BN571" s="7"/>
      <c r="BO571" s="7">
        <v>6.0</v>
      </c>
      <c r="BP571" s="82"/>
      <c r="BQ571" s="7"/>
      <c r="BR571" s="7" t="s">
        <v>23</v>
      </c>
    </row>
    <row r="572">
      <c r="A572" s="16">
        <v>42.0</v>
      </c>
      <c r="B572" s="16" t="s">
        <v>580</v>
      </c>
      <c r="C572" s="53">
        <v>2.0</v>
      </c>
      <c r="D572" s="53" t="s">
        <v>580</v>
      </c>
      <c r="E572" s="7">
        <v>365.0</v>
      </c>
      <c r="F572" s="53"/>
      <c r="G572" s="7"/>
      <c r="H572" s="16">
        <v>1.0</v>
      </c>
      <c r="I572" s="81">
        <v>1.0</v>
      </c>
      <c r="J572" s="39" t="s">
        <v>115</v>
      </c>
      <c r="K572" s="53" t="s">
        <v>4151</v>
      </c>
      <c r="L572" s="53" t="s">
        <v>4160</v>
      </c>
      <c r="M572" s="39" t="str">
        <f t="shared" si="1"/>
        <v>[- Naive algorithm (1965)]</v>
      </c>
      <c r="N572" s="39" t="s">
        <v>2048</v>
      </c>
      <c r="O572" s="83">
        <v>1965.0</v>
      </c>
      <c r="P572" s="16" t="s">
        <v>1937</v>
      </c>
      <c r="Q572" s="7">
        <v>1.0</v>
      </c>
      <c r="R572" s="7">
        <v>1.0</v>
      </c>
      <c r="S572" s="47" t="s">
        <v>4161</v>
      </c>
      <c r="T572" s="16">
        <v>1.0</v>
      </c>
      <c r="U572" s="16">
        <v>0.0</v>
      </c>
      <c r="V572" s="89">
        <f>IFERROR(__xludf.DUMMYFUNCTION("INDEX(SPLIT(SUBSTITUTE(W572,CHAR(10), """"),"",:""), MATCH(Z572, SPLIT(SUBSTITUTE(W572,CHAR(10), """"),"",:""), 0) + 1)"),5.0)</f>
        <v>5</v>
      </c>
      <c r="W572" s="85" t="s">
        <v>1938</v>
      </c>
      <c r="X572" s="39" t="s">
        <v>115</v>
      </c>
      <c r="Y572" s="53" t="s">
        <v>583</v>
      </c>
      <c r="Z572" s="53" t="str">
        <f t="array" ref="Z572">INDEX(Problems!J:J, MATCH(1, (Problems!B:B=B572)*1, 0))</f>
        <v>n</v>
      </c>
      <c r="AA572" s="53"/>
      <c r="AB572" s="53"/>
      <c r="AC572" s="53" t="s">
        <v>2312</v>
      </c>
      <c r="AD572" s="53" t="s">
        <v>1814</v>
      </c>
      <c r="AE572" s="85">
        <f>IFERROR(__xludf.DUMMYFUNCTION("INDEX(SPLIT(SUBSTITUTE(AF572,CHAR(10), """"),"",:""), MATCH(Z572, SPLIT(SUBSTITUTE(AF572,CHAR(10), """"),"",:""), 0) + 1)"),1.0)</f>
        <v>1</v>
      </c>
      <c r="AF572" s="85" t="s">
        <v>1774</v>
      </c>
      <c r="AG572" s="53" t="s">
        <v>939</v>
      </c>
      <c r="AH572" s="53" t="s">
        <v>4162</v>
      </c>
      <c r="AI572" s="84">
        <v>1.0</v>
      </c>
      <c r="AJ572" s="84">
        <v>0.0</v>
      </c>
      <c r="AK572" s="87"/>
      <c r="AL572" s="81">
        <v>0.0</v>
      </c>
      <c r="AM572" s="87"/>
      <c r="AN572" s="81">
        <v>0.0</v>
      </c>
      <c r="AO572" s="90"/>
      <c r="AP572" s="81">
        <v>0.0</v>
      </c>
      <c r="AQ572" s="81">
        <v>0.0</v>
      </c>
      <c r="AR572" s="39"/>
      <c r="AS572" s="81">
        <v>0.0</v>
      </c>
      <c r="AT572" s="81">
        <v>0.0</v>
      </c>
      <c r="AU572" s="82"/>
      <c r="AV572" s="7" t="s">
        <v>581</v>
      </c>
      <c r="AW572" s="82"/>
      <c r="AX572" s="82"/>
      <c r="AY572" s="7"/>
      <c r="AZ572" s="7"/>
      <c r="BA572" s="7"/>
      <c r="BB572" s="7"/>
      <c r="BC572" s="7"/>
      <c r="BD572" s="7"/>
      <c r="BE572" s="7"/>
      <c r="BF572" s="7">
        <v>1000000.0</v>
      </c>
      <c r="BG572" s="7">
        <v>1.0</v>
      </c>
      <c r="BH572" s="7"/>
      <c r="BI572" s="7">
        <v>1.0E12</v>
      </c>
      <c r="BJ572" s="7">
        <v>1.0</v>
      </c>
      <c r="BK572" s="7"/>
      <c r="BL572" s="7">
        <v>1.0E18</v>
      </c>
      <c r="BM572" s="7">
        <v>1.0</v>
      </c>
      <c r="BN572" s="7"/>
      <c r="BO572" s="7">
        <v>4.0</v>
      </c>
      <c r="BP572" s="82"/>
      <c r="BQ572" s="7"/>
      <c r="BR572" s="7" t="s">
        <v>585</v>
      </c>
    </row>
    <row r="573">
      <c r="A573" s="16">
        <v>42.0</v>
      </c>
      <c r="B573" s="16" t="s">
        <v>580</v>
      </c>
      <c r="C573" s="53">
        <v>2.0</v>
      </c>
      <c r="D573" s="53" t="s">
        <v>580</v>
      </c>
      <c r="E573" s="7">
        <v>366.0</v>
      </c>
      <c r="F573" s="53"/>
      <c r="G573" s="7"/>
      <c r="H573" s="16">
        <v>1.0</v>
      </c>
      <c r="I573" s="81">
        <v>1.0</v>
      </c>
      <c r="J573" s="39" t="s">
        <v>1788</v>
      </c>
      <c r="K573" s="53" t="s">
        <v>4151</v>
      </c>
      <c r="L573" s="53" t="s">
        <v>4160</v>
      </c>
      <c r="M573" s="39" t="str">
        <f t="shared" si="1"/>
        <v>[https://www.ams.org/journals/mcom/1965-19-090/S0025-5718-1965-0178586-1/S0025-5718-1965-0178586-1.pdf Cooley–Tukey algorithm (1965)]</v>
      </c>
      <c r="N573" s="39" t="s">
        <v>4163</v>
      </c>
      <c r="O573" s="81">
        <v>1965.0</v>
      </c>
      <c r="P573" s="17" t="s">
        <v>4164</v>
      </c>
      <c r="Q573" s="7">
        <v>3.0</v>
      </c>
      <c r="R573" s="7">
        <v>0.0</v>
      </c>
      <c r="S573" s="47" t="s">
        <v>4164</v>
      </c>
      <c r="T573" s="16">
        <v>1.0</v>
      </c>
      <c r="U573" s="16" t="s">
        <v>1952</v>
      </c>
      <c r="V573" s="89">
        <f>IFERROR(__xludf.DUMMYFUNCTION("INDEX(SPLIT(SUBSTITUTE(W573,CHAR(10), """"),"",:""), MATCH(Z573, SPLIT(SUBSTITUTE(W573,CHAR(10), """"),"",:""), 0) + 1)"),4.0)</f>
        <v>4</v>
      </c>
      <c r="W573" s="85" t="s">
        <v>1791</v>
      </c>
      <c r="X573" s="16" t="s">
        <v>1953</v>
      </c>
      <c r="Y573" s="53" t="s">
        <v>583</v>
      </c>
      <c r="Z573" s="53" t="str">
        <f t="array" ref="Z573">INDEX(Problems!J:J, MATCH(1, (Problems!B:B=B573)*1, 0))</f>
        <v>n</v>
      </c>
      <c r="AA573" s="53"/>
      <c r="AB573" s="53"/>
      <c r="AC573" s="53" t="s">
        <v>2312</v>
      </c>
      <c r="AD573" s="53" t="s">
        <v>1814</v>
      </c>
      <c r="AE573" s="85">
        <f>IFERROR(__xludf.DUMMYFUNCTION("INDEX(SPLIT(SUBSTITUTE(AF573,CHAR(10), """"),"",:""), MATCH(Z573, SPLIT(SUBSTITUTE(AF573,CHAR(10), """"),"",:""), 0) + 1)"),3.0)</f>
        <v>3</v>
      </c>
      <c r="AF573" s="85" t="s">
        <v>1763</v>
      </c>
      <c r="AG573" s="53" t="s">
        <v>2625</v>
      </c>
      <c r="AH573" s="53" t="s">
        <v>4165</v>
      </c>
      <c r="AI573" s="84">
        <v>1.0</v>
      </c>
      <c r="AJ573" s="84">
        <v>0.0</v>
      </c>
      <c r="AK573" s="87"/>
      <c r="AL573" s="81">
        <v>0.0</v>
      </c>
      <c r="AM573" s="87"/>
      <c r="AN573" s="81">
        <v>0.0</v>
      </c>
      <c r="AO573" s="90"/>
      <c r="AP573" s="81">
        <v>0.0</v>
      </c>
      <c r="AQ573" s="81">
        <v>0.0</v>
      </c>
      <c r="AR573" s="39"/>
      <c r="AS573" s="81">
        <v>0.0</v>
      </c>
      <c r="AT573" s="81">
        <v>0.0</v>
      </c>
      <c r="AU573" s="91" t="s">
        <v>4166</v>
      </c>
      <c r="AV573" s="7" t="s">
        <v>581</v>
      </c>
      <c r="AW573" s="82"/>
      <c r="AX573" s="82"/>
      <c r="AY573" s="7"/>
      <c r="AZ573" s="7"/>
      <c r="BA573" s="7"/>
      <c r="BB573" s="7"/>
      <c r="BC573" s="7"/>
      <c r="BD573" s="7"/>
      <c r="BE573" s="7"/>
      <c r="BF573" s="7">
        <v>9965.0</v>
      </c>
      <c r="BG573" s="82">
        <f>BF572/BF573</f>
        <v>100.3512293</v>
      </c>
      <c r="BH573" s="82">
        <f>POW(BG573, 1/($O573-1940))-1</f>
        <v>0.2024330587</v>
      </c>
      <c r="BI573" s="82">
        <f>1000000*LOG(1000000,2)</f>
        <v>19931568.57</v>
      </c>
      <c r="BJ573" s="82">
        <f>BI572/BI573</f>
        <v>50171.66594</v>
      </c>
      <c r="BK573" s="82">
        <f>POW(BJ573, 1/($O573-1940))-1</f>
        <v>0.5417655625</v>
      </c>
      <c r="BL573" s="82">
        <f>1000000000*LOG(1000000000,2)</f>
        <v>29897352854</v>
      </c>
      <c r="BM573" s="82">
        <f>BL572/BL573</f>
        <v>33447777.3</v>
      </c>
      <c r="BN573" s="82">
        <f>POW(BM573, 1/($O573-1940))-1</f>
        <v>0.9997453266</v>
      </c>
      <c r="BO573" s="7">
        <v>4.0</v>
      </c>
      <c r="BP573" s="82"/>
      <c r="BQ573" s="7"/>
      <c r="BR573" s="7" t="s">
        <v>585</v>
      </c>
    </row>
    <row r="574">
      <c r="A574" s="16">
        <v>42.0</v>
      </c>
      <c r="B574" s="16" t="s">
        <v>580</v>
      </c>
      <c r="C574" s="53">
        <v>2.0</v>
      </c>
      <c r="D574" s="53" t="s">
        <v>580</v>
      </c>
      <c r="E574" s="7">
        <v>367.0</v>
      </c>
      <c r="F574" s="53"/>
      <c r="G574" s="7"/>
      <c r="H574" s="16">
        <v>1.0</v>
      </c>
      <c r="I574" s="81">
        <v>1.0</v>
      </c>
      <c r="J574" s="39" t="s">
        <v>1788</v>
      </c>
      <c r="K574" s="53" t="s">
        <v>4151</v>
      </c>
      <c r="L574" s="53" t="s">
        <v>4160</v>
      </c>
      <c r="M574" s="39" t="str">
        <f t="shared" si="1"/>
        <v>[https://ieeexplore.ieee.org/document/1162805 Rader–Brenner algorithm (1976)]</v>
      </c>
      <c r="N574" s="39" t="s">
        <v>4167</v>
      </c>
      <c r="O574" s="81">
        <v>1976.0</v>
      </c>
      <c r="P574" s="28" t="s">
        <v>4168</v>
      </c>
      <c r="Q574" s="82"/>
      <c r="R574" s="82"/>
      <c r="S574" s="82"/>
      <c r="T574" s="16">
        <v>0.0</v>
      </c>
      <c r="U574" s="16">
        <v>0.0</v>
      </c>
      <c r="V574" s="89">
        <f>IFERROR(__xludf.DUMMYFUNCTION("INDEX(SPLIT(SUBSTITUTE(W574,CHAR(10), """"),"",:""), MATCH(Z574, SPLIT(SUBSTITUTE(W574,CHAR(10), """"),"",:""), 0) + 1)"),4.0)</f>
        <v>4</v>
      </c>
      <c r="W574" s="85" t="s">
        <v>1791</v>
      </c>
      <c r="X574" s="16" t="s">
        <v>1953</v>
      </c>
      <c r="Y574" s="53" t="s">
        <v>583</v>
      </c>
      <c r="Z574" s="53" t="str">
        <f t="array" ref="Z574">INDEX(Problems!J:J, MATCH(1, (Problems!B:B=B574)*1, 0))</f>
        <v>n</v>
      </c>
      <c r="AA574" s="53"/>
      <c r="AB574" s="53"/>
      <c r="AC574" s="53" t="s">
        <v>2312</v>
      </c>
      <c r="AD574" s="53" t="s">
        <v>1814</v>
      </c>
      <c r="AE574" s="85">
        <f>IFERROR(__xludf.DUMMYFUNCTION("INDEX(SPLIT(SUBSTITUTE(AF574,CHAR(10), """"),"",:""), MATCH(Z574, SPLIT(SUBSTITUTE(AF574,CHAR(10), """"),"",:""), 0) + 1)"),3.0)</f>
        <v>3</v>
      </c>
      <c r="AF574" s="156" t="s">
        <v>1763</v>
      </c>
      <c r="AG574" s="53" t="s">
        <v>2625</v>
      </c>
      <c r="AH574" s="53" t="s">
        <v>4165</v>
      </c>
      <c r="AI574" s="151">
        <v>1.0</v>
      </c>
      <c r="AJ574" s="84">
        <v>0.0</v>
      </c>
      <c r="AK574" s="87"/>
      <c r="AL574" s="81">
        <v>0.0</v>
      </c>
      <c r="AM574" s="87"/>
      <c r="AN574" s="81">
        <v>0.0</v>
      </c>
      <c r="AO574" s="90"/>
      <c r="AP574" s="81">
        <v>0.0</v>
      </c>
      <c r="AQ574" s="81">
        <v>0.0</v>
      </c>
      <c r="AR574" s="39"/>
      <c r="AS574" s="81">
        <v>0.0</v>
      </c>
      <c r="AT574" s="81">
        <v>0.0</v>
      </c>
      <c r="AU574" s="82"/>
      <c r="AV574" s="7" t="s">
        <v>581</v>
      </c>
      <c r="AW574" s="82"/>
      <c r="AX574" s="82"/>
      <c r="AY574" s="7"/>
      <c r="AZ574" s="7"/>
      <c r="BA574" s="7"/>
      <c r="BB574" s="7"/>
      <c r="BC574" s="7"/>
      <c r="BD574" s="7"/>
      <c r="BE574" s="7"/>
      <c r="BF574" s="7">
        <v>9965.0</v>
      </c>
      <c r="BG574" s="82"/>
      <c r="BH574" s="82"/>
      <c r="BI574" s="82"/>
      <c r="BJ574" s="82"/>
      <c r="BK574" s="82"/>
      <c r="BL574" s="82"/>
      <c r="BM574" s="82"/>
      <c r="BN574" s="7"/>
      <c r="BO574" s="7">
        <v>4.0</v>
      </c>
      <c r="BP574" s="82"/>
      <c r="BQ574" s="7"/>
      <c r="BR574" s="7" t="s">
        <v>585</v>
      </c>
    </row>
    <row r="575">
      <c r="A575" s="16">
        <v>42.0</v>
      </c>
      <c r="B575" s="16" t="s">
        <v>580</v>
      </c>
      <c r="C575" s="53">
        <v>2.0</v>
      </c>
      <c r="D575" s="53" t="s">
        <v>580</v>
      </c>
      <c r="E575" s="7">
        <v>368.0</v>
      </c>
      <c r="F575" s="53"/>
      <c r="G575" s="7"/>
      <c r="H575" s="16">
        <v>1.0</v>
      </c>
      <c r="I575" s="81">
        <v>1.0</v>
      </c>
      <c r="J575" s="39" t="s">
        <v>1788</v>
      </c>
      <c r="K575" s="53" t="s">
        <v>4151</v>
      </c>
      <c r="L575" s="53" t="s">
        <v>4160</v>
      </c>
      <c r="M575" s="39" t="str">
        <f t="shared" si="1"/>
        <v>[https://ieeexplore.ieee.org/document/1163036/ Bruun's FFT algorithm (1978)]</v>
      </c>
      <c r="N575" s="39" t="s">
        <v>4169</v>
      </c>
      <c r="O575" s="81">
        <v>1978.0</v>
      </c>
      <c r="P575" s="28" t="s">
        <v>4170</v>
      </c>
      <c r="Q575" s="82"/>
      <c r="R575" s="82"/>
      <c r="S575" s="82"/>
      <c r="T575" s="16">
        <v>0.0</v>
      </c>
      <c r="U575" s="16">
        <v>0.0</v>
      </c>
      <c r="V575" s="89">
        <f>IFERROR(__xludf.DUMMYFUNCTION("INDEX(SPLIT(SUBSTITUTE(W575,CHAR(10), """"),"",:""), MATCH(Z575, SPLIT(SUBSTITUTE(W575,CHAR(10), """"),"",:""), 0) + 1)"),4.0)</f>
        <v>4</v>
      </c>
      <c r="W575" s="85" t="s">
        <v>1791</v>
      </c>
      <c r="X575" s="16" t="s">
        <v>1953</v>
      </c>
      <c r="Y575" s="53" t="s">
        <v>583</v>
      </c>
      <c r="Z575" s="53" t="str">
        <f t="array" ref="Z575">INDEX(Problems!J:J, MATCH(1, (Problems!B:B=B575)*1, 0))</f>
        <v>n</v>
      </c>
      <c r="AA575" s="53"/>
      <c r="AB575" s="53"/>
      <c r="AC575" s="53" t="s">
        <v>2312</v>
      </c>
      <c r="AD575" s="53" t="s">
        <v>1814</v>
      </c>
      <c r="AE575" s="85">
        <f>IFERROR(__xludf.DUMMYFUNCTION("INDEX(SPLIT(SUBSTITUTE(AF575,CHAR(10), """"),"",:""), MATCH(Z575, SPLIT(SUBSTITUTE(AF575,CHAR(10), """"),"",:""), 0) + 1)"),3.0)</f>
        <v>3</v>
      </c>
      <c r="AF575" s="85" t="s">
        <v>1763</v>
      </c>
      <c r="AG575" s="53" t="s">
        <v>2625</v>
      </c>
      <c r="AH575" s="53" t="s">
        <v>4171</v>
      </c>
      <c r="AI575" s="84">
        <v>1.0</v>
      </c>
      <c r="AJ575" s="84">
        <v>0.0</v>
      </c>
      <c r="AK575" s="87"/>
      <c r="AL575" s="81">
        <v>0.0</v>
      </c>
      <c r="AM575" s="87"/>
      <c r="AN575" s="81">
        <v>0.0</v>
      </c>
      <c r="AO575" s="90"/>
      <c r="AP575" s="81">
        <v>0.0</v>
      </c>
      <c r="AQ575" s="81">
        <v>0.0</v>
      </c>
      <c r="AR575" s="39"/>
      <c r="AS575" s="81">
        <v>0.0</v>
      </c>
      <c r="AT575" s="81">
        <v>0.0</v>
      </c>
      <c r="AU575" s="82"/>
      <c r="AV575" s="7" t="s">
        <v>581</v>
      </c>
      <c r="AW575" s="82"/>
      <c r="AX575" s="82"/>
      <c r="AY575" s="7"/>
      <c r="AZ575" s="7"/>
      <c r="BA575" s="7"/>
      <c r="BB575" s="7"/>
      <c r="BC575" s="7"/>
      <c r="BD575" s="7"/>
      <c r="BE575" s="7"/>
      <c r="BF575" s="7">
        <v>9965.0</v>
      </c>
      <c r="BG575" s="82"/>
      <c r="BH575" s="82"/>
      <c r="BI575" s="82"/>
      <c r="BJ575" s="82"/>
      <c r="BK575" s="82"/>
      <c r="BL575" s="82"/>
      <c r="BM575" s="82"/>
      <c r="BN575" s="7"/>
      <c r="BO575" s="7">
        <v>4.0</v>
      </c>
      <c r="BP575" s="82"/>
      <c r="BQ575" s="7"/>
      <c r="BR575" s="7" t="s">
        <v>585</v>
      </c>
    </row>
    <row r="576">
      <c r="A576" s="16">
        <v>42.0</v>
      </c>
      <c r="B576" s="16" t="s">
        <v>580</v>
      </c>
      <c r="C576" s="53">
        <v>2.0</v>
      </c>
      <c r="D576" s="53" t="s">
        <v>580</v>
      </c>
      <c r="E576" s="7">
        <v>369.0</v>
      </c>
      <c r="F576" s="53"/>
      <c r="G576" s="7"/>
      <c r="H576" s="16">
        <v>1.0</v>
      </c>
      <c r="I576" s="81">
        <v>1.0</v>
      </c>
      <c r="J576" s="39" t="s">
        <v>1788</v>
      </c>
      <c r="K576" s="53" t="s">
        <v>4151</v>
      </c>
      <c r="L576" s="53" t="s">
        <v>4160</v>
      </c>
      <c r="M576" s="39" t="str">
        <f t="shared" si="1"/>
        <v>[https://dl.acm.org/citation.cfm?id=1476610 Yavne Split Radix FFT algorithm (1968)]</v>
      </c>
      <c r="N576" s="39" t="s">
        <v>4172</v>
      </c>
      <c r="O576" s="81">
        <v>1968.0</v>
      </c>
      <c r="P576" s="28" t="s">
        <v>4173</v>
      </c>
      <c r="Q576" s="82"/>
      <c r="R576" s="82"/>
      <c r="S576" s="82"/>
      <c r="T576" s="16">
        <v>0.0</v>
      </c>
      <c r="U576" s="16">
        <v>0.0</v>
      </c>
      <c r="V576" s="89">
        <f>IFERROR(__xludf.DUMMYFUNCTION("INDEX(SPLIT(SUBSTITUTE(W576,CHAR(10), """"),"",:""), MATCH(Z576, SPLIT(SUBSTITUTE(W576,CHAR(10), """"),"",:""), 0) + 1)"),4.0)</f>
        <v>4</v>
      </c>
      <c r="W576" s="85" t="s">
        <v>1791</v>
      </c>
      <c r="X576" s="16" t="s">
        <v>1953</v>
      </c>
      <c r="Y576" s="53" t="s">
        <v>583</v>
      </c>
      <c r="Z576" s="53" t="str">
        <f t="array" ref="Z576">INDEX(Problems!J:J, MATCH(1, (Problems!B:B=B576)*1, 0))</f>
        <v>n</v>
      </c>
      <c r="AA576" s="53"/>
      <c r="AB576" s="53"/>
      <c r="AC576" s="53" t="s">
        <v>2312</v>
      </c>
      <c r="AD576" s="53" t="s">
        <v>1814</v>
      </c>
      <c r="AE576" s="85">
        <f>IFERROR(__xludf.DUMMYFUNCTION("INDEX(SPLIT(SUBSTITUTE(AF576,CHAR(10), """"),"",:""), MATCH(Z576, SPLIT(SUBSTITUTE(AF576,CHAR(10), """"),"",:""), 0) + 1)"),3.0)</f>
        <v>3</v>
      </c>
      <c r="AF576" s="85" t="s">
        <v>1763</v>
      </c>
      <c r="AG576" s="53" t="s">
        <v>2625</v>
      </c>
      <c r="AH576" s="53" t="s">
        <v>4165</v>
      </c>
      <c r="AI576" s="151">
        <v>1.0</v>
      </c>
      <c r="AJ576" s="84">
        <v>0.0</v>
      </c>
      <c r="AK576" s="87"/>
      <c r="AL576" s="81">
        <v>0.0</v>
      </c>
      <c r="AM576" s="87"/>
      <c r="AN576" s="81">
        <v>0.0</v>
      </c>
      <c r="AO576" s="90"/>
      <c r="AP576" s="81">
        <v>0.0</v>
      </c>
      <c r="AQ576" s="81">
        <v>0.0</v>
      </c>
      <c r="AR576" s="39"/>
      <c r="AS576" s="81">
        <v>0.0</v>
      </c>
      <c r="AT576" s="81">
        <v>0.0</v>
      </c>
      <c r="AU576" s="82"/>
      <c r="AV576" s="7" t="s">
        <v>581</v>
      </c>
      <c r="AW576" s="82"/>
      <c r="AX576" s="82"/>
      <c r="AY576" s="7"/>
      <c r="AZ576" s="7"/>
      <c r="BA576" s="7"/>
      <c r="BB576" s="7"/>
      <c r="BC576" s="7"/>
      <c r="BD576" s="7"/>
      <c r="BE576" s="7"/>
      <c r="BF576" s="7">
        <v>9965.0</v>
      </c>
      <c r="BG576" s="82"/>
      <c r="BH576" s="82"/>
      <c r="BI576" s="82"/>
      <c r="BJ576" s="82"/>
      <c r="BK576" s="82"/>
      <c r="BL576" s="82"/>
      <c r="BM576" s="82"/>
      <c r="BN576" s="7"/>
      <c r="BO576" s="7">
        <v>4.0</v>
      </c>
      <c r="BP576" s="82"/>
      <c r="BQ576" s="7"/>
      <c r="BR576" s="7" t="s">
        <v>585</v>
      </c>
    </row>
    <row r="577">
      <c r="A577" s="16">
        <v>42.0</v>
      </c>
      <c r="B577" s="16" t="s">
        <v>580</v>
      </c>
      <c r="C577" s="53">
        <v>2.0</v>
      </c>
      <c r="D577" s="53" t="s">
        <v>580</v>
      </c>
      <c r="E577" s="7">
        <v>370.0</v>
      </c>
      <c r="F577" s="53"/>
      <c r="G577" s="7"/>
      <c r="H577" s="16">
        <v>1.0</v>
      </c>
      <c r="I577" s="81">
        <v>1.0</v>
      </c>
      <c r="J577" s="39" t="s">
        <v>1788</v>
      </c>
      <c r="K577" s="53" t="s">
        <v>4151</v>
      </c>
      <c r="L577" s="53" t="s">
        <v>4160</v>
      </c>
      <c r="M577" s="39" t="str">
        <f t="shared" si="1"/>
        <v>[http://cis.rit.edu/class/simg716/FFT_Fun_Profit.pdf Gentleman; Morven and Gordon Sande radix-4 algorithm (1966)]</v>
      </c>
      <c r="N577" s="39" t="s">
        <v>4174</v>
      </c>
      <c r="O577" s="81">
        <v>1966.0</v>
      </c>
      <c r="P577" s="28" t="s">
        <v>4175</v>
      </c>
      <c r="Q577" s="82"/>
      <c r="R577" s="82"/>
      <c r="S577" s="82"/>
      <c r="T577" s="16">
        <v>0.0</v>
      </c>
      <c r="U577" s="16">
        <v>0.0</v>
      </c>
      <c r="V577" s="89">
        <f>IFERROR(__xludf.DUMMYFUNCTION("INDEX(SPLIT(SUBSTITUTE(W577,CHAR(10), """"),"",:""), MATCH(Z577, SPLIT(SUBSTITUTE(W577,CHAR(10), """"),"",:""), 0) + 1)"),4.0)</f>
        <v>4</v>
      </c>
      <c r="W577" s="85" t="s">
        <v>1791</v>
      </c>
      <c r="X577" s="16" t="s">
        <v>1953</v>
      </c>
      <c r="Y577" s="53" t="s">
        <v>583</v>
      </c>
      <c r="Z577" s="53" t="str">
        <f t="array" ref="Z577">INDEX(Problems!J:J, MATCH(1, (Problems!B:B=B577)*1, 0))</f>
        <v>n</v>
      </c>
      <c r="AA577" s="53"/>
      <c r="AB577" s="53"/>
      <c r="AC577" s="53" t="s">
        <v>2312</v>
      </c>
      <c r="AD577" s="53" t="s">
        <v>1814</v>
      </c>
      <c r="AE577" s="85">
        <f>IFERROR(__xludf.DUMMYFUNCTION("INDEX(SPLIT(SUBSTITUTE(AF577,CHAR(10), """"),"",:""), MATCH(Z577, SPLIT(SUBSTITUTE(AF577,CHAR(10), """"),"",:""), 0) + 1)"),3.0)</f>
        <v>3</v>
      </c>
      <c r="AF577" s="85" t="s">
        <v>1763</v>
      </c>
      <c r="AG577" s="53" t="s">
        <v>2625</v>
      </c>
      <c r="AH577" s="53" t="s">
        <v>4165</v>
      </c>
      <c r="AI577" s="151">
        <v>1.0</v>
      </c>
      <c r="AJ577" s="84">
        <v>0.0</v>
      </c>
      <c r="AK577" s="87"/>
      <c r="AL577" s="81">
        <v>0.0</v>
      </c>
      <c r="AM577" s="87"/>
      <c r="AN577" s="81">
        <v>0.0</v>
      </c>
      <c r="AO577" s="90"/>
      <c r="AP577" s="81">
        <v>0.0</v>
      </c>
      <c r="AQ577" s="81">
        <v>0.0</v>
      </c>
      <c r="AR577" s="39"/>
      <c r="AS577" s="81">
        <v>0.0</v>
      </c>
      <c r="AT577" s="81">
        <v>0.0</v>
      </c>
      <c r="AU577" s="82"/>
      <c r="AV577" s="7" t="s">
        <v>581</v>
      </c>
      <c r="AW577" s="82"/>
      <c r="AX577" s="82"/>
      <c r="AY577" s="7"/>
      <c r="AZ577" s="7"/>
      <c r="BA577" s="7"/>
      <c r="BB577" s="7"/>
      <c r="BC577" s="7"/>
      <c r="BD577" s="7"/>
      <c r="BE577" s="7"/>
      <c r="BF577" s="7">
        <v>9965.0</v>
      </c>
      <c r="BG577" s="82"/>
      <c r="BH577" s="82"/>
      <c r="BI577" s="82"/>
      <c r="BJ577" s="82"/>
      <c r="BK577" s="82"/>
      <c r="BL577" s="82"/>
      <c r="BM577" s="82"/>
      <c r="BN577" s="7"/>
      <c r="BO577" s="7">
        <v>4.0</v>
      </c>
      <c r="BP577" s="82"/>
      <c r="BQ577" s="7"/>
      <c r="BR577" s="7" t="s">
        <v>585</v>
      </c>
    </row>
    <row r="578">
      <c r="A578" s="16">
        <v>42.0</v>
      </c>
      <c r="B578" s="16" t="s">
        <v>580</v>
      </c>
      <c r="C578" s="53">
        <v>2.0</v>
      </c>
      <c r="D578" s="53" t="s">
        <v>580</v>
      </c>
      <c r="E578" s="7">
        <v>371.0</v>
      </c>
      <c r="F578" s="53"/>
      <c r="G578" s="7"/>
      <c r="H578" s="16">
        <v>1.0</v>
      </c>
      <c r="I578" s="81">
        <v>1.0</v>
      </c>
      <c r="J578" s="39" t="s">
        <v>1788</v>
      </c>
      <c r="K578" s="53" t="s">
        <v>4151</v>
      </c>
      <c r="L578" s="53" t="s">
        <v>4160</v>
      </c>
      <c r="M578" s="39" t="str">
        <f t="shared" si="1"/>
        <v>[https://ieeexplore.ieee.org/document/1162043 Bergland; Glenn radix-8 algorithm (1969)]</v>
      </c>
      <c r="N578" s="39" t="s">
        <v>4176</v>
      </c>
      <c r="O578" s="81">
        <v>1969.0</v>
      </c>
      <c r="P578" s="28" t="s">
        <v>4177</v>
      </c>
      <c r="Q578" s="82"/>
      <c r="R578" s="82"/>
      <c r="S578" s="82"/>
      <c r="T578" s="16">
        <v>0.0</v>
      </c>
      <c r="U578" s="16">
        <v>0.0</v>
      </c>
      <c r="V578" s="89">
        <f>IFERROR(__xludf.DUMMYFUNCTION("INDEX(SPLIT(SUBSTITUTE(W578,CHAR(10), """"),"",:""), MATCH(Z578, SPLIT(SUBSTITUTE(W578,CHAR(10), """"),"",:""), 0) + 1)"),4.0)</f>
        <v>4</v>
      </c>
      <c r="W578" s="85" t="s">
        <v>1791</v>
      </c>
      <c r="X578" s="16" t="s">
        <v>1953</v>
      </c>
      <c r="Y578" s="53" t="s">
        <v>583</v>
      </c>
      <c r="Z578" s="53" t="str">
        <f t="array" ref="Z578">INDEX(Problems!J:J, MATCH(1, (Problems!B:B=B578)*1, 0))</f>
        <v>n</v>
      </c>
      <c r="AA578" s="53"/>
      <c r="AB578" s="53"/>
      <c r="AC578" s="53" t="s">
        <v>2312</v>
      </c>
      <c r="AD578" s="53" t="s">
        <v>1814</v>
      </c>
      <c r="AE578" s="85">
        <f>IFERROR(__xludf.DUMMYFUNCTION("INDEX(SPLIT(SUBSTITUTE(AF578,CHAR(10), """"),"",:""), MATCH(Z578, SPLIT(SUBSTITUTE(AF578,CHAR(10), """"),"",:""), 0) + 1)"),3.0)</f>
        <v>3</v>
      </c>
      <c r="AF578" s="85" t="s">
        <v>1763</v>
      </c>
      <c r="AG578" s="53" t="s">
        <v>35</v>
      </c>
      <c r="AH578" s="121" t="s">
        <v>4177</v>
      </c>
      <c r="AI578" s="84">
        <v>0.0</v>
      </c>
      <c r="AJ578" s="84">
        <v>1.0</v>
      </c>
      <c r="AK578" s="87"/>
      <c r="AL578" s="81">
        <v>0.0</v>
      </c>
      <c r="AM578" s="87"/>
      <c r="AN578" s="81">
        <v>0.0</v>
      </c>
      <c r="AO578" s="90"/>
      <c r="AP578" s="81">
        <v>0.0</v>
      </c>
      <c r="AQ578" s="81">
        <v>0.0</v>
      </c>
      <c r="AR578" s="39"/>
      <c r="AS578" s="81">
        <v>0.0</v>
      </c>
      <c r="AT578" s="81">
        <v>0.0</v>
      </c>
      <c r="AU578" s="82"/>
      <c r="AV578" s="7" t="s">
        <v>581</v>
      </c>
      <c r="AW578" s="82"/>
      <c r="AX578" s="82"/>
      <c r="AY578" s="7"/>
      <c r="AZ578" s="7"/>
      <c r="BA578" s="7"/>
      <c r="BB578" s="7"/>
      <c r="BC578" s="7"/>
      <c r="BD578" s="7"/>
      <c r="BE578" s="7"/>
      <c r="BF578" s="7">
        <v>9965.0</v>
      </c>
      <c r="BG578" s="82"/>
      <c r="BH578" s="82"/>
      <c r="BI578" s="82"/>
      <c r="BJ578" s="82"/>
      <c r="BK578" s="82"/>
      <c r="BL578" s="82"/>
      <c r="BM578" s="82"/>
      <c r="BN578" s="7"/>
      <c r="BO578" s="7">
        <v>4.0</v>
      </c>
      <c r="BP578" s="82"/>
      <c r="BQ578" s="7"/>
      <c r="BR578" s="7" t="s">
        <v>585</v>
      </c>
    </row>
    <row r="579">
      <c r="A579" s="16">
        <v>42.0</v>
      </c>
      <c r="B579" s="16" t="s">
        <v>580</v>
      </c>
      <c r="C579" s="53">
        <v>2.0</v>
      </c>
      <c r="D579" s="53" t="s">
        <v>580</v>
      </c>
      <c r="E579" s="7">
        <v>372.0</v>
      </c>
      <c r="F579" s="53"/>
      <c r="G579" s="7"/>
      <c r="H579" s="16">
        <v>1.0</v>
      </c>
      <c r="I579" s="81">
        <v>1.0</v>
      </c>
      <c r="J579" s="39" t="s">
        <v>1788</v>
      </c>
      <c r="K579" s="53" t="s">
        <v>4151</v>
      </c>
      <c r="L579" s="53" t="s">
        <v>4160</v>
      </c>
      <c r="M579" s="39" t="str">
        <f t="shared" si="1"/>
        <v>[https://ieeexplore.ieee.org/document/917698 Extended Split Radix FFT algorithm (2001)]</v>
      </c>
      <c r="N579" s="39" t="s">
        <v>4178</v>
      </c>
      <c r="O579" s="81">
        <v>2001.0</v>
      </c>
      <c r="P579" s="28" t="s">
        <v>4179</v>
      </c>
      <c r="Q579" s="82"/>
      <c r="R579" s="82"/>
      <c r="S579" s="82"/>
      <c r="T579" s="16">
        <v>0.0</v>
      </c>
      <c r="U579" s="16">
        <v>0.0</v>
      </c>
      <c r="V579" s="89">
        <f>IFERROR(__xludf.DUMMYFUNCTION("INDEX(SPLIT(SUBSTITUTE(W579,CHAR(10), """"),"",:""), MATCH(Z579, SPLIT(SUBSTITUTE(W579,CHAR(10), """"),"",:""), 0) + 1)"),4.0)</f>
        <v>4</v>
      </c>
      <c r="W579" s="85" t="s">
        <v>1791</v>
      </c>
      <c r="X579" s="16" t="s">
        <v>1953</v>
      </c>
      <c r="Y579" s="53" t="s">
        <v>583</v>
      </c>
      <c r="Z579" s="53" t="str">
        <f t="array" ref="Z579">INDEX(Problems!J:J, MATCH(1, (Problems!B:B=B579)*1, 0))</f>
        <v>n</v>
      </c>
      <c r="AA579" s="53"/>
      <c r="AB579" s="53"/>
      <c r="AC579" s="53" t="s">
        <v>2312</v>
      </c>
      <c r="AD579" s="53" t="s">
        <v>1814</v>
      </c>
      <c r="AE579" s="85">
        <f>IFERROR(__xludf.DUMMYFUNCTION("INDEX(SPLIT(SUBSTITUTE(AF579,CHAR(10), """"),"",:""), MATCH(Z579, SPLIT(SUBSTITUTE(AF579,CHAR(10), """"),"",:""), 0) + 1)"),3.0)</f>
        <v>3</v>
      </c>
      <c r="AF579" s="85" t="s">
        <v>1763</v>
      </c>
      <c r="AG579" s="53" t="s">
        <v>2625</v>
      </c>
      <c r="AH579" s="53" t="s">
        <v>4165</v>
      </c>
      <c r="AI579" s="151">
        <v>1.0</v>
      </c>
      <c r="AJ579" s="84">
        <v>0.0</v>
      </c>
      <c r="AK579" s="87"/>
      <c r="AL579" s="81">
        <v>0.0</v>
      </c>
      <c r="AM579" s="87"/>
      <c r="AN579" s="81">
        <v>0.0</v>
      </c>
      <c r="AO579" s="90"/>
      <c r="AP579" s="81">
        <v>0.0</v>
      </c>
      <c r="AQ579" s="81">
        <v>0.0</v>
      </c>
      <c r="AR579" s="39"/>
      <c r="AS579" s="81">
        <v>0.0</v>
      </c>
      <c r="AT579" s="81">
        <v>0.0</v>
      </c>
      <c r="AU579" s="82"/>
      <c r="AV579" s="7" t="s">
        <v>581</v>
      </c>
      <c r="AW579" s="82"/>
      <c r="AX579" s="82"/>
      <c r="AY579" s="7"/>
      <c r="AZ579" s="7"/>
      <c r="BA579" s="7"/>
      <c r="BB579" s="7"/>
      <c r="BC579" s="7"/>
      <c r="BD579" s="7"/>
      <c r="BE579" s="7"/>
      <c r="BF579" s="7">
        <v>9965.0</v>
      </c>
      <c r="BG579" s="82"/>
      <c r="BH579" s="82"/>
      <c r="BI579" s="82"/>
      <c r="BJ579" s="82"/>
      <c r="BK579" s="82"/>
      <c r="BL579" s="82"/>
      <c r="BM579" s="82"/>
      <c r="BN579" s="7"/>
      <c r="BO579" s="7">
        <v>4.0</v>
      </c>
      <c r="BP579" s="82"/>
      <c r="BQ579" s="7"/>
      <c r="BR579" s="7" t="s">
        <v>585</v>
      </c>
    </row>
    <row r="580">
      <c r="A580" s="16">
        <v>42.0</v>
      </c>
      <c r="B580" s="16" t="s">
        <v>580</v>
      </c>
      <c r="C580" s="53">
        <v>2.0</v>
      </c>
      <c r="D580" s="53" t="s">
        <v>580</v>
      </c>
      <c r="E580" s="7">
        <v>373.0</v>
      </c>
      <c r="F580" s="53"/>
      <c r="G580" s="7"/>
      <c r="H580" s="16">
        <v>1.0</v>
      </c>
      <c r="I580" s="81">
        <v>1.0</v>
      </c>
      <c r="J580" s="39" t="s">
        <v>4180</v>
      </c>
      <c r="K580" s="53" t="s">
        <v>4151</v>
      </c>
      <c r="L580" s="53" t="s">
        <v>4160</v>
      </c>
      <c r="M580" s="39" t="str">
        <f t="shared" si="1"/>
        <v>[https://dl.acm.org/doi/10.1145/236869.236882  Von zur Gathen-Gerhard additive FFT (1996)]</v>
      </c>
      <c r="N580" s="39" t="s">
        <v>4181</v>
      </c>
      <c r="O580" s="81">
        <v>1996.0</v>
      </c>
      <c r="P580" s="96" t="s">
        <v>4182</v>
      </c>
      <c r="Q580" s="82"/>
      <c r="R580" s="82"/>
      <c r="S580" s="82"/>
      <c r="T580" s="16">
        <v>0.0</v>
      </c>
      <c r="U580" s="16">
        <v>0.0</v>
      </c>
      <c r="V580" s="89">
        <f>IFERROR(__xludf.DUMMYFUNCTION("INDEX(SPLIT(SUBSTITUTE(W580,CHAR(10), """"),"",:""), MATCH(Z580, SPLIT(SUBSTITUTE(W580,CHAR(10), """"),"",:""), 0) + 1)"),4.01)</f>
        <v>4.01</v>
      </c>
      <c r="W580" s="85" t="s">
        <v>2691</v>
      </c>
      <c r="X580" s="16" t="s">
        <v>4183</v>
      </c>
      <c r="Y580" s="53" t="s">
        <v>583</v>
      </c>
      <c r="Z580" s="53" t="str">
        <f t="array" ref="Z580">INDEX(Problems!J:J, MATCH(1, (Problems!B:B=B580)*1, 0))</f>
        <v>n</v>
      </c>
      <c r="AA580" s="53"/>
      <c r="AB580" s="53"/>
      <c r="AC580" s="53" t="s">
        <v>2312</v>
      </c>
      <c r="AD580" s="53" t="s">
        <v>1814</v>
      </c>
      <c r="AE580" s="85">
        <f>IFERROR(__xludf.DUMMYFUNCTION("INDEX(SPLIT(SUBSTITUTE(AF580,CHAR(10), """"),"",:""), MATCH(Z580, SPLIT(SUBSTITUTE(AF580,CHAR(10), """"),"",:""), 0) + 1)"),3.0)</f>
        <v>3</v>
      </c>
      <c r="AF580" s="85" t="s">
        <v>1763</v>
      </c>
      <c r="AG580" s="53" t="s">
        <v>35</v>
      </c>
      <c r="AH580" s="96" t="s">
        <v>4182</v>
      </c>
      <c r="AI580" s="84">
        <v>0.0</v>
      </c>
      <c r="AJ580" s="84">
        <v>1.0</v>
      </c>
      <c r="AK580" s="87"/>
      <c r="AL580" s="81">
        <v>0.0</v>
      </c>
      <c r="AM580" s="87"/>
      <c r="AN580" s="81">
        <v>0.0</v>
      </c>
      <c r="AO580" s="90"/>
      <c r="AP580" s="81">
        <v>0.0</v>
      </c>
      <c r="AQ580" s="81">
        <v>0.0</v>
      </c>
      <c r="AR580" s="39"/>
      <c r="AS580" s="81">
        <v>0.0</v>
      </c>
      <c r="AT580" s="81">
        <v>0.0</v>
      </c>
      <c r="AU580" s="82"/>
      <c r="AV580" s="7" t="s">
        <v>581</v>
      </c>
      <c r="AW580" s="82"/>
      <c r="AX580" s="82"/>
      <c r="AY580" s="7"/>
      <c r="AZ580" s="82"/>
      <c r="BA580" s="82"/>
      <c r="BB580" s="82"/>
      <c r="BC580" s="82"/>
      <c r="BD580" s="82"/>
      <c r="BE580" s="82"/>
      <c r="BF580" s="82"/>
      <c r="BG580" s="82"/>
      <c r="BH580" s="82"/>
      <c r="BI580" s="82"/>
      <c r="BJ580" s="82"/>
      <c r="BK580" s="82"/>
      <c r="BL580" s="82"/>
      <c r="BM580" s="82"/>
      <c r="BN580" s="7"/>
      <c r="BO580" s="7">
        <v>4.0</v>
      </c>
      <c r="BP580" s="82"/>
      <c r="BQ580" s="7"/>
      <c r="BR580" s="7" t="s">
        <v>585</v>
      </c>
    </row>
    <row r="581">
      <c r="A581" s="16">
        <v>42.0</v>
      </c>
      <c r="B581" s="16" t="s">
        <v>580</v>
      </c>
      <c r="C581" s="53">
        <v>2.0</v>
      </c>
      <c r="D581" s="53" t="s">
        <v>580</v>
      </c>
      <c r="E581" s="7">
        <v>374.0</v>
      </c>
      <c r="F581" s="53"/>
      <c r="G581" s="7"/>
      <c r="H581" s="16">
        <v>1.0</v>
      </c>
      <c r="I581" s="81">
        <v>1.0</v>
      </c>
      <c r="J581" s="16" t="s">
        <v>4184</v>
      </c>
      <c r="K581" s="53" t="s">
        <v>4151</v>
      </c>
      <c r="L581" s="53" t="s">
        <v>4160</v>
      </c>
      <c r="M581" s="39" t="str">
        <f t="shared" si="1"/>
        <v>[https://ieeexplore.ieee.org/document/1926/ Wang-Zhu-Cantor additive FFT (1988)]</v>
      </c>
      <c r="N581" s="39" t="s">
        <v>4185</v>
      </c>
      <c r="O581" s="81">
        <v>1988.0</v>
      </c>
      <c r="P581" s="28" t="s">
        <v>4186</v>
      </c>
      <c r="Q581" s="82"/>
      <c r="R581" s="82"/>
      <c r="S581" s="82"/>
      <c r="T581" s="16">
        <v>0.0</v>
      </c>
      <c r="U581" s="16">
        <v>0.0</v>
      </c>
      <c r="V581" s="89">
        <f>IFERROR(__xludf.DUMMYFUNCTION("INDEX(SPLIT(SUBSTITUTE(W581,CHAR(10), """"),"",:""), MATCH(Z581, SPLIT(SUBSTITUTE(W581,CHAR(10), """"),"",:""), 0) + 1)"),4.00585)</f>
        <v>4.00585</v>
      </c>
      <c r="W581" s="85" t="s">
        <v>4187</v>
      </c>
      <c r="X581" s="16" t="s">
        <v>4188</v>
      </c>
      <c r="Y581" s="53" t="s">
        <v>583</v>
      </c>
      <c r="Z581" s="53" t="str">
        <f t="array" ref="Z581">INDEX(Problems!J:J, MATCH(1, (Problems!B:B=B581)*1, 0))</f>
        <v>n</v>
      </c>
      <c r="AA581" s="53"/>
      <c r="AB581" s="53"/>
      <c r="AC581" s="53" t="s">
        <v>2312</v>
      </c>
      <c r="AD581" s="53" t="s">
        <v>1814</v>
      </c>
      <c r="AE581" s="85">
        <f>IFERROR(__xludf.DUMMYFUNCTION("INDEX(SPLIT(SUBSTITUTE(AF581,CHAR(10), """"),"",:""), MATCH(Z581, SPLIT(SUBSTITUTE(AF581,CHAR(10), """"),"",:""), 0) + 1)"),3.0)</f>
        <v>3</v>
      </c>
      <c r="AF581" s="156" t="s">
        <v>1763</v>
      </c>
      <c r="AG581" s="53" t="s">
        <v>2625</v>
      </c>
      <c r="AH581" s="53" t="s">
        <v>4171</v>
      </c>
      <c r="AI581" s="151">
        <v>1.0</v>
      </c>
      <c r="AJ581" s="84">
        <v>0.0</v>
      </c>
      <c r="AK581" s="87"/>
      <c r="AL581" s="81">
        <v>0.0</v>
      </c>
      <c r="AM581" s="87"/>
      <c r="AN581" s="81">
        <v>0.0</v>
      </c>
      <c r="AO581" s="90"/>
      <c r="AP581" s="81">
        <v>0.0</v>
      </c>
      <c r="AQ581" s="81">
        <v>0.0</v>
      </c>
      <c r="AR581" s="39"/>
      <c r="AS581" s="81">
        <v>0.0</v>
      </c>
      <c r="AT581" s="81">
        <v>0.0</v>
      </c>
      <c r="AU581" s="82"/>
      <c r="AV581" s="7" t="s">
        <v>581</v>
      </c>
      <c r="AW581" s="82"/>
      <c r="AX581" s="82"/>
      <c r="AY581" s="7"/>
      <c r="AZ581" s="82"/>
      <c r="BA581" s="82"/>
      <c r="BB581" s="82"/>
      <c r="BC581" s="82"/>
      <c r="BD581" s="82"/>
      <c r="BE581" s="82"/>
      <c r="BF581" s="82"/>
      <c r="BG581" s="82"/>
      <c r="BH581" s="82"/>
      <c r="BI581" s="82"/>
      <c r="BJ581" s="82"/>
      <c r="BK581" s="82"/>
      <c r="BL581" s="82"/>
      <c r="BM581" s="82"/>
      <c r="BN581" s="7"/>
      <c r="BO581" s="7">
        <v>4.0</v>
      </c>
      <c r="BP581" s="82"/>
      <c r="BQ581" s="7"/>
      <c r="BR581" s="7" t="s">
        <v>585</v>
      </c>
    </row>
    <row r="582">
      <c r="A582" s="16">
        <v>42.0</v>
      </c>
      <c r="B582" s="16" t="s">
        <v>580</v>
      </c>
      <c r="C582" s="53">
        <v>2.0</v>
      </c>
      <c r="D582" s="53" t="s">
        <v>580</v>
      </c>
      <c r="E582" s="7">
        <v>375.0</v>
      </c>
      <c r="F582" s="53"/>
      <c r="G582" s="7"/>
      <c r="H582" s="16">
        <v>1.0</v>
      </c>
      <c r="I582" s="81">
        <v>1.0</v>
      </c>
      <c r="J582" s="39" t="s">
        <v>3311</v>
      </c>
      <c r="K582" s="53" t="s">
        <v>4151</v>
      </c>
      <c r="L582" s="53" t="s">
        <v>4160</v>
      </c>
      <c r="M582" s="39" t="str">
        <f t="shared" si="1"/>
        <v>[https://ieeexplore.ieee.org/stamp/stamp.jsp?arnumber=5625613 Gao’s additive FFT (2010)]</v>
      </c>
      <c r="N582" s="39" t="s">
        <v>4189</v>
      </c>
      <c r="O582" s="84">
        <v>2010.0</v>
      </c>
      <c r="P582" s="96" t="s">
        <v>4190</v>
      </c>
      <c r="Q582" s="82"/>
      <c r="R582" s="82"/>
      <c r="S582" s="82"/>
      <c r="T582" s="16">
        <v>0.0</v>
      </c>
      <c r="U582" s="16">
        <v>0.0</v>
      </c>
      <c r="V582" s="89">
        <f>IFERROR(__xludf.DUMMYFUNCTION("INDEX(SPLIT(SUBSTITUTE(W582,CHAR(10), """"),"",:""), MATCH(Z582, SPLIT(SUBSTITUTE(W582,CHAR(10), """"),"",:""), 0) + 1)"),4.001)</f>
        <v>4.001</v>
      </c>
      <c r="W582" s="85" t="s">
        <v>3314</v>
      </c>
      <c r="X582" s="39" t="s">
        <v>3311</v>
      </c>
      <c r="Y582" s="53" t="s">
        <v>583</v>
      </c>
      <c r="Z582" s="53" t="str">
        <f t="array" ref="Z582">INDEX(Problems!J:J, MATCH(1, (Problems!B:B=B582)*1, 0))</f>
        <v>n</v>
      </c>
      <c r="AA582" s="53"/>
      <c r="AB582" s="53"/>
      <c r="AC582" s="53" t="s">
        <v>2312</v>
      </c>
      <c r="AD582" s="53" t="s">
        <v>1814</v>
      </c>
      <c r="AE582" s="85">
        <f>IFERROR(__xludf.DUMMYFUNCTION("INDEX(SPLIT(SUBSTITUTE(AF582,CHAR(10), """"),"",:""), MATCH(Z582, SPLIT(SUBSTITUTE(AF582,CHAR(10), """"),"",:""), 0) + 1)"),3.0)</f>
        <v>3</v>
      </c>
      <c r="AF582" s="85" t="s">
        <v>1763</v>
      </c>
      <c r="AG582" s="53" t="s">
        <v>35</v>
      </c>
      <c r="AH582" s="91" t="s">
        <v>4190</v>
      </c>
      <c r="AI582" s="84">
        <v>0.0</v>
      </c>
      <c r="AJ582" s="84">
        <v>1.0</v>
      </c>
      <c r="AK582" s="87"/>
      <c r="AL582" s="81">
        <v>0.0</v>
      </c>
      <c r="AM582" s="87"/>
      <c r="AN582" s="81">
        <v>0.0</v>
      </c>
      <c r="AO582" s="90"/>
      <c r="AP582" s="81">
        <v>0.0</v>
      </c>
      <c r="AQ582" s="81">
        <v>0.0</v>
      </c>
      <c r="AR582" s="39"/>
      <c r="AS582" s="81">
        <v>0.0</v>
      </c>
      <c r="AT582" s="81">
        <v>0.0</v>
      </c>
      <c r="AU582" s="82"/>
      <c r="AV582" s="7" t="s">
        <v>581</v>
      </c>
      <c r="AW582" s="82"/>
      <c r="AX582" s="82"/>
      <c r="AY582" s="7"/>
      <c r="AZ582" s="82"/>
      <c r="BA582" s="82"/>
      <c r="BB582" s="82"/>
      <c r="BC582" s="82"/>
      <c r="BD582" s="82"/>
      <c r="BE582" s="82"/>
      <c r="BF582" s="82"/>
      <c r="BG582" s="82"/>
      <c r="BH582" s="82"/>
      <c r="BI582" s="82"/>
      <c r="BJ582" s="82"/>
      <c r="BK582" s="82"/>
      <c r="BL582" s="82"/>
      <c r="BM582" s="82"/>
      <c r="BN582" s="7"/>
      <c r="BO582" s="7">
        <v>4.0</v>
      </c>
      <c r="BP582" s="82"/>
      <c r="BQ582" s="7"/>
      <c r="BR582" s="7" t="s">
        <v>585</v>
      </c>
    </row>
    <row r="583">
      <c r="A583" s="16">
        <v>43.0</v>
      </c>
      <c r="B583" s="16" t="s">
        <v>586</v>
      </c>
      <c r="C583" s="53">
        <v>2.0</v>
      </c>
      <c r="D583" s="53" t="s">
        <v>586</v>
      </c>
      <c r="E583" s="7">
        <v>376.0</v>
      </c>
      <c r="F583" s="53"/>
      <c r="G583" s="7"/>
      <c r="H583" s="16">
        <v>1.0</v>
      </c>
      <c r="I583" s="16">
        <v>1.0</v>
      </c>
      <c r="J583" s="39" t="s">
        <v>35</v>
      </c>
      <c r="K583" s="53" t="s">
        <v>4191</v>
      </c>
      <c r="L583" s="53" t="s">
        <v>484</v>
      </c>
      <c r="M583" s="39" t="str">
        <f t="shared" si="1"/>
        <v>[- Naive algorithm (1940)]</v>
      </c>
      <c r="N583" s="39" t="s">
        <v>2048</v>
      </c>
      <c r="O583" s="81">
        <v>1940.0</v>
      </c>
      <c r="P583" s="16" t="s">
        <v>1937</v>
      </c>
      <c r="Q583" s="7">
        <v>1.0</v>
      </c>
      <c r="R583" s="7">
        <v>1.0</v>
      </c>
      <c r="S583" s="82"/>
      <c r="T583" s="16">
        <v>1.0</v>
      </c>
      <c r="U583" s="16">
        <v>0.0</v>
      </c>
      <c r="V583" s="89">
        <f>IFERROR(__xludf.DUMMYFUNCTION("INDEX(SPLIT(SUBSTITUTE(W583,CHAR(10), """"),"",:""), MATCH(Z583, SPLIT(SUBSTITUTE(W583,CHAR(10), """"),"",:""), 0) + 1)"),3.0)</f>
        <v>3</v>
      </c>
      <c r="W583" s="85" t="s">
        <v>1763</v>
      </c>
      <c r="X583" s="39" t="s">
        <v>35</v>
      </c>
      <c r="Y583" s="53" t="s">
        <v>4192</v>
      </c>
      <c r="Z583" s="53" t="str">
        <f t="array" ref="Z583">INDEX(Problems!J:J, MATCH(1, (Problems!B:B=B583)*1, 0))</f>
        <v>n</v>
      </c>
      <c r="AA583" s="53"/>
      <c r="AB583" s="53"/>
      <c r="AC583" s="53" t="s">
        <v>2337</v>
      </c>
      <c r="AD583" s="53" t="s">
        <v>2487</v>
      </c>
      <c r="AE583" s="85">
        <f>IFERROR(__xludf.DUMMYFUNCTION("INDEX(SPLIT(SUBSTITUTE(AF583,CHAR(10), """"),"",:""), MATCH(Z583, SPLIT(SUBSTITUTE(AF583,CHAR(10), """"),"",:""), 0) + 1)"),1.0)</f>
        <v>1</v>
      </c>
      <c r="AF583" s="85" t="s">
        <v>1774</v>
      </c>
      <c r="AG583" s="53" t="s">
        <v>34</v>
      </c>
      <c r="AH583" s="53" t="s">
        <v>4193</v>
      </c>
      <c r="AI583" s="84">
        <v>1.0</v>
      </c>
      <c r="AJ583" s="84">
        <v>0.0</v>
      </c>
      <c r="AK583" s="87"/>
      <c r="AL583" s="81">
        <v>0.0</v>
      </c>
      <c r="AM583" s="21"/>
      <c r="AN583" s="16">
        <v>0.0</v>
      </c>
      <c r="AO583" s="90"/>
      <c r="AP583" s="16">
        <v>0.0</v>
      </c>
      <c r="AQ583" s="16">
        <v>0.0</v>
      </c>
      <c r="AR583" s="39"/>
      <c r="AS583" s="81">
        <v>0.0</v>
      </c>
      <c r="AT583" s="81">
        <v>0.0</v>
      </c>
      <c r="AU583" s="47" t="s">
        <v>4194</v>
      </c>
      <c r="AV583" s="82"/>
      <c r="AW583" s="82"/>
      <c r="AX583" s="82"/>
      <c r="AY583" s="7"/>
      <c r="AZ583" s="7"/>
      <c r="BA583" s="7"/>
      <c r="BB583" s="7"/>
      <c r="BC583" s="7"/>
      <c r="BD583" s="7"/>
      <c r="BE583" s="7"/>
      <c r="BF583" s="7">
        <v>1000.0</v>
      </c>
      <c r="BG583" s="7">
        <v>1.0</v>
      </c>
      <c r="BH583" s="7"/>
      <c r="BI583" s="7">
        <v>1000000.0</v>
      </c>
      <c r="BJ583" s="7">
        <v>1.0</v>
      </c>
      <c r="BK583" s="7"/>
      <c r="BL583" s="7">
        <v>1.0E9</v>
      </c>
      <c r="BM583" s="7">
        <v>1.0</v>
      </c>
      <c r="BN583" s="7"/>
      <c r="BO583" s="7">
        <v>6.0</v>
      </c>
      <c r="BP583" s="82"/>
      <c r="BQ583" s="7"/>
      <c r="BR583" s="7" t="s">
        <v>196</v>
      </c>
    </row>
    <row r="584">
      <c r="A584" s="16">
        <v>43.0</v>
      </c>
      <c r="B584" s="16" t="s">
        <v>586</v>
      </c>
      <c r="C584" s="53">
        <v>2.0</v>
      </c>
      <c r="D584" s="53" t="s">
        <v>586</v>
      </c>
      <c r="E584" s="7">
        <v>377.0</v>
      </c>
      <c r="F584" s="53"/>
      <c r="G584" s="7"/>
      <c r="H584" s="16">
        <v>1.0</v>
      </c>
      <c r="I584" s="16">
        <v>1.0</v>
      </c>
      <c r="J584" s="39" t="s">
        <v>35</v>
      </c>
      <c r="K584" s="53" t="s">
        <v>4191</v>
      </c>
      <c r="L584" s="53" t="s">
        <v>484</v>
      </c>
      <c r="M584" s="39" t="str">
        <f t="shared" si="1"/>
        <v>[- Digital Differential Analyzer (1940)]</v>
      </c>
      <c r="N584" s="39" t="s">
        <v>4195</v>
      </c>
      <c r="O584" s="81">
        <v>1940.0</v>
      </c>
      <c r="P584" s="16" t="s">
        <v>1937</v>
      </c>
      <c r="Q584" s="82"/>
      <c r="R584" s="82"/>
      <c r="S584" s="82"/>
      <c r="T584" s="16">
        <v>0.0</v>
      </c>
      <c r="U584" s="16">
        <v>0.0</v>
      </c>
      <c r="V584" s="89">
        <f>IFERROR(__xludf.DUMMYFUNCTION("INDEX(SPLIT(SUBSTITUTE(W584,CHAR(10), """"),"",:""), MATCH(Z584, SPLIT(SUBSTITUTE(W584,CHAR(10), """"),"",:""), 0) + 1)"),3.0)</f>
        <v>3</v>
      </c>
      <c r="W584" s="85" t="s">
        <v>1763</v>
      </c>
      <c r="X584" s="39" t="s">
        <v>35</v>
      </c>
      <c r="Y584" s="53" t="s">
        <v>4192</v>
      </c>
      <c r="Z584" s="53" t="str">
        <f t="array" ref="Z584">INDEX(Problems!J:J, MATCH(1, (Problems!B:B=B584)*1, 0))</f>
        <v>n</v>
      </c>
      <c r="AA584" s="53"/>
      <c r="AB584" s="53"/>
      <c r="AC584" s="53" t="s">
        <v>2337</v>
      </c>
      <c r="AD584" s="53" t="s">
        <v>2487</v>
      </c>
      <c r="AE584" s="85">
        <f>IFERROR(__xludf.DUMMYFUNCTION("INDEX(SPLIT(SUBSTITUTE(AF584,CHAR(10), """"),"",:""), MATCH(Z584, SPLIT(SUBSTITUTE(AF584,CHAR(10), """"),"",:""), 0) + 1)"),1.0)</f>
        <v>1</v>
      </c>
      <c r="AF584" s="85" t="s">
        <v>1774</v>
      </c>
      <c r="AG584" s="53" t="s">
        <v>34</v>
      </c>
      <c r="AH584" s="53" t="s">
        <v>4193</v>
      </c>
      <c r="AI584" s="84">
        <v>1.0</v>
      </c>
      <c r="AJ584" s="84">
        <v>0.0</v>
      </c>
      <c r="AK584" s="87"/>
      <c r="AL584" s="81">
        <v>0.0</v>
      </c>
      <c r="AM584" s="21"/>
      <c r="AN584" s="16">
        <v>0.0</v>
      </c>
      <c r="AO584" s="90"/>
      <c r="AP584" s="16">
        <v>0.0</v>
      </c>
      <c r="AQ584" s="16">
        <v>0.0</v>
      </c>
      <c r="AR584" s="39"/>
      <c r="AS584" s="81">
        <v>0.0</v>
      </c>
      <c r="AT584" s="81">
        <v>0.0</v>
      </c>
      <c r="AU584" s="47" t="s">
        <v>4196</v>
      </c>
      <c r="AV584" s="82"/>
      <c r="AW584" s="82"/>
      <c r="AX584" s="82"/>
      <c r="AY584" s="7"/>
      <c r="AZ584" s="7"/>
      <c r="BA584" s="7"/>
      <c r="BB584" s="7"/>
      <c r="BC584" s="7"/>
      <c r="BD584" s="7"/>
      <c r="BE584" s="7"/>
      <c r="BF584" s="7">
        <v>1000.0</v>
      </c>
      <c r="BG584" s="82"/>
      <c r="BH584" s="82"/>
      <c r="BI584" s="82"/>
      <c r="BJ584" s="82"/>
      <c r="BK584" s="82"/>
      <c r="BL584" s="82"/>
      <c r="BM584" s="82"/>
      <c r="BN584" s="7"/>
      <c r="BO584" s="7">
        <v>6.0</v>
      </c>
      <c r="BP584" s="82"/>
      <c r="BQ584" s="7"/>
      <c r="BR584" s="7" t="s">
        <v>196</v>
      </c>
    </row>
    <row r="585">
      <c r="A585" s="16">
        <v>43.0</v>
      </c>
      <c r="B585" s="16" t="s">
        <v>586</v>
      </c>
      <c r="C585" s="53">
        <v>2.0</v>
      </c>
      <c r="D585" s="53" t="s">
        <v>586</v>
      </c>
      <c r="E585" s="7">
        <v>378.0</v>
      </c>
      <c r="F585" s="53"/>
      <c r="G585" s="7"/>
      <c r="H585" s="16">
        <v>1.0</v>
      </c>
      <c r="I585" s="16">
        <v>1.0</v>
      </c>
      <c r="J585" s="39" t="s">
        <v>35</v>
      </c>
      <c r="K585" s="53" t="s">
        <v>4191</v>
      </c>
      <c r="L585" s="53" t="s">
        <v>484</v>
      </c>
      <c r="M585" s="39" t="str">
        <f t="shared" si="1"/>
        <v>[https://web.archive.org/web/20080528040104/http://www.research.ibm.com/journal/sj/041/ibmsjIVRIC.pdf Bresenham's line algorithm (1965)]</v>
      </c>
      <c r="N585" s="39" t="s">
        <v>4197</v>
      </c>
      <c r="O585" s="83">
        <v>1965.0</v>
      </c>
      <c r="P585" s="25" t="s">
        <v>4198</v>
      </c>
      <c r="Q585" s="82"/>
      <c r="R585" s="82"/>
      <c r="S585" s="82"/>
      <c r="T585" s="16">
        <v>0.0</v>
      </c>
      <c r="U585" s="16">
        <v>0.0</v>
      </c>
      <c r="V585" s="89">
        <f>IFERROR(__xludf.DUMMYFUNCTION("INDEX(SPLIT(SUBSTITUTE(W585,CHAR(10), """"),"",:""), MATCH(Z585, SPLIT(SUBSTITUTE(W585,CHAR(10), """"),"",:""), 0) + 1)"),3.0)</f>
        <v>3</v>
      </c>
      <c r="W585" s="85" t="s">
        <v>1763</v>
      </c>
      <c r="X585" s="39" t="s">
        <v>35</v>
      </c>
      <c r="Y585" s="53" t="s">
        <v>4192</v>
      </c>
      <c r="Z585" s="53" t="str">
        <f t="array" ref="Z585">INDEX(Problems!J:J, MATCH(1, (Problems!B:B=B585)*1, 0))</f>
        <v>n</v>
      </c>
      <c r="AA585" s="53"/>
      <c r="AB585" s="53"/>
      <c r="AC585" s="53" t="s">
        <v>2337</v>
      </c>
      <c r="AD585" s="53" t="s">
        <v>2487</v>
      </c>
      <c r="AE585" s="85">
        <f>IFERROR(__xludf.DUMMYFUNCTION("INDEX(SPLIT(SUBSTITUTE(AF585,CHAR(10), """"),"",:""), MATCH(Z585, SPLIT(SUBSTITUTE(AF585,CHAR(10), """"),"",:""), 0) + 1)"),1.0)</f>
        <v>1</v>
      </c>
      <c r="AF585" s="85" t="s">
        <v>1774</v>
      </c>
      <c r="AG585" s="53" t="s">
        <v>34</v>
      </c>
      <c r="AH585" s="53" t="s">
        <v>4193</v>
      </c>
      <c r="AI585" s="84">
        <v>1.0</v>
      </c>
      <c r="AJ585" s="84">
        <v>0.0</v>
      </c>
      <c r="AK585" s="87"/>
      <c r="AL585" s="81">
        <v>0.0</v>
      </c>
      <c r="AM585" s="21"/>
      <c r="AN585" s="16">
        <v>0.0</v>
      </c>
      <c r="AO585" s="90"/>
      <c r="AP585" s="16">
        <v>0.0</v>
      </c>
      <c r="AQ585" s="16">
        <v>0.0</v>
      </c>
      <c r="AR585" s="39"/>
      <c r="AS585" s="81">
        <v>0.0</v>
      </c>
      <c r="AT585" s="81">
        <v>0.0</v>
      </c>
      <c r="AU585" s="82"/>
      <c r="AV585" s="82"/>
      <c r="AW585" s="82"/>
      <c r="AX585" s="82"/>
      <c r="AY585" s="7"/>
      <c r="AZ585" s="7"/>
      <c r="BA585" s="7"/>
      <c r="BB585" s="7"/>
      <c r="BC585" s="7"/>
      <c r="BD585" s="7"/>
      <c r="BE585" s="7"/>
      <c r="BF585" s="7">
        <v>1000.0</v>
      </c>
      <c r="BG585" s="82"/>
      <c r="BH585" s="82"/>
      <c r="BI585" s="82"/>
      <c r="BJ585" s="82"/>
      <c r="BK585" s="82"/>
      <c r="BL585" s="82"/>
      <c r="BM585" s="82"/>
      <c r="BN585" s="7"/>
      <c r="BO585" s="7">
        <v>6.0</v>
      </c>
      <c r="BP585" s="82"/>
      <c r="BQ585" s="7"/>
      <c r="BR585" s="7" t="s">
        <v>196</v>
      </c>
    </row>
    <row r="586">
      <c r="A586" s="16">
        <v>43.0</v>
      </c>
      <c r="B586" s="16" t="s">
        <v>586</v>
      </c>
      <c r="C586" s="53">
        <v>2.0</v>
      </c>
      <c r="D586" s="53" t="s">
        <v>586</v>
      </c>
      <c r="E586" s="7">
        <v>379.0</v>
      </c>
      <c r="F586" s="53"/>
      <c r="G586" s="7"/>
      <c r="H586" s="16">
        <v>1.0</v>
      </c>
      <c r="I586" s="16">
        <v>1.0</v>
      </c>
      <c r="J586" s="39" t="s">
        <v>35</v>
      </c>
      <c r="K586" s="53" t="s">
        <v>4191</v>
      </c>
      <c r="L586" s="53" t="s">
        <v>484</v>
      </c>
      <c r="M586" s="39" t="str">
        <f t="shared" si="1"/>
        <v>[http://www-users.mat.umk.pl/~gruby/teaching/lgim/1_wu.pdf Xiaolin Wu's line algorithm (1991)]</v>
      </c>
      <c r="N586" s="39" t="s">
        <v>4199</v>
      </c>
      <c r="O586" s="81">
        <v>1991.0</v>
      </c>
      <c r="P586" s="25" t="s">
        <v>4200</v>
      </c>
      <c r="Q586" s="82"/>
      <c r="R586" s="82"/>
      <c r="S586" s="82"/>
      <c r="T586" s="16">
        <v>0.0</v>
      </c>
      <c r="U586" s="16">
        <v>0.0</v>
      </c>
      <c r="V586" s="89">
        <f>IFERROR(__xludf.DUMMYFUNCTION("INDEX(SPLIT(SUBSTITUTE(W586,CHAR(10), """"),"",:""), MATCH(Z586, SPLIT(SUBSTITUTE(W586,CHAR(10), """"),"",:""), 0) + 1)"),3.0)</f>
        <v>3</v>
      </c>
      <c r="W586" s="85" t="s">
        <v>1763</v>
      </c>
      <c r="X586" s="39" t="s">
        <v>35</v>
      </c>
      <c r="Y586" s="53" t="s">
        <v>4192</v>
      </c>
      <c r="Z586" s="53" t="str">
        <f t="array" ref="Z586">INDEX(Problems!J:J, MATCH(1, (Problems!B:B=B586)*1, 0))</f>
        <v>n</v>
      </c>
      <c r="AA586" s="53"/>
      <c r="AB586" s="53"/>
      <c r="AC586" s="53" t="s">
        <v>2337</v>
      </c>
      <c r="AD586" s="53" t="s">
        <v>2487</v>
      </c>
      <c r="AE586" s="85">
        <f>IFERROR(__xludf.DUMMYFUNCTION("INDEX(SPLIT(SUBSTITUTE(AF586,CHAR(10), """"),"",:""), MATCH(Z586, SPLIT(SUBSTITUTE(AF586,CHAR(10), """"),"",:""), 0) + 1)"),1.0)</f>
        <v>1</v>
      </c>
      <c r="AF586" s="85" t="s">
        <v>1774</v>
      </c>
      <c r="AG586" s="53" t="s">
        <v>34</v>
      </c>
      <c r="AH586" s="53" t="s">
        <v>4201</v>
      </c>
      <c r="AI586" s="84">
        <v>1.0</v>
      </c>
      <c r="AJ586" s="84">
        <v>0.0</v>
      </c>
      <c r="AK586" s="87"/>
      <c r="AL586" s="81">
        <v>0.0</v>
      </c>
      <c r="AM586" s="21"/>
      <c r="AN586" s="16">
        <v>0.0</v>
      </c>
      <c r="AO586" s="90"/>
      <c r="AP586" s="16">
        <v>0.0</v>
      </c>
      <c r="AQ586" s="16">
        <v>0.0</v>
      </c>
      <c r="AR586" s="39"/>
      <c r="AS586" s="81">
        <v>0.0</v>
      </c>
      <c r="AT586" s="81">
        <v>0.0</v>
      </c>
      <c r="AU586" s="82"/>
      <c r="AV586" s="82"/>
      <c r="AW586" s="82"/>
      <c r="AX586" s="82"/>
      <c r="AY586" s="7"/>
      <c r="AZ586" s="7"/>
      <c r="BA586" s="7"/>
      <c r="BB586" s="7"/>
      <c r="BC586" s="7"/>
      <c r="BD586" s="7"/>
      <c r="BE586" s="7"/>
      <c r="BF586" s="7">
        <v>1000.0</v>
      </c>
      <c r="BG586" s="82"/>
      <c r="BH586" s="82"/>
      <c r="BI586" s="82"/>
      <c r="BJ586" s="82"/>
      <c r="BK586" s="82"/>
      <c r="BL586" s="82"/>
      <c r="BM586" s="82"/>
      <c r="BN586" s="7"/>
      <c r="BO586" s="7">
        <v>6.0</v>
      </c>
      <c r="BP586" s="82"/>
      <c r="BQ586" s="7"/>
      <c r="BR586" s="7" t="s">
        <v>196</v>
      </c>
    </row>
    <row r="587">
      <c r="A587" s="16">
        <v>43.0</v>
      </c>
      <c r="B587" s="16" t="s">
        <v>586</v>
      </c>
      <c r="C587" s="53">
        <v>2.0</v>
      </c>
      <c r="D587" s="53" t="s">
        <v>586</v>
      </c>
      <c r="E587" s="7">
        <v>380.0</v>
      </c>
      <c r="F587" s="53"/>
      <c r="G587" s="7"/>
      <c r="H587" s="16">
        <v>1.0</v>
      </c>
      <c r="I587" s="16">
        <v>1.0</v>
      </c>
      <c r="J587" s="39" t="s">
        <v>35</v>
      </c>
      <c r="K587" s="53" t="s">
        <v>4191</v>
      </c>
      <c r="L587" s="53" t="s">
        <v>484</v>
      </c>
      <c r="M587" s="39" t="str">
        <f t="shared" si="1"/>
        <v>[http://www.cs.gettysburg.edu/~ilinkin/courses/Fall-2014/cs373/handouts/papers/gs-fegsd-81.pdf Gupta-Sproull algorithm (1981)]</v>
      </c>
      <c r="N587" s="39" t="s">
        <v>4202</v>
      </c>
      <c r="O587" s="83">
        <v>1981.0</v>
      </c>
      <c r="P587" s="25" t="s">
        <v>588</v>
      </c>
      <c r="Q587" s="82"/>
      <c r="R587" s="82"/>
      <c r="S587" s="82"/>
      <c r="T587" s="16">
        <v>0.0</v>
      </c>
      <c r="U587" s="16">
        <v>0.0</v>
      </c>
      <c r="V587" s="89">
        <f>IFERROR(__xludf.DUMMYFUNCTION("INDEX(SPLIT(SUBSTITUTE(W587,CHAR(10), """"),"",:""), MATCH(Z587, SPLIT(SUBSTITUTE(W587,CHAR(10), """"),"",:""), 0) + 1)"),3.0)</f>
        <v>3</v>
      </c>
      <c r="W587" s="85" t="s">
        <v>1763</v>
      </c>
      <c r="X587" s="39" t="s">
        <v>35</v>
      </c>
      <c r="Y587" s="53" t="s">
        <v>4192</v>
      </c>
      <c r="Z587" s="53" t="str">
        <f t="array" ref="Z587">INDEX(Problems!J:J, MATCH(1, (Problems!B:B=B587)*1, 0))</f>
        <v>n</v>
      </c>
      <c r="AA587" s="53"/>
      <c r="AB587" s="53"/>
      <c r="AC587" s="53" t="s">
        <v>2337</v>
      </c>
      <c r="AD587" s="53" t="s">
        <v>2487</v>
      </c>
      <c r="AE587" s="85">
        <f>IFERROR(__xludf.DUMMYFUNCTION("INDEX(SPLIT(SUBSTITUTE(AF587,CHAR(10), """"),"",:""), MATCH(Z587, SPLIT(SUBSTITUTE(AF587,CHAR(10), """"),"",:""), 0) + 1)"),1.0)</f>
        <v>1</v>
      </c>
      <c r="AF587" s="85" t="s">
        <v>1774</v>
      </c>
      <c r="AG587" s="53" t="s">
        <v>34</v>
      </c>
      <c r="AH587" s="53" t="s">
        <v>4201</v>
      </c>
      <c r="AI587" s="84">
        <v>1.0</v>
      </c>
      <c r="AJ587" s="84">
        <v>0.0</v>
      </c>
      <c r="AK587" s="87"/>
      <c r="AL587" s="81">
        <v>0.0</v>
      </c>
      <c r="AM587" s="21"/>
      <c r="AN587" s="16">
        <v>0.0</v>
      </c>
      <c r="AO587" s="90"/>
      <c r="AP587" s="16">
        <v>0.0</v>
      </c>
      <c r="AQ587" s="16">
        <v>0.0</v>
      </c>
      <c r="AR587" s="39"/>
      <c r="AS587" s="81">
        <v>0.0</v>
      </c>
      <c r="AT587" s="81">
        <v>0.0</v>
      </c>
      <c r="AU587" s="82"/>
      <c r="AV587" s="82"/>
      <c r="AW587" s="82"/>
      <c r="AX587" s="82"/>
      <c r="AY587" s="7"/>
      <c r="AZ587" s="7"/>
      <c r="BA587" s="7"/>
      <c r="BB587" s="7"/>
      <c r="BC587" s="7"/>
      <c r="BD587" s="7"/>
      <c r="BE587" s="7"/>
      <c r="BF587" s="7">
        <v>1000.0</v>
      </c>
      <c r="BG587" s="82"/>
      <c r="BH587" s="82"/>
      <c r="BI587" s="82"/>
      <c r="BJ587" s="82"/>
      <c r="BK587" s="82"/>
      <c r="BL587" s="82"/>
      <c r="BM587" s="82"/>
      <c r="BN587" s="7"/>
      <c r="BO587" s="7">
        <v>6.0</v>
      </c>
      <c r="BP587" s="82"/>
      <c r="BQ587" s="7"/>
      <c r="BR587" s="7" t="s">
        <v>196</v>
      </c>
    </row>
    <row r="588">
      <c r="A588" s="16">
        <v>44.0</v>
      </c>
      <c r="B588" s="16" t="s">
        <v>591</v>
      </c>
      <c r="C588" s="53">
        <v>1.0</v>
      </c>
      <c r="D588" s="21" t="s">
        <v>592</v>
      </c>
      <c r="E588" s="7">
        <v>381.0</v>
      </c>
      <c r="F588" s="53"/>
      <c r="G588" s="7"/>
      <c r="H588" s="16">
        <v>1.0</v>
      </c>
      <c r="I588" s="16">
        <v>1.0</v>
      </c>
      <c r="J588" s="39" t="s">
        <v>1788</v>
      </c>
      <c r="K588" s="53"/>
      <c r="L588" s="53"/>
      <c r="M588" s="39" t="str">
        <f t="shared" si="1"/>
        <v>[http://davis.wpi.edu/~matt/courses/clipping/ Greiner–Hormann clipping algorithm (1998)]</v>
      </c>
      <c r="N588" s="39" t="s">
        <v>4203</v>
      </c>
      <c r="O588" s="81">
        <v>1998.0</v>
      </c>
      <c r="P588" s="17" t="s">
        <v>4204</v>
      </c>
      <c r="Q588" s="7">
        <v>2.0</v>
      </c>
      <c r="R588" s="7">
        <v>1.0</v>
      </c>
      <c r="S588" s="114" t="s">
        <v>4205</v>
      </c>
      <c r="T588" s="16">
        <v>1.0</v>
      </c>
      <c r="U588" s="16" t="s">
        <v>1952</v>
      </c>
      <c r="V588" s="89">
        <f>IFERROR(__xludf.DUMMYFUNCTION("INDEX(SPLIT(SUBSTITUTE(W588,CHAR(10), """"),"",:""), MATCH(Z588, SPLIT(SUBSTITUTE(W588,CHAR(10), """"),"",:""), 0) + 1)"),5.0)</f>
        <v>5</v>
      </c>
      <c r="W588" s="85" t="s">
        <v>1938</v>
      </c>
      <c r="X588" s="147" t="s">
        <v>4206</v>
      </c>
      <c r="Y588" s="53" t="s">
        <v>4207</v>
      </c>
      <c r="Z588" s="53" t="str">
        <f t="array" ref="Z588">INDEX(Problems!J:J, MATCH(1, (Problems!B:B=B588)*1, 0))</f>
        <v>n</v>
      </c>
      <c r="AA588" s="53"/>
      <c r="AB588" s="53"/>
      <c r="AC588" s="53" t="s">
        <v>2312</v>
      </c>
      <c r="AD588" s="53" t="s">
        <v>1814</v>
      </c>
      <c r="AE588" s="85">
        <f>IFERROR(__xludf.DUMMYFUNCTION("INDEX(SPLIT(SUBSTITUTE(AF588,CHAR(10), """"),"",:""), MATCH(Z588, SPLIT(SUBSTITUTE(AF588,CHAR(10), """"),"",:""), 0) + 1)"),5.0)</f>
        <v>5</v>
      </c>
      <c r="AF588" s="85" t="s">
        <v>1938</v>
      </c>
      <c r="AG588" s="53" t="s">
        <v>2615</v>
      </c>
      <c r="AH588" s="53" t="s">
        <v>4208</v>
      </c>
      <c r="AI588" s="84">
        <v>1.0</v>
      </c>
      <c r="AJ588" s="84">
        <v>0.0</v>
      </c>
      <c r="AK588" s="87"/>
      <c r="AL588" s="81">
        <v>0.0</v>
      </c>
      <c r="AM588" s="21"/>
      <c r="AN588" s="16">
        <v>0.0</v>
      </c>
      <c r="AO588" s="90"/>
      <c r="AP588" s="16">
        <v>0.0</v>
      </c>
      <c r="AQ588" s="16">
        <v>0.0</v>
      </c>
      <c r="AR588" s="39"/>
      <c r="AS588" s="81">
        <v>0.0</v>
      </c>
      <c r="AT588" s="81">
        <v>0.0</v>
      </c>
      <c r="AU588" s="82"/>
      <c r="AV588" s="82"/>
      <c r="AW588" s="82"/>
      <c r="AX588" s="82"/>
      <c r="AY588" s="7"/>
      <c r="AZ588" s="7"/>
      <c r="BA588" s="7"/>
      <c r="BB588" s="7"/>
      <c r="BC588" s="7"/>
      <c r="BD588" s="7"/>
      <c r="BE588" s="7"/>
      <c r="BF588" s="7">
        <v>9965.0</v>
      </c>
      <c r="BG588" s="82">
        <f>1000000/9965</f>
        <v>100.3512293</v>
      </c>
      <c r="BH588" s="82"/>
      <c r="BI588" s="82">
        <f>1000000*LOG(1000000,2)</f>
        <v>19931568.57</v>
      </c>
      <c r="BJ588" s="82">
        <f>BI589/BI588</f>
        <v>50171.66594</v>
      </c>
      <c r="BK588" s="82"/>
      <c r="BL588" s="82">
        <f>1000000000*LOG(1000000000,2)</f>
        <v>29897352854</v>
      </c>
      <c r="BM588" s="82">
        <f>BL589/BL588</f>
        <v>33447777.3</v>
      </c>
      <c r="BN588" s="7"/>
      <c r="BO588" s="7">
        <v>4.0</v>
      </c>
      <c r="BP588" s="82"/>
      <c r="BQ588" s="7"/>
      <c r="BR588" s="7" t="s">
        <v>196</v>
      </c>
    </row>
    <row r="589">
      <c r="A589" s="16">
        <v>44.0</v>
      </c>
      <c r="B589" s="16" t="s">
        <v>591</v>
      </c>
      <c r="C589" s="53">
        <v>1.0</v>
      </c>
      <c r="D589" s="21" t="s">
        <v>595</v>
      </c>
      <c r="E589" s="7">
        <v>382.0</v>
      </c>
      <c r="F589" s="53"/>
      <c r="G589" s="7"/>
      <c r="H589" s="16">
        <v>1.0</v>
      </c>
      <c r="I589" s="16">
        <v>1.0</v>
      </c>
      <c r="J589" s="39" t="s">
        <v>115</v>
      </c>
      <c r="K589" s="53"/>
      <c r="L589" s="53"/>
      <c r="M589" s="39" t="str">
        <f t="shared" si="1"/>
        <v>[https://dl.acm.org/doi/10.1145/360767.360802 Sutherland–Hodgman algorithm (1974)]</v>
      </c>
      <c r="N589" s="39" t="s">
        <v>4209</v>
      </c>
      <c r="O589" s="81">
        <v>1974.0</v>
      </c>
      <c r="P589" s="114" t="s">
        <v>4210</v>
      </c>
      <c r="Q589" s="7">
        <v>1.0</v>
      </c>
      <c r="R589" s="7">
        <v>1.0</v>
      </c>
      <c r="S589" s="47" t="s">
        <v>4211</v>
      </c>
      <c r="T589" s="16">
        <v>1.0</v>
      </c>
      <c r="U589" s="16">
        <v>0.0</v>
      </c>
      <c r="V589" s="89">
        <f>IFERROR(__xludf.DUMMYFUNCTION("INDEX(SPLIT(SUBSTITUTE(W589,CHAR(10), """"),"",:""), MATCH(Z589, SPLIT(SUBSTITUTE(W589,CHAR(10), """"),"",:""), 0) + 1)"),5.0)</f>
        <v>5</v>
      </c>
      <c r="W589" s="85" t="s">
        <v>1938</v>
      </c>
      <c r="X589" s="39" t="s">
        <v>115</v>
      </c>
      <c r="Y589" s="53" t="s">
        <v>4207</v>
      </c>
      <c r="Z589" s="53" t="str">
        <f t="array" ref="Z589">INDEX(Problems!J:J, MATCH(1, (Problems!B:B=B589)*1, 0))</f>
        <v>n</v>
      </c>
      <c r="AA589" s="53"/>
      <c r="AB589" s="53"/>
      <c r="AC589" s="53" t="s">
        <v>2312</v>
      </c>
      <c r="AD589" s="53" t="s">
        <v>1814</v>
      </c>
      <c r="AE589" s="85">
        <f>IFERROR(__xludf.DUMMYFUNCTION("INDEX(SPLIT(SUBSTITUTE(AF589,CHAR(10), """"),"",:""), MATCH(Z589, SPLIT(SUBSTITUTE(AF589,CHAR(10), """"),"",:""), 0) + 1)"),3.0)</f>
        <v>3</v>
      </c>
      <c r="AF589" s="85" t="s">
        <v>1763</v>
      </c>
      <c r="AG589" s="53" t="s">
        <v>35</v>
      </c>
      <c r="AH589" s="53" t="s">
        <v>4212</v>
      </c>
      <c r="AI589" s="84">
        <v>1.0</v>
      </c>
      <c r="AJ589" s="84">
        <v>0.0</v>
      </c>
      <c r="AK589" s="87"/>
      <c r="AL589" s="81">
        <v>0.0</v>
      </c>
      <c r="AM589" s="21"/>
      <c r="AN589" s="16">
        <v>0.0</v>
      </c>
      <c r="AO589" s="90"/>
      <c r="AP589" s="16">
        <v>0.0</v>
      </c>
      <c r="AQ589" s="16">
        <v>0.0</v>
      </c>
      <c r="AR589" s="39"/>
      <c r="AS589" s="81">
        <v>0.0</v>
      </c>
      <c r="AT589" s="81">
        <v>0.0</v>
      </c>
      <c r="AU589" s="82"/>
      <c r="AV589" s="82"/>
      <c r="AW589" s="82"/>
      <c r="AX589" s="82"/>
      <c r="AY589" s="7"/>
      <c r="AZ589" s="7"/>
      <c r="BA589" s="7"/>
      <c r="BB589" s="7"/>
      <c r="BC589" s="7"/>
      <c r="BD589" s="7"/>
      <c r="BE589" s="7"/>
      <c r="BF589" s="7">
        <v>1000000.0</v>
      </c>
      <c r="BG589" s="7">
        <v>1.0</v>
      </c>
      <c r="BH589" s="82"/>
      <c r="BI589" s="82">
        <f>POW(1000000,2)</f>
        <v>1000000000000</v>
      </c>
      <c r="BJ589" s="7">
        <v>1.0</v>
      </c>
      <c r="BK589" s="82"/>
      <c r="BL589" s="82">
        <f>POW(1000000000,2)</f>
        <v>1E+18</v>
      </c>
      <c r="BM589" s="7">
        <v>1.0</v>
      </c>
      <c r="BN589" s="7"/>
      <c r="BO589" s="7">
        <v>4.0</v>
      </c>
      <c r="BP589" s="82"/>
      <c r="BQ589" s="7"/>
      <c r="BR589" s="7" t="s">
        <v>196</v>
      </c>
    </row>
    <row r="590">
      <c r="A590" s="16">
        <v>44.0</v>
      </c>
      <c r="B590" s="16" t="s">
        <v>591</v>
      </c>
      <c r="C590" s="53">
        <v>1.0</v>
      </c>
      <c r="D590" s="21" t="s">
        <v>592</v>
      </c>
      <c r="E590" s="7">
        <v>383.0</v>
      </c>
      <c r="F590" s="53"/>
      <c r="G590" s="7"/>
      <c r="H590" s="16">
        <v>1.0</v>
      </c>
      <c r="I590" s="16">
        <v>1.0</v>
      </c>
      <c r="J590" s="39" t="s">
        <v>1788</v>
      </c>
      <c r="K590" s="53"/>
      <c r="L590" s="53"/>
      <c r="M590" s="39" t="str">
        <f t="shared" si="1"/>
        <v>[https://dl.acm.org/doi/10.1145/129902.129906 Vatti clipping algorithm (1992)]</v>
      </c>
      <c r="N590" s="39" t="s">
        <v>4213</v>
      </c>
      <c r="O590" s="81">
        <v>1992.0</v>
      </c>
      <c r="P590" s="17" t="s">
        <v>4214</v>
      </c>
      <c r="Q590" s="82"/>
      <c r="R590" s="82"/>
      <c r="S590" s="82"/>
      <c r="T590" s="16">
        <v>0.0</v>
      </c>
      <c r="U590" s="16">
        <v>0.0</v>
      </c>
      <c r="V590" s="89">
        <f>IFERROR(__xludf.DUMMYFUNCTION("INDEX(SPLIT(SUBSTITUTE(W590,CHAR(10), """"),"",:""), MATCH(Z590, SPLIT(SUBSTITUTE(W590,CHAR(10), """"),"",:""), 0) + 1)"),5.0)</f>
        <v>5</v>
      </c>
      <c r="W590" s="85" t="s">
        <v>1938</v>
      </c>
      <c r="X590" s="147" t="s">
        <v>4206</v>
      </c>
      <c r="Y590" s="53" t="s">
        <v>4207</v>
      </c>
      <c r="Z590" s="53" t="str">
        <f t="array" ref="Z590">INDEX(Problems!J:J, MATCH(1, (Problems!B:B=B590)*1, 0))</f>
        <v>n</v>
      </c>
      <c r="AA590" s="53"/>
      <c r="AB590" s="53"/>
      <c r="AC590" s="53" t="s">
        <v>2312</v>
      </c>
      <c r="AD590" s="53" t="s">
        <v>1814</v>
      </c>
      <c r="AE590" s="85">
        <f>IFERROR(__xludf.DUMMYFUNCTION("INDEX(SPLIT(SUBSTITUTE(AF590,CHAR(10), """"),"",:""), MATCH(Z590, SPLIT(SUBSTITUTE(AF590,CHAR(10), """"),"",:""), 0) + 1)"),5.0)</f>
        <v>5</v>
      </c>
      <c r="AF590" s="85" t="s">
        <v>1938</v>
      </c>
      <c r="AG590" s="53" t="s">
        <v>2615</v>
      </c>
      <c r="AH590" s="53" t="s">
        <v>4208</v>
      </c>
      <c r="AI590" s="84">
        <v>1.0</v>
      </c>
      <c r="AJ590" s="84">
        <v>0.0</v>
      </c>
      <c r="AK590" s="87"/>
      <c r="AL590" s="81">
        <v>0.0</v>
      </c>
      <c r="AM590" s="21"/>
      <c r="AN590" s="16">
        <v>0.0</v>
      </c>
      <c r="AO590" s="90"/>
      <c r="AP590" s="16">
        <v>0.0</v>
      </c>
      <c r="AQ590" s="16">
        <v>0.0</v>
      </c>
      <c r="AR590" s="39"/>
      <c r="AS590" s="81">
        <v>0.0</v>
      </c>
      <c r="AT590" s="81">
        <v>0.0</v>
      </c>
      <c r="AU590" s="82"/>
      <c r="AV590" s="82"/>
      <c r="AW590" s="82"/>
      <c r="AX590" s="82"/>
      <c r="AY590" s="7"/>
      <c r="AZ590" s="7"/>
      <c r="BA590" s="7"/>
      <c r="BB590" s="7"/>
      <c r="BC590" s="7"/>
      <c r="BD590" s="7"/>
      <c r="BE590" s="7"/>
      <c r="BF590" s="7">
        <v>9965.0</v>
      </c>
      <c r="BG590" s="82"/>
      <c r="BH590" s="82"/>
      <c r="BI590" s="82"/>
      <c r="BJ590" s="82"/>
      <c r="BK590" s="82"/>
      <c r="BL590" s="82"/>
      <c r="BM590" s="82"/>
      <c r="BN590" s="7"/>
      <c r="BO590" s="7">
        <v>4.0</v>
      </c>
      <c r="BP590" s="82"/>
      <c r="BQ590" s="7"/>
      <c r="BR590" s="7" t="s">
        <v>196</v>
      </c>
    </row>
    <row r="591">
      <c r="A591" s="16">
        <v>44.0</v>
      </c>
      <c r="B591" s="16" t="s">
        <v>591</v>
      </c>
      <c r="C591" s="53">
        <v>1.0</v>
      </c>
      <c r="D591" s="21" t="s">
        <v>592</v>
      </c>
      <c r="E591" s="7">
        <v>384.0</v>
      </c>
      <c r="F591" s="53"/>
      <c r="G591" s="7"/>
      <c r="H591" s="16">
        <v>1.0</v>
      </c>
      <c r="I591" s="16">
        <v>1.0</v>
      </c>
      <c r="J591" s="39" t="s">
        <v>115</v>
      </c>
      <c r="K591" s="53"/>
      <c r="L591" s="53"/>
      <c r="M591" s="39" t="str">
        <f t="shared" si="1"/>
        <v>[https://www.cs.drexel.edu/~david/Classes/CS430/HWs/p214-weiler.pdf Weiler–Atherton clipping algorithm (1977)]</v>
      </c>
      <c r="N591" s="39" t="s">
        <v>4215</v>
      </c>
      <c r="O591" s="81">
        <v>1977.0</v>
      </c>
      <c r="P591" s="25" t="s">
        <v>4216</v>
      </c>
      <c r="Q591" s="82"/>
      <c r="R591" s="82"/>
      <c r="S591" s="82"/>
      <c r="T591" s="16">
        <v>0.0</v>
      </c>
      <c r="U591" s="16">
        <v>0.0</v>
      </c>
      <c r="V591" s="89">
        <f>IFERROR(__xludf.DUMMYFUNCTION("INDEX(SPLIT(SUBSTITUTE(W591,CHAR(10), """"),"",:""), MATCH(Z591, SPLIT(SUBSTITUTE(W591,CHAR(10), """"),"",:""), 0) + 1)"),5.0)</f>
        <v>5</v>
      </c>
      <c r="W591" s="85" t="s">
        <v>1938</v>
      </c>
      <c r="X591" s="39" t="s">
        <v>115</v>
      </c>
      <c r="Y591" s="53" t="s">
        <v>4207</v>
      </c>
      <c r="Z591" s="53" t="str">
        <f t="array" ref="Z591">INDEX(Problems!J:J, MATCH(1, (Problems!B:B=B591)*1, 0))</f>
        <v>n</v>
      </c>
      <c r="AA591" s="53"/>
      <c r="AB591" s="53"/>
      <c r="AC591" s="53" t="s">
        <v>2312</v>
      </c>
      <c r="AD591" s="53" t="s">
        <v>1814</v>
      </c>
      <c r="AE591" s="85">
        <f>IFERROR(__xludf.DUMMYFUNCTION("INDEX(SPLIT(SUBSTITUTE(AF591,CHAR(10), """"),"",:""), MATCH(Z591, SPLIT(SUBSTITUTE(AF591,CHAR(10), """"),"",:""), 0) + 1)"),5.0)</f>
        <v>5</v>
      </c>
      <c r="AF591" s="85" t="s">
        <v>1938</v>
      </c>
      <c r="AG591" s="53" t="s">
        <v>2615</v>
      </c>
      <c r="AH591" s="53" t="s">
        <v>4208</v>
      </c>
      <c r="AI591" s="84">
        <v>1.0</v>
      </c>
      <c r="AJ591" s="84">
        <v>0.0</v>
      </c>
      <c r="AK591" s="87"/>
      <c r="AL591" s="81">
        <v>0.0</v>
      </c>
      <c r="AM591" s="21"/>
      <c r="AN591" s="16">
        <v>0.0</v>
      </c>
      <c r="AO591" s="90"/>
      <c r="AP591" s="16">
        <v>0.0</v>
      </c>
      <c r="AQ591" s="16">
        <v>0.0</v>
      </c>
      <c r="AR591" s="39"/>
      <c r="AS591" s="81">
        <v>0.0</v>
      </c>
      <c r="AT591" s="81">
        <v>0.0</v>
      </c>
      <c r="AU591" s="82"/>
      <c r="AV591" s="82"/>
      <c r="AW591" s="82"/>
      <c r="AX591" s="82"/>
      <c r="AY591" s="7"/>
      <c r="AZ591" s="7"/>
      <c r="BA591" s="7"/>
      <c r="BB591" s="7"/>
      <c r="BC591" s="7"/>
      <c r="BD591" s="7"/>
      <c r="BE591" s="7"/>
      <c r="BF591" s="7">
        <v>1000000.0</v>
      </c>
      <c r="BG591" s="82"/>
      <c r="BH591" s="82"/>
      <c r="BI591" s="82"/>
      <c r="BJ591" s="82"/>
      <c r="BK591" s="82"/>
      <c r="BL591" s="82"/>
      <c r="BM591" s="82"/>
      <c r="BN591" s="7"/>
      <c r="BO591" s="7">
        <v>4.0</v>
      </c>
      <c r="BP591" s="82"/>
      <c r="BQ591" s="7"/>
      <c r="BR591" s="7" t="s">
        <v>196</v>
      </c>
    </row>
    <row r="592">
      <c r="A592" s="16">
        <v>47.0</v>
      </c>
      <c r="B592" s="16" t="s">
        <v>607</v>
      </c>
      <c r="C592" s="53">
        <v>2.0</v>
      </c>
      <c r="D592" s="53" t="s">
        <v>4217</v>
      </c>
      <c r="E592" s="7">
        <v>398.0</v>
      </c>
      <c r="F592" s="53"/>
      <c r="G592" s="7">
        <v>0.0</v>
      </c>
      <c r="H592" s="16">
        <v>1.0</v>
      </c>
      <c r="I592" s="16">
        <v>1.0</v>
      </c>
      <c r="J592" s="39" t="s">
        <v>115</v>
      </c>
      <c r="K592" s="53"/>
      <c r="L592" s="53"/>
      <c r="M592" s="39" t="str">
        <f t="shared" si="1"/>
        <v>[https://onlinelibrary.wiley.com/doi/abs/10.1002/zamm.19210010104 Inverse iteration (1921)]</v>
      </c>
      <c r="N592" s="39" t="s">
        <v>4218</v>
      </c>
      <c r="O592" s="83">
        <v>1921.0</v>
      </c>
      <c r="P592" s="25" t="s">
        <v>4219</v>
      </c>
      <c r="Q592" s="82"/>
      <c r="R592" s="82"/>
      <c r="S592" s="82"/>
      <c r="T592" s="16">
        <v>0.0</v>
      </c>
      <c r="U592" s="16">
        <v>0.0</v>
      </c>
      <c r="V592" s="89">
        <f>IFERROR(__xludf.DUMMYFUNCTION("INDEX(SPLIT(SUBSTITUTE(W592,CHAR(10), """"),"",:""), MATCH(Z592, SPLIT(SUBSTITUTE(W592,CHAR(10), """"),"",:""), 0) + 1)"),3.0)</f>
        <v>3</v>
      </c>
      <c r="W592" s="85" t="s">
        <v>2059</v>
      </c>
      <c r="X592" s="39" t="s">
        <v>115</v>
      </c>
      <c r="Y592" s="53" t="s">
        <v>3393</v>
      </c>
      <c r="Z592" s="53" t="str">
        <f t="array" ref="Z592">INDEX(Problems!J:J, MATCH(1, (Problems!B:B=B592)*1, 0))</f>
        <v>n^2</v>
      </c>
      <c r="AA592" s="53"/>
      <c r="AB592" s="53"/>
      <c r="AC592" s="53" t="s">
        <v>2312</v>
      </c>
      <c r="AD592" s="53" t="s">
        <v>1814</v>
      </c>
      <c r="AE592" s="85">
        <f>IFERROR(__xludf.DUMMYFUNCTION("INDEX(SPLIT(SUBSTITUTE(AF592,CHAR(10), """"),"",:""), MATCH(Z592, SPLIT(SUBSTITUTE(AF592,CHAR(10), """"),"",:""), 0) + 1)"),3.0)</f>
        <v>3</v>
      </c>
      <c r="AF592" s="85" t="s">
        <v>2059</v>
      </c>
      <c r="AG592" s="53" t="s">
        <v>115</v>
      </c>
      <c r="AH592" s="53" t="s">
        <v>4220</v>
      </c>
      <c r="AI592" s="84">
        <v>1.0</v>
      </c>
      <c r="AJ592" s="84">
        <v>0.0</v>
      </c>
      <c r="AK592" s="87"/>
      <c r="AL592" s="81">
        <v>0.0</v>
      </c>
      <c r="AM592" s="21"/>
      <c r="AN592" s="16">
        <v>0.0</v>
      </c>
      <c r="AO592" s="90"/>
      <c r="AP592" s="16">
        <v>0.0</v>
      </c>
      <c r="AQ592" s="16">
        <v>0.0</v>
      </c>
      <c r="AR592" s="39"/>
      <c r="AS592" s="81">
        <v>0.0</v>
      </c>
      <c r="AT592" s="81">
        <v>0.0</v>
      </c>
      <c r="AU592" s="82"/>
      <c r="AV592" s="82"/>
      <c r="AW592" s="82"/>
      <c r="AX592" s="82"/>
      <c r="AY592" s="7"/>
      <c r="AZ592" s="7"/>
      <c r="BA592" s="7"/>
      <c r="BB592" s="7"/>
      <c r="BC592" s="7"/>
      <c r="BD592" s="7"/>
      <c r="BE592" s="7"/>
      <c r="BF592" s="7">
        <v>1000000.0</v>
      </c>
      <c r="BG592" s="82"/>
      <c r="BH592" s="82"/>
      <c r="BI592" s="82"/>
      <c r="BJ592" s="82"/>
      <c r="BK592" s="82"/>
      <c r="BL592" s="82"/>
      <c r="BM592" s="82"/>
      <c r="BN592" s="7"/>
      <c r="BO592" s="7">
        <v>4.0</v>
      </c>
      <c r="BP592" s="82"/>
      <c r="BQ592" s="7"/>
      <c r="BR592" s="7" t="s">
        <v>144</v>
      </c>
    </row>
    <row r="593">
      <c r="A593" s="16">
        <v>47.0</v>
      </c>
      <c r="B593" s="16" t="s">
        <v>607</v>
      </c>
      <c r="C593" s="53">
        <v>2.0</v>
      </c>
      <c r="D593" s="53" t="s">
        <v>4221</v>
      </c>
      <c r="E593" s="7">
        <v>399.0</v>
      </c>
      <c r="F593" s="53"/>
      <c r="G593" s="7">
        <v>0.0</v>
      </c>
      <c r="H593" s="16">
        <v>1.0</v>
      </c>
      <c r="I593" s="16">
        <v>1.0</v>
      </c>
      <c r="J593" s="39" t="s">
        <v>115</v>
      </c>
      <c r="K593" s="53"/>
      <c r="L593" s="53"/>
      <c r="M593" s="39" t="str">
        <f t="shared" si="1"/>
        <v>[- Rayleigh quotient iteration (1940)]</v>
      </c>
      <c r="N593" s="39" t="s">
        <v>4222</v>
      </c>
      <c r="O593" s="81">
        <v>1940.0</v>
      </c>
      <c r="P593" s="16" t="s">
        <v>1937</v>
      </c>
      <c r="Q593" s="82"/>
      <c r="R593" s="82"/>
      <c r="S593" s="82"/>
      <c r="T593" s="16">
        <v>0.0</v>
      </c>
      <c r="U593" s="16">
        <v>0.0</v>
      </c>
      <c r="V593" s="89">
        <f>IFERROR(__xludf.DUMMYFUNCTION("INDEX(SPLIT(SUBSTITUTE(W593,CHAR(10), """"),"",:""), MATCH(Z593, SPLIT(SUBSTITUTE(W593,CHAR(10), """"),"",:""), 0) + 1)"),3.0)</f>
        <v>3</v>
      </c>
      <c r="W593" s="85" t="s">
        <v>2059</v>
      </c>
      <c r="X593" s="39" t="s">
        <v>115</v>
      </c>
      <c r="Y593" s="53" t="s">
        <v>3393</v>
      </c>
      <c r="Z593" s="53" t="str">
        <f t="array" ref="Z593">INDEX(Problems!J:J, MATCH(1, (Problems!B:B=B593)*1, 0))</f>
        <v>n^2</v>
      </c>
      <c r="AA593" s="53"/>
      <c r="AB593" s="53"/>
      <c r="AC593" s="53" t="s">
        <v>2312</v>
      </c>
      <c r="AD593" s="53" t="s">
        <v>1814</v>
      </c>
      <c r="AE593" s="85">
        <f>IFERROR(__xludf.DUMMYFUNCTION("INDEX(SPLIT(SUBSTITUTE(AF593,CHAR(10), """"),"",:""), MATCH(Z593, SPLIT(SUBSTITUTE(AF593,CHAR(10), """"),"",:""), 0) + 1)"),3.0)</f>
        <v>3</v>
      </c>
      <c r="AF593" s="85" t="s">
        <v>2059</v>
      </c>
      <c r="AG593" s="53" t="s">
        <v>115</v>
      </c>
      <c r="AH593" s="53" t="s">
        <v>4223</v>
      </c>
      <c r="AI593" s="84">
        <v>1.0</v>
      </c>
      <c r="AJ593" s="84">
        <v>0.0</v>
      </c>
      <c r="AK593" s="87"/>
      <c r="AL593" s="81">
        <v>0.0</v>
      </c>
      <c r="AM593" s="21"/>
      <c r="AN593" s="16">
        <v>0.0</v>
      </c>
      <c r="AO593" s="90"/>
      <c r="AP593" s="16">
        <v>0.0</v>
      </c>
      <c r="AQ593" s="16">
        <v>0.0</v>
      </c>
      <c r="AR593" s="39"/>
      <c r="AS593" s="81">
        <v>0.0</v>
      </c>
      <c r="AT593" s="81">
        <v>0.0</v>
      </c>
      <c r="AU593" s="47" t="s">
        <v>4224</v>
      </c>
      <c r="AV593" s="82"/>
      <c r="AW593" s="82"/>
      <c r="AX593" s="82"/>
      <c r="AY593" s="7"/>
      <c r="AZ593" s="7"/>
      <c r="BA593" s="7"/>
      <c r="BB593" s="7"/>
      <c r="BC593" s="7"/>
      <c r="BD593" s="7"/>
      <c r="BE593" s="7"/>
      <c r="BF593" s="7">
        <v>1000000.0</v>
      </c>
      <c r="BG593" s="82"/>
      <c r="BH593" s="82"/>
      <c r="BI593" s="82"/>
      <c r="BJ593" s="82"/>
      <c r="BK593" s="82"/>
      <c r="BL593" s="82"/>
      <c r="BM593" s="82"/>
      <c r="BN593" s="7"/>
      <c r="BO593" s="7">
        <v>4.0</v>
      </c>
      <c r="BP593" s="82"/>
      <c r="BQ593" s="7"/>
      <c r="BR593" s="7" t="s">
        <v>144</v>
      </c>
    </row>
    <row r="594">
      <c r="A594" s="16">
        <v>47.0</v>
      </c>
      <c r="B594" s="16" t="s">
        <v>607</v>
      </c>
      <c r="C594" s="53">
        <v>1.0</v>
      </c>
      <c r="D594" s="53" t="s">
        <v>4217</v>
      </c>
      <c r="E594" s="7">
        <v>400.0</v>
      </c>
      <c r="F594" s="53"/>
      <c r="G594" s="7">
        <v>0.0</v>
      </c>
      <c r="H594" s="16">
        <v>1.0</v>
      </c>
      <c r="I594" s="16">
        <v>1.0</v>
      </c>
      <c r="J594" s="39" t="s">
        <v>115</v>
      </c>
      <c r="K594" s="53"/>
      <c r="L594" s="53"/>
      <c r="M594" s="39" t="str">
        <f t="shared" si="1"/>
        <v>[- LOBPCG algorithm (1948)]</v>
      </c>
      <c r="N594" s="39" t="s">
        <v>4225</v>
      </c>
      <c r="O594" s="81">
        <v>1948.0</v>
      </c>
      <c r="P594" s="16" t="s">
        <v>1937</v>
      </c>
      <c r="Q594" s="82"/>
      <c r="R594" s="82"/>
      <c r="S594" s="82"/>
      <c r="T594" s="16">
        <v>0.0</v>
      </c>
      <c r="U594" s="16">
        <v>0.0</v>
      </c>
      <c r="V594" s="89">
        <f>IFERROR(__xludf.DUMMYFUNCTION("INDEX(SPLIT(SUBSTITUTE(W594,CHAR(10), """"),"",:""), MATCH(Z594, SPLIT(SUBSTITUTE(W594,CHAR(10), """"),"",:""), 0) + 1)"),3.0)</f>
        <v>3</v>
      </c>
      <c r="W594" s="85" t="s">
        <v>2059</v>
      </c>
      <c r="X594" s="39" t="s">
        <v>115</v>
      </c>
      <c r="Y594" s="53" t="s">
        <v>3393</v>
      </c>
      <c r="Z594" s="53" t="str">
        <f t="array" ref="Z594">INDEX(Problems!J:J, MATCH(1, (Problems!B:B=B594)*1, 0))</f>
        <v>n^2</v>
      </c>
      <c r="AA594" s="53"/>
      <c r="AB594" s="53"/>
      <c r="AC594" s="53" t="s">
        <v>2312</v>
      </c>
      <c r="AD594" s="53" t="s">
        <v>1814</v>
      </c>
      <c r="AE594" s="85">
        <f>IFERROR(__xludf.DUMMYFUNCTION("INDEX(SPLIT(SUBSTITUTE(AF594,CHAR(10), """"),"",:""), MATCH(Z594, SPLIT(SUBSTITUTE(AF594,CHAR(10), """"),"",:""), 0) + 1)"),2.5)</f>
        <v>2.5</v>
      </c>
      <c r="AF594" s="85" t="s">
        <v>1903</v>
      </c>
      <c r="AG594" s="53" t="s">
        <v>2625</v>
      </c>
      <c r="AH594" s="53" t="s">
        <v>4226</v>
      </c>
      <c r="AI594" s="84">
        <v>1.0</v>
      </c>
      <c r="AJ594" s="84">
        <v>0.0</v>
      </c>
      <c r="AK594" s="87"/>
      <c r="AL594" s="81">
        <v>0.0</v>
      </c>
      <c r="AM594" s="21"/>
      <c r="AN594" s="16">
        <v>0.0</v>
      </c>
      <c r="AO594" s="90"/>
      <c r="AP594" s="16">
        <v>0.0</v>
      </c>
      <c r="AQ594" s="16">
        <v>0.0</v>
      </c>
      <c r="AR594" s="39"/>
      <c r="AS594" s="81">
        <v>0.0</v>
      </c>
      <c r="AT594" s="81">
        <v>0.0</v>
      </c>
      <c r="AU594" s="47" t="s">
        <v>4227</v>
      </c>
      <c r="AV594" s="82"/>
      <c r="AW594" s="82"/>
      <c r="AX594" s="82"/>
      <c r="AY594" s="7"/>
      <c r="AZ594" s="7"/>
      <c r="BA594" s="7"/>
      <c r="BB594" s="7"/>
      <c r="BC594" s="7"/>
      <c r="BD594" s="7"/>
      <c r="BE594" s="7"/>
      <c r="BF594" s="7">
        <v>1000000.0</v>
      </c>
      <c r="BG594" s="82"/>
      <c r="BH594" s="82"/>
      <c r="BI594" s="82"/>
      <c r="BJ594" s="82"/>
      <c r="BK594" s="82"/>
      <c r="BL594" s="82"/>
      <c r="BM594" s="82"/>
      <c r="BN594" s="7"/>
      <c r="BO594" s="7">
        <v>4.0</v>
      </c>
      <c r="BP594" s="82"/>
      <c r="BQ594" s="7"/>
      <c r="BR594" s="7" t="s">
        <v>144</v>
      </c>
    </row>
    <row r="595">
      <c r="A595" s="16">
        <v>47.0</v>
      </c>
      <c r="B595" s="16" t="s">
        <v>607</v>
      </c>
      <c r="C595" s="53">
        <v>1.0</v>
      </c>
      <c r="D595" s="53" t="s">
        <v>4228</v>
      </c>
      <c r="E595" s="7">
        <v>401.0</v>
      </c>
      <c r="F595" s="53"/>
      <c r="G595" s="7">
        <v>0.0</v>
      </c>
      <c r="H595" s="16">
        <v>1.0</v>
      </c>
      <c r="I595" s="16">
        <v>1.0</v>
      </c>
      <c r="J595" s="39" t="s">
        <v>115</v>
      </c>
      <c r="K595" s="53"/>
      <c r="L595" s="53"/>
      <c r="M595" s="39" t="str">
        <f t="shared" si="1"/>
        <v>[- Bisection method (1985)]</v>
      </c>
      <c r="N595" s="39" t="s">
        <v>4229</v>
      </c>
      <c r="O595" s="81">
        <v>1985.0</v>
      </c>
      <c r="P595" s="16" t="s">
        <v>1937</v>
      </c>
      <c r="Q595" s="82"/>
      <c r="R595" s="82"/>
      <c r="S595" s="82"/>
      <c r="T595" s="16">
        <v>0.0</v>
      </c>
      <c r="U595" s="16">
        <v>0.0</v>
      </c>
      <c r="V595" s="89">
        <f>IFERROR(__xludf.DUMMYFUNCTION("INDEX(SPLIT(SUBSTITUTE(W595,CHAR(10), """"),"",:""), MATCH(Z595, SPLIT(SUBSTITUTE(W595,CHAR(10), """"),"",:""), 0) + 1)"),3.0)</f>
        <v>3</v>
      </c>
      <c r="W595" s="85" t="s">
        <v>2059</v>
      </c>
      <c r="X595" s="39" t="s">
        <v>115</v>
      </c>
      <c r="Y595" s="53" t="s">
        <v>3393</v>
      </c>
      <c r="Z595" s="53" t="str">
        <f t="array" ref="Z595">INDEX(Problems!J:J, MATCH(1, (Problems!B:B=B595)*1, 0))</f>
        <v>n^2</v>
      </c>
      <c r="AA595" s="53"/>
      <c r="AB595" s="53"/>
      <c r="AC595" s="53" t="s">
        <v>2312</v>
      </c>
      <c r="AD595" s="53" t="s">
        <v>1814</v>
      </c>
      <c r="AE595" s="85">
        <f>IFERROR(__xludf.DUMMYFUNCTION("INDEX(SPLIT(SUBSTITUTE(AF595,CHAR(10), """"),"",:""), MATCH(Z595, SPLIT(SUBSTITUTE(AF595,CHAR(10), """"),"",:""), 0) + 1)"),3.0)</f>
        <v>3</v>
      </c>
      <c r="AF595" s="85" t="s">
        <v>2059</v>
      </c>
      <c r="AG595" s="53" t="s">
        <v>2615</v>
      </c>
      <c r="AH595" s="53" t="s">
        <v>4230</v>
      </c>
      <c r="AI595" s="84">
        <v>1.0</v>
      </c>
      <c r="AJ595" s="84">
        <v>0.0</v>
      </c>
      <c r="AK595" s="87"/>
      <c r="AL595" s="81">
        <v>0.0</v>
      </c>
      <c r="AM595" s="21"/>
      <c r="AN595" s="16">
        <v>0.0</v>
      </c>
      <c r="AO595" s="90"/>
      <c r="AP595" s="16">
        <v>0.0</v>
      </c>
      <c r="AQ595" s="16">
        <v>0.0</v>
      </c>
      <c r="AR595" s="39"/>
      <c r="AS595" s="81">
        <v>0.0</v>
      </c>
      <c r="AT595" s="81">
        <v>0.0</v>
      </c>
      <c r="AU595" s="82"/>
      <c r="AV595" s="82"/>
      <c r="AW595" s="82"/>
      <c r="AX595" s="82"/>
      <c r="AY595" s="7"/>
      <c r="AZ595" s="7"/>
      <c r="BA595" s="7"/>
      <c r="BB595" s="7"/>
      <c r="BC595" s="7"/>
      <c r="BD595" s="7"/>
      <c r="BE595" s="7"/>
      <c r="BF595" s="7">
        <v>1000000.0</v>
      </c>
      <c r="BG595" s="82"/>
      <c r="BH595" s="82"/>
      <c r="BI595" s="82"/>
      <c r="BJ595" s="82"/>
      <c r="BK595" s="82"/>
      <c r="BL595" s="82"/>
      <c r="BM595" s="82"/>
      <c r="BN595" s="7"/>
      <c r="BO595" s="7">
        <v>4.0</v>
      </c>
      <c r="BP595" s="82"/>
      <c r="BQ595" s="7"/>
      <c r="BR595" s="7" t="s">
        <v>144</v>
      </c>
    </row>
    <row r="596">
      <c r="A596" s="16">
        <v>47.0</v>
      </c>
      <c r="B596" s="16" t="s">
        <v>607</v>
      </c>
      <c r="C596" s="53">
        <v>1.0</v>
      </c>
      <c r="D596" s="53" t="s">
        <v>4228</v>
      </c>
      <c r="E596" s="7">
        <v>402.0</v>
      </c>
      <c r="F596" s="53"/>
      <c r="G596" s="7">
        <v>0.0</v>
      </c>
      <c r="H596" s="16">
        <v>1.0</v>
      </c>
      <c r="I596" s="16">
        <v>1.0</v>
      </c>
      <c r="J596" s="39" t="s">
        <v>115</v>
      </c>
      <c r="K596" s="53"/>
      <c r="L596" s="53"/>
      <c r="M596" s="39" t="str">
        <f t="shared" si="1"/>
        <v>[- Laguerre iteration (1940)]</v>
      </c>
      <c r="N596" s="39" t="s">
        <v>4231</v>
      </c>
      <c r="O596" s="83">
        <v>1940.0</v>
      </c>
      <c r="P596" s="16" t="s">
        <v>1937</v>
      </c>
      <c r="Q596" s="82"/>
      <c r="R596" s="82"/>
      <c r="S596" s="82"/>
      <c r="T596" s="16">
        <v>0.0</v>
      </c>
      <c r="U596" s="16">
        <v>0.0</v>
      </c>
      <c r="V596" s="89">
        <f>IFERROR(__xludf.DUMMYFUNCTION("INDEX(SPLIT(SUBSTITUTE(W596,CHAR(10), """"),"",:""), MATCH(Z596, SPLIT(SUBSTITUTE(W596,CHAR(10), """"),"",:""), 0) + 1)"),3.0)</f>
        <v>3</v>
      </c>
      <c r="W596" s="85" t="s">
        <v>2059</v>
      </c>
      <c r="X596" s="39" t="s">
        <v>115</v>
      </c>
      <c r="Y596" s="53" t="s">
        <v>3393</v>
      </c>
      <c r="Z596" s="53" t="str">
        <f t="array" ref="Z596">INDEX(Problems!J:J, MATCH(1, (Problems!B:B=B596)*1, 0))</f>
        <v>n^2</v>
      </c>
      <c r="AA596" s="53"/>
      <c r="AB596" s="53"/>
      <c r="AC596" s="53" t="s">
        <v>2312</v>
      </c>
      <c r="AD596" s="53" t="s">
        <v>1814</v>
      </c>
      <c r="AE596" s="85">
        <f>IFERROR(__xludf.DUMMYFUNCTION("INDEX(SPLIT(SUBSTITUTE(AF596,CHAR(10), """"),"",:""), MATCH(Z596, SPLIT(SUBSTITUTE(AF596,CHAR(10), """"),"",:""), 0) + 1)"),3.0)</f>
        <v>3</v>
      </c>
      <c r="AF596" s="85" t="s">
        <v>2059</v>
      </c>
      <c r="AG596" s="53" t="s">
        <v>2615</v>
      </c>
      <c r="AH596" s="53" t="s">
        <v>2027</v>
      </c>
      <c r="AI596" s="84">
        <v>1.0</v>
      </c>
      <c r="AJ596" s="84">
        <v>0.0</v>
      </c>
      <c r="AK596" s="87"/>
      <c r="AL596" s="81">
        <v>0.0</v>
      </c>
      <c r="AM596" s="21"/>
      <c r="AN596" s="16">
        <v>0.0</v>
      </c>
      <c r="AO596" s="90"/>
      <c r="AP596" s="16">
        <v>0.0</v>
      </c>
      <c r="AQ596" s="16">
        <v>0.0</v>
      </c>
      <c r="AR596" s="39"/>
      <c r="AS596" s="81">
        <v>0.0</v>
      </c>
      <c r="AT596" s="81">
        <v>0.0</v>
      </c>
      <c r="AU596" s="47" t="s">
        <v>4232</v>
      </c>
      <c r="AV596" s="82"/>
      <c r="AW596" s="82"/>
      <c r="AX596" s="82"/>
      <c r="AY596" s="7"/>
      <c r="AZ596" s="7"/>
      <c r="BA596" s="7"/>
      <c r="BB596" s="7"/>
      <c r="BC596" s="7"/>
      <c r="BD596" s="7"/>
      <c r="BE596" s="7"/>
      <c r="BF596" s="7">
        <v>1000000.0</v>
      </c>
      <c r="BG596" s="82"/>
      <c r="BH596" s="82"/>
      <c r="BI596" s="82"/>
      <c r="BJ596" s="82"/>
      <c r="BK596" s="82"/>
      <c r="BL596" s="82"/>
      <c r="BM596" s="82"/>
      <c r="BN596" s="7"/>
      <c r="BO596" s="7">
        <v>4.0</v>
      </c>
      <c r="BP596" s="82"/>
      <c r="BQ596" s="7"/>
      <c r="BR596" s="7" t="s">
        <v>144</v>
      </c>
    </row>
    <row r="597">
      <c r="A597" s="16">
        <v>47.0</v>
      </c>
      <c r="B597" s="16" t="s">
        <v>607</v>
      </c>
      <c r="C597" s="53">
        <v>2.0</v>
      </c>
      <c r="D597" s="53" t="s">
        <v>4233</v>
      </c>
      <c r="E597" s="7">
        <v>403.0</v>
      </c>
      <c r="F597" s="53"/>
      <c r="G597" s="7">
        <v>0.0</v>
      </c>
      <c r="H597" s="16">
        <v>1.0</v>
      </c>
      <c r="I597" s="16">
        <v>1.0</v>
      </c>
      <c r="J597" s="39" t="s">
        <v>115</v>
      </c>
      <c r="K597" s="53"/>
      <c r="L597" s="53"/>
      <c r="M597" s="39" t="str">
        <f t="shared" si="1"/>
        <v>[https://academic.oup.com/comjnl/article/4/4/332/432033 QR algorithm (1962)]</v>
      </c>
      <c r="N597" s="39" t="s">
        <v>4234</v>
      </c>
      <c r="O597" s="81">
        <v>1962.0</v>
      </c>
      <c r="P597" s="25" t="s">
        <v>4235</v>
      </c>
      <c r="Q597" s="82"/>
      <c r="R597" s="82"/>
      <c r="S597" s="82"/>
      <c r="T597" s="16">
        <v>0.0</v>
      </c>
      <c r="U597" s="16">
        <v>0.0</v>
      </c>
      <c r="V597" s="89">
        <f>IFERROR(__xludf.DUMMYFUNCTION("INDEX(SPLIT(SUBSTITUTE(W597,CHAR(10), """"),"",:""), MATCH(Z597, SPLIT(SUBSTITUTE(W597,CHAR(10), """"),"",:""), 0) + 1)"),3.0)</f>
        <v>3</v>
      </c>
      <c r="W597" s="85" t="s">
        <v>2059</v>
      </c>
      <c r="X597" s="39" t="s">
        <v>115</v>
      </c>
      <c r="Y597" s="53" t="s">
        <v>3393</v>
      </c>
      <c r="Z597" s="53" t="str">
        <f t="array" ref="Z597">INDEX(Problems!J:J, MATCH(1, (Problems!B:B=B597)*1, 0))</f>
        <v>n^2</v>
      </c>
      <c r="AA597" s="53"/>
      <c r="AB597" s="53"/>
      <c r="AC597" s="53" t="s">
        <v>2312</v>
      </c>
      <c r="AD597" s="53" t="s">
        <v>1814</v>
      </c>
      <c r="AE597" s="85">
        <f>IFERROR(__xludf.DUMMYFUNCTION("INDEX(SPLIT(SUBSTITUTE(AF597,CHAR(10), """"),"",:""), MATCH(Z597, SPLIT(SUBSTITUTE(AF597,CHAR(10), """"),"",:""), 0) + 1)"),3.0)</f>
        <v>3</v>
      </c>
      <c r="AF597" s="85" t="s">
        <v>2059</v>
      </c>
      <c r="AG597" s="53" t="s">
        <v>115</v>
      </c>
      <c r="AH597" s="53" t="s">
        <v>4236</v>
      </c>
      <c r="AI597" s="84">
        <v>1.0</v>
      </c>
      <c r="AJ597" s="84">
        <v>0.0</v>
      </c>
      <c r="AK597" s="87"/>
      <c r="AL597" s="81">
        <v>0.0</v>
      </c>
      <c r="AM597" s="21"/>
      <c r="AN597" s="16">
        <v>0.0</v>
      </c>
      <c r="AO597" s="90"/>
      <c r="AP597" s="16">
        <v>0.0</v>
      </c>
      <c r="AQ597" s="16">
        <v>0.0</v>
      </c>
      <c r="AR597" s="39"/>
      <c r="AS597" s="81">
        <v>0.0</v>
      </c>
      <c r="AT597" s="81">
        <v>0.0</v>
      </c>
      <c r="AU597" s="7"/>
      <c r="AV597" s="82"/>
      <c r="AW597" s="82"/>
      <c r="AX597" s="82"/>
      <c r="AY597" s="7"/>
      <c r="AZ597" s="7"/>
      <c r="BA597" s="7"/>
      <c r="BB597" s="7"/>
      <c r="BC597" s="7"/>
      <c r="BD597" s="7"/>
      <c r="BE597" s="7"/>
      <c r="BF597" s="7">
        <v>1000000.0</v>
      </c>
      <c r="BG597" s="82"/>
      <c r="BH597" s="82"/>
      <c r="BI597" s="82"/>
      <c r="BJ597" s="82"/>
      <c r="BK597" s="82"/>
      <c r="BL597" s="82"/>
      <c r="BM597" s="82"/>
      <c r="BN597" s="7"/>
      <c r="BO597" s="7">
        <v>4.0</v>
      </c>
      <c r="BP597" s="82"/>
      <c r="BQ597" s="7"/>
      <c r="BR597" s="7" t="s">
        <v>144</v>
      </c>
    </row>
    <row r="598">
      <c r="A598" s="16">
        <v>47.0</v>
      </c>
      <c r="B598" s="16" t="s">
        <v>607</v>
      </c>
      <c r="C598" s="53">
        <v>1.0</v>
      </c>
      <c r="D598" s="53" t="s">
        <v>4233</v>
      </c>
      <c r="E598" s="7">
        <v>404.0</v>
      </c>
      <c r="F598" s="53"/>
      <c r="G598" s="7">
        <v>0.0</v>
      </c>
      <c r="H598" s="16">
        <v>1.0</v>
      </c>
      <c r="I598" s="16">
        <v>1.0</v>
      </c>
      <c r="J598" s="39" t="s">
        <v>115</v>
      </c>
      <c r="K598" s="53"/>
      <c r="L598" s="53"/>
      <c r="M598" s="39" t="str">
        <f t="shared" si="1"/>
        <v>[https://gdz.sub.uni-goettingen.de/id/PPN243919689_0030 Jacobi eigenvalue algorithm (1846)]</v>
      </c>
      <c r="N598" s="39" t="s">
        <v>4237</v>
      </c>
      <c r="O598" s="83">
        <v>1846.0</v>
      </c>
      <c r="P598" s="25" t="s">
        <v>4238</v>
      </c>
      <c r="Q598" s="82"/>
      <c r="R598" s="82"/>
      <c r="S598" s="82"/>
      <c r="T598" s="16">
        <v>0.0</v>
      </c>
      <c r="U598" s="16">
        <v>0.0</v>
      </c>
      <c r="V598" s="89">
        <f>IFERROR(__xludf.DUMMYFUNCTION("INDEX(SPLIT(SUBSTITUTE(W598,CHAR(10), """"),"",:""), MATCH(Z598, SPLIT(SUBSTITUTE(W598,CHAR(10), """"),"",:""), 0) + 1)"),3.0)</f>
        <v>3</v>
      </c>
      <c r="W598" s="85" t="s">
        <v>2059</v>
      </c>
      <c r="X598" s="39" t="s">
        <v>115</v>
      </c>
      <c r="Y598" s="53" t="s">
        <v>3393</v>
      </c>
      <c r="Z598" s="53" t="str">
        <f t="array" ref="Z598">INDEX(Problems!J:J, MATCH(1, (Problems!B:B=B598)*1, 0))</f>
        <v>n^2</v>
      </c>
      <c r="AA598" s="53"/>
      <c r="AB598" s="53"/>
      <c r="AC598" s="53" t="s">
        <v>2312</v>
      </c>
      <c r="AD598" s="53" t="s">
        <v>1814</v>
      </c>
      <c r="AE598" s="85">
        <f>IFERROR(__xludf.DUMMYFUNCTION("INDEX(SPLIT(SUBSTITUTE(AF598,CHAR(10), """"),"",:""), MATCH(Z598, SPLIT(SUBSTITUTE(AF598,CHAR(10), """"),"",:""), 0) + 1)"),3.0)</f>
        <v>3</v>
      </c>
      <c r="AF598" s="85" t="s">
        <v>2059</v>
      </c>
      <c r="AG598" s="53" t="s">
        <v>2615</v>
      </c>
      <c r="AH598" s="53" t="s">
        <v>4239</v>
      </c>
      <c r="AI598" s="84">
        <v>1.0</v>
      </c>
      <c r="AJ598" s="84">
        <v>0.0</v>
      </c>
      <c r="AK598" s="87"/>
      <c r="AL598" s="81">
        <v>0.0</v>
      </c>
      <c r="AM598" s="21"/>
      <c r="AN598" s="16">
        <v>0.0</v>
      </c>
      <c r="AO598" s="90"/>
      <c r="AP598" s="16">
        <v>0.0</v>
      </c>
      <c r="AQ598" s="16">
        <v>0.0</v>
      </c>
      <c r="AR598" s="39"/>
      <c r="AS598" s="81">
        <v>0.0</v>
      </c>
      <c r="AT598" s="81">
        <v>0.0</v>
      </c>
      <c r="AU598" s="82"/>
      <c r="AV598" s="82"/>
      <c r="AW598" s="82"/>
      <c r="AX598" s="82"/>
      <c r="AY598" s="7"/>
      <c r="AZ598" s="7">
        <f>POW(1000, 2)</f>
        <v>1000000</v>
      </c>
      <c r="BA598" s="7"/>
      <c r="BB598" s="7">
        <f>POW(1000000,2)</f>
        <v>1000000000000</v>
      </c>
      <c r="BC598" s="7"/>
      <c r="BD598" s="7">
        <f>POW(1000000000,2)</f>
        <v>1E+18</v>
      </c>
      <c r="BE598" s="7"/>
      <c r="BF598" s="7">
        <v>1000000.0</v>
      </c>
      <c r="BG598" s="82"/>
      <c r="BH598" s="82"/>
      <c r="BI598" s="82"/>
      <c r="BJ598" s="82"/>
      <c r="BK598" s="82"/>
      <c r="BL598" s="82"/>
      <c r="BM598" s="82"/>
      <c r="BN598" s="7"/>
      <c r="BO598" s="7">
        <v>4.0</v>
      </c>
      <c r="BP598" s="82"/>
      <c r="BQ598" s="7"/>
      <c r="BR598" s="7" t="s">
        <v>144</v>
      </c>
    </row>
    <row r="599">
      <c r="A599" s="16">
        <v>47.0</v>
      </c>
      <c r="B599" s="16" t="s">
        <v>607</v>
      </c>
      <c r="C599" s="53">
        <v>2.0</v>
      </c>
      <c r="D599" s="53" t="s">
        <v>4233</v>
      </c>
      <c r="E599" s="7">
        <v>405.0</v>
      </c>
      <c r="F599" s="53"/>
      <c r="G599" s="7">
        <v>0.0</v>
      </c>
      <c r="H599" s="16">
        <v>1.0</v>
      </c>
      <c r="I599" s="16">
        <v>1.0</v>
      </c>
      <c r="J599" s="39" t="s">
        <v>1788</v>
      </c>
      <c r="K599" s="53"/>
      <c r="L599" s="53"/>
      <c r="M599" s="39" t="str">
        <f t="shared" si="1"/>
        <v>[https://link.springer.com/content/pdf/10.1007/BF01389480.pdf Divide-and-conquer (1986)]</v>
      </c>
      <c r="N599" s="39" t="s">
        <v>4240</v>
      </c>
      <c r="O599" s="84">
        <v>1986.0</v>
      </c>
      <c r="P599" s="96" t="s">
        <v>4241</v>
      </c>
      <c r="Q599" s="82"/>
      <c r="R599" s="82"/>
      <c r="S599" s="82"/>
      <c r="T599" s="16">
        <v>1.0</v>
      </c>
      <c r="U599" s="16" t="s">
        <v>1952</v>
      </c>
      <c r="V599" s="89">
        <f>IFERROR(__xludf.DUMMYFUNCTION("INDEX(SPLIT(SUBSTITUTE(W599,CHAR(10), """"),"",:""), MATCH(Z599, SPLIT(SUBSTITUTE(W599,CHAR(10), """"),"",:""), 0) + 1)"),2.51)</f>
        <v>2.51</v>
      </c>
      <c r="W599" s="85" t="s">
        <v>3260</v>
      </c>
      <c r="X599" s="16" t="s">
        <v>1953</v>
      </c>
      <c r="Y599" s="53" t="s">
        <v>3393</v>
      </c>
      <c r="Z599" s="53" t="str">
        <f t="array" ref="Z599">INDEX(Problems!J:J, MATCH(1, (Problems!B:B=B599)*1, 0))</f>
        <v>n^2</v>
      </c>
      <c r="AA599" s="53"/>
      <c r="AB599" s="53"/>
      <c r="AC599" s="53" t="s">
        <v>2312</v>
      </c>
      <c r="AD599" s="53" t="s">
        <v>1814</v>
      </c>
      <c r="AE599" s="85">
        <f>IFERROR(__xludf.DUMMYFUNCTION("INDEX(SPLIT(SUBSTITUTE(AF599,CHAR(10), """"),"",:""), MATCH(Z599, SPLIT(SUBSTITUTE(AF599,CHAR(10), """"),"",:""), 0) + 1)"),3.0)</f>
        <v>3</v>
      </c>
      <c r="AF599" s="85" t="s">
        <v>2059</v>
      </c>
      <c r="AG599" s="53" t="s">
        <v>115</v>
      </c>
      <c r="AH599" s="53" t="s">
        <v>4242</v>
      </c>
      <c r="AI599" s="84">
        <v>1.0</v>
      </c>
      <c r="AJ599" s="84">
        <v>0.0</v>
      </c>
      <c r="AK599" s="87"/>
      <c r="AL599" s="81">
        <v>0.0</v>
      </c>
      <c r="AM599" s="21"/>
      <c r="AN599" s="16">
        <v>0.0</v>
      </c>
      <c r="AO599" s="90"/>
      <c r="AP599" s="16">
        <v>0.0</v>
      </c>
      <c r="AQ599" s="16">
        <v>0.0</v>
      </c>
      <c r="AR599" s="39"/>
      <c r="AS599" s="81">
        <v>0.0</v>
      </c>
      <c r="AT599" s="81">
        <v>0.0</v>
      </c>
      <c r="AU599" s="47" t="s">
        <v>4243</v>
      </c>
      <c r="AV599" s="82"/>
      <c r="AW599" s="82"/>
      <c r="AX599" s="82"/>
      <c r="AY599" s="7"/>
      <c r="AZ599" s="7"/>
      <c r="BA599" s="7"/>
      <c r="BB599" s="7"/>
      <c r="BC599" s="7"/>
      <c r="BD599" s="7"/>
      <c r="BE599" s="7"/>
      <c r="BF599" s="7">
        <v>9965.0</v>
      </c>
      <c r="BG599" s="82">
        <f>BF327/BF599</f>
        <v>100.3512293</v>
      </c>
      <c r="BH599" s="82">
        <f>POW(BG599,1/($O599-1940))-1</f>
        <v>0.1053793904</v>
      </c>
      <c r="BI599" s="82">
        <f>1000000*LOG(1000000,2)</f>
        <v>19931568.57</v>
      </c>
      <c r="BJ599" s="82">
        <f>BI327/BI599</f>
        <v>50171.66594</v>
      </c>
      <c r="BK599" s="82">
        <f>POW(BJ599,1/($O599-1940))-1</f>
        <v>0.2652719521</v>
      </c>
      <c r="BL599" s="82">
        <f>1000000000*LOG(1000000000,2)</f>
        <v>29897352854</v>
      </c>
      <c r="BM599" s="82">
        <f>BL327/BL599</f>
        <v>33447777.3</v>
      </c>
      <c r="BN599" s="82">
        <f>POW(BM599,1/($O599-1940))-1</f>
        <v>0.4573813291</v>
      </c>
      <c r="BO599" s="7">
        <v>4.0</v>
      </c>
      <c r="BP599" s="82"/>
      <c r="BQ599" s="7"/>
      <c r="BR599" s="7" t="s">
        <v>144</v>
      </c>
    </row>
    <row r="600">
      <c r="A600" s="16">
        <v>47.0</v>
      </c>
      <c r="B600" s="16" t="s">
        <v>607</v>
      </c>
      <c r="C600" s="53">
        <v>1.0</v>
      </c>
      <c r="D600" s="53" t="s">
        <v>4244</v>
      </c>
      <c r="E600" s="7">
        <v>406.0</v>
      </c>
      <c r="F600" s="53"/>
      <c r="G600" s="7">
        <v>0.0</v>
      </c>
      <c r="H600" s="16">
        <v>1.0</v>
      </c>
      <c r="I600" s="16">
        <v>1.0</v>
      </c>
      <c r="J600" s="39" t="s">
        <v>115</v>
      </c>
      <c r="K600" s="53"/>
      <c r="L600" s="53"/>
      <c r="M600" s="39" t="str">
        <f t="shared" si="1"/>
        <v>[https://www.scirp.org/(S(czeh2tfqyw2orz553k1w0r45))/reference/ReferencesPapers.aspx?ReferenceID=530065 Homotopy method (1992)]</v>
      </c>
      <c r="N600" s="39" t="s">
        <v>4245</v>
      </c>
      <c r="O600" s="81">
        <v>1992.0</v>
      </c>
      <c r="P600" s="25" t="s">
        <v>4246</v>
      </c>
      <c r="Q600" s="82"/>
      <c r="R600" s="82"/>
      <c r="S600" s="82"/>
      <c r="T600" s="16">
        <v>0.0</v>
      </c>
      <c r="U600" s="16">
        <v>0.0</v>
      </c>
      <c r="V600" s="89">
        <f>IFERROR(__xludf.DUMMYFUNCTION("INDEX(SPLIT(SUBSTITUTE(W600,CHAR(10), """"),"",:""), MATCH(Z600, SPLIT(SUBSTITUTE(W600,CHAR(10), """"),"",:""), 0) + 1)"),3.0)</f>
        <v>3</v>
      </c>
      <c r="W600" s="85" t="s">
        <v>2059</v>
      </c>
      <c r="X600" s="39" t="s">
        <v>115</v>
      </c>
      <c r="Y600" s="53" t="s">
        <v>3393</v>
      </c>
      <c r="Z600" s="53" t="str">
        <f t="array" ref="Z600">INDEX(Problems!J:J, MATCH(1, (Problems!B:B=B600)*1, 0))</f>
        <v>n^2</v>
      </c>
      <c r="AA600" s="53"/>
      <c r="AB600" s="53"/>
      <c r="AC600" s="53" t="s">
        <v>2312</v>
      </c>
      <c r="AD600" s="53" t="s">
        <v>1814</v>
      </c>
      <c r="AE600" s="85">
        <f>IFERROR(__xludf.DUMMYFUNCTION("INDEX(SPLIT(SUBSTITUTE(AF600,CHAR(10), """"),"",:""), MATCH(Z600, SPLIT(SUBSTITUTE(AF600,CHAR(10), """"),"",:""), 0) + 1)"),3.0)</f>
        <v>3</v>
      </c>
      <c r="AF600" s="85" t="s">
        <v>2059</v>
      </c>
      <c r="AG600" s="53" t="s">
        <v>4247</v>
      </c>
      <c r="AH600" s="53" t="s">
        <v>4248</v>
      </c>
      <c r="AI600" s="84">
        <v>1.0</v>
      </c>
      <c r="AJ600" s="84">
        <v>0.0</v>
      </c>
      <c r="AK600" s="87"/>
      <c r="AL600" s="81">
        <v>0.0</v>
      </c>
      <c r="AM600" s="21"/>
      <c r="AN600" s="16">
        <v>0.0</v>
      </c>
      <c r="AO600" s="90"/>
      <c r="AP600" s="16">
        <v>0.0</v>
      </c>
      <c r="AQ600" s="16">
        <v>0.0</v>
      </c>
      <c r="AR600" s="39"/>
      <c r="AS600" s="81">
        <v>0.0</v>
      </c>
      <c r="AT600" s="81">
        <v>0.0</v>
      </c>
      <c r="AU600" s="82"/>
      <c r="AV600" s="82"/>
      <c r="AW600" s="82"/>
      <c r="AX600" s="82"/>
      <c r="AY600" s="7"/>
      <c r="AZ600" s="7"/>
      <c r="BA600" s="7"/>
      <c r="BB600" s="7"/>
      <c r="BC600" s="7"/>
      <c r="BD600" s="7"/>
      <c r="BE600" s="7"/>
      <c r="BF600" s="7">
        <v>1000000.0</v>
      </c>
      <c r="BG600" s="82"/>
      <c r="BH600" s="82"/>
      <c r="BI600" s="82"/>
      <c r="BJ600" s="82"/>
      <c r="BK600" s="82"/>
      <c r="BL600" s="82"/>
      <c r="BM600" s="82"/>
      <c r="BN600" s="7"/>
      <c r="BO600" s="7">
        <v>4.0</v>
      </c>
      <c r="BP600" s="82"/>
      <c r="BQ600" s="7"/>
      <c r="BR600" s="7" t="s">
        <v>144</v>
      </c>
    </row>
    <row r="601">
      <c r="A601" s="16">
        <v>47.0</v>
      </c>
      <c r="B601" s="16" t="s">
        <v>607</v>
      </c>
      <c r="C601" s="53">
        <v>1.0</v>
      </c>
      <c r="D601" s="53" t="s">
        <v>4217</v>
      </c>
      <c r="E601" s="7">
        <v>407.0</v>
      </c>
      <c r="F601" s="53"/>
      <c r="G601" s="7">
        <v>0.0</v>
      </c>
      <c r="H601" s="16">
        <v>1.0</v>
      </c>
      <c r="I601" s="16">
        <v>1.0</v>
      </c>
      <c r="J601" s="39" t="s">
        <v>115</v>
      </c>
      <c r="K601" s="53"/>
      <c r="L601" s="53"/>
      <c r="M601" s="39" t="str">
        <f t="shared" si="1"/>
        <v>[https://journals.aps.org/pr/abstract/10.1103/PhysRev.46.828 Folded spectrum method (1934)]</v>
      </c>
      <c r="N601" s="39" t="s">
        <v>4249</v>
      </c>
      <c r="O601" s="83">
        <v>1934.0</v>
      </c>
      <c r="P601" s="25" t="s">
        <v>4250</v>
      </c>
      <c r="Q601" s="82"/>
      <c r="R601" s="82"/>
      <c r="S601" s="82"/>
      <c r="T601" s="16">
        <v>0.0</v>
      </c>
      <c r="U601" s="16">
        <v>0.0</v>
      </c>
      <c r="V601" s="89">
        <f>IFERROR(__xludf.DUMMYFUNCTION("INDEX(SPLIT(SUBSTITUTE(W601,CHAR(10), """"),"",:""), MATCH(Z601, SPLIT(SUBSTITUTE(W601,CHAR(10), """"),"",:""), 0) + 1)"),3.0)</f>
        <v>3</v>
      </c>
      <c r="W601" s="85" t="s">
        <v>2059</v>
      </c>
      <c r="X601" s="39" t="s">
        <v>115</v>
      </c>
      <c r="Y601" s="53" t="s">
        <v>3393</v>
      </c>
      <c r="Z601" s="53" t="str">
        <f t="array" ref="Z601">INDEX(Problems!J:J, MATCH(1, (Problems!B:B=B601)*1, 0))</f>
        <v>n^2</v>
      </c>
      <c r="AA601" s="53"/>
      <c r="AB601" s="53"/>
      <c r="AC601" s="53" t="s">
        <v>2312</v>
      </c>
      <c r="AD601" s="53" t="s">
        <v>1814</v>
      </c>
      <c r="AE601" s="85">
        <f>IFERROR(__xludf.DUMMYFUNCTION("INDEX(SPLIT(SUBSTITUTE(AF601,CHAR(10), """"),"",:""), MATCH(Z601, SPLIT(SUBSTITUTE(AF601,CHAR(10), """"),"",:""), 0) + 1)"),2.5)</f>
        <v>2.5</v>
      </c>
      <c r="AF601" s="85" t="s">
        <v>1903</v>
      </c>
      <c r="AG601" s="53" t="s">
        <v>2625</v>
      </c>
      <c r="AH601" s="53" t="s">
        <v>4251</v>
      </c>
      <c r="AI601" s="84">
        <v>1.0</v>
      </c>
      <c r="AJ601" s="84">
        <v>0.0</v>
      </c>
      <c r="AK601" s="87"/>
      <c r="AL601" s="81">
        <v>0.0</v>
      </c>
      <c r="AM601" s="21"/>
      <c r="AN601" s="16">
        <v>0.0</v>
      </c>
      <c r="AO601" s="90"/>
      <c r="AP601" s="16">
        <v>0.0</v>
      </c>
      <c r="AQ601" s="16">
        <v>0.0</v>
      </c>
      <c r="AR601" s="39"/>
      <c r="AS601" s="81">
        <v>0.0</v>
      </c>
      <c r="AT601" s="81">
        <v>0.0</v>
      </c>
      <c r="AU601" s="82"/>
      <c r="AV601" s="82"/>
      <c r="AW601" s="82"/>
      <c r="AX601" s="82"/>
      <c r="AY601" s="7"/>
      <c r="AZ601" s="7"/>
      <c r="BA601" s="7"/>
      <c r="BB601" s="7"/>
      <c r="BC601" s="7"/>
      <c r="BD601" s="7"/>
      <c r="BE601" s="7"/>
      <c r="BF601" s="7">
        <v>1000000.0</v>
      </c>
      <c r="BG601" s="82"/>
      <c r="BH601" s="82"/>
      <c r="BI601" s="82"/>
      <c r="BJ601" s="82"/>
      <c r="BK601" s="82"/>
      <c r="BL601" s="82"/>
      <c r="BM601" s="82"/>
      <c r="BN601" s="7"/>
      <c r="BO601" s="7">
        <v>4.0</v>
      </c>
      <c r="BP601" s="82"/>
      <c r="BQ601" s="7"/>
      <c r="BR601" s="7" t="s">
        <v>144</v>
      </c>
    </row>
    <row r="602">
      <c r="A602" s="16">
        <v>47.0</v>
      </c>
      <c r="B602" s="16" t="s">
        <v>607</v>
      </c>
      <c r="C602" s="53">
        <v>2.0</v>
      </c>
      <c r="D602" s="53" t="s">
        <v>4221</v>
      </c>
      <c r="E602" s="7">
        <v>408.0</v>
      </c>
      <c r="F602" s="53"/>
      <c r="G602" s="7">
        <v>0.0</v>
      </c>
      <c r="H602" s="16">
        <v>1.0</v>
      </c>
      <c r="I602" s="16">
        <v>1.0</v>
      </c>
      <c r="J602" s="39" t="s">
        <v>35</v>
      </c>
      <c r="K602" s="53"/>
      <c r="L602" s="53"/>
      <c r="M602" s="39" t="str">
        <f t="shared" si="1"/>
        <v>[https://www.cs.utexas.edu/users/inderjit/public_papers/DesignMRRR_toms06.pdf MRRR algorithm (1999)]</v>
      </c>
      <c r="N602" s="39" t="s">
        <v>4252</v>
      </c>
      <c r="O602" s="81">
        <v>1999.0</v>
      </c>
      <c r="P602" s="25" t="s">
        <v>4253</v>
      </c>
      <c r="Q602" s="7">
        <v>2.0</v>
      </c>
      <c r="R602" s="7">
        <v>1.0</v>
      </c>
      <c r="S602" s="47" t="s">
        <v>4254</v>
      </c>
      <c r="T602" s="16">
        <v>1.0</v>
      </c>
      <c r="U602" s="16" t="s">
        <v>1818</v>
      </c>
      <c r="V602" s="89">
        <f>IFERROR(__xludf.DUMMYFUNCTION("INDEX(SPLIT(SUBSTITUTE(W602,CHAR(10), """"),"",:""), MATCH(Z602, SPLIT(SUBSTITUTE(W602,CHAR(10), """"),"",:""), 0) + 1)"),2.5)</f>
        <v>2.5</v>
      </c>
      <c r="W602" s="85" t="s">
        <v>1903</v>
      </c>
      <c r="X602" s="39" t="s">
        <v>35</v>
      </c>
      <c r="Y602" s="53" t="s">
        <v>3393</v>
      </c>
      <c r="Z602" s="53" t="str">
        <f t="array" ref="Z602">INDEX(Problems!J:J, MATCH(1, (Problems!B:B=B602)*1, 0))</f>
        <v>n^2</v>
      </c>
      <c r="AA602" s="53"/>
      <c r="AB602" s="53"/>
      <c r="AC602" s="53" t="s">
        <v>2312</v>
      </c>
      <c r="AD602" s="53" t="s">
        <v>1814</v>
      </c>
      <c r="AE602" s="85">
        <f>IFERROR(__xludf.DUMMYFUNCTION("INDEX(SPLIT(SUBSTITUTE(AF602,CHAR(10), """"),"",:""), MATCH(Z602, SPLIT(SUBSTITUTE(AF602,CHAR(10), """"),"",:""), 0) + 1)"),3.0)</f>
        <v>3</v>
      </c>
      <c r="AF602" s="85" t="s">
        <v>2059</v>
      </c>
      <c r="AG602" s="53" t="s">
        <v>115</v>
      </c>
      <c r="AH602" s="53" t="s">
        <v>4255</v>
      </c>
      <c r="AI602" s="84">
        <v>1.0</v>
      </c>
      <c r="AJ602" s="84">
        <v>0.0</v>
      </c>
      <c r="AK602" s="87"/>
      <c r="AL602" s="81">
        <v>0.0</v>
      </c>
      <c r="AM602" s="21"/>
      <c r="AN602" s="16">
        <v>0.0</v>
      </c>
      <c r="AO602" s="90"/>
      <c r="AP602" s="16">
        <v>0.0</v>
      </c>
      <c r="AQ602" s="16">
        <v>0.0</v>
      </c>
      <c r="AR602" s="39"/>
      <c r="AS602" s="81">
        <v>0.0</v>
      </c>
      <c r="AT602" s="81">
        <v>0.0</v>
      </c>
      <c r="AU602" s="82"/>
      <c r="AV602" s="82"/>
      <c r="AW602" s="82"/>
      <c r="AX602" s="82"/>
      <c r="AY602" s="7"/>
      <c r="AZ602" s="7"/>
      <c r="BA602" s="7"/>
      <c r="BB602" s="7"/>
      <c r="BC602" s="7"/>
      <c r="BD602" s="7"/>
      <c r="BE602" s="7"/>
      <c r="BF602" s="7">
        <v>1000.0</v>
      </c>
      <c r="BG602" s="7">
        <f>BF327/BF602</f>
        <v>1000</v>
      </c>
      <c r="BH602" s="82">
        <f>POW(BG602,1/($O602-1940))-1</f>
        <v>0.1242100351</v>
      </c>
      <c r="BI602" s="7">
        <v>1000000.0</v>
      </c>
      <c r="BJ602" s="7">
        <f>BI327/BI602</f>
        <v>1000000</v>
      </c>
      <c r="BK602" s="82">
        <f>POW(BJ602,1/($O602-1940))-1</f>
        <v>0.2638482029</v>
      </c>
      <c r="BL602" s="7">
        <v>1.0E9</v>
      </c>
      <c r="BM602" s="7">
        <f>BL327/BL602</f>
        <v>1000000000</v>
      </c>
      <c r="BN602" s="82">
        <f>POW(BM602,1/($O602-1940))-1</f>
        <v>0.4208308325</v>
      </c>
      <c r="BO602" s="7">
        <v>4.0</v>
      </c>
      <c r="BP602" s="82"/>
      <c r="BQ602" s="7"/>
      <c r="BR602" s="7" t="s">
        <v>144</v>
      </c>
    </row>
    <row r="603">
      <c r="A603" s="16">
        <v>48.0</v>
      </c>
      <c r="B603" s="16" t="s">
        <v>621</v>
      </c>
      <c r="C603" s="53">
        <v>1.0</v>
      </c>
      <c r="D603" s="53" t="s">
        <v>622</v>
      </c>
      <c r="E603" s="7">
        <v>409.0</v>
      </c>
      <c r="F603" s="53"/>
      <c r="G603" s="7">
        <v>0.0</v>
      </c>
      <c r="H603" s="16">
        <v>1.0</v>
      </c>
      <c r="I603" s="16">
        <v>1.0</v>
      </c>
      <c r="J603" s="21" t="s">
        <v>4256</v>
      </c>
      <c r="K603" s="53"/>
      <c r="L603" s="53"/>
      <c r="M603" s="39" t="str">
        <f t="shared" si="1"/>
        <v>[- Bisection method (1820)]</v>
      </c>
      <c r="N603" s="39" t="s">
        <v>4229</v>
      </c>
      <c r="O603" s="83">
        <v>1820.0</v>
      </c>
      <c r="P603" s="16" t="s">
        <v>1937</v>
      </c>
      <c r="Q603" s="82"/>
      <c r="R603" s="82"/>
      <c r="S603" s="82"/>
      <c r="T603" s="16">
        <v>0.0</v>
      </c>
      <c r="U603" s="16">
        <v>0.0</v>
      </c>
      <c r="V603" s="89">
        <f>IFERROR(__xludf.DUMMYFUNCTION("INDEX(SPLIT(SUBSTITUTE(W603,CHAR(10), """"),"",:""), MATCH(Z603, SPLIT(SUBSTITUTE(W603,CHAR(10), """"),"",:""), 0) + 1)"),3.0)</f>
        <v>3</v>
      </c>
      <c r="W603" s="85" t="s">
        <v>4257</v>
      </c>
      <c r="X603" s="21" t="s">
        <v>4258</v>
      </c>
      <c r="Y603" s="53" t="s">
        <v>4259</v>
      </c>
      <c r="Z603" s="53" t="str">
        <f t="array" ref="Z603">INDEX(Problems!J:J, MATCH(1, (Problems!B:B=B603)*1, 0))</f>
        <v>n_max</v>
      </c>
      <c r="AA603" s="53"/>
      <c r="AB603" s="53"/>
      <c r="AC603" s="53" t="s">
        <v>2312</v>
      </c>
      <c r="AD603" s="53" t="s">
        <v>1814</v>
      </c>
      <c r="AE603" s="85">
        <f>IFERROR(__xludf.DUMMYFUNCTION("INDEX(SPLIT(SUBSTITUTE(AF603,CHAR(10), """"),"",:""), MATCH(Z603, SPLIT(SUBSTITUTE(AF603,CHAR(10), """"),"",:""), 0) + 1)"),1.0)</f>
        <v>1</v>
      </c>
      <c r="AF603" s="85" t="s">
        <v>4260</v>
      </c>
      <c r="AG603" s="53" t="s">
        <v>34</v>
      </c>
      <c r="AH603" s="53" t="s">
        <v>4261</v>
      </c>
      <c r="AI603" s="21">
        <v>1.0</v>
      </c>
      <c r="AJ603" s="84">
        <v>0.0</v>
      </c>
      <c r="AK603" s="21"/>
      <c r="AL603" s="16">
        <v>0.0</v>
      </c>
      <c r="AM603" s="21"/>
      <c r="AN603" s="21">
        <v>1.0</v>
      </c>
      <c r="AO603" s="21" t="s">
        <v>4262</v>
      </c>
      <c r="AP603" s="16">
        <v>0.0</v>
      </c>
      <c r="AQ603" s="16">
        <v>0.0</v>
      </c>
      <c r="AR603" s="39"/>
      <c r="AS603" s="81">
        <v>0.0</v>
      </c>
      <c r="AT603" s="81">
        <v>0.0</v>
      </c>
      <c r="AU603" s="47" t="s">
        <v>4263</v>
      </c>
      <c r="AV603" s="82"/>
      <c r="AW603" s="82"/>
      <c r="AX603" s="82"/>
      <c r="AY603" s="7"/>
      <c r="AZ603" s="7"/>
      <c r="BA603" s="7"/>
      <c r="BB603" s="7"/>
      <c r="BC603" s="7"/>
      <c r="BD603" s="7"/>
      <c r="BE603" s="7"/>
      <c r="BF603" s="7">
        <v>1000.0</v>
      </c>
      <c r="BG603" s="82"/>
      <c r="BH603" s="82"/>
      <c r="BI603" s="82"/>
      <c r="BJ603" s="82"/>
      <c r="BK603" s="82"/>
      <c r="BL603" s="82"/>
      <c r="BM603" s="82"/>
      <c r="BN603" s="7"/>
      <c r="BO603" s="7">
        <v>6.0</v>
      </c>
      <c r="BP603" s="82"/>
      <c r="BQ603" s="7"/>
      <c r="BR603" s="7" t="s">
        <v>144</v>
      </c>
    </row>
    <row r="604">
      <c r="A604" s="16">
        <v>48.0</v>
      </c>
      <c r="B604" s="16" t="s">
        <v>621</v>
      </c>
      <c r="C604" s="53">
        <v>1.0</v>
      </c>
      <c r="D604" s="53" t="s">
        <v>622</v>
      </c>
      <c r="E604" s="7">
        <v>410.0</v>
      </c>
      <c r="F604" s="53"/>
      <c r="G604" s="7">
        <v>0.0</v>
      </c>
      <c r="H604" s="16">
        <v>1.0</v>
      </c>
      <c r="I604" s="16">
        <v>1.0</v>
      </c>
      <c r="J604" s="146" t="s">
        <v>35</v>
      </c>
      <c r="K604" s="53"/>
      <c r="L604" s="53"/>
      <c r="M604" s="39" t="str">
        <f t="shared" si="1"/>
        <v>[- False position method (1690)]</v>
      </c>
      <c r="N604" s="39" t="s">
        <v>4264</v>
      </c>
      <c r="O604" s="83">
        <v>1690.0</v>
      </c>
      <c r="P604" s="16" t="s">
        <v>1937</v>
      </c>
      <c r="Q604" s="7">
        <v>1.0</v>
      </c>
      <c r="R604" s="7">
        <v>1.0</v>
      </c>
      <c r="S604" s="114" t="s">
        <v>4265</v>
      </c>
      <c r="T604" s="16">
        <v>1.0</v>
      </c>
      <c r="U604" s="16">
        <v>0.0</v>
      </c>
      <c r="V604" s="89">
        <f>IFERROR(__xludf.DUMMYFUNCTION("INDEX(SPLIT(SUBSTITUTE(W604,CHAR(10), """"),"",:""), MATCH(Z604, SPLIT(SUBSTITUTE(W604,CHAR(10), """"),"",:""), 0) + 1)"),3.0)</f>
        <v>3</v>
      </c>
      <c r="W604" s="85" t="s">
        <v>4257</v>
      </c>
      <c r="X604" s="21" t="s">
        <v>4258</v>
      </c>
      <c r="Y604" s="53" t="s">
        <v>4259</v>
      </c>
      <c r="Z604" s="53" t="str">
        <f t="array" ref="Z604">INDEX(Problems!J:J, MATCH(1, (Problems!B:B=B604)*1, 0))</f>
        <v>n_max</v>
      </c>
      <c r="AA604" s="53"/>
      <c r="AB604" s="53"/>
      <c r="AC604" s="53" t="s">
        <v>2312</v>
      </c>
      <c r="AD604" s="53" t="s">
        <v>1814</v>
      </c>
      <c r="AE604" s="85">
        <f>IFERROR(__xludf.DUMMYFUNCTION("INDEX(SPLIT(SUBSTITUTE(AF604,CHAR(10), """"),"",:""), MATCH(Z604, SPLIT(SUBSTITUTE(AF604,CHAR(10), """"),"",:""), 0) + 1)"),1.0)</f>
        <v>1</v>
      </c>
      <c r="AF604" s="85" t="s">
        <v>4260</v>
      </c>
      <c r="AG604" s="53" t="s">
        <v>34</v>
      </c>
      <c r="AH604" s="53" t="s">
        <v>4261</v>
      </c>
      <c r="AI604" s="21">
        <v>1.0</v>
      </c>
      <c r="AJ604" s="84">
        <v>0.0</v>
      </c>
      <c r="AK604" s="21"/>
      <c r="AL604" s="16">
        <v>0.0</v>
      </c>
      <c r="AM604" s="21"/>
      <c r="AN604" s="21">
        <v>1.0</v>
      </c>
      <c r="AO604" s="21" t="s">
        <v>4262</v>
      </c>
      <c r="AP604" s="16">
        <v>0.0</v>
      </c>
      <c r="AQ604" s="16">
        <v>0.0</v>
      </c>
      <c r="AR604" s="39"/>
      <c r="AS604" s="81">
        <v>0.0</v>
      </c>
      <c r="AT604" s="81">
        <v>0.0</v>
      </c>
      <c r="AU604" s="47" t="s">
        <v>4266</v>
      </c>
      <c r="AV604" s="82"/>
      <c r="AW604" s="82"/>
      <c r="AX604" s="82"/>
      <c r="AY604" s="7"/>
      <c r="AZ604" s="7"/>
      <c r="BA604" s="7"/>
      <c r="BB604" s="7"/>
      <c r="BC604" s="7"/>
      <c r="BD604" s="7"/>
      <c r="BE604" s="7"/>
      <c r="BF604" s="7">
        <v>1000.0</v>
      </c>
      <c r="BG604" s="7">
        <v>1.0</v>
      </c>
      <c r="BH604" s="7"/>
      <c r="BI604" s="7">
        <v>1000000.0</v>
      </c>
      <c r="BJ604" s="7">
        <v>1.0</v>
      </c>
      <c r="BK604" s="7"/>
      <c r="BL604" s="7">
        <v>1.0E9</v>
      </c>
      <c r="BM604" s="7">
        <v>1.0</v>
      </c>
      <c r="BN604" s="7"/>
      <c r="BO604" s="7">
        <v>6.0</v>
      </c>
      <c r="BP604" s="82"/>
      <c r="BQ604" s="7"/>
      <c r="BR604" s="7" t="s">
        <v>144</v>
      </c>
    </row>
    <row r="605">
      <c r="A605" s="16">
        <v>48.0</v>
      </c>
      <c r="B605" s="16" t="s">
        <v>621</v>
      </c>
      <c r="C605" s="53">
        <v>1.0</v>
      </c>
      <c r="D605" s="53" t="s">
        <v>627</v>
      </c>
      <c r="E605" s="7">
        <v>411.0</v>
      </c>
      <c r="F605" s="53"/>
      <c r="G605" s="7">
        <v>0.0</v>
      </c>
      <c r="H605" s="16">
        <v>1.0</v>
      </c>
      <c r="I605" s="16">
        <v>1.0</v>
      </c>
      <c r="J605" s="48" t="s">
        <v>4267</v>
      </c>
      <c r="K605" s="53"/>
      <c r="L605" s="53"/>
      <c r="M605" s="39" t="str">
        <f t="shared" si="1"/>
        <v>[ Newton's method (1940)]</v>
      </c>
      <c r="N605" s="39" t="s">
        <v>4268</v>
      </c>
      <c r="O605" s="81">
        <v>1940.0</v>
      </c>
      <c r="P605" s="39"/>
      <c r="Q605" s="82"/>
      <c r="R605" s="82"/>
      <c r="S605" s="82"/>
      <c r="T605" s="16">
        <v>0.0</v>
      </c>
      <c r="U605" s="16">
        <v>0.0</v>
      </c>
      <c r="V605" s="89">
        <f>IFERROR(__xludf.DUMMYFUNCTION("INDEX(SPLIT(SUBSTITUTE(W605,CHAR(10), """"),"",:""), MATCH(Z605, SPLIT(SUBSTITUTE(W605,CHAR(10), """"),"",:""), 0) + 1)"),3.0)</f>
        <v>3</v>
      </c>
      <c r="W605" s="85" t="s">
        <v>4257</v>
      </c>
      <c r="X605" s="21" t="s">
        <v>4258</v>
      </c>
      <c r="Y605" s="53" t="s">
        <v>4269</v>
      </c>
      <c r="Z605" s="53" t="str">
        <f t="array" ref="Z605">INDEX(Problems!J:J, MATCH(1, (Problems!B:B=B605)*1, 0))</f>
        <v>n_max</v>
      </c>
      <c r="AA605" s="53"/>
      <c r="AB605" s="53"/>
      <c r="AC605" s="53" t="s">
        <v>2312</v>
      </c>
      <c r="AD605" s="53" t="s">
        <v>1814</v>
      </c>
      <c r="AE605" s="85">
        <f>IFERROR(__xludf.DUMMYFUNCTION("INDEX(SPLIT(SUBSTITUTE(AF605,CHAR(10), """"),"",:""), MATCH(Z605, SPLIT(SUBSTITUTE(AF605,CHAR(10), """"),"",:""), 0) + 1)"),1.0)</f>
        <v>1</v>
      </c>
      <c r="AF605" s="85" t="s">
        <v>4260</v>
      </c>
      <c r="AG605" s="53" t="s">
        <v>34</v>
      </c>
      <c r="AH605" s="53" t="s">
        <v>4270</v>
      </c>
      <c r="AI605" s="21">
        <v>1.0</v>
      </c>
      <c r="AJ605" s="84">
        <v>0.0</v>
      </c>
      <c r="AK605" s="21"/>
      <c r="AL605" s="16">
        <v>0.0</v>
      </c>
      <c r="AM605" s="21"/>
      <c r="AN605" s="21">
        <v>1.0</v>
      </c>
      <c r="AO605" s="21" t="s">
        <v>4262</v>
      </c>
      <c r="AP605" s="16">
        <v>0.0</v>
      </c>
      <c r="AQ605" s="16">
        <v>0.0</v>
      </c>
      <c r="AR605" s="39"/>
      <c r="AS605" s="81">
        <v>0.0</v>
      </c>
      <c r="AT605" s="81">
        <v>0.0</v>
      </c>
      <c r="AU605" s="82"/>
      <c r="AV605" s="82"/>
      <c r="AW605" s="82"/>
      <c r="AX605" s="82"/>
      <c r="AY605" s="7"/>
      <c r="AZ605" s="7"/>
      <c r="BA605" s="7"/>
      <c r="BB605" s="7"/>
      <c r="BC605" s="7"/>
      <c r="BD605" s="7"/>
      <c r="BE605" s="7"/>
      <c r="BF605" s="7">
        <v>1000.0</v>
      </c>
      <c r="BG605" s="82"/>
      <c r="BH605" s="82"/>
      <c r="BI605" s="82"/>
      <c r="BJ605" s="82"/>
      <c r="BK605" s="82"/>
      <c r="BL605" s="82"/>
      <c r="BM605" s="82"/>
      <c r="BN605" s="7"/>
      <c r="BO605" s="7">
        <v>6.0</v>
      </c>
      <c r="BP605" s="82"/>
      <c r="BQ605" s="7"/>
      <c r="BR605" s="7" t="s">
        <v>144</v>
      </c>
    </row>
    <row r="606">
      <c r="A606" s="16">
        <v>48.0</v>
      </c>
      <c r="B606" s="16" t="s">
        <v>621</v>
      </c>
      <c r="C606" s="53">
        <v>1.0</v>
      </c>
      <c r="D606" s="53" t="s">
        <v>4271</v>
      </c>
      <c r="E606" s="7">
        <v>412.0</v>
      </c>
      <c r="F606" s="53"/>
      <c r="G606" s="7">
        <v>0.0</v>
      </c>
      <c r="H606" s="16">
        <v>1.0</v>
      </c>
      <c r="I606" s="16">
        <v>1.0</v>
      </c>
      <c r="J606" s="48" t="s">
        <v>4272</v>
      </c>
      <c r="K606" s="53"/>
      <c r="L606" s="53"/>
      <c r="M606" s="39" t="str">
        <f t="shared" si="1"/>
        <v>[- Halley's method (1940)]</v>
      </c>
      <c r="N606" s="39" t="s">
        <v>4273</v>
      </c>
      <c r="O606" s="81">
        <v>1940.0</v>
      </c>
      <c r="P606" s="16" t="s">
        <v>1937</v>
      </c>
      <c r="Q606" s="82"/>
      <c r="R606" s="82"/>
      <c r="S606" s="82"/>
      <c r="T606" s="16">
        <v>0.0</v>
      </c>
      <c r="U606" s="16">
        <v>0.0</v>
      </c>
      <c r="V606" s="89">
        <f>IFERROR(__xludf.DUMMYFUNCTION("INDEX(SPLIT(SUBSTITUTE(W606,CHAR(10), """"),"",:""), MATCH(Z606, SPLIT(SUBSTITUTE(W606,CHAR(10), """"),"",:""), 0) + 1)"),3.0)</f>
        <v>3</v>
      </c>
      <c r="W606" s="85" t="s">
        <v>4257</v>
      </c>
      <c r="X606" s="21" t="s">
        <v>4258</v>
      </c>
      <c r="Y606" s="53" t="s">
        <v>4269</v>
      </c>
      <c r="Z606" s="53" t="str">
        <f t="array" ref="Z606">INDEX(Problems!J:J, MATCH(1, (Problems!B:B=B606)*1, 0))</f>
        <v>n_max</v>
      </c>
      <c r="AA606" s="53"/>
      <c r="AB606" s="53"/>
      <c r="AC606" s="53" t="s">
        <v>2312</v>
      </c>
      <c r="AD606" s="53" t="s">
        <v>1814</v>
      </c>
      <c r="AE606" s="85">
        <f>IFERROR(__xludf.DUMMYFUNCTION("INDEX(SPLIT(SUBSTITUTE(AF606,CHAR(10), """"),"",:""), MATCH(Z606, SPLIT(SUBSTITUTE(AF606,CHAR(10), """"),"",:""), 0) + 1)"),1.0)</f>
        <v>1</v>
      </c>
      <c r="AF606" s="85" t="s">
        <v>4260</v>
      </c>
      <c r="AG606" s="53" t="s">
        <v>34</v>
      </c>
      <c r="AH606" s="53" t="s">
        <v>4274</v>
      </c>
      <c r="AI606" s="21">
        <v>1.0</v>
      </c>
      <c r="AJ606" s="84">
        <v>0.0</v>
      </c>
      <c r="AK606" s="21"/>
      <c r="AL606" s="16">
        <v>0.0</v>
      </c>
      <c r="AM606" s="21"/>
      <c r="AN606" s="21">
        <v>1.0</v>
      </c>
      <c r="AO606" s="21" t="s">
        <v>4262</v>
      </c>
      <c r="AP606" s="16">
        <v>0.0</v>
      </c>
      <c r="AQ606" s="16">
        <v>0.0</v>
      </c>
      <c r="AR606" s="39"/>
      <c r="AS606" s="81">
        <v>0.0</v>
      </c>
      <c r="AT606" s="81">
        <v>0.0</v>
      </c>
      <c r="AU606" s="47" t="s">
        <v>4275</v>
      </c>
      <c r="AV606" s="82"/>
      <c r="AW606" s="82"/>
      <c r="AX606" s="82"/>
      <c r="AY606" s="7"/>
      <c r="AZ606" s="7"/>
      <c r="BA606" s="7"/>
      <c r="BB606" s="7"/>
      <c r="BC606" s="7"/>
      <c r="BD606" s="7"/>
      <c r="BE606" s="7"/>
      <c r="BF606" s="7">
        <v>1000.0</v>
      </c>
      <c r="BG606" s="82"/>
      <c r="BH606" s="82"/>
      <c r="BI606" s="82"/>
      <c r="BJ606" s="82"/>
      <c r="BK606" s="82"/>
      <c r="BL606" s="82"/>
      <c r="BM606" s="82"/>
      <c r="BN606" s="7"/>
      <c r="BO606" s="7">
        <v>6.0</v>
      </c>
      <c r="BP606" s="82"/>
      <c r="BQ606" s="7"/>
      <c r="BR606" s="7" t="s">
        <v>144</v>
      </c>
    </row>
    <row r="607">
      <c r="A607" s="16">
        <v>48.0</v>
      </c>
      <c r="B607" s="16" t="s">
        <v>621</v>
      </c>
      <c r="C607" s="53">
        <v>1.0</v>
      </c>
      <c r="D607" s="53" t="s">
        <v>622</v>
      </c>
      <c r="E607" s="7">
        <v>413.0</v>
      </c>
      <c r="F607" s="53"/>
      <c r="G607" s="7">
        <v>0.0</v>
      </c>
      <c r="H607" s="16">
        <v>1.0</v>
      </c>
      <c r="I607" s="16">
        <v>1.0</v>
      </c>
      <c r="J607" s="48" t="s">
        <v>4276</v>
      </c>
      <c r="K607" s="53"/>
      <c r="L607" s="53"/>
      <c r="M607" s="39" t="str">
        <f t="shared" si="1"/>
        <v>[- Secant method (1940)]</v>
      </c>
      <c r="N607" s="39" t="s">
        <v>4277</v>
      </c>
      <c r="O607" s="81">
        <v>1940.0</v>
      </c>
      <c r="P607" s="16" t="s">
        <v>1937</v>
      </c>
      <c r="Q607" s="82"/>
      <c r="R607" s="82"/>
      <c r="S607" s="82"/>
      <c r="T607" s="16">
        <v>0.0</v>
      </c>
      <c r="U607" s="16">
        <v>0.0</v>
      </c>
      <c r="V607" s="89">
        <f>IFERROR(__xludf.DUMMYFUNCTION("INDEX(SPLIT(SUBSTITUTE(W607,CHAR(10), """"),"",:""), MATCH(Z607, SPLIT(SUBSTITUTE(W607,CHAR(10), """"),"",:""), 0) + 1)"),3.0)</f>
        <v>3</v>
      </c>
      <c r="W607" s="85" t="s">
        <v>4257</v>
      </c>
      <c r="X607" s="21" t="s">
        <v>4258</v>
      </c>
      <c r="Y607" s="53" t="s">
        <v>4269</v>
      </c>
      <c r="Z607" s="53" t="str">
        <f t="array" ref="Z607">INDEX(Problems!J:J, MATCH(1, (Problems!B:B=B607)*1, 0))</f>
        <v>n_max</v>
      </c>
      <c r="AA607" s="53"/>
      <c r="AB607" s="53"/>
      <c r="AC607" s="53" t="s">
        <v>2312</v>
      </c>
      <c r="AD607" s="53" t="s">
        <v>1814</v>
      </c>
      <c r="AE607" s="85">
        <f>IFERROR(__xludf.DUMMYFUNCTION("INDEX(SPLIT(SUBSTITUTE(AF607,CHAR(10), """"),"",:""), MATCH(Z607, SPLIT(SUBSTITUTE(AF607,CHAR(10), """"),"",:""), 0) + 1)"),1.0)</f>
        <v>1</v>
      </c>
      <c r="AF607" s="85" t="s">
        <v>4260</v>
      </c>
      <c r="AG607" s="53" t="s">
        <v>34</v>
      </c>
      <c r="AH607" s="53" t="s">
        <v>4278</v>
      </c>
      <c r="AI607" s="21">
        <v>1.0</v>
      </c>
      <c r="AJ607" s="84">
        <v>0.0</v>
      </c>
      <c r="AK607" s="21"/>
      <c r="AL607" s="16">
        <v>0.0</v>
      </c>
      <c r="AM607" s="21"/>
      <c r="AN607" s="21">
        <v>1.0</v>
      </c>
      <c r="AO607" s="21" t="s">
        <v>4262</v>
      </c>
      <c r="AP607" s="16">
        <v>0.0</v>
      </c>
      <c r="AQ607" s="16">
        <v>0.0</v>
      </c>
      <c r="AR607" s="39"/>
      <c r="AS607" s="81">
        <v>0.0</v>
      </c>
      <c r="AT607" s="81">
        <v>0.0</v>
      </c>
      <c r="AU607" s="47" t="s">
        <v>4279</v>
      </c>
      <c r="AV607" s="82"/>
      <c r="AW607" s="82"/>
      <c r="AX607" s="82"/>
      <c r="AY607" s="7"/>
      <c r="AZ607" s="7"/>
      <c r="BA607" s="7"/>
      <c r="BB607" s="7"/>
      <c r="BC607" s="7"/>
      <c r="BD607" s="7"/>
      <c r="BE607" s="7"/>
      <c r="BF607" s="7">
        <v>1000.0</v>
      </c>
      <c r="BG607" s="82"/>
      <c r="BH607" s="82"/>
      <c r="BI607" s="82"/>
      <c r="BJ607" s="82"/>
      <c r="BK607" s="82"/>
      <c r="BL607" s="82"/>
      <c r="BM607" s="82"/>
      <c r="BN607" s="7"/>
      <c r="BO607" s="7">
        <v>6.0</v>
      </c>
      <c r="BP607" s="82"/>
      <c r="BQ607" s="7"/>
      <c r="BR607" s="7" t="s">
        <v>144</v>
      </c>
    </row>
    <row r="608">
      <c r="A608" s="16">
        <v>48.0</v>
      </c>
      <c r="B608" s="16" t="s">
        <v>621</v>
      </c>
      <c r="C608" s="53">
        <v>1.0</v>
      </c>
      <c r="D608" s="53" t="s">
        <v>622</v>
      </c>
      <c r="E608" s="7">
        <v>414.0</v>
      </c>
      <c r="F608" s="53"/>
      <c r="G608" s="7">
        <v>0.0</v>
      </c>
      <c r="H608" s="16">
        <v>1.0</v>
      </c>
      <c r="I608" s="16">
        <v>1.0</v>
      </c>
      <c r="J608" s="48" t="s">
        <v>4280</v>
      </c>
      <c r="K608" s="53"/>
      <c r="L608" s="53"/>
      <c r="M608" s="39" t="str">
        <f t="shared" si="1"/>
        <v>[https://ieeexplore.ieee.org/document/1084580/ Ridder's method (1979)]</v>
      </c>
      <c r="N608" s="39" t="s">
        <v>4281</v>
      </c>
      <c r="O608" s="81">
        <v>1979.0</v>
      </c>
      <c r="P608" s="25" t="s">
        <v>4282</v>
      </c>
      <c r="Q608" s="82"/>
      <c r="R608" s="82"/>
      <c r="S608" s="82"/>
      <c r="T608" s="16">
        <v>0.0</v>
      </c>
      <c r="U608" s="16">
        <v>0.0</v>
      </c>
      <c r="V608" s="89">
        <f>IFERROR(__xludf.DUMMYFUNCTION("INDEX(SPLIT(SUBSTITUTE(W608,CHAR(10), """"),"",:""), MATCH(Z608, SPLIT(SUBSTITUTE(W608,CHAR(10), """"),"",:""), 0) + 1)"),3.0)</f>
        <v>3</v>
      </c>
      <c r="W608" s="85" t="s">
        <v>4257</v>
      </c>
      <c r="X608" s="21" t="s">
        <v>4258</v>
      </c>
      <c r="Y608" s="53" t="s">
        <v>4269</v>
      </c>
      <c r="Z608" s="53" t="str">
        <f t="array" ref="Z608">INDEX(Problems!J:J, MATCH(1, (Problems!B:B=B608)*1, 0))</f>
        <v>n_max</v>
      </c>
      <c r="AA608" s="53"/>
      <c r="AB608" s="53"/>
      <c r="AC608" s="53" t="s">
        <v>2312</v>
      </c>
      <c r="AD608" s="53" t="s">
        <v>1814</v>
      </c>
      <c r="AE608" s="85">
        <f>IFERROR(__xludf.DUMMYFUNCTION("INDEX(SPLIT(SUBSTITUTE(AF608,CHAR(10), """"),"",:""), MATCH(Z608, SPLIT(SUBSTITUTE(AF608,CHAR(10), """"),"",:""), 0) + 1)"),1.0)</f>
        <v>1</v>
      </c>
      <c r="AF608" s="85" t="s">
        <v>4260</v>
      </c>
      <c r="AG608" s="53" t="s">
        <v>34</v>
      </c>
      <c r="AH608" s="53" t="s">
        <v>4278</v>
      </c>
      <c r="AI608" s="21">
        <v>1.0</v>
      </c>
      <c r="AJ608" s="84">
        <v>0.0</v>
      </c>
      <c r="AK608" s="21"/>
      <c r="AL608" s="16">
        <v>0.0</v>
      </c>
      <c r="AM608" s="21"/>
      <c r="AN608" s="21">
        <v>1.0</v>
      </c>
      <c r="AO608" s="21" t="s">
        <v>4262</v>
      </c>
      <c r="AP608" s="16">
        <v>0.0</v>
      </c>
      <c r="AQ608" s="16">
        <v>0.0</v>
      </c>
      <c r="AR608" s="39"/>
      <c r="AS608" s="81">
        <v>0.0</v>
      </c>
      <c r="AT608" s="81">
        <v>0.0</v>
      </c>
      <c r="AU608" s="82"/>
      <c r="AV608" s="82"/>
      <c r="AW608" s="82"/>
      <c r="AX608" s="82"/>
      <c r="AY608" s="7"/>
      <c r="AZ608" s="7"/>
      <c r="BA608" s="7"/>
      <c r="BB608" s="7"/>
      <c r="BC608" s="7"/>
      <c r="BD608" s="7"/>
      <c r="BE608" s="7"/>
      <c r="BF608" s="7">
        <v>1000.0</v>
      </c>
      <c r="BG608" s="82"/>
      <c r="BH608" s="82"/>
      <c r="BI608" s="82"/>
      <c r="BJ608" s="82"/>
      <c r="BK608" s="82"/>
      <c r="BL608" s="82"/>
      <c r="BM608" s="82"/>
      <c r="BN608" s="7"/>
      <c r="BO608" s="7">
        <v>6.0</v>
      </c>
      <c r="BP608" s="82"/>
      <c r="BQ608" s="7"/>
      <c r="BR608" s="7" t="s">
        <v>144</v>
      </c>
    </row>
    <row r="609">
      <c r="A609" s="16">
        <v>48.0</v>
      </c>
      <c r="B609" s="16" t="s">
        <v>621</v>
      </c>
      <c r="C609" s="53">
        <v>1.0</v>
      </c>
      <c r="D609" s="53" t="s">
        <v>622</v>
      </c>
      <c r="E609" s="7">
        <v>415.0</v>
      </c>
      <c r="F609" s="53"/>
      <c r="G609" s="7">
        <v>0.0</v>
      </c>
      <c r="H609" s="16">
        <v>1.0</v>
      </c>
      <c r="I609" s="16">
        <v>1.0</v>
      </c>
      <c r="J609" s="48" t="s">
        <v>4283</v>
      </c>
      <c r="K609" s="53"/>
      <c r="L609" s="53"/>
      <c r="M609" s="39" t="str">
        <f t="shared" si="1"/>
        <v>[https://www.jstor.org/stable/2001916 Muller's method (1956)]</v>
      </c>
      <c r="N609" s="39" t="s">
        <v>4284</v>
      </c>
      <c r="O609" s="81">
        <v>1956.0</v>
      </c>
      <c r="P609" s="25" t="s">
        <v>4285</v>
      </c>
      <c r="Q609" s="82"/>
      <c r="R609" s="82"/>
      <c r="S609" s="82"/>
      <c r="T609" s="16">
        <v>0.0</v>
      </c>
      <c r="U609" s="16">
        <v>0.0</v>
      </c>
      <c r="V609" s="89">
        <f>IFERROR(__xludf.DUMMYFUNCTION("INDEX(SPLIT(SUBSTITUTE(W609,CHAR(10), """"),"",:""), MATCH(Z609, SPLIT(SUBSTITUTE(W609,CHAR(10), """"),"",:""), 0) + 1)"),3.0)</f>
        <v>3</v>
      </c>
      <c r="W609" s="85" t="s">
        <v>4257</v>
      </c>
      <c r="X609" s="21" t="s">
        <v>4258</v>
      </c>
      <c r="Y609" s="53" t="s">
        <v>4269</v>
      </c>
      <c r="Z609" s="53" t="str">
        <f t="array" ref="Z609">INDEX(Problems!J:J, MATCH(1, (Problems!B:B=B609)*1, 0))</f>
        <v>n_max</v>
      </c>
      <c r="AA609" s="53"/>
      <c r="AB609" s="53"/>
      <c r="AC609" s="53" t="s">
        <v>2312</v>
      </c>
      <c r="AD609" s="53" t="s">
        <v>1814</v>
      </c>
      <c r="AE609" s="85">
        <f>IFERROR(__xludf.DUMMYFUNCTION("INDEX(SPLIT(SUBSTITUTE(AF609,CHAR(10), """"),"",:""), MATCH(Z609, SPLIT(SUBSTITUTE(AF609,CHAR(10), """"),"",:""), 0) + 1)"),1.0)</f>
        <v>1</v>
      </c>
      <c r="AF609" s="85" t="s">
        <v>4260</v>
      </c>
      <c r="AG609" s="53" t="s">
        <v>34</v>
      </c>
      <c r="AH609" s="53" t="s">
        <v>4286</v>
      </c>
      <c r="AI609" s="21">
        <v>1.0</v>
      </c>
      <c r="AJ609" s="84">
        <v>0.0</v>
      </c>
      <c r="AK609" s="21"/>
      <c r="AL609" s="16">
        <v>0.0</v>
      </c>
      <c r="AM609" s="21"/>
      <c r="AN609" s="21">
        <v>1.0</v>
      </c>
      <c r="AO609" s="21" t="s">
        <v>4262</v>
      </c>
      <c r="AP609" s="16">
        <v>0.0</v>
      </c>
      <c r="AQ609" s="16">
        <v>0.0</v>
      </c>
      <c r="AR609" s="39"/>
      <c r="AS609" s="81">
        <v>0.0</v>
      </c>
      <c r="AT609" s="81">
        <v>0.0</v>
      </c>
      <c r="AU609" s="82"/>
      <c r="AV609" s="82"/>
      <c r="AW609" s="82"/>
      <c r="AX609" s="82"/>
      <c r="AY609" s="7"/>
      <c r="AZ609" s="7"/>
      <c r="BA609" s="7"/>
      <c r="BB609" s="7"/>
      <c r="BC609" s="7"/>
      <c r="BD609" s="7"/>
      <c r="BE609" s="7"/>
      <c r="BF609" s="7">
        <v>1000000.0</v>
      </c>
      <c r="BG609" s="82"/>
      <c r="BH609" s="82"/>
      <c r="BI609" s="82"/>
      <c r="BJ609" s="82"/>
      <c r="BK609" s="82"/>
      <c r="BL609" s="82"/>
      <c r="BM609" s="82"/>
      <c r="BN609" s="7"/>
      <c r="BO609" s="7">
        <v>6.0</v>
      </c>
      <c r="BP609" s="82"/>
      <c r="BQ609" s="7"/>
      <c r="BR609" s="7" t="s">
        <v>144</v>
      </c>
    </row>
    <row r="610">
      <c r="A610" s="16">
        <v>50.0</v>
      </c>
      <c r="B610" s="16" t="s">
        <v>641</v>
      </c>
      <c r="C610" s="53">
        <v>1.0</v>
      </c>
      <c r="D610" s="53" t="s">
        <v>641</v>
      </c>
      <c r="E610" s="7">
        <v>423.0</v>
      </c>
      <c r="F610" s="53"/>
      <c r="G610" s="7"/>
      <c r="H610" s="16">
        <v>1.0</v>
      </c>
      <c r="I610" s="16">
        <v>1.0</v>
      </c>
      <c r="J610" s="146" t="s">
        <v>789</v>
      </c>
      <c r="K610" s="53"/>
      <c r="L610" s="53"/>
      <c r="M610" s="39" t="str">
        <f t="shared" si="1"/>
        <v>[https://www.cambridge.org/core/journals/proceedings-of-the-edinburgh-mathematical-society/article/practical-method-for-enumerating-cosets-of-a-finite-abstract-group/0306574AD958F694A0A8339338348AA1 Todd–Coxeter algorithm (1936)]</v>
      </c>
      <c r="N610" s="39" t="s">
        <v>4287</v>
      </c>
      <c r="O610" s="83">
        <v>1936.0</v>
      </c>
      <c r="P610" s="17" t="s">
        <v>4288</v>
      </c>
      <c r="Q610" s="7">
        <v>1.0</v>
      </c>
      <c r="R610" s="7">
        <v>1.0</v>
      </c>
      <c r="S610" s="47" t="s">
        <v>4289</v>
      </c>
      <c r="T610" s="16">
        <v>1.0</v>
      </c>
      <c r="U610" s="16">
        <v>0.0</v>
      </c>
      <c r="V610" s="89">
        <f>IFERROR(__xludf.DUMMYFUNCTION("INDEX(SPLIT(SUBSTITUTE(W610,CHAR(10), """"),"",:""), MATCH(Z610, SPLIT(SUBSTITUTE(W610,CHAR(10), """"),"",:""), 0) + 1)"),8.0)</f>
        <v>8</v>
      </c>
      <c r="W610" s="85" t="s">
        <v>2001</v>
      </c>
      <c r="X610" s="146" t="s">
        <v>789</v>
      </c>
      <c r="Y610" s="53" t="s">
        <v>4290</v>
      </c>
      <c r="Z610" s="53" t="str">
        <f t="array" ref="Z610">INDEX(Problems!J:J, MATCH(1, (Problems!B:B=B610)*1, 0))</f>
        <v>n</v>
      </c>
      <c r="AA610" s="53"/>
      <c r="AB610" s="53"/>
      <c r="AC610" s="53" t="s">
        <v>2337</v>
      </c>
      <c r="AD610" s="53" t="s">
        <v>1814</v>
      </c>
      <c r="AE610" s="85">
        <f>IFERROR(__xludf.DUMMYFUNCTION("INDEX(SPLIT(SUBSTITUTE(AF610,CHAR(10), """"),"",:""), MATCH(Z610, SPLIT(SUBSTITUTE(AF610,CHAR(10), """"),"",:""), 0) + 1)"),8.0)</f>
        <v>8</v>
      </c>
      <c r="AF610" s="85" t="s">
        <v>4291</v>
      </c>
      <c r="AG610" s="53" t="s">
        <v>4292</v>
      </c>
      <c r="AH610" s="53" t="s">
        <v>4293</v>
      </c>
      <c r="AI610" s="21">
        <v>1.0</v>
      </c>
      <c r="AJ610" s="84">
        <v>0.0</v>
      </c>
      <c r="AK610" s="21"/>
      <c r="AL610" s="16">
        <v>0.0</v>
      </c>
      <c r="AM610" s="21"/>
      <c r="AN610" s="16">
        <v>0.0</v>
      </c>
      <c r="AO610" s="90"/>
      <c r="AP610" s="16">
        <v>0.0</v>
      </c>
      <c r="AQ610" s="16">
        <v>0.0</v>
      </c>
      <c r="AR610" s="39"/>
      <c r="AS610" s="81">
        <v>0.0</v>
      </c>
      <c r="AT610" s="81">
        <v>0.0</v>
      </c>
      <c r="AU610" s="82"/>
      <c r="AV610" s="82"/>
      <c r="AW610" s="82"/>
      <c r="AX610" s="82"/>
      <c r="AY610" s="7"/>
      <c r="AZ610" s="7"/>
      <c r="BA610" s="7"/>
      <c r="BB610" s="7"/>
      <c r="BC610" s="7"/>
      <c r="BD610" s="7"/>
      <c r="BE610" s="7"/>
      <c r="BF610" s="7" t="s">
        <v>1781</v>
      </c>
      <c r="BG610" s="7">
        <v>1.0</v>
      </c>
      <c r="BH610" s="7"/>
      <c r="BI610" s="7" t="s">
        <v>1781</v>
      </c>
      <c r="BJ610" s="7">
        <v>1.0</v>
      </c>
      <c r="BK610" s="7"/>
      <c r="BL610" s="7" t="s">
        <v>1781</v>
      </c>
      <c r="BM610" s="7">
        <v>1.0</v>
      </c>
      <c r="BN610" s="7"/>
      <c r="BO610" s="7">
        <v>1.0</v>
      </c>
      <c r="BP610" s="82"/>
      <c r="BQ610" s="7"/>
      <c r="BR610" s="7" t="s">
        <v>144</v>
      </c>
    </row>
    <row r="611">
      <c r="A611" s="16">
        <v>50.0</v>
      </c>
      <c r="B611" s="16" t="s">
        <v>641</v>
      </c>
      <c r="C611" s="53">
        <v>1.0</v>
      </c>
      <c r="D611" s="53" t="s">
        <v>641</v>
      </c>
      <c r="E611" s="7">
        <v>424.0</v>
      </c>
      <c r="F611" s="53"/>
      <c r="G611" s="7"/>
      <c r="H611" s="16">
        <v>1.0</v>
      </c>
      <c r="I611" s="16">
        <v>1.0</v>
      </c>
      <c r="J611" s="146" t="s">
        <v>789</v>
      </c>
      <c r="K611" s="53"/>
      <c r="L611" s="53"/>
      <c r="M611" s="39" t="str">
        <f t="shared" si="1"/>
        <v>[ Haselgrove-Leech-Trotter (HLT) algorithm (1940)]</v>
      </c>
      <c r="N611" s="16" t="s">
        <v>4294</v>
      </c>
      <c r="O611" s="81">
        <v>1940.0</v>
      </c>
      <c r="P611" s="39"/>
      <c r="Q611" s="82"/>
      <c r="R611" s="82"/>
      <c r="S611" s="82"/>
      <c r="T611" s="16">
        <v>0.0</v>
      </c>
      <c r="U611" s="16">
        <v>0.0</v>
      </c>
      <c r="V611" s="89">
        <f>IFERROR(__xludf.DUMMYFUNCTION("INDEX(SPLIT(SUBSTITUTE(W611,CHAR(10), """"),"",:""), MATCH(Z611, SPLIT(SUBSTITUTE(W611,CHAR(10), """"),"",:""), 0) + 1)"),8.0)</f>
        <v>8</v>
      </c>
      <c r="W611" s="85" t="s">
        <v>2001</v>
      </c>
      <c r="X611" s="146" t="s">
        <v>789</v>
      </c>
      <c r="Y611" s="53" t="s">
        <v>4290</v>
      </c>
      <c r="Z611" s="53" t="str">
        <f t="array" ref="Z611">INDEX(Problems!J:J, MATCH(1, (Problems!B:B=B611)*1, 0))</f>
        <v>n</v>
      </c>
      <c r="AA611" s="53"/>
      <c r="AB611" s="53"/>
      <c r="AC611" s="53" t="s">
        <v>2337</v>
      </c>
      <c r="AD611" s="53" t="s">
        <v>1814</v>
      </c>
      <c r="AE611" s="85">
        <f>IFERROR(__xludf.DUMMYFUNCTION("INDEX(SPLIT(SUBSTITUTE(AF611,CHAR(10), """"),"",:""), MATCH(Z611, SPLIT(SUBSTITUTE(AF611,CHAR(10), """"),"",:""), 0) + 1)"),8.0)</f>
        <v>8</v>
      </c>
      <c r="AF611" s="85" t="s">
        <v>4295</v>
      </c>
      <c r="AG611" s="53" t="s">
        <v>4296</v>
      </c>
      <c r="AH611" s="53" t="s">
        <v>4297</v>
      </c>
      <c r="AI611" s="21">
        <v>1.0</v>
      </c>
      <c r="AJ611" s="84">
        <v>0.0</v>
      </c>
      <c r="AK611" s="21"/>
      <c r="AL611" s="16">
        <v>0.0</v>
      </c>
      <c r="AM611" s="21"/>
      <c r="AN611" s="16">
        <v>0.0</v>
      </c>
      <c r="AO611" s="90"/>
      <c r="AP611" s="16">
        <v>0.0</v>
      </c>
      <c r="AQ611" s="16">
        <v>0.0</v>
      </c>
      <c r="AR611" s="39"/>
      <c r="AS611" s="81">
        <v>0.0</v>
      </c>
      <c r="AT611" s="81">
        <v>0.0</v>
      </c>
      <c r="AU611" s="91" t="s">
        <v>4298</v>
      </c>
      <c r="AV611" s="82"/>
      <c r="AW611" s="82"/>
      <c r="AX611" s="82"/>
      <c r="AY611" s="7"/>
      <c r="AZ611" s="7"/>
      <c r="BA611" s="7"/>
      <c r="BB611" s="7"/>
      <c r="BC611" s="7"/>
      <c r="BD611" s="7"/>
      <c r="BE611" s="7"/>
      <c r="BF611" s="7" t="s">
        <v>1781</v>
      </c>
      <c r="BG611" s="7">
        <v>1.0</v>
      </c>
      <c r="BH611" s="7"/>
      <c r="BI611" s="7" t="s">
        <v>1781</v>
      </c>
      <c r="BJ611" s="7">
        <v>1.0</v>
      </c>
      <c r="BK611" s="7"/>
      <c r="BL611" s="7" t="s">
        <v>1781</v>
      </c>
      <c r="BM611" s="7">
        <v>1.0</v>
      </c>
      <c r="BN611" s="7"/>
      <c r="BO611" s="7">
        <v>1.0</v>
      </c>
      <c r="BP611" s="82"/>
      <c r="BQ611" s="7"/>
      <c r="BR611" s="7" t="s">
        <v>144</v>
      </c>
    </row>
    <row r="612">
      <c r="A612" s="16">
        <v>50.0</v>
      </c>
      <c r="B612" s="16" t="s">
        <v>641</v>
      </c>
      <c r="C612" s="53">
        <v>1.0</v>
      </c>
      <c r="D612" s="53" t="s">
        <v>641</v>
      </c>
      <c r="E612" s="7">
        <v>425.0</v>
      </c>
      <c r="F612" s="53"/>
      <c r="G612" s="7"/>
      <c r="H612" s="16">
        <v>1.0</v>
      </c>
      <c r="I612" s="16">
        <v>1.0</v>
      </c>
      <c r="J612" s="146" t="s">
        <v>4299</v>
      </c>
      <c r="K612" s="53"/>
      <c r="L612" s="53"/>
      <c r="M612" s="39" t="str">
        <f t="shared" si="1"/>
        <v>[https://www.cs.tufts.edu/~nr/cs257/archive/don-knuth/knuth-bendix.pdf Knuth–Bendix algorithm (1970)]</v>
      </c>
      <c r="N612" s="39" t="s">
        <v>4300</v>
      </c>
      <c r="O612" s="81">
        <v>1970.0</v>
      </c>
      <c r="P612" s="91" t="s">
        <v>4301</v>
      </c>
      <c r="Q612" s="7">
        <v>1.0</v>
      </c>
      <c r="R612" s="7">
        <v>1.0</v>
      </c>
      <c r="S612" s="82"/>
      <c r="T612" s="16">
        <v>1.0</v>
      </c>
      <c r="U612" s="16">
        <v>0.0</v>
      </c>
      <c r="V612" s="89">
        <f>IFERROR(__xludf.DUMMYFUNCTION("INDEX(SPLIT(SUBSTITUTE(W612,CHAR(10), """"),"",:""), MATCH(Z612, SPLIT(SUBSTITUTE(W612,CHAR(10), """"),"",:""), 0) + 1)"),8.0)</f>
        <v>8</v>
      </c>
      <c r="W612" s="85" t="s">
        <v>2001</v>
      </c>
      <c r="X612" s="146" t="s">
        <v>4299</v>
      </c>
      <c r="Y612" s="53" t="s">
        <v>4290</v>
      </c>
      <c r="Z612" s="53" t="str">
        <f t="array" ref="Z612">INDEX(Problems!J:J, MATCH(1, (Problems!B:B=B612)*1, 0))</f>
        <v>n</v>
      </c>
      <c r="AA612" s="53"/>
      <c r="AB612" s="53"/>
      <c r="AC612" s="53" t="s">
        <v>2337</v>
      </c>
      <c r="AD612" s="53" t="s">
        <v>1814</v>
      </c>
      <c r="AE612" s="85">
        <f>IFERROR(__xludf.DUMMYFUNCTION("INDEX(SPLIT(SUBSTITUTE(AF612,CHAR(10), """"),"",:""), MATCH(Z612, SPLIT(SUBSTITUTE(AF612,CHAR(10), """"),"",:""), 0) + 1)"),8.0)</f>
        <v>8</v>
      </c>
      <c r="AF612" s="85" t="s">
        <v>4295</v>
      </c>
      <c r="AG612" s="53" t="s">
        <v>4302</v>
      </c>
      <c r="AH612" s="53" t="s">
        <v>4303</v>
      </c>
      <c r="AI612" s="21">
        <v>1.0</v>
      </c>
      <c r="AJ612" s="84">
        <v>0.0</v>
      </c>
      <c r="AK612" s="21"/>
      <c r="AL612" s="16">
        <v>0.0</v>
      </c>
      <c r="AM612" s="21"/>
      <c r="AN612" s="16">
        <v>0.0</v>
      </c>
      <c r="AO612" s="90"/>
      <c r="AP612" s="16">
        <v>0.0</v>
      </c>
      <c r="AQ612" s="16">
        <v>0.0</v>
      </c>
      <c r="AR612" s="39"/>
      <c r="AS612" s="81">
        <v>0.0</v>
      </c>
      <c r="AT612" s="81">
        <v>0.0</v>
      </c>
      <c r="AU612" s="113" t="s">
        <v>4304</v>
      </c>
      <c r="AV612" s="82"/>
      <c r="AW612" s="7"/>
      <c r="AX612" s="82"/>
      <c r="AY612" s="7"/>
      <c r="AZ612" s="7"/>
      <c r="BA612" s="7"/>
      <c r="BB612" s="7"/>
      <c r="BC612" s="7"/>
      <c r="BD612" s="7"/>
      <c r="BE612" s="7"/>
      <c r="BF612" s="7" t="s">
        <v>1781</v>
      </c>
      <c r="BG612" s="7">
        <v>1.0</v>
      </c>
      <c r="BH612" s="7"/>
      <c r="BI612" s="7" t="s">
        <v>1781</v>
      </c>
      <c r="BJ612" s="7">
        <v>1.0</v>
      </c>
      <c r="BK612" s="7"/>
      <c r="BL612" s="7" t="s">
        <v>1781</v>
      </c>
      <c r="BM612" s="7">
        <v>1.0</v>
      </c>
      <c r="BN612" s="7"/>
      <c r="BO612" s="7">
        <v>1.0</v>
      </c>
      <c r="BP612" s="82"/>
      <c r="BQ612" s="7"/>
      <c r="BR612" s="7" t="s">
        <v>144</v>
      </c>
    </row>
    <row r="613">
      <c r="A613" s="16">
        <v>51.0</v>
      </c>
      <c r="B613" s="16" t="s">
        <v>645</v>
      </c>
      <c r="C613" s="53">
        <v>1.0</v>
      </c>
      <c r="D613" s="53"/>
      <c r="E613" s="7">
        <v>426.0</v>
      </c>
      <c r="F613" s="53"/>
      <c r="G613" s="7">
        <v>0.0</v>
      </c>
      <c r="H613" s="16">
        <v>1.0</v>
      </c>
      <c r="I613" s="16">
        <v>1.0</v>
      </c>
      <c r="J613" s="146" t="s">
        <v>834</v>
      </c>
      <c r="K613" s="53"/>
      <c r="L613" s="53"/>
      <c r="M613" s="39" t="str">
        <f t="shared" si="1"/>
        <v>[https://www.jstor.org/stable/2984875 Expectation–maximization (EM) algorithm (1977)]</v>
      </c>
      <c r="N613" s="39" t="s">
        <v>4305</v>
      </c>
      <c r="O613" s="81">
        <v>1977.0</v>
      </c>
      <c r="P613" s="25" t="s">
        <v>647</v>
      </c>
      <c r="Q613" s="82"/>
      <c r="R613" s="82"/>
      <c r="S613" s="82"/>
      <c r="T613" s="16">
        <v>0.0</v>
      </c>
      <c r="U613" s="16">
        <v>0.0</v>
      </c>
      <c r="V613" s="89">
        <f>IFERROR(__xludf.DUMMYFUNCTION("INDEX(SPLIT(SUBSTITUTE(W613,CHAR(10), """"),"",:""), MATCH(Z613, SPLIT(SUBSTITUTE(W613,CHAR(10), """"),"",:""), 0) + 1)"),6.0)</f>
        <v>6</v>
      </c>
      <c r="W613" s="85" t="s">
        <v>2008</v>
      </c>
      <c r="X613" s="146" t="s">
        <v>834</v>
      </c>
      <c r="Y613" s="53" t="s">
        <v>4306</v>
      </c>
      <c r="Z613" s="53" t="str">
        <f t="array" ref="Z613">INDEX(Problems!J:J, MATCH(1, (Problems!B:B=B613)*1, 0))</f>
        <v>n</v>
      </c>
      <c r="AA613" s="53"/>
      <c r="AB613" s="53"/>
      <c r="AC613" s="53" t="s">
        <v>2152</v>
      </c>
      <c r="AD613" s="53" t="s">
        <v>1814</v>
      </c>
      <c r="AE613" s="85">
        <f>IFERROR(__xludf.DUMMYFUNCTION("INDEX(SPLIT(SUBSTITUTE(AF613,CHAR(10), """"),"",:""), MATCH(Z613, SPLIT(SUBSTITUTE(AF613,CHAR(10), """"),"",:""), 0) + 1)"),3.0)</f>
        <v>3</v>
      </c>
      <c r="AF613" s="85" t="s">
        <v>4307</v>
      </c>
      <c r="AG613" s="53" t="s">
        <v>4308</v>
      </c>
      <c r="AH613" s="53" t="s">
        <v>4309</v>
      </c>
      <c r="AI613" s="21">
        <v>1.0</v>
      </c>
      <c r="AJ613" s="84">
        <v>0.0</v>
      </c>
      <c r="AK613" s="21"/>
      <c r="AL613" s="16">
        <v>0.0</v>
      </c>
      <c r="AM613" s="21"/>
      <c r="AN613" s="16">
        <v>0.0</v>
      </c>
      <c r="AO613" s="90"/>
      <c r="AP613" s="16">
        <v>0.0</v>
      </c>
      <c r="AQ613" s="16">
        <v>0.0</v>
      </c>
      <c r="AR613" s="39"/>
      <c r="AS613" s="81">
        <v>0.0</v>
      </c>
      <c r="AT613" s="81">
        <v>0.0</v>
      </c>
      <c r="AU613" s="82"/>
      <c r="AV613" s="82"/>
      <c r="AW613" s="82"/>
      <c r="AX613" s="82"/>
      <c r="AY613" s="7"/>
      <c r="AZ613" s="82"/>
      <c r="BA613" s="82"/>
      <c r="BB613" s="82"/>
      <c r="BC613" s="82"/>
      <c r="BD613" s="82"/>
      <c r="BE613" s="82"/>
      <c r="BF613" s="82"/>
      <c r="BG613" s="82"/>
      <c r="BH613" s="82"/>
      <c r="BI613" s="82"/>
      <c r="BJ613" s="82"/>
      <c r="BK613" s="82"/>
      <c r="BL613" s="82"/>
      <c r="BM613" s="82"/>
      <c r="BN613" s="7"/>
      <c r="BO613" s="7">
        <v>3.0</v>
      </c>
      <c r="BP613" s="82"/>
      <c r="BQ613" s="7"/>
      <c r="BR613" s="7" t="s">
        <v>144</v>
      </c>
    </row>
    <row r="614">
      <c r="A614" s="16">
        <v>51.0</v>
      </c>
      <c r="B614" s="16" t="s">
        <v>645</v>
      </c>
      <c r="C614" s="53">
        <v>1.0</v>
      </c>
      <c r="D614" s="53"/>
      <c r="E614" s="7">
        <v>427.0</v>
      </c>
      <c r="F614" s="53"/>
      <c r="G614" s="7">
        <v>0.0</v>
      </c>
      <c r="H614" s="16">
        <v>1.0</v>
      </c>
      <c r="I614" s="16">
        <v>1.0</v>
      </c>
      <c r="J614" s="146" t="s">
        <v>834</v>
      </c>
      <c r="K614" s="53"/>
      <c r="L614" s="53"/>
      <c r="M614" s="39" t="str">
        <f t="shared" si="1"/>
        <v>[- Newton–Raphson algorithm (1685)]</v>
      </c>
      <c r="N614" s="39" t="s">
        <v>4310</v>
      </c>
      <c r="O614" s="83">
        <v>1685.0</v>
      </c>
      <c r="P614" s="16" t="s">
        <v>1937</v>
      </c>
      <c r="Q614" s="82"/>
      <c r="R614" s="82"/>
      <c r="S614" s="82"/>
      <c r="T614" s="16">
        <v>1.0</v>
      </c>
      <c r="U614" s="16">
        <v>0.0</v>
      </c>
      <c r="V614" s="89">
        <f>IFERROR(__xludf.DUMMYFUNCTION("INDEX(SPLIT(SUBSTITUTE(W614,CHAR(10), """"),"",:""), MATCH(Z614, SPLIT(SUBSTITUTE(W614,CHAR(10), """"),"",:""), 0) + 1)"),6.0)</f>
        <v>6</v>
      </c>
      <c r="W614" s="85" t="s">
        <v>2008</v>
      </c>
      <c r="X614" s="146" t="s">
        <v>834</v>
      </c>
      <c r="Y614" s="53" t="s">
        <v>4306</v>
      </c>
      <c r="Z614" s="53" t="str">
        <f t="array" ref="Z614">INDEX(Problems!J:J, MATCH(1, (Problems!B:B=B614)*1, 0))</f>
        <v>n</v>
      </c>
      <c r="AA614" s="53"/>
      <c r="AB614" s="53"/>
      <c r="AC614" s="53" t="s">
        <v>2152</v>
      </c>
      <c r="AD614" s="53" t="s">
        <v>1814</v>
      </c>
      <c r="AE614" s="85">
        <f>IFERROR(__xludf.DUMMYFUNCTION("INDEX(SPLIT(SUBSTITUTE(AF614,CHAR(10), """"),"",:""), MATCH(Z614, SPLIT(SUBSTITUTE(AF614,CHAR(10), """"),"",:""), 0) + 1)"),3.0)</f>
        <v>3</v>
      </c>
      <c r="AF614" s="85" t="s">
        <v>4311</v>
      </c>
      <c r="AG614" s="53" t="s">
        <v>4312</v>
      </c>
      <c r="AH614" s="53" t="s">
        <v>4313</v>
      </c>
      <c r="AI614" s="21">
        <v>1.0</v>
      </c>
      <c r="AJ614" s="84">
        <v>0.0</v>
      </c>
      <c r="AK614" s="21"/>
      <c r="AL614" s="16">
        <v>0.0</v>
      </c>
      <c r="AM614" s="21"/>
      <c r="AN614" s="16">
        <v>0.0</v>
      </c>
      <c r="AO614" s="90"/>
      <c r="AP614" s="16">
        <v>0.0</v>
      </c>
      <c r="AQ614" s="16">
        <v>0.0</v>
      </c>
      <c r="AR614" s="39"/>
      <c r="AS614" s="81">
        <v>0.0</v>
      </c>
      <c r="AT614" s="81">
        <v>0.0</v>
      </c>
      <c r="AU614" s="114" t="s">
        <v>4314</v>
      </c>
      <c r="AV614" s="82"/>
      <c r="AW614" s="82"/>
      <c r="AX614" s="82"/>
      <c r="AY614" s="7"/>
      <c r="AZ614" s="7"/>
      <c r="BA614" s="7"/>
      <c r="BB614" s="7"/>
      <c r="BC614" s="7"/>
      <c r="BD614" s="7"/>
      <c r="BE614" s="7"/>
      <c r="BF614" s="7">
        <v>1.0E9</v>
      </c>
      <c r="BG614" s="7">
        <v>1.0</v>
      </c>
      <c r="BH614" s="82"/>
      <c r="BI614" s="82">
        <f>POW(1000000,3)</f>
        <v>1E+18</v>
      </c>
      <c r="BJ614" s="7">
        <v>1.0</v>
      </c>
      <c r="BK614" s="82"/>
      <c r="BL614" s="82">
        <f>POW(1000000000,3)</f>
        <v>1E+27</v>
      </c>
      <c r="BM614" s="7">
        <v>1.0</v>
      </c>
      <c r="BN614" s="7"/>
      <c r="BO614" s="7">
        <v>3.0</v>
      </c>
      <c r="BP614" s="82"/>
      <c r="BQ614" s="7"/>
      <c r="BR614" s="7" t="s">
        <v>144</v>
      </c>
    </row>
    <row r="615">
      <c r="A615" s="16">
        <v>51.0</v>
      </c>
      <c r="B615" s="16" t="s">
        <v>645</v>
      </c>
      <c r="C615" s="53">
        <v>1.0</v>
      </c>
      <c r="D615" s="53"/>
      <c r="E615" s="7">
        <v>428.0</v>
      </c>
      <c r="F615" s="53"/>
      <c r="G615" s="7">
        <v>0.0</v>
      </c>
      <c r="H615" s="16">
        <v>1.0</v>
      </c>
      <c r="I615" s="16">
        <v>1.0</v>
      </c>
      <c r="J615" s="146" t="s">
        <v>834</v>
      </c>
      <c r="K615" s="53"/>
      <c r="L615" s="53"/>
      <c r="M615" s="39" t="str">
        <f t="shared" si="1"/>
        <v>[https://www.jstor.org/stable/2337481 Parameter-expanded expectation maximization (PX-EM) algorithm (1998)]</v>
      </c>
      <c r="N615" s="39" t="s">
        <v>4315</v>
      </c>
      <c r="O615" s="81">
        <v>1998.0</v>
      </c>
      <c r="P615" s="25" t="s">
        <v>4316</v>
      </c>
      <c r="Q615" s="82"/>
      <c r="R615" s="82"/>
      <c r="S615" s="82"/>
      <c r="T615" s="16">
        <v>0.0</v>
      </c>
      <c r="U615" s="16">
        <v>0.0</v>
      </c>
      <c r="V615" s="89">
        <f>IFERROR(__xludf.DUMMYFUNCTION("INDEX(SPLIT(SUBSTITUTE(W615,CHAR(10), """"),"",:""), MATCH(Z615, SPLIT(SUBSTITUTE(W615,CHAR(10), """"),"",:""), 0) + 1)"),6.0)</f>
        <v>6</v>
      </c>
      <c r="W615" s="85" t="s">
        <v>2008</v>
      </c>
      <c r="X615" s="146" t="s">
        <v>834</v>
      </c>
      <c r="Y615" s="53" t="s">
        <v>4306</v>
      </c>
      <c r="Z615" s="53" t="str">
        <f t="array" ref="Z615">INDEX(Problems!J:J, MATCH(1, (Problems!B:B=B615)*1, 0))</f>
        <v>n</v>
      </c>
      <c r="AA615" s="53"/>
      <c r="AB615" s="53"/>
      <c r="AC615" s="53" t="s">
        <v>2152</v>
      </c>
      <c r="AD615" s="53" t="s">
        <v>1814</v>
      </c>
      <c r="AE615" s="85">
        <f>IFERROR(__xludf.DUMMYFUNCTION("INDEX(SPLIT(SUBSTITUTE(AF615,CHAR(10), """"),"",:""), MATCH(Z615, SPLIT(SUBSTITUTE(AF615,CHAR(10), """"),"",:""), 0) + 1)"),3.0)</f>
        <v>3</v>
      </c>
      <c r="AF615" s="85" t="s">
        <v>4307</v>
      </c>
      <c r="AG615" s="53" t="s">
        <v>4308</v>
      </c>
      <c r="AH615" s="53" t="s">
        <v>4317</v>
      </c>
      <c r="AI615" s="21">
        <v>1.0</v>
      </c>
      <c r="AJ615" s="84">
        <v>0.0</v>
      </c>
      <c r="AK615" s="21"/>
      <c r="AL615" s="16">
        <v>0.0</v>
      </c>
      <c r="AM615" s="21"/>
      <c r="AN615" s="16">
        <v>0.0</v>
      </c>
      <c r="AO615" s="90"/>
      <c r="AP615" s="16">
        <v>0.0</v>
      </c>
      <c r="AQ615" s="16">
        <v>0.0</v>
      </c>
      <c r="AR615" s="39"/>
      <c r="AS615" s="81">
        <v>0.0</v>
      </c>
      <c r="AT615" s="81">
        <v>0.0</v>
      </c>
      <c r="AU615" s="82"/>
      <c r="AV615" s="82"/>
      <c r="AW615" s="82"/>
      <c r="AX615" s="82"/>
      <c r="AY615" s="7"/>
      <c r="AZ615" s="82"/>
      <c r="BA615" s="82"/>
      <c r="BB615" s="82"/>
      <c r="BC615" s="82"/>
      <c r="BD615" s="82"/>
      <c r="BE615" s="82"/>
      <c r="BF615" s="82"/>
      <c r="BG615" s="82"/>
      <c r="BH615" s="82"/>
      <c r="BI615" s="82"/>
      <c r="BJ615" s="82"/>
      <c r="BK615" s="82"/>
      <c r="BL615" s="82"/>
      <c r="BM615" s="82"/>
      <c r="BN615" s="7"/>
      <c r="BO615" s="7">
        <v>3.0</v>
      </c>
      <c r="BP615" s="82"/>
      <c r="BQ615" s="7"/>
      <c r="BR615" s="7" t="s">
        <v>144</v>
      </c>
    </row>
    <row r="616">
      <c r="A616" s="16">
        <v>51.0</v>
      </c>
      <c r="B616" s="16" t="s">
        <v>645</v>
      </c>
      <c r="C616" s="53">
        <v>1.0</v>
      </c>
      <c r="D616" s="53"/>
      <c r="E616" s="7">
        <v>429.0</v>
      </c>
      <c r="F616" s="53"/>
      <c r="G616" s="7">
        <v>0.0</v>
      </c>
      <c r="H616" s="16">
        <v>1.0</v>
      </c>
      <c r="I616" s="16">
        <v>1.0</v>
      </c>
      <c r="J616" s="146" t="s">
        <v>3529</v>
      </c>
      <c r="K616" s="53"/>
      <c r="L616" s="53"/>
      <c r="M616" s="39" t="str">
        <f t="shared" si="1"/>
        <v>[https://arxiv.org/abs/1709.06970 Expectation conditional maximization (ECM) (2017)]</v>
      </c>
      <c r="N616" s="39" t="s">
        <v>4318</v>
      </c>
      <c r="O616" s="81">
        <v>2017.0</v>
      </c>
      <c r="P616" s="25" t="s">
        <v>4319</v>
      </c>
      <c r="Q616" s="82"/>
      <c r="R616" s="82"/>
      <c r="S616" s="82"/>
      <c r="T616" s="16">
        <v>1.0</v>
      </c>
      <c r="U616" s="16">
        <v>0.0</v>
      </c>
      <c r="V616" s="89">
        <f>IFERROR(__xludf.DUMMYFUNCTION("INDEX(SPLIT(SUBSTITUTE(W616,CHAR(10), """"),"",:""), MATCH(Z616, SPLIT(SUBSTITUTE(W616,CHAR(10), """"),"",:""), 0) + 1)"),5.01)</f>
        <v>5.01</v>
      </c>
      <c r="W616" s="85" t="s">
        <v>1890</v>
      </c>
      <c r="X616" s="48" t="s">
        <v>1564</v>
      </c>
      <c r="Y616" s="53" t="s">
        <v>4306</v>
      </c>
      <c r="Z616" s="53" t="str">
        <f t="array" ref="Z616">INDEX(Problems!J:J, MATCH(1, (Problems!B:B=B616)*1, 0))</f>
        <v>n</v>
      </c>
      <c r="AA616" s="53"/>
      <c r="AB616" s="53"/>
      <c r="AC616" s="53" t="s">
        <v>2152</v>
      </c>
      <c r="AD616" s="53" t="s">
        <v>1814</v>
      </c>
      <c r="AE616" s="85">
        <f>IFERROR(__xludf.DUMMYFUNCTION("INDEX(SPLIT(SUBSTITUTE(AF616,CHAR(10), """"),"",:""), MATCH(Z616, SPLIT(SUBSTITUTE(AF616,CHAR(10), """"),"",:""), 0) + 1)"),3.0)</f>
        <v>3</v>
      </c>
      <c r="AF616" s="85" t="s">
        <v>4307</v>
      </c>
      <c r="AG616" s="53" t="s">
        <v>4308</v>
      </c>
      <c r="AH616" s="53" t="s">
        <v>4309</v>
      </c>
      <c r="AI616" s="21">
        <v>1.0</v>
      </c>
      <c r="AJ616" s="84">
        <v>0.0</v>
      </c>
      <c r="AK616" s="21"/>
      <c r="AL616" s="16">
        <v>0.0</v>
      </c>
      <c r="AM616" s="21"/>
      <c r="AN616" s="16">
        <v>0.0</v>
      </c>
      <c r="AO616" s="90"/>
      <c r="AP616" s="16">
        <v>0.0</v>
      </c>
      <c r="AQ616" s="16">
        <v>0.0</v>
      </c>
      <c r="AR616" s="39"/>
      <c r="AS616" s="81">
        <v>0.0</v>
      </c>
      <c r="AT616" s="81">
        <v>0.0</v>
      </c>
      <c r="AU616" s="82"/>
      <c r="AV616" s="82"/>
      <c r="AW616" s="82"/>
      <c r="AX616" s="82"/>
      <c r="AY616" s="7"/>
      <c r="AZ616" s="82"/>
      <c r="BA616" s="82"/>
      <c r="BB616" s="82"/>
      <c r="BC616" s="82"/>
      <c r="BD616" s="82"/>
      <c r="BE616" s="82"/>
      <c r="BF616" s="82">
        <f>POW(1000,2)*LOG(1000,2)</f>
        <v>9965784.285</v>
      </c>
      <c r="BG616" s="82">
        <f>BF614/BF616</f>
        <v>100.3433319</v>
      </c>
      <c r="BH616" s="82">
        <f>POW(BG616,1/($O616-1940))-1</f>
        <v>0.06167931846</v>
      </c>
      <c r="BI616" s="82">
        <f>POW(1000000,2)*LOG(1000000,2)</f>
        <v>19931568569324</v>
      </c>
      <c r="BJ616" s="82">
        <f>BI614/BI616</f>
        <v>50171.66594</v>
      </c>
      <c r="BK616" s="82">
        <f>POW(BJ616,1/($O616-1940))-1</f>
        <v>0.1509194139</v>
      </c>
      <c r="BL616" s="82">
        <f>POW(1000000000,2)*LOG(1000000000,2)</f>
        <v>2.98974E+19</v>
      </c>
      <c r="BM616" s="82">
        <f>BL614/BL616</f>
        <v>33447777.3</v>
      </c>
      <c r="BN616" s="82">
        <f>POW(BM616,1/($O616-1940))-1</f>
        <v>0.2523307814</v>
      </c>
      <c r="BO616" s="7">
        <v>3.0</v>
      </c>
      <c r="BP616" s="82"/>
      <c r="BQ616" s="7"/>
      <c r="BR616" s="7" t="s">
        <v>144</v>
      </c>
    </row>
    <row r="617">
      <c r="A617" s="16">
        <v>51.0</v>
      </c>
      <c r="B617" s="16" t="s">
        <v>645</v>
      </c>
      <c r="C617" s="53">
        <v>1.0</v>
      </c>
      <c r="D617" s="53"/>
      <c r="E617" s="7">
        <v>430.0</v>
      </c>
      <c r="F617" s="53"/>
      <c r="G617" s="7">
        <v>0.0</v>
      </c>
      <c r="H617" s="16">
        <v>1.0</v>
      </c>
      <c r="I617" s="16">
        <v>1.0</v>
      </c>
      <c r="J617" s="146" t="s">
        <v>4320</v>
      </c>
      <c r="K617" s="53"/>
      <c r="L617" s="53"/>
      <c r="M617" s="39" t="str">
        <f t="shared" si="1"/>
        <v>[https://web.eecs.umich.edu/~fessler/papers/files/jour/94/web/fessler-94-sag.pdf Generalized expectation maximization (GEM) algorithm (1994)]</v>
      </c>
      <c r="N617" s="39" t="s">
        <v>4321</v>
      </c>
      <c r="O617" s="81">
        <v>1994.0</v>
      </c>
      <c r="P617" s="25" t="s">
        <v>4322</v>
      </c>
      <c r="Q617" s="82"/>
      <c r="R617" s="82"/>
      <c r="S617" s="82"/>
      <c r="T617" s="16">
        <v>0.0</v>
      </c>
      <c r="U617" s="16">
        <v>0.0</v>
      </c>
      <c r="V617" s="89">
        <f>IFERROR(__xludf.DUMMYFUNCTION("INDEX(SPLIT(SUBSTITUTE(W617,CHAR(10), """"),"",:""), MATCH(Z617, SPLIT(SUBSTITUTE(W617,CHAR(10), """"),"",:""), 0) + 1)"),7.0)</f>
        <v>7</v>
      </c>
      <c r="W617" s="85" t="s">
        <v>2517</v>
      </c>
      <c r="X617" s="48" t="s">
        <v>4323</v>
      </c>
      <c r="Y617" s="53" t="s">
        <v>4306</v>
      </c>
      <c r="Z617" s="53" t="str">
        <f t="array" ref="Z617">INDEX(Problems!J:J, MATCH(1, (Problems!B:B=B617)*1, 0))</f>
        <v>n</v>
      </c>
      <c r="AA617" s="53"/>
      <c r="AB617" s="53"/>
      <c r="AC617" s="53" t="s">
        <v>2152</v>
      </c>
      <c r="AD617" s="53" t="s">
        <v>1814</v>
      </c>
      <c r="AE617" s="85">
        <f>IFERROR(__xludf.DUMMYFUNCTION("INDEX(SPLIT(SUBSTITUTE(AF617,CHAR(10), """"),"",:""), MATCH(Z617, SPLIT(SUBSTITUTE(AF617,CHAR(10), """"),"",:""), 0) + 1)"),3.0)</f>
        <v>3</v>
      </c>
      <c r="AF617" s="85" t="s">
        <v>4307</v>
      </c>
      <c r="AG617" s="53" t="s">
        <v>4308</v>
      </c>
      <c r="AH617" s="53" t="s">
        <v>4309</v>
      </c>
      <c r="AI617" s="21">
        <v>1.0</v>
      </c>
      <c r="AJ617" s="84">
        <v>0.0</v>
      </c>
      <c r="AK617" s="21"/>
      <c r="AL617" s="16">
        <v>0.0</v>
      </c>
      <c r="AM617" s="21"/>
      <c r="AN617" s="16">
        <v>0.0</v>
      </c>
      <c r="AO617" s="90"/>
      <c r="AP617" s="16">
        <v>0.0</v>
      </c>
      <c r="AQ617" s="16">
        <v>0.0</v>
      </c>
      <c r="AR617" s="39"/>
      <c r="AS617" s="81">
        <v>0.0</v>
      </c>
      <c r="AT617" s="81">
        <v>0.0</v>
      </c>
      <c r="AU617" s="82"/>
      <c r="AV617" s="82"/>
      <c r="AW617" s="82"/>
      <c r="AX617" s="82"/>
      <c r="AY617" s="7"/>
      <c r="AZ617" s="82"/>
      <c r="BA617" s="82"/>
      <c r="BB617" s="82"/>
      <c r="BC617" s="82"/>
      <c r="BD617" s="82"/>
      <c r="BE617" s="82"/>
      <c r="BF617" s="82"/>
      <c r="BG617" s="82"/>
      <c r="BH617" s="82"/>
      <c r="BI617" s="82"/>
      <c r="BJ617" s="82"/>
      <c r="BK617" s="82"/>
      <c r="BL617" s="82"/>
      <c r="BM617" s="82"/>
      <c r="BN617" s="7"/>
      <c r="BO617" s="7">
        <v>3.0</v>
      </c>
      <c r="BP617" s="82"/>
      <c r="BQ617" s="7"/>
      <c r="BR617" s="7" t="s">
        <v>144</v>
      </c>
    </row>
    <row r="618">
      <c r="A618" s="16">
        <v>51.0</v>
      </c>
      <c r="B618" s="16" t="s">
        <v>645</v>
      </c>
      <c r="C618" s="53">
        <v>1.0</v>
      </c>
      <c r="D618" s="53"/>
      <c r="E618" s="7">
        <v>431.0</v>
      </c>
      <c r="F618" s="53"/>
      <c r="G618" s="7">
        <v>0.0</v>
      </c>
      <c r="H618" s="16">
        <v>1.0</v>
      </c>
      <c r="I618" s="16">
        <v>1.0</v>
      </c>
      <c r="J618" s="146" t="s">
        <v>834</v>
      </c>
      <c r="K618" s="53"/>
      <c r="L618" s="53"/>
      <c r="M618" s="39" t="str">
        <f t="shared" si="1"/>
        <v>[https://dl.acm.org/doi/10.1109/TIT.2002.808105 α-EM algorithm (2003)]</v>
      </c>
      <c r="N618" s="39" t="s">
        <v>4324</v>
      </c>
      <c r="O618" s="81">
        <v>2003.0</v>
      </c>
      <c r="P618" s="25" t="s">
        <v>4325</v>
      </c>
      <c r="Q618" s="82"/>
      <c r="R618" s="82"/>
      <c r="S618" s="82"/>
      <c r="T618" s="16">
        <v>0.0</v>
      </c>
      <c r="U618" s="16">
        <v>0.0</v>
      </c>
      <c r="V618" s="89">
        <f>IFERROR(__xludf.DUMMYFUNCTION("INDEX(SPLIT(SUBSTITUTE(W618,CHAR(10), """"),"",:""), MATCH(Z618, SPLIT(SUBSTITUTE(W618,CHAR(10), """"),"",:""), 0) + 1)"),6.0)</f>
        <v>6</v>
      </c>
      <c r="W618" s="85" t="s">
        <v>2008</v>
      </c>
      <c r="X618" s="146" t="s">
        <v>834</v>
      </c>
      <c r="Y618" s="53" t="s">
        <v>4306</v>
      </c>
      <c r="Z618" s="53" t="str">
        <f t="array" ref="Z618">INDEX(Problems!J:J, MATCH(1, (Problems!B:B=B618)*1, 0))</f>
        <v>n</v>
      </c>
      <c r="AA618" s="53"/>
      <c r="AB618" s="53"/>
      <c r="AC618" s="53" t="s">
        <v>2152</v>
      </c>
      <c r="AD618" s="53" t="s">
        <v>1814</v>
      </c>
      <c r="AE618" s="85">
        <f>IFERROR(__xludf.DUMMYFUNCTION("INDEX(SPLIT(SUBSTITUTE(AF618,CHAR(10), """"),"",:""), MATCH(Z618, SPLIT(SUBSTITUTE(AF618,CHAR(10), """"),"",:""), 0) + 1)"),3.0)</f>
        <v>3</v>
      </c>
      <c r="AF618" s="85" t="s">
        <v>4307</v>
      </c>
      <c r="AG618" s="53" t="s">
        <v>4308</v>
      </c>
      <c r="AH618" s="53" t="s">
        <v>4326</v>
      </c>
      <c r="AI618" s="21">
        <v>1.0</v>
      </c>
      <c r="AJ618" s="84">
        <v>0.0</v>
      </c>
      <c r="AK618" s="21"/>
      <c r="AL618" s="16">
        <v>0.0</v>
      </c>
      <c r="AM618" s="21"/>
      <c r="AN618" s="16">
        <v>0.0</v>
      </c>
      <c r="AO618" s="90"/>
      <c r="AP618" s="16">
        <v>0.0</v>
      </c>
      <c r="AQ618" s="16">
        <v>0.0</v>
      </c>
      <c r="AR618" s="39"/>
      <c r="AS618" s="81">
        <v>0.0</v>
      </c>
      <c r="AT618" s="81">
        <v>0.0</v>
      </c>
      <c r="AU618" s="82"/>
      <c r="AV618" s="82"/>
      <c r="AW618" s="82"/>
      <c r="AX618" s="82"/>
      <c r="AY618" s="7"/>
      <c r="AZ618" s="82"/>
      <c r="BA618" s="82"/>
      <c r="BB618" s="82"/>
      <c r="BC618" s="82"/>
      <c r="BD618" s="82"/>
      <c r="BE618" s="82"/>
      <c r="BF618" s="82"/>
      <c r="BG618" s="82"/>
      <c r="BH618" s="82"/>
      <c r="BI618" s="82"/>
      <c r="BJ618" s="82"/>
      <c r="BK618" s="82"/>
      <c r="BL618" s="82"/>
      <c r="BM618" s="82"/>
      <c r="BN618" s="7"/>
      <c r="BO618" s="7">
        <v>3.0</v>
      </c>
      <c r="BP618" s="82"/>
      <c r="BQ618" s="7"/>
      <c r="BR618" s="7" t="s">
        <v>144</v>
      </c>
    </row>
    <row r="619">
      <c r="A619" s="16">
        <v>52.0</v>
      </c>
      <c r="B619" s="16" t="s">
        <v>650</v>
      </c>
      <c r="C619" s="53">
        <v>2.0</v>
      </c>
      <c r="D619" s="53"/>
      <c r="E619" s="7">
        <v>432.0</v>
      </c>
      <c r="F619" s="53"/>
      <c r="G619" s="7">
        <v>0.0</v>
      </c>
      <c r="H619" s="16">
        <v>1.0</v>
      </c>
      <c r="I619" s="16">
        <v>1.0</v>
      </c>
      <c r="J619" s="21" t="s">
        <v>655</v>
      </c>
      <c r="K619" s="53"/>
      <c r="L619" s="53"/>
      <c r="M619" s="39" t="str">
        <f t="shared" si="1"/>
        <v>[- Naive solution (1940)]</v>
      </c>
      <c r="N619" s="39" t="s">
        <v>4327</v>
      </c>
      <c r="O619" s="81">
        <v>1940.0</v>
      </c>
      <c r="P619" s="16" t="s">
        <v>1937</v>
      </c>
      <c r="Q619" s="82"/>
      <c r="R619" s="82"/>
      <c r="S619" s="82"/>
      <c r="T619" s="16">
        <v>1.0</v>
      </c>
      <c r="U619" s="16">
        <v>0.0</v>
      </c>
      <c r="V619" s="89">
        <f>IFERROR(__xludf.DUMMYFUNCTION("INDEX(SPLIT(SUBSTITUTE(W619,CHAR(10), """"),"",:""), MATCH(Z619, SPLIT(SUBSTITUTE(W619,CHAR(10), """"),"",:""), 0) + 1)"),3.0)</f>
        <v>3</v>
      </c>
      <c r="W619" s="85" t="s">
        <v>1898</v>
      </c>
      <c r="X619" s="21" t="s">
        <v>655</v>
      </c>
      <c r="Y619" s="53" t="s">
        <v>4328</v>
      </c>
      <c r="Z619" s="53" t="str">
        <f t="array" ref="Z619">INDEX(Problems!J:J, MATCH(1, (Problems!B:B=B619)*1, 0))</f>
        <v>N</v>
      </c>
      <c r="AA619" s="53"/>
      <c r="AB619" s="53"/>
      <c r="AC619" s="53" t="s">
        <v>1813</v>
      </c>
      <c r="AD619" s="53" t="s">
        <v>1814</v>
      </c>
      <c r="AE619" s="85">
        <f>IFERROR(__xludf.DUMMYFUNCTION("INDEX(SPLIT(SUBSTITUTE(AF619,CHAR(10), """"),"",:""), MATCH(Z619, SPLIT(SUBSTITUTE(AF619,CHAR(10), """"),"",:""), 0) + 1)"),3.0)</f>
        <v>3</v>
      </c>
      <c r="AF619" s="85" t="s">
        <v>1898</v>
      </c>
      <c r="AG619" s="120" t="s">
        <v>35</v>
      </c>
      <c r="AH619" s="120" t="s">
        <v>4329</v>
      </c>
      <c r="AI619" s="21">
        <v>1.0</v>
      </c>
      <c r="AJ619" s="84">
        <v>0.0</v>
      </c>
      <c r="AK619" s="21"/>
      <c r="AL619" s="16">
        <v>0.0</v>
      </c>
      <c r="AM619" s="21"/>
      <c r="AN619" s="16">
        <v>0.0</v>
      </c>
      <c r="AO619" s="90"/>
      <c r="AP619" s="16">
        <v>0.0</v>
      </c>
      <c r="AQ619" s="16">
        <v>0.0</v>
      </c>
      <c r="AR619" s="39"/>
      <c r="AS619" s="81">
        <v>0.0</v>
      </c>
      <c r="AT619" s="81">
        <v>0.0</v>
      </c>
      <c r="AU619" s="39"/>
      <c r="AV619" s="82"/>
      <c r="AW619" s="82"/>
      <c r="AX619" s="82"/>
      <c r="AY619" s="7"/>
      <c r="AZ619" s="7"/>
      <c r="BA619" s="7"/>
      <c r="BB619" s="7"/>
      <c r="BC619" s="7"/>
      <c r="BD619" s="7"/>
      <c r="BE619" s="7"/>
      <c r="BF619" s="7">
        <v>1000.0</v>
      </c>
      <c r="BG619" s="7">
        <v>1.0</v>
      </c>
      <c r="BH619" s="7"/>
      <c r="BI619" s="7">
        <v>1000000.0</v>
      </c>
      <c r="BJ619" s="7">
        <v>1.0</v>
      </c>
      <c r="BK619" s="7"/>
      <c r="BL619" s="7">
        <v>1.0E9</v>
      </c>
      <c r="BM619" s="7">
        <v>1.0</v>
      </c>
      <c r="BN619" s="7"/>
      <c r="BO619" s="7">
        <v>6.0</v>
      </c>
      <c r="BP619" s="82"/>
      <c r="BQ619" s="7"/>
      <c r="BR619" s="7" t="s">
        <v>144</v>
      </c>
    </row>
    <row r="620">
      <c r="A620" s="16">
        <v>52.0</v>
      </c>
      <c r="B620" s="16" t="s">
        <v>650</v>
      </c>
      <c r="C620" s="53">
        <v>2.0</v>
      </c>
      <c r="D620" s="53"/>
      <c r="E620" s="7">
        <v>433.0</v>
      </c>
      <c r="F620" s="53"/>
      <c r="G620" s="7">
        <v>0.0</v>
      </c>
      <c r="H620" s="16">
        <v>1.0</v>
      </c>
      <c r="I620" s="16">
        <v>1.0</v>
      </c>
      <c r="J620" s="21" t="s">
        <v>655</v>
      </c>
      <c r="K620" s="53" t="s">
        <v>4330</v>
      </c>
      <c r="L620" s="53" t="s">
        <v>4152</v>
      </c>
      <c r="M620" s="39" t="str">
        <f t="shared" si="1"/>
        <v>[http://algo.inria.fr/flajolet/Publications/src/FlMa85.pdf  Flajolet–Martin algorithm (1984)]</v>
      </c>
      <c r="N620" s="39" t="s">
        <v>4331</v>
      </c>
      <c r="O620" s="81">
        <v>1984.0</v>
      </c>
      <c r="P620" s="25" t="s">
        <v>4332</v>
      </c>
      <c r="Q620" s="82"/>
      <c r="R620" s="82"/>
      <c r="S620" s="82"/>
      <c r="T620" s="16">
        <v>0.0</v>
      </c>
      <c r="U620" s="16">
        <v>0.0</v>
      </c>
      <c r="V620" s="89">
        <f>IFERROR(__xludf.DUMMYFUNCTION("INDEX(SPLIT(SUBSTITUTE(W620,CHAR(10), """"),"",:""), MATCH(Z620, SPLIT(SUBSTITUTE(W620,CHAR(10), """"),"",:""), 0) + 1)"),3.0)</f>
        <v>3</v>
      </c>
      <c r="W620" s="85" t="s">
        <v>1898</v>
      </c>
      <c r="X620" s="21" t="s">
        <v>655</v>
      </c>
      <c r="Y620" s="53" t="s">
        <v>4328</v>
      </c>
      <c r="Z620" s="53" t="str">
        <f t="array" ref="Z620">INDEX(Problems!J:J, MATCH(1, (Problems!B:B=B620)*1, 0))</f>
        <v>N</v>
      </c>
      <c r="AA620" s="53"/>
      <c r="AB620" s="53"/>
      <c r="AC620" s="53" t="s">
        <v>1813</v>
      </c>
      <c r="AD620" s="53" t="s">
        <v>1814</v>
      </c>
      <c r="AE620" s="85">
        <f>IFERROR(__xludf.DUMMYFUNCTION("INDEX(SPLIT(SUBSTITUTE(AF620,CHAR(10), """"),"",:""), MATCH(Z620, SPLIT(SUBSTITUTE(AF620,CHAR(10), """"),"",:""), 0) + 1)"),2.0)</f>
        <v>2</v>
      </c>
      <c r="AF620" s="85" t="s">
        <v>4333</v>
      </c>
      <c r="AG620" s="53" t="s">
        <v>2382</v>
      </c>
      <c r="AH620" s="91" t="s">
        <v>4334</v>
      </c>
      <c r="AI620" s="21">
        <v>0.0</v>
      </c>
      <c r="AJ620" s="84">
        <v>0.0</v>
      </c>
      <c r="AK620" s="21"/>
      <c r="AL620" s="21">
        <v>1.0</v>
      </c>
      <c r="AM620" s="21"/>
      <c r="AN620" s="21">
        <v>1.0</v>
      </c>
      <c r="AO620" s="90"/>
      <c r="AP620" s="16">
        <v>0.0</v>
      </c>
      <c r="AQ620" s="16">
        <v>0.0</v>
      </c>
      <c r="AR620" s="39"/>
      <c r="AS620" s="81">
        <v>0.0</v>
      </c>
      <c r="AT620" s="81">
        <v>0.0</v>
      </c>
      <c r="AU620" s="39"/>
      <c r="AV620" s="82"/>
      <c r="AW620" s="82"/>
      <c r="AX620" s="82"/>
      <c r="AY620" s="7"/>
      <c r="AZ620" s="82"/>
      <c r="BA620" s="82"/>
      <c r="BB620" s="82"/>
      <c r="BC620" s="82"/>
      <c r="BD620" s="82"/>
      <c r="BE620" s="82"/>
      <c r="BF620" s="82"/>
      <c r="BG620" s="82"/>
      <c r="BH620" s="82"/>
      <c r="BI620" s="82"/>
      <c r="BJ620" s="82"/>
      <c r="BK620" s="82"/>
      <c r="BL620" s="82"/>
      <c r="BM620" s="82"/>
      <c r="BN620" s="7"/>
      <c r="BO620" s="7">
        <v>6.0</v>
      </c>
      <c r="BP620" s="82"/>
      <c r="BQ620" s="7"/>
      <c r="BR620" s="7" t="s">
        <v>144</v>
      </c>
    </row>
    <row r="621">
      <c r="A621" s="16">
        <v>52.0</v>
      </c>
      <c r="B621" s="16" t="s">
        <v>650</v>
      </c>
      <c r="C621" s="53">
        <v>2.0</v>
      </c>
      <c r="D621" s="53"/>
      <c r="E621" s="7">
        <v>434.0</v>
      </c>
      <c r="F621" s="53"/>
      <c r="G621" s="7">
        <v>0.0</v>
      </c>
      <c r="H621" s="16">
        <v>1.0</v>
      </c>
      <c r="I621" s="16">
        <v>1.0</v>
      </c>
      <c r="J621" s="21" t="s">
        <v>655</v>
      </c>
      <c r="K621" s="53" t="s">
        <v>4330</v>
      </c>
      <c r="L621" s="53" t="s">
        <v>4152</v>
      </c>
      <c r="M621" s="39" t="str">
        <f t="shared" si="1"/>
        <v>[http://algo.inria.fr/flajolet/Publications/DuFl03-LNCS.pdf LogLog algorithm (2003)]</v>
      </c>
      <c r="N621" s="39" t="s">
        <v>4335</v>
      </c>
      <c r="O621" s="81">
        <v>2003.0</v>
      </c>
      <c r="P621" s="25" t="s">
        <v>4336</v>
      </c>
      <c r="Q621" s="82"/>
      <c r="R621" s="82"/>
      <c r="S621" s="82"/>
      <c r="T621" s="16">
        <v>0.0</v>
      </c>
      <c r="U621" s="16">
        <v>0.0</v>
      </c>
      <c r="V621" s="89">
        <f>IFERROR(__xludf.DUMMYFUNCTION("INDEX(SPLIT(SUBSTITUTE(W621,CHAR(10), """"),"",:""), MATCH(Z621, SPLIT(SUBSTITUTE(W621,CHAR(10), """"),"",:""), 0) + 1)"),3.0)</f>
        <v>3</v>
      </c>
      <c r="W621" s="85" t="s">
        <v>1898</v>
      </c>
      <c r="X621" s="21" t="s">
        <v>655</v>
      </c>
      <c r="Y621" s="53" t="s">
        <v>4328</v>
      </c>
      <c r="Z621" s="53" t="str">
        <f t="array" ref="Z621">INDEX(Problems!J:J, MATCH(1, (Problems!B:B=B621)*1, 0))</f>
        <v>N</v>
      </c>
      <c r="AA621" s="53"/>
      <c r="AB621" s="53"/>
      <c r="AC621" s="53" t="s">
        <v>1813</v>
      </c>
      <c r="AD621" s="53" t="s">
        <v>1814</v>
      </c>
      <c r="AE621" s="85">
        <f>IFERROR(__xludf.DUMMYFUNCTION("INDEX(SPLIT(SUBSTITUTE(AF621,CHAR(10), """"),"",:""), MATCH(Z621, SPLIT(SUBSTITUTE(AF621,CHAR(10), """"),"",:""), 0) + 1)"),1.99)</f>
        <v>1.99</v>
      </c>
      <c r="AF621" s="85" t="s">
        <v>4337</v>
      </c>
      <c r="AG621" s="53" t="s">
        <v>4338</v>
      </c>
      <c r="AH621" s="91" t="s">
        <v>4336</v>
      </c>
      <c r="AI621" s="21">
        <v>0.0</v>
      </c>
      <c r="AJ621" s="84">
        <v>1.0</v>
      </c>
      <c r="AK621" s="21"/>
      <c r="AL621" s="21">
        <v>1.0</v>
      </c>
      <c r="AM621" s="21"/>
      <c r="AN621" s="21">
        <v>1.0</v>
      </c>
      <c r="AO621" s="90"/>
      <c r="AP621" s="16">
        <v>0.0</v>
      </c>
      <c r="AQ621" s="16">
        <v>0.0</v>
      </c>
      <c r="AR621" s="39"/>
      <c r="AS621" s="81">
        <v>0.0</v>
      </c>
      <c r="AT621" s="81">
        <v>0.0</v>
      </c>
      <c r="AU621" s="39"/>
      <c r="AV621" s="82"/>
      <c r="AW621" s="82"/>
      <c r="AX621" s="82"/>
      <c r="AY621" s="7"/>
      <c r="AZ621" s="82"/>
      <c r="BA621" s="82"/>
      <c r="BB621" s="82"/>
      <c r="BC621" s="82"/>
      <c r="BD621" s="82"/>
      <c r="BE621" s="82"/>
      <c r="BF621" s="82"/>
      <c r="BG621" s="82"/>
      <c r="BH621" s="82"/>
      <c r="BI621" s="82"/>
      <c r="BJ621" s="82"/>
      <c r="BK621" s="82"/>
      <c r="BL621" s="82"/>
      <c r="BM621" s="82"/>
      <c r="BN621" s="7"/>
      <c r="BO621" s="7">
        <v>6.0</v>
      </c>
      <c r="BP621" s="82"/>
      <c r="BQ621" s="7"/>
      <c r="BR621" s="7" t="s">
        <v>144</v>
      </c>
    </row>
    <row r="622">
      <c r="A622" s="16">
        <v>52.0</v>
      </c>
      <c r="B622" s="16" t="s">
        <v>650</v>
      </c>
      <c r="C622" s="53">
        <v>2.0</v>
      </c>
      <c r="D622" s="53"/>
      <c r="E622" s="7">
        <v>435.0</v>
      </c>
      <c r="F622" s="53"/>
      <c r="G622" s="7">
        <v>0.0</v>
      </c>
      <c r="H622" s="16">
        <v>1.0</v>
      </c>
      <c r="I622" s="16">
        <v>1.0</v>
      </c>
      <c r="J622" s="21" t="s">
        <v>655</v>
      </c>
      <c r="K622" s="53" t="s">
        <v>4330</v>
      </c>
      <c r="L622" s="53" t="s">
        <v>4152</v>
      </c>
      <c r="M622" s="39" t="str">
        <f t="shared" si="1"/>
        <v>[http://algo.inria.fr/flajolet/Publications/FlFuGaMe07.pdf HyperLogLog algorithm (2007)]</v>
      </c>
      <c r="N622" s="39" t="s">
        <v>4339</v>
      </c>
      <c r="O622" s="81">
        <v>2007.0</v>
      </c>
      <c r="P622" s="17" t="s">
        <v>652</v>
      </c>
      <c r="Q622" s="82"/>
      <c r="R622" s="82"/>
      <c r="S622" s="82"/>
      <c r="T622" s="16">
        <v>0.0</v>
      </c>
      <c r="U622" s="16">
        <v>0.0</v>
      </c>
      <c r="V622" s="89">
        <f>IFERROR(__xludf.DUMMYFUNCTION("INDEX(SPLIT(SUBSTITUTE(W622,CHAR(10), """"),"",:""), MATCH(Z622, SPLIT(SUBSTITUTE(W622,CHAR(10), """"),"",:""), 0) + 1)"),3.0)</f>
        <v>3</v>
      </c>
      <c r="W622" s="85" t="s">
        <v>1898</v>
      </c>
      <c r="X622" s="21" t="s">
        <v>655</v>
      </c>
      <c r="Y622" s="53" t="s">
        <v>4340</v>
      </c>
      <c r="Z622" s="53" t="str">
        <f t="array" ref="Z622">INDEX(Problems!J:J, MATCH(1, (Problems!B:B=B622)*1, 0))</f>
        <v>N</v>
      </c>
      <c r="AA622" s="53"/>
      <c r="AB622" s="53"/>
      <c r="AC622" s="53" t="s">
        <v>1813</v>
      </c>
      <c r="AD622" s="53" t="s">
        <v>1814</v>
      </c>
      <c r="AE622" s="85">
        <f>IFERROR(__xludf.DUMMYFUNCTION("INDEX(SPLIT(SUBSTITUTE(AF622,CHAR(10), """"),"",:""), MATCH(Z622, SPLIT(SUBSTITUTE(AF622,CHAR(10), """"),"",:""), 0) + 1)"),2.0)</f>
        <v>2</v>
      </c>
      <c r="AF622" s="85" t="s">
        <v>4333</v>
      </c>
      <c r="AG622" s="53" t="s">
        <v>4341</v>
      </c>
      <c r="AH622" s="91" t="s">
        <v>656</v>
      </c>
      <c r="AI622" s="21">
        <v>0.0</v>
      </c>
      <c r="AJ622" s="84">
        <v>0.0</v>
      </c>
      <c r="AK622" s="21"/>
      <c r="AL622" s="21">
        <v>1.0</v>
      </c>
      <c r="AM622" s="21"/>
      <c r="AN622" s="21">
        <v>1.0</v>
      </c>
      <c r="AO622" s="90"/>
      <c r="AP622" s="16">
        <v>0.0</v>
      </c>
      <c r="AQ622" s="16">
        <v>0.0</v>
      </c>
      <c r="AR622" s="39"/>
      <c r="AS622" s="81">
        <v>0.0</v>
      </c>
      <c r="AT622" s="81">
        <v>0.0</v>
      </c>
      <c r="AU622" s="39"/>
      <c r="AV622" s="82"/>
      <c r="AW622" s="82"/>
      <c r="AX622" s="82"/>
      <c r="AY622" s="7"/>
      <c r="AZ622" s="82"/>
      <c r="BA622" s="82"/>
      <c r="BB622" s="82"/>
      <c r="BC622" s="82"/>
      <c r="BD622" s="82"/>
      <c r="BE622" s="82"/>
      <c r="BF622" s="82"/>
      <c r="BG622" s="82"/>
      <c r="BH622" s="82"/>
      <c r="BI622" s="82"/>
      <c r="BJ622" s="82"/>
      <c r="BK622" s="82"/>
      <c r="BL622" s="82"/>
      <c r="BM622" s="82"/>
      <c r="BN622" s="7"/>
      <c r="BO622" s="7">
        <v>6.0</v>
      </c>
      <c r="BP622" s="82"/>
      <c r="BQ622" s="7"/>
      <c r="BR622" s="7" t="s">
        <v>144</v>
      </c>
    </row>
    <row r="623">
      <c r="A623" s="16">
        <v>52.0</v>
      </c>
      <c r="B623" s="16" t="s">
        <v>650</v>
      </c>
      <c r="C623" s="53">
        <v>2.0</v>
      </c>
      <c r="D623" s="53"/>
      <c r="E623" s="7">
        <v>436.0</v>
      </c>
      <c r="F623" s="53"/>
      <c r="G623" s="7">
        <v>0.0</v>
      </c>
      <c r="H623" s="16">
        <v>1.0</v>
      </c>
      <c r="I623" s="16">
        <v>1.0</v>
      </c>
      <c r="J623" s="21" t="s">
        <v>655</v>
      </c>
      <c r="K623" s="53" t="s">
        <v>4330</v>
      </c>
      <c r="L623" s="53" t="s">
        <v>4152</v>
      </c>
      <c r="M623" s="39" t="str">
        <f t="shared" si="1"/>
        <v>[https://static.googleusercontent.com/media/research.google.com/en//pubs/archive/40671.pdf HyperLogLog++ (2014)]</v>
      </c>
      <c r="N623" s="39" t="s">
        <v>4342</v>
      </c>
      <c r="O623" s="81">
        <v>2014.0</v>
      </c>
      <c r="P623" s="47" t="s">
        <v>4343</v>
      </c>
      <c r="Q623" s="82"/>
      <c r="R623" s="82"/>
      <c r="S623" s="82"/>
      <c r="T623" s="16">
        <v>1.0</v>
      </c>
      <c r="U623" s="16">
        <v>0.0</v>
      </c>
      <c r="V623" s="89">
        <f>IFERROR(__xludf.DUMMYFUNCTION("INDEX(SPLIT(SUBSTITUTE(W623,CHAR(10), """"),"",:""), MATCH(Z623, SPLIT(SUBSTITUTE(W623,CHAR(10), """"),"",:""), 0) + 1)"),3.0)</f>
        <v>3</v>
      </c>
      <c r="W623" s="85" t="s">
        <v>1898</v>
      </c>
      <c r="X623" s="21" t="s">
        <v>655</v>
      </c>
      <c r="Y623" s="53" t="s">
        <v>4340</v>
      </c>
      <c r="Z623" s="53" t="str">
        <f t="array" ref="Z623">INDEX(Problems!J:J, MATCH(1, (Problems!B:B=B623)*1, 0))</f>
        <v>N</v>
      </c>
      <c r="AA623" s="53"/>
      <c r="AB623" s="53"/>
      <c r="AC623" s="53" t="s">
        <v>1813</v>
      </c>
      <c r="AD623" s="53" t="s">
        <v>1814</v>
      </c>
      <c r="AE623" s="85">
        <f>IFERROR(__xludf.DUMMYFUNCTION("INDEX(SPLIT(SUBSTITUTE(AF623,CHAR(10), """"),"",:""), MATCH(Z623, SPLIT(SUBSTITUTE(AF623,CHAR(10), """"),"",:""), 0) + 1)"),2.0)</f>
        <v>2</v>
      </c>
      <c r="AF623" s="85" t="s">
        <v>4333</v>
      </c>
      <c r="AG623" s="53" t="s">
        <v>4341</v>
      </c>
      <c r="AH623" s="53" t="s">
        <v>4344</v>
      </c>
      <c r="AI623" s="21">
        <v>0.0</v>
      </c>
      <c r="AJ623" s="84">
        <v>0.0</v>
      </c>
      <c r="AK623" s="21"/>
      <c r="AL623" s="21">
        <v>1.0</v>
      </c>
      <c r="AM623" s="21"/>
      <c r="AN623" s="21">
        <v>1.0</v>
      </c>
      <c r="AO623" s="90"/>
      <c r="AP623" s="16">
        <v>0.0</v>
      </c>
      <c r="AQ623" s="16">
        <v>0.0</v>
      </c>
      <c r="AR623" s="39"/>
      <c r="AS623" s="81">
        <v>0.0</v>
      </c>
      <c r="AT623" s="81">
        <v>0.0</v>
      </c>
      <c r="AU623" s="39"/>
      <c r="AV623" s="82"/>
      <c r="AW623" s="82"/>
      <c r="AX623" s="82"/>
      <c r="AY623" s="7"/>
      <c r="AZ623" s="82"/>
      <c r="BA623" s="82"/>
      <c r="BB623" s="82"/>
      <c r="BC623" s="82"/>
      <c r="BD623" s="82"/>
      <c r="BE623" s="82"/>
      <c r="BF623" s="82">
        <f>POW(1000,0.25)</f>
        <v>5.623413252</v>
      </c>
      <c r="BG623" s="82">
        <f>BF619/BF623</f>
        <v>177.827941</v>
      </c>
      <c r="BH623" s="82"/>
      <c r="BI623" s="82">
        <f>POW(1000000,0.25)</f>
        <v>31.6227766</v>
      </c>
      <c r="BJ623" s="82">
        <f>BI619/BI623</f>
        <v>31622.7766</v>
      </c>
      <c r="BK623" s="82"/>
      <c r="BL623" s="82">
        <f>POW(1000000000,0.25)</f>
        <v>177.827941</v>
      </c>
      <c r="BM623" s="82">
        <f>BL619/BL623</f>
        <v>5623413.252</v>
      </c>
      <c r="BN623" s="7"/>
      <c r="BO623" s="7">
        <v>6.0</v>
      </c>
      <c r="BP623" s="82"/>
      <c r="BQ623" s="7"/>
      <c r="BR623" s="7" t="s">
        <v>144</v>
      </c>
    </row>
    <row r="624">
      <c r="A624" s="16">
        <v>52.0</v>
      </c>
      <c r="B624" s="16" t="s">
        <v>650</v>
      </c>
      <c r="C624" s="53">
        <v>2.0</v>
      </c>
      <c r="D624" s="53" t="s">
        <v>4345</v>
      </c>
      <c r="E624" s="7">
        <v>437.0</v>
      </c>
      <c r="F624" s="53"/>
      <c r="G624" s="7">
        <v>0.0</v>
      </c>
      <c r="H624" s="16">
        <v>1.0</v>
      </c>
      <c r="I624" s="16">
        <v>1.0</v>
      </c>
      <c r="J624" s="21" t="s">
        <v>655</v>
      </c>
      <c r="K624" s="53" t="s">
        <v>4330</v>
      </c>
      <c r="L624" s="53" t="s">
        <v>4152</v>
      </c>
      <c r="M624" s="39" t="str">
        <f t="shared" si="1"/>
        <v>[ Min/max sketches streaming algorithm (1980)]</v>
      </c>
      <c r="N624" s="39" t="s">
        <v>4346</v>
      </c>
      <c r="O624" s="81">
        <v>1980.0</v>
      </c>
      <c r="P624" s="39"/>
      <c r="Q624" s="82"/>
      <c r="R624" s="82"/>
      <c r="S624" s="82"/>
      <c r="T624" s="16">
        <v>0.0</v>
      </c>
      <c r="U624" s="16">
        <v>0.0</v>
      </c>
      <c r="V624" s="89">
        <f>IFERROR(__xludf.DUMMYFUNCTION("INDEX(SPLIT(SUBSTITUTE(W624,CHAR(10), """"),"",:""), MATCH(Z624, SPLIT(SUBSTITUTE(W624,CHAR(10), """"),"",:""), 0) + 1)"),3.0)</f>
        <v>3</v>
      </c>
      <c r="W624" s="85" t="s">
        <v>1898</v>
      </c>
      <c r="X624" s="21" t="s">
        <v>655</v>
      </c>
      <c r="Y624" s="53" t="s">
        <v>4328</v>
      </c>
      <c r="Z624" s="53" t="str">
        <f t="array" ref="Z624">INDEX(Problems!J:J, MATCH(1, (Problems!B:B=B624)*1, 0))</f>
        <v>N</v>
      </c>
      <c r="AA624" s="53"/>
      <c r="AB624" s="53"/>
      <c r="AC624" s="53" t="s">
        <v>1813</v>
      </c>
      <c r="AD624" s="53" t="s">
        <v>1814</v>
      </c>
      <c r="AE624" s="85">
        <f>IFERROR(__xludf.DUMMYFUNCTION("INDEX(SPLIT(SUBSTITUTE(AF624,CHAR(10), """"),"",:""), MATCH(Z624, SPLIT(SUBSTITUTE(AF624,CHAR(10), """"),"",:""), 0) + 1)"),1.0)</f>
        <v>1</v>
      </c>
      <c r="AF624" s="85" t="s">
        <v>4347</v>
      </c>
      <c r="AG624" s="53" t="s">
        <v>34</v>
      </c>
      <c r="AH624" s="53" t="s">
        <v>4348</v>
      </c>
      <c r="AI624" s="21">
        <v>1.0</v>
      </c>
      <c r="AJ624" s="84">
        <v>0.0</v>
      </c>
      <c r="AK624" s="21"/>
      <c r="AL624" s="21">
        <v>1.0</v>
      </c>
      <c r="AM624" s="21"/>
      <c r="AN624" s="21">
        <v>1.0</v>
      </c>
      <c r="AO624" s="90"/>
      <c r="AP624" s="16">
        <v>0.0</v>
      </c>
      <c r="AQ624" s="16">
        <v>0.0</v>
      </c>
      <c r="AR624" s="39"/>
      <c r="AS624" s="81">
        <v>0.0</v>
      </c>
      <c r="AT624" s="81">
        <v>0.0</v>
      </c>
      <c r="AU624" s="39"/>
      <c r="AV624" s="82"/>
      <c r="AW624" s="82"/>
      <c r="AX624" s="82"/>
      <c r="AY624" s="7"/>
      <c r="AZ624" s="82"/>
      <c r="BA624" s="82"/>
      <c r="BB624" s="82"/>
      <c r="BC624" s="82"/>
      <c r="BD624" s="82"/>
      <c r="BE624" s="82"/>
      <c r="BF624" s="82"/>
      <c r="BG624" s="82"/>
      <c r="BH624" s="82"/>
      <c r="BI624" s="82"/>
      <c r="BJ624" s="82"/>
      <c r="BK624" s="82"/>
      <c r="BL624" s="82"/>
      <c r="BM624" s="82"/>
      <c r="BN624" s="7"/>
      <c r="BO624" s="7">
        <v>6.0</v>
      </c>
      <c r="BP624" s="82"/>
      <c r="BQ624" s="7"/>
      <c r="BR624" s="7" t="s">
        <v>144</v>
      </c>
    </row>
    <row r="625">
      <c r="A625" s="16">
        <v>52.0</v>
      </c>
      <c r="B625" s="16" t="s">
        <v>650</v>
      </c>
      <c r="C625" s="53">
        <v>2.0</v>
      </c>
      <c r="D625" s="53" t="s">
        <v>4345</v>
      </c>
      <c r="E625" s="7">
        <v>438.0</v>
      </c>
      <c r="F625" s="53"/>
      <c r="G625" s="7">
        <v>0.0</v>
      </c>
      <c r="H625" s="16">
        <v>1.0</v>
      </c>
      <c r="I625" s="16">
        <v>1.0</v>
      </c>
      <c r="J625" s="21" t="s">
        <v>655</v>
      </c>
      <c r="K625" s="53" t="s">
        <v>4330</v>
      </c>
      <c r="L625" s="53" t="s">
        <v>4152</v>
      </c>
      <c r="M625" s="39" t="str">
        <f t="shared" si="1"/>
        <v>[ Bottom-m sketches streaming algorithm (1980)]</v>
      </c>
      <c r="N625" s="39" t="s">
        <v>4349</v>
      </c>
      <c r="O625" s="81">
        <v>1980.0</v>
      </c>
      <c r="P625" s="39"/>
      <c r="Q625" s="82"/>
      <c r="R625" s="82"/>
      <c r="S625" s="82"/>
      <c r="T625" s="16">
        <v>0.0</v>
      </c>
      <c r="U625" s="16">
        <v>0.0</v>
      </c>
      <c r="V625" s="89">
        <f>IFERROR(__xludf.DUMMYFUNCTION("INDEX(SPLIT(SUBSTITUTE(W625,CHAR(10), """"),"",:""), MATCH(Z625, SPLIT(SUBSTITUTE(W625,CHAR(10), """"),"",:""), 0) + 1)"),3.0)</f>
        <v>3</v>
      </c>
      <c r="W625" s="85" t="s">
        <v>1898</v>
      </c>
      <c r="X625" s="21" t="s">
        <v>655</v>
      </c>
      <c r="Y625" s="53" t="s">
        <v>4350</v>
      </c>
      <c r="Z625" s="53" t="str">
        <f t="array" ref="Z625">INDEX(Problems!J:J, MATCH(1, (Problems!B:B=B625)*1, 0))</f>
        <v>N</v>
      </c>
      <c r="AA625" s="53"/>
      <c r="AB625" s="53"/>
      <c r="AC625" s="53" t="s">
        <v>1813</v>
      </c>
      <c r="AD625" s="53" t="s">
        <v>1814</v>
      </c>
      <c r="AE625" s="85">
        <f>IFERROR(__xludf.DUMMYFUNCTION("INDEX(SPLIT(SUBSTITUTE(AF625,CHAR(10), """"),"",:""), MATCH(Z625, SPLIT(SUBSTITUTE(AF625,CHAR(10), """"),"",:""), 0) + 1)"),3.0)</f>
        <v>3</v>
      </c>
      <c r="AF625" s="85" t="s">
        <v>4351</v>
      </c>
      <c r="AG625" s="53" t="s">
        <v>148</v>
      </c>
      <c r="AH625" s="53" t="s">
        <v>4352</v>
      </c>
      <c r="AI625" s="21">
        <v>1.0</v>
      </c>
      <c r="AJ625" s="84">
        <v>0.0</v>
      </c>
      <c r="AK625" s="21"/>
      <c r="AL625" s="21">
        <v>1.0</v>
      </c>
      <c r="AM625" s="21"/>
      <c r="AN625" s="21">
        <v>1.0</v>
      </c>
      <c r="AO625" s="90"/>
      <c r="AP625" s="16">
        <v>0.0</v>
      </c>
      <c r="AQ625" s="16">
        <v>0.0</v>
      </c>
      <c r="AR625" s="39"/>
      <c r="AS625" s="81">
        <v>0.0</v>
      </c>
      <c r="AT625" s="81">
        <v>0.0</v>
      </c>
      <c r="AU625" s="39"/>
      <c r="AV625" s="82"/>
      <c r="AW625" s="82"/>
      <c r="AX625" s="82"/>
      <c r="AY625" s="7"/>
      <c r="AZ625" s="82"/>
      <c r="BA625" s="82"/>
      <c r="BB625" s="82"/>
      <c r="BC625" s="82"/>
      <c r="BD625" s="82"/>
      <c r="BE625" s="82"/>
      <c r="BF625" s="82"/>
      <c r="BG625" s="82"/>
      <c r="BH625" s="82"/>
      <c r="BI625" s="82"/>
      <c r="BJ625" s="82"/>
      <c r="BK625" s="82"/>
      <c r="BL625" s="82"/>
      <c r="BM625" s="82"/>
      <c r="BN625" s="7"/>
      <c r="BO625" s="7">
        <v>6.0</v>
      </c>
      <c r="BP625" s="82"/>
      <c r="BQ625" s="7"/>
      <c r="BR625" s="7" t="s">
        <v>144</v>
      </c>
    </row>
    <row r="626">
      <c r="A626" s="16">
        <v>53.0</v>
      </c>
      <c r="B626" s="16" t="s">
        <v>659</v>
      </c>
      <c r="C626" s="53">
        <v>1.0</v>
      </c>
      <c r="D626" s="53" t="s">
        <v>665</v>
      </c>
      <c r="E626" s="7">
        <v>439.0</v>
      </c>
      <c r="F626" s="53" t="s">
        <v>4353</v>
      </c>
      <c r="G626" s="7"/>
      <c r="H626" s="16">
        <v>1.0</v>
      </c>
      <c r="I626" s="81">
        <v>1.0</v>
      </c>
      <c r="J626" s="39" t="s">
        <v>115</v>
      </c>
      <c r="K626" s="53"/>
      <c r="L626" s="53"/>
      <c r="M626" s="39" t="str">
        <f t="shared" si="1"/>
        <v>[https://dl.acm.org/doi/10.1145/872726.806984 Chaitin's Algorithm (1981)]</v>
      </c>
      <c r="N626" s="16" t="s">
        <v>4354</v>
      </c>
      <c r="O626" s="81">
        <v>1981.0</v>
      </c>
      <c r="P626" s="25" t="s">
        <v>4355</v>
      </c>
      <c r="Q626" s="82"/>
      <c r="R626" s="82"/>
      <c r="S626" s="82"/>
      <c r="T626" s="16">
        <v>1.0</v>
      </c>
      <c r="U626" s="16">
        <v>0.0</v>
      </c>
      <c r="V626" s="89">
        <f>IFERROR(__xludf.DUMMYFUNCTION("INDEX(SPLIT(SUBSTITUTE(W626,CHAR(10), """"),"",:""), MATCH(Z626, SPLIT(SUBSTITUTE(W626,CHAR(10), """"),"",:""), 0) + 1)"),5.0)</f>
        <v>5</v>
      </c>
      <c r="W626" s="85" t="s">
        <v>1938</v>
      </c>
      <c r="X626" s="39" t="s">
        <v>115</v>
      </c>
      <c r="Y626" s="53" t="s">
        <v>663</v>
      </c>
      <c r="Z626" s="53" t="str">
        <f t="array" ref="Z626">INDEX(Problems!J:J, MATCH(1, (Problems!B:B=B626)*1, 0))</f>
        <v>n</v>
      </c>
      <c r="AA626" s="53"/>
      <c r="AB626" s="53"/>
      <c r="AC626" s="53" t="s">
        <v>1813</v>
      </c>
      <c r="AD626" s="53" t="s">
        <v>1814</v>
      </c>
      <c r="AE626" s="85">
        <f>IFERROR(__xludf.DUMMYFUNCTION("INDEX(SPLIT(SUBSTITUTE(AF626,CHAR(10), """"),"",:""), MATCH(Z626, SPLIT(SUBSTITUTE(AF626,CHAR(10), """"),"",:""), 0) + 1)"),5.0)</f>
        <v>5</v>
      </c>
      <c r="AF626" s="85" t="s">
        <v>1938</v>
      </c>
      <c r="AG626" s="53" t="s">
        <v>61</v>
      </c>
      <c r="AH626" s="53" t="s">
        <v>4356</v>
      </c>
      <c r="AI626" s="84">
        <v>1.0</v>
      </c>
      <c r="AJ626" s="84">
        <v>0.0</v>
      </c>
      <c r="AK626" s="87"/>
      <c r="AL626" s="81">
        <v>0.0</v>
      </c>
      <c r="AM626" s="87"/>
      <c r="AN626" s="81">
        <v>0.0</v>
      </c>
      <c r="AO626" s="90"/>
      <c r="AP626" s="81">
        <v>0.0</v>
      </c>
      <c r="AQ626" s="16">
        <v>0.0</v>
      </c>
      <c r="AR626" s="39"/>
      <c r="AS626" s="81">
        <v>0.0</v>
      </c>
      <c r="AT626" s="81">
        <v>0.0</v>
      </c>
      <c r="AU626" s="39"/>
      <c r="AV626" s="82"/>
      <c r="AW626" s="82"/>
      <c r="AX626" s="82"/>
      <c r="AY626" s="7"/>
      <c r="AZ626" s="7">
        <f>POW(1000, 2)</f>
        <v>1000000</v>
      </c>
      <c r="BA626" s="7"/>
      <c r="BB626" s="7">
        <f>POW(1000000,2)</f>
        <v>1000000000000</v>
      </c>
      <c r="BC626" s="7"/>
      <c r="BD626" s="7">
        <f>POW(1000000000,2)</f>
        <v>1E+18</v>
      </c>
      <c r="BE626" s="7"/>
      <c r="BF626" s="7">
        <v>1000000.0</v>
      </c>
      <c r="BG626" s="7">
        <v>1.0</v>
      </c>
      <c r="BH626" s="7"/>
      <c r="BI626" s="7">
        <v>1.0E12</v>
      </c>
      <c r="BJ626" s="7">
        <v>1.0</v>
      </c>
      <c r="BK626" s="82"/>
      <c r="BL626" s="82">
        <f>POW(1000000000,2)</f>
        <v>1E+18</v>
      </c>
      <c r="BM626" s="7">
        <v>1.0</v>
      </c>
      <c r="BN626" s="7"/>
      <c r="BO626" s="7">
        <v>4.0</v>
      </c>
      <c r="BP626" s="82"/>
      <c r="BQ626" s="7"/>
      <c r="BR626" s="7" t="s">
        <v>490</v>
      </c>
    </row>
    <row r="627">
      <c r="A627" s="16">
        <v>53.0</v>
      </c>
      <c r="B627" s="16" t="s">
        <v>659</v>
      </c>
      <c r="C627" s="53">
        <v>1.0</v>
      </c>
      <c r="D627" s="53" t="s">
        <v>665</v>
      </c>
      <c r="E627" s="7">
        <v>440.0</v>
      </c>
      <c r="F627" s="53" t="s">
        <v>4357</v>
      </c>
      <c r="G627" s="7"/>
      <c r="H627" s="16">
        <v>1.0</v>
      </c>
      <c r="I627" s="81">
        <v>1.0</v>
      </c>
      <c r="J627" s="16" t="s">
        <v>115</v>
      </c>
      <c r="K627" s="53"/>
      <c r="L627" s="53"/>
      <c r="M627" s="39" t="str">
        <f t="shared" si="1"/>
        <v>[https://dl.acm.org/doi/10.1145/502874.502896 Chow's Algorithm (1984)]</v>
      </c>
      <c r="N627" s="16" t="s">
        <v>4358</v>
      </c>
      <c r="O627" s="81">
        <v>1984.0</v>
      </c>
      <c r="P627" s="47" t="s">
        <v>4359</v>
      </c>
      <c r="Q627" s="82"/>
      <c r="R627" s="82"/>
      <c r="S627" s="82"/>
      <c r="T627" s="16">
        <v>0.0</v>
      </c>
      <c r="U627" s="16">
        <v>0.0</v>
      </c>
      <c r="V627" s="89">
        <f>IFERROR(__xludf.DUMMYFUNCTION("INDEX(SPLIT(SUBSTITUTE(W627,CHAR(10), """"),"",:""), MATCH(Z627, SPLIT(SUBSTITUTE(W627,CHAR(10), """"),"",:""), 0) + 1)"),5.0)</f>
        <v>5</v>
      </c>
      <c r="W627" s="85" t="s">
        <v>1938</v>
      </c>
      <c r="X627" s="16" t="s">
        <v>115</v>
      </c>
      <c r="Y627" s="53" t="s">
        <v>663</v>
      </c>
      <c r="Z627" s="53" t="str">
        <f t="array" ref="Z627">INDEX(Problems!J:J, MATCH(1, (Problems!B:B=B627)*1, 0))</f>
        <v>n</v>
      </c>
      <c r="AA627" s="53"/>
      <c r="AB627" s="53"/>
      <c r="AC627" s="53" t="s">
        <v>1813</v>
      </c>
      <c r="AD627" s="53" t="s">
        <v>1814</v>
      </c>
      <c r="AE627" s="85">
        <f>IFERROR(__xludf.DUMMYFUNCTION("INDEX(SPLIT(SUBSTITUTE(AF627,CHAR(10), """"),"",:""), MATCH(Z627, SPLIT(SUBSTITUTE(AF627,CHAR(10), """"),"",:""), 0) + 1)"),5.0)</f>
        <v>5</v>
      </c>
      <c r="AF627" s="85" t="s">
        <v>1938</v>
      </c>
      <c r="AG627" s="53" t="s">
        <v>61</v>
      </c>
      <c r="AH627" s="53" t="s">
        <v>4360</v>
      </c>
      <c r="AI627" s="84">
        <v>1.0</v>
      </c>
      <c r="AJ627" s="84">
        <v>0.0</v>
      </c>
      <c r="AK627" s="87"/>
      <c r="AL627" s="81">
        <v>0.0</v>
      </c>
      <c r="AM627" s="87"/>
      <c r="AN627" s="81">
        <v>0.0</v>
      </c>
      <c r="AO627" s="90"/>
      <c r="AP627" s="81">
        <v>0.0</v>
      </c>
      <c r="AQ627" s="81">
        <v>0.0</v>
      </c>
      <c r="AR627" s="39"/>
      <c r="AS627" s="16">
        <v>0.0</v>
      </c>
      <c r="AT627" s="16">
        <v>0.0</v>
      </c>
      <c r="AU627" s="39"/>
      <c r="AV627" s="82"/>
      <c r="AW627" s="82"/>
      <c r="AX627" s="82"/>
      <c r="AY627" s="7"/>
      <c r="AZ627" s="7"/>
      <c r="BA627" s="7"/>
      <c r="BB627" s="7"/>
      <c r="BC627" s="7"/>
      <c r="BD627" s="7"/>
      <c r="BE627" s="7"/>
      <c r="BF627" s="7">
        <v>1000000.0</v>
      </c>
      <c r="BG627" s="82"/>
      <c r="BH627" s="82"/>
      <c r="BI627" s="82"/>
      <c r="BJ627" s="82"/>
      <c r="BK627" s="82"/>
      <c r="BL627" s="82"/>
      <c r="BM627" s="82"/>
      <c r="BN627" s="7"/>
      <c r="BO627" s="7">
        <v>4.0</v>
      </c>
      <c r="BP627" s="82"/>
      <c r="BQ627" s="7"/>
      <c r="BR627" s="7" t="s">
        <v>490</v>
      </c>
    </row>
    <row r="628">
      <c r="A628" s="16">
        <v>53.0</v>
      </c>
      <c r="B628" s="16" t="s">
        <v>659</v>
      </c>
      <c r="C628" s="53">
        <v>2.0</v>
      </c>
      <c r="D628" s="53" t="s">
        <v>665</v>
      </c>
      <c r="E628" s="7">
        <v>441.0</v>
      </c>
      <c r="F628" s="53" t="s">
        <v>4361</v>
      </c>
      <c r="G628" s="7"/>
      <c r="H628" s="16">
        <v>1.0</v>
      </c>
      <c r="I628" s="81">
        <v>1.0</v>
      </c>
      <c r="J628" s="16" t="s">
        <v>35</v>
      </c>
      <c r="K628" s="53"/>
      <c r="L628" s="53"/>
      <c r="M628" s="39" t="str">
        <f t="shared" si="1"/>
        <v>[http://web.cs.ucla.edu/~palsberg/course/cs132/linearscan.pdf Linear Scan, Poletto &amp; Sarkar (1999)]</v>
      </c>
      <c r="N628" s="16" t="s">
        <v>4362</v>
      </c>
      <c r="O628" s="81">
        <v>1999.0</v>
      </c>
      <c r="P628" s="17" t="s">
        <v>664</v>
      </c>
      <c r="Q628" s="82"/>
      <c r="R628" s="82"/>
      <c r="S628" s="82"/>
      <c r="T628" s="16">
        <v>1.0</v>
      </c>
      <c r="U628" s="16" t="s">
        <v>1983</v>
      </c>
      <c r="V628" s="89">
        <f>IFERROR(__xludf.DUMMYFUNCTION("INDEX(SPLIT(SUBSTITUTE(W628,CHAR(10), """"),"",:""), MATCH(Z628, SPLIT(SUBSTITUTE(W628,CHAR(10), """"),"",:""), 0) + 1)"),3.0)</f>
        <v>3</v>
      </c>
      <c r="W628" s="85" t="s">
        <v>1763</v>
      </c>
      <c r="X628" s="16" t="s">
        <v>35</v>
      </c>
      <c r="Y628" s="53" t="s">
        <v>4363</v>
      </c>
      <c r="Z628" s="53" t="str">
        <f t="array" ref="Z628">INDEX(Problems!J:J, MATCH(1, (Problems!B:B=B628)*1, 0))</f>
        <v>n</v>
      </c>
      <c r="AA628" s="53"/>
      <c r="AB628" s="53"/>
      <c r="AC628" s="53" t="s">
        <v>1813</v>
      </c>
      <c r="AD628" s="53" t="s">
        <v>1814</v>
      </c>
      <c r="AE628" s="85">
        <f>IFERROR(__xludf.DUMMYFUNCTION("INDEX(SPLIT(SUBSTITUTE(AF628,CHAR(10), """"),"",:""), MATCH(Z628, SPLIT(SUBSTITUTE(AF628,CHAR(10), """"),"",:""), 0) + 1)"),1.0)</f>
        <v>1</v>
      </c>
      <c r="AF628" s="85" t="s">
        <v>4364</v>
      </c>
      <c r="AG628" s="53" t="s">
        <v>4365</v>
      </c>
      <c r="AH628" s="53" t="s">
        <v>4366</v>
      </c>
      <c r="AI628" s="84">
        <v>1.0</v>
      </c>
      <c r="AJ628" s="84">
        <v>0.0</v>
      </c>
      <c r="AK628" s="87"/>
      <c r="AL628" s="81">
        <v>0.0</v>
      </c>
      <c r="AM628" s="87"/>
      <c r="AN628" s="157">
        <v>0.0</v>
      </c>
      <c r="AO628" s="90"/>
      <c r="AP628" s="84">
        <v>1.0</v>
      </c>
      <c r="AQ628" s="81">
        <v>0.0</v>
      </c>
      <c r="AR628" s="39"/>
      <c r="AS628" s="81">
        <v>0.0</v>
      </c>
      <c r="AT628" s="81">
        <v>0.0</v>
      </c>
      <c r="AU628" s="39"/>
      <c r="AV628" s="82"/>
      <c r="AW628" s="82"/>
      <c r="AX628" s="82"/>
      <c r="AY628" s="7"/>
      <c r="AZ628" s="7">
        <v>1.0</v>
      </c>
      <c r="BA628" s="7">
        <f>POW(AZ626/AZ628,1/($O628-$O626)) - 1</f>
        <v>1.15443469</v>
      </c>
      <c r="BB628" s="7">
        <v>1.0</v>
      </c>
      <c r="BC628" s="7">
        <f>POW(BB626/BB628,1/($O628-$O626)) - 1</f>
        <v>3.641588834</v>
      </c>
      <c r="BD628" s="7">
        <v>1.0</v>
      </c>
      <c r="BE628" s="7">
        <f>POW(BD626/BD628,1/($O628-$O626)) - 1</f>
        <v>9</v>
      </c>
      <c r="BF628" s="7">
        <v>1000.0</v>
      </c>
      <c r="BG628" s="7">
        <v>1000.0</v>
      </c>
      <c r="BH628" s="7">
        <f>POW(BG628,1/($O628-$O$626)) - 1</f>
        <v>0.4677992676</v>
      </c>
      <c r="BI628" s="7">
        <v>1000000.0</v>
      </c>
      <c r="BJ628" s="7">
        <v>1000000.0</v>
      </c>
      <c r="BK628" s="7">
        <f>POW(BJ628,1/($O628-$O$626)) - 1</f>
        <v>1.15443469</v>
      </c>
      <c r="BL628" s="7">
        <v>1.0E9</v>
      </c>
      <c r="BM628" s="7">
        <v>1.0E9</v>
      </c>
      <c r="BN628" s="7">
        <f>POW(BM628,1/($O628-$O$626)) - 1</f>
        <v>2.16227766</v>
      </c>
      <c r="BO628" s="7">
        <v>4.0</v>
      </c>
      <c r="BP628" s="82"/>
      <c r="BQ628" s="7"/>
      <c r="BR628" s="7" t="s">
        <v>490</v>
      </c>
    </row>
    <row r="629">
      <c r="A629" s="16">
        <v>53.0</v>
      </c>
      <c r="B629" s="16" t="s">
        <v>659</v>
      </c>
      <c r="C629" s="53">
        <v>0.001</v>
      </c>
      <c r="D629" s="53"/>
      <c r="E629" s="7">
        <v>442.0</v>
      </c>
      <c r="F629" s="53"/>
      <c r="G629" s="7"/>
      <c r="H629" s="16">
        <v>1.0</v>
      </c>
      <c r="I629" s="81">
        <v>1.0</v>
      </c>
      <c r="J629" s="39" t="s">
        <v>115</v>
      </c>
      <c r="K629" s="53"/>
      <c r="L629" s="53"/>
      <c r="M629" s="39" t="str">
        <f t="shared" si="1"/>
        <v>[ Cooper and Dasgupta algorithm (1983)]</v>
      </c>
      <c r="N629" s="39" t="s">
        <v>4367</v>
      </c>
      <c r="O629" s="81">
        <v>1983.0</v>
      </c>
      <c r="P629" s="39"/>
      <c r="Q629" s="82"/>
      <c r="R629" s="82"/>
      <c r="S629" s="82"/>
      <c r="T629" s="16">
        <v>0.0</v>
      </c>
      <c r="U629" s="16">
        <v>0.0</v>
      </c>
      <c r="V629" s="89">
        <f>IFERROR(__xludf.DUMMYFUNCTION("INDEX(SPLIT(SUBSTITUTE(W629,CHAR(10), """"),"",:""), MATCH(Z629, SPLIT(SUBSTITUTE(W629,CHAR(10), """"),"",:""), 0) + 1)"),5.0)</f>
        <v>5</v>
      </c>
      <c r="W629" s="85" t="s">
        <v>1938</v>
      </c>
      <c r="X629" s="39" t="s">
        <v>115</v>
      </c>
      <c r="Y629" s="53"/>
      <c r="Z629" s="53" t="str">
        <f t="array" ref="Z629">INDEX(Problems!J:J, MATCH(1, (Problems!B:B=B629)*1, 0))</f>
        <v>n</v>
      </c>
      <c r="AA629" s="53"/>
      <c r="AB629" s="53"/>
      <c r="AC629" s="53"/>
      <c r="AD629" s="53"/>
      <c r="AE629" s="85" t="str">
        <f>IFERROR(__xludf.DUMMYFUNCTION("INDEX(SPLIT(SUBSTITUTE(AF629,CHAR(10), """"),"",:""), MATCH(Z629, SPLIT(SUBSTITUTE(AF629,CHAR(10), """"),"",:""), 0) + 1)"),"#VALUE!")</f>
        <v>#VALUE!</v>
      </c>
      <c r="AF629" s="131"/>
      <c r="AG629" s="53"/>
      <c r="AH629" s="53"/>
      <c r="AI629" s="87"/>
      <c r="AJ629" s="84" t="s">
        <v>2520</v>
      </c>
      <c r="AK629" s="87"/>
      <c r="AL629" s="81">
        <v>0.0</v>
      </c>
      <c r="AM629" s="87"/>
      <c r="AN629" s="81">
        <v>0.0</v>
      </c>
      <c r="AO629" s="90"/>
      <c r="AP629" s="81">
        <v>0.0</v>
      </c>
      <c r="AQ629" s="81">
        <v>0.0</v>
      </c>
      <c r="AR629" s="39"/>
      <c r="AS629" s="81">
        <v>0.0</v>
      </c>
      <c r="AT629" s="81">
        <v>0.0</v>
      </c>
      <c r="AU629" s="39"/>
      <c r="AV629" s="82"/>
      <c r="AW629" s="82"/>
      <c r="AX629" s="82"/>
      <c r="AY629" s="7"/>
      <c r="AZ629" s="7"/>
      <c r="BA629" s="7"/>
      <c r="BB629" s="7"/>
      <c r="BC629" s="7"/>
      <c r="BD629" s="7"/>
      <c r="BE629" s="7"/>
      <c r="BF629" s="7">
        <v>1000000.0</v>
      </c>
      <c r="BG629" s="82"/>
      <c r="BH629" s="82"/>
      <c r="BI629" s="82"/>
      <c r="BJ629" s="82"/>
      <c r="BK629" s="82"/>
      <c r="BL629" s="82"/>
      <c r="BM629" s="82"/>
      <c r="BN629" s="7"/>
      <c r="BO629" s="7">
        <v>4.0</v>
      </c>
      <c r="BP629" s="82"/>
      <c r="BQ629" s="7"/>
      <c r="BR629" s="7" t="s">
        <v>490</v>
      </c>
    </row>
    <row r="630">
      <c r="A630" s="16">
        <v>53.0</v>
      </c>
      <c r="B630" s="16" t="s">
        <v>659</v>
      </c>
      <c r="C630" s="53">
        <v>1.0</v>
      </c>
      <c r="D630" s="53" t="s">
        <v>665</v>
      </c>
      <c r="E630" s="7">
        <v>443.0</v>
      </c>
      <c r="F630" s="53" t="s">
        <v>4368</v>
      </c>
      <c r="G630" s="7"/>
      <c r="H630" s="16">
        <v>1.0</v>
      </c>
      <c r="I630" s="83">
        <v>1.0</v>
      </c>
      <c r="J630" s="39" t="s">
        <v>834</v>
      </c>
      <c r="K630" s="53"/>
      <c r="L630" s="53"/>
      <c r="M630" s="39" t="str">
        <f t="shared" si="1"/>
        <v>[https://onlinelibrary.wiley.com/doi/10.1002/(SICI)1097-024X(199608)26:8%3C929::AID-SPE40%3E3.0.CO;2-T Optimal Register Allocation (ORA), Goodwin &amp; Wilken Algorithm (1996)]</v>
      </c>
      <c r="N630" s="16" t="s">
        <v>4369</v>
      </c>
      <c r="O630" s="81">
        <v>1996.0</v>
      </c>
      <c r="P630" s="25" t="s">
        <v>4370</v>
      </c>
      <c r="Q630" s="82"/>
      <c r="R630" s="82"/>
      <c r="S630" s="82"/>
      <c r="T630" s="16">
        <v>0.0</v>
      </c>
      <c r="U630" s="16">
        <v>0.0</v>
      </c>
      <c r="V630" s="89">
        <f>IFERROR(__xludf.DUMMYFUNCTION("INDEX(SPLIT(SUBSTITUTE(W630,CHAR(10), """"),"",:""), MATCH(Z630, SPLIT(SUBSTITUTE(W630,CHAR(10), """"),"",:""), 0) + 1)"),6.0)</f>
        <v>6</v>
      </c>
      <c r="W630" s="85" t="s">
        <v>2008</v>
      </c>
      <c r="X630" s="39" t="s">
        <v>834</v>
      </c>
      <c r="Y630" s="53" t="s">
        <v>663</v>
      </c>
      <c r="Z630" s="53" t="str">
        <f t="array" ref="Z630">INDEX(Problems!J:J, MATCH(1, (Problems!B:B=B630)*1, 0))</f>
        <v>n</v>
      </c>
      <c r="AA630" s="53"/>
      <c r="AB630" s="53"/>
      <c r="AC630" s="53"/>
      <c r="AD630" s="53"/>
      <c r="AE630" s="85" t="str">
        <f>IFERROR(__xludf.DUMMYFUNCTION("INDEX(SPLIT(SUBSTITUTE(AF630,CHAR(10), """"),"",:""), MATCH(Z630, SPLIT(SUBSTITUTE(AF630,CHAR(10), """"),"",:""), 0) + 1)"),"#VALUE!")</f>
        <v>#VALUE!</v>
      </c>
      <c r="AF630" s="131"/>
      <c r="AG630" s="53" t="s">
        <v>4371</v>
      </c>
      <c r="AH630" s="53" t="s">
        <v>4372</v>
      </c>
      <c r="AI630" s="84">
        <v>0.0</v>
      </c>
      <c r="AJ630" s="84">
        <v>1.0</v>
      </c>
      <c r="AK630" s="87"/>
      <c r="AL630" s="81">
        <v>0.0</v>
      </c>
      <c r="AM630" s="87"/>
      <c r="AN630" s="81">
        <v>0.0</v>
      </c>
      <c r="AO630" s="90"/>
      <c r="AP630" s="81">
        <v>0.0</v>
      </c>
      <c r="AQ630" s="81">
        <v>0.0</v>
      </c>
      <c r="AR630" s="39"/>
      <c r="AS630" s="81">
        <v>0.0</v>
      </c>
      <c r="AT630" s="81">
        <v>0.0</v>
      </c>
      <c r="AU630" s="39"/>
      <c r="AV630" s="82"/>
      <c r="AW630" s="82"/>
      <c r="AX630" s="82"/>
      <c r="AY630" s="7"/>
      <c r="AZ630" s="7"/>
      <c r="BA630" s="7"/>
      <c r="BB630" s="7"/>
      <c r="BC630" s="7"/>
      <c r="BD630" s="7"/>
      <c r="BE630" s="7"/>
      <c r="BF630" s="7">
        <v>1.0E9</v>
      </c>
      <c r="BG630" s="82"/>
      <c r="BH630" s="82"/>
      <c r="BI630" s="82"/>
      <c r="BJ630" s="82"/>
      <c r="BK630" s="82"/>
      <c r="BL630" s="82"/>
      <c r="BM630" s="82"/>
      <c r="BN630" s="7"/>
      <c r="BO630" s="7">
        <v>4.0</v>
      </c>
      <c r="BP630" s="82"/>
      <c r="BQ630" s="7"/>
      <c r="BR630" s="7" t="s">
        <v>490</v>
      </c>
    </row>
    <row r="631">
      <c r="A631" s="16">
        <v>53.0</v>
      </c>
      <c r="B631" s="16" t="s">
        <v>659</v>
      </c>
      <c r="C631" s="53">
        <v>1.0</v>
      </c>
      <c r="D631" s="53" t="s">
        <v>665</v>
      </c>
      <c r="E631" s="7">
        <v>444.0</v>
      </c>
      <c r="F631" s="53" t="s">
        <v>4373</v>
      </c>
      <c r="G631" s="7"/>
      <c r="H631" s="16">
        <v>1.0</v>
      </c>
      <c r="I631" s="83">
        <v>1.0</v>
      </c>
      <c r="J631" s="21" t="s">
        <v>4374</v>
      </c>
      <c r="K631" s="53" t="s">
        <v>4375</v>
      </c>
      <c r="L631" s="91" t="s">
        <v>4376</v>
      </c>
      <c r="M631" s="39" t="str">
        <f t="shared" si="1"/>
        <v>[https://dl.acm.org/doi/10.5555/290940.291002 Kong and Wilken Algorithm (1998)]</v>
      </c>
      <c r="N631" s="16" t="s">
        <v>4377</v>
      </c>
      <c r="O631" s="81">
        <v>1998.0</v>
      </c>
      <c r="P631" s="25" t="s">
        <v>4376</v>
      </c>
      <c r="Q631" s="82"/>
      <c r="R631" s="82"/>
      <c r="S631" s="82"/>
      <c r="T631" s="16">
        <v>0.0</v>
      </c>
      <c r="U631" s="16">
        <v>0.0</v>
      </c>
      <c r="V631" s="89">
        <f>IFERROR(__xludf.DUMMYFUNCTION("INDEX(SPLIT(SUBSTITUTE(W631,CHAR(10), """"),"",:""), MATCH(Z631, SPLIT(SUBSTITUTE(W631,CHAR(10), """"),"",:""), 0) + 1)"),6.0)</f>
        <v>6</v>
      </c>
      <c r="W631" s="85" t="s">
        <v>2008</v>
      </c>
      <c r="X631" s="39" t="s">
        <v>834</v>
      </c>
      <c r="Y631" s="53" t="s">
        <v>663</v>
      </c>
      <c r="Z631" s="53" t="str">
        <f t="array" ref="Z631">INDEX(Problems!J:J, MATCH(1, (Problems!B:B=B631)*1, 0))</f>
        <v>n</v>
      </c>
      <c r="AA631" s="53"/>
      <c r="AB631" s="53"/>
      <c r="AC631" s="53"/>
      <c r="AD631" s="53"/>
      <c r="AE631" s="85" t="str">
        <f>IFERROR(__xludf.DUMMYFUNCTION("INDEX(SPLIT(SUBSTITUTE(AF631,CHAR(10), """"),"",:""), MATCH(Z631, SPLIT(SUBSTITUTE(AF631,CHAR(10), """"),"",:""), 0) + 1)"),"#VALUE!")</f>
        <v>#VALUE!</v>
      </c>
      <c r="AF631" s="131"/>
      <c r="AG631" s="53" t="s">
        <v>4378</v>
      </c>
      <c r="AH631" s="53"/>
      <c r="AI631" s="84">
        <v>0.0</v>
      </c>
      <c r="AJ631" s="84">
        <v>1.0</v>
      </c>
      <c r="AK631" s="87"/>
      <c r="AL631" s="81">
        <v>0.0</v>
      </c>
      <c r="AM631" s="87"/>
      <c r="AN631" s="81">
        <v>0.0</v>
      </c>
      <c r="AO631" s="90"/>
      <c r="AP631" s="81">
        <v>0.0</v>
      </c>
      <c r="AQ631" s="81">
        <v>0.0</v>
      </c>
      <c r="AR631" s="39"/>
      <c r="AS631" s="81">
        <v>0.0</v>
      </c>
      <c r="AT631" s="81">
        <v>0.0</v>
      </c>
      <c r="AU631" s="39"/>
      <c r="AV631" s="82"/>
      <c r="AW631" s="82"/>
      <c r="AX631" s="82"/>
      <c r="AY631" s="7"/>
      <c r="AZ631" s="7"/>
      <c r="BA631" s="7"/>
      <c r="BB631" s="7"/>
      <c r="BC631" s="7"/>
      <c r="BD631" s="7"/>
      <c r="BE631" s="7"/>
      <c r="BF631" s="7">
        <v>1.0E9</v>
      </c>
      <c r="BG631" s="82"/>
      <c r="BH631" s="82"/>
      <c r="BI631" s="82"/>
      <c r="BJ631" s="82"/>
      <c r="BK631" s="82"/>
      <c r="BL631" s="82"/>
      <c r="BM631" s="82"/>
      <c r="BN631" s="7"/>
      <c r="BO631" s="7">
        <v>4.0</v>
      </c>
      <c r="BP631" s="82"/>
      <c r="BQ631" s="7"/>
      <c r="BR631" s="7" t="s">
        <v>490</v>
      </c>
    </row>
    <row r="632">
      <c r="A632" s="16">
        <v>54.0</v>
      </c>
      <c r="B632" s="16" t="s">
        <v>669</v>
      </c>
      <c r="C632" s="53">
        <v>1.0</v>
      </c>
      <c r="D632" s="53" t="s">
        <v>669</v>
      </c>
      <c r="E632" s="7">
        <v>445.0</v>
      </c>
      <c r="F632" s="53"/>
      <c r="G632" s="7"/>
      <c r="H632" s="16">
        <v>1.0</v>
      </c>
      <c r="I632" s="16">
        <v>1.0</v>
      </c>
      <c r="J632" s="39" t="s">
        <v>1788</v>
      </c>
      <c r="K632" s="53"/>
      <c r="L632" s="53"/>
      <c r="M632" s="39" t="str">
        <f t="shared" si="1"/>
        <v>[http://www.wias-berlin.de/people/si/course/files/Fortune87-SweepLine-Voronoi.pdf Fortune's algorithm (1986)]</v>
      </c>
      <c r="N632" s="39" t="s">
        <v>674</v>
      </c>
      <c r="O632" s="81">
        <v>1986.0</v>
      </c>
      <c r="P632" s="25" t="s">
        <v>3396</v>
      </c>
      <c r="Q632" s="82"/>
      <c r="R632" s="82"/>
      <c r="S632" s="82"/>
      <c r="T632" s="16">
        <v>0.0</v>
      </c>
      <c r="U632" s="16">
        <v>0.0</v>
      </c>
      <c r="V632" s="89">
        <f>IFERROR(__xludf.DUMMYFUNCTION("INDEX(SPLIT(SUBSTITUTE(W632,CHAR(10), """"),"",:""), MATCH(Z632, SPLIT(SUBSTITUTE(W632,CHAR(10), """"),"",:""), 0) + 1)"),4.0)</f>
        <v>4</v>
      </c>
      <c r="W632" s="85" t="s">
        <v>1791</v>
      </c>
      <c r="X632" s="16" t="s">
        <v>1953</v>
      </c>
      <c r="Y632" s="53" t="s">
        <v>3096</v>
      </c>
      <c r="Z632" s="53" t="str">
        <f t="array" ref="Z632">INDEX(Problems!J:J, MATCH(1, (Problems!B:B=B632)*1, 0))</f>
        <v>n</v>
      </c>
      <c r="AA632" s="53"/>
      <c r="AB632" s="53"/>
      <c r="AC632" s="53" t="s">
        <v>2312</v>
      </c>
      <c r="AD632" s="53" t="s">
        <v>1814</v>
      </c>
      <c r="AE632" s="85">
        <f>IFERROR(__xludf.DUMMYFUNCTION("INDEX(SPLIT(SUBSTITUTE(AF632,CHAR(10), """"),"",:""), MATCH(Z632, SPLIT(SUBSTITUTE(AF632,CHAR(10), """"),"",:""), 0) + 1)"),3.0)</f>
        <v>3</v>
      </c>
      <c r="AF632" s="85" t="s">
        <v>1763</v>
      </c>
      <c r="AG632" s="53" t="s">
        <v>35</v>
      </c>
      <c r="AH632" s="91" t="s">
        <v>671</v>
      </c>
      <c r="AI632" s="21">
        <v>0.0</v>
      </c>
      <c r="AJ632" s="84">
        <v>1.0</v>
      </c>
      <c r="AK632" s="21"/>
      <c r="AL632" s="16">
        <v>0.0</v>
      </c>
      <c r="AM632" s="21"/>
      <c r="AN632" s="16">
        <v>0.0</v>
      </c>
      <c r="AO632" s="90"/>
      <c r="AP632" s="16">
        <v>0.0</v>
      </c>
      <c r="AQ632" s="16">
        <v>0.0</v>
      </c>
      <c r="AR632" s="39"/>
      <c r="AS632" s="81">
        <v>0.0</v>
      </c>
      <c r="AT632" s="81">
        <v>0.0</v>
      </c>
      <c r="AU632" s="39"/>
      <c r="AV632" s="82"/>
      <c r="AW632" s="82"/>
      <c r="AX632" s="82"/>
      <c r="AY632" s="7"/>
      <c r="AZ632" s="7"/>
      <c r="BA632" s="7"/>
      <c r="BB632" s="7"/>
      <c r="BC632" s="7"/>
      <c r="BD632" s="7"/>
      <c r="BE632" s="7"/>
      <c r="BF632" s="7">
        <v>9965.0</v>
      </c>
      <c r="BG632" s="82"/>
      <c r="BH632" s="82"/>
      <c r="BI632" s="82"/>
      <c r="BJ632" s="82"/>
      <c r="BK632" s="82"/>
      <c r="BL632" s="82"/>
      <c r="BM632" s="82"/>
      <c r="BN632" s="7"/>
      <c r="BO632" s="7">
        <v>5.0</v>
      </c>
      <c r="BP632" s="82"/>
      <c r="BQ632" s="7"/>
      <c r="BR632" s="7" t="s">
        <v>23</v>
      </c>
    </row>
    <row r="633">
      <c r="A633" s="48">
        <v>54.0</v>
      </c>
      <c r="B633" s="48" t="s">
        <v>669</v>
      </c>
      <c r="C633" s="53">
        <v>0.001</v>
      </c>
      <c r="D633" s="53"/>
      <c r="E633" s="7">
        <v>446.0</v>
      </c>
      <c r="F633" s="53"/>
      <c r="G633" s="7"/>
      <c r="H633" s="16">
        <v>1.0</v>
      </c>
      <c r="I633" s="16">
        <v>1.0</v>
      </c>
      <c r="J633" s="39" t="s">
        <v>1788</v>
      </c>
      <c r="K633" s="53"/>
      <c r="L633" s="53"/>
      <c r="M633" s="39" t="str">
        <f t="shared" si="1"/>
        <v>[https://ieeexplore.ieee.org/document/1094577/ Linde–Buzo–Gray algorithm (1980)]</v>
      </c>
      <c r="N633" s="39" t="s">
        <v>4379</v>
      </c>
      <c r="O633" s="81">
        <v>1980.0</v>
      </c>
      <c r="P633" s="17" t="s">
        <v>4380</v>
      </c>
      <c r="Q633" s="82"/>
      <c r="R633" s="82"/>
      <c r="S633" s="82"/>
      <c r="T633" s="16">
        <v>1.0</v>
      </c>
      <c r="U633" s="16">
        <v>0.0</v>
      </c>
      <c r="V633" s="89">
        <f>IFERROR(__xludf.DUMMYFUNCTION("INDEX(SPLIT(SUBSTITUTE(W633,CHAR(10), """"),"",:""), MATCH(Z633, SPLIT(SUBSTITUTE(W633,CHAR(10), """"),"",:""), 0) + 1)"),4.0)</f>
        <v>4</v>
      </c>
      <c r="W633" s="85" t="s">
        <v>1791</v>
      </c>
      <c r="X633" s="16" t="s">
        <v>1953</v>
      </c>
      <c r="Y633" s="53" t="s">
        <v>3096</v>
      </c>
      <c r="Z633" s="53" t="str">
        <f t="array" ref="Z633">INDEX(Problems!J:J, MATCH(1, (Problems!B:B=B633)*1, 0))</f>
        <v>n</v>
      </c>
      <c r="AA633" s="53"/>
      <c r="AB633" s="53"/>
      <c r="AC633" s="53" t="s">
        <v>2312</v>
      </c>
      <c r="AD633" s="53" t="s">
        <v>1814</v>
      </c>
      <c r="AE633" s="85" t="str">
        <f>IFERROR(__xludf.DUMMYFUNCTION("INDEX(SPLIT(SUBSTITUTE(AF633,CHAR(10), """"),"",:""), MATCH(Z633, SPLIT(SUBSTITUTE(AF633,CHAR(10), """"),"",:""), 0) + 1)"),"#VALUE!")</f>
        <v>#VALUE!</v>
      </c>
      <c r="AF633" s="85"/>
      <c r="AG633" s="53"/>
      <c r="AH633" s="53"/>
      <c r="AI633" s="21"/>
      <c r="AJ633" s="84" t="s">
        <v>2520</v>
      </c>
      <c r="AK633" s="21"/>
      <c r="AL633" s="16">
        <v>0.0</v>
      </c>
      <c r="AM633" s="21"/>
      <c r="AN633" s="16">
        <v>0.0</v>
      </c>
      <c r="AO633" s="90"/>
      <c r="AP633" s="16">
        <v>0.0</v>
      </c>
      <c r="AQ633" s="16">
        <v>0.0</v>
      </c>
      <c r="AR633" s="39"/>
      <c r="AS633" s="81">
        <v>0.0</v>
      </c>
      <c r="AT633" s="81">
        <v>0.0</v>
      </c>
      <c r="AU633" s="39"/>
      <c r="AV633" s="82"/>
      <c r="AW633" s="82"/>
      <c r="AX633" s="82"/>
      <c r="AY633" s="7"/>
      <c r="AZ633" s="7"/>
      <c r="BA633" s="7"/>
      <c r="BB633" s="7"/>
      <c r="BC633" s="7"/>
      <c r="BD633" s="7"/>
      <c r="BE633" s="7"/>
      <c r="BF633" s="7">
        <v>9965.0</v>
      </c>
      <c r="BG633" s="7">
        <v>1.0</v>
      </c>
      <c r="BH633" s="82"/>
      <c r="BI633" s="82">
        <f>1000000*LOG(1000000,2)</f>
        <v>19931568.57</v>
      </c>
      <c r="BJ633" s="7">
        <v>1.0</v>
      </c>
      <c r="BK633" s="82"/>
      <c r="BL633" s="82">
        <f>1000000000*LOG(1000000000,2)</f>
        <v>29897352854</v>
      </c>
      <c r="BM633" s="7">
        <v>1.0</v>
      </c>
      <c r="BN633" s="7"/>
      <c r="BO633" s="7">
        <v>5.0</v>
      </c>
      <c r="BP633" s="82"/>
      <c r="BQ633" s="7"/>
      <c r="BR633" s="7" t="s">
        <v>23</v>
      </c>
    </row>
    <row r="634">
      <c r="A634" s="16">
        <v>54.0</v>
      </c>
      <c r="B634" s="16" t="s">
        <v>669</v>
      </c>
      <c r="C634" s="53">
        <v>1.0</v>
      </c>
      <c r="D634" s="53" t="s">
        <v>669</v>
      </c>
      <c r="E634" s="7">
        <v>447.0</v>
      </c>
      <c r="F634" s="53"/>
      <c r="G634" s="7"/>
      <c r="H634" s="16">
        <v>1.0</v>
      </c>
      <c r="I634" s="16">
        <v>1.0</v>
      </c>
      <c r="J634" s="39" t="s">
        <v>1788</v>
      </c>
      <c r="K634" s="53"/>
      <c r="L634" s="53"/>
      <c r="M634" s="39" t="str">
        <f t="shared" si="1"/>
        <v>[https://academic.oup.com/comjnl/article/24/2/167/338200 Bowyer–Watson algorithm (1981)]</v>
      </c>
      <c r="N634" s="39" t="s">
        <v>4381</v>
      </c>
      <c r="O634" s="81">
        <v>1981.0</v>
      </c>
      <c r="P634" s="25" t="s">
        <v>4382</v>
      </c>
      <c r="Q634" s="82"/>
      <c r="R634" s="82"/>
      <c r="S634" s="82"/>
      <c r="T634" s="16">
        <v>0.0</v>
      </c>
      <c r="U634" s="16">
        <v>0.0</v>
      </c>
      <c r="V634" s="89">
        <f>IFERROR(__xludf.DUMMYFUNCTION("INDEX(SPLIT(SUBSTITUTE(W634,CHAR(10), """"),"",:""), MATCH(Z634, SPLIT(SUBSTITUTE(W634,CHAR(10), """"),"",:""), 0) + 1)"),4.0)</f>
        <v>4</v>
      </c>
      <c r="W634" s="85" t="s">
        <v>1791</v>
      </c>
      <c r="X634" s="16" t="s">
        <v>1953</v>
      </c>
      <c r="Y634" s="53" t="s">
        <v>3096</v>
      </c>
      <c r="Z634" s="53" t="str">
        <f t="array" ref="Z634">INDEX(Problems!J:J, MATCH(1, (Problems!B:B=B634)*1, 0))</f>
        <v>n</v>
      </c>
      <c r="AA634" s="53"/>
      <c r="AB634" s="53"/>
      <c r="AC634" s="53" t="s">
        <v>2312</v>
      </c>
      <c r="AD634" s="53" t="s">
        <v>1814</v>
      </c>
      <c r="AE634" s="85">
        <f>IFERROR(__xludf.DUMMYFUNCTION("INDEX(SPLIT(SUBSTITUTE(AF634,CHAR(10), """"),"",:""), MATCH(Z634, SPLIT(SUBSTITUTE(AF634,CHAR(10), """"),"",:""), 0) + 1)"),3.0)</f>
        <v>3</v>
      </c>
      <c r="AF634" s="85" t="s">
        <v>1763</v>
      </c>
      <c r="AG634" s="53" t="s">
        <v>35</v>
      </c>
      <c r="AH634" s="53" t="s">
        <v>4383</v>
      </c>
      <c r="AI634" s="21">
        <v>1.0</v>
      </c>
      <c r="AJ634" s="84">
        <v>0.0</v>
      </c>
      <c r="AK634" s="21"/>
      <c r="AL634" s="16">
        <v>0.0</v>
      </c>
      <c r="AM634" s="21"/>
      <c r="AN634" s="16">
        <v>0.0</v>
      </c>
      <c r="AO634" s="90"/>
      <c r="AP634" s="16">
        <v>0.0</v>
      </c>
      <c r="AQ634" s="16">
        <v>0.0</v>
      </c>
      <c r="AR634" s="39"/>
      <c r="AS634" s="81">
        <v>0.0</v>
      </c>
      <c r="AT634" s="81">
        <v>0.0</v>
      </c>
      <c r="AU634" s="25" t="s">
        <v>4384</v>
      </c>
      <c r="AV634" s="82"/>
      <c r="AW634" s="82"/>
      <c r="AX634" s="82"/>
      <c r="AY634" s="7"/>
      <c r="AZ634" s="7"/>
      <c r="BA634" s="7"/>
      <c r="BB634" s="7"/>
      <c r="BC634" s="7"/>
      <c r="BD634" s="7"/>
      <c r="BE634" s="7"/>
      <c r="BF634" s="7">
        <v>9965.0</v>
      </c>
      <c r="BG634" s="82"/>
      <c r="BH634" s="82"/>
      <c r="BI634" s="82"/>
      <c r="BJ634" s="82"/>
      <c r="BK634" s="82"/>
      <c r="BL634" s="82"/>
      <c r="BM634" s="82"/>
      <c r="BN634" s="7"/>
      <c r="BO634" s="7">
        <v>5.0</v>
      </c>
      <c r="BP634" s="82"/>
      <c r="BQ634" s="7"/>
      <c r="BR634" s="7" t="s">
        <v>23</v>
      </c>
    </row>
    <row r="635">
      <c r="A635" s="16">
        <v>55.0</v>
      </c>
      <c r="B635" s="16" t="s">
        <v>677</v>
      </c>
      <c r="C635" s="53">
        <v>2.0</v>
      </c>
      <c r="D635" s="53"/>
      <c r="E635" s="7">
        <v>448.0</v>
      </c>
      <c r="F635" s="53"/>
      <c r="G635" s="7">
        <v>0.0</v>
      </c>
      <c r="H635" s="16">
        <v>1.0</v>
      </c>
      <c r="I635" s="81">
        <v>1.0</v>
      </c>
      <c r="J635" s="39" t="s">
        <v>35</v>
      </c>
      <c r="K635" s="53" t="s">
        <v>4330</v>
      </c>
      <c r="L635" s="53" t="s">
        <v>4152</v>
      </c>
      <c r="M635" s="39" t="str">
        <f t="shared" si="1"/>
        <v>[- Naïve algorithm (1940)]</v>
      </c>
      <c r="N635" s="39" t="s">
        <v>4385</v>
      </c>
      <c r="O635" s="81">
        <v>1940.0</v>
      </c>
      <c r="P635" s="39" t="s">
        <v>1937</v>
      </c>
      <c r="Q635" s="7">
        <v>1.0</v>
      </c>
      <c r="R635" s="7">
        <v>1.0</v>
      </c>
      <c r="S635" s="82"/>
      <c r="T635" s="16">
        <v>1.0</v>
      </c>
      <c r="U635" s="16">
        <v>0.0</v>
      </c>
      <c r="V635" s="89">
        <f>IFERROR(__xludf.DUMMYFUNCTION("INDEX(SPLIT(SUBSTITUTE(W635,CHAR(10), """"),"",:""), MATCH(Z635, SPLIT(SUBSTITUTE(W635,CHAR(10), """"),"",:""), 0) + 1)"),3.0)</f>
        <v>3</v>
      </c>
      <c r="W635" s="85" t="s">
        <v>1763</v>
      </c>
      <c r="X635" s="39" t="s">
        <v>35</v>
      </c>
      <c r="Y635" s="53" t="s">
        <v>4386</v>
      </c>
      <c r="Z635" s="53" t="str">
        <f t="array" ref="Z635">INDEX(Problems!J:J, MATCH(1, (Problems!B:B=B635)*1, 0))</f>
        <v>n</v>
      </c>
      <c r="AA635" s="53"/>
      <c r="AB635" s="53"/>
      <c r="AC635" s="53" t="s">
        <v>2312</v>
      </c>
      <c r="AD635" s="53" t="s">
        <v>1814</v>
      </c>
      <c r="AE635" s="85">
        <f>IFERROR(__xludf.DUMMYFUNCTION("INDEX(SPLIT(SUBSTITUTE(AF635,CHAR(10), """"),"",:""), MATCH(Z635, SPLIT(SUBSTITUTE(AF635,CHAR(10), """"),"",:""), 0) + 1)"),1.0)</f>
        <v>1</v>
      </c>
      <c r="AF635" s="85" t="s">
        <v>1774</v>
      </c>
      <c r="AG635" s="53" t="s">
        <v>34</v>
      </c>
      <c r="AH635" s="53" t="s">
        <v>4387</v>
      </c>
      <c r="AI635" s="84">
        <v>1.0</v>
      </c>
      <c r="AJ635" s="84">
        <v>0.0</v>
      </c>
      <c r="AK635" s="87"/>
      <c r="AL635" s="81">
        <v>0.0</v>
      </c>
      <c r="AM635" s="87"/>
      <c r="AN635" s="81">
        <v>0.0</v>
      </c>
      <c r="AO635" s="90"/>
      <c r="AP635" s="81">
        <v>0.0</v>
      </c>
      <c r="AQ635" s="81">
        <v>0.0</v>
      </c>
      <c r="AR635" s="39"/>
      <c r="AS635" s="81">
        <v>0.0</v>
      </c>
      <c r="AT635" s="81">
        <v>0.0</v>
      </c>
      <c r="AU635" s="39"/>
      <c r="AV635" s="82"/>
      <c r="AW635" s="82"/>
      <c r="AX635" s="82"/>
      <c r="AY635" s="7"/>
      <c r="AZ635" s="7"/>
      <c r="BA635" s="7"/>
      <c r="BB635" s="7"/>
      <c r="BC635" s="7"/>
      <c r="BD635" s="7"/>
      <c r="BE635" s="7"/>
      <c r="BF635" s="7">
        <v>1000.0</v>
      </c>
      <c r="BG635" s="7">
        <v>1.0</v>
      </c>
      <c r="BH635" s="7"/>
      <c r="BI635" s="7">
        <v>1000000.0</v>
      </c>
      <c r="BJ635" s="7">
        <v>1.0</v>
      </c>
      <c r="BK635" s="7"/>
      <c r="BL635" s="7">
        <v>1.0E9</v>
      </c>
      <c r="BM635" s="7">
        <v>1.0</v>
      </c>
      <c r="BN635" s="7"/>
      <c r="BO635" s="7">
        <v>6.0</v>
      </c>
      <c r="BP635" s="82"/>
      <c r="BQ635" s="7"/>
      <c r="BR635" s="7" t="s">
        <v>144</v>
      </c>
    </row>
    <row r="636">
      <c r="A636" s="16">
        <v>55.0</v>
      </c>
      <c r="B636" s="16" t="s">
        <v>677</v>
      </c>
      <c r="C636" s="53">
        <v>2.0</v>
      </c>
      <c r="D636" s="53"/>
      <c r="E636" s="7">
        <v>449.0</v>
      </c>
      <c r="F636" s="53"/>
      <c r="G636" s="7">
        <v>0.0</v>
      </c>
      <c r="H636" s="16">
        <v>1.0</v>
      </c>
      <c r="I636" s="81">
        <v>1.0</v>
      </c>
      <c r="J636" s="39" t="s">
        <v>35</v>
      </c>
      <c r="K636" s="53" t="s">
        <v>4330</v>
      </c>
      <c r="L636" s="53" t="s">
        <v>4152</v>
      </c>
      <c r="M636" s="39" t="str">
        <f t="shared" si="1"/>
        <v>[- Two-pass algorithm (1940)]</v>
      </c>
      <c r="N636" s="39" t="s">
        <v>4388</v>
      </c>
      <c r="O636" s="81">
        <v>1940.0</v>
      </c>
      <c r="P636" s="39" t="s">
        <v>1937</v>
      </c>
      <c r="Q636" s="82"/>
      <c r="R636" s="82"/>
      <c r="S636" s="82"/>
      <c r="T636" s="16">
        <v>0.0</v>
      </c>
      <c r="U636" s="16">
        <v>0.0</v>
      </c>
      <c r="V636" s="89">
        <f>IFERROR(__xludf.DUMMYFUNCTION("INDEX(SPLIT(SUBSTITUTE(W636,CHAR(10), """"),"",:""), MATCH(Z636, SPLIT(SUBSTITUTE(W636,CHAR(10), """"),"",:""), 0) + 1)"),3.0)</f>
        <v>3</v>
      </c>
      <c r="W636" s="85" t="s">
        <v>1763</v>
      </c>
      <c r="X636" s="39" t="s">
        <v>35</v>
      </c>
      <c r="Y636" s="53" t="s">
        <v>4386</v>
      </c>
      <c r="Z636" s="53" t="str">
        <f t="array" ref="Z636">INDEX(Problems!J:J, MATCH(1, (Problems!B:B=B636)*1, 0))</f>
        <v>n</v>
      </c>
      <c r="AA636" s="53"/>
      <c r="AB636" s="53"/>
      <c r="AC636" s="53" t="s">
        <v>2312</v>
      </c>
      <c r="AD636" s="53" t="s">
        <v>1814</v>
      </c>
      <c r="AE636" s="85">
        <f>IFERROR(__xludf.DUMMYFUNCTION("INDEX(SPLIT(SUBSTITUTE(AF636,CHAR(10), """"),"",:""), MATCH(Z636, SPLIT(SUBSTITUTE(AF636,CHAR(10), """"),"",:""), 0) + 1)"),1.0)</f>
        <v>1</v>
      </c>
      <c r="AF636" s="85" t="s">
        <v>1774</v>
      </c>
      <c r="AG636" s="53" t="s">
        <v>34</v>
      </c>
      <c r="AH636" s="53" t="s">
        <v>4389</v>
      </c>
      <c r="AI636" s="84">
        <v>1.0</v>
      </c>
      <c r="AJ636" s="84">
        <v>0.0</v>
      </c>
      <c r="AK636" s="87"/>
      <c r="AL636" s="81">
        <v>0.0</v>
      </c>
      <c r="AM636" s="87"/>
      <c r="AN636" s="81">
        <v>0.0</v>
      </c>
      <c r="AO636" s="90"/>
      <c r="AP636" s="81">
        <v>0.0</v>
      </c>
      <c r="AQ636" s="81">
        <v>0.0</v>
      </c>
      <c r="AR636" s="39"/>
      <c r="AS636" s="81">
        <v>0.0</v>
      </c>
      <c r="AT636" s="81">
        <v>0.0</v>
      </c>
      <c r="AU636" s="39"/>
      <c r="AV636" s="82"/>
      <c r="AW636" s="82"/>
      <c r="AX636" s="82"/>
      <c r="AY636" s="7"/>
      <c r="AZ636" s="7"/>
      <c r="BA636" s="7"/>
      <c r="BB636" s="7"/>
      <c r="BC636" s="7"/>
      <c r="BD636" s="7"/>
      <c r="BE636" s="7"/>
      <c r="BF636" s="7">
        <v>1000.0</v>
      </c>
      <c r="BG636" s="82"/>
      <c r="BH636" s="82"/>
      <c r="BI636" s="82"/>
      <c r="BJ636" s="82"/>
      <c r="BK636" s="82"/>
      <c r="BL636" s="82"/>
      <c r="BM636" s="82"/>
      <c r="BN636" s="7"/>
      <c r="BO636" s="7">
        <v>6.0</v>
      </c>
      <c r="BP636" s="82"/>
      <c r="BQ636" s="7"/>
      <c r="BR636" s="7" t="s">
        <v>144</v>
      </c>
    </row>
    <row r="637">
      <c r="A637" s="16">
        <v>55.0</v>
      </c>
      <c r="B637" s="16" t="s">
        <v>677</v>
      </c>
      <c r="C637" s="53">
        <v>2.0</v>
      </c>
      <c r="D637" s="53"/>
      <c r="E637" s="7">
        <v>450.0</v>
      </c>
      <c r="F637" s="53"/>
      <c r="G637" s="7">
        <v>0.0</v>
      </c>
      <c r="H637" s="16">
        <v>1.0</v>
      </c>
      <c r="I637" s="81">
        <v>1.0</v>
      </c>
      <c r="J637" s="39" t="s">
        <v>35</v>
      </c>
      <c r="K637" s="53" t="s">
        <v>4330</v>
      </c>
      <c r="L637" s="53" t="s">
        <v>4152</v>
      </c>
      <c r="M637" s="39" t="str">
        <f t="shared" si="1"/>
        <v>[http://citeseerx.ist.psu.edu/viewdoc/download?doi=10.1.1.302.7503&amp;rep=rep1&amp;type=pdf Welford's Online algorithm (1962)]</v>
      </c>
      <c r="N637" s="39" t="s">
        <v>4390</v>
      </c>
      <c r="O637" s="81">
        <v>1962.0</v>
      </c>
      <c r="P637" s="28" t="s">
        <v>679</v>
      </c>
      <c r="Q637" s="82"/>
      <c r="R637" s="82"/>
      <c r="S637" s="82"/>
      <c r="T637" s="16">
        <v>0.0</v>
      </c>
      <c r="U637" s="16">
        <v>0.0</v>
      </c>
      <c r="V637" s="89">
        <f>IFERROR(__xludf.DUMMYFUNCTION("INDEX(SPLIT(SUBSTITUTE(W637,CHAR(10), """"),"",:""), MATCH(Z637, SPLIT(SUBSTITUTE(W637,CHAR(10), """"),"",:""), 0) + 1)"),3.0)</f>
        <v>3</v>
      </c>
      <c r="W637" s="85" t="s">
        <v>1763</v>
      </c>
      <c r="X637" s="39" t="s">
        <v>35</v>
      </c>
      <c r="Y637" s="53" t="s">
        <v>4386</v>
      </c>
      <c r="Z637" s="53" t="str">
        <f t="array" ref="Z637">INDEX(Problems!J:J, MATCH(1, (Problems!B:B=B637)*1, 0))</f>
        <v>n</v>
      </c>
      <c r="AA637" s="53"/>
      <c r="AB637" s="53"/>
      <c r="AC637" s="53" t="s">
        <v>2312</v>
      </c>
      <c r="AD637" s="53" t="s">
        <v>1814</v>
      </c>
      <c r="AE637" s="85">
        <f>IFERROR(__xludf.DUMMYFUNCTION("INDEX(SPLIT(SUBSTITUTE(AF637,CHAR(10), """"),"",:""), MATCH(Z637, SPLIT(SUBSTITUTE(AF637,CHAR(10), """"),"",:""), 0) + 1)"),1.0)</f>
        <v>1</v>
      </c>
      <c r="AF637" s="85" t="s">
        <v>1774</v>
      </c>
      <c r="AG637" s="53" t="s">
        <v>34</v>
      </c>
      <c r="AH637" s="53" t="s">
        <v>4391</v>
      </c>
      <c r="AI637" s="84">
        <v>1.0</v>
      </c>
      <c r="AJ637" s="84">
        <v>0.0</v>
      </c>
      <c r="AK637" s="87"/>
      <c r="AL637" s="81">
        <v>0.0</v>
      </c>
      <c r="AM637" s="87"/>
      <c r="AN637" s="81">
        <v>0.0</v>
      </c>
      <c r="AO637" s="90"/>
      <c r="AP637" s="81">
        <v>0.0</v>
      </c>
      <c r="AQ637" s="81">
        <v>0.0</v>
      </c>
      <c r="AR637" s="39"/>
      <c r="AS637" s="81">
        <v>0.0</v>
      </c>
      <c r="AT637" s="81">
        <v>0.0</v>
      </c>
      <c r="AU637" s="39"/>
      <c r="AV637" s="82"/>
      <c r="AW637" s="82"/>
      <c r="AX637" s="82"/>
      <c r="AY637" s="7"/>
      <c r="AZ637" s="7"/>
      <c r="BA637" s="7"/>
      <c r="BB637" s="7"/>
      <c r="BC637" s="7"/>
      <c r="BD637" s="7"/>
      <c r="BE637" s="7"/>
      <c r="BF637" s="7">
        <v>1000.0</v>
      </c>
      <c r="BG637" s="82"/>
      <c r="BH637" s="82"/>
      <c r="BI637" s="82"/>
      <c r="BJ637" s="82"/>
      <c r="BK637" s="82"/>
      <c r="BL637" s="82"/>
      <c r="BM637" s="82"/>
      <c r="BN637" s="7"/>
      <c r="BO637" s="7">
        <v>6.0</v>
      </c>
      <c r="BP637" s="82"/>
      <c r="BQ637" s="7"/>
      <c r="BR637" s="7" t="s">
        <v>144</v>
      </c>
    </row>
    <row r="638">
      <c r="A638" s="16">
        <v>55.0</v>
      </c>
      <c r="B638" s="16" t="s">
        <v>677</v>
      </c>
      <c r="C638" s="53">
        <v>2.0</v>
      </c>
      <c r="D638" s="53"/>
      <c r="E638" s="7">
        <v>451.0</v>
      </c>
      <c r="F638" s="53"/>
      <c r="G638" s="7">
        <v>0.0</v>
      </c>
      <c r="H638" s="16">
        <v>1.0</v>
      </c>
      <c r="I638" s="81">
        <v>1.0</v>
      </c>
      <c r="J638" s="39" t="s">
        <v>35</v>
      </c>
      <c r="K638" s="53" t="s">
        <v>4330</v>
      </c>
      <c r="L638" s="53" t="s">
        <v>4152</v>
      </c>
      <c r="M638" s="39" t="str">
        <f t="shared" si="1"/>
        <v>[https://dl.acm.org/doi/10.1145/359146.359153 Weighted incremental algorithm (1979)]</v>
      </c>
      <c r="N638" s="39" t="s">
        <v>4392</v>
      </c>
      <c r="O638" s="81">
        <v>1979.0</v>
      </c>
      <c r="P638" s="28" t="s">
        <v>4393</v>
      </c>
      <c r="Q638" s="82"/>
      <c r="R638" s="82"/>
      <c r="S638" s="82"/>
      <c r="T638" s="16">
        <v>0.0</v>
      </c>
      <c r="U638" s="16">
        <v>0.0</v>
      </c>
      <c r="V638" s="89">
        <f>IFERROR(__xludf.DUMMYFUNCTION("INDEX(SPLIT(SUBSTITUTE(W638,CHAR(10), """"),"",:""), MATCH(Z638, SPLIT(SUBSTITUTE(W638,CHAR(10), """"),"",:""), 0) + 1)"),3.0)</f>
        <v>3</v>
      </c>
      <c r="W638" s="85" t="s">
        <v>1763</v>
      </c>
      <c r="X638" s="39" t="s">
        <v>35</v>
      </c>
      <c r="Y638" s="53" t="s">
        <v>4386</v>
      </c>
      <c r="Z638" s="53" t="str">
        <f t="array" ref="Z638">INDEX(Problems!J:J, MATCH(1, (Problems!B:B=B638)*1, 0))</f>
        <v>n</v>
      </c>
      <c r="AA638" s="53"/>
      <c r="AB638" s="53"/>
      <c r="AC638" s="53" t="s">
        <v>2312</v>
      </c>
      <c r="AD638" s="53" t="s">
        <v>1814</v>
      </c>
      <c r="AE638" s="85">
        <f>IFERROR(__xludf.DUMMYFUNCTION("INDEX(SPLIT(SUBSTITUTE(AF638,CHAR(10), """"),"",:""), MATCH(Z638, SPLIT(SUBSTITUTE(AF638,CHAR(10), """"),"",:""), 0) + 1)"),1.0)</f>
        <v>1</v>
      </c>
      <c r="AF638" s="85" t="s">
        <v>1774</v>
      </c>
      <c r="AG638" s="53" t="s">
        <v>34</v>
      </c>
      <c r="AH638" s="53" t="s">
        <v>4394</v>
      </c>
      <c r="AI638" s="84">
        <v>1.0</v>
      </c>
      <c r="AJ638" s="84">
        <v>0.0</v>
      </c>
      <c r="AK638" s="87"/>
      <c r="AL638" s="81">
        <v>0.0</v>
      </c>
      <c r="AM638" s="87"/>
      <c r="AN638" s="81">
        <v>0.0</v>
      </c>
      <c r="AO638" s="90"/>
      <c r="AP638" s="81">
        <v>0.0</v>
      </c>
      <c r="AQ638" s="81">
        <v>0.0</v>
      </c>
      <c r="AR638" s="39"/>
      <c r="AS638" s="81">
        <v>0.0</v>
      </c>
      <c r="AT638" s="81">
        <v>0.0</v>
      </c>
      <c r="AU638" s="39"/>
      <c r="AV638" s="82"/>
      <c r="AW638" s="82"/>
      <c r="AX638" s="82"/>
      <c r="AY638" s="7"/>
      <c r="AZ638" s="7"/>
      <c r="BA638" s="7"/>
      <c r="BB638" s="7"/>
      <c r="BC638" s="7"/>
      <c r="BD638" s="7"/>
      <c r="BE638" s="7"/>
      <c r="BF638" s="7">
        <v>1000.0</v>
      </c>
      <c r="BG638" s="82"/>
      <c r="BH638" s="82"/>
      <c r="BI638" s="82"/>
      <c r="BJ638" s="82"/>
      <c r="BK638" s="82"/>
      <c r="BL638" s="82"/>
      <c r="BM638" s="82"/>
      <c r="BN638" s="7"/>
      <c r="BO638" s="7">
        <v>6.0</v>
      </c>
      <c r="BP638" s="82"/>
      <c r="BQ638" s="7"/>
      <c r="BR638" s="7" t="s">
        <v>144</v>
      </c>
    </row>
    <row r="639">
      <c r="A639" s="16">
        <v>55.0</v>
      </c>
      <c r="B639" s="16" t="s">
        <v>677</v>
      </c>
      <c r="C639" s="53">
        <v>2.0</v>
      </c>
      <c r="D639" s="53"/>
      <c r="E639" s="7">
        <v>452.0</v>
      </c>
      <c r="F639" s="53"/>
      <c r="G639" s="7">
        <v>0.0</v>
      </c>
      <c r="H639" s="16">
        <v>1.0</v>
      </c>
      <c r="I639" s="81">
        <v>1.0</v>
      </c>
      <c r="J639" s="21" t="s">
        <v>2382</v>
      </c>
      <c r="K639" s="53" t="s">
        <v>4330</v>
      </c>
      <c r="L639" s="53" t="s">
        <v>4152</v>
      </c>
      <c r="M639" s="39" t="str">
        <f t="shared" si="1"/>
        <v>[http://i.stanford.edu/pub/cstr/reports/cs/tr/79/773/CS-TR-79-773.pdf Chan's algorithm Parallel Implementation (1979)]</v>
      </c>
      <c r="N639" s="39" t="s">
        <v>4395</v>
      </c>
      <c r="O639" s="81">
        <v>1979.0</v>
      </c>
      <c r="P639" s="25" t="s">
        <v>4396</v>
      </c>
      <c r="Q639" s="82"/>
      <c r="R639" s="82"/>
      <c r="S639" s="82"/>
      <c r="T639" s="16">
        <v>0.0</v>
      </c>
      <c r="U639" s="16">
        <v>0.0</v>
      </c>
      <c r="V639" s="89">
        <f>IFERROR(__xludf.DUMMYFUNCTION("INDEX(SPLIT(SUBSTITUTE(W639,CHAR(10), """"),"",:""), MATCH(Z639, SPLIT(SUBSTITUTE(W639,CHAR(10), """"),"",:""), 0) + 1)"),2.0)</f>
        <v>2</v>
      </c>
      <c r="W639" s="85" t="s">
        <v>1962</v>
      </c>
      <c r="X639" s="21" t="s">
        <v>2430</v>
      </c>
      <c r="Y639" s="53" t="s">
        <v>4386</v>
      </c>
      <c r="Z639" s="53" t="str">
        <f t="array" ref="Z639">INDEX(Problems!J:J, MATCH(1, (Problems!B:B=B639)*1, 0))</f>
        <v>n</v>
      </c>
      <c r="AA639" s="53"/>
      <c r="AB639" s="53"/>
      <c r="AC639" s="53" t="s">
        <v>4397</v>
      </c>
      <c r="AD639" s="53" t="s">
        <v>1814</v>
      </c>
      <c r="AE639" s="85">
        <f>IFERROR(__xludf.DUMMYFUNCTION("INDEX(SPLIT(SUBSTITUTE(AF639,CHAR(10), """"),"",:""), MATCH(Z639, SPLIT(SUBSTITUTE(AF639,CHAR(10), """"),"",:""), 0) + 1)"),3.0)</f>
        <v>3</v>
      </c>
      <c r="AF639" s="85" t="s">
        <v>1763</v>
      </c>
      <c r="AG639" s="53" t="s">
        <v>4398</v>
      </c>
      <c r="AH639" s="53" t="s">
        <v>4399</v>
      </c>
      <c r="AI639" s="84">
        <v>1.0</v>
      </c>
      <c r="AJ639" s="84">
        <v>0.0</v>
      </c>
      <c r="AK639" s="87"/>
      <c r="AL639" s="81">
        <v>0.0</v>
      </c>
      <c r="AM639" s="87"/>
      <c r="AN639" s="81">
        <v>0.0</v>
      </c>
      <c r="AO639" s="90"/>
      <c r="AP639" s="81">
        <v>0.0</v>
      </c>
      <c r="AQ639" s="81">
        <v>1.0</v>
      </c>
      <c r="AR639" s="21" t="s">
        <v>35</v>
      </c>
      <c r="AS639" s="81">
        <v>0.0</v>
      </c>
      <c r="AT639" s="81">
        <v>0.0</v>
      </c>
      <c r="AU639" s="96" t="s">
        <v>4400</v>
      </c>
      <c r="AV639" s="82"/>
      <c r="AW639" s="82"/>
      <c r="AX639" s="82"/>
      <c r="AY639" s="7"/>
      <c r="AZ639" s="7"/>
      <c r="BA639" s="7"/>
      <c r="BB639" s="7"/>
      <c r="BC639" s="7"/>
      <c r="BD639" s="7"/>
      <c r="BE639" s="7"/>
      <c r="BF639" s="7">
        <v>1.0</v>
      </c>
      <c r="BG639" s="82"/>
      <c r="BH639" s="82"/>
      <c r="BI639" s="82"/>
      <c r="BJ639" s="82"/>
      <c r="BK639" s="82"/>
      <c r="BL639" s="82"/>
      <c r="BM639" s="82"/>
      <c r="BN639" s="7"/>
      <c r="BO639" s="7">
        <v>6.0</v>
      </c>
      <c r="BP639" s="82"/>
      <c r="BQ639" s="7"/>
      <c r="BR639" s="7" t="s">
        <v>144</v>
      </c>
    </row>
    <row r="640">
      <c r="A640" s="16">
        <v>56.0</v>
      </c>
      <c r="B640" s="16" t="s">
        <v>682</v>
      </c>
      <c r="C640" s="53">
        <v>2.0</v>
      </c>
      <c r="D640" s="53" t="s">
        <v>682</v>
      </c>
      <c r="E640" s="7">
        <v>453.0</v>
      </c>
      <c r="F640" s="53"/>
      <c r="G640" s="7"/>
      <c r="H640" s="16">
        <v>1.0</v>
      </c>
      <c r="I640" s="81">
        <v>1.0</v>
      </c>
      <c r="J640" s="39" t="s">
        <v>245</v>
      </c>
      <c r="K640" s="53" t="s">
        <v>4330</v>
      </c>
      <c r="L640" s="53" t="s">
        <v>4152</v>
      </c>
      <c r="M640" s="39" t="str">
        <f t="shared" si="1"/>
        <v>[https://dl.acm.org/doi/10.1145/368996.369025 Kahn's algorithm (1962)]</v>
      </c>
      <c r="N640" s="39" t="s">
        <v>4401</v>
      </c>
      <c r="O640" s="81">
        <v>1962.0</v>
      </c>
      <c r="P640" s="17" t="s">
        <v>684</v>
      </c>
      <c r="Q640" s="7">
        <v>1.0</v>
      </c>
      <c r="R640" s="7">
        <v>1.0</v>
      </c>
      <c r="S640" s="82"/>
      <c r="T640" s="16">
        <v>1.0</v>
      </c>
      <c r="U640" s="16">
        <v>0.0</v>
      </c>
      <c r="V640" s="89">
        <f>IFERROR(__xludf.DUMMYFUNCTION("INDEX(SPLIT(SUBSTITUTE(W640,CHAR(10), """"),"",:""), MATCH(Z640, SPLIT(SUBSTITUTE(W640,CHAR(10), """"),"",:""), 0) + 1)"),5.0)</f>
        <v>5</v>
      </c>
      <c r="W640" s="85" t="s">
        <v>2185</v>
      </c>
      <c r="X640" s="39" t="s">
        <v>245</v>
      </c>
      <c r="Y640" s="53" t="s">
        <v>2542</v>
      </c>
      <c r="Z640" s="53" t="str">
        <f t="array" ref="Z640">INDEX(Problems!J:J, MATCH(1, (Problems!B:B=B640)*1, 0))</f>
        <v>V</v>
      </c>
      <c r="AA640" s="53"/>
      <c r="AB640" s="53"/>
      <c r="AC640" s="53" t="s">
        <v>1813</v>
      </c>
      <c r="AD640" s="53" t="s">
        <v>1814</v>
      </c>
      <c r="AE640" s="85">
        <f>IFERROR(__xludf.DUMMYFUNCTION("INDEX(SPLIT(SUBSTITUTE(AF640,CHAR(10), """"),"",:""), MATCH(Z640, SPLIT(SUBSTITUTE(AF640,CHAR(10), """"),"",:""), 0) + 1)"),3.0)</f>
        <v>3</v>
      </c>
      <c r="AF640" s="85" t="s">
        <v>2534</v>
      </c>
      <c r="AG640" s="53" t="s">
        <v>268</v>
      </c>
      <c r="AH640" s="53" t="s">
        <v>4402</v>
      </c>
      <c r="AI640" s="84">
        <v>1.0</v>
      </c>
      <c r="AJ640" s="84">
        <v>0.0</v>
      </c>
      <c r="AK640" s="87"/>
      <c r="AL640" s="81">
        <v>0.0</v>
      </c>
      <c r="AM640" s="87"/>
      <c r="AN640" s="81">
        <v>0.0</v>
      </c>
      <c r="AO640" s="90"/>
      <c r="AP640" s="81">
        <v>0.0</v>
      </c>
      <c r="AQ640" s="81">
        <v>0.0</v>
      </c>
      <c r="AR640" s="39"/>
      <c r="AS640" s="81">
        <v>0.0</v>
      </c>
      <c r="AT640" s="81">
        <v>0.0</v>
      </c>
      <c r="AU640" s="39"/>
      <c r="AV640" s="82"/>
      <c r="AW640" s="82"/>
      <c r="AX640" s="82"/>
      <c r="AY640" s="7"/>
      <c r="AZ640" s="7"/>
      <c r="BA640" s="7"/>
      <c r="BB640" s="7"/>
      <c r="BC640" s="7"/>
      <c r="BD640" s="7"/>
      <c r="BE640" s="7"/>
      <c r="BF640" s="7">
        <v>1000.0</v>
      </c>
      <c r="BG640" s="7">
        <v>1.0</v>
      </c>
      <c r="BH640" s="7"/>
      <c r="BI640" s="7">
        <v>1000000.0</v>
      </c>
      <c r="BJ640" s="7">
        <v>1.0</v>
      </c>
      <c r="BK640" s="7"/>
      <c r="BL640" s="7">
        <v>1.0E9</v>
      </c>
      <c r="BM640" s="7">
        <v>1.0</v>
      </c>
      <c r="BN640" s="7"/>
      <c r="BO640" s="7">
        <v>6.0</v>
      </c>
      <c r="BP640" s="82"/>
      <c r="BQ640" s="7"/>
      <c r="BR640" s="7" t="s">
        <v>23</v>
      </c>
    </row>
    <row r="641">
      <c r="A641" s="16">
        <v>56.0</v>
      </c>
      <c r="B641" s="16" t="s">
        <v>682</v>
      </c>
      <c r="C641" s="53">
        <v>2.0</v>
      </c>
      <c r="D641" s="53" t="s">
        <v>682</v>
      </c>
      <c r="E641" s="7">
        <v>454.0</v>
      </c>
      <c r="F641" s="53"/>
      <c r="G641" s="7"/>
      <c r="H641" s="16">
        <v>1.0</v>
      </c>
      <c r="I641" s="81">
        <v>1.0</v>
      </c>
      <c r="J641" s="39" t="s">
        <v>245</v>
      </c>
      <c r="K641" s="53" t="s">
        <v>4330</v>
      </c>
      <c r="L641" s="53" t="s">
        <v>4152</v>
      </c>
      <c r="M641" s="39" t="str">
        <f t="shared" si="1"/>
        <v>[https://link.springer.com/article/10.1007/BF00268499 Tarjan's DFS based algorithm (1976)]</v>
      </c>
      <c r="N641" s="16" t="s">
        <v>4403</v>
      </c>
      <c r="O641" s="81">
        <v>1976.0</v>
      </c>
      <c r="P641" s="28" t="s">
        <v>4404</v>
      </c>
      <c r="Q641" s="82"/>
      <c r="R641" s="82"/>
      <c r="S641" s="82"/>
      <c r="T641" s="16">
        <v>0.0</v>
      </c>
      <c r="U641" s="16">
        <v>0.0</v>
      </c>
      <c r="V641" s="89">
        <f>IFERROR(__xludf.DUMMYFUNCTION("INDEX(SPLIT(SUBSTITUTE(W641,CHAR(10), """"),"",:""), MATCH(Z641, SPLIT(SUBSTITUTE(W641,CHAR(10), """"),"",:""), 0) + 1)"),5.0)</f>
        <v>5</v>
      </c>
      <c r="W641" s="85" t="s">
        <v>2185</v>
      </c>
      <c r="X641" s="39" t="s">
        <v>245</v>
      </c>
      <c r="Y641" s="53" t="s">
        <v>2542</v>
      </c>
      <c r="Z641" s="53" t="str">
        <f t="array" ref="Z641">INDEX(Problems!J:J, MATCH(1, (Problems!B:B=B641)*1, 0))</f>
        <v>V</v>
      </c>
      <c r="AA641" s="53"/>
      <c r="AB641" s="53"/>
      <c r="AC641" s="53" t="s">
        <v>1813</v>
      </c>
      <c r="AD641" s="53" t="s">
        <v>1814</v>
      </c>
      <c r="AE641" s="85">
        <f>IFERROR(__xludf.DUMMYFUNCTION("INDEX(SPLIT(SUBSTITUTE(AF641,CHAR(10), """"),"",:""), MATCH(Z641, SPLIT(SUBSTITUTE(AF641,CHAR(10), """"),"",:""), 0) + 1)"),3.0)</f>
        <v>3</v>
      </c>
      <c r="AF641" s="85" t="s">
        <v>2534</v>
      </c>
      <c r="AG641" s="53" t="s">
        <v>2562</v>
      </c>
      <c r="AH641" s="53" t="s">
        <v>4405</v>
      </c>
      <c r="AI641" s="84">
        <v>1.0</v>
      </c>
      <c r="AJ641" s="84">
        <v>0.0</v>
      </c>
      <c r="AK641" s="87"/>
      <c r="AL641" s="81">
        <v>0.0</v>
      </c>
      <c r="AM641" s="87"/>
      <c r="AN641" s="81">
        <v>0.0</v>
      </c>
      <c r="AO641" s="90"/>
      <c r="AP641" s="81">
        <v>0.0</v>
      </c>
      <c r="AQ641" s="81">
        <v>0.0</v>
      </c>
      <c r="AR641" s="39"/>
      <c r="AS641" s="81">
        <v>0.0</v>
      </c>
      <c r="AT641" s="81">
        <v>0.0</v>
      </c>
      <c r="AU641" s="39"/>
      <c r="AV641" s="82"/>
      <c r="AW641" s="82"/>
      <c r="AX641" s="82"/>
      <c r="AY641" s="7"/>
      <c r="AZ641" s="82"/>
      <c r="BA641" s="82"/>
      <c r="BB641" s="82"/>
      <c r="BC641" s="82"/>
      <c r="BD641" s="82"/>
      <c r="BE641" s="82"/>
      <c r="BF641" s="82"/>
      <c r="BG641" s="82"/>
      <c r="BH641" s="82"/>
      <c r="BI641" s="82"/>
      <c r="BJ641" s="82"/>
      <c r="BK641" s="82"/>
      <c r="BL641" s="82"/>
      <c r="BM641" s="82"/>
      <c r="BN641" s="7"/>
      <c r="BO641" s="7">
        <v>6.0</v>
      </c>
      <c r="BP641" s="82"/>
      <c r="BQ641" s="7"/>
      <c r="BR641" s="7" t="s">
        <v>23</v>
      </c>
    </row>
    <row r="642">
      <c r="A642" s="16">
        <v>56.0</v>
      </c>
      <c r="B642" s="16" t="s">
        <v>682</v>
      </c>
      <c r="C642" s="53">
        <v>1.0</v>
      </c>
      <c r="D642" s="53" t="s">
        <v>682</v>
      </c>
      <c r="E642" s="7">
        <v>455.0</v>
      </c>
      <c r="F642" s="53"/>
      <c r="G642" s="7"/>
      <c r="H642" s="16">
        <v>1.0</v>
      </c>
      <c r="I642" s="81">
        <v>1.0</v>
      </c>
      <c r="J642" s="39" t="str">
        <f>"O( log"&amp;CHAR(178)&amp;" V)"</f>
        <v>O( log² V)</v>
      </c>
      <c r="K642" s="53"/>
      <c r="L642" s="53"/>
      <c r="M642" s="39" t="str">
        <f t="shared" si="1"/>
        <v>[https://www.proquest.com/docview/920003939?pq-origsite=gscholar&amp;fromopenview=true Dekel; Nassimi &amp; Sahni Parallel Implementation  (1981)]</v>
      </c>
      <c r="N642" s="16" t="s">
        <v>4406</v>
      </c>
      <c r="O642" s="81">
        <v>1981.0</v>
      </c>
      <c r="P642" s="96" t="s">
        <v>4407</v>
      </c>
      <c r="Q642" s="82"/>
      <c r="R642" s="82"/>
      <c r="S642" s="82"/>
      <c r="T642" s="16">
        <v>0.0</v>
      </c>
      <c r="U642" s="16">
        <v>0.0</v>
      </c>
      <c r="V642" s="89">
        <f>IFERROR(__xludf.DUMMYFUNCTION("INDEX(SPLIT(SUBSTITUTE(W642,CHAR(10), """"),"",:""), MATCH(Z642, SPLIT(SUBSTITUTE(W642,CHAR(10), """"),"",:""), 0) + 1)"),2.0)</f>
        <v>2</v>
      </c>
      <c r="W642" s="85" t="s">
        <v>4408</v>
      </c>
      <c r="X642" s="16" t="s">
        <v>4409</v>
      </c>
      <c r="Y642" s="53" t="s">
        <v>2542</v>
      </c>
      <c r="Z642" s="53" t="str">
        <f t="array" ref="Z642">INDEX(Problems!J:J, MATCH(1, (Problems!B:B=B642)*1, 0))</f>
        <v>V</v>
      </c>
      <c r="AA642" s="53"/>
      <c r="AB642" s="53"/>
      <c r="AC642" s="53" t="s">
        <v>4410</v>
      </c>
      <c r="AD642" s="53" t="s">
        <v>1814</v>
      </c>
      <c r="AE642" s="85">
        <f>IFERROR(__xludf.DUMMYFUNCTION("INDEX(SPLIT(SUBSTITUTE(AF642,CHAR(10), """"),"",:""), MATCH(Z642, SPLIT(SUBSTITUTE(AF642,CHAR(10), """"),"",:""), 0) + 1)"),5.0)</f>
        <v>5</v>
      </c>
      <c r="AF642" s="85" t="s">
        <v>3038</v>
      </c>
      <c r="AG642" s="53" t="s">
        <v>3875</v>
      </c>
      <c r="AH642" s="53" t="s">
        <v>4411</v>
      </c>
      <c r="AI642" s="84">
        <v>1.0</v>
      </c>
      <c r="AJ642" s="84">
        <v>0.0</v>
      </c>
      <c r="AK642" s="87"/>
      <c r="AL642" s="81">
        <v>0.0</v>
      </c>
      <c r="AM642" s="87"/>
      <c r="AN642" s="81">
        <v>0.0</v>
      </c>
      <c r="AO642" s="90"/>
      <c r="AP642" s="81">
        <v>0.0</v>
      </c>
      <c r="AQ642" s="81">
        <v>1.0</v>
      </c>
      <c r="AR642" s="21" t="s">
        <v>4412</v>
      </c>
      <c r="AS642" s="81">
        <v>0.0</v>
      </c>
      <c r="AT642" s="81">
        <v>0.0</v>
      </c>
      <c r="AU642" s="39"/>
      <c r="AV642" s="82"/>
      <c r="AW642" s="82"/>
      <c r="AX642" s="82"/>
      <c r="AY642" s="7"/>
      <c r="AZ642" s="82"/>
      <c r="BA642" s="82"/>
      <c r="BB642" s="82"/>
      <c r="BC642" s="82"/>
      <c r="BD642" s="82"/>
      <c r="BE642" s="82"/>
      <c r="BF642" s="82"/>
      <c r="BG642" s="82"/>
      <c r="BH642" s="82"/>
      <c r="BI642" s="82"/>
      <c r="BJ642" s="82"/>
      <c r="BK642" s="82"/>
      <c r="BL642" s="82"/>
      <c r="BM642" s="82"/>
      <c r="BN642" s="7"/>
      <c r="BO642" s="7">
        <v>6.0</v>
      </c>
      <c r="BP642" s="82"/>
      <c r="BQ642" s="7"/>
      <c r="BR642" s="7" t="s">
        <v>23</v>
      </c>
    </row>
    <row r="643">
      <c r="A643" s="16">
        <v>57.0</v>
      </c>
      <c r="B643" s="16" t="s">
        <v>685</v>
      </c>
      <c r="C643" s="53">
        <v>2.0</v>
      </c>
      <c r="D643" s="53" t="s">
        <v>685</v>
      </c>
      <c r="E643" s="7">
        <v>456.0</v>
      </c>
      <c r="F643" s="53"/>
      <c r="G643" s="7"/>
      <c r="H643" s="16">
        <v>1.0</v>
      </c>
      <c r="I643" s="81">
        <v>1.0</v>
      </c>
      <c r="J643" s="21" t="s">
        <v>3930</v>
      </c>
      <c r="K643" s="53" t="s">
        <v>4413</v>
      </c>
      <c r="L643" s="91" t="s">
        <v>4414</v>
      </c>
      <c r="M643" s="39" t="str">
        <f t="shared" si="1"/>
        <v>[https://www.cs.cmu.edu/~./sutner/CDM/papers/Hopcroft71.pdf Hopcroft's algorithm (1971)]</v>
      </c>
      <c r="N643" s="39" t="s">
        <v>4415</v>
      </c>
      <c r="O643" s="81">
        <v>1971.0</v>
      </c>
      <c r="P643" s="25" t="s">
        <v>4416</v>
      </c>
      <c r="Q643" s="82"/>
      <c r="R643" s="82"/>
      <c r="S643" s="82"/>
      <c r="T643" s="16">
        <v>1.0</v>
      </c>
      <c r="U643" s="16">
        <v>0.0</v>
      </c>
      <c r="V643" s="89">
        <f>IFERROR(__xludf.DUMMYFUNCTION("INDEX(SPLIT(SUBSTITUTE(W643,CHAR(10), """"),"",:""), MATCH(Z643, SPLIT(SUBSTITUTE(W643,CHAR(10), """"),"",:""), 0) + 1)"),4.0)</f>
        <v>4</v>
      </c>
      <c r="W643" s="85" t="s">
        <v>2157</v>
      </c>
      <c r="X643" s="16" t="s">
        <v>4417</v>
      </c>
      <c r="Y643" s="53" t="s">
        <v>4418</v>
      </c>
      <c r="Z643" s="53" t="str">
        <f t="array" ref="Z643">INDEX(Problems!J:J, MATCH(1, (Problems!B:B=B643)*1, 0))</f>
        <v>n</v>
      </c>
      <c r="AA643" s="53"/>
      <c r="AB643" s="53"/>
      <c r="AC643" s="53" t="s">
        <v>1813</v>
      </c>
      <c r="AD643" s="53" t="s">
        <v>1814</v>
      </c>
      <c r="AE643" s="85">
        <f>IFERROR(__xludf.DUMMYFUNCTION("INDEX(SPLIT(SUBSTITUTE(AF643,CHAR(10), """"),"",:""), MATCH(Z643, SPLIT(SUBSTITUTE(AF643,CHAR(10), """"),"",:""), 0) + 1)"),3.0)</f>
        <v>3</v>
      </c>
      <c r="AF643" s="85" t="s">
        <v>4419</v>
      </c>
      <c r="AG643" s="53" t="s">
        <v>4420</v>
      </c>
      <c r="AH643" s="91" t="s">
        <v>4421</v>
      </c>
      <c r="AI643" s="84">
        <v>0.0</v>
      </c>
      <c r="AJ643" s="84">
        <v>0.0</v>
      </c>
      <c r="AK643" s="87"/>
      <c r="AL643" s="81">
        <v>0.0</v>
      </c>
      <c r="AM643" s="87"/>
      <c r="AN643" s="81">
        <v>0.0</v>
      </c>
      <c r="AO643" s="90"/>
      <c r="AP643" s="81">
        <v>0.0</v>
      </c>
      <c r="AQ643" s="81">
        <v>0.0</v>
      </c>
      <c r="AR643" s="39"/>
      <c r="AS643" s="81">
        <v>0.0</v>
      </c>
      <c r="AT643" s="81">
        <v>0.0</v>
      </c>
      <c r="AU643" s="39"/>
      <c r="AV643" s="82"/>
      <c r="AW643" s="82"/>
      <c r="AX643" s="82"/>
      <c r="AY643" s="82"/>
      <c r="AZ643" s="82"/>
      <c r="BA643" s="82"/>
      <c r="BB643" s="82"/>
      <c r="BC643" s="82"/>
      <c r="BD643" s="82"/>
      <c r="BE643" s="82"/>
      <c r="BF643" s="82">
        <f>log(1000,2)*1000*100</f>
        <v>996578.4285</v>
      </c>
      <c r="BG643" s="82">
        <f>BF644/BF643</f>
        <v>1003.433319</v>
      </c>
      <c r="BH643" s="82">
        <f>POW(BG643,1/($O643-$O$644)) - 1</f>
        <v>0.5852553754</v>
      </c>
      <c r="BI643" s="82">
        <f>log(1000000,2)*1000000*100</f>
        <v>1993156857</v>
      </c>
      <c r="BJ643" s="82">
        <f>BI644/BI643</f>
        <v>50171.66594</v>
      </c>
      <c r="BK643" s="82">
        <f>POW(BJ643,1/($O643-$O$644)) - 1</f>
        <v>1.057613978</v>
      </c>
      <c r="BL643" s="82">
        <f>log(1000000000,2)*1000000000*100</f>
        <v>2989735285399</v>
      </c>
      <c r="BM643" s="82">
        <f>BL644/BL643</f>
        <v>33447777.3</v>
      </c>
      <c r="BN643" s="82">
        <f>POW(BM643,1/($O643-$O$644)) - 1</f>
        <v>2.174128351</v>
      </c>
      <c r="BO643" s="7">
        <v>1.0</v>
      </c>
      <c r="BP643" s="82"/>
      <c r="BQ643" s="82"/>
      <c r="BR643" s="7" t="s">
        <v>23</v>
      </c>
    </row>
    <row r="644">
      <c r="A644" s="16">
        <v>57.0</v>
      </c>
      <c r="B644" s="16" t="s">
        <v>685</v>
      </c>
      <c r="C644" s="53">
        <v>2.0</v>
      </c>
      <c r="D644" s="53" t="s">
        <v>685</v>
      </c>
      <c r="E644" s="7">
        <v>457.0</v>
      </c>
      <c r="F644" s="53"/>
      <c r="G644" s="7"/>
      <c r="H644" s="16">
        <v>1.0</v>
      </c>
      <c r="I644" s="81">
        <v>1.0</v>
      </c>
      <c r="J644" s="21" t="s">
        <v>3930</v>
      </c>
      <c r="K644" s="53" t="s">
        <v>4422</v>
      </c>
      <c r="L644" s="86" t="s">
        <v>4423</v>
      </c>
      <c r="M644" s="39" t="str">
        <f t="shared" si="1"/>
        <v>[https://doi.org/10.2307/2964500 Moore's algorithm (1956)]</v>
      </c>
      <c r="N644" s="39" t="s">
        <v>4424</v>
      </c>
      <c r="O644" s="81">
        <v>1956.0</v>
      </c>
      <c r="P644" s="25" t="s">
        <v>4425</v>
      </c>
      <c r="Q644" s="82"/>
      <c r="R644" s="82"/>
      <c r="S644" s="82"/>
      <c r="T644" s="16">
        <v>1.0</v>
      </c>
      <c r="U644" s="16">
        <v>0.0</v>
      </c>
      <c r="V644" s="89">
        <f>IFERROR(__xludf.DUMMYFUNCTION("INDEX(SPLIT(SUBSTITUTE(W644,CHAR(10), """"),"",:""), MATCH(Z644, SPLIT(SUBSTITUTE(W644,CHAR(10), """"),"",:""), 0) + 1)"),5.0)</f>
        <v>5</v>
      </c>
      <c r="W644" s="85" t="s">
        <v>2190</v>
      </c>
      <c r="X644" s="39" t="s">
        <v>4426</v>
      </c>
      <c r="Y644" s="53" t="s">
        <v>4418</v>
      </c>
      <c r="Z644" s="53" t="str">
        <f t="array" ref="Z644">INDEX(Problems!J:J, MATCH(1, (Problems!B:B=B644)*1, 0))</f>
        <v>n</v>
      </c>
      <c r="AA644" s="53"/>
      <c r="AB644" s="53"/>
      <c r="AC644" s="53" t="s">
        <v>1813</v>
      </c>
      <c r="AD644" s="53" t="s">
        <v>1814</v>
      </c>
      <c r="AE644" s="85">
        <f>IFERROR(__xludf.DUMMYFUNCTION("INDEX(SPLIT(SUBSTITUTE(AF644,CHAR(10), """"),"",:""), MATCH(Z644, SPLIT(SUBSTITUTE(AF644,CHAR(10), """"),"",:""), 0) + 1)"),3.0)</f>
        <v>3</v>
      </c>
      <c r="AF644" s="85" t="s">
        <v>1763</v>
      </c>
      <c r="AG644" s="53" t="s">
        <v>584</v>
      </c>
      <c r="AH644" s="53" t="s">
        <v>4427</v>
      </c>
      <c r="AI644" s="84">
        <v>1.0</v>
      </c>
      <c r="AJ644" s="84">
        <v>0.0</v>
      </c>
      <c r="AK644" s="87"/>
      <c r="AL644" s="81">
        <v>0.0</v>
      </c>
      <c r="AM644" s="87"/>
      <c r="AN644" s="81">
        <v>0.0</v>
      </c>
      <c r="AO644" s="90"/>
      <c r="AP644" s="81">
        <v>0.0</v>
      </c>
      <c r="AQ644" s="81">
        <v>0.0</v>
      </c>
      <c r="AR644" s="39"/>
      <c r="AS644" s="81">
        <v>0.0</v>
      </c>
      <c r="AT644" s="81">
        <v>0.0</v>
      </c>
      <c r="AU644" s="39"/>
      <c r="AV644" s="82"/>
      <c r="AW644" s="82"/>
      <c r="AX644" s="82"/>
      <c r="AY644" s="7" t="s">
        <v>4428</v>
      </c>
      <c r="AZ644" s="82"/>
      <c r="BA644" s="82"/>
      <c r="BB644" s="82"/>
      <c r="BC644" s="82"/>
      <c r="BD644" s="82"/>
      <c r="BE644" s="82"/>
      <c r="BF644" s="82">
        <f>10000*1000*100</f>
        <v>1000000000</v>
      </c>
      <c r="BG644" s="7">
        <v>1.0</v>
      </c>
      <c r="BH644" s="82"/>
      <c r="BI644" s="82">
        <f>POW(1000000,2)*100</f>
        <v>100000000000000</v>
      </c>
      <c r="BJ644" s="7">
        <v>1.0</v>
      </c>
      <c r="BK644" s="82"/>
      <c r="BL644" s="82">
        <f>POW(1000000000,2)*100</f>
        <v>1E+20</v>
      </c>
      <c r="BM644" s="7">
        <v>1.0</v>
      </c>
      <c r="BN644" s="7"/>
      <c r="BO644" s="7">
        <v>1.0</v>
      </c>
      <c r="BP644" s="82"/>
      <c r="BQ644" s="82"/>
      <c r="BR644" s="7" t="s">
        <v>23</v>
      </c>
    </row>
    <row r="645">
      <c r="A645" s="16">
        <v>57.0</v>
      </c>
      <c r="B645" s="16" t="s">
        <v>685</v>
      </c>
      <c r="C645" s="53">
        <v>2.0</v>
      </c>
      <c r="D645" s="53" t="s">
        <v>685</v>
      </c>
      <c r="E645" s="7">
        <v>458.0</v>
      </c>
      <c r="F645" s="53"/>
      <c r="G645" s="7"/>
      <c r="H645" s="16">
        <v>1.0</v>
      </c>
      <c r="I645" s="81">
        <v>1.0</v>
      </c>
      <c r="J645" s="39" t="s">
        <v>789</v>
      </c>
      <c r="K645" s="148"/>
      <c r="L645" s="148"/>
      <c r="M645" s="39" t="str">
        <f t="shared" si="1"/>
        <v>[https://www.semanticscholar.org/paper/Canonical-regular-expressions-and-minimal-state-for-Brzozowski/94def4233e1e8f15bab72e82708a03fd37233b14 Brzozowski's algorithm (1963)]</v>
      </c>
      <c r="N645" s="39" t="s">
        <v>4429</v>
      </c>
      <c r="O645" s="81">
        <v>1963.0</v>
      </c>
      <c r="P645" s="28" t="s">
        <v>4430</v>
      </c>
      <c r="Q645" s="82"/>
      <c r="R645" s="82"/>
      <c r="S645" s="82"/>
      <c r="T645" s="16">
        <v>0.0</v>
      </c>
      <c r="U645" s="16">
        <v>0.0</v>
      </c>
      <c r="V645" s="89">
        <f>IFERROR(__xludf.DUMMYFUNCTION("INDEX(SPLIT(SUBSTITUTE(W645,CHAR(10), """"),"",:""), MATCH(Z645, SPLIT(SUBSTITUTE(W645,CHAR(10), """"),"",:""), 0) + 1)"),8.0)</f>
        <v>8</v>
      </c>
      <c r="W645" s="85" t="s">
        <v>2001</v>
      </c>
      <c r="X645" s="39" t="s">
        <v>789</v>
      </c>
      <c r="Y645" s="53" t="s">
        <v>4418</v>
      </c>
      <c r="Z645" s="53" t="str">
        <f t="array" ref="Z645">INDEX(Problems!J:J, MATCH(1, (Problems!B:B=B645)*1, 0))</f>
        <v>n</v>
      </c>
      <c r="AA645" s="53"/>
      <c r="AB645" s="53"/>
      <c r="AC645" s="53" t="s">
        <v>1813</v>
      </c>
      <c r="AD645" s="53" t="s">
        <v>1814</v>
      </c>
      <c r="AE645" s="85">
        <f>IFERROR(__xludf.DUMMYFUNCTION("INDEX(SPLIT(SUBSTITUTE(AF645,CHAR(10), """"),"",:""), MATCH(Z645, SPLIT(SUBSTITUTE(AF645,CHAR(10), """"),"",:""), 0) + 1)"),8.0)</f>
        <v>8</v>
      </c>
      <c r="AF645" s="85" t="s">
        <v>2001</v>
      </c>
      <c r="AG645" s="53" t="s">
        <v>3221</v>
      </c>
      <c r="AH645" s="91" t="s">
        <v>4431</v>
      </c>
      <c r="AI645" s="84">
        <v>0.0</v>
      </c>
      <c r="AJ645" s="84">
        <v>0.0</v>
      </c>
      <c r="AK645" s="87"/>
      <c r="AL645" s="81">
        <v>0.0</v>
      </c>
      <c r="AM645" s="87"/>
      <c r="AN645" s="81">
        <v>0.0</v>
      </c>
      <c r="AO645" s="90"/>
      <c r="AP645" s="81">
        <v>0.0</v>
      </c>
      <c r="AQ645" s="81">
        <v>0.0</v>
      </c>
      <c r="AR645" s="39"/>
      <c r="AS645" s="81">
        <v>0.0</v>
      </c>
      <c r="AT645" s="81">
        <v>0.0</v>
      </c>
      <c r="AU645" s="39"/>
      <c r="AV645" s="82"/>
      <c r="AW645" s="82"/>
      <c r="AX645" s="82"/>
      <c r="AY645" s="82"/>
      <c r="AZ645" s="7"/>
      <c r="BA645" s="7"/>
      <c r="BB645" s="7"/>
      <c r="BC645" s="7"/>
      <c r="BD645" s="7"/>
      <c r="BE645" s="7"/>
      <c r="BF645" s="7" t="s">
        <v>1781</v>
      </c>
      <c r="BG645" s="82"/>
      <c r="BH645" s="82"/>
      <c r="BI645" s="82"/>
      <c r="BJ645" s="82"/>
      <c r="BK645" s="82"/>
      <c r="BL645" s="82"/>
      <c r="BM645" s="82"/>
      <c r="BN645" s="7"/>
      <c r="BO645" s="7">
        <v>1.0</v>
      </c>
      <c r="BP645" s="82"/>
      <c r="BQ645" s="82"/>
      <c r="BR645" s="7" t="s">
        <v>23</v>
      </c>
    </row>
    <row r="646">
      <c r="A646" s="16">
        <v>57.0</v>
      </c>
      <c r="B646" s="16" t="s">
        <v>685</v>
      </c>
      <c r="C646" s="53">
        <v>2.0</v>
      </c>
      <c r="D646" s="53" t="s">
        <v>690</v>
      </c>
      <c r="E646" s="7">
        <v>459.0</v>
      </c>
      <c r="F646" s="53"/>
      <c r="G646" s="7"/>
      <c r="H646" s="16">
        <v>1.0</v>
      </c>
      <c r="I646" s="81">
        <v>1.0</v>
      </c>
      <c r="J646" s="16" t="s">
        <v>35</v>
      </c>
      <c r="K646" s="148"/>
      <c r="L646" s="148"/>
      <c r="M646" s="39" t="str">
        <f t="shared" si="1"/>
        <v>[https://www.sciencedirect.com/science/article/pii/0304397592901423 Revuz's algorithm (1992)]</v>
      </c>
      <c r="N646" s="16" t="s">
        <v>4432</v>
      </c>
      <c r="O646" s="81">
        <v>1992.0</v>
      </c>
      <c r="P646" s="17" t="s">
        <v>4433</v>
      </c>
      <c r="Q646" s="82"/>
      <c r="R646" s="82"/>
      <c r="S646" s="82"/>
      <c r="T646" s="16">
        <v>1.0</v>
      </c>
      <c r="U646" s="14" t="s">
        <v>4434</v>
      </c>
      <c r="V646" s="89">
        <f>IFERROR(__xludf.DUMMYFUNCTION("INDEX(SPLIT(SUBSTITUTE(W646,CHAR(10), """"),"",:""), MATCH(Z646, SPLIT(SUBSTITUTE(W646,CHAR(10), """"),"",:""), 0) + 1)"),3.0)</f>
        <v>3</v>
      </c>
      <c r="W646" s="85" t="s">
        <v>1763</v>
      </c>
      <c r="X646" s="16" t="s">
        <v>35</v>
      </c>
      <c r="Y646" s="53" t="s">
        <v>688</v>
      </c>
      <c r="Z646" s="53" t="str">
        <f t="array" ref="Z646">INDEX(Problems!J:J, MATCH(1, (Problems!B:B=B646)*1, 0))</f>
        <v>n</v>
      </c>
      <c r="AA646" s="53"/>
      <c r="AB646" s="53"/>
      <c r="AC646" s="53" t="s">
        <v>1813</v>
      </c>
      <c r="AD646" s="53" t="s">
        <v>1814</v>
      </c>
      <c r="AE646" s="85">
        <f>IFERROR(__xludf.DUMMYFUNCTION("INDEX(SPLIT(SUBSTITUTE(AF646,CHAR(10), """"),"",:""), MATCH(Z646, SPLIT(SUBSTITUTE(AF646,CHAR(10), """"),"",:""), 0) + 1)"),3.0)</f>
        <v>3</v>
      </c>
      <c r="AF646" s="85" t="s">
        <v>1763</v>
      </c>
      <c r="AG646" s="53" t="s">
        <v>584</v>
      </c>
      <c r="AH646" s="91" t="s">
        <v>687</v>
      </c>
      <c r="AI646" s="84">
        <v>0.0</v>
      </c>
      <c r="AJ646" s="84">
        <v>0.0</v>
      </c>
      <c r="AK646" s="87"/>
      <c r="AL646" s="81">
        <v>0.0</v>
      </c>
      <c r="AM646" s="87"/>
      <c r="AN646" s="81">
        <v>0.0</v>
      </c>
      <c r="AO646" s="90"/>
      <c r="AP646" s="81">
        <v>0.0</v>
      </c>
      <c r="AQ646" s="81">
        <v>0.0</v>
      </c>
      <c r="AR646" s="39"/>
      <c r="AS646" s="81">
        <v>0.0</v>
      </c>
      <c r="AT646" s="81">
        <v>0.0</v>
      </c>
      <c r="AU646" s="39"/>
      <c r="AV646" s="82"/>
      <c r="AW646" s="82"/>
      <c r="AX646" s="82"/>
      <c r="AY646" s="82"/>
      <c r="AZ646" s="7"/>
      <c r="BA646" s="7"/>
      <c r="BB646" s="7"/>
      <c r="BC646" s="7"/>
      <c r="BD646" s="7"/>
      <c r="BE646" s="7"/>
      <c r="BF646" s="7">
        <v>1000.0</v>
      </c>
      <c r="BG646" s="82">
        <f>BF644/BF646</f>
        <v>1000000</v>
      </c>
      <c r="BH646" s="82">
        <f>POW(BG646,1/($O646-$O$644)) - 1</f>
        <v>0.4677992676</v>
      </c>
      <c r="BI646" s="7">
        <v>1000000.0</v>
      </c>
      <c r="BJ646" s="82">
        <f>BI644/BI646</f>
        <v>100000000</v>
      </c>
      <c r="BK646" s="82">
        <f>POW(BJ646,1/($O646-$O$644)) - 1</f>
        <v>0.6681005372</v>
      </c>
      <c r="BL646" s="7">
        <v>1.0E9</v>
      </c>
      <c r="BM646" s="82">
        <f>BL644/BL646</f>
        <v>100000000000</v>
      </c>
      <c r="BN646" s="82">
        <f>POW(BM646,1/($O646-$O$644)) - 1</f>
        <v>1.020949938</v>
      </c>
      <c r="BO646" s="7">
        <v>1.0</v>
      </c>
      <c r="BP646" s="82"/>
      <c r="BQ646" s="82"/>
      <c r="BR646" s="7" t="s">
        <v>23</v>
      </c>
    </row>
    <row r="647">
      <c r="A647" s="16">
        <v>57.0</v>
      </c>
      <c r="B647" s="16" t="s">
        <v>685</v>
      </c>
      <c r="C647" s="53">
        <v>2.0</v>
      </c>
      <c r="D647" s="53" t="s">
        <v>692</v>
      </c>
      <c r="E647" s="7">
        <v>460.0</v>
      </c>
      <c r="F647" s="53"/>
      <c r="G647" s="7"/>
      <c r="H647" s="16">
        <v>1.0</v>
      </c>
      <c r="I647" s="81">
        <v>1.0</v>
      </c>
      <c r="J647" s="16" t="s">
        <v>35</v>
      </c>
      <c r="K647" s="148"/>
      <c r="L647" s="148"/>
      <c r="M647" s="39" t="str">
        <f t="shared" si="1"/>
        <v>[https://www.labri.fr/perso/zeitoun/research/pdf/Almeida-Zeitoun-IPL2008.pdf Almeida &amp; Zeitoun (2008)]</v>
      </c>
      <c r="N647" s="16" t="s">
        <v>4435</v>
      </c>
      <c r="O647" s="81">
        <v>2008.0</v>
      </c>
      <c r="P647" s="28" t="s">
        <v>687</v>
      </c>
      <c r="Q647" s="82"/>
      <c r="R647" s="82"/>
      <c r="S647" s="82"/>
      <c r="T647" s="16">
        <v>0.0</v>
      </c>
      <c r="U647" s="16">
        <v>0.0</v>
      </c>
      <c r="V647" s="89">
        <f>IFERROR(__xludf.DUMMYFUNCTION("INDEX(SPLIT(SUBSTITUTE(W647,CHAR(10), """"),"",:""), MATCH(Z647, SPLIT(SUBSTITUTE(W647,CHAR(10), """"),"",:""), 0) + 1)"),3.0)</f>
        <v>3</v>
      </c>
      <c r="W647" s="85" t="s">
        <v>1763</v>
      </c>
      <c r="X647" s="16" t="s">
        <v>35</v>
      </c>
      <c r="Y647" s="53" t="s">
        <v>688</v>
      </c>
      <c r="Z647" s="53" t="str">
        <f t="array" ref="Z647">INDEX(Problems!J:J, MATCH(1, (Problems!B:B=B647)*1, 0))</f>
        <v>n</v>
      </c>
      <c r="AA647" s="53"/>
      <c r="AB647" s="53"/>
      <c r="AC647" s="53" t="s">
        <v>1813</v>
      </c>
      <c r="AD647" s="53" t="s">
        <v>1814</v>
      </c>
      <c r="AE647" s="85">
        <f>IFERROR(__xludf.DUMMYFUNCTION("INDEX(SPLIT(SUBSTITUTE(AF647,CHAR(10), """"),"",:""), MATCH(Z647, SPLIT(SUBSTITUTE(AF647,CHAR(10), """"),"",:""), 0) + 1)"),3.0)</f>
        <v>3</v>
      </c>
      <c r="AF647" s="85" t="s">
        <v>1763</v>
      </c>
      <c r="AG647" s="53" t="s">
        <v>584</v>
      </c>
      <c r="AH647" s="91" t="s">
        <v>687</v>
      </c>
      <c r="AI647" s="84">
        <v>0.0</v>
      </c>
      <c r="AJ647" s="84">
        <v>1.0</v>
      </c>
      <c r="AK647" s="87"/>
      <c r="AL647" s="81">
        <v>0.0</v>
      </c>
      <c r="AM647" s="87"/>
      <c r="AN647" s="81">
        <v>0.0</v>
      </c>
      <c r="AO647" s="90"/>
      <c r="AP647" s="81">
        <v>0.0</v>
      </c>
      <c r="AQ647" s="81">
        <v>0.0</v>
      </c>
      <c r="AR647" s="39"/>
      <c r="AS647" s="16">
        <v>0.0</v>
      </c>
      <c r="AT647" s="16">
        <v>0.0</v>
      </c>
      <c r="AU647" s="39"/>
      <c r="AV647" s="82"/>
      <c r="AW647" s="82"/>
      <c r="AX647" s="82"/>
      <c r="AY647" s="82"/>
      <c r="AZ647" s="7"/>
      <c r="BA647" s="7"/>
      <c r="BB647" s="7"/>
      <c r="BC647" s="7"/>
      <c r="BD647" s="7"/>
      <c r="BE647" s="7"/>
      <c r="BF647" s="7">
        <v>1000.0</v>
      </c>
      <c r="BG647" s="82"/>
      <c r="BH647" s="82"/>
      <c r="BI647" s="82"/>
      <c r="BJ647" s="82"/>
      <c r="BK647" s="82"/>
      <c r="BL647" s="82"/>
      <c r="BM647" s="82"/>
      <c r="BN647" s="7"/>
      <c r="BO647" s="7">
        <v>1.0</v>
      </c>
      <c r="BP647" s="82"/>
      <c r="BQ647" s="82"/>
      <c r="BR647" s="7" t="s">
        <v>23</v>
      </c>
    </row>
    <row r="648">
      <c r="A648" s="16">
        <v>58.0</v>
      </c>
      <c r="B648" s="16" t="s">
        <v>694</v>
      </c>
      <c r="C648" s="53">
        <v>2.0</v>
      </c>
      <c r="D648" s="53" t="s">
        <v>699</v>
      </c>
      <c r="E648" s="7">
        <v>461.0</v>
      </c>
      <c r="F648" s="53"/>
      <c r="G648" s="7"/>
      <c r="H648" s="16">
        <v>1.0</v>
      </c>
      <c r="I648" s="81">
        <v>1.0</v>
      </c>
      <c r="J648" s="21" t="s">
        <v>1095</v>
      </c>
      <c r="K648" s="53" t="s">
        <v>4330</v>
      </c>
      <c r="L648" s="53" t="s">
        <v>4436</v>
      </c>
      <c r="M648" s="39" t="str">
        <f t="shared" si="1"/>
        <v>[https://www.semanticscholar.org/paper/Fast-Algorithms-for-Finding-Nearest-Common-Harel-Tarjan/8867d059dda279b1aed4a0301e4e46f9daf65174 Tarjan's off-line lowest common ancestors algorithm (1984)]</v>
      </c>
      <c r="N648" s="39" t="s">
        <v>4437</v>
      </c>
      <c r="O648" s="81">
        <v>1984.0</v>
      </c>
      <c r="P648" s="17" t="s">
        <v>697</v>
      </c>
      <c r="Q648" s="7">
        <v>2.0</v>
      </c>
      <c r="R648" s="7">
        <v>1.0</v>
      </c>
      <c r="S648" s="82"/>
      <c r="T648" s="16">
        <v>1.0</v>
      </c>
      <c r="U648" s="16">
        <v>0.0</v>
      </c>
      <c r="V648" s="89">
        <f>IFERROR(__xludf.DUMMYFUNCTION("INDEX(SPLIT(SUBSTITUTE(W648,CHAR(10), """"),"",:""), MATCH(Z648, SPLIT(SUBSTITUTE(W648,CHAR(10), """"),"",:""), 0) + 1)"),3.0)</f>
        <v>3</v>
      </c>
      <c r="W648" s="85" t="s">
        <v>2888</v>
      </c>
      <c r="X648" s="21" t="s">
        <v>1095</v>
      </c>
      <c r="Y648" s="53" t="s">
        <v>4438</v>
      </c>
      <c r="Z648" s="53" t="str">
        <f t="array" ref="Z648">INDEX(Problems!J:J, MATCH(1, (Problems!B:B=B648)*1, 0))</f>
        <v>n</v>
      </c>
      <c r="AA648" s="53"/>
      <c r="AB648" s="53"/>
      <c r="AC648" s="53" t="s">
        <v>1813</v>
      </c>
      <c r="AD648" s="53" t="s">
        <v>1814</v>
      </c>
      <c r="AE648" s="85">
        <f>IFERROR(__xludf.DUMMYFUNCTION("INDEX(SPLIT(SUBSTITUTE(AF648,CHAR(10), """"),"",:""), MATCH(Z648, SPLIT(SUBSTITUTE(AF648,CHAR(10), """"),"",:""), 0) + 1)"),3.0)</f>
        <v>3</v>
      </c>
      <c r="AF648" s="85" t="s">
        <v>1763</v>
      </c>
      <c r="AG648" s="53" t="s">
        <v>35</v>
      </c>
      <c r="AH648" s="91" t="s">
        <v>697</v>
      </c>
      <c r="AI648" s="84">
        <v>0.0</v>
      </c>
      <c r="AJ648" s="84">
        <v>1.0</v>
      </c>
      <c r="AK648" s="87"/>
      <c r="AL648" s="81">
        <v>0.0</v>
      </c>
      <c r="AM648" s="87"/>
      <c r="AN648" s="81">
        <v>0.0</v>
      </c>
      <c r="AO648" s="90"/>
      <c r="AP648" s="81">
        <v>0.0</v>
      </c>
      <c r="AQ648" s="81">
        <v>0.0</v>
      </c>
      <c r="AR648" s="39"/>
      <c r="AS648" s="81">
        <v>0.0</v>
      </c>
      <c r="AT648" s="81">
        <v>0.0</v>
      </c>
      <c r="AU648" s="39"/>
      <c r="AV648" s="82"/>
      <c r="AW648" s="82"/>
      <c r="AX648" s="82"/>
      <c r="AY648" s="7"/>
      <c r="AZ648" s="7"/>
      <c r="BA648" s="7"/>
      <c r="BB648" s="7"/>
      <c r="BC648" s="7"/>
      <c r="BD648" s="7"/>
      <c r="BE648" s="7"/>
      <c r="BF648" s="7">
        <v>1000.0</v>
      </c>
      <c r="BG648" s="7">
        <v>1.0</v>
      </c>
      <c r="BH648" s="7"/>
      <c r="BI648" s="7">
        <v>1000000.0</v>
      </c>
      <c r="BJ648" s="7">
        <v>1.0</v>
      </c>
      <c r="BK648" s="7"/>
      <c r="BL648" s="7">
        <v>1.0E9</v>
      </c>
      <c r="BM648" s="7">
        <v>1.0</v>
      </c>
      <c r="BN648" s="7"/>
      <c r="BO648" s="7">
        <v>6.0</v>
      </c>
      <c r="BP648" s="82"/>
      <c r="BQ648" s="7"/>
      <c r="BR648" s="7" t="s">
        <v>23</v>
      </c>
    </row>
    <row r="649">
      <c r="A649" s="16">
        <v>58.0</v>
      </c>
      <c r="B649" s="16" t="s">
        <v>694</v>
      </c>
      <c r="C649" s="53">
        <v>2.0</v>
      </c>
      <c r="D649" s="53" t="s">
        <v>701</v>
      </c>
      <c r="E649" s="7">
        <v>462.0</v>
      </c>
      <c r="F649" s="53"/>
      <c r="G649" s="7"/>
      <c r="H649" s="16">
        <v>1.0</v>
      </c>
      <c r="I649" s="81">
        <v>1.0</v>
      </c>
      <c r="J649" s="21" t="s">
        <v>1095</v>
      </c>
      <c r="K649" s="53" t="s">
        <v>4330</v>
      </c>
      <c r="L649" s="53" t="s">
        <v>4436</v>
      </c>
      <c r="M649" s="39" t="str">
        <f t="shared" si="1"/>
        <v>[https://epubs.siam.org/doi/abs/10.1137/0217079?journalCode=smjcat Schieber; Vishkin (1988)]</v>
      </c>
      <c r="N649" s="39" t="s">
        <v>4439</v>
      </c>
      <c r="O649" s="81">
        <v>1988.0</v>
      </c>
      <c r="P649" s="28" t="s">
        <v>4440</v>
      </c>
      <c r="Q649" s="82"/>
      <c r="R649" s="82"/>
      <c r="S649" s="82"/>
      <c r="T649" s="16">
        <v>0.0</v>
      </c>
      <c r="U649" s="16">
        <v>0.0</v>
      </c>
      <c r="V649" s="89">
        <f>IFERROR(__xludf.DUMMYFUNCTION("INDEX(SPLIT(SUBSTITUTE(W649,CHAR(10), """"),"",:""), MATCH(Z649, SPLIT(SUBSTITUTE(W649,CHAR(10), """"),"",:""), 0) + 1)"),3.0)</f>
        <v>3</v>
      </c>
      <c r="W649" s="85" t="s">
        <v>2888</v>
      </c>
      <c r="X649" s="21" t="s">
        <v>1095</v>
      </c>
      <c r="Y649" s="53" t="s">
        <v>4438</v>
      </c>
      <c r="Z649" s="53" t="str">
        <f t="array" ref="Z649">INDEX(Problems!J:J, MATCH(1, (Problems!B:B=B649)*1, 0))</f>
        <v>n</v>
      </c>
      <c r="AA649" s="53"/>
      <c r="AB649" s="53"/>
      <c r="AC649" s="53" t="s">
        <v>1813</v>
      </c>
      <c r="AD649" s="53" t="s">
        <v>1814</v>
      </c>
      <c r="AE649" s="85">
        <f>IFERROR(__xludf.DUMMYFUNCTION("INDEX(SPLIT(SUBSTITUTE(AF649,CHAR(10), """"),"",:""), MATCH(Z649, SPLIT(SUBSTITUTE(AF649,CHAR(10), """"),"",:""), 0) + 1)"),3.0)</f>
        <v>3</v>
      </c>
      <c r="AF649" s="85" t="s">
        <v>1763</v>
      </c>
      <c r="AG649" s="53" t="s">
        <v>35</v>
      </c>
      <c r="AH649" s="91" t="s">
        <v>4440</v>
      </c>
      <c r="AI649" s="84">
        <v>0.0</v>
      </c>
      <c r="AJ649" s="84">
        <v>1.0</v>
      </c>
      <c r="AK649" s="87"/>
      <c r="AL649" s="81">
        <v>0.0</v>
      </c>
      <c r="AM649" s="87"/>
      <c r="AN649" s="81">
        <v>0.0</v>
      </c>
      <c r="AO649" s="90"/>
      <c r="AP649" s="81">
        <v>0.0</v>
      </c>
      <c r="AQ649" s="81">
        <v>0.0</v>
      </c>
      <c r="AR649" s="39"/>
      <c r="AS649" s="81">
        <v>0.0</v>
      </c>
      <c r="AT649" s="81">
        <v>0.0</v>
      </c>
      <c r="AU649" s="39"/>
      <c r="AV649" s="82"/>
      <c r="AW649" s="82"/>
      <c r="AX649" s="82"/>
      <c r="AY649" s="7"/>
      <c r="AZ649" s="7"/>
      <c r="BA649" s="7"/>
      <c r="BB649" s="7"/>
      <c r="BC649" s="7"/>
      <c r="BD649" s="7"/>
      <c r="BE649" s="7"/>
      <c r="BF649" s="7">
        <v>1000.0</v>
      </c>
      <c r="BG649" s="82"/>
      <c r="BH649" s="82"/>
      <c r="BI649" s="82"/>
      <c r="BJ649" s="82"/>
      <c r="BK649" s="82"/>
      <c r="BL649" s="82"/>
      <c r="BM649" s="82"/>
      <c r="BN649" s="7"/>
      <c r="BO649" s="7">
        <v>6.0</v>
      </c>
      <c r="BP649" s="82"/>
      <c r="BQ649" s="7"/>
      <c r="BR649" s="7" t="s">
        <v>23</v>
      </c>
    </row>
    <row r="650">
      <c r="A650" s="16">
        <v>58.0</v>
      </c>
      <c r="B650" s="16" t="s">
        <v>694</v>
      </c>
      <c r="C650" s="53">
        <v>1.0</v>
      </c>
      <c r="D650" s="53" t="s">
        <v>701</v>
      </c>
      <c r="E650" s="7">
        <v>463.0</v>
      </c>
      <c r="F650" s="53"/>
      <c r="G650" s="7"/>
      <c r="H650" s="16">
        <v>1.0</v>
      </c>
      <c r="I650" s="81">
        <v>1.0</v>
      </c>
      <c r="J650" s="147" t="s">
        <v>4441</v>
      </c>
      <c r="K650" s="53" t="s">
        <v>4330</v>
      </c>
      <c r="L650" s="53" t="s">
        <v>4436</v>
      </c>
      <c r="M650" s="39" t="str">
        <f t="shared" si="1"/>
        <v>[https://apps.dtic.mil/dtic/tr/fulltext/u2/a227803.pdf Berkman; Vishkin (1993)]</v>
      </c>
      <c r="N650" s="39" t="s">
        <v>4442</v>
      </c>
      <c r="O650" s="81">
        <v>1993.0</v>
      </c>
      <c r="P650" s="28" t="s">
        <v>4443</v>
      </c>
      <c r="Q650" s="82"/>
      <c r="R650" s="82"/>
      <c r="S650" s="82"/>
      <c r="T650" s="16">
        <v>0.0</v>
      </c>
      <c r="U650" s="16">
        <v>0.0</v>
      </c>
      <c r="V650" s="89">
        <f>IFERROR(__xludf.DUMMYFUNCTION("INDEX(SPLIT(SUBSTITUTE(W650,CHAR(10), """"),"",:""), MATCH(Z650, SPLIT(SUBSTITUTE(W650,CHAR(10), """"),"",:""), 0) + 1)"),3.0)</f>
        <v>3</v>
      </c>
      <c r="W650" s="85" t="s">
        <v>2888</v>
      </c>
      <c r="X650" s="147" t="s">
        <v>4441</v>
      </c>
      <c r="Y650" s="53" t="s">
        <v>4438</v>
      </c>
      <c r="Z650" s="53" t="str">
        <f t="array" ref="Z650">INDEX(Problems!J:J, MATCH(1, (Problems!B:B=B650)*1, 0))</f>
        <v>n</v>
      </c>
      <c r="AA650" s="53"/>
      <c r="AB650" s="53"/>
      <c r="AC650" s="53" t="s">
        <v>1813</v>
      </c>
      <c r="AD650" s="53" t="s">
        <v>1814</v>
      </c>
      <c r="AE650" s="85">
        <f>IFERROR(__xludf.DUMMYFUNCTION("INDEX(SPLIT(SUBSTITUTE(AF650,CHAR(10), """"),"",:""), MATCH(Z650, SPLIT(SUBSTITUTE(AF650,CHAR(10), """"),"",:""), 0) + 1)"),3.0)</f>
        <v>3</v>
      </c>
      <c r="AF650" s="85" t="s">
        <v>1763</v>
      </c>
      <c r="AG650" s="53" t="s">
        <v>35</v>
      </c>
      <c r="AH650" s="53" t="s">
        <v>4444</v>
      </c>
      <c r="AI650" s="84">
        <v>1.0</v>
      </c>
      <c r="AJ650" s="84">
        <v>0.0</v>
      </c>
      <c r="AK650" s="87"/>
      <c r="AL650" s="81">
        <v>0.0</v>
      </c>
      <c r="AM650" s="87"/>
      <c r="AN650" s="81">
        <v>0.0</v>
      </c>
      <c r="AO650" s="90"/>
      <c r="AP650" s="81">
        <v>0.0</v>
      </c>
      <c r="AQ650" s="81">
        <v>0.0</v>
      </c>
      <c r="AR650" s="39"/>
      <c r="AS650" s="81">
        <v>0.0</v>
      </c>
      <c r="AT650" s="81">
        <v>0.0</v>
      </c>
      <c r="AU650" s="39"/>
      <c r="AV650" s="82"/>
      <c r="AW650" s="82"/>
      <c r="AX650" s="82"/>
      <c r="AY650" s="7"/>
      <c r="AZ650" s="7"/>
      <c r="BA650" s="7"/>
      <c r="BB650" s="7"/>
      <c r="BC650" s="7"/>
      <c r="BD650" s="7"/>
      <c r="BE650" s="7"/>
      <c r="BF650" s="7">
        <v>1000.0</v>
      </c>
      <c r="BG650" s="82"/>
      <c r="BH650" s="82"/>
      <c r="BI650" s="82"/>
      <c r="BJ650" s="82"/>
      <c r="BK650" s="82"/>
      <c r="BL650" s="82"/>
      <c r="BM650" s="82"/>
      <c r="BN650" s="7"/>
      <c r="BO650" s="7">
        <v>6.0</v>
      </c>
      <c r="BP650" s="82"/>
      <c r="BQ650" s="7"/>
      <c r="BR650" s="7" t="s">
        <v>23</v>
      </c>
    </row>
    <row r="651">
      <c r="A651" s="16">
        <v>58.0</v>
      </c>
      <c r="B651" s="16" t="s">
        <v>694</v>
      </c>
      <c r="C651" s="53">
        <v>2.0</v>
      </c>
      <c r="D651" s="53" t="s">
        <v>701</v>
      </c>
      <c r="E651" s="7">
        <v>464.0</v>
      </c>
      <c r="F651" s="53"/>
      <c r="G651" s="7"/>
      <c r="H651" s="16">
        <v>1.0</v>
      </c>
      <c r="I651" s="81">
        <v>1.0</v>
      </c>
      <c r="J651" s="21" t="s">
        <v>1095</v>
      </c>
      <c r="K651" s="53" t="s">
        <v>4330</v>
      </c>
      <c r="L651" s="53" t="s">
        <v>4436</v>
      </c>
      <c r="M651" s="39" t="str">
        <f t="shared" si="1"/>
        <v>[https://www.ics.uci.edu/~eppstein/261/BenFar-LCA-00.pdf Bender; Colton [LCA &lt;=&gt; RMQ] (2000)]</v>
      </c>
      <c r="N651" s="16" t="s">
        <v>4445</v>
      </c>
      <c r="O651" s="81">
        <v>2000.0</v>
      </c>
      <c r="P651" s="28" t="s">
        <v>4446</v>
      </c>
      <c r="Q651" s="82"/>
      <c r="R651" s="82"/>
      <c r="S651" s="82"/>
      <c r="T651" s="16">
        <v>0.0</v>
      </c>
      <c r="U651" s="16">
        <v>0.0</v>
      </c>
      <c r="V651" s="89">
        <f>IFERROR(__xludf.DUMMYFUNCTION("INDEX(SPLIT(SUBSTITUTE(W651,CHAR(10), """"),"",:""), MATCH(Z651, SPLIT(SUBSTITUTE(W651,CHAR(10), """"),"",:""), 0) + 1)"),3.0)</f>
        <v>3</v>
      </c>
      <c r="W651" s="85" t="s">
        <v>2888</v>
      </c>
      <c r="X651" s="21" t="s">
        <v>1095</v>
      </c>
      <c r="Y651" s="53" t="s">
        <v>4438</v>
      </c>
      <c r="Z651" s="53" t="str">
        <f t="array" ref="Z651">INDEX(Problems!J:J, MATCH(1, (Problems!B:B=B651)*1, 0))</f>
        <v>n</v>
      </c>
      <c r="AA651" s="53"/>
      <c r="AB651" s="53"/>
      <c r="AC651" s="53" t="s">
        <v>1813</v>
      </c>
      <c r="AD651" s="53" t="s">
        <v>1814</v>
      </c>
      <c r="AE651" s="85">
        <f>IFERROR(__xludf.DUMMYFUNCTION("INDEX(SPLIT(SUBSTITUTE(AF651,CHAR(10), """"),"",:""), MATCH(Z651, SPLIT(SUBSTITUTE(AF651,CHAR(10), """"),"",:""), 0) + 1)"),3.0)</f>
        <v>3</v>
      </c>
      <c r="AF651" s="85" t="s">
        <v>1763</v>
      </c>
      <c r="AG651" s="53" t="s">
        <v>35</v>
      </c>
      <c r="AH651" s="53" t="s">
        <v>4444</v>
      </c>
      <c r="AI651" s="84">
        <v>1.0</v>
      </c>
      <c r="AJ651" s="84">
        <v>0.0</v>
      </c>
      <c r="AK651" s="87"/>
      <c r="AL651" s="81">
        <v>0.0</v>
      </c>
      <c r="AM651" s="87"/>
      <c r="AN651" s="81">
        <v>0.0</v>
      </c>
      <c r="AO651" s="90"/>
      <c r="AP651" s="81">
        <v>0.0</v>
      </c>
      <c r="AQ651" s="81">
        <v>0.0</v>
      </c>
      <c r="AR651" s="39"/>
      <c r="AS651" s="81">
        <v>0.0</v>
      </c>
      <c r="AT651" s="81">
        <v>0.0</v>
      </c>
      <c r="AU651" s="39"/>
      <c r="AV651" s="82"/>
      <c r="AW651" s="82"/>
      <c r="AX651" s="82"/>
      <c r="AY651" s="7"/>
      <c r="AZ651" s="7"/>
      <c r="BA651" s="7"/>
      <c r="BB651" s="7"/>
      <c r="BC651" s="7"/>
      <c r="BD651" s="7"/>
      <c r="BE651" s="7"/>
      <c r="BF651" s="7">
        <v>1000.0</v>
      </c>
      <c r="BG651" s="82"/>
      <c r="BH651" s="82"/>
      <c r="BI651" s="82"/>
      <c r="BJ651" s="82"/>
      <c r="BK651" s="82"/>
      <c r="BL651" s="82"/>
      <c r="BM651" s="82"/>
      <c r="BN651" s="7"/>
      <c r="BO651" s="7">
        <v>6.0</v>
      </c>
      <c r="BP651" s="82"/>
      <c r="BQ651" s="7"/>
      <c r="BR651" s="7" t="s">
        <v>23</v>
      </c>
    </row>
    <row r="652">
      <c r="A652" s="16">
        <v>58.0</v>
      </c>
      <c r="B652" s="16" t="s">
        <v>694</v>
      </c>
      <c r="C652" s="53">
        <v>2.0</v>
      </c>
      <c r="D652" s="53" t="s">
        <v>701</v>
      </c>
      <c r="E652" s="7">
        <v>465.0</v>
      </c>
      <c r="F652" s="53"/>
      <c r="G652" s="7"/>
      <c r="H652" s="16">
        <v>1.0</v>
      </c>
      <c r="I652" s="81">
        <v>1.0</v>
      </c>
      <c r="J652" s="21" t="s">
        <v>1095</v>
      </c>
      <c r="K652" s="53" t="s">
        <v>4330</v>
      </c>
      <c r="L652" s="53" t="s">
        <v>4436</v>
      </c>
      <c r="M652" s="39" t="str">
        <f t="shared" si="1"/>
        <v>[https://link.springer.com/article/10.1007/s00224-004-1155-5 Stephen Alstrup, Cyril Gavoille, Haim Kaplan &amp; Theis Rauhe  (2004)]</v>
      </c>
      <c r="N652" s="39" t="s">
        <v>4447</v>
      </c>
      <c r="O652" s="81">
        <v>2004.0</v>
      </c>
      <c r="P652" s="28" t="s">
        <v>4448</v>
      </c>
      <c r="Q652" s="82"/>
      <c r="R652" s="82"/>
      <c r="S652" s="82"/>
      <c r="T652" s="16">
        <v>0.0</v>
      </c>
      <c r="U652" s="16">
        <v>0.0</v>
      </c>
      <c r="V652" s="89">
        <f>IFERROR(__xludf.DUMMYFUNCTION("INDEX(SPLIT(SUBSTITUTE(W652,CHAR(10), """"),"",:""), MATCH(Z652, SPLIT(SUBSTITUTE(W652,CHAR(10), """"),"",:""), 0) + 1)"),3.0)</f>
        <v>3</v>
      </c>
      <c r="W652" s="85" t="s">
        <v>2888</v>
      </c>
      <c r="X652" s="21" t="s">
        <v>1095</v>
      </c>
      <c r="Y652" s="53" t="s">
        <v>4438</v>
      </c>
      <c r="Z652" s="53" t="str">
        <f t="array" ref="Z652">INDEX(Problems!J:J, MATCH(1, (Problems!B:B=B652)*1, 0))</f>
        <v>n</v>
      </c>
      <c r="AA652" s="53"/>
      <c r="AB652" s="53"/>
      <c r="AC652" s="53" t="s">
        <v>1813</v>
      </c>
      <c r="AD652" s="53" t="s">
        <v>1814</v>
      </c>
      <c r="AE652" s="85">
        <f>IFERROR(__xludf.DUMMYFUNCTION("INDEX(SPLIT(SUBSTITUTE(AF652,CHAR(10), """"),"",:""), MATCH(Z652, SPLIT(SUBSTITUTE(AF652,CHAR(10), """"),"",:""), 0) + 1)"),3.0)</f>
        <v>3</v>
      </c>
      <c r="AF652" s="85" t="s">
        <v>1763</v>
      </c>
      <c r="AG652" s="53" t="s">
        <v>35</v>
      </c>
      <c r="AH652" s="53" t="s">
        <v>4449</v>
      </c>
      <c r="AI652" s="84">
        <v>0.0</v>
      </c>
      <c r="AJ652" s="84">
        <v>1.0</v>
      </c>
      <c r="AK652" s="87"/>
      <c r="AL652" s="81">
        <v>0.0</v>
      </c>
      <c r="AM652" s="87"/>
      <c r="AN652" s="81">
        <v>0.0</v>
      </c>
      <c r="AO652" s="90"/>
      <c r="AP652" s="81">
        <v>0.0</v>
      </c>
      <c r="AQ652" s="81">
        <v>0.0</v>
      </c>
      <c r="AR652" s="39"/>
      <c r="AS652" s="16">
        <v>0.0</v>
      </c>
      <c r="AT652" s="16">
        <v>0.0</v>
      </c>
      <c r="AU652" s="39"/>
      <c r="AV652" s="82"/>
      <c r="AW652" s="82"/>
      <c r="AX652" s="82"/>
      <c r="AY652" s="7"/>
      <c r="AZ652" s="7"/>
      <c r="BA652" s="7"/>
      <c r="BB652" s="7"/>
      <c r="BC652" s="7"/>
      <c r="BD652" s="7"/>
      <c r="BE652" s="7"/>
      <c r="BF652" s="7">
        <v>1000.0</v>
      </c>
      <c r="BG652" s="82"/>
      <c r="BH652" s="82"/>
      <c r="BI652" s="82"/>
      <c r="BJ652" s="82"/>
      <c r="BK652" s="82"/>
      <c r="BL652" s="82"/>
      <c r="BM652" s="82"/>
      <c r="BN652" s="7"/>
      <c r="BO652" s="7">
        <v>6.0</v>
      </c>
      <c r="BP652" s="82"/>
      <c r="BQ652" s="7"/>
      <c r="BR652" s="7" t="s">
        <v>23</v>
      </c>
    </row>
    <row r="653">
      <c r="A653" s="16">
        <v>59.0</v>
      </c>
      <c r="B653" s="16" t="s">
        <v>709</v>
      </c>
      <c r="C653" s="53">
        <v>2.0</v>
      </c>
      <c r="D653" s="53" t="s">
        <v>710</v>
      </c>
      <c r="E653" s="7">
        <v>466.0</v>
      </c>
      <c r="F653" s="53" t="s">
        <v>4450</v>
      </c>
      <c r="G653" s="7"/>
      <c r="H653" s="16">
        <v>1.0</v>
      </c>
      <c r="I653" s="16">
        <v>1.0</v>
      </c>
      <c r="J653" s="48" t="s">
        <v>4451</v>
      </c>
      <c r="K653" s="148"/>
      <c r="L653" s="148"/>
      <c r="M653" s="39" t="str">
        <f t="shared" si="1"/>
        <v>[https://doi.org/10.1016/j.knosys.2018.10.002  X Chen (2019)]</v>
      </c>
      <c r="N653" s="16" t="s">
        <v>4452</v>
      </c>
      <c r="O653" s="81">
        <v>2019.0</v>
      </c>
      <c r="P653" s="25" t="s">
        <v>4453</v>
      </c>
      <c r="Q653" s="82"/>
      <c r="R653" s="82"/>
      <c r="S653" s="82"/>
      <c r="T653" s="16">
        <v>0.0</v>
      </c>
      <c r="U653" s="16">
        <v>0.0</v>
      </c>
      <c r="V653" s="89">
        <f>IFERROR(__xludf.DUMMYFUNCTION("INDEX(SPLIT(SUBSTITUTE(W653,CHAR(10), """"),"",:""), MATCH(Z653, SPLIT(SUBSTITUTE(W653,CHAR(10), """"),"",:""), 0) + 1)"),8.0)</f>
        <v>8</v>
      </c>
      <c r="W653" s="85" t="s">
        <v>4454</v>
      </c>
      <c r="X653" s="48" t="s">
        <v>4451</v>
      </c>
      <c r="Y653" s="53" t="s">
        <v>4455</v>
      </c>
      <c r="Z653" s="53" t="str">
        <f t="array" ref="Z653">INDEX(Problems!J:J, MATCH(1, (Problems!B:B=B653)*1, 0))</f>
        <v>V</v>
      </c>
      <c r="AA653" s="53"/>
      <c r="AB653" s="53"/>
      <c r="AC653" s="53" t="s">
        <v>1813</v>
      </c>
      <c r="AD653" s="53" t="s">
        <v>1814</v>
      </c>
      <c r="AE653" s="85">
        <f>IFERROR(__xludf.DUMMYFUNCTION("INDEX(SPLIT(SUBSTITUTE(AF653,CHAR(10), """"),"",:""), MATCH(Z653, SPLIT(SUBSTITUTE(AF653,CHAR(10), """"),"",:""), 0) + 1)"),6.0)</f>
        <v>6</v>
      </c>
      <c r="AF653" s="85" t="s">
        <v>4456</v>
      </c>
      <c r="AG653" s="53" t="s">
        <v>4457</v>
      </c>
      <c r="AH653" s="86" t="s">
        <v>4458</v>
      </c>
      <c r="AI653" s="21">
        <v>0.0</v>
      </c>
      <c r="AJ653" s="84">
        <v>1.0</v>
      </c>
      <c r="AK653" s="21"/>
      <c r="AL653" s="16">
        <v>0.0</v>
      </c>
      <c r="AM653" s="21"/>
      <c r="AN653" s="16">
        <v>0.0</v>
      </c>
      <c r="AO653" s="90"/>
      <c r="AP653" s="81">
        <v>0.0</v>
      </c>
      <c r="AQ653" s="81">
        <v>0.0</v>
      </c>
      <c r="AR653" s="39"/>
      <c r="AS653" s="81">
        <v>0.0</v>
      </c>
      <c r="AT653" s="81">
        <v>0.0</v>
      </c>
      <c r="AU653" s="39"/>
      <c r="AV653" s="82"/>
      <c r="AW653" s="82"/>
      <c r="AX653" s="82"/>
      <c r="AY653" s="82"/>
      <c r="AZ653" s="82"/>
      <c r="BA653" s="82"/>
      <c r="BB653" s="82"/>
      <c r="BC653" s="82"/>
      <c r="BD653" s="82"/>
      <c r="BE653" s="82"/>
      <c r="BF653" s="82"/>
      <c r="BG653" s="82"/>
      <c r="BH653" s="82"/>
      <c r="BI653" s="82"/>
      <c r="BJ653" s="82"/>
      <c r="BK653" s="82"/>
      <c r="BL653" s="82"/>
      <c r="BM653" s="82"/>
      <c r="BN653" s="7"/>
      <c r="BO653" s="7">
        <v>2.0</v>
      </c>
      <c r="BP653" s="82"/>
      <c r="BQ653" s="82"/>
      <c r="BR653" s="7" t="s">
        <v>23</v>
      </c>
    </row>
    <row r="654">
      <c r="A654" s="16">
        <v>59.0</v>
      </c>
      <c r="B654" s="16" t="s">
        <v>709</v>
      </c>
      <c r="C654" s="53">
        <v>2.0</v>
      </c>
      <c r="D654" s="53" t="s">
        <v>717</v>
      </c>
      <c r="E654" s="7">
        <v>467.0</v>
      </c>
      <c r="F654" s="53" t="s">
        <v>4459</v>
      </c>
      <c r="G654" s="7"/>
      <c r="H654" s="16">
        <v>1.0</v>
      </c>
      <c r="I654" s="48">
        <v>0.0</v>
      </c>
      <c r="J654" s="48" t="s">
        <v>251</v>
      </c>
      <c r="K654" s="148"/>
      <c r="L654" s="148"/>
      <c r="M654" s="39" t="str">
        <f t="shared" si="1"/>
        <v>[https://asset-pdf.scinapse.io/prod/2886034153/2886034153.pdf Y Bai (2018)]</v>
      </c>
      <c r="N654" s="16" t="s">
        <v>4460</v>
      </c>
      <c r="O654" s="81">
        <v>2018.0</v>
      </c>
      <c r="P654" s="25" t="s">
        <v>4461</v>
      </c>
      <c r="Q654" s="82"/>
      <c r="R654" s="82"/>
      <c r="S654" s="82"/>
      <c r="T654" s="16">
        <v>0.0</v>
      </c>
      <c r="U654" s="16">
        <v>0.0</v>
      </c>
      <c r="V654" s="89">
        <f>IFERROR(__xludf.DUMMYFUNCTION("INDEX(SPLIT(SUBSTITUTE(W654,CHAR(10), """"),"",:""), MATCH(Z654, SPLIT(SUBSTITUTE(W654,CHAR(10), """"),"",:""), 0) + 1)"),5.0)</f>
        <v>5</v>
      </c>
      <c r="W654" s="85" t="s">
        <v>3038</v>
      </c>
      <c r="X654" s="48" t="s">
        <v>251</v>
      </c>
      <c r="Y654" s="53" t="s">
        <v>4462</v>
      </c>
      <c r="Z654" s="53" t="str">
        <f t="array" ref="Z654">INDEX(Problems!J:J, MATCH(1, (Problems!B:B=B654)*1, 0))</f>
        <v>V</v>
      </c>
      <c r="AA654" s="53"/>
      <c r="AB654" s="53"/>
      <c r="AC654" s="53" t="s">
        <v>1813</v>
      </c>
      <c r="AD654" s="53" t="s">
        <v>1814</v>
      </c>
      <c r="AE654" s="85">
        <f>IFERROR(__xludf.DUMMYFUNCTION("INDEX(SPLIT(SUBSTITUTE(AF654,CHAR(10), """"),"",:""), MATCH(Z654, SPLIT(SUBSTITUTE(AF654,CHAR(10), """"),"",:""), 0) + 1)"),5.0)</f>
        <v>5</v>
      </c>
      <c r="AF654" s="85" t="s">
        <v>3038</v>
      </c>
      <c r="AG654" s="53" t="s">
        <v>251</v>
      </c>
      <c r="AH654" s="53" t="s">
        <v>4463</v>
      </c>
      <c r="AI654" s="21">
        <v>1.0</v>
      </c>
      <c r="AJ654" s="84">
        <v>0.0</v>
      </c>
      <c r="AK654" s="21"/>
      <c r="AL654" s="16">
        <v>0.0</v>
      </c>
      <c r="AM654" s="21"/>
      <c r="AN654" s="48">
        <v>1.0</v>
      </c>
      <c r="AO654" s="21" t="s">
        <v>4464</v>
      </c>
      <c r="AP654" s="81">
        <v>0.0</v>
      </c>
      <c r="AQ654" s="81">
        <v>0.0</v>
      </c>
      <c r="AR654" s="39"/>
      <c r="AS654" s="81">
        <v>0.0</v>
      </c>
      <c r="AT654" s="81">
        <v>0.0</v>
      </c>
      <c r="AU654" s="39"/>
      <c r="AV654" s="82"/>
      <c r="AW654" s="82"/>
      <c r="AX654" s="82"/>
      <c r="AY654" s="82"/>
      <c r="AZ654" s="82"/>
      <c r="BA654" s="82"/>
      <c r="BB654" s="82"/>
      <c r="BC654" s="82"/>
      <c r="BD654" s="82"/>
      <c r="BE654" s="82"/>
      <c r="BF654" s="82"/>
      <c r="BG654" s="82"/>
      <c r="BH654" s="82"/>
      <c r="BI654" s="82"/>
      <c r="BJ654" s="82"/>
      <c r="BK654" s="82"/>
      <c r="BL654" s="82"/>
      <c r="BM654" s="82"/>
      <c r="BN654" s="7"/>
      <c r="BO654" s="7">
        <v>2.0</v>
      </c>
      <c r="BP654" s="82"/>
      <c r="BQ654" s="82"/>
      <c r="BR654" s="7" t="s">
        <v>23</v>
      </c>
    </row>
    <row r="655">
      <c r="A655" s="16">
        <v>59.0</v>
      </c>
      <c r="B655" s="16" t="s">
        <v>709</v>
      </c>
      <c r="C655" s="53">
        <v>2.0</v>
      </c>
      <c r="D655" s="53" t="s">
        <v>717</v>
      </c>
      <c r="E655" s="7">
        <v>468.0</v>
      </c>
      <c r="F655" s="53" t="s">
        <v>4465</v>
      </c>
      <c r="G655" s="7"/>
      <c r="H655" s="16">
        <v>1.0</v>
      </c>
      <c r="I655" s="48">
        <v>0.0</v>
      </c>
      <c r="J655" s="39" t="s">
        <v>4466</v>
      </c>
      <c r="K655" s="148"/>
      <c r="L655" s="148"/>
      <c r="M655" s="39" t="str">
        <f t="shared" si="1"/>
        <v>[https://doi.org/10.48550/arXiv.1709.06810 L Chang (2017)]</v>
      </c>
      <c r="N655" s="16" t="s">
        <v>4467</v>
      </c>
      <c r="O655" s="81">
        <v>2017.0</v>
      </c>
      <c r="P655" s="158" t="s">
        <v>4468</v>
      </c>
      <c r="Q655" s="82"/>
      <c r="R655" s="82"/>
      <c r="S655" s="82"/>
      <c r="T655" s="16">
        <v>0.0</v>
      </c>
      <c r="U655" s="16">
        <v>0.0</v>
      </c>
      <c r="V655" s="89">
        <f>IFERROR(__xludf.DUMMYFUNCTION("INDEX(SPLIT(SUBSTITUTE(W655,CHAR(10), """"),"",:""), MATCH(Z655, SPLIT(SUBSTITUTE(W655,CHAR(10), """"),"",:""), 0) + 1)"),7.0)</f>
        <v>7</v>
      </c>
      <c r="W655" s="85" t="s">
        <v>4149</v>
      </c>
      <c r="X655" s="39" t="s">
        <v>4466</v>
      </c>
      <c r="Y655" s="53" t="s">
        <v>4469</v>
      </c>
      <c r="Z655" s="53" t="str">
        <f t="array" ref="Z655">INDEX(Problems!J:J, MATCH(1, (Problems!B:B=B655)*1, 0))</f>
        <v>V</v>
      </c>
      <c r="AA655" s="53"/>
      <c r="AB655" s="53"/>
      <c r="AC655" s="53" t="s">
        <v>1813</v>
      </c>
      <c r="AD655" s="53" t="s">
        <v>1814</v>
      </c>
      <c r="AE655" s="85">
        <f>IFERROR(__xludf.DUMMYFUNCTION("INDEX(SPLIT(SUBSTITUTE(AF655,CHAR(10), """"),"",:""), MATCH(Z655, SPLIT(SUBSTITUTE(AF655,CHAR(10), """"),"",:""), 0) + 1)"),3.0)</f>
        <v>3</v>
      </c>
      <c r="AF655" s="85" t="s">
        <v>2534</v>
      </c>
      <c r="AG655" s="53" t="s">
        <v>268</v>
      </c>
      <c r="AH655" s="86" t="s">
        <v>4470</v>
      </c>
      <c r="AI655" s="21">
        <v>0.0</v>
      </c>
      <c r="AJ655" s="84">
        <v>1.0</v>
      </c>
      <c r="AK655" s="21"/>
      <c r="AL655" s="16">
        <v>0.0</v>
      </c>
      <c r="AM655" s="21"/>
      <c r="AN655" s="16">
        <v>0.0</v>
      </c>
      <c r="AO655" s="90"/>
      <c r="AP655" s="141">
        <v>1.0</v>
      </c>
      <c r="AQ655" s="81">
        <v>0.0</v>
      </c>
      <c r="AR655" s="39"/>
      <c r="AS655" s="81">
        <v>0.0</v>
      </c>
      <c r="AT655" s="81">
        <v>0.0</v>
      </c>
      <c r="AU655" s="39"/>
      <c r="AV655" s="82"/>
      <c r="AW655" s="82"/>
      <c r="AX655" s="82"/>
      <c r="AY655" s="82"/>
      <c r="AZ655" s="82"/>
      <c r="BA655" s="82"/>
      <c r="BB655" s="82"/>
      <c r="BC655" s="82"/>
      <c r="BD655" s="82"/>
      <c r="BE655" s="82"/>
      <c r="BF655" s="82"/>
      <c r="BG655" s="82"/>
      <c r="BH655" s="82"/>
      <c r="BI655" s="82"/>
      <c r="BJ655" s="82"/>
      <c r="BK655" s="82"/>
      <c r="BL655" s="82"/>
      <c r="BM655" s="82"/>
      <c r="BN655" s="7"/>
      <c r="BO655" s="7">
        <v>2.0</v>
      </c>
      <c r="BP655" s="82"/>
      <c r="BQ655" s="82"/>
      <c r="BR655" s="7" t="s">
        <v>23</v>
      </c>
    </row>
    <row r="656">
      <c r="A656" s="16">
        <v>59.0</v>
      </c>
      <c r="B656" s="16" t="s">
        <v>709</v>
      </c>
      <c r="C656" s="53">
        <v>2.0</v>
      </c>
      <c r="D656" s="53" t="s">
        <v>717</v>
      </c>
      <c r="E656" s="7">
        <v>469.0</v>
      </c>
      <c r="F656" s="53" t="s">
        <v>4471</v>
      </c>
      <c r="G656" s="7"/>
      <c r="H656" s="16">
        <v>1.0</v>
      </c>
      <c r="I656" s="48">
        <v>0.0</v>
      </c>
      <c r="J656" s="39" t="s">
        <v>251</v>
      </c>
      <c r="K656" s="148"/>
      <c r="L656" s="148"/>
      <c r="M656" s="39" t="str">
        <f t="shared" si="1"/>
        <v>[https://doi.org/10.1007/978-3-642-38221-5_15 K Riesen (2013)]</v>
      </c>
      <c r="N656" s="16" t="s">
        <v>4472</v>
      </c>
      <c r="O656" s="81">
        <v>2013.0</v>
      </c>
      <c r="P656" s="25" t="s">
        <v>4473</v>
      </c>
      <c r="Q656" s="82"/>
      <c r="R656" s="82"/>
      <c r="S656" s="82"/>
      <c r="T656" s="16">
        <v>0.0</v>
      </c>
      <c r="U656" s="16">
        <v>0.0</v>
      </c>
      <c r="V656" s="89">
        <f>IFERROR(__xludf.DUMMYFUNCTION("INDEX(SPLIT(SUBSTITUTE(W656,CHAR(10), """"),"",:""), MATCH(Z656, SPLIT(SUBSTITUTE(W656,CHAR(10), """"),"",:""), 0) + 1)"),5.0)</f>
        <v>5</v>
      </c>
      <c r="W656" s="85" t="s">
        <v>3038</v>
      </c>
      <c r="X656" s="39" t="s">
        <v>251</v>
      </c>
      <c r="Y656" s="53" t="s">
        <v>4462</v>
      </c>
      <c r="Z656" s="53" t="str">
        <f t="array" ref="Z656">INDEX(Problems!J:J, MATCH(1, (Problems!B:B=B656)*1, 0))</f>
        <v>V</v>
      </c>
      <c r="AA656" s="53"/>
      <c r="AB656" s="53"/>
      <c r="AC656" s="53" t="s">
        <v>1813</v>
      </c>
      <c r="AD656" s="53" t="s">
        <v>1814</v>
      </c>
      <c r="AE656" s="85">
        <f>IFERROR(__xludf.DUMMYFUNCTION("INDEX(SPLIT(SUBSTITUTE(AF656,CHAR(10), """"),"",:""), MATCH(Z656, SPLIT(SUBSTITUTE(AF656,CHAR(10), """"),"",:""), 0) + 1)"),3.0)</f>
        <v>3</v>
      </c>
      <c r="AF656" s="85" t="s">
        <v>2534</v>
      </c>
      <c r="AG656" s="53" t="s">
        <v>268</v>
      </c>
      <c r="AH656" s="53" t="s">
        <v>4474</v>
      </c>
      <c r="AI656" s="21">
        <v>0.0</v>
      </c>
      <c r="AJ656" s="84">
        <v>0.0</v>
      </c>
      <c r="AK656" s="21"/>
      <c r="AL656" s="16">
        <v>0.0</v>
      </c>
      <c r="AM656" s="21"/>
      <c r="AN656" s="16">
        <v>0.0</v>
      </c>
      <c r="AO656" s="90"/>
      <c r="AP656" s="141">
        <v>1.0</v>
      </c>
      <c r="AQ656" s="81">
        <v>0.0</v>
      </c>
      <c r="AR656" s="39"/>
      <c r="AS656" s="81">
        <v>0.0</v>
      </c>
      <c r="AT656" s="81">
        <v>0.0</v>
      </c>
      <c r="AU656" s="39"/>
      <c r="AV656" s="82"/>
      <c r="AW656" s="82"/>
      <c r="AX656" s="82"/>
      <c r="AY656" s="82"/>
      <c r="AZ656" s="82">
        <f>1000*3/7</f>
        <v>428.5714286</v>
      </c>
      <c r="BA656" s="82">
        <f>POW(AZ661/AZ656,1/($O656-$O661)) - 1</f>
        <v>0.4978496225</v>
      </c>
      <c r="BB656" s="82">
        <f>1000000*3/7</f>
        <v>428571.4286</v>
      </c>
      <c r="BC656" s="82">
        <f>POW(BB661/BB656,1/($O656-$O661)) - 1</f>
        <v>1.37393167</v>
      </c>
      <c r="BD656" s="82">
        <f>1000000000*3/7</f>
        <v>428571428.6</v>
      </c>
      <c r="BE656" s="82">
        <f>POW(BD661/BD656,1/($O656-$O661)) - 1</f>
        <v>2.762428143</v>
      </c>
      <c r="BF656" s="82"/>
      <c r="BG656" s="82"/>
      <c r="BH656" s="82"/>
      <c r="BI656" s="82"/>
      <c r="BJ656" s="82"/>
      <c r="BK656" s="82"/>
      <c r="BL656" s="82"/>
      <c r="BM656" s="82"/>
      <c r="BN656" s="7"/>
      <c r="BO656" s="7">
        <v>2.0</v>
      </c>
      <c r="BP656" s="82"/>
      <c r="BQ656" s="82"/>
      <c r="BR656" s="7" t="s">
        <v>23</v>
      </c>
    </row>
    <row r="657">
      <c r="A657" s="16">
        <v>59.0</v>
      </c>
      <c r="B657" s="16" t="s">
        <v>709</v>
      </c>
      <c r="C657" s="53">
        <v>0.001</v>
      </c>
      <c r="D657" s="53"/>
      <c r="E657" s="7">
        <v>470.0</v>
      </c>
      <c r="F657" s="53"/>
      <c r="G657" s="7"/>
      <c r="H657" s="16">
        <v>1.0</v>
      </c>
      <c r="I657" s="16">
        <v>1.0</v>
      </c>
      <c r="J657" s="39" t="s">
        <v>4475</v>
      </c>
      <c r="K657" s="53"/>
      <c r="L657" s="53"/>
      <c r="M657" s="39" t="str">
        <f t="shared" si="1"/>
        <v>[https://doi.org/10.1109/TSMC.1983.6313167 Alberto Sanfeliu and King-Sun Fu (1983)]</v>
      </c>
      <c r="N657" s="16" t="s">
        <v>4476</v>
      </c>
      <c r="O657" s="81">
        <v>1983.0</v>
      </c>
      <c r="P657" s="25" t="s">
        <v>4477</v>
      </c>
      <c r="Q657" s="82"/>
      <c r="R657" s="82"/>
      <c r="S657" s="82"/>
      <c r="T657" s="16">
        <v>1.0</v>
      </c>
      <c r="U657" s="16">
        <v>0.0</v>
      </c>
      <c r="V657" s="89">
        <f>IFERROR(__xludf.DUMMYFUNCTION("INDEX(SPLIT(SUBSTITUTE(W657,CHAR(10), """"),"",:""), MATCH(Z657, SPLIT(SUBSTITUTE(W657,CHAR(10), """"),"",:""), 0) + 1)"),7.0)</f>
        <v>7</v>
      </c>
      <c r="W657" s="85" t="s">
        <v>4149</v>
      </c>
      <c r="X657" s="39" t="s">
        <v>4475</v>
      </c>
      <c r="Y657" s="53"/>
      <c r="Z657" s="53" t="str">
        <f t="array" ref="Z657">INDEX(Problems!J:J, MATCH(1, (Problems!B:B=B657)*1, 0))</f>
        <v>V</v>
      </c>
      <c r="AA657" s="53"/>
      <c r="AB657" s="53"/>
      <c r="AC657" s="53"/>
      <c r="AD657" s="53"/>
      <c r="AE657" s="85" t="str">
        <f>IFERROR(__xludf.DUMMYFUNCTION("INDEX(SPLIT(SUBSTITUTE(AF657,CHAR(10), """"),"",:""), MATCH(Z657, SPLIT(SUBSTITUTE(AF657,CHAR(10), """"),"",:""), 0) + 1)"),"#VALUE!")</f>
        <v>#VALUE!</v>
      </c>
      <c r="AF657" s="85"/>
      <c r="AG657" s="53"/>
      <c r="AH657" s="53"/>
      <c r="AI657" s="21"/>
      <c r="AJ657" s="84" t="s">
        <v>2520</v>
      </c>
      <c r="AK657" s="21"/>
      <c r="AL657" s="16">
        <v>0.0</v>
      </c>
      <c r="AM657" s="21"/>
      <c r="AN657" s="16">
        <v>0.0</v>
      </c>
      <c r="AO657" s="90"/>
      <c r="AP657" s="81">
        <v>0.0</v>
      </c>
      <c r="AQ657" s="81">
        <v>0.0</v>
      </c>
      <c r="AR657" s="39"/>
      <c r="AS657" s="81">
        <v>0.0</v>
      </c>
      <c r="AT657" s="81">
        <v>0.0</v>
      </c>
      <c r="AU657" s="39"/>
      <c r="AV657" s="82"/>
      <c r="AW657" s="82"/>
      <c r="AX657" s="82"/>
      <c r="AY657" s="7" t="s">
        <v>2972</v>
      </c>
      <c r="AZ657" s="82"/>
      <c r="BA657" s="82"/>
      <c r="BB657" s="82"/>
      <c r="BC657" s="82"/>
      <c r="BD657" s="82"/>
      <c r="BE657" s="82"/>
      <c r="BF657" s="82">
        <f>POW(3000/7,3)*POW(4000/7,2)</f>
        <v>25703575890998</v>
      </c>
      <c r="BG657" s="7">
        <v>1.0</v>
      </c>
      <c r="BH657" s="82"/>
      <c r="BI657" s="82">
        <f>POW(3000000/7,3)*POW(4000000/7,2)</f>
        <v>2.57036E+28</v>
      </c>
      <c r="BJ657" s="7">
        <v>1.0</v>
      </c>
      <c r="BK657" s="82"/>
      <c r="BL657" s="82">
        <f>POW(3000000000/7,3)*POW(4000000000/7,2)</f>
        <v>2.57036E+43</v>
      </c>
      <c r="BM657" s="7">
        <v>1.0</v>
      </c>
      <c r="BN657" s="7"/>
      <c r="BO657" s="7">
        <v>2.0</v>
      </c>
      <c r="BP657" s="82"/>
      <c r="BQ657" s="82"/>
      <c r="BR657" s="7" t="s">
        <v>23</v>
      </c>
    </row>
    <row r="658">
      <c r="A658" s="16">
        <v>59.0</v>
      </c>
      <c r="B658" s="16" t="s">
        <v>709</v>
      </c>
      <c r="C658" s="53">
        <v>2.0</v>
      </c>
      <c r="D658" s="53" t="s">
        <v>717</v>
      </c>
      <c r="E658" s="7">
        <v>471.0</v>
      </c>
      <c r="F658" s="53" t="s">
        <v>4478</v>
      </c>
      <c r="G658" s="7"/>
      <c r="H658" s="16">
        <v>1.0</v>
      </c>
      <c r="I658" s="48">
        <v>0.0</v>
      </c>
      <c r="J658" s="39" t="s">
        <v>251</v>
      </c>
      <c r="K658" s="148"/>
      <c r="L658" s="148"/>
      <c r="M658" s="39" t="str">
        <f t="shared" si="1"/>
        <v>[https://link.springer.com/chapter/10.1007/11815921_17 Neuhaus, Riesen, Bunke (2006)]</v>
      </c>
      <c r="N658" s="21" t="s">
        <v>4479</v>
      </c>
      <c r="O658" s="84">
        <v>2006.0</v>
      </c>
      <c r="P658" s="97" t="s">
        <v>4480</v>
      </c>
      <c r="Q658" s="82"/>
      <c r="R658" s="82"/>
      <c r="S658" s="82"/>
      <c r="T658" s="16">
        <v>0.0</v>
      </c>
      <c r="U658" s="16">
        <v>0.0</v>
      </c>
      <c r="V658" s="89">
        <f>IFERROR(__xludf.DUMMYFUNCTION("INDEX(SPLIT(SUBSTITUTE(W658,CHAR(10), """"),"",:""), MATCH(Z658, SPLIT(SUBSTITUTE(W658,CHAR(10), """"),"",:""), 0) + 1)"),5.0)</f>
        <v>5</v>
      </c>
      <c r="W658" s="85" t="s">
        <v>3038</v>
      </c>
      <c r="X658" s="39" t="s">
        <v>251</v>
      </c>
      <c r="Y658" s="53" t="s">
        <v>4481</v>
      </c>
      <c r="Z658" s="53" t="str">
        <f t="array" ref="Z658">INDEX(Problems!J:J, MATCH(1, (Problems!B:B=B658)*1, 0))</f>
        <v>V</v>
      </c>
      <c r="AA658" s="53"/>
      <c r="AB658" s="53"/>
      <c r="AC658" s="53" t="s">
        <v>1813</v>
      </c>
      <c r="AD658" s="53" t="s">
        <v>1814</v>
      </c>
      <c r="AE658" s="85">
        <f>IFERROR(__xludf.DUMMYFUNCTION("INDEX(SPLIT(SUBSTITUTE(AF658,CHAR(10), """"),"",:""), MATCH(Z658, SPLIT(SUBSTITUTE(AF658,CHAR(10), """"),"",:""), 0) + 1)"),5.0)</f>
        <v>5</v>
      </c>
      <c r="AF658" s="85" t="s">
        <v>3038</v>
      </c>
      <c r="AG658" s="53" t="s">
        <v>4482</v>
      </c>
      <c r="AH658" s="53" t="s">
        <v>4483</v>
      </c>
      <c r="AI658" s="21">
        <v>1.0</v>
      </c>
      <c r="AJ658" s="84">
        <v>0.0</v>
      </c>
      <c r="AK658" s="21"/>
      <c r="AL658" s="16">
        <v>0.0</v>
      </c>
      <c r="AM658" s="21"/>
      <c r="AN658" s="16">
        <v>0.0</v>
      </c>
      <c r="AO658" s="90"/>
      <c r="AP658" s="141">
        <v>1.0</v>
      </c>
      <c r="AQ658" s="81">
        <v>0.0</v>
      </c>
      <c r="AR658" s="39"/>
      <c r="AS658" s="81">
        <v>0.0</v>
      </c>
      <c r="AT658" s="81">
        <v>0.0</v>
      </c>
      <c r="AU658" s="39"/>
      <c r="AV658" s="82"/>
      <c r="AW658" s="82"/>
      <c r="AX658" s="82"/>
      <c r="AY658" s="82"/>
      <c r="AZ658" s="82"/>
      <c r="BA658" s="82"/>
      <c r="BB658" s="82"/>
      <c r="BC658" s="82"/>
      <c r="BD658" s="82"/>
      <c r="BE658" s="82"/>
      <c r="BF658" s="82"/>
      <c r="BG658" s="82"/>
      <c r="BH658" s="82"/>
      <c r="BI658" s="82"/>
      <c r="BJ658" s="82"/>
      <c r="BK658" s="82"/>
      <c r="BL658" s="82"/>
      <c r="BM658" s="82"/>
      <c r="BN658" s="7"/>
      <c r="BO658" s="7">
        <v>2.0</v>
      </c>
      <c r="BP658" s="82"/>
      <c r="BQ658" s="82"/>
      <c r="BR658" s="7" t="s">
        <v>23</v>
      </c>
    </row>
    <row r="659">
      <c r="A659" s="16">
        <v>59.0</v>
      </c>
      <c r="B659" s="16" t="s">
        <v>709</v>
      </c>
      <c r="C659" s="53">
        <v>0.001</v>
      </c>
      <c r="D659" s="53"/>
      <c r="E659" s="7">
        <v>472.0</v>
      </c>
      <c r="F659" s="53" t="s">
        <v>4484</v>
      </c>
      <c r="G659" s="7"/>
      <c r="H659" s="16">
        <v>1.0</v>
      </c>
      <c r="I659" s="16">
        <v>1.0</v>
      </c>
      <c r="J659" s="39" t="s">
        <v>4485</v>
      </c>
      <c r="K659" s="148"/>
      <c r="L659" s="148"/>
      <c r="M659" s="39" t="str">
        <f t="shared" si="1"/>
        <v>[https://doi.org/10.1109/3477.604100 Wang Y-K; Fan K-C; Horng J-T (1997)]</v>
      </c>
      <c r="N659" s="16" t="s">
        <v>4486</v>
      </c>
      <c r="O659" s="81">
        <v>1997.0</v>
      </c>
      <c r="P659" s="96" t="s">
        <v>4487</v>
      </c>
      <c r="Q659" s="82"/>
      <c r="R659" s="82"/>
      <c r="S659" s="82"/>
      <c r="T659" s="16">
        <v>1.0</v>
      </c>
      <c r="U659" s="16">
        <v>0.0</v>
      </c>
      <c r="V659" s="89">
        <f>IFERROR(__xludf.DUMMYFUNCTION("INDEX(SPLIT(SUBSTITUTE(W659,CHAR(10), """"),"",:""), MATCH(Z659, SPLIT(SUBSTITUTE(W659,CHAR(10), """"),"",:""), 0) + 1)"),7.0)</f>
        <v>7</v>
      </c>
      <c r="W659" s="85" t="s">
        <v>4488</v>
      </c>
      <c r="X659" s="16" t="s">
        <v>4489</v>
      </c>
      <c r="Y659" s="53"/>
      <c r="Z659" s="53" t="str">
        <f t="array" ref="Z659">INDEX(Problems!J:J, MATCH(1, (Problems!B:B=B659)*1, 0))</f>
        <v>V</v>
      </c>
      <c r="AA659" s="53"/>
      <c r="AB659" s="53"/>
      <c r="AC659" s="53"/>
      <c r="AD659" s="53"/>
      <c r="AE659" s="85" t="str">
        <f>IFERROR(__xludf.DUMMYFUNCTION("INDEX(SPLIT(SUBSTITUTE(AF659,CHAR(10), """"),"",:""), MATCH(Z659, SPLIT(SUBSTITUTE(AF659,CHAR(10), """"),"",:""), 0) + 1)"),"#VALUE!")</f>
        <v>#VALUE!</v>
      </c>
      <c r="AF659" s="85"/>
      <c r="AG659" s="53"/>
      <c r="AH659" s="53"/>
      <c r="AI659" s="21"/>
      <c r="AJ659" s="84" t="s">
        <v>2520</v>
      </c>
      <c r="AK659" s="21"/>
      <c r="AL659" s="16">
        <v>0.0</v>
      </c>
      <c r="AM659" s="21"/>
      <c r="AN659" s="16">
        <v>0.0</v>
      </c>
      <c r="AO659" s="90"/>
      <c r="AP659" s="81">
        <v>0.0</v>
      </c>
      <c r="AQ659" s="81">
        <v>0.0</v>
      </c>
      <c r="AR659" s="39"/>
      <c r="AS659" s="81">
        <v>0.0</v>
      </c>
      <c r="AT659" s="81">
        <v>0.0</v>
      </c>
      <c r="AU659" s="39"/>
      <c r="AV659" s="82"/>
      <c r="AW659" s="82"/>
      <c r="AX659" s="82"/>
      <c r="AY659" s="82"/>
      <c r="AZ659" s="82"/>
      <c r="BA659" s="82"/>
      <c r="BB659" s="82"/>
      <c r="BC659" s="82"/>
      <c r="BD659" s="82"/>
      <c r="BE659" s="82"/>
      <c r="BF659" s="82"/>
      <c r="BG659" s="82"/>
      <c r="BH659" s="82"/>
      <c r="BI659" s="82"/>
      <c r="BJ659" s="82"/>
      <c r="BK659" s="82"/>
      <c r="BL659" s="82"/>
      <c r="BM659" s="82"/>
      <c r="BN659" s="7"/>
      <c r="BO659" s="7">
        <v>2.0</v>
      </c>
      <c r="BP659" s="7" t="s">
        <v>4484</v>
      </c>
      <c r="BQ659" s="82"/>
      <c r="BR659" s="7" t="s">
        <v>23</v>
      </c>
    </row>
    <row r="660">
      <c r="A660" s="16">
        <v>59.0</v>
      </c>
      <c r="B660" s="16" t="s">
        <v>709</v>
      </c>
      <c r="C660" s="53">
        <v>0.001</v>
      </c>
      <c r="D660" s="53"/>
      <c r="E660" s="7">
        <v>473.0</v>
      </c>
      <c r="F660" s="53" t="s">
        <v>4490</v>
      </c>
      <c r="G660" s="7"/>
      <c r="H660" s="16">
        <v>1.0</v>
      </c>
      <c r="I660" s="16">
        <v>1.0</v>
      </c>
      <c r="J660" s="39" t="s">
        <v>251</v>
      </c>
      <c r="K660" s="148"/>
      <c r="L660" s="148"/>
      <c r="M660" s="39" t="str">
        <f t="shared" si="1"/>
        <v>[https://eprints.bbk.ac.uk/id/eprint/443/1/Binder1.pdf Tao D; Tang X; Li X et al (2006)]</v>
      </c>
      <c r="N660" s="16" t="s">
        <v>4491</v>
      </c>
      <c r="O660" s="81">
        <v>2006.0</v>
      </c>
      <c r="P660" s="96" t="s">
        <v>4492</v>
      </c>
      <c r="Q660" s="82"/>
      <c r="R660" s="82"/>
      <c r="S660" s="82"/>
      <c r="T660" s="16">
        <v>1.0</v>
      </c>
      <c r="U660" s="16" t="s">
        <v>2425</v>
      </c>
      <c r="V660" s="89">
        <f>IFERROR(__xludf.DUMMYFUNCTION("INDEX(SPLIT(SUBSTITUTE(W660,CHAR(10), """"),"",:""), MATCH(Z660, SPLIT(SUBSTITUTE(W660,CHAR(10), """"),"",:""), 0) + 1)"),5.0)</f>
        <v>5</v>
      </c>
      <c r="W660" s="85" t="s">
        <v>3038</v>
      </c>
      <c r="X660" s="39" t="s">
        <v>251</v>
      </c>
      <c r="Y660" s="53"/>
      <c r="Z660" s="53" t="str">
        <f t="array" ref="Z660">INDEX(Problems!J:J, MATCH(1, (Problems!B:B=B660)*1, 0))</f>
        <v>V</v>
      </c>
      <c r="AA660" s="53"/>
      <c r="AB660" s="53"/>
      <c r="AC660" s="53"/>
      <c r="AD660" s="53"/>
      <c r="AE660" s="85" t="str">
        <f>IFERROR(__xludf.DUMMYFUNCTION("INDEX(SPLIT(SUBSTITUTE(AF660,CHAR(10), """"),"",:""), MATCH(Z660, SPLIT(SUBSTITUTE(AF660,CHAR(10), """"),"",:""), 0) + 1)"),"#VALUE!")</f>
        <v>#VALUE!</v>
      </c>
      <c r="AF660" s="85"/>
      <c r="AG660" s="53"/>
      <c r="AH660" s="53"/>
      <c r="AI660" s="21"/>
      <c r="AJ660" s="84" t="s">
        <v>2520</v>
      </c>
      <c r="AK660" s="21"/>
      <c r="AL660" s="16">
        <v>0.0</v>
      </c>
      <c r="AM660" s="21"/>
      <c r="AN660" s="16">
        <v>0.0</v>
      </c>
      <c r="AO660" s="90"/>
      <c r="AP660" s="81">
        <v>0.0</v>
      </c>
      <c r="AQ660" s="81">
        <v>0.0</v>
      </c>
      <c r="AR660" s="39"/>
      <c r="AS660" s="81">
        <v>0.0</v>
      </c>
      <c r="AT660" s="81">
        <v>0.0</v>
      </c>
      <c r="AU660" s="39"/>
      <c r="AV660" s="82"/>
      <c r="AW660" s="82"/>
      <c r="AX660" s="82"/>
      <c r="AY660" s="82"/>
      <c r="AZ660" s="82"/>
      <c r="BA660" s="82"/>
      <c r="BB660" s="82"/>
      <c r="BC660" s="82"/>
      <c r="BD660" s="82"/>
      <c r="BE660" s="82"/>
      <c r="BF660" s="82">
        <f>POW(3000/7,2)</f>
        <v>183673.4694</v>
      </c>
      <c r="BG660" s="82">
        <f>BF657/BF660</f>
        <v>139941691</v>
      </c>
      <c r="BH660" s="82">
        <f>POW(BG660,1/($O660-$O657)) - 1</f>
        <v>1.260328775</v>
      </c>
      <c r="BI660" s="82">
        <f>POW(3000000/7,2)</f>
        <v>183673469388</v>
      </c>
      <c r="BJ660" s="82">
        <f>BI657/BI660</f>
        <v>1.39942E+17</v>
      </c>
      <c r="BK660" s="82">
        <f>POW(BJ660,1/($O660-$O657)) - 1</f>
        <v>4.565138301</v>
      </c>
      <c r="BL660" s="82">
        <f>POW(3000000000/7,2)</f>
        <v>1.83673E+17</v>
      </c>
      <c r="BM660" s="82">
        <f>BL657/BL660</f>
        <v>1.39942E+26</v>
      </c>
      <c r="BN660" s="82">
        <f>POW(BM660,1/($O660-$O657)) - 1</f>
        <v>12.70188473</v>
      </c>
      <c r="BO660" s="7">
        <v>2.0</v>
      </c>
      <c r="BP660" s="82"/>
      <c r="BQ660" s="82"/>
      <c r="BR660" s="7" t="s">
        <v>23</v>
      </c>
    </row>
    <row r="661">
      <c r="A661" s="16">
        <v>59.0</v>
      </c>
      <c r="B661" s="16" t="s">
        <v>709</v>
      </c>
      <c r="C661" s="53">
        <v>1.0</v>
      </c>
      <c r="D661" s="53" t="s">
        <v>717</v>
      </c>
      <c r="E661" s="7">
        <v>474.0</v>
      </c>
      <c r="F661" s="53" t="s">
        <v>4493</v>
      </c>
      <c r="G661" s="7"/>
      <c r="H661" s="16">
        <v>1.0</v>
      </c>
      <c r="I661" s="48">
        <v>0.0</v>
      </c>
      <c r="J661" s="39" t="s">
        <v>3423</v>
      </c>
      <c r="K661" s="148"/>
      <c r="L661" s="148"/>
      <c r="M661" s="39" t="str">
        <f t="shared" si="1"/>
        <v>[https://direct.mit.edu/neco/article-pdf/10/7/1873/813998/089976698300017188.pdf?casa_token=nCYv9xO_Cc4AAAAA:EHiG4v8QmQju6u9RE6w4X6EGRtk5O5W6hIGy-_0A3HSit43f__4oSd4wjAtFIGJuopGMZzU Finch (1998)]</v>
      </c>
      <c r="N661" s="16" t="s">
        <v>4494</v>
      </c>
      <c r="O661" s="81">
        <v>1998.0</v>
      </c>
      <c r="P661" s="97" t="s">
        <v>4495</v>
      </c>
      <c r="Q661" s="82"/>
      <c r="R661" s="82"/>
      <c r="S661" s="82"/>
      <c r="T661" s="16">
        <v>1.0</v>
      </c>
      <c r="U661" s="16" t="s">
        <v>2019</v>
      </c>
      <c r="V661" s="89">
        <f>IFERROR(__xludf.DUMMYFUNCTION("INDEX(SPLIT(SUBSTITUTE(W661,CHAR(10), """"),"",:""), MATCH(Z661, SPLIT(SUBSTITUTE(W661,CHAR(10), """"),"",:""), 0) + 1)"),7.0)</f>
        <v>7</v>
      </c>
      <c r="W661" s="85" t="s">
        <v>2030</v>
      </c>
      <c r="X661" s="159" t="s">
        <v>3423</v>
      </c>
      <c r="Y661" s="53" t="s">
        <v>4469</v>
      </c>
      <c r="Z661" s="53" t="str">
        <f t="array" ref="Z661">INDEX(Problems!J:J, MATCH(1, (Problems!B:B=B661)*1, 0))</f>
        <v>V</v>
      </c>
      <c r="AA661" s="53"/>
      <c r="AB661" s="53"/>
      <c r="AC661" s="53" t="s">
        <v>1813</v>
      </c>
      <c r="AD661" s="53" t="s">
        <v>1814</v>
      </c>
      <c r="AE661" s="85">
        <f>IFERROR(__xludf.DUMMYFUNCTION("INDEX(SPLIT(SUBSTITUTE(AF661,CHAR(10), """"),"",:""), MATCH(Z661, SPLIT(SUBSTITUTE(AF661,CHAR(10), """"),"",:""), 0) + 1)"),5.0)</f>
        <v>5</v>
      </c>
      <c r="AF661" s="85" t="s">
        <v>3038</v>
      </c>
      <c r="AG661" s="53" t="s">
        <v>4496</v>
      </c>
      <c r="AH661" s="53" t="s">
        <v>4497</v>
      </c>
      <c r="AI661" s="21">
        <v>1.0</v>
      </c>
      <c r="AJ661" s="84">
        <v>0.0</v>
      </c>
      <c r="AK661" s="21"/>
      <c r="AL661" s="16">
        <v>0.0</v>
      </c>
      <c r="AM661" s="21"/>
      <c r="AN661" s="16">
        <v>0.0</v>
      </c>
      <c r="AO661" s="90"/>
      <c r="AP661" s="141">
        <v>1.0</v>
      </c>
      <c r="AQ661" s="81">
        <v>0.0</v>
      </c>
      <c r="AR661" s="39"/>
      <c r="AS661" s="81">
        <v>0.0</v>
      </c>
      <c r="AT661" s="81">
        <v>0.0</v>
      </c>
      <c r="AU661" s="160" t="s">
        <v>4498</v>
      </c>
      <c r="AV661" s="82"/>
      <c r="AW661" s="82"/>
      <c r="AX661" s="82"/>
      <c r="AY661" s="82"/>
      <c r="AZ661" s="82">
        <f>POW(1000*3/7,2)</f>
        <v>183673.4694</v>
      </c>
      <c r="BA661" s="82"/>
      <c r="BB661" s="82">
        <f>POW(1000000*3/7,2)</f>
        <v>183673469388</v>
      </c>
      <c r="BC661" s="82"/>
      <c r="BD661" s="82">
        <f>POW(1000000000*3/7,2)</f>
        <v>1.83673E+17</v>
      </c>
      <c r="BE661" s="82"/>
      <c r="BF661" s="82"/>
      <c r="BG661" s="82"/>
      <c r="BH661" s="82"/>
      <c r="BI661" s="82"/>
      <c r="BJ661" s="82"/>
      <c r="BK661" s="82"/>
      <c r="BL661" s="82"/>
      <c r="BM661" s="82"/>
      <c r="BN661" s="7"/>
      <c r="BO661" s="7">
        <v>2.0</v>
      </c>
      <c r="BP661" s="82"/>
      <c r="BQ661" s="82"/>
      <c r="BR661" s="7" t="s">
        <v>23</v>
      </c>
    </row>
    <row r="662">
      <c r="A662" s="16">
        <v>60.0</v>
      </c>
      <c r="B662" s="16" t="s">
        <v>719</v>
      </c>
      <c r="C662" s="53">
        <v>1.0</v>
      </c>
      <c r="D662" s="53" t="s">
        <v>720</v>
      </c>
      <c r="E662" s="7">
        <v>475.0</v>
      </c>
      <c r="F662" s="53"/>
      <c r="G662" s="7"/>
      <c r="H662" s="16">
        <v>1.0</v>
      </c>
      <c r="I662" s="81">
        <v>1.0</v>
      </c>
      <c r="J662" s="16" t="s">
        <v>4499</v>
      </c>
      <c r="K662" s="53"/>
      <c r="L662" s="53"/>
      <c r="M662" s="39" t="str">
        <f t="shared" si="1"/>
        <v>[https://dl.acm.org/doi/10.1145/362342.362367 Bron–Kerbosch algorithm (1973)]</v>
      </c>
      <c r="N662" s="39" t="s">
        <v>4500</v>
      </c>
      <c r="O662" s="81">
        <v>1973.0</v>
      </c>
      <c r="P662" s="28" t="s">
        <v>722</v>
      </c>
      <c r="Q662" s="82"/>
      <c r="R662" s="82"/>
      <c r="S662" s="82"/>
      <c r="T662" s="16">
        <v>1.0</v>
      </c>
      <c r="U662" s="16" t="s">
        <v>1937</v>
      </c>
      <c r="V662" s="89">
        <f>IFERROR(__xludf.DUMMYFUNCTION("INDEX(SPLIT(SUBSTITUTE(W662,CHAR(10), """"),"",:""), MATCH(Z662, SPLIT(SUBSTITUTE(W662,CHAR(10), """"),"",:""), 0) + 1)"),8.0)</f>
        <v>8</v>
      </c>
      <c r="W662" s="85" t="s">
        <v>2001</v>
      </c>
      <c r="X662" s="16" t="s">
        <v>4501</v>
      </c>
      <c r="Y662" s="53" t="s">
        <v>2102</v>
      </c>
      <c r="Z662" s="53" t="str">
        <f t="array" ref="Z662">INDEX(Problems!J:J, MATCH(1, (Problems!B:B=B662)*1, 0))</f>
        <v>n</v>
      </c>
      <c r="AA662" s="53"/>
      <c r="AB662" s="53"/>
      <c r="AC662" s="53" t="s">
        <v>1813</v>
      </c>
      <c r="AD662" s="53" t="s">
        <v>1814</v>
      </c>
      <c r="AE662" s="85">
        <f>IFERROR(__xludf.DUMMYFUNCTION("INDEX(SPLIT(SUBSTITUTE(AF662,CHAR(10), """"),"",:""), MATCH(Z662, SPLIT(SUBSTITUTE(AF662,CHAR(10), """"),"",:""), 0) + 1)"),5.0)</f>
        <v>5</v>
      </c>
      <c r="AF662" s="85" t="s">
        <v>1938</v>
      </c>
      <c r="AG662" s="53" t="s">
        <v>2615</v>
      </c>
      <c r="AH662" s="53" t="s">
        <v>4502</v>
      </c>
      <c r="AI662" s="84">
        <v>1.0</v>
      </c>
      <c r="AJ662" s="84">
        <v>0.0</v>
      </c>
      <c r="AK662" s="87"/>
      <c r="AL662" s="81">
        <v>0.0</v>
      </c>
      <c r="AM662" s="87"/>
      <c r="AN662" s="81">
        <v>0.0</v>
      </c>
      <c r="AO662" s="90"/>
      <c r="AP662" s="81">
        <v>0.0</v>
      </c>
      <c r="AQ662" s="81">
        <v>0.0</v>
      </c>
      <c r="AR662" s="39"/>
      <c r="AS662" s="81">
        <v>0.0</v>
      </c>
      <c r="AT662" s="81">
        <v>0.0</v>
      </c>
      <c r="AU662" s="39"/>
      <c r="AV662" s="82"/>
      <c r="AW662" s="82"/>
      <c r="AX662" s="82"/>
      <c r="AY662" s="7"/>
      <c r="AZ662" s="7">
        <f>POW(1000/2,2)</f>
        <v>250000</v>
      </c>
      <c r="BA662" s="7"/>
      <c r="BB662" s="7">
        <f>POW(1000000/2,2)</f>
        <v>250000000000</v>
      </c>
      <c r="BC662" s="7"/>
      <c r="BD662" s="7">
        <f>POW(1000000000/2,2)</f>
        <v>2.5E+17</v>
      </c>
      <c r="BE662" s="7"/>
      <c r="BF662" s="7" t="s">
        <v>1781</v>
      </c>
      <c r="BG662" s="7">
        <v>1.0</v>
      </c>
      <c r="BH662" s="7"/>
      <c r="BI662" s="7" t="s">
        <v>1781</v>
      </c>
      <c r="BJ662" s="7">
        <v>1.0</v>
      </c>
      <c r="BK662" s="7"/>
      <c r="BL662" s="7" t="s">
        <v>1781</v>
      </c>
      <c r="BM662" s="7">
        <v>1.0</v>
      </c>
      <c r="BN662" s="7"/>
      <c r="BO662" s="7">
        <v>1.0</v>
      </c>
      <c r="BP662" s="82"/>
      <c r="BQ662" s="7"/>
      <c r="BR662" s="7" t="s">
        <v>23</v>
      </c>
    </row>
    <row r="663">
      <c r="A663" s="16">
        <v>60.0</v>
      </c>
      <c r="B663" s="16" t="s">
        <v>719</v>
      </c>
      <c r="C663" s="53">
        <v>1.0</v>
      </c>
      <c r="D663" s="53" t="s">
        <v>720</v>
      </c>
      <c r="E663" s="7">
        <v>476.0</v>
      </c>
      <c r="F663" s="53"/>
      <c r="G663" s="7"/>
      <c r="H663" s="16">
        <v>1.0</v>
      </c>
      <c r="I663" s="81">
        <v>1.0</v>
      </c>
      <c r="J663" s="16" t="s">
        <v>4499</v>
      </c>
      <c r="K663" s="53"/>
      <c r="L663" s="53"/>
      <c r="M663" s="39" t="str">
        <f t="shared" si="1"/>
        <v>[http://www.dcs.gla.ac.uk/~pat/jchoco/clique/enumeration/papers/SMJ000001%5B1%5D.pdf Akkoyunlu; E. A.  (1973)]</v>
      </c>
      <c r="N663" s="39" t="s">
        <v>4503</v>
      </c>
      <c r="O663" s="81">
        <v>1973.0</v>
      </c>
      <c r="P663" s="28" t="s">
        <v>4504</v>
      </c>
      <c r="Q663" s="82"/>
      <c r="R663" s="82"/>
      <c r="S663" s="82"/>
      <c r="T663" s="16">
        <v>0.0</v>
      </c>
      <c r="U663" s="16" t="s">
        <v>1937</v>
      </c>
      <c r="V663" s="89">
        <f>IFERROR(__xludf.DUMMYFUNCTION("INDEX(SPLIT(SUBSTITUTE(W663,CHAR(10), """"),"",:""), MATCH(Z663, SPLIT(SUBSTITUTE(W663,CHAR(10), """"),"",:""), 0) + 1)"),8.0)</f>
        <v>8</v>
      </c>
      <c r="W663" s="85" t="s">
        <v>2001</v>
      </c>
      <c r="X663" s="16" t="s">
        <v>4499</v>
      </c>
      <c r="Y663" s="53" t="s">
        <v>2102</v>
      </c>
      <c r="Z663" s="53" t="str">
        <f t="array" ref="Z663">INDEX(Problems!J:J, MATCH(1, (Problems!B:B=B663)*1, 0))</f>
        <v>n</v>
      </c>
      <c r="AA663" s="53"/>
      <c r="AB663" s="53"/>
      <c r="AC663" s="53" t="s">
        <v>1813</v>
      </c>
      <c r="AD663" s="53" t="s">
        <v>1814</v>
      </c>
      <c r="AE663" s="85">
        <f>IFERROR(__xludf.DUMMYFUNCTION("INDEX(SPLIT(SUBSTITUTE(AF663,CHAR(10), """"),"",:""), MATCH(Z663, SPLIT(SUBSTITUTE(AF663,CHAR(10), """"),"",:""), 0) + 1)"),5.0)</f>
        <v>5</v>
      </c>
      <c r="AF663" s="85" t="s">
        <v>1938</v>
      </c>
      <c r="AG663" s="53" t="s">
        <v>2615</v>
      </c>
      <c r="AH663" s="53" t="s">
        <v>4505</v>
      </c>
      <c r="AI663" s="84">
        <v>1.0</v>
      </c>
      <c r="AJ663" s="84">
        <v>0.0</v>
      </c>
      <c r="AK663" s="87"/>
      <c r="AL663" s="81">
        <v>0.0</v>
      </c>
      <c r="AM663" s="87"/>
      <c r="AN663" s="81">
        <v>0.0</v>
      </c>
      <c r="AO663" s="90"/>
      <c r="AP663" s="81">
        <v>0.0</v>
      </c>
      <c r="AQ663" s="81">
        <v>0.0</v>
      </c>
      <c r="AR663" s="39"/>
      <c r="AS663" s="81">
        <v>0.0</v>
      </c>
      <c r="AT663" s="81">
        <v>0.0</v>
      </c>
      <c r="AU663" s="39"/>
      <c r="AV663" s="82"/>
      <c r="AW663" s="82"/>
      <c r="AX663" s="82"/>
      <c r="AY663" s="7"/>
      <c r="AZ663" s="7"/>
      <c r="BA663" s="7"/>
      <c r="BB663" s="7"/>
      <c r="BC663" s="7"/>
      <c r="BD663" s="7"/>
      <c r="BE663" s="7"/>
      <c r="BF663" s="7" t="s">
        <v>1781</v>
      </c>
      <c r="BG663" s="82"/>
      <c r="BH663" s="82"/>
      <c r="BI663" s="82"/>
      <c r="BJ663" s="82"/>
      <c r="BK663" s="82"/>
      <c r="BL663" s="82"/>
      <c r="BM663" s="82"/>
      <c r="BN663" s="7"/>
      <c r="BO663" s="7">
        <v>1.0</v>
      </c>
      <c r="BP663" s="82"/>
      <c r="BQ663" s="7"/>
      <c r="BR663" s="7" t="s">
        <v>23</v>
      </c>
    </row>
    <row r="664">
      <c r="A664" s="16">
        <v>60.0</v>
      </c>
      <c r="B664" s="16" t="s">
        <v>719</v>
      </c>
      <c r="C664" s="53">
        <v>1.0</v>
      </c>
      <c r="D664" s="53" t="s">
        <v>720</v>
      </c>
      <c r="E664" s="7">
        <v>477.0</v>
      </c>
      <c r="F664" s="53"/>
      <c r="G664" s="7"/>
      <c r="H664" s="16">
        <v>1.0</v>
      </c>
      <c r="I664" s="81">
        <v>1.0</v>
      </c>
      <c r="J664" s="16" t="s">
        <v>4499</v>
      </c>
      <c r="K664" s="53"/>
      <c r="L664" s="53"/>
      <c r="M664" s="39" t="str">
        <f t="shared" si="1"/>
        <v>[https://snap.stanford.edu/class/cs224w-readings/tomita06cliques.pdf Tomita; Tanaka &amp; Takahashi (2006)]</v>
      </c>
      <c r="N664" s="16" t="s">
        <v>4506</v>
      </c>
      <c r="O664" s="81">
        <v>2006.0</v>
      </c>
      <c r="P664" s="28" t="s">
        <v>4507</v>
      </c>
      <c r="Q664" s="82"/>
      <c r="R664" s="82"/>
      <c r="S664" s="82"/>
      <c r="T664" s="16">
        <v>0.0</v>
      </c>
      <c r="U664" s="16" t="s">
        <v>1937</v>
      </c>
      <c r="V664" s="89">
        <f>IFERROR(__xludf.DUMMYFUNCTION("INDEX(SPLIT(SUBSTITUTE(W664,CHAR(10), """"),"",:""), MATCH(Z664, SPLIT(SUBSTITUTE(W664,CHAR(10), """"),"",:""), 0) + 1)"),8.0)</f>
        <v>8</v>
      </c>
      <c r="W664" s="85" t="s">
        <v>2001</v>
      </c>
      <c r="X664" s="16" t="s">
        <v>4499</v>
      </c>
      <c r="Y664" s="53" t="s">
        <v>2102</v>
      </c>
      <c r="Z664" s="53" t="str">
        <f t="array" ref="Z664">INDEX(Problems!J:J, MATCH(1, (Problems!B:B=B664)*1, 0))</f>
        <v>n</v>
      </c>
      <c r="AA664" s="53"/>
      <c r="AB664" s="53"/>
      <c r="AC664" s="53" t="s">
        <v>1813</v>
      </c>
      <c r="AD664" s="53" t="s">
        <v>1814</v>
      </c>
      <c r="AE664" s="85">
        <f>IFERROR(__xludf.DUMMYFUNCTION("INDEX(SPLIT(SUBSTITUTE(AF664,CHAR(10), """"),"",:""), MATCH(Z664, SPLIT(SUBSTITUTE(AF664,CHAR(10), """"),"",:""), 0) + 1)"),5.0)</f>
        <v>5</v>
      </c>
      <c r="AF664" s="85" t="s">
        <v>1938</v>
      </c>
      <c r="AG664" s="53" t="s">
        <v>2615</v>
      </c>
      <c r="AH664" s="53" t="s">
        <v>4505</v>
      </c>
      <c r="AI664" s="84">
        <v>1.0</v>
      </c>
      <c r="AJ664" s="84">
        <v>0.0</v>
      </c>
      <c r="AK664" s="87"/>
      <c r="AL664" s="81">
        <v>0.0</v>
      </c>
      <c r="AM664" s="87"/>
      <c r="AN664" s="81">
        <v>0.0</v>
      </c>
      <c r="AO664" s="90"/>
      <c r="AP664" s="81">
        <v>0.0</v>
      </c>
      <c r="AQ664" s="81">
        <v>0.0</v>
      </c>
      <c r="AR664" s="39"/>
      <c r="AS664" s="81">
        <v>0.0</v>
      </c>
      <c r="AT664" s="81">
        <v>0.0</v>
      </c>
      <c r="AU664" s="39"/>
      <c r="AV664" s="82"/>
      <c r="AW664" s="82"/>
      <c r="AX664" s="82"/>
      <c r="AY664" s="7"/>
      <c r="AZ664" s="7"/>
      <c r="BA664" s="7"/>
      <c r="BB664" s="7"/>
      <c r="BC664" s="7"/>
      <c r="BD664" s="7"/>
      <c r="BE664" s="7"/>
      <c r="BF664" s="7" t="s">
        <v>1781</v>
      </c>
      <c r="BG664" s="82"/>
      <c r="BH664" s="82"/>
      <c r="BI664" s="82"/>
      <c r="BJ664" s="82"/>
      <c r="BK664" s="82"/>
      <c r="BL664" s="82"/>
      <c r="BM664" s="82"/>
      <c r="BN664" s="7"/>
      <c r="BO664" s="7">
        <v>1.0</v>
      </c>
      <c r="BP664" s="82"/>
      <c r="BQ664" s="7"/>
      <c r="BR664" s="7" t="s">
        <v>23</v>
      </c>
    </row>
    <row r="665">
      <c r="A665" s="16">
        <v>60.0</v>
      </c>
      <c r="B665" s="16" t="s">
        <v>719</v>
      </c>
      <c r="C665" s="53">
        <v>1.0</v>
      </c>
      <c r="D665" s="53" t="s">
        <v>720</v>
      </c>
      <c r="E665" s="7">
        <v>478.0</v>
      </c>
      <c r="F665" s="53"/>
      <c r="G665" s="7"/>
      <c r="H665" s="16">
        <v>1.0</v>
      </c>
      <c r="I665" s="81">
        <v>1.0</v>
      </c>
      <c r="J665" s="147" t="s">
        <v>4508</v>
      </c>
      <c r="K665" s="53"/>
      <c r="L665" s="53"/>
      <c r="M665" s="39" t="str">
        <f t="shared" si="1"/>
        <v>[https://arxiv.org/pdf/1801.00202.pdf Segundo; Artieda;  Strash Parallel (2011)]</v>
      </c>
      <c r="N665" s="16" t="s">
        <v>4509</v>
      </c>
      <c r="O665" s="81">
        <v>2011.0</v>
      </c>
      <c r="P665" s="28" t="s">
        <v>4510</v>
      </c>
      <c r="Q665" s="82"/>
      <c r="R665" s="82"/>
      <c r="S665" s="82"/>
      <c r="T665" s="16">
        <v>0.0</v>
      </c>
      <c r="U665" s="16" t="s">
        <v>1937</v>
      </c>
      <c r="V665" s="89">
        <f>IFERROR(__xludf.DUMMYFUNCTION("INDEX(SPLIT(SUBSTITUTE(W665,CHAR(10), """"),"",:""), MATCH(Z665, SPLIT(SUBSTITUTE(W665,CHAR(10), """"),"",:""), 0) + 1)"),8.0)</f>
        <v>8</v>
      </c>
      <c r="W665" s="85" t="s">
        <v>2001</v>
      </c>
      <c r="X665" s="147" t="s">
        <v>4511</v>
      </c>
      <c r="Y665" s="53" t="s">
        <v>2102</v>
      </c>
      <c r="Z665" s="53" t="str">
        <f t="array" ref="Z665">INDEX(Problems!J:J, MATCH(1, (Problems!B:B=B665)*1, 0))</f>
        <v>n</v>
      </c>
      <c r="AA665" s="53"/>
      <c r="AB665" s="53"/>
      <c r="AC665" s="53" t="s">
        <v>1813</v>
      </c>
      <c r="AD665" s="53" t="s">
        <v>1814</v>
      </c>
      <c r="AE665" s="85">
        <f>IFERROR(__xludf.DUMMYFUNCTION("INDEX(SPLIT(SUBSTITUTE(AF665,CHAR(10), """"),"",:""), MATCH(Z665, SPLIT(SUBSTITUTE(AF665,CHAR(10), """"),"",:""), 0) + 1)"),5.0)</f>
        <v>5</v>
      </c>
      <c r="AF665" s="85" t="s">
        <v>1938</v>
      </c>
      <c r="AG665" s="53" t="s">
        <v>4512</v>
      </c>
      <c r="AH665" s="53" t="s">
        <v>4513</v>
      </c>
      <c r="AI665" s="84">
        <v>1.0</v>
      </c>
      <c r="AJ665" s="84">
        <v>0.0</v>
      </c>
      <c r="AK665" s="87"/>
      <c r="AL665" s="81">
        <v>0.0</v>
      </c>
      <c r="AM665" s="87"/>
      <c r="AN665" s="81">
        <v>0.0</v>
      </c>
      <c r="AO665" s="90"/>
      <c r="AP665" s="81">
        <v>0.0</v>
      </c>
      <c r="AQ665" s="81">
        <v>1.0</v>
      </c>
      <c r="AR665" s="39"/>
      <c r="AS665" s="81">
        <v>0.0</v>
      </c>
      <c r="AT665" s="81">
        <v>0.0</v>
      </c>
      <c r="AU665" s="39"/>
      <c r="AV665" s="82"/>
      <c r="AW665" s="82"/>
      <c r="AX665" s="82"/>
      <c r="AY665" s="7"/>
      <c r="AZ665" s="82"/>
      <c r="BA665" s="82"/>
      <c r="BB665" s="82"/>
      <c r="BC665" s="82"/>
      <c r="BD665" s="82"/>
      <c r="BE665" s="82"/>
      <c r="BF665" s="82"/>
      <c r="BG665" s="82"/>
      <c r="BH665" s="82"/>
      <c r="BI665" s="82"/>
      <c r="BJ665" s="82"/>
      <c r="BK665" s="82"/>
      <c r="BL665" s="82"/>
      <c r="BM665" s="82"/>
      <c r="BN665" s="7"/>
      <c r="BO665" s="7">
        <v>1.0</v>
      </c>
      <c r="BP665" s="82"/>
      <c r="BQ665" s="7"/>
      <c r="BR665" s="7" t="s">
        <v>23</v>
      </c>
    </row>
    <row r="666">
      <c r="A666" s="16">
        <v>60.0</v>
      </c>
      <c r="B666" s="16" t="s">
        <v>719</v>
      </c>
      <c r="C666" s="53">
        <v>1.0</v>
      </c>
      <c r="D666" s="53" t="s">
        <v>720</v>
      </c>
      <c r="E666" s="7">
        <v>479.0</v>
      </c>
      <c r="F666" s="53"/>
      <c r="G666" s="7"/>
      <c r="H666" s="16">
        <v>1.0</v>
      </c>
      <c r="I666" s="81">
        <v>1.0</v>
      </c>
      <c r="J666" s="16" t="s">
        <v>4514</v>
      </c>
      <c r="K666" s="53"/>
      <c r="L666" s="53"/>
      <c r="M666" s="39" t="str">
        <f t="shared" si="1"/>
        <v>[https://arxiv.org/pdf/1006.5440.pdf David Eppstein, Maarten Löffler, Darren Strash (2010)]</v>
      </c>
      <c r="N666" s="16" t="s">
        <v>4515</v>
      </c>
      <c r="O666" s="81">
        <v>2010.0</v>
      </c>
      <c r="P666" s="28" t="s">
        <v>4516</v>
      </c>
      <c r="Q666" s="82"/>
      <c r="R666" s="82"/>
      <c r="S666" s="82"/>
      <c r="T666" s="16">
        <v>0.0</v>
      </c>
      <c r="U666" s="16" t="s">
        <v>1937</v>
      </c>
      <c r="V666" s="89">
        <f>IFERROR(__xludf.DUMMYFUNCTION("INDEX(SPLIT(SUBSTITUTE(W666,CHAR(10), """"),"",:""), MATCH(Z666, SPLIT(SUBSTITUTE(W666,CHAR(10), """"),"",:""), 0) + 1)"),8.0)</f>
        <v>8</v>
      </c>
      <c r="W666" s="85" t="s">
        <v>4517</v>
      </c>
      <c r="X666" s="16" t="s">
        <v>4518</v>
      </c>
      <c r="Y666" s="53" t="s">
        <v>4519</v>
      </c>
      <c r="Z666" s="53" t="str">
        <f t="array" ref="Z666">INDEX(Problems!J:J, MATCH(1, (Problems!B:B=B666)*1, 0))</f>
        <v>n</v>
      </c>
      <c r="AA666" s="53"/>
      <c r="AB666" s="53"/>
      <c r="AC666" s="53" t="s">
        <v>1813</v>
      </c>
      <c r="AD666" s="53" t="s">
        <v>1814</v>
      </c>
      <c r="AE666" s="85">
        <f>IFERROR(__xludf.DUMMYFUNCTION("INDEX(SPLIT(SUBSTITUTE(AF666,CHAR(10), """"),"",:""), MATCH(Z666, SPLIT(SUBSTITUTE(AF666,CHAR(10), """"),"",:""), 0) + 1)"),5.0)</f>
        <v>5</v>
      </c>
      <c r="AF666" s="85" t="s">
        <v>1938</v>
      </c>
      <c r="AG666" s="53" t="s">
        <v>2615</v>
      </c>
      <c r="AH666" s="53" t="s">
        <v>4520</v>
      </c>
      <c r="AI666" s="84">
        <v>1.0</v>
      </c>
      <c r="AJ666" s="84">
        <v>0.0</v>
      </c>
      <c r="AK666" s="87"/>
      <c r="AL666" s="81">
        <v>0.0</v>
      </c>
      <c r="AM666" s="87"/>
      <c r="AN666" s="81">
        <v>0.0</v>
      </c>
      <c r="AO666" s="90"/>
      <c r="AP666" s="81">
        <v>0.0</v>
      </c>
      <c r="AQ666" s="81">
        <v>0.0</v>
      </c>
      <c r="AR666" s="39"/>
      <c r="AS666" s="81">
        <v>0.0</v>
      </c>
      <c r="AT666" s="81">
        <v>0.0</v>
      </c>
      <c r="AU666" s="39"/>
      <c r="AV666" s="82"/>
      <c r="AW666" s="82"/>
      <c r="AX666" s="82"/>
      <c r="AY666" s="7"/>
      <c r="AZ666" s="82"/>
      <c r="BA666" s="82"/>
      <c r="BB666" s="82"/>
      <c r="BC666" s="82"/>
      <c r="BD666" s="82"/>
      <c r="BE666" s="82"/>
      <c r="BF666" s="82"/>
      <c r="BG666" s="82"/>
      <c r="BH666" s="82"/>
      <c r="BI666" s="82"/>
      <c r="BJ666" s="82"/>
      <c r="BK666" s="82"/>
      <c r="BL666" s="82"/>
      <c r="BM666" s="82"/>
      <c r="BN666" s="7"/>
      <c r="BO666" s="7">
        <v>1.0</v>
      </c>
      <c r="BP666" s="82"/>
      <c r="BQ666" s="7"/>
      <c r="BR666" s="7" t="s">
        <v>23</v>
      </c>
    </row>
    <row r="667">
      <c r="A667" s="16">
        <v>60.0</v>
      </c>
      <c r="B667" s="16" t="s">
        <v>719</v>
      </c>
      <c r="C667" s="53">
        <v>1.0</v>
      </c>
      <c r="D667" s="53" t="s">
        <v>720</v>
      </c>
      <c r="E667" s="7">
        <v>480.0</v>
      </c>
      <c r="F667" s="53"/>
      <c r="G667" s="7"/>
      <c r="H667" s="16">
        <v>1.0</v>
      </c>
      <c r="I667" s="81">
        <v>1.0</v>
      </c>
      <c r="J667" s="21" t="s">
        <v>4521</v>
      </c>
      <c r="K667" s="53"/>
      <c r="L667" s="53"/>
      <c r="M667" s="39" t="str">
        <f t="shared" si="1"/>
        <v>[https://pdfs.semanticscholar.org/0d19/245a27bc65a87a8014d5b8a66fb514c8ff0b.pdf Chiba and Nishizeki  (1985)]</v>
      </c>
      <c r="N667" s="39" t="s">
        <v>4522</v>
      </c>
      <c r="O667" s="81">
        <v>1985.0</v>
      </c>
      <c r="P667" s="28" t="s">
        <v>4523</v>
      </c>
      <c r="Q667" s="82"/>
      <c r="R667" s="82"/>
      <c r="S667" s="82"/>
      <c r="T667" s="16">
        <v>0.0</v>
      </c>
      <c r="U667" s="16" t="s">
        <v>1937</v>
      </c>
      <c r="V667" s="89">
        <f>IFERROR(__xludf.DUMMYFUNCTION("INDEX(SPLIT(SUBSTITUTE(W667,CHAR(10), """"),"",:""), MATCH(Z667, SPLIT(SUBSTITUTE(W667,CHAR(10), """"),"",:""), 0) + 1)"),6.0)</f>
        <v>6</v>
      </c>
      <c r="W667" s="85" t="s">
        <v>4524</v>
      </c>
      <c r="X667" s="21" t="s">
        <v>4521</v>
      </c>
      <c r="Y667" s="53" t="s">
        <v>4525</v>
      </c>
      <c r="Z667" s="53" t="str">
        <f t="array" ref="Z667">INDEX(Problems!J:J, MATCH(1, (Problems!B:B=B667)*1, 0))</f>
        <v>n</v>
      </c>
      <c r="AA667" s="53"/>
      <c r="AB667" s="53"/>
      <c r="AC667" s="53" t="s">
        <v>1813</v>
      </c>
      <c r="AD667" s="53" t="s">
        <v>1814</v>
      </c>
      <c r="AE667" s="85">
        <f>IFERROR(__xludf.DUMMYFUNCTION("INDEX(SPLIT(SUBSTITUTE(AF667,CHAR(10), """"),"",:""), MATCH(Z667, SPLIT(SUBSTITUTE(AF667,CHAR(10), """"),"",:""), 0) + 1)"),5.0)</f>
        <v>5</v>
      </c>
      <c r="AF667" s="85" t="s">
        <v>4526</v>
      </c>
      <c r="AG667" s="53" t="s">
        <v>148</v>
      </c>
      <c r="AH667" s="86" t="s">
        <v>4523</v>
      </c>
      <c r="AI667" s="84">
        <v>0.0</v>
      </c>
      <c r="AJ667" s="84">
        <v>1.0</v>
      </c>
      <c r="AK667" s="87"/>
      <c r="AL667" s="81">
        <v>0.0</v>
      </c>
      <c r="AM667" s="87"/>
      <c r="AN667" s="81">
        <v>0.0</v>
      </c>
      <c r="AO667" s="90"/>
      <c r="AP667" s="81">
        <v>0.0</v>
      </c>
      <c r="AQ667" s="81">
        <v>0.0</v>
      </c>
      <c r="AR667" s="39"/>
      <c r="AS667" s="81">
        <v>0.0</v>
      </c>
      <c r="AT667" s="81">
        <v>0.0</v>
      </c>
      <c r="AU667" s="28" t="s">
        <v>4516</v>
      </c>
      <c r="AV667" s="82"/>
      <c r="AW667" s="82"/>
      <c r="AX667" s="82"/>
      <c r="AY667" s="7"/>
      <c r="AZ667" s="82"/>
      <c r="BA667" s="82"/>
      <c r="BB667" s="82"/>
      <c r="BC667" s="82"/>
      <c r="BD667" s="82"/>
      <c r="BE667" s="82"/>
      <c r="BF667" s="82"/>
      <c r="BG667" s="82"/>
      <c r="BH667" s="82"/>
      <c r="BI667" s="82"/>
      <c r="BJ667" s="82"/>
      <c r="BK667" s="82"/>
      <c r="BL667" s="82"/>
      <c r="BM667" s="82"/>
      <c r="BN667" s="7"/>
      <c r="BO667" s="7">
        <v>1.0</v>
      </c>
      <c r="BP667" s="82"/>
      <c r="BQ667" s="7"/>
      <c r="BR667" s="7" t="s">
        <v>23</v>
      </c>
    </row>
    <row r="668">
      <c r="A668" s="16">
        <v>60.0</v>
      </c>
      <c r="B668" s="16" t="s">
        <v>719</v>
      </c>
      <c r="C668" s="53">
        <v>1.0</v>
      </c>
      <c r="D668" s="53" t="s">
        <v>720</v>
      </c>
      <c r="E668" s="7">
        <v>481.0</v>
      </c>
      <c r="F668" s="53"/>
      <c r="G668" s="7"/>
      <c r="H668" s="16">
        <v>1.0</v>
      </c>
      <c r="I668" s="81">
        <v>1.0</v>
      </c>
      <c r="J668" s="39" t="s">
        <v>4527</v>
      </c>
      <c r="K668" s="53"/>
      <c r="L668" s="53"/>
      <c r="M668" s="39" t="str">
        <f t="shared" si="1"/>
        <v>[https://www.ics.uci.edu/~eppstein/pubs/ChrEpp-TCS-91.pdf M. Chrobak and D. Eppstein (1989)]</v>
      </c>
      <c r="N668" s="39" t="s">
        <v>4528</v>
      </c>
      <c r="O668" s="81">
        <v>1989.0</v>
      </c>
      <c r="P668" s="28" t="s">
        <v>4529</v>
      </c>
      <c r="Q668" s="82"/>
      <c r="R668" s="82"/>
      <c r="S668" s="82"/>
      <c r="T668" s="16">
        <v>0.0</v>
      </c>
      <c r="U668" s="16" t="s">
        <v>1937</v>
      </c>
      <c r="V668" s="89">
        <f>IFERROR(__xludf.DUMMYFUNCTION("INDEX(SPLIT(SUBSTITUTE(W668,CHAR(10), """"),"",:""), MATCH(Z668, SPLIT(SUBSTITUTE(W668,CHAR(10), """"),"",:""), 0) + 1)"),8.0)</f>
        <v>8</v>
      </c>
      <c r="W668" s="85" t="s">
        <v>2001</v>
      </c>
      <c r="X668" s="16" t="s">
        <v>4530</v>
      </c>
      <c r="Y668" s="53" t="s">
        <v>4531</v>
      </c>
      <c r="Z668" s="53" t="str">
        <f t="array" ref="Z668">INDEX(Problems!J:J, MATCH(1, (Problems!B:B=B668)*1, 0))</f>
        <v>n</v>
      </c>
      <c r="AA668" s="53"/>
      <c r="AB668" s="53"/>
      <c r="AC668" s="53" t="s">
        <v>1813</v>
      </c>
      <c r="AD668" s="53" t="s">
        <v>1814</v>
      </c>
      <c r="AE668" s="85">
        <f>IFERROR(__xludf.DUMMYFUNCTION("INDEX(SPLIT(SUBSTITUTE(AF668,CHAR(10), """"),"",:""), MATCH(Z668, SPLIT(SUBSTITUTE(AF668,CHAR(10), """"),"",:""), 0) + 1)"),3.0)</f>
        <v>3</v>
      </c>
      <c r="AF668" s="85" t="s">
        <v>1763</v>
      </c>
      <c r="AG668" s="53" t="s">
        <v>2625</v>
      </c>
      <c r="AH668" s="53" t="s">
        <v>4532</v>
      </c>
      <c r="AI668" s="84">
        <v>1.0</v>
      </c>
      <c r="AJ668" s="84">
        <v>0.0</v>
      </c>
      <c r="AK668" s="87"/>
      <c r="AL668" s="81">
        <v>0.0</v>
      </c>
      <c r="AM668" s="87"/>
      <c r="AN668" s="81">
        <v>0.0</v>
      </c>
      <c r="AO668" s="90"/>
      <c r="AP668" s="81">
        <v>0.0</v>
      </c>
      <c r="AQ668" s="81">
        <v>0.0</v>
      </c>
      <c r="AR668" s="39"/>
      <c r="AS668" s="81">
        <v>0.0</v>
      </c>
      <c r="AT668" s="81">
        <v>0.0</v>
      </c>
      <c r="AU668" s="25" t="s">
        <v>4516</v>
      </c>
      <c r="AV668" s="82"/>
      <c r="AW668" s="82"/>
      <c r="AX668" s="82"/>
      <c r="AY668" s="7"/>
      <c r="AZ668" s="82"/>
      <c r="BA668" s="82"/>
      <c r="BB668" s="82"/>
      <c r="BC668" s="82"/>
      <c r="BD668" s="82"/>
      <c r="BE668" s="82"/>
      <c r="BF668" s="82"/>
      <c r="BG668" s="82"/>
      <c r="BH668" s="82"/>
      <c r="BI668" s="82"/>
      <c r="BJ668" s="82"/>
      <c r="BK668" s="82"/>
      <c r="BL668" s="82"/>
      <c r="BM668" s="82"/>
      <c r="BN668" s="7"/>
      <c r="BO668" s="7">
        <v>1.0</v>
      </c>
      <c r="BP668" s="82"/>
      <c r="BQ668" s="7"/>
      <c r="BR668" s="7" t="s">
        <v>23</v>
      </c>
    </row>
    <row r="669">
      <c r="A669" s="16">
        <v>60.0</v>
      </c>
      <c r="B669" s="16" t="s">
        <v>719</v>
      </c>
      <c r="C669" s="53">
        <v>1.0</v>
      </c>
      <c r="D669" s="53" t="s">
        <v>720</v>
      </c>
      <c r="E669" s="7">
        <v>482.0</v>
      </c>
      <c r="F669" s="53"/>
      <c r="G669" s="7"/>
      <c r="H669" s="16">
        <v>1.0</v>
      </c>
      <c r="I669" s="81">
        <v>1.0</v>
      </c>
      <c r="J669" s="21" t="s">
        <v>4533</v>
      </c>
      <c r="K669" s="53"/>
      <c r="L669" s="53"/>
      <c r="M669" s="39" t="str">
        <f t="shared" si="1"/>
        <v>[https://www.proquest.com/docview/918487776?pq-origsite=gscholar&amp;fromopenview=true Shuji Tsukiyama, Mikio Ide, Hiromu Ariyoshi, and Isao Shirakawa (1977)]</v>
      </c>
      <c r="N669" s="39" t="s">
        <v>4534</v>
      </c>
      <c r="O669" s="81">
        <v>1977.0</v>
      </c>
      <c r="P669" s="113" t="s">
        <v>4535</v>
      </c>
      <c r="Q669" s="82"/>
      <c r="R669" s="82"/>
      <c r="S669" s="82"/>
      <c r="T669" s="16">
        <v>1.0</v>
      </c>
      <c r="U669" s="16" t="s">
        <v>1937</v>
      </c>
      <c r="V669" s="89">
        <f>IFERROR(__xludf.DUMMYFUNCTION("INDEX(SPLIT(SUBSTITUTE(W669,CHAR(10), """"),"",:""), MATCH(Z669, SPLIT(SUBSTITUTE(W669,CHAR(10), """"),"",:""), 0) + 1)"),6.0)</f>
        <v>6</v>
      </c>
      <c r="W669" s="85" t="s">
        <v>2838</v>
      </c>
      <c r="X669" s="21" t="s">
        <v>4533</v>
      </c>
      <c r="Y669" s="53" t="s">
        <v>4536</v>
      </c>
      <c r="Z669" s="53" t="str">
        <f t="array" ref="Z669">INDEX(Problems!J:J, MATCH(1, (Problems!B:B=B669)*1, 0))</f>
        <v>n</v>
      </c>
      <c r="AA669" s="53"/>
      <c r="AB669" s="53"/>
      <c r="AC669" s="53" t="s">
        <v>1813</v>
      </c>
      <c r="AD669" s="53" t="s">
        <v>1814</v>
      </c>
      <c r="AE669" s="85">
        <f>IFERROR(__xludf.DUMMYFUNCTION("INDEX(SPLIT(SUBSTITUTE(AF669,CHAR(10), """"),"",:""), MATCH(Z669, SPLIT(SUBSTITUTE(AF669,CHAR(10), """"),"",:""), 0) + 1)"),5.0)</f>
        <v>5</v>
      </c>
      <c r="AF669" s="85" t="s">
        <v>4526</v>
      </c>
      <c r="AG669" s="53" t="s">
        <v>148</v>
      </c>
      <c r="AH669" s="53" t="s">
        <v>4537</v>
      </c>
      <c r="AI669" s="84">
        <v>0.0</v>
      </c>
      <c r="AJ669" s="84">
        <v>1.0</v>
      </c>
      <c r="AK669" s="87"/>
      <c r="AL669" s="81">
        <v>0.0</v>
      </c>
      <c r="AM669" s="87"/>
      <c r="AN669" s="81">
        <v>0.0</v>
      </c>
      <c r="AO669" s="90"/>
      <c r="AP669" s="81">
        <v>0.0</v>
      </c>
      <c r="AQ669" s="81">
        <v>0.0</v>
      </c>
      <c r="AR669" s="39"/>
      <c r="AS669" s="81">
        <v>0.0</v>
      </c>
      <c r="AT669" s="81">
        <v>0.0</v>
      </c>
      <c r="AU669" s="39"/>
      <c r="AV669" s="82"/>
      <c r="AW669" s="82"/>
      <c r="AX669" s="82"/>
      <c r="AY669" s="7" t="s">
        <v>3833</v>
      </c>
      <c r="AZ669" s="82">
        <f>1000/2</f>
        <v>500</v>
      </c>
      <c r="BA669" s="82">
        <f>POW(AZ662/AZ669,1/($O669-$O662)) - 1</f>
        <v>3.728708045</v>
      </c>
      <c r="BB669" s="82">
        <f>1000000/2</f>
        <v>500000</v>
      </c>
      <c r="BC669" s="82">
        <f>POW(BB662/BB669,1/($O669-$O662)) - 1</f>
        <v>25.59147948</v>
      </c>
      <c r="BD669" s="82">
        <f>1000000000/2</f>
        <v>500000000</v>
      </c>
      <c r="BE669" s="82">
        <f>POW(BD662/BD669,1/($O669-$O662)) - 1</f>
        <v>148.5348781</v>
      </c>
      <c r="BF669" s="82">
        <f>POW(1000/2,2)</f>
        <v>250000</v>
      </c>
      <c r="BG669" s="7" t="s">
        <v>1781</v>
      </c>
      <c r="BH669" s="7" t="s">
        <v>1781</v>
      </c>
      <c r="BI669" s="82">
        <f>POW(1000000/2,2)</f>
        <v>250000000000</v>
      </c>
      <c r="BJ669" s="7" t="s">
        <v>1781</v>
      </c>
      <c r="BK669" s="7" t="s">
        <v>1781</v>
      </c>
      <c r="BL669" s="82">
        <f>POW(1000000000/2,2)</f>
        <v>2.5E+17</v>
      </c>
      <c r="BM669" s="7" t="s">
        <v>1781</v>
      </c>
      <c r="BN669" s="7" t="s">
        <v>1781</v>
      </c>
      <c r="BO669" s="7">
        <v>1.0</v>
      </c>
      <c r="BP669" s="82"/>
      <c r="BQ669" s="7"/>
      <c r="BR669" s="7" t="s">
        <v>23</v>
      </c>
    </row>
    <row r="670">
      <c r="A670" s="16">
        <v>60.0</v>
      </c>
      <c r="B670" s="16" t="s">
        <v>719</v>
      </c>
      <c r="C670" s="53">
        <v>1.0</v>
      </c>
      <c r="D670" s="53" t="s">
        <v>720</v>
      </c>
      <c r="E670" s="7">
        <v>483.0</v>
      </c>
      <c r="F670" s="53"/>
      <c r="G670" s="7"/>
      <c r="H670" s="16">
        <v>1.0</v>
      </c>
      <c r="I670" s="81">
        <v>1.0</v>
      </c>
      <c r="J670" s="21" t="s">
        <v>4538</v>
      </c>
      <c r="K670" s="53"/>
      <c r="L670" s="53"/>
      <c r="M670" s="39" t="str">
        <f t="shared" si="1"/>
        <v>[https://link.springer.com/chapter/10.1007/978-3-540-27810-8_23 Kazuhisa Makino, Takeaki Uno; Section 5 (2004)]</v>
      </c>
      <c r="N670" s="16" t="s">
        <v>4539</v>
      </c>
      <c r="O670" s="81">
        <v>2004.0</v>
      </c>
      <c r="P670" s="28" t="s">
        <v>4540</v>
      </c>
      <c r="Q670" s="82"/>
      <c r="R670" s="82"/>
      <c r="S670" s="82"/>
      <c r="T670" s="16">
        <v>0.0</v>
      </c>
      <c r="U670" s="16" t="s">
        <v>1937</v>
      </c>
      <c r="V670" s="89">
        <f>IFERROR(__xludf.DUMMYFUNCTION("INDEX(SPLIT(SUBSTITUTE(W670,CHAR(10), """"),"",:""), MATCH(Z670, SPLIT(SUBSTITUTE(W670,CHAR(10), """"),"",:""), 0) + 1)"),5.3728596)</f>
        <v>5.3728596</v>
      </c>
      <c r="W670" s="85" t="s">
        <v>4541</v>
      </c>
      <c r="X670" s="21" t="s">
        <v>4542</v>
      </c>
      <c r="Y670" s="53" t="s">
        <v>2102</v>
      </c>
      <c r="Z670" s="53" t="str">
        <f t="array" ref="Z670">INDEX(Problems!J:J, MATCH(1, (Problems!B:B=B670)*1, 0))</f>
        <v>n</v>
      </c>
      <c r="AA670" s="53"/>
      <c r="AB670" s="53"/>
      <c r="AC670" s="53" t="s">
        <v>1813</v>
      </c>
      <c r="AD670" s="53" t="s">
        <v>1814</v>
      </c>
      <c r="AE670" s="85">
        <f>IFERROR(__xludf.DUMMYFUNCTION("INDEX(SPLIT(SUBSTITUTE(AF670,CHAR(10), """"),"",:""), MATCH(Z670, SPLIT(SUBSTITUTE(AF670,CHAR(10), """"),"",:""), 0) + 1)"),5.0)</f>
        <v>5</v>
      </c>
      <c r="AF670" s="85" t="s">
        <v>1938</v>
      </c>
      <c r="AG670" s="53" t="s">
        <v>115</v>
      </c>
      <c r="AH670" s="86" t="s">
        <v>4540</v>
      </c>
      <c r="AI670" s="84">
        <v>0.0</v>
      </c>
      <c r="AJ670" s="84">
        <v>1.0</v>
      </c>
      <c r="AK670" s="87"/>
      <c r="AL670" s="81">
        <v>0.0</v>
      </c>
      <c r="AM670" s="87"/>
      <c r="AN670" s="81">
        <v>0.0</v>
      </c>
      <c r="AO670" s="90"/>
      <c r="AP670" s="81">
        <v>0.0</v>
      </c>
      <c r="AQ670" s="81">
        <v>0.0</v>
      </c>
      <c r="AR670" s="39"/>
      <c r="AS670" s="81">
        <v>0.0</v>
      </c>
      <c r="AT670" s="81">
        <v>0.0</v>
      </c>
      <c r="AU670" s="39"/>
      <c r="AV670" s="82"/>
      <c r="AW670" s="82"/>
      <c r="AX670" s="82"/>
      <c r="AY670" s="7"/>
      <c r="AZ670" s="82"/>
      <c r="BA670" s="82"/>
      <c r="BB670" s="82"/>
      <c r="BC670" s="82"/>
      <c r="BD670" s="82"/>
      <c r="BE670" s="82"/>
      <c r="BF670" s="82"/>
      <c r="BG670" s="82"/>
      <c r="BH670" s="82"/>
      <c r="BI670" s="82"/>
      <c r="BJ670" s="82"/>
      <c r="BK670" s="82"/>
      <c r="BL670" s="82"/>
      <c r="BM670" s="82"/>
      <c r="BN670" s="7"/>
      <c r="BO670" s="7">
        <v>1.0</v>
      </c>
      <c r="BP670" s="82"/>
      <c r="BQ670" s="7"/>
      <c r="BR670" s="7" t="s">
        <v>23</v>
      </c>
    </row>
    <row r="671">
      <c r="A671" s="16">
        <v>61.0</v>
      </c>
      <c r="B671" s="16" t="s">
        <v>743</v>
      </c>
      <c r="C671" s="53">
        <v>1.0</v>
      </c>
      <c r="D671" s="53" t="s">
        <v>744</v>
      </c>
      <c r="E671" s="7">
        <v>484.0</v>
      </c>
      <c r="F671" s="53"/>
      <c r="G671" s="7"/>
      <c r="H671" s="16">
        <v>1.0</v>
      </c>
      <c r="I671" s="16">
        <v>1.0</v>
      </c>
      <c r="J671" s="16" t="s">
        <v>4543</v>
      </c>
      <c r="K671" s="53"/>
      <c r="L671" s="53"/>
      <c r="M671" s="39" t="str">
        <f t="shared" si="1"/>
        <v>[https://www.jstor.org/stable/2098806 Held–Karp algorithm (1962)]</v>
      </c>
      <c r="N671" s="39" t="s">
        <v>4544</v>
      </c>
      <c r="O671" s="81">
        <v>1962.0</v>
      </c>
      <c r="P671" s="25" t="s">
        <v>4545</v>
      </c>
      <c r="Q671" s="82"/>
      <c r="R671" s="82"/>
      <c r="S671" s="82"/>
      <c r="T671" s="16">
        <v>1.0</v>
      </c>
      <c r="U671" s="16">
        <v>0.0</v>
      </c>
      <c r="V671" s="89">
        <f>IFERROR(__xludf.DUMMYFUNCTION("INDEX(SPLIT(SUBSTITUTE(W671,CHAR(10), """"),"",:""), MATCH(Z671, SPLIT(SUBSTITUTE(W671,CHAR(10), """"),"",:""), 0) + 1)"),8.0)</f>
        <v>8</v>
      </c>
      <c r="W671" s="85" t="s">
        <v>2540</v>
      </c>
      <c r="X671" s="16" t="s">
        <v>4543</v>
      </c>
      <c r="Y671" s="53" t="s">
        <v>2542</v>
      </c>
      <c r="Z671" s="53" t="str">
        <f t="array" ref="Z671">INDEX(Problems!J:J, MATCH(1, (Problems!B:B=B671)*1, 0))</f>
        <v>V</v>
      </c>
      <c r="AA671" s="53"/>
      <c r="AB671" s="53"/>
      <c r="AC671" s="53" t="s">
        <v>1813</v>
      </c>
      <c r="AD671" s="53" t="s">
        <v>1814</v>
      </c>
      <c r="AE671" s="85">
        <f>IFERROR(__xludf.DUMMYFUNCTION("INDEX(SPLIT(SUBSTITUTE(AF671,CHAR(10), """"),"",:""), MATCH(Z671, SPLIT(SUBSTITUTE(AF671,CHAR(10), """"),"",:""), 0) + 1)"),8.0)</f>
        <v>8</v>
      </c>
      <c r="AF671" s="85" t="s">
        <v>2540</v>
      </c>
      <c r="AG671" s="53" t="s">
        <v>4546</v>
      </c>
      <c r="AH671" s="53" t="s">
        <v>4547</v>
      </c>
      <c r="AI671" s="84">
        <v>1.0</v>
      </c>
      <c r="AJ671" s="84">
        <v>0.0</v>
      </c>
      <c r="AK671" s="87"/>
      <c r="AL671" s="81">
        <v>0.0</v>
      </c>
      <c r="AM671" s="87"/>
      <c r="AN671" s="81">
        <v>0.0</v>
      </c>
      <c r="AO671" s="90"/>
      <c r="AP671" s="16">
        <v>1.0</v>
      </c>
      <c r="AQ671" s="16">
        <v>0.0</v>
      </c>
      <c r="AR671" s="39"/>
      <c r="AS671" s="16">
        <v>0.0</v>
      </c>
      <c r="AT671" s="16">
        <v>0.0</v>
      </c>
      <c r="AU671" s="39"/>
      <c r="AV671" s="82"/>
      <c r="AW671" s="82"/>
      <c r="AX671" s="82"/>
      <c r="AY671" s="7"/>
      <c r="AZ671" s="7"/>
      <c r="BA671" s="7"/>
      <c r="BB671" s="7"/>
      <c r="BC671" s="7"/>
      <c r="BD671" s="7"/>
      <c r="BE671" s="7"/>
      <c r="BF671" s="7" t="s">
        <v>1781</v>
      </c>
      <c r="BG671" s="7">
        <v>1.0</v>
      </c>
      <c r="BH671" s="7"/>
      <c r="BI671" s="7" t="s">
        <v>1781</v>
      </c>
      <c r="BJ671" s="7">
        <v>1.0</v>
      </c>
      <c r="BK671" s="7"/>
      <c r="BL671" s="7" t="s">
        <v>1781</v>
      </c>
      <c r="BM671" s="7">
        <v>1.0</v>
      </c>
      <c r="BN671" s="7"/>
      <c r="BO671" s="7">
        <v>1.0</v>
      </c>
      <c r="BP671" s="82"/>
      <c r="BQ671" s="7"/>
      <c r="BR671" s="7" t="s">
        <v>23</v>
      </c>
    </row>
    <row r="672">
      <c r="A672" s="16">
        <v>61.0</v>
      </c>
      <c r="B672" s="16" t="s">
        <v>743</v>
      </c>
      <c r="C672" s="53">
        <v>2.0</v>
      </c>
      <c r="D672" s="53" t="s">
        <v>755</v>
      </c>
      <c r="E672" s="7">
        <v>485.0</v>
      </c>
      <c r="F672" s="53"/>
      <c r="G672" s="7"/>
      <c r="H672" s="16">
        <v>1.0</v>
      </c>
      <c r="I672" s="48">
        <v>0.0</v>
      </c>
      <c r="J672" s="21" t="s">
        <v>4548</v>
      </c>
      <c r="K672" s="53"/>
      <c r="L672" s="53"/>
      <c r="M672" s="39" t="str">
        <f t="shared" si="1"/>
        <v>[https://apps.dtic.mil/dtic/tr/fulltext/u2/a025602.pdf Christofides algorithm (1976)]</v>
      </c>
      <c r="N672" s="39" t="s">
        <v>4549</v>
      </c>
      <c r="O672" s="81">
        <v>1976.0</v>
      </c>
      <c r="P672" s="25" t="s">
        <v>4550</v>
      </c>
      <c r="Q672" s="82"/>
      <c r="R672" s="82"/>
      <c r="S672" s="82"/>
      <c r="T672" s="16">
        <v>1.0</v>
      </c>
      <c r="U672" s="16">
        <v>0.0</v>
      </c>
      <c r="V672" s="89">
        <f>IFERROR(__xludf.DUMMYFUNCTION("INDEX(SPLIT(SUBSTITUTE(W672,CHAR(10), """"),"",:""), MATCH(Z672, SPLIT(SUBSTITUTE(W672,CHAR(10), """"),"",:""), 0) + 1)"),6.0)</f>
        <v>6</v>
      </c>
      <c r="W672" s="85" t="s">
        <v>2040</v>
      </c>
      <c r="X672" s="21" t="s">
        <v>4548</v>
      </c>
      <c r="Y672" s="53" t="s">
        <v>2542</v>
      </c>
      <c r="Z672" s="53" t="str">
        <f t="array" ref="Z672">INDEX(Problems!J:J, MATCH(1, (Problems!B:B=B672)*1, 0))</f>
        <v>V</v>
      </c>
      <c r="AA672" s="53"/>
      <c r="AB672" s="53"/>
      <c r="AC672" s="53" t="s">
        <v>1813</v>
      </c>
      <c r="AD672" s="53" t="s">
        <v>1814</v>
      </c>
      <c r="AE672" s="85">
        <f>IFERROR(__xludf.DUMMYFUNCTION("INDEX(SPLIT(SUBSTITUTE(AF672,CHAR(10), """"),"",:""), MATCH(Z672, SPLIT(SUBSTITUTE(AF672,CHAR(10), """"),"",:""), 0) + 1)"),5.0)</f>
        <v>5</v>
      </c>
      <c r="AF672" s="85" t="s">
        <v>3038</v>
      </c>
      <c r="AG672" s="53" t="s">
        <v>4551</v>
      </c>
      <c r="AH672" s="53" t="s">
        <v>4552</v>
      </c>
      <c r="AI672" s="84">
        <v>1.0</v>
      </c>
      <c r="AJ672" s="84">
        <v>0.0</v>
      </c>
      <c r="AK672" s="87"/>
      <c r="AL672" s="81">
        <v>0.0</v>
      </c>
      <c r="AM672" s="87"/>
      <c r="AN672" s="141">
        <v>1.0</v>
      </c>
      <c r="AO672" s="21">
        <v>1.5</v>
      </c>
      <c r="AP672" s="16">
        <v>1.0</v>
      </c>
      <c r="AQ672" s="16">
        <v>0.0</v>
      </c>
      <c r="AR672" s="39"/>
      <c r="AS672" s="81">
        <v>0.0</v>
      </c>
      <c r="AT672" s="81">
        <v>0.0</v>
      </c>
      <c r="AU672" s="39"/>
      <c r="AV672" s="82"/>
      <c r="AW672" s="82"/>
      <c r="AX672" s="82"/>
      <c r="AY672" s="7"/>
      <c r="AZ672" s="7"/>
      <c r="BA672" s="7"/>
      <c r="BB672" s="7"/>
      <c r="BC672" s="7"/>
      <c r="BD672" s="7"/>
      <c r="BE672" s="7"/>
      <c r="BF672" s="7" t="s">
        <v>1781</v>
      </c>
      <c r="BG672" s="7">
        <v>1.0</v>
      </c>
      <c r="BH672" s="7"/>
      <c r="BI672" s="7" t="s">
        <v>1781</v>
      </c>
      <c r="BJ672" s="7">
        <v>1.0</v>
      </c>
      <c r="BK672" s="7"/>
      <c r="BL672" s="7" t="s">
        <v>1781</v>
      </c>
      <c r="BM672" s="7">
        <v>1.0</v>
      </c>
      <c r="BN672" s="7"/>
      <c r="BO672" s="7">
        <v>1.0</v>
      </c>
      <c r="BP672" s="82"/>
      <c r="BQ672" s="7"/>
      <c r="BR672" s="7" t="s">
        <v>23</v>
      </c>
    </row>
    <row r="673">
      <c r="A673" s="48">
        <v>61.0</v>
      </c>
      <c r="B673" s="48" t="s">
        <v>743</v>
      </c>
      <c r="C673" s="53">
        <v>0.001</v>
      </c>
      <c r="D673" s="53" t="s">
        <v>744</v>
      </c>
      <c r="E673" s="7">
        <v>486.0</v>
      </c>
      <c r="F673" s="53"/>
      <c r="G673" s="7"/>
      <c r="H673" s="16">
        <v>1.0</v>
      </c>
      <c r="I673" s="16">
        <v>1.0</v>
      </c>
      <c r="J673" s="16" t="s">
        <v>2551</v>
      </c>
      <c r="K673" s="53"/>
      <c r="L673" s="53"/>
      <c r="M673" s="39" t="str">
        <f t="shared" si="1"/>
        <v>[https://onlinelibrary.wiley.com/doi/10.1002/net.3230180309 Lawler; E. L. (1985)]</v>
      </c>
      <c r="N673" s="16" t="s">
        <v>4553</v>
      </c>
      <c r="O673" s="81">
        <v>1985.0</v>
      </c>
      <c r="P673" s="17" t="s">
        <v>4554</v>
      </c>
      <c r="Q673" s="82"/>
      <c r="R673" s="82"/>
      <c r="S673" s="82"/>
      <c r="T673" s="16">
        <v>1.0</v>
      </c>
      <c r="U673" s="16">
        <v>0.0</v>
      </c>
      <c r="V673" s="89">
        <f>IFERROR(__xludf.DUMMYFUNCTION("INDEX(SPLIT(SUBSTITUTE(W673,CHAR(10), """"),"",:""), MATCH(Z673, SPLIT(SUBSTITUTE(W673,CHAR(10), """"),"",:""), 0) + 1)"),8.0)</f>
        <v>8</v>
      </c>
      <c r="W673" s="85" t="s">
        <v>2540</v>
      </c>
      <c r="X673" s="16" t="s">
        <v>2551</v>
      </c>
      <c r="Y673" s="53" t="s">
        <v>2542</v>
      </c>
      <c r="Z673" s="53" t="str">
        <f t="array" ref="Z673">INDEX(Problems!J:J, MATCH(1, (Problems!B:B=B673)*1, 0))</f>
        <v>V</v>
      </c>
      <c r="AA673" s="53"/>
      <c r="AB673" s="53"/>
      <c r="AC673" s="53" t="s">
        <v>1813</v>
      </c>
      <c r="AD673" s="53" t="s">
        <v>1814</v>
      </c>
      <c r="AE673" s="85" t="str">
        <f>IFERROR(__xludf.DUMMYFUNCTION("INDEX(SPLIT(SUBSTITUTE(AF673,CHAR(10), """"),"",:""), MATCH(Z673, SPLIT(SUBSTITUTE(AF673,CHAR(10), """"),"",:""), 0) + 1)"),"#VALUE!")</f>
        <v>#VALUE!</v>
      </c>
      <c r="AF673" s="131"/>
      <c r="AG673" s="53"/>
      <c r="AH673" s="53"/>
      <c r="AI673" s="87"/>
      <c r="AJ673" s="84" t="s">
        <v>2520</v>
      </c>
      <c r="AK673" s="87"/>
      <c r="AL673" s="81">
        <v>0.0</v>
      </c>
      <c r="AM673" s="87"/>
      <c r="AN673" s="81">
        <v>0.0</v>
      </c>
      <c r="AO673" s="90"/>
      <c r="AP673" s="16">
        <v>1.0</v>
      </c>
      <c r="AQ673" s="16">
        <v>0.0</v>
      </c>
      <c r="AR673" s="39"/>
      <c r="AS673" s="81">
        <v>0.0</v>
      </c>
      <c r="AT673" s="81">
        <v>0.0</v>
      </c>
      <c r="AU673" s="39"/>
      <c r="AV673" s="82"/>
      <c r="AW673" s="82"/>
      <c r="AX673" s="82"/>
      <c r="AY673" s="7"/>
      <c r="AZ673" s="7"/>
      <c r="BA673" s="7"/>
      <c r="BB673" s="7"/>
      <c r="BC673" s="7"/>
      <c r="BD673" s="7"/>
      <c r="BE673" s="7"/>
      <c r="BF673" s="7" t="s">
        <v>1781</v>
      </c>
      <c r="BG673" s="7">
        <v>1.0</v>
      </c>
      <c r="BH673" s="7"/>
      <c r="BI673" s="7" t="s">
        <v>1781</v>
      </c>
      <c r="BJ673" s="7">
        <v>1.0</v>
      </c>
      <c r="BK673" s="7"/>
      <c r="BL673" s="7" t="s">
        <v>1781</v>
      </c>
      <c r="BM673" s="7">
        <v>1.0</v>
      </c>
      <c r="BN673" s="7"/>
      <c r="BO673" s="7">
        <v>1.0</v>
      </c>
      <c r="BP673" s="82"/>
      <c r="BQ673" s="7"/>
      <c r="BR673" s="7" t="s">
        <v>23</v>
      </c>
    </row>
    <row r="674">
      <c r="A674" s="48">
        <v>61.0</v>
      </c>
      <c r="B674" s="48" t="s">
        <v>743</v>
      </c>
      <c r="C674" s="53">
        <v>0.001</v>
      </c>
      <c r="D674" s="53" t="s">
        <v>744</v>
      </c>
      <c r="E674" s="7">
        <v>487.0</v>
      </c>
      <c r="F674" s="53"/>
      <c r="G674" s="7"/>
      <c r="H674" s="16">
        <v>1.0</v>
      </c>
      <c r="I674" s="16">
        <v>1.0</v>
      </c>
      <c r="J674" s="16" t="s">
        <v>4555</v>
      </c>
      <c r="K674" s="53"/>
      <c r="L674" s="53"/>
      <c r="M674" s="39" t="str">
        <f t="shared" si="1"/>
        <v>[https://pubsonline.informs.org/doi/abs/10.1287/ijoc.3.4.376 TSPLIB (1991)]</v>
      </c>
      <c r="N674" s="16" t="s">
        <v>4556</v>
      </c>
      <c r="O674" s="81">
        <v>1991.0</v>
      </c>
      <c r="P674" s="25" t="s">
        <v>4557</v>
      </c>
      <c r="Q674" s="82"/>
      <c r="R674" s="82"/>
      <c r="S674" s="82"/>
      <c r="T674" s="16">
        <v>0.0</v>
      </c>
      <c r="U674" s="16">
        <v>0.0</v>
      </c>
      <c r="V674" s="89">
        <f>IFERROR(__xludf.DUMMYFUNCTION("INDEX(SPLIT(SUBSTITUTE(W674,CHAR(10), """"),"",:""), MATCH(Z674, SPLIT(SUBSTITUTE(W674,CHAR(10), """"),"",:""), 0) + 1)"),8.0)</f>
        <v>8</v>
      </c>
      <c r="W674" s="85" t="s">
        <v>2540</v>
      </c>
      <c r="X674" s="16" t="s">
        <v>4558</v>
      </c>
      <c r="Y674" s="53" t="s">
        <v>2542</v>
      </c>
      <c r="Z674" s="53" t="str">
        <f t="array" ref="Z674">INDEX(Problems!J:J, MATCH(1, (Problems!B:B=B674)*1, 0))</f>
        <v>V</v>
      </c>
      <c r="AA674" s="53"/>
      <c r="AB674" s="53"/>
      <c r="AC674" s="53" t="s">
        <v>1813</v>
      </c>
      <c r="AD674" s="53" t="s">
        <v>1814</v>
      </c>
      <c r="AE674" s="85" t="str">
        <f>IFERROR(__xludf.DUMMYFUNCTION("INDEX(SPLIT(SUBSTITUTE(AF674,CHAR(10), """"),"",:""), MATCH(Z674, SPLIT(SUBSTITUTE(AF674,CHAR(10), """"),"",:""), 0) + 1)"),"#VALUE!")</f>
        <v>#VALUE!</v>
      </c>
      <c r="AF674" s="131"/>
      <c r="AG674" s="53"/>
      <c r="AH674" s="53"/>
      <c r="AI674" s="87"/>
      <c r="AJ674" s="84" t="s">
        <v>2520</v>
      </c>
      <c r="AK674" s="87"/>
      <c r="AL674" s="81">
        <v>0.0</v>
      </c>
      <c r="AM674" s="87"/>
      <c r="AN674" s="81">
        <v>0.0</v>
      </c>
      <c r="AO674" s="90"/>
      <c r="AP674" s="16">
        <v>1.0</v>
      </c>
      <c r="AQ674" s="16">
        <v>0.0</v>
      </c>
      <c r="AR674" s="39"/>
      <c r="AS674" s="81">
        <v>0.0</v>
      </c>
      <c r="AT674" s="81">
        <v>0.0</v>
      </c>
      <c r="AU674" s="39"/>
      <c r="AV674" s="82"/>
      <c r="AW674" s="82"/>
      <c r="AX674" s="82"/>
      <c r="AY674" s="7"/>
      <c r="AZ674" s="82"/>
      <c r="BA674" s="82"/>
      <c r="BB674" s="82"/>
      <c r="BC674" s="82"/>
      <c r="BD674" s="82"/>
      <c r="BE674" s="82"/>
      <c r="BF674" s="82"/>
      <c r="BG674" s="82"/>
      <c r="BH674" s="82"/>
      <c r="BI674" s="82"/>
      <c r="BJ674" s="82"/>
      <c r="BK674" s="82"/>
      <c r="BL674" s="82"/>
      <c r="BM674" s="82"/>
      <c r="BN674" s="7"/>
      <c r="BO674" s="7">
        <v>1.0</v>
      </c>
      <c r="BP674" s="82"/>
      <c r="BQ674" s="7"/>
      <c r="BR674" s="7" t="s">
        <v>23</v>
      </c>
    </row>
    <row r="675">
      <c r="A675" s="16">
        <v>62.0</v>
      </c>
      <c r="B675" s="16" t="s">
        <v>758</v>
      </c>
      <c r="C675" s="53">
        <v>1.0</v>
      </c>
      <c r="D675" s="53" t="s">
        <v>759</v>
      </c>
      <c r="E675" s="7">
        <v>496.0</v>
      </c>
      <c r="F675" s="53"/>
      <c r="G675" s="7"/>
      <c r="H675" s="16">
        <v>1.0</v>
      </c>
      <c r="I675" s="81">
        <v>1.0</v>
      </c>
      <c r="J675" s="16" t="s">
        <v>4559</v>
      </c>
      <c r="K675" s="53"/>
      <c r="L675" s="53"/>
      <c r="M675" s="39" t="str">
        <f t="shared" si="1"/>
        <v>[ 5-point star Cramer's rule (1945)]</v>
      </c>
      <c r="N675" s="39" t="s">
        <v>4560</v>
      </c>
      <c r="O675" s="81">
        <v>1945.0</v>
      </c>
      <c r="P675" s="39"/>
      <c r="Q675" s="82"/>
      <c r="R675" s="82"/>
      <c r="S675" s="82"/>
      <c r="T675" s="81">
        <v>1.0</v>
      </c>
      <c r="U675" s="16">
        <v>0.0</v>
      </c>
      <c r="V675" s="89">
        <f>IFERROR(__xludf.DUMMYFUNCTION("INDEX(SPLIT(SUBSTITUTE(W675,CHAR(10), """"),"",:""), MATCH(Z675, SPLIT(SUBSTITUTE(W675,CHAR(10), """"),"",:""), 0) + 1)"),8.0)</f>
        <v>8</v>
      </c>
      <c r="W675" s="85" t="s">
        <v>2001</v>
      </c>
      <c r="X675" s="16" t="s">
        <v>4559</v>
      </c>
      <c r="Y675" s="53" t="s">
        <v>4561</v>
      </c>
      <c r="Z675" s="53" t="str">
        <f t="array" ref="Z675">INDEX(Problems!J:J, MATCH(1, (Problems!B:B=B675)*1, 0))</f>
        <v>n</v>
      </c>
      <c r="AA675" s="53"/>
      <c r="AB675" s="53"/>
      <c r="AC675" s="53" t="s">
        <v>2614</v>
      </c>
      <c r="AD675" s="53" t="s">
        <v>1814</v>
      </c>
      <c r="AE675" s="85">
        <f>IFERROR(__xludf.DUMMYFUNCTION("INDEX(SPLIT(SUBSTITUTE(AF675,CHAR(10), """"),"",:""), MATCH(Z675, SPLIT(SUBSTITUTE(AF675,CHAR(10), """"),"",:""), 0) + 1)"),8.0)</f>
        <v>8</v>
      </c>
      <c r="AF675" s="85" t="s">
        <v>2001</v>
      </c>
      <c r="AG675" s="53" t="s">
        <v>4562</v>
      </c>
      <c r="AH675" s="53" t="s">
        <v>4563</v>
      </c>
      <c r="AI675" s="84">
        <v>1.0</v>
      </c>
      <c r="AJ675" s="84">
        <v>0.0</v>
      </c>
      <c r="AK675" s="87"/>
      <c r="AL675" s="81">
        <v>0.0</v>
      </c>
      <c r="AM675" s="87"/>
      <c r="AN675" s="83">
        <v>0.0</v>
      </c>
      <c r="AO675" s="90"/>
      <c r="AP675" s="81">
        <v>0.0</v>
      </c>
      <c r="AQ675" s="16">
        <v>0.0</v>
      </c>
      <c r="AR675" s="39"/>
      <c r="AS675" s="81">
        <v>0.0</v>
      </c>
      <c r="AT675" s="81">
        <v>0.0</v>
      </c>
      <c r="AU675" s="39"/>
      <c r="AV675" s="82"/>
      <c r="AW675" s="82"/>
      <c r="AX675" s="82"/>
      <c r="AY675" s="7"/>
      <c r="AZ675" s="7" t="s">
        <v>1781</v>
      </c>
      <c r="BA675" s="7"/>
      <c r="BB675" s="7" t="s">
        <v>1781</v>
      </c>
      <c r="BC675" s="7"/>
      <c r="BD675" s="7" t="s">
        <v>1781</v>
      </c>
      <c r="BE675" s="7"/>
      <c r="BF675" s="7" t="s">
        <v>1781</v>
      </c>
      <c r="BG675" s="7">
        <v>1.0</v>
      </c>
      <c r="BH675" s="7"/>
      <c r="BI675" s="7" t="s">
        <v>1781</v>
      </c>
      <c r="BJ675" s="7">
        <v>1.0</v>
      </c>
      <c r="BK675" s="7"/>
      <c r="BL675" s="7" t="s">
        <v>1781</v>
      </c>
      <c r="BM675" s="7">
        <v>1.0</v>
      </c>
      <c r="BN675" s="7"/>
      <c r="BO675" s="7">
        <v>1.0</v>
      </c>
      <c r="BP675" s="82"/>
      <c r="BQ675" s="7"/>
      <c r="BR675" s="7" t="s">
        <v>144</v>
      </c>
    </row>
    <row r="676">
      <c r="A676" s="16">
        <v>62.0</v>
      </c>
      <c r="B676" s="16" t="s">
        <v>758</v>
      </c>
      <c r="C676" s="53">
        <v>1.0</v>
      </c>
      <c r="D676" s="53" t="s">
        <v>759</v>
      </c>
      <c r="E676" s="7">
        <v>497.0</v>
      </c>
      <c r="F676" s="53"/>
      <c r="G676" s="7"/>
      <c r="H676" s="16">
        <v>1.0</v>
      </c>
      <c r="I676" s="81">
        <v>1.0</v>
      </c>
      <c r="J676" s="39" t="s">
        <v>3153</v>
      </c>
      <c r="K676" s="53"/>
      <c r="L676" s="53"/>
      <c r="M676" s="39" t="str">
        <f t="shared" si="1"/>
        <v>[ 5-point Gauss elimination (1945)]</v>
      </c>
      <c r="N676" s="39" t="s">
        <v>4564</v>
      </c>
      <c r="O676" s="81">
        <v>1945.0</v>
      </c>
      <c r="P676" s="39"/>
      <c r="Q676" s="82"/>
      <c r="R676" s="82"/>
      <c r="S676" s="82"/>
      <c r="T676" s="81">
        <v>1.0</v>
      </c>
      <c r="U676" s="39" t="s">
        <v>2143</v>
      </c>
      <c r="V676" s="89">
        <f>IFERROR(__xludf.DUMMYFUNCTION("INDEX(SPLIT(SUBSTITUTE(W676,CHAR(10), """"),"",:""), MATCH(Z676, SPLIT(SUBSTITUTE(W676,CHAR(10), """"),"",:""), 0) + 1)"),7.0)</f>
        <v>7</v>
      </c>
      <c r="W676" s="85" t="s">
        <v>2517</v>
      </c>
      <c r="X676" s="39" t="s">
        <v>3153</v>
      </c>
      <c r="Y676" s="53" t="s">
        <v>4561</v>
      </c>
      <c r="Z676" s="53" t="str">
        <f t="array" ref="Z676">INDEX(Problems!J:J, MATCH(1, (Problems!B:B=B676)*1, 0))</f>
        <v>n</v>
      </c>
      <c r="AA676" s="53"/>
      <c r="AB676" s="53"/>
      <c r="AC676" s="53" t="s">
        <v>2614</v>
      </c>
      <c r="AD676" s="53" t="s">
        <v>1814</v>
      </c>
      <c r="AE676" s="85">
        <f>IFERROR(__xludf.DUMMYFUNCTION("INDEX(SPLIT(SUBSTITUTE(AF676,CHAR(10), """"),"",:""), MATCH(Z676, SPLIT(SUBSTITUTE(AF676,CHAR(10), """"),"",:""), 0) + 1)"),7.0)</f>
        <v>7</v>
      </c>
      <c r="AF676" s="85" t="s">
        <v>2517</v>
      </c>
      <c r="AG676" s="53" t="s">
        <v>3153</v>
      </c>
      <c r="AH676" s="53" t="s">
        <v>4565</v>
      </c>
      <c r="AI676" s="84">
        <v>1.0</v>
      </c>
      <c r="AJ676" s="84">
        <v>0.0</v>
      </c>
      <c r="AK676" s="87"/>
      <c r="AL676" s="81">
        <v>0.0</v>
      </c>
      <c r="AM676" s="87"/>
      <c r="AN676" s="81">
        <v>0.0</v>
      </c>
      <c r="AO676" s="90"/>
      <c r="AP676" s="81">
        <v>0.0</v>
      </c>
      <c r="AQ676" s="81">
        <v>0.0</v>
      </c>
      <c r="AR676" s="39"/>
      <c r="AS676" s="81">
        <v>0.0</v>
      </c>
      <c r="AT676" s="81">
        <v>0.0</v>
      </c>
      <c r="AU676" s="39"/>
      <c r="AV676" s="82"/>
      <c r="AW676" s="82"/>
      <c r="AX676" s="82"/>
      <c r="AY676" s="7"/>
      <c r="AZ676" s="7">
        <f>POW(1000, 4)</f>
        <v>1000000000000</v>
      </c>
      <c r="BA676" s="7" t="s">
        <v>1781</v>
      </c>
      <c r="BB676" s="7">
        <f>POW(1000000, 4)</f>
        <v>1E+24</v>
      </c>
      <c r="BC676" s="7" t="s">
        <v>1781</v>
      </c>
      <c r="BD676" s="7">
        <f>POW(1000000000, 4)</f>
        <v>1E+36</v>
      </c>
      <c r="BE676" s="7" t="s">
        <v>1781</v>
      </c>
      <c r="BF676" s="7">
        <v>1.0E12</v>
      </c>
      <c r="BG676" s="7" t="s">
        <v>1781</v>
      </c>
      <c r="BH676" s="7" t="s">
        <v>1781</v>
      </c>
      <c r="BI676" s="82">
        <f>POW(1000000, 4)</f>
        <v>1E+24</v>
      </c>
      <c r="BJ676" s="7" t="s">
        <v>1781</v>
      </c>
      <c r="BK676" s="7" t="s">
        <v>1781</v>
      </c>
      <c r="BL676" s="82">
        <f>POW(1000000000, 4)</f>
        <v>1E+36</v>
      </c>
      <c r="BM676" s="7" t="s">
        <v>1781</v>
      </c>
      <c r="BN676" s="7" t="s">
        <v>1781</v>
      </c>
      <c r="BO676" s="7">
        <v>1.0</v>
      </c>
      <c r="BP676" s="82"/>
      <c r="BQ676" s="7"/>
      <c r="BR676" s="7" t="s">
        <v>144</v>
      </c>
    </row>
    <row r="677">
      <c r="A677" s="16">
        <v>62.0</v>
      </c>
      <c r="B677" s="16" t="s">
        <v>758</v>
      </c>
      <c r="C677" s="53">
        <v>1.0</v>
      </c>
      <c r="D677" s="53" t="s">
        <v>759</v>
      </c>
      <c r="E677" s="7">
        <v>498.0</v>
      </c>
      <c r="F677" s="53"/>
      <c r="G677" s="7"/>
      <c r="H677" s="16">
        <v>1.0</v>
      </c>
      <c r="I677" s="81">
        <v>1.0</v>
      </c>
      <c r="J677" s="39" t="s">
        <v>4566</v>
      </c>
      <c r="K677" s="53"/>
      <c r="L677" s="53"/>
      <c r="M677" s="39" t="str">
        <f t="shared" si="1"/>
        <v>[ 5-point Gauss Seidel iteration (1945)]</v>
      </c>
      <c r="N677" s="39" t="s">
        <v>4567</v>
      </c>
      <c r="O677" s="81">
        <v>1945.0</v>
      </c>
      <c r="P677" s="39"/>
      <c r="Q677" s="82"/>
      <c r="R677" s="82"/>
      <c r="S677" s="82"/>
      <c r="T677" s="81">
        <v>0.0</v>
      </c>
      <c r="U677" s="16">
        <v>0.0</v>
      </c>
      <c r="V677" s="89">
        <f>IFERROR(__xludf.DUMMYFUNCTION("INDEX(SPLIT(SUBSTITUTE(W677,CHAR(10), """"),"",:""), MATCH(Z677, SPLIT(SUBSTITUTE(W677,CHAR(10), """"),"",:""), 0) + 1)"),7.01)</f>
        <v>7.01</v>
      </c>
      <c r="W677" s="85" t="s">
        <v>4568</v>
      </c>
      <c r="X677" s="16" t="s">
        <v>4569</v>
      </c>
      <c r="Y677" s="53" t="s">
        <v>4561</v>
      </c>
      <c r="Z677" s="53" t="str">
        <f t="array" ref="Z677">INDEX(Problems!J:J, MATCH(1, (Problems!B:B=B677)*1, 0))</f>
        <v>n</v>
      </c>
      <c r="AA677" s="53"/>
      <c r="AB677" s="53"/>
      <c r="AC677" s="53" t="s">
        <v>2614</v>
      </c>
      <c r="AD677" s="53" t="s">
        <v>1814</v>
      </c>
      <c r="AE677" s="85">
        <f>IFERROR(__xludf.DUMMYFUNCTION("INDEX(SPLIT(SUBSTITUTE(AF677,CHAR(10), """"),"",:""), MATCH(Z677, SPLIT(SUBSTITUTE(AF677,CHAR(10), """"),"",:""), 0) + 1)"),5.0)</f>
        <v>5</v>
      </c>
      <c r="AF677" s="85" t="s">
        <v>1938</v>
      </c>
      <c r="AG677" s="53" t="s">
        <v>2615</v>
      </c>
      <c r="AH677" s="53" t="s">
        <v>4570</v>
      </c>
      <c r="AI677" s="84">
        <v>1.0</v>
      </c>
      <c r="AJ677" s="84">
        <v>0.0</v>
      </c>
      <c r="AK677" s="87"/>
      <c r="AL677" s="81">
        <v>0.0</v>
      </c>
      <c r="AM677" s="87"/>
      <c r="AN677" s="81">
        <v>0.0</v>
      </c>
      <c r="AO677" s="90"/>
      <c r="AP677" s="81">
        <v>0.0</v>
      </c>
      <c r="AQ677" s="81">
        <v>0.0</v>
      </c>
      <c r="AR677" s="39"/>
      <c r="AS677" s="81">
        <v>0.0</v>
      </c>
      <c r="AT677" s="81">
        <v>0.0</v>
      </c>
      <c r="AU677" s="39"/>
      <c r="AV677" s="82"/>
      <c r="AW677" s="82"/>
      <c r="AX677" s="82"/>
      <c r="AY677" s="7"/>
      <c r="AZ677" s="82">
        <f>POW(1000, 2)</f>
        <v>1000000</v>
      </c>
      <c r="BA677" s="82">
        <f>POW(AZ676/AZ677,1)-1</f>
        <v>999999</v>
      </c>
      <c r="BB677" s="82">
        <f>POW(1000000,2)</f>
        <v>1000000000000</v>
      </c>
      <c r="BC677" s="82">
        <f>POW(BB676/BB677,1)-1</f>
        <v>999999999999</v>
      </c>
      <c r="BD677" s="82">
        <f>POW(1000000000,2)</f>
        <v>1E+18</v>
      </c>
      <c r="BE677" s="82">
        <f>POW(BD676/BD677,1)-1</f>
        <v>1E+18</v>
      </c>
      <c r="BF677" s="82"/>
      <c r="BG677" s="82"/>
      <c r="BH677" s="82"/>
      <c r="BI677" s="82"/>
      <c r="BJ677" s="82"/>
      <c r="BK677" s="82"/>
      <c r="BL677" s="82"/>
      <c r="BM677" s="82"/>
      <c r="BN677" s="7"/>
      <c r="BO677" s="7">
        <v>1.0</v>
      </c>
      <c r="BP677" s="82"/>
      <c r="BQ677" s="7"/>
      <c r="BR677" s="7" t="s">
        <v>144</v>
      </c>
    </row>
    <row r="678">
      <c r="A678" s="16">
        <v>62.0</v>
      </c>
      <c r="B678" s="16" t="s">
        <v>758</v>
      </c>
      <c r="C678" s="53">
        <v>1.0</v>
      </c>
      <c r="D678" s="53" t="s">
        <v>759</v>
      </c>
      <c r="E678" s="7">
        <v>499.0</v>
      </c>
      <c r="F678" s="53"/>
      <c r="G678" s="7"/>
      <c r="H678" s="16">
        <v>1.0</v>
      </c>
      <c r="I678" s="81">
        <v>1.0</v>
      </c>
      <c r="J678" s="39" t="s">
        <v>4140</v>
      </c>
      <c r="K678" s="53"/>
      <c r="L678" s="53"/>
      <c r="M678" s="39" t="str">
        <f t="shared" si="1"/>
        <v>[ 5-point SOR iteration (1954)]</v>
      </c>
      <c r="N678" s="39" t="s">
        <v>4571</v>
      </c>
      <c r="O678" s="81">
        <v>1954.0</v>
      </c>
      <c r="P678" s="39"/>
      <c r="Q678" s="82"/>
      <c r="R678" s="82"/>
      <c r="S678" s="82"/>
      <c r="T678" s="81">
        <v>1.0</v>
      </c>
      <c r="U678" s="16">
        <v>0.0</v>
      </c>
      <c r="V678" s="89">
        <f>IFERROR(__xludf.DUMMYFUNCTION("INDEX(SPLIT(SUBSTITUTE(W678,CHAR(10), """"),"",:""), MATCH(Z678, SPLIT(SUBSTITUTE(W678,CHAR(10), """"),"",:""), 0) + 1)"),6.01)</f>
        <v>6.01</v>
      </c>
      <c r="W678" s="85" t="s">
        <v>4142</v>
      </c>
      <c r="X678" s="16" t="s">
        <v>4143</v>
      </c>
      <c r="Y678" s="53" t="s">
        <v>4561</v>
      </c>
      <c r="Z678" s="53" t="str">
        <f t="array" ref="Z678">INDEX(Problems!J:J, MATCH(1, (Problems!B:B=B678)*1, 0))</f>
        <v>n</v>
      </c>
      <c r="AA678" s="53"/>
      <c r="AB678" s="53"/>
      <c r="AC678" s="53" t="s">
        <v>2614</v>
      </c>
      <c r="AD678" s="53" t="s">
        <v>1814</v>
      </c>
      <c r="AE678" s="85">
        <f>IFERROR(__xludf.DUMMYFUNCTION("INDEX(SPLIT(SUBSTITUTE(AF678,CHAR(10), """"),"",:""), MATCH(Z678, SPLIT(SUBSTITUTE(AF678,CHAR(10), """"),"",:""), 0) + 1)"),5.0)</f>
        <v>5</v>
      </c>
      <c r="AF678" s="85" t="s">
        <v>1938</v>
      </c>
      <c r="AG678" s="53" t="s">
        <v>2615</v>
      </c>
      <c r="AH678" s="53" t="s">
        <v>4572</v>
      </c>
      <c r="AI678" s="84">
        <v>1.0</v>
      </c>
      <c r="AJ678" s="84">
        <v>0.0</v>
      </c>
      <c r="AK678" s="87"/>
      <c r="AL678" s="81">
        <v>0.0</v>
      </c>
      <c r="AM678" s="87"/>
      <c r="AN678" s="81">
        <v>0.0</v>
      </c>
      <c r="AO678" s="90"/>
      <c r="AP678" s="81">
        <v>0.0</v>
      </c>
      <c r="AQ678" s="81">
        <v>0.0</v>
      </c>
      <c r="AR678" s="39"/>
      <c r="AS678" s="81">
        <v>0.0</v>
      </c>
      <c r="AT678" s="81">
        <v>0.0</v>
      </c>
      <c r="AU678" s="25" t="s">
        <v>4573</v>
      </c>
      <c r="AV678" s="82"/>
      <c r="AW678" s="82"/>
      <c r="AX678" s="82"/>
      <c r="AY678" s="7"/>
      <c r="AZ678" s="82"/>
      <c r="BA678" s="82"/>
      <c r="BB678" s="82"/>
      <c r="BC678" s="82"/>
      <c r="BD678" s="82"/>
      <c r="BE678" s="82"/>
      <c r="BF678" s="82">
        <f>POW(1000,3)*LOG(1000,2)</f>
        <v>9965784285</v>
      </c>
      <c r="BG678" s="7" t="s">
        <v>1781</v>
      </c>
      <c r="BH678" s="82"/>
      <c r="BI678" s="82">
        <f>POW(1000000,3)*LOG(1000000,2)</f>
        <v>1.99316E+19</v>
      </c>
      <c r="BJ678" s="7" t="s">
        <v>1781</v>
      </c>
      <c r="BK678" s="152"/>
      <c r="BL678" s="152">
        <f>POW(1000000000,3)*LOG(1000000000,2)</f>
        <v>2.98974E+28</v>
      </c>
      <c r="BM678" s="7" t="s">
        <v>1781</v>
      </c>
      <c r="BN678" s="7"/>
      <c r="BO678" s="7">
        <v>1.0</v>
      </c>
      <c r="BP678" s="82"/>
      <c r="BQ678" s="7"/>
      <c r="BR678" s="7" t="s">
        <v>144</v>
      </c>
    </row>
    <row r="679">
      <c r="A679" s="16">
        <v>62.0</v>
      </c>
      <c r="B679" s="16" t="s">
        <v>758</v>
      </c>
      <c r="C679" s="53">
        <v>1.0</v>
      </c>
      <c r="D679" s="53" t="s">
        <v>759</v>
      </c>
      <c r="E679" s="7">
        <v>500.0</v>
      </c>
      <c r="F679" s="53"/>
      <c r="G679" s="7"/>
      <c r="H679" s="16">
        <v>1.0</v>
      </c>
      <c r="I679" s="81">
        <v>1.0</v>
      </c>
      <c r="J679" s="39" t="s">
        <v>4574</v>
      </c>
      <c r="K679" s="53"/>
      <c r="L679" s="53"/>
      <c r="M679" s="39" t="str">
        <f t="shared" si="1"/>
        <v>[ 5-point ADI iteration (1955)]</v>
      </c>
      <c r="N679" s="39" t="s">
        <v>4575</v>
      </c>
      <c r="O679" s="81">
        <v>1955.0</v>
      </c>
      <c r="P679" s="39"/>
      <c r="Q679" s="82"/>
      <c r="R679" s="82"/>
      <c r="S679" s="82"/>
      <c r="T679" s="81">
        <v>1.0</v>
      </c>
      <c r="U679" s="39" t="s">
        <v>2019</v>
      </c>
      <c r="V679" s="89">
        <f>IFERROR(__xludf.DUMMYFUNCTION("INDEX(SPLIT(SUBSTITUTE(W679,CHAR(10), """"),"",:""), MATCH(Z679, SPLIT(SUBSTITUTE(W679,CHAR(10), """"),"",:""), 0) + 1)"),5.02)</f>
        <v>5.02</v>
      </c>
      <c r="W679" s="85" t="s">
        <v>3461</v>
      </c>
      <c r="X679" s="16" t="s">
        <v>3462</v>
      </c>
      <c r="Y679" s="53" t="s">
        <v>4561</v>
      </c>
      <c r="Z679" s="53" t="str">
        <f t="array" ref="Z679">INDEX(Problems!J:J, MATCH(1, (Problems!B:B=B679)*1, 0))</f>
        <v>n</v>
      </c>
      <c r="AA679" s="53"/>
      <c r="AB679" s="53"/>
      <c r="AC679" s="53" t="s">
        <v>2614</v>
      </c>
      <c r="AD679" s="53" t="s">
        <v>1814</v>
      </c>
      <c r="AE679" s="85">
        <f>IFERROR(__xludf.DUMMYFUNCTION("INDEX(SPLIT(SUBSTITUTE(AF679,CHAR(10), """"),"",:""), MATCH(Z679, SPLIT(SUBSTITUTE(AF679,CHAR(10), """"),"",:""), 0) + 1)"),5.0)</f>
        <v>5</v>
      </c>
      <c r="AF679" s="85" t="s">
        <v>1938</v>
      </c>
      <c r="AG679" s="53" t="s">
        <v>2615</v>
      </c>
      <c r="AH679" s="53" t="s">
        <v>4570</v>
      </c>
      <c r="AI679" s="84">
        <v>1.0</v>
      </c>
      <c r="AJ679" s="84">
        <v>0.0</v>
      </c>
      <c r="AK679" s="87"/>
      <c r="AL679" s="81">
        <v>0.0</v>
      </c>
      <c r="AM679" s="87"/>
      <c r="AN679" s="81">
        <v>0.0</v>
      </c>
      <c r="AO679" s="90"/>
      <c r="AP679" s="81">
        <v>0.0</v>
      </c>
      <c r="AQ679" s="81">
        <v>0.0</v>
      </c>
      <c r="AR679" s="39"/>
      <c r="AS679" s="81">
        <v>0.0</v>
      </c>
      <c r="AT679" s="81">
        <v>0.0</v>
      </c>
      <c r="AU679" s="25" t="s">
        <v>4576</v>
      </c>
      <c r="AV679" s="82"/>
      <c r="AW679" s="82"/>
      <c r="AX679" s="82"/>
      <c r="AY679" s="7"/>
      <c r="AZ679" s="82"/>
      <c r="BA679" s="82"/>
      <c r="BB679" s="82"/>
      <c r="BC679" s="82"/>
      <c r="BD679" s="82"/>
      <c r="BE679" s="82"/>
      <c r="BF679" s="82">
        <f>POW(1000,2)*POW(LOG(1000,2),2)</f>
        <v>99316856.41</v>
      </c>
      <c r="BG679" s="7" t="s">
        <v>1781</v>
      </c>
      <c r="BH679" s="82"/>
      <c r="BI679" s="82">
        <f>POW(1000000,2)*POW(LOG(1000000,2),2)</f>
        <v>397267425633671</v>
      </c>
      <c r="BJ679" s="7" t="s">
        <v>1781</v>
      </c>
      <c r="BK679" s="82"/>
      <c r="BL679" s="82">
        <f>POW(1000000000,2)*POW(LOG(1000000000,2),2)</f>
        <v>8.93852E+20</v>
      </c>
      <c r="BM679" s="7" t="s">
        <v>1781</v>
      </c>
      <c r="BN679" s="7"/>
      <c r="BO679" s="7">
        <v>1.0</v>
      </c>
      <c r="BP679" s="82"/>
      <c r="BQ679" s="7"/>
      <c r="BR679" s="7" t="s">
        <v>144</v>
      </c>
    </row>
    <row r="680">
      <c r="A680" s="16">
        <v>62.0</v>
      </c>
      <c r="B680" s="16" t="s">
        <v>758</v>
      </c>
      <c r="C680" s="53">
        <v>1.0</v>
      </c>
      <c r="D680" s="53" t="s">
        <v>759</v>
      </c>
      <c r="E680" s="7">
        <v>501.0</v>
      </c>
      <c r="F680" s="53"/>
      <c r="G680" s="7"/>
      <c r="H680" s="16">
        <v>1.0</v>
      </c>
      <c r="I680" s="81">
        <v>1.0</v>
      </c>
      <c r="J680" s="21" t="s">
        <v>834</v>
      </c>
      <c r="K680" s="53"/>
      <c r="L680" s="53"/>
      <c r="M680" s="39" t="str">
        <f t="shared" si="1"/>
        <v>[ 9-point SOR iteration (1956)]</v>
      </c>
      <c r="N680" s="39" t="s">
        <v>4577</v>
      </c>
      <c r="O680" s="81">
        <v>1956.0</v>
      </c>
      <c r="P680" s="39"/>
      <c r="Q680" s="82"/>
      <c r="R680" s="82"/>
      <c r="S680" s="82"/>
      <c r="T680" s="81">
        <v>0.0</v>
      </c>
      <c r="U680" s="16">
        <v>0.0</v>
      </c>
      <c r="V680" s="89">
        <f>IFERROR(__xludf.DUMMYFUNCTION("INDEX(SPLIT(SUBSTITUTE(W680,CHAR(10), """"),"",:""), MATCH(Z680, SPLIT(SUBSTITUTE(W680,CHAR(10), """"),"",:""), 0) + 1)"),6.0)</f>
        <v>6</v>
      </c>
      <c r="W680" s="85" t="s">
        <v>2008</v>
      </c>
      <c r="X680" s="21" t="s">
        <v>834</v>
      </c>
      <c r="Y680" s="53" t="s">
        <v>4561</v>
      </c>
      <c r="Z680" s="53" t="str">
        <f t="array" ref="Z680">INDEX(Problems!J:J, MATCH(1, (Problems!B:B=B680)*1, 0))</f>
        <v>n</v>
      </c>
      <c r="AA680" s="53"/>
      <c r="AB680" s="53"/>
      <c r="AC680" s="53" t="s">
        <v>2614</v>
      </c>
      <c r="AD680" s="53" t="s">
        <v>1814</v>
      </c>
      <c r="AE680" s="85">
        <f>IFERROR(__xludf.DUMMYFUNCTION("INDEX(SPLIT(SUBSTITUTE(AF680,CHAR(10), """"),"",:""), MATCH(Z680, SPLIT(SUBSTITUTE(AF680,CHAR(10), """"),"",:""), 0) + 1)"),5.0)</f>
        <v>5</v>
      </c>
      <c r="AF680" s="85" t="s">
        <v>1938</v>
      </c>
      <c r="AG680" s="53" t="s">
        <v>2615</v>
      </c>
      <c r="AH680" s="53" t="s">
        <v>4572</v>
      </c>
      <c r="AI680" s="84">
        <v>1.0</v>
      </c>
      <c r="AJ680" s="84">
        <v>0.0</v>
      </c>
      <c r="AK680" s="87"/>
      <c r="AL680" s="81">
        <v>0.0</v>
      </c>
      <c r="AM680" s="87"/>
      <c r="AN680" s="81">
        <v>0.0</v>
      </c>
      <c r="AO680" s="90"/>
      <c r="AP680" s="81">
        <v>0.0</v>
      </c>
      <c r="AQ680" s="81">
        <v>0.0</v>
      </c>
      <c r="AR680" s="39"/>
      <c r="AS680" s="81">
        <v>0.0</v>
      </c>
      <c r="AT680" s="81">
        <v>0.0</v>
      </c>
      <c r="AU680" s="25" t="s">
        <v>4573</v>
      </c>
      <c r="AV680" s="82"/>
      <c r="AW680" s="82"/>
      <c r="AX680" s="82"/>
      <c r="AY680" s="7"/>
      <c r="AZ680" s="7"/>
      <c r="BA680" s="7"/>
      <c r="BB680" s="7"/>
      <c r="BC680" s="7"/>
      <c r="BD680" s="7"/>
      <c r="BE680" s="7"/>
      <c r="BF680" s="7">
        <v>1.0E9</v>
      </c>
      <c r="BG680" s="82"/>
      <c r="BH680" s="82"/>
      <c r="BI680" s="82"/>
      <c r="BJ680" s="82"/>
      <c r="BK680" s="82"/>
      <c r="BL680" s="82"/>
      <c r="BM680" s="82"/>
      <c r="BN680" s="7"/>
      <c r="BO680" s="7">
        <v>1.0</v>
      </c>
      <c r="BP680" s="82"/>
      <c r="BQ680" s="7"/>
      <c r="BR680" s="7" t="s">
        <v>144</v>
      </c>
    </row>
    <row r="681">
      <c r="A681" s="16">
        <v>62.0</v>
      </c>
      <c r="B681" s="16" t="s">
        <v>758</v>
      </c>
      <c r="C681" s="53">
        <v>1.0</v>
      </c>
      <c r="D681" s="53" t="s">
        <v>759</v>
      </c>
      <c r="E681" s="7">
        <v>502.0</v>
      </c>
      <c r="F681" s="53"/>
      <c r="G681" s="7"/>
      <c r="H681" s="16">
        <v>1.0</v>
      </c>
      <c r="I681" s="81">
        <v>1.0</v>
      </c>
      <c r="J681" s="21" t="s">
        <v>834</v>
      </c>
      <c r="K681" s="53"/>
      <c r="L681" s="53"/>
      <c r="M681" s="39" t="str">
        <f t="shared" si="1"/>
        <v>[https://epubs.siam.org/doi/pdf/10.1137/0113067 9-point Tensor product (1964)]</v>
      </c>
      <c r="N681" s="39" t="s">
        <v>4578</v>
      </c>
      <c r="O681" s="81">
        <v>1964.0</v>
      </c>
      <c r="P681" s="25" t="s">
        <v>4579</v>
      </c>
      <c r="Q681" s="82"/>
      <c r="R681" s="82"/>
      <c r="S681" s="82"/>
      <c r="T681" s="81">
        <v>1.0</v>
      </c>
      <c r="U681" s="16">
        <v>0.0</v>
      </c>
      <c r="V681" s="89">
        <f>IFERROR(__xludf.DUMMYFUNCTION("INDEX(SPLIT(SUBSTITUTE(W681,CHAR(10), """"),"",:""), MATCH(Z681, SPLIT(SUBSTITUTE(W681,CHAR(10), """"),"",:""), 0) + 1)"),6.0)</f>
        <v>6</v>
      </c>
      <c r="W681" s="85" t="s">
        <v>2008</v>
      </c>
      <c r="X681" s="21" t="s">
        <v>834</v>
      </c>
      <c r="Y681" s="53" t="s">
        <v>4561</v>
      </c>
      <c r="Z681" s="53" t="str">
        <f t="array" ref="Z681">INDEX(Problems!J:J, MATCH(1, (Problems!B:B=B681)*1, 0))</f>
        <v>n</v>
      </c>
      <c r="AA681" s="53"/>
      <c r="AB681" s="53"/>
      <c r="AC681" s="53" t="s">
        <v>2614</v>
      </c>
      <c r="AD681" s="53" t="s">
        <v>1814</v>
      </c>
      <c r="AE681" s="85">
        <f>IFERROR(__xludf.DUMMYFUNCTION("INDEX(SPLIT(SUBSTITUTE(AF681,CHAR(10), """"),"",:""), MATCH(Z681, SPLIT(SUBSTITUTE(AF681,CHAR(10), """"),"",:""), 0) + 1)"),5.0)</f>
        <v>5</v>
      </c>
      <c r="AF681" s="85" t="s">
        <v>1938</v>
      </c>
      <c r="AG681" s="53" t="s">
        <v>2615</v>
      </c>
      <c r="AH681" s="53" t="s">
        <v>4570</v>
      </c>
      <c r="AI681" s="84">
        <v>1.0</v>
      </c>
      <c r="AJ681" s="84">
        <v>0.0</v>
      </c>
      <c r="AK681" s="87"/>
      <c r="AL681" s="81">
        <v>0.0</v>
      </c>
      <c r="AM681" s="87"/>
      <c r="AN681" s="81">
        <v>0.0</v>
      </c>
      <c r="AO681" s="90"/>
      <c r="AP681" s="81">
        <v>0.0</v>
      </c>
      <c r="AQ681" s="81">
        <v>0.0</v>
      </c>
      <c r="AR681" s="39"/>
      <c r="AS681" s="81">
        <v>0.0</v>
      </c>
      <c r="AT681" s="81">
        <v>0.0</v>
      </c>
      <c r="AU681" s="39"/>
      <c r="AV681" s="82"/>
      <c r="AW681" s="82"/>
      <c r="AX681" s="82"/>
      <c r="AY681" s="7"/>
      <c r="AZ681" s="7"/>
      <c r="BA681" s="7"/>
      <c r="BB681" s="7"/>
      <c r="BC681" s="7"/>
      <c r="BD681" s="7"/>
      <c r="BE681" s="7"/>
      <c r="BF681" s="7">
        <v>9965784.0</v>
      </c>
      <c r="BG681" s="7" t="s">
        <v>1781</v>
      </c>
      <c r="BH681" s="82"/>
      <c r="BI681" s="82">
        <f>POW(1000000,2)*LOG(1000000,2)</f>
        <v>19931568569324</v>
      </c>
      <c r="BJ681" s="7" t="s">
        <v>1781</v>
      </c>
      <c r="BK681" s="82"/>
      <c r="BL681" s="82">
        <f>POW(1000000000,2)*LOG(1000000000,2)</f>
        <v>2.98974E+19</v>
      </c>
      <c r="BM681" s="7" t="s">
        <v>1781</v>
      </c>
      <c r="BN681" s="7"/>
      <c r="BO681" s="7">
        <v>1.0</v>
      </c>
      <c r="BP681" s="82"/>
      <c r="BQ681" s="7"/>
      <c r="BR681" s="7" t="s">
        <v>144</v>
      </c>
    </row>
    <row r="682">
      <c r="A682" s="16">
        <v>62.0</v>
      </c>
      <c r="B682" s="16" t="s">
        <v>758</v>
      </c>
      <c r="C682" s="53">
        <v>1.0</v>
      </c>
      <c r="D682" s="53" t="s">
        <v>759</v>
      </c>
      <c r="E682" s="7">
        <v>503.0</v>
      </c>
      <c r="F682" s="53"/>
      <c r="G682" s="7"/>
      <c r="H682" s="16">
        <v>1.0</v>
      </c>
      <c r="I682" s="81">
        <v>1.0</v>
      </c>
      <c r="J682" s="21" t="s">
        <v>3529</v>
      </c>
      <c r="K682" s="53"/>
      <c r="L682" s="53"/>
      <c r="M682" s="39" t="str">
        <f t="shared" si="1"/>
        <v>[ 9-point ADI iteration (1965)]</v>
      </c>
      <c r="N682" s="39" t="s">
        <v>4580</v>
      </c>
      <c r="O682" s="81">
        <v>1965.0</v>
      </c>
      <c r="P682" s="39"/>
      <c r="Q682" s="82"/>
      <c r="R682" s="82"/>
      <c r="S682" s="82"/>
      <c r="T682" s="81">
        <v>0.0</v>
      </c>
      <c r="U682" s="16">
        <v>0.0</v>
      </c>
      <c r="V682" s="89">
        <f>IFERROR(__xludf.DUMMYFUNCTION("INDEX(SPLIT(SUBSTITUTE(W682,CHAR(10), """"),"",:""), MATCH(Z682, SPLIT(SUBSTITUTE(W682,CHAR(10), """"),"",:""), 0) + 1)"),5.01)</f>
        <v>5.01</v>
      </c>
      <c r="W682" s="85" t="s">
        <v>1890</v>
      </c>
      <c r="X682" s="21" t="s">
        <v>1564</v>
      </c>
      <c r="Y682" s="53" t="s">
        <v>4561</v>
      </c>
      <c r="Z682" s="53" t="str">
        <f t="array" ref="Z682">INDEX(Problems!J:J, MATCH(1, (Problems!B:B=B682)*1, 0))</f>
        <v>n</v>
      </c>
      <c r="AA682" s="53"/>
      <c r="AB682" s="53"/>
      <c r="AC682" s="53" t="s">
        <v>2614</v>
      </c>
      <c r="AD682" s="53" t="s">
        <v>1814</v>
      </c>
      <c r="AE682" s="85">
        <f>IFERROR(__xludf.DUMMYFUNCTION("INDEX(SPLIT(SUBSTITUTE(AF682,CHAR(10), """"),"",:""), MATCH(Z682, SPLIT(SUBSTITUTE(AF682,CHAR(10), """"),"",:""), 0) + 1)"),5.0)</f>
        <v>5</v>
      </c>
      <c r="AF682" s="85" t="s">
        <v>1938</v>
      </c>
      <c r="AG682" s="53" t="s">
        <v>2615</v>
      </c>
      <c r="AH682" s="53" t="s">
        <v>4570</v>
      </c>
      <c r="AI682" s="84">
        <v>1.0</v>
      </c>
      <c r="AJ682" s="84">
        <v>0.0</v>
      </c>
      <c r="AK682" s="87"/>
      <c r="AL682" s="81">
        <v>0.0</v>
      </c>
      <c r="AM682" s="87"/>
      <c r="AN682" s="81">
        <v>0.0</v>
      </c>
      <c r="AO682" s="90"/>
      <c r="AP682" s="81">
        <v>0.0</v>
      </c>
      <c r="AQ682" s="81">
        <v>0.0</v>
      </c>
      <c r="AR682" s="39"/>
      <c r="AS682" s="81">
        <v>0.0</v>
      </c>
      <c r="AT682" s="81">
        <v>0.0</v>
      </c>
      <c r="AU682" s="39"/>
      <c r="AV682" s="82"/>
      <c r="AW682" s="82"/>
      <c r="AX682" s="82"/>
      <c r="AY682" s="7"/>
      <c r="AZ682" s="122"/>
      <c r="BA682" s="122"/>
      <c r="BB682" s="122"/>
      <c r="BC682" s="122"/>
      <c r="BD682" s="122"/>
      <c r="BE682" s="122"/>
      <c r="BF682" s="122">
        <v>9965784.0</v>
      </c>
      <c r="BG682" s="82"/>
      <c r="BH682" s="82"/>
      <c r="BI682" s="82"/>
      <c r="BJ682" s="82"/>
      <c r="BK682" s="82"/>
      <c r="BL682" s="82"/>
      <c r="BM682" s="82"/>
      <c r="BN682" s="7"/>
      <c r="BO682" s="7">
        <v>1.0</v>
      </c>
      <c r="BP682" s="82"/>
      <c r="BQ682" s="7"/>
      <c r="BR682" s="7" t="s">
        <v>144</v>
      </c>
    </row>
    <row r="683">
      <c r="A683" s="16">
        <v>62.0</v>
      </c>
      <c r="B683" s="16" t="s">
        <v>758</v>
      </c>
      <c r="C683" s="53">
        <v>1.0</v>
      </c>
      <c r="D683" s="53" t="s">
        <v>759</v>
      </c>
      <c r="E683" s="7">
        <v>504.0</v>
      </c>
      <c r="F683" s="53"/>
      <c r="G683" s="7"/>
      <c r="H683" s="16">
        <v>1.0</v>
      </c>
      <c r="I683" s="81">
        <v>1.0</v>
      </c>
      <c r="J683" s="21" t="s">
        <v>3529</v>
      </c>
      <c r="K683" s="53"/>
      <c r="L683" s="53"/>
      <c r="M683" s="39" t="str">
        <f t="shared" si="1"/>
        <v>[ 5-point FFT (1965)]</v>
      </c>
      <c r="N683" s="39" t="s">
        <v>4581</v>
      </c>
      <c r="O683" s="81">
        <v>1965.0</v>
      </c>
      <c r="P683" s="39"/>
      <c r="Q683" s="82"/>
      <c r="R683" s="82"/>
      <c r="S683" s="82"/>
      <c r="T683" s="81">
        <v>0.0</v>
      </c>
      <c r="U683" s="16">
        <v>0.0</v>
      </c>
      <c r="V683" s="89">
        <f>IFERROR(__xludf.DUMMYFUNCTION("INDEX(SPLIT(SUBSTITUTE(W683,CHAR(10), """"),"",:""), MATCH(Z683, SPLIT(SUBSTITUTE(W683,CHAR(10), """"),"",:""), 0) + 1)"),5.01)</f>
        <v>5.01</v>
      </c>
      <c r="W683" s="85" t="s">
        <v>1890</v>
      </c>
      <c r="X683" s="21" t="s">
        <v>1564</v>
      </c>
      <c r="Y683" s="53" t="s">
        <v>4561</v>
      </c>
      <c r="Z683" s="53" t="str">
        <f t="array" ref="Z683">INDEX(Problems!J:J, MATCH(1, (Problems!B:B=B683)*1, 0))</f>
        <v>n</v>
      </c>
      <c r="AA683" s="53"/>
      <c r="AB683" s="53"/>
      <c r="AC683" s="53" t="s">
        <v>2614</v>
      </c>
      <c r="AD683" s="53" t="s">
        <v>1814</v>
      </c>
      <c r="AE683" s="85">
        <f>IFERROR(__xludf.DUMMYFUNCTION("INDEX(SPLIT(SUBSTITUTE(AF683,CHAR(10), """"),"",:""), MATCH(Z683, SPLIT(SUBSTITUTE(AF683,CHAR(10), """"),"",:""), 0) + 1)"),5.0)</f>
        <v>5</v>
      </c>
      <c r="AF683" s="85" t="s">
        <v>1938</v>
      </c>
      <c r="AG683" s="53" t="s">
        <v>2615</v>
      </c>
      <c r="AH683" s="53" t="s">
        <v>4582</v>
      </c>
      <c r="AI683" s="84">
        <v>1.0</v>
      </c>
      <c r="AJ683" s="84">
        <v>0.0</v>
      </c>
      <c r="AK683" s="87"/>
      <c r="AL683" s="81">
        <v>0.0</v>
      </c>
      <c r="AM683" s="87"/>
      <c r="AN683" s="81">
        <v>0.0</v>
      </c>
      <c r="AO683" s="90"/>
      <c r="AP683" s="81">
        <v>0.0</v>
      </c>
      <c r="AQ683" s="81">
        <v>0.0</v>
      </c>
      <c r="AR683" s="39"/>
      <c r="AS683" s="81">
        <v>0.0</v>
      </c>
      <c r="AT683" s="81">
        <v>0.0</v>
      </c>
      <c r="AU683" s="39"/>
      <c r="AV683" s="82"/>
      <c r="AW683" s="82"/>
      <c r="AX683" s="82"/>
      <c r="AY683" s="7"/>
      <c r="AZ683" s="7"/>
      <c r="BA683" s="7"/>
      <c r="BB683" s="7"/>
      <c r="BC683" s="7"/>
      <c r="BD683" s="7"/>
      <c r="BE683" s="7"/>
      <c r="BF683" s="7">
        <v>9.9301225E7</v>
      </c>
      <c r="BG683" s="82"/>
      <c r="BH683" s="82"/>
      <c r="BI683" s="82"/>
      <c r="BJ683" s="82"/>
      <c r="BK683" s="82"/>
      <c r="BL683" s="82"/>
      <c r="BM683" s="82"/>
      <c r="BN683" s="7"/>
      <c r="BO683" s="7">
        <v>1.0</v>
      </c>
      <c r="BP683" s="82"/>
      <c r="BQ683" s="7"/>
      <c r="BR683" s="7" t="s">
        <v>144</v>
      </c>
    </row>
    <row r="684">
      <c r="A684" s="16">
        <v>62.0</v>
      </c>
      <c r="B684" s="16" t="s">
        <v>758</v>
      </c>
      <c r="C684" s="53">
        <v>1.0</v>
      </c>
      <c r="D684" s="53" t="s">
        <v>759</v>
      </c>
      <c r="E684" s="7">
        <v>505.0</v>
      </c>
      <c r="F684" s="53"/>
      <c r="G684" s="7"/>
      <c r="H684" s="16">
        <v>1.0</v>
      </c>
      <c r="I684" s="81">
        <v>1.0</v>
      </c>
      <c r="J684" s="21" t="s">
        <v>3529</v>
      </c>
      <c r="K684" s="53"/>
      <c r="L684" s="53"/>
      <c r="M684" s="39" t="str">
        <f t="shared" si="1"/>
        <v>[ 9-point ADI iteration + smooth guess (1969)]</v>
      </c>
      <c r="N684" s="39" t="s">
        <v>4583</v>
      </c>
      <c r="O684" s="81">
        <v>1969.0</v>
      </c>
      <c r="P684" s="39"/>
      <c r="Q684" s="82"/>
      <c r="R684" s="82"/>
      <c r="S684" s="82"/>
      <c r="T684" s="81">
        <v>0.0</v>
      </c>
      <c r="U684" s="16">
        <v>0.0</v>
      </c>
      <c r="V684" s="89">
        <f>IFERROR(__xludf.DUMMYFUNCTION("INDEX(SPLIT(SUBSTITUTE(W684,CHAR(10), """"),"",:""), MATCH(Z684, SPLIT(SUBSTITUTE(W684,CHAR(10), """"),"",:""), 0) + 1)"),5.01)</f>
        <v>5.01</v>
      </c>
      <c r="W684" s="85" t="s">
        <v>1890</v>
      </c>
      <c r="X684" s="21" t="s">
        <v>1564</v>
      </c>
      <c r="Y684" s="53" t="s">
        <v>4561</v>
      </c>
      <c r="Z684" s="53" t="str">
        <f t="array" ref="Z684">INDEX(Problems!J:J, MATCH(1, (Problems!B:B=B684)*1, 0))</f>
        <v>n</v>
      </c>
      <c r="AA684" s="53"/>
      <c r="AB684" s="53"/>
      <c r="AC684" s="53" t="s">
        <v>2614</v>
      </c>
      <c r="AD684" s="53" t="s">
        <v>1814</v>
      </c>
      <c r="AE684" s="85">
        <f>IFERROR(__xludf.DUMMYFUNCTION("INDEX(SPLIT(SUBSTITUTE(AF684,CHAR(10), """"),"",:""), MATCH(Z684, SPLIT(SUBSTITUTE(AF684,CHAR(10), """"),"",:""), 0) + 1)"),5.0)</f>
        <v>5</v>
      </c>
      <c r="AF684" s="85" t="s">
        <v>1938</v>
      </c>
      <c r="AG684" s="53" t="s">
        <v>2615</v>
      </c>
      <c r="AH684" s="53" t="s">
        <v>4570</v>
      </c>
      <c r="AI684" s="84">
        <v>1.0</v>
      </c>
      <c r="AJ684" s="84">
        <v>0.0</v>
      </c>
      <c r="AK684" s="87"/>
      <c r="AL684" s="81">
        <v>0.0</v>
      </c>
      <c r="AM684" s="87"/>
      <c r="AN684" s="81">
        <v>0.0</v>
      </c>
      <c r="AO684" s="90"/>
      <c r="AP684" s="81">
        <v>0.0</v>
      </c>
      <c r="AQ684" s="81">
        <v>0.0</v>
      </c>
      <c r="AR684" s="39"/>
      <c r="AS684" s="81">
        <v>0.0</v>
      </c>
      <c r="AT684" s="81">
        <v>0.0</v>
      </c>
      <c r="AU684" s="39"/>
      <c r="AV684" s="82"/>
      <c r="AW684" s="82"/>
      <c r="AX684" s="82"/>
      <c r="AY684" s="7"/>
      <c r="AZ684" s="122"/>
      <c r="BA684" s="122"/>
      <c r="BB684" s="122"/>
      <c r="BC684" s="122"/>
      <c r="BD684" s="122"/>
      <c r="BE684" s="122"/>
      <c r="BF684" s="122">
        <v>9965784.0</v>
      </c>
      <c r="BG684" s="82"/>
      <c r="BH684" s="82"/>
      <c r="BI684" s="82"/>
      <c r="BJ684" s="82"/>
      <c r="BK684" s="82"/>
      <c r="BL684" s="82"/>
      <c r="BM684" s="82"/>
      <c r="BN684" s="7"/>
      <c r="BO684" s="7">
        <v>1.0</v>
      </c>
      <c r="BP684" s="82"/>
      <c r="BQ684" s="7"/>
      <c r="BR684" s="7" t="s">
        <v>144</v>
      </c>
    </row>
    <row r="685">
      <c r="A685" s="16">
        <v>62.0</v>
      </c>
      <c r="B685" s="16" t="s">
        <v>758</v>
      </c>
      <c r="C685" s="53">
        <v>1.0</v>
      </c>
      <c r="D685" s="53" t="s">
        <v>759</v>
      </c>
      <c r="E685" s="7">
        <v>506.0</v>
      </c>
      <c r="F685" s="53"/>
      <c r="G685" s="7"/>
      <c r="H685" s="16">
        <v>1.0</v>
      </c>
      <c r="I685" s="81">
        <v>1.0</v>
      </c>
      <c r="J685" s="21" t="s">
        <v>3529</v>
      </c>
      <c r="K685" s="53"/>
      <c r="L685" s="53"/>
      <c r="M685" s="39" t="str">
        <f t="shared" si="1"/>
        <v>[ 5-point cyclic reduction (1970)]</v>
      </c>
      <c r="N685" s="39" t="s">
        <v>4584</v>
      </c>
      <c r="O685" s="81">
        <v>1970.0</v>
      </c>
      <c r="P685" s="39"/>
      <c r="Q685" s="82"/>
      <c r="R685" s="82"/>
      <c r="S685" s="82"/>
      <c r="T685" s="81">
        <v>0.0</v>
      </c>
      <c r="U685" s="16">
        <v>0.0</v>
      </c>
      <c r="V685" s="89">
        <f>IFERROR(__xludf.DUMMYFUNCTION("INDEX(SPLIT(SUBSTITUTE(W685,CHAR(10), """"),"",:""), MATCH(Z685, SPLIT(SUBSTITUTE(W685,CHAR(10), """"),"",:""), 0) + 1)"),5.01)</f>
        <v>5.01</v>
      </c>
      <c r="W685" s="85" t="s">
        <v>1890</v>
      </c>
      <c r="X685" s="21" t="s">
        <v>1564</v>
      </c>
      <c r="Y685" s="53" t="s">
        <v>4561</v>
      </c>
      <c r="Z685" s="53" t="str">
        <f t="array" ref="Z685">INDEX(Problems!J:J, MATCH(1, (Problems!B:B=B685)*1, 0))</f>
        <v>n</v>
      </c>
      <c r="AA685" s="53"/>
      <c r="AB685" s="53"/>
      <c r="AC685" s="53" t="s">
        <v>2614</v>
      </c>
      <c r="AD685" s="53" t="s">
        <v>1814</v>
      </c>
      <c r="AE685" s="85">
        <f>IFERROR(__xludf.DUMMYFUNCTION("INDEX(SPLIT(SUBSTITUTE(AF685,CHAR(10), """"),"",:""), MATCH(Z685, SPLIT(SUBSTITUTE(AF685,CHAR(10), """"),"",:""), 0) + 1)"),5.0)</f>
        <v>5</v>
      </c>
      <c r="AF685" s="85" t="s">
        <v>1938</v>
      </c>
      <c r="AG685" s="53" t="s">
        <v>2615</v>
      </c>
      <c r="AH685" s="53" t="s">
        <v>4570</v>
      </c>
      <c r="AI685" s="84">
        <v>1.0</v>
      </c>
      <c r="AJ685" s="84">
        <v>0.0</v>
      </c>
      <c r="AK685" s="87"/>
      <c r="AL685" s="81">
        <v>0.0</v>
      </c>
      <c r="AM685" s="87"/>
      <c r="AN685" s="81">
        <v>0.0</v>
      </c>
      <c r="AO685" s="90"/>
      <c r="AP685" s="81">
        <v>0.0</v>
      </c>
      <c r="AQ685" s="81">
        <v>0.0</v>
      </c>
      <c r="AR685" s="39"/>
      <c r="AS685" s="81">
        <v>0.0</v>
      </c>
      <c r="AT685" s="81">
        <v>0.0</v>
      </c>
      <c r="AU685" s="39"/>
      <c r="AV685" s="82"/>
      <c r="AW685" s="82"/>
      <c r="AX685" s="82"/>
      <c r="AY685" s="7"/>
      <c r="AZ685" s="122"/>
      <c r="BA685" s="122"/>
      <c r="BB685" s="122"/>
      <c r="BC685" s="122"/>
      <c r="BD685" s="122"/>
      <c r="BE685" s="122"/>
      <c r="BF685" s="122">
        <v>9965784.0</v>
      </c>
      <c r="BG685" s="82"/>
      <c r="BH685" s="82"/>
      <c r="BI685" s="82"/>
      <c r="BJ685" s="82"/>
      <c r="BK685" s="82"/>
      <c r="BL685" s="82"/>
      <c r="BM685" s="82"/>
      <c r="BN685" s="7"/>
      <c r="BO685" s="7">
        <v>1.0</v>
      </c>
      <c r="BP685" s="82"/>
      <c r="BQ685" s="7"/>
      <c r="BR685" s="7" t="s">
        <v>144</v>
      </c>
    </row>
    <row r="686">
      <c r="A686" s="16">
        <v>62.0</v>
      </c>
      <c r="B686" s="16" t="s">
        <v>758</v>
      </c>
      <c r="C686" s="53">
        <v>1.0</v>
      </c>
      <c r="D686" s="53" t="s">
        <v>759</v>
      </c>
      <c r="E686" s="7">
        <v>507.0</v>
      </c>
      <c r="F686" s="53"/>
      <c r="G686" s="7"/>
      <c r="H686" s="16">
        <v>1.0</v>
      </c>
      <c r="I686" s="81">
        <v>1.0</v>
      </c>
      <c r="J686" s="21" t="s">
        <v>3529</v>
      </c>
      <c r="K686" s="53"/>
      <c r="L686" s="53"/>
      <c r="M686" s="39" t="str">
        <f t="shared" si="1"/>
        <v>[ 9-point FFT (1978)]</v>
      </c>
      <c r="N686" s="39" t="s">
        <v>4585</v>
      </c>
      <c r="O686" s="81">
        <v>1978.0</v>
      </c>
      <c r="P686" s="39"/>
      <c r="Q686" s="82"/>
      <c r="R686" s="82"/>
      <c r="S686" s="82"/>
      <c r="T686" s="81">
        <v>0.0</v>
      </c>
      <c r="U686" s="16">
        <v>0.0</v>
      </c>
      <c r="V686" s="89">
        <f>IFERROR(__xludf.DUMMYFUNCTION("INDEX(SPLIT(SUBSTITUTE(W686,CHAR(10), """"),"",:""), MATCH(Z686, SPLIT(SUBSTITUTE(W686,CHAR(10), """"),"",:""), 0) + 1)"),5.01)</f>
        <v>5.01</v>
      </c>
      <c r="W686" s="85" t="s">
        <v>1890</v>
      </c>
      <c r="X686" s="21" t="s">
        <v>1564</v>
      </c>
      <c r="Y686" s="53" t="s">
        <v>4561</v>
      </c>
      <c r="Z686" s="53" t="str">
        <f t="array" ref="Z686">INDEX(Problems!J:J, MATCH(1, (Problems!B:B=B686)*1, 0))</f>
        <v>n</v>
      </c>
      <c r="AA686" s="53"/>
      <c r="AB686" s="53"/>
      <c r="AC686" s="53" t="s">
        <v>2614</v>
      </c>
      <c r="AD686" s="53" t="s">
        <v>1814</v>
      </c>
      <c r="AE686" s="85">
        <f>IFERROR(__xludf.DUMMYFUNCTION("INDEX(SPLIT(SUBSTITUTE(AF686,CHAR(10), """"),"",:""), MATCH(Z686, SPLIT(SUBSTITUTE(AF686,CHAR(10), """"),"",:""), 0) + 1)"),5.0)</f>
        <v>5</v>
      </c>
      <c r="AF686" s="85" t="s">
        <v>1938</v>
      </c>
      <c r="AG686" s="53" t="s">
        <v>2615</v>
      </c>
      <c r="AH686" s="53" t="s">
        <v>4582</v>
      </c>
      <c r="AI686" s="84">
        <v>1.0</v>
      </c>
      <c r="AJ686" s="84">
        <v>0.0</v>
      </c>
      <c r="AK686" s="87"/>
      <c r="AL686" s="81">
        <v>0.0</v>
      </c>
      <c r="AM686" s="87"/>
      <c r="AN686" s="81">
        <v>0.0</v>
      </c>
      <c r="AO686" s="90"/>
      <c r="AP686" s="81">
        <v>0.0</v>
      </c>
      <c r="AQ686" s="81">
        <v>0.0</v>
      </c>
      <c r="AR686" s="39"/>
      <c r="AS686" s="81">
        <v>0.0</v>
      </c>
      <c r="AT686" s="81">
        <v>0.0</v>
      </c>
      <c r="AU686" s="39"/>
      <c r="AV686" s="82"/>
      <c r="AW686" s="82"/>
      <c r="AX686" s="82"/>
      <c r="AY686" s="7"/>
      <c r="AZ686" s="122"/>
      <c r="BA686" s="122"/>
      <c r="BB686" s="122"/>
      <c r="BC686" s="122"/>
      <c r="BD686" s="122"/>
      <c r="BE686" s="122"/>
      <c r="BF686" s="122">
        <v>9965784.0</v>
      </c>
      <c r="BG686" s="82"/>
      <c r="BH686" s="82"/>
      <c r="BI686" s="82"/>
      <c r="BJ686" s="82"/>
      <c r="BK686" s="82"/>
      <c r="BL686" s="82"/>
      <c r="BM686" s="82"/>
      <c r="BN686" s="7"/>
      <c r="BO686" s="7">
        <v>1.0</v>
      </c>
      <c r="BP686" s="82"/>
      <c r="BQ686" s="7"/>
      <c r="BR686" s="7" t="s">
        <v>144</v>
      </c>
    </row>
    <row r="687">
      <c r="A687" s="16">
        <v>63.0</v>
      </c>
      <c r="B687" s="16" t="s">
        <v>758</v>
      </c>
      <c r="C687" s="53">
        <v>1.0</v>
      </c>
      <c r="D687" s="53" t="s">
        <v>765</v>
      </c>
      <c r="E687" s="7">
        <v>508.0</v>
      </c>
      <c r="F687" s="53"/>
      <c r="G687" s="7"/>
      <c r="H687" s="16">
        <v>1.0</v>
      </c>
      <c r="I687" s="81">
        <v>1.0</v>
      </c>
      <c r="J687" s="21" t="s">
        <v>4586</v>
      </c>
      <c r="K687" s="53"/>
      <c r="L687" s="53"/>
      <c r="M687" s="39" t="str">
        <f t="shared" si="1"/>
        <v>[ 5-point star Cramer's rule (1945)]</v>
      </c>
      <c r="N687" s="39" t="s">
        <v>4560</v>
      </c>
      <c r="O687" s="81">
        <v>1945.0</v>
      </c>
      <c r="P687" s="39"/>
      <c r="Q687" s="82"/>
      <c r="R687" s="82"/>
      <c r="S687" s="82"/>
      <c r="T687" s="81">
        <v>1.0</v>
      </c>
      <c r="U687" s="81">
        <v>0.0</v>
      </c>
      <c r="V687" s="89">
        <f>IFERROR(__xludf.DUMMYFUNCTION("INDEX(SPLIT(SUBSTITUTE(W687,CHAR(10), """"),"",:""), MATCH(Z687, SPLIT(SUBSTITUTE(W687,CHAR(10), """"),"",:""), 0) + 1)"),8.0)</f>
        <v>8</v>
      </c>
      <c r="W687" s="85" t="s">
        <v>2001</v>
      </c>
      <c r="X687" s="21" t="s">
        <v>4587</v>
      </c>
      <c r="Y687" s="53" t="s">
        <v>4561</v>
      </c>
      <c r="Z687" s="53" t="str">
        <f t="array" ref="Z687">INDEX(Problems!J:J, MATCH(1, (Problems!B:B=B687)*1, 0))</f>
        <v>n</v>
      </c>
      <c r="AA687" s="53"/>
      <c r="AB687" s="53"/>
      <c r="AC687" s="53" t="s">
        <v>2614</v>
      </c>
      <c r="AD687" s="53" t="s">
        <v>1814</v>
      </c>
      <c r="AE687" s="85">
        <f>IFERROR(__xludf.DUMMYFUNCTION("INDEX(SPLIT(SUBSTITUTE(AF687,CHAR(10), """"),"",:""), MATCH(Z687, SPLIT(SUBSTITUTE(AF687,CHAR(10), """"),"",:""), 0) + 1)"),8.0)</f>
        <v>8</v>
      </c>
      <c r="AF687" s="85" t="s">
        <v>2001</v>
      </c>
      <c r="AG687" s="53" t="s">
        <v>4588</v>
      </c>
      <c r="AH687" s="53" t="s">
        <v>4589</v>
      </c>
      <c r="AI687" s="151">
        <v>1.0</v>
      </c>
      <c r="AJ687" s="84">
        <v>0.0</v>
      </c>
      <c r="AK687" s="87"/>
      <c r="AL687" s="81">
        <v>0.0</v>
      </c>
      <c r="AM687" s="87"/>
      <c r="AN687" s="81">
        <v>0.0</v>
      </c>
      <c r="AO687" s="90"/>
      <c r="AP687" s="81">
        <v>0.0</v>
      </c>
      <c r="AQ687" s="81">
        <v>0.0</v>
      </c>
      <c r="AR687" s="39"/>
      <c r="AS687" s="81">
        <v>0.0</v>
      </c>
      <c r="AT687" s="81">
        <v>0.0</v>
      </c>
      <c r="AU687" s="39"/>
      <c r="AV687" s="82"/>
      <c r="AW687" s="82"/>
      <c r="AX687" s="82"/>
      <c r="AY687" s="7"/>
      <c r="AZ687" s="7"/>
      <c r="BA687" s="7"/>
      <c r="BB687" s="7"/>
      <c r="BC687" s="7"/>
      <c r="BD687" s="7"/>
      <c r="BE687" s="7"/>
      <c r="BF687" s="7" t="s">
        <v>1781</v>
      </c>
      <c r="BG687" s="7">
        <v>1.0</v>
      </c>
      <c r="BH687" s="7"/>
      <c r="BI687" s="7" t="s">
        <v>1781</v>
      </c>
      <c r="BJ687" s="7">
        <v>1.0</v>
      </c>
      <c r="BK687" s="7"/>
      <c r="BL687" s="7" t="s">
        <v>1781</v>
      </c>
      <c r="BM687" s="7">
        <v>1.0</v>
      </c>
      <c r="BN687" s="7"/>
      <c r="BO687" s="7">
        <v>1.0</v>
      </c>
      <c r="BP687" s="82"/>
      <c r="BQ687" s="7"/>
      <c r="BR687" s="7" t="s">
        <v>144</v>
      </c>
    </row>
    <row r="688">
      <c r="A688" s="16">
        <v>63.0</v>
      </c>
      <c r="B688" s="16" t="s">
        <v>758</v>
      </c>
      <c r="C688" s="53">
        <v>1.0</v>
      </c>
      <c r="D688" s="53" t="s">
        <v>765</v>
      </c>
      <c r="E688" s="7">
        <v>509.0</v>
      </c>
      <c r="F688" s="53"/>
      <c r="G688" s="7"/>
      <c r="H688" s="16">
        <v>1.0</v>
      </c>
      <c r="I688" s="81">
        <v>1.0</v>
      </c>
      <c r="J688" s="21" t="s">
        <v>4590</v>
      </c>
      <c r="K688" s="53"/>
      <c r="L688" s="53"/>
      <c r="M688" s="39" t="str">
        <f t="shared" si="1"/>
        <v>[ 5-point Gauss elimination (1945)]</v>
      </c>
      <c r="N688" s="39" t="s">
        <v>4564</v>
      </c>
      <c r="O688" s="81">
        <v>1945.0</v>
      </c>
      <c r="P688" s="39"/>
      <c r="Q688" s="82"/>
      <c r="R688" s="82"/>
      <c r="S688" s="82"/>
      <c r="T688" s="81">
        <v>1.0</v>
      </c>
      <c r="U688" s="39" t="s">
        <v>2143</v>
      </c>
      <c r="V688" s="89">
        <f>IFERROR(__xludf.DUMMYFUNCTION("INDEX(SPLIT(SUBSTITUTE(W688,CHAR(10), """"),"",:""), MATCH(Z688, SPLIT(SUBSTITUTE(W688,CHAR(10), """"),"",:""), 0) + 1)"),7.0)</f>
        <v>7</v>
      </c>
      <c r="W688" s="85" t="s">
        <v>2517</v>
      </c>
      <c r="X688" s="21" t="s">
        <v>4590</v>
      </c>
      <c r="Y688" s="53" t="s">
        <v>4561</v>
      </c>
      <c r="Z688" s="53" t="str">
        <f t="array" ref="Z688">INDEX(Problems!J:J, MATCH(1, (Problems!B:B=B688)*1, 0))</f>
        <v>n</v>
      </c>
      <c r="AA688" s="53"/>
      <c r="AB688" s="53"/>
      <c r="AC688" s="53" t="s">
        <v>2614</v>
      </c>
      <c r="AD688" s="53" t="s">
        <v>1814</v>
      </c>
      <c r="AE688" s="85">
        <f>IFERROR(__xludf.DUMMYFUNCTION("INDEX(SPLIT(SUBSTITUTE(AF688,CHAR(10), """"),"",:""), MATCH(Z688, SPLIT(SUBSTITUTE(AF688,CHAR(10), """"),"",:""), 0) + 1)"),7.0)</f>
        <v>7</v>
      </c>
      <c r="AF688" s="85" t="s">
        <v>2517</v>
      </c>
      <c r="AG688" s="53" t="s">
        <v>4591</v>
      </c>
      <c r="AH688" s="53" t="s">
        <v>4592</v>
      </c>
      <c r="AI688" s="151">
        <v>1.0</v>
      </c>
      <c r="AJ688" s="84">
        <v>0.0</v>
      </c>
      <c r="AK688" s="87"/>
      <c r="AL688" s="81">
        <v>0.0</v>
      </c>
      <c r="AM688" s="87"/>
      <c r="AN688" s="81">
        <v>0.0</v>
      </c>
      <c r="AO688" s="90"/>
      <c r="AP688" s="81">
        <v>0.0</v>
      </c>
      <c r="AQ688" s="81">
        <v>0.0</v>
      </c>
      <c r="AR688" s="39"/>
      <c r="AS688" s="81">
        <v>0.0</v>
      </c>
      <c r="AT688" s="81">
        <v>0.0</v>
      </c>
      <c r="AU688" s="39"/>
      <c r="AV688" s="82"/>
      <c r="AW688" s="82"/>
      <c r="AX688" s="82"/>
      <c r="AY688" s="7"/>
      <c r="AZ688" s="7"/>
      <c r="BA688" s="7"/>
      <c r="BB688" s="7"/>
      <c r="BC688" s="7"/>
      <c r="BD688" s="7"/>
      <c r="BE688" s="7"/>
      <c r="BF688" s="7">
        <v>1.0E12</v>
      </c>
      <c r="BG688" s="7" t="s">
        <v>1781</v>
      </c>
      <c r="BH688" s="82"/>
      <c r="BI688" s="82">
        <f>POW(1000000, 4)</f>
        <v>1E+24</v>
      </c>
      <c r="BJ688" s="7" t="s">
        <v>1781</v>
      </c>
      <c r="BK688" s="82"/>
      <c r="BL688" s="82">
        <f>POW(1000000000, 4)</f>
        <v>1E+36</v>
      </c>
      <c r="BM688" s="7" t="s">
        <v>1781</v>
      </c>
      <c r="BN688" s="7"/>
      <c r="BO688" s="7">
        <v>1.0</v>
      </c>
      <c r="BP688" s="82"/>
      <c r="BQ688" s="7"/>
      <c r="BR688" s="7" t="s">
        <v>144</v>
      </c>
    </row>
    <row r="689">
      <c r="A689" s="16">
        <v>63.0</v>
      </c>
      <c r="B689" s="16" t="s">
        <v>758</v>
      </c>
      <c r="C689" s="53">
        <v>1.0</v>
      </c>
      <c r="D689" s="53" t="s">
        <v>765</v>
      </c>
      <c r="E689" s="7">
        <v>510.0</v>
      </c>
      <c r="F689" s="53"/>
      <c r="G689" s="7"/>
      <c r="H689" s="16">
        <v>1.0</v>
      </c>
      <c r="I689" s="81">
        <v>1.0</v>
      </c>
      <c r="J689" s="21" t="s">
        <v>4593</v>
      </c>
      <c r="K689" s="53"/>
      <c r="L689" s="53"/>
      <c r="M689" s="39" t="str">
        <f t="shared" si="1"/>
        <v>[ 5-point Gauss Seidel iteration (1945)]</v>
      </c>
      <c r="N689" s="39" t="s">
        <v>4567</v>
      </c>
      <c r="O689" s="81">
        <v>1945.0</v>
      </c>
      <c r="P689" s="39"/>
      <c r="Q689" s="82"/>
      <c r="R689" s="82"/>
      <c r="S689" s="82"/>
      <c r="T689" s="81">
        <v>0.0</v>
      </c>
      <c r="U689" s="16">
        <v>0.0</v>
      </c>
      <c r="V689" s="89">
        <f>IFERROR(__xludf.DUMMYFUNCTION("INDEX(SPLIT(SUBSTITUTE(W689,CHAR(10), """"),"",:""), MATCH(Z689, SPLIT(SUBSTITUTE(W689,CHAR(10), """"),"",:""), 0) + 1)"),7.0)</f>
        <v>7</v>
      </c>
      <c r="W689" s="85" t="s">
        <v>2517</v>
      </c>
      <c r="X689" s="21" t="s">
        <v>4594</v>
      </c>
      <c r="Y689" s="53" t="s">
        <v>4561</v>
      </c>
      <c r="Z689" s="53" t="str">
        <f t="array" ref="Z689">INDEX(Problems!J:J, MATCH(1, (Problems!B:B=B689)*1, 0))</f>
        <v>n</v>
      </c>
      <c r="AA689" s="53"/>
      <c r="AB689" s="53"/>
      <c r="AC689" s="53" t="s">
        <v>2614</v>
      </c>
      <c r="AD689" s="53" t="s">
        <v>1814</v>
      </c>
      <c r="AE689" s="85">
        <f>IFERROR(__xludf.DUMMYFUNCTION("INDEX(SPLIT(SUBSTITUTE(AF689,CHAR(10), """"),"",:""), MATCH(Z689, SPLIT(SUBSTITUTE(AF689,CHAR(10), """"),"",:""), 0) + 1)"),6.0)</f>
        <v>6</v>
      </c>
      <c r="AF689" s="85" t="s">
        <v>2008</v>
      </c>
      <c r="AG689" s="53" t="s">
        <v>4595</v>
      </c>
      <c r="AH689" s="53" t="s">
        <v>4596</v>
      </c>
      <c r="AI689" s="151">
        <v>1.0</v>
      </c>
      <c r="AJ689" s="84">
        <v>0.0</v>
      </c>
      <c r="AK689" s="87"/>
      <c r="AL689" s="81">
        <v>0.0</v>
      </c>
      <c r="AM689" s="87"/>
      <c r="AN689" s="81">
        <v>0.0</v>
      </c>
      <c r="AO689" s="90"/>
      <c r="AP689" s="81">
        <v>0.0</v>
      </c>
      <c r="AQ689" s="81">
        <v>0.0</v>
      </c>
      <c r="AR689" s="39"/>
      <c r="AS689" s="81">
        <v>0.0</v>
      </c>
      <c r="AT689" s="81">
        <v>0.0</v>
      </c>
      <c r="AU689" s="39"/>
      <c r="AV689" s="82"/>
      <c r="AW689" s="82"/>
      <c r="AX689" s="82"/>
      <c r="AY689" s="7"/>
      <c r="AZ689" s="7"/>
      <c r="BA689" s="7"/>
      <c r="BB689" s="7"/>
      <c r="BC689" s="7"/>
      <c r="BD689" s="7"/>
      <c r="BE689" s="7"/>
      <c r="BF689" s="7">
        <v>9.96578428466E12</v>
      </c>
      <c r="BG689" s="82"/>
      <c r="BH689" s="82"/>
      <c r="BI689" s="82"/>
      <c r="BJ689" s="82"/>
      <c r="BK689" s="82"/>
      <c r="BL689" s="82"/>
      <c r="BM689" s="82"/>
      <c r="BN689" s="7"/>
      <c r="BO689" s="7">
        <v>1.0</v>
      </c>
      <c r="BP689" s="82"/>
      <c r="BQ689" s="7"/>
      <c r="BR689" s="7" t="s">
        <v>144</v>
      </c>
    </row>
    <row r="690">
      <c r="A690" s="16">
        <v>63.0</v>
      </c>
      <c r="B690" s="16" t="s">
        <v>758</v>
      </c>
      <c r="C690" s="53">
        <v>1.0</v>
      </c>
      <c r="D690" s="53" t="s">
        <v>765</v>
      </c>
      <c r="E690" s="7">
        <v>511.0</v>
      </c>
      <c r="F690" s="53"/>
      <c r="G690" s="7"/>
      <c r="H690" s="16">
        <v>1.0</v>
      </c>
      <c r="I690" s="81">
        <v>1.0</v>
      </c>
      <c r="J690" s="21" t="s">
        <v>4566</v>
      </c>
      <c r="K690" s="53"/>
      <c r="L690" s="53"/>
      <c r="M690" s="39" t="str">
        <f t="shared" si="1"/>
        <v>[ 5-point SOR iteration (1954)]</v>
      </c>
      <c r="N690" s="39" t="s">
        <v>4571</v>
      </c>
      <c r="O690" s="81">
        <v>1954.0</v>
      </c>
      <c r="P690" s="39"/>
      <c r="Q690" s="82"/>
      <c r="R690" s="82"/>
      <c r="S690" s="82"/>
      <c r="T690" s="81">
        <v>1.0</v>
      </c>
      <c r="U690" s="81">
        <v>0.0</v>
      </c>
      <c r="V690" s="89">
        <f>IFERROR(__xludf.DUMMYFUNCTION("INDEX(SPLIT(SUBSTITUTE(W690,CHAR(10), """"),"",:""), MATCH(Z690, SPLIT(SUBSTITUTE(W690,CHAR(10), """"),"",:""), 0) + 1)"),7.0)</f>
        <v>7</v>
      </c>
      <c r="W690" s="85" t="s">
        <v>2517</v>
      </c>
      <c r="X690" s="21" t="s">
        <v>4569</v>
      </c>
      <c r="Y690" s="53" t="s">
        <v>4561</v>
      </c>
      <c r="Z690" s="53" t="str">
        <f t="array" ref="Z690">INDEX(Problems!J:J, MATCH(1, (Problems!B:B=B690)*1, 0))</f>
        <v>n</v>
      </c>
      <c r="AA690" s="53"/>
      <c r="AB690" s="53"/>
      <c r="AC690" s="53" t="s">
        <v>2614</v>
      </c>
      <c r="AD690" s="53" t="s">
        <v>1814</v>
      </c>
      <c r="AE690" s="85">
        <f>IFERROR(__xludf.DUMMYFUNCTION("INDEX(SPLIT(SUBSTITUTE(AF690,CHAR(10), """"),"",:""), MATCH(Z690, SPLIT(SUBSTITUTE(AF690,CHAR(10), """"),"",:""), 0) + 1)"),6.0)</f>
        <v>6</v>
      </c>
      <c r="AF690" s="85" t="s">
        <v>2008</v>
      </c>
      <c r="AG690" s="53" t="s">
        <v>4595</v>
      </c>
      <c r="AH690" s="53" t="s">
        <v>4597</v>
      </c>
      <c r="AI690" s="84">
        <v>1.0</v>
      </c>
      <c r="AJ690" s="84">
        <v>0.0</v>
      </c>
      <c r="AK690" s="87"/>
      <c r="AL690" s="81">
        <v>0.0</v>
      </c>
      <c r="AM690" s="87"/>
      <c r="AN690" s="81">
        <v>0.0</v>
      </c>
      <c r="AO690" s="90"/>
      <c r="AP690" s="81">
        <v>0.0</v>
      </c>
      <c r="AQ690" s="81">
        <v>0.0</v>
      </c>
      <c r="AR690" s="39"/>
      <c r="AS690" s="81">
        <v>0.0</v>
      </c>
      <c r="AT690" s="81">
        <v>0.0</v>
      </c>
      <c r="AU690" s="25" t="s">
        <v>4573</v>
      </c>
      <c r="AV690" s="82"/>
      <c r="AW690" s="82"/>
      <c r="AX690" s="82"/>
      <c r="AY690" s="7"/>
      <c r="AZ690" s="82"/>
      <c r="BA690" s="82"/>
      <c r="BB690" s="82"/>
      <c r="BC690" s="82"/>
      <c r="BD690" s="82"/>
      <c r="BE690" s="82"/>
      <c r="BF690" s="82">
        <f>POW(1000,3)*LOG(1000,2)</f>
        <v>9965784285</v>
      </c>
      <c r="BG690" s="7" t="s">
        <v>1781</v>
      </c>
      <c r="BH690" s="82"/>
      <c r="BI690" s="82">
        <f>POW(1000000,3)*LOG(1000000,2)</f>
        <v>1.99316E+19</v>
      </c>
      <c r="BJ690" s="7" t="s">
        <v>1781</v>
      </c>
      <c r="BK690" s="152"/>
      <c r="BL690" s="152">
        <f>POW(1000000000,3)*LOG(1000000000,2)</f>
        <v>2.98974E+28</v>
      </c>
      <c r="BM690" s="7" t="s">
        <v>1781</v>
      </c>
      <c r="BN690" s="7"/>
      <c r="BO690" s="7">
        <v>1.0</v>
      </c>
      <c r="BP690" s="82"/>
      <c r="BQ690" s="7"/>
      <c r="BR690" s="7" t="s">
        <v>144</v>
      </c>
    </row>
    <row r="691">
      <c r="A691" s="16">
        <v>63.0</v>
      </c>
      <c r="B691" s="16" t="s">
        <v>758</v>
      </c>
      <c r="C691" s="53">
        <v>1.0</v>
      </c>
      <c r="D691" s="53" t="s">
        <v>765</v>
      </c>
      <c r="E691" s="7">
        <v>512.0</v>
      </c>
      <c r="F691" s="53"/>
      <c r="G691" s="7"/>
      <c r="H691" s="16">
        <v>1.0</v>
      </c>
      <c r="I691" s="81">
        <v>1.0</v>
      </c>
      <c r="J691" s="21" t="s">
        <v>4598</v>
      </c>
      <c r="K691" s="53"/>
      <c r="L691" s="53"/>
      <c r="M691" s="39" t="str">
        <f t="shared" si="1"/>
        <v>[ 5-point ADI iteration (1955)]</v>
      </c>
      <c r="N691" s="39" t="s">
        <v>4575</v>
      </c>
      <c r="O691" s="81">
        <v>1955.0</v>
      </c>
      <c r="P691" s="39"/>
      <c r="Q691" s="82"/>
      <c r="R691" s="82"/>
      <c r="S691" s="82"/>
      <c r="T691" s="81">
        <v>1.0</v>
      </c>
      <c r="U691" s="39" t="s">
        <v>2019</v>
      </c>
      <c r="V691" s="89">
        <f>IFERROR(__xludf.DUMMYFUNCTION("INDEX(SPLIT(SUBSTITUTE(W691,CHAR(10), """"),"",:""), MATCH(Z691, SPLIT(SUBSTITUTE(W691,CHAR(10), """"),"",:""), 0) + 1)"),6.02)</f>
        <v>6.02</v>
      </c>
      <c r="W691" s="85" t="s">
        <v>4599</v>
      </c>
      <c r="X691" s="21" t="s">
        <v>4600</v>
      </c>
      <c r="Y691" s="53" t="s">
        <v>4561</v>
      </c>
      <c r="Z691" s="53" t="str">
        <f t="array" ref="Z691">INDEX(Problems!J:J, MATCH(1, (Problems!B:B=B691)*1, 0))</f>
        <v>n</v>
      </c>
      <c r="AA691" s="53"/>
      <c r="AB691" s="53"/>
      <c r="AC691" s="53" t="s">
        <v>2614</v>
      </c>
      <c r="AD691" s="53" t="s">
        <v>1814</v>
      </c>
      <c r="AE691" s="85">
        <f>IFERROR(__xludf.DUMMYFUNCTION("INDEX(SPLIT(SUBSTITUTE(AF691,CHAR(10), """"),"",:""), MATCH(Z691, SPLIT(SUBSTITUTE(AF691,CHAR(10), """"),"",:""), 0) + 1)"),6.0)</f>
        <v>6</v>
      </c>
      <c r="AF691" s="85" t="s">
        <v>2008</v>
      </c>
      <c r="AG691" s="53" t="s">
        <v>4595</v>
      </c>
      <c r="AH691" s="53" t="s">
        <v>4596</v>
      </c>
      <c r="AI691" s="151">
        <v>1.0</v>
      </c>
      <c r="AJ691" s="84">
        <v>0.0</v>
      </c>
      <c r="AK691" s="87"/>
      <c r="AL691" s="81">
        <v>0.0</v>
      </c>
      <c r="AM691" s="87"/>
      <c r="AN691" s="81">
        <v>0.0</v>
      </c>
      <c r="AO691" s="90"/>
      <c r="AP691" s="81">
        <v>0.0</v>
      </c>
      <c r="AQ691" s="81">
        <v>0.0</v>
      </c>
      <c r="AR691" s="39"/>
      <c r="AS691" s="81">
        <v>0.0</v>
      </c>
      <c r="AT691" s="81">
        <v>0.0</v>
      </c>
      <c r="AU691" s="25" t="s">
        <v>4576</v>
      </c>
      <c r="AV691" s="82"/>
      <c r="AW691" s="82"/>
      <c r="AX691" s="82"/>
      <c r="AY691" s="7"/>
      <c r="AZ691" s="82"/>
      <c r="BA691" s="82"/>
      <c r="BB691" s="82"/>
      <c r="BC691" s="82"/>
      <c r="BD691" s="82"/>
      <c r="BE691" s="82"/>
      <c r="BF691" s="82">
        <f>POW(1000,2)*POW(LOG(1000,2),2)</f>
        <v>99316856.41</v>
      </c>
      <c r="BG691" s="7" t="s">
        <v>1781</v>
      </c>
      <c r="BH691" s="82"/>
      <c r="BI691" s="82">
        <f>POW(1000000,2)*POW(LOG(1000000,2),2)</f>
        <v>397267425633671</v>
      </c>
      <c r="BJ691" s="7" t="s">
        <v>1781</v>
      </c>
      <c r="BK691" s="82"/>
      <c r="BL691" s="82">
        <f>POW(1000000000,2)*POW(LOG(1000000000,2),2)</f>
        <v>8.93852E+20</v>
      </c>
      <c r="BM691" s="7" t="s">
        <v>1781</v>
      </c>
      <c r="BN691" s="7"/>
      <c r="BO691" s="7">
        <v>1.0</v>
      </c>
      <c r="BP691" s="82"/>
      <c r="BQ691" s="7"/>
      <c r="BR691" s="7" t="s">
        <v>144</v>
      </c>
    </row>
    <row r="692">
      <c r="A692" s="16">
        <v>63.0</v>
      </c>
      <c r="B692" s="16" t="s">
        <v>758</v>
      </c>
      <c r="C692" s="53">
        <v>1.0</v>
      </c>
      <c r="D692" s="53" t="s">
        <v>765</v>
      </c>
      <c r="E692" s="7">
        <v>513.0</v>
      </c>
      <c r="F692" s="53"/>
      <c r="G692" s="7"/>
      <c r="H692" s="16">
        <v>1.0</v>
      </c>
      <c r="I692" s="81">
        <v>1.0</v>
      </c>
      <c r="J692" s="21" t="s">
        <v>3153</v>
      </c>
      <c r="K692" s="53"/>
      <c r="L692" s="53"/>
      <c r="M692" s="39" t="str">
        <f t="shared" si="1"/>
        <v>[ 9-point SOR iteration (1956)]</v>
      </c>
      <c r="N692" s="39" t="s">
        <v>4577</v>
      </c>
      <c r="O692" s="81">
        <v>1956.0</v>
      </c>
      <c r="P692" s="39"/>
      <c r="Q692" s="82"/>
      <c r="R692" s="82"/>
      <c r="S692" s="82"/>
      <c r="T692" s="81">
        <v>0.0</v>
      </c>
      <c r="U692" s="16">
        <v>0.0</v>
      </c>
      <c r="V692" s="89">
        <f>IFERROR(__xludf.DUMMYFUNCTION("INDEX(SPLIT(SUBSTITUTE(W692,CHAR(10), """"),"",:""), MATCH(Z692, SPLIT(SUBSTITUTE(W692,CHAR(10), """"),"",:""), 0) + 1)"),7.0)</f>
        <v>7</v>
      </c>
      <c r="W692" s="85" t="s">
        <v>2517</v>
      </c>
      <c r="X692" s="21" t="s">
        <v>3153</v>
      </c>
      <c r="Y692" s="53" t="s">
        <v>4561</v>
      </c>
      <c r="Z692" s="53" t="str">
        <f t="array" ref="Z692">INDEX(Problems!J:J, MATCH(1, (Problems!B:B=B692)*1, 0))</f>
        <v>n</v>
      </c>
      <c r="AA692" s="53"/>
      <c r="AB692" s="53"/>
      <c r="AC692" s="53" t="s">
        <v>2614</v>
      </c>
      <c r="AD692" s="53" t="s">
        <v>1814</v>
      </c>
      <c r="AE692" s="85">
        <f>IFERROR(__xludf.DUMMYFUNCTION("INDEX(SPLIT(SUBSTITUTE(AF692,CHAR(10), """"),"",:""), MATCH(Z692, SPLIT(SUBSTITUTE(AF692,CHAR(10), """"),"",:""), 0) + 1)"),6.0)</f>
        <v>6</v>
      </c>
      <c r="AF692" s="85" t="s">
        <v>2008</v>
      </c>
      <c r="AG692" s="53" t="s">
        <v>4595</v>
      </c>
      <c r="AH692" s="53" t="s">
        <v>4597</v>
      </c>
      <c r="AI692" s="84">
        <v>1.0</v>
      </c>
      <c r="AJ692" s="84">
        <v>0.0</v>
      </c>
      <c r="AK692" s="87"/>
      <c r="AL692" s="81">
        <v>0.0</v>
      </c>
      <c r="AM692" s="87"/>
      <c r="AN692" s="81">
        <v>0.0</v>
      </c>
      <c r="AO692" s="90"/>
      <c r="AP692" s="81">
        <v>0.0</v>
      </c>
      <c r="AQ692" s="81">
        <v>0.0</v>
      </c>
      <c r="AR692" s="39"/>
      <c r="AS692" s="81">
        <v>0.0</v>
      </c>
      <c r="AT692" s="81">
        <v>0.0</v>
      </c>
      <c r="AU692" s="25" t="s">
        <v>4573</v>
      </c>
      <c r="AV692" s="82"/>
      <c r="AW692" s="82"/>
      <c r="AX692" s="82"/>
      <c r="AY692" s="7"/>
      <c r="AZ692" s="7"/>
      <c r="BA692" s="7"/>
      <c r="BB692" s="7"/>
      <c r="BC692" s="7"/>
      <c r="BD692" s="7"/>
      <c r="BE692" s="7"/>
      <c r="BF692" s="7">
        <v>1.0E9</v>
      </c>
      <c r="BG692" s="82"/>
      <c r="BH692" s="82"/>
      <c r="BI692" s="82"/>
      <c r="BJ692" s="82"/>
      <c r="BK692" s="82"/>
      <c r="BL692" s="82"/>
      <c r="BM692" s="82"/>
      <c r="BN692" s="7"/>
      <c r="BO692" s="7">
        <v>1.0</v>
      </c>
      <c r="BP692" s="82"/>
      <c r="BQ692" s="7"/>
      <c r="BR692" s="7" t="s">
        <v>144</v>
      </c>
    </row>
    <row r="693">
      <c r="A693" s="16">
        <v>63.0</v>
      </c>
      <c r="B693" s="16" t="s">
        <v>758</v>
      </c>
      <c r="C693" s="53">
        <v>1.0</v>
      </c>
      <c r="D693" s="53" t="s">
        <v>765</v>
      </c>
      <c r="E693" s="7">
        <v>514.0</v>
      </c>
      <c r="F693" s="53"/>
      <c r="G693" s="7"/>
      <c r="H693" s="16">
        <v>1.0</v>
      </c>
      <c r="I693" s="81">
        <v>1.0</v>
      </c>
      <c r="J693" s="21" t="s">
        <v>3153</v>
      </c>
      <c r="K693" s="53"/>
      <c r="L693" s="53"/>
      <c r="M693" s="39" t="str">
        <f t="shared" si="1"/>
        <v>[https://epubs.siam.org/doi/pdf/10.1137/0113067 9-point Tensor product (1964)]</v>
      </c>
      <c r="N693" s="39" t="s">
        <v>4578</v>
      </c>
      <c r="O693" s="81">
        <v>1964.0</v>
      </c>
      <c r="P693" s="25" t="s">
        <v>4579</v>
      </c>
      <c r="Q693" s="82"/>
      <c r="R693" s="82"/>
      <c r="S693" s="82"/>
      <c r="T693" s="81">
        <v>1.0</v>
      </c>
      <c r="U693" s="81">
        <v>0.0</v>
      </c>
      <c r="V693" s="89">
        <f>IFERROR(__xludf.DUMMYFUNCTION("INDEX(SPLIT(SUBSTITUTE(W693,CHAR(10), """"),"",:""), MATCH(Z693, SPLIT(SUBSTITUTE(W693,CHAR(10), """"),"",:""), 0) + 1)"),7.0)</f>
        <v>7</v>
      </c>
      <c r="W693" s="85" t="s">
        <v>2517</v>
      </c>
      <c r="X693" s="21" t="s">
        <v>3153</v>
      </c>
      <c r="Y693" s="53" t="s">
        <v>4561</v>
      </c>
      <c r="Z693" s="53" t="str">
        <f t="array" ref="Z693">INDEX(Problems!J:J, MATCH(1, (Problems!B:B=B693)*1, 0))</f>
        <v>n</v>
      </c>
      <c r="AA693" s="53"/>
      <c r="AB693" s="53"/>
      <c r="AC693" s="53" t="s">
        <v>2614</v>
      </c>
      <c r="AD693" s="53" t="s">
        <v>1814</v>
      </c>
      <c r="AE693" s="85">
        <f>IFERROR(__xludf.DUMMYFUNCTION("INDEX(SPLIT(SUBSTITUTE(AF693,CHAR(10), """"),"",:""), MATCH(Z693, SPLIT(SUBSTITUTE(AF693,CHAR(10), """"),"",:""), 0) + 1)"),6.0)</f>
        <v>6</v>
      </c>
      <c r="AF693" s="85" t="s">
        <v>2008</v>
      </c>
      <c r="AG693" s="53" t="s">
        <v>4595</v>
      </c>
      <c r="AH693" s="53" t="s">
        <v>4596</v>
      </c>
      <c r="AI693" s="151">
        <v>1.0</v>
      </c>
      <c r="AJ693" s="84">
        <v>0.0</v>
      </c>
      <c r="AK693" s="87"/>
      <c r="AL693" s="81">
        <v>0.0</v>
      </c>
      <c r="AM693" s="87"/>
      <c r="AN693" s="81">
        <v>0.0</v>
      </c>
      <c r="AO693" s="90"/>
      <c r="AP693" s="81">
        <v>0.0</v>
      </c>
      <c r="AQ693" s="81">
        <v>0.0</v>
      </c>
      <c r="AR693" s="39"/>
      <c r="AS693" s="81">
        <v>0.0</v>
      </c>
      <c r="AT693" s="81">
        <v>0.0</v>
      </c>
      <c r="AU693" s="39"/>
      <c r="AV693" s="82"/>
      <c r="AW693" s="82"/>
      <c r="AX693" s="82"/>
      <c r="AY693" s="7"/>
      <c r="AZ693" s="7"/>
      <c r="BA693" s="7"/>
      <c r="BB693" s="7"/>
      <c r="BC693" s="7"/>
      <c r="BD693" s="7"/>
      <c r="BE693" s="7"/>
      <c r="BF693" s="7">
        <v>9965784.0</v>
      </c>
      <c r="BG693" s="7" t="s">
        <v>1781</v>
      </c>
      <c r="BH693" s="82"/>
      <c r="BI693" s="82">
        <f>BI681</f>
        <v>19931568569324</v>
      </c>
      <c r="BJ693" s="7" t="s">
        <v>1781</v>
      </c>
      <c r="BK693" s="82"/>
      <c r="BL693" s="82">
        <f>BL681</f>
        <v>2.98974E+19</v>
      </c>
      <c r="BM693" s="7" t="s">
        <v>1781</v>
      </c>
      <c r="BN693" s="7"/>
      <c r="BO693" s="7">
        <v>1.0</v>
      </c>
      <c r="BP693" s="82"/>
      <c r="BQ693" s="7"/>
      <c r="BR693" s="7" t="s">
        <v>144</v>
      </c>
    </row>
    <row r="694">
      <c r="A694" s="16">
        <v>63.0</v>
      </c>
      <c r="B694" s="16" t="s">
        <v>758</v>
      </c>
      <c r="C694" s="53">
        <v>1.0</v>
      </c>
      <c r="D694" s="53" t="s">
        <v>765</v>
      </c>
      <c r="E694" s="7">
        <v>515.0</v>
      </c>
      <c r="F694" s="53"/>
      <c r="G694" s="7"/>
      <c r="H694" s="16">
        <v>1.0</v>
      </c>
      <c r="I694" s="81">
        <v>1.0</v>
      </c>
      <c r="J694" s="21" t="s">
        <v>4140</v>
      </c>
      <c r="K694" s="53"/>
      <c r="L694" s="53"/>
      <c r="M694" s="39" t="str">
        <f t="shared" si="1"/>
        <v>[ 9-point ADI iteration (1965)]</v>
      </c>
      <c r="N694" s="39" t="s">
        <v>4580</v>
      </c>
      <c r="O694" s="81">
        <v>1965.0</v>
      </c>
      <c r="P694" s="39"/>
      <c r="Q694" s="82"/>
      <c r="R694" s="82"/>
      <c r="S694" s="82"/>
      <c r="T694" s="81">
        <v>0.0</v>
      </c>
      <c r="U694" s="16">
        <v>0.0</v>
      </c>
      <c r="V694" s="89">
        <f>IFERROR(__xludf.DUMMYFUNCTION("INDEX(SPLIT(SUBSTITUTE(W694,CHAR(10), """"),"",:""), MATCH(Z694, SPLIT(SUBSTITUTE(W694,CHAR(10), """"),"",:""), 0) + 1)"),6.01)</f>
        <v>6.01</v>
      </c>
      <c r="W694" s="85" t="s">
        <v>4142</v>
      </c>
      <c r="X694" s="21" t="s">
        <v>4143</v>
      </c>
      <c r="Y694" s="53" t="s">
        <v>4561</v>
      </c>
      <c r="Z694" s="53" t="str">
        <f t="array" ref="Z694">INDEX(Problems!J:J, MATCH(1, (Problems!B:B=B694)*1, 0))</f>
        <v>n</v>
      </c>
      <c r="AA694" s="53"/>
      <c r="AB694" s="53"/>
      <c r="AC694" s="53" t="s">
        <v>2614</v>
      </c>
      <c r="AD694" s="53" t="s">
        <v>1814</v>
      </c>
      <c r="AE694" s="85">
        <f>IFERROR(__xludf.DUMMYFUNCTION("INDEX(SPLIT(SUBSTITUTE(AF694,CHAR(10), """"),"",:""), MATCH(Z694, SPLIT(SUBSTITUTE(AF694,CHAR(10), """"),"",:""), 0) + 1)"),6.0)</f>
        <v>6</v>
      </c>
      <c r="AF694" s="85" t="s">
        <v>2008</v>
      </c>
      <c r="AG694" s="53" t="s">
        <v>4595</v>
      </c>
      <c r="AH694" s="53" t="s">
        <v>4596</v>
      </c>
      <c r="AI694" s="151">
        <v>1.0</v>
      </c>
      <c r="AJ694" s="84">
        <v>0.0</v>
      </c>
      <c r="AK694" s="87"/>
      <c r="AL694" s="81">
        <v>0.0</v>
      </c>
      <c r="AM694" s="87"/>
      <c r="AN694" s="81">
        <v>0.0</v>
      </c>
      <c r="AO694" s="90"/>
      <c r="AP694" s="81">
        <v>0.0</v>
      </c>
      <c r="AQ694" s="81">
        <v>0.0</v>
      </c>
      <c r="AR694" s="39"/>
      <c r="AS694" s="81">
        <v>0.0</v>
      </c>
      <c r="AT694" s="81">
        <v>0.0</v>
      </c>
      <c r="AU694" s="39"/>
      <c r="AV694" s="82"/>
      <c r="AW694" s="82"/>
      <c r="AX694" s="82"/>
      <c r="AY694" s="7"/>
      <c r="AZ694" s="122"/>
      <c r="BA694" s="122"/>
      <c r="BB694" s="122"/>
      <c r="BC694" s="122"/>
      <c r="BD694" s="122"/>
      <c r="BE694" s="122"/>
      <c r="BF694" s="122">
        <v>9965784.0</v>
      </c>
      <c r="BG694" s="82"/>
      <c r="BH694" s="82"/>
      <c r="BI694" s="82"/>
      <c r="BJ694" s="82"/>
      <c r="BK694" s="82"/>
      <c r="BL694" s="82"/>
      <c r="BM694" s="82"/>
      <c r="BN694" s="7"/>
      <c r="BO694" s="7">
        <v>1.0</v>
      </c>
      <c r="BP694" s="82"/>
      <c r="BQ694" s="7"/>
      <c r="BR694" s="7" t="s">
        <v>144</v>
      </c>
    </row>
    <row r="695">
      <c r="A695" s="16">
        <v>63.0</v>
      </c>
      <c r="B695" s="16" t="s">
        <v>758</v>
      </c>
      <c r="C695" s="53">
        <v>1.0</v>
      </c>
      <c r="D695" s="53" t="s">
        <v>765</v>
      </c>
      <c r="E695" s="7">
        <v>516.0</v>
      </c>
      <c r="F695" s="53"/>
      <c r="G695" s="7"/>
      <c r="H695" s="16">
        <v>1.0</v>
      </c>
      <c r="I695" s="81">
        <v>1.0</v>
      </c>
      <c r="J695" s="21" t="s">
        <v>4140</v>
      </c>
      <c r="K695" s="53"/>
      <c r="L695" s="53"/>
      <c r="M695" s="39" t="str">
        <f t="shared" si="1"/>
        <v>[ 5-point FFT (1965)]</v>
      </c>
      <c r="N695" s="39" t="s">
        <v>4581</v>
      </c>
      <c r="O695" s="81">
        <v>1965.0</v>
      </c>
      <c r="P695" s="39"/>
      <c r="Q695" s="82"/>
      <c r="R695" s="82"/>
      <c r="S695" s="82"/>
      <c r="T695" s="81">
        <v>0.0</v>
      </c>
      <c r="U695" s="16">
        <v>0.0</v>
      </c>
      <c r="V695" s="89">
        <f>IFERROR(__xludf.DUMMYFUNCTION("INDEX(SPLIT(SUBSTITUTE(W695,CHAR(10), """"),"",:""), MATCH(Z695, SPLIT(SUBSTITUTE(W695,CHAR(10), """"),"",:""), 0) + 1)"),6.01)</f>
        <v>6.01</v>
      </c>
      <c r="W695" s="85" t="s">
        <v>4142</v>
      </c>
      <c r="X695" s="21" t="s">
        <v>4143</v>
      </c>
      <c r="Y695" s="53" t="s">
        <v>4561</v>
      </c>
      <c r="Z695" s="53" t="str">
        <f t="array" ref="Z695">INDEX(Problems!J:J, MATCH(1, (Problems!B:B=B695)*1, 0))</f>
        <v>n</v>
      </c>
      <c r="AA695" s="53"/>
      <c r="AB695" s="53"/>
      <c r="AC695" s="53" t="s">
        <v>2614</v>
      </c>
      <c r="AD695" s="53" t="s">
        <v>1814</v>
      </c>
      <c r="AE695" s="85">
        <f>IFERROR(__xludf.DUMMYFUNCTION("INDEX(SPLIT(SUBSTITUTE(AF695,CHAR(10), """"),"",:""), MATCH(Z695, SPLIT(SUBSTITUTE(AF695,CHAR(10), """"),"",:""), 0) + 1)"),6.0)</f>
        <v>6</v>
      </c>
      <c r="AF695" s="85" t="s">
        <v>2008</v>
      </c>
      <c r="AG695" s="53" t="s">
        <v>4595</v>
      </c>
      <c r="AH695" s="53" t="s">
        <v>4582</v>
      </c>
      <c r="AI695" s="151">
        <v>1.0</v>
      </c>
      <c r="AJ695" s="84">
        <v>0.0</v>
      </c>
      <c r="AK695" s="87"/>
      <c r="AL695" s="81">
        <v>0.0</v>
      </c>
      <c r="AM695" s="87"/>
      <c r="AN695" s="81">
        <v>0.0</v>
      </c>
      <c r="AO695" s="90"/>
      <c r="AP695" s="81">
        <v>0.0</v>
      </c>
      <c r="AQ695" s="81">
        <v>0.0</v>
      </c>
      <c r="AR695" s="39"/>
      <c r="AS695" s="81">
        <v>0.0</v>
      </c>
      <c r="AT695" s="81">
        <v>0.0</v>
      </c>
      <c r="AU695" s="39"/>
      <c r="AV695" s="82"/>
      <c r="AW695" s="82"/>
      <c r="AX695" s="82"/>
      <c r="AY695" s="7"/>
      <c r="AZ695" s="7"/>
      <c r="BA695" s="7"/>
      <c r="BB695" s="7"/>
      <c r="BC695" s="7"/>
      <c r="BD695" s="7"/>
      <c r="BE695" s="7"/>
      <c r="BF695" s="7">
        <v>9.9301225E7</v>
      </c>
      <c r="BG695" s="82"/>
      <c r="BH695" s="82"/>
      <c r="BI695" s="82"/>
      <c r="BJ695" s="82"/>
      <c r="BK695" s="82"/>
      <c r="BL695" s="82"/>
      <c r="BM695" s="82"/>
      <c r="BN695" s="7"/>
      <c r="BO695" s="7">
        <v>1.0</v>
      </c>
      <c r="BP695" s="82"/>
      <c r="BQ695" s="7"/>
      <c r="BR695" s="7" t="s">
        <v>144</v>
      </c>
    </row>
    <row r="696">
      <c r="A696" s="16">
        <v>63.0</v>
      </c>
      <c r="B696" s="16" t="s">
        <v>758</v>
      </c>
      <c r="C696" s="53">
        <v>1.0</v>
      </c>
      <c r="D696" s="53" t="s">
        <v>765</v>
      </c>
      <c r="E696" s="7">
        <v>517.0</v>
      </c>
      <c r="F696" s="53"/>
      <c r="G696" s="7"/>
      <c r="H696" s="16">
        <v>1.0</v>
      </c>
      <c r="I696" s="81">
        <v>1.0</v>
      </c>
      <c r="J696" s="21" t="s">
        <v>4140</v>
      </c>
      <c r="K696" s="53"/>
      <c r="L696" s="53"/>
      <c r="M696" s="39" t="str">
        <f t="shared" si="1"/>
        <v>[ 9-point ADI iteration + smooth guess (1969)]</v>
      </c>
      <c r="N696" s="39" t="s">
        <v>4583</v>
      </c>
      <c r="O696" s="81">
        <v>1969.0</v>
      </c>
      <c r="P696" s="39"/>
      <c r="Q696" s="82"/>
      <c r="R696" s="82"/>
      <c r="S696" s="82"/>
      <c r="T696" s="81">
        <v>0.0</v>
      </c>
      <c r="U696" s="16">
        <v>0.0</v>
      </c>
      <c r="V696" s="89">
        <f>IFERROR(__xludf.DUMMYFUNCTION("INDEX(SPLIT(SUBSTITUTE(W696,CHAR(10), """"),"",:""), MATCH(Z696, SPLIT(SUBSTITUTE(W696,CHAR(10), """"),"",:""), 0) + 1)"),6.01)</f>
        <v>6.01</v>
      </c>
      <c r="W696" s="85" t="s">
        <v>4142</v>
      </c>
      <c r="X696" s="21" t="s">
        <v>4143</v>
      </c>
      <c r="Y696" s="53" t="s">
        <v>4561</v>
      </c>
      <c r="Z696" s="53" t="str">
        <f t="array" ref="Z696">INDEX(Problems!J:J, MATCH(1, (Problems!B:B=B696)*1, 0))</f>
        <v>n</v>
      </c>
      <c r="AA696" s="53"/>
      <c r="AB696" s="53"/>
      <c r="AC696" s="53" t="s">
        <v>2614</v>
      </c>
      <c r="AD696" s="53" t="s">
        <v>1814</v>
      </c>
      <c r="AE696" s="85">
        <f>IFERROR(__xludf.DUMMYFUNCTION("INDEX(SPLIT(SUBSTITUTE(AF696,CHAR(10), """"),"",:""), MATCH(Z696, SPLIT(SUBSTITUTE(AF696,CHAR(10), """"),"",:""), 0) + 1)"),6.0)</f>
        <v>6</v>
      </c>
      <c r="AF696" s="85" t="s">
        <v>2008</v>
      </c>
      <c r="AG696" s="53" t="s">
        <v>4595</v>
      </c>
      <c r="AH696" s="53" t="s">
        <v>4596</v>
      </c>
      <c r="AI696" s="151">
        <v>1.0</v>
      </c>
      <c r="AJ696" s="84">
        <v>0.0</v>
      </c>
      <c r="AK696" s="87"/>
      <c r="AL696" s="81">
        <v>0.0</v>
      </c>
      <c r="AM696" s="87"/>
      <c r="AN696" s="81">
        <v>0.0</v>
      </c>
      <c r="AO696" s="90"/>
      <c r="AP696" s="81">
        <v>0.0</v>
      </c>
      <c r="AQ696" s="81">
        <v>0.0</v>
      </c>
      <c r="AR696" s="39"/>
      <c r="AS696" s="81">
        <v>0.0</v>
      </c>
      <c r="AT696" s="81">
        <v>0.0</v>
      </c>
      <c r="AU696" s="39"/>
      <c r="AV696" s="82"/>
      <c r="AW696" s="82"/>
      <c r="AX696" s="82"/>
      <c r="AY696" s="7"/>
      <c r="AZ696" s="122"/>
      <c r="BA696" s="122"/>
      <c r="BB696" s="122"/>
      <c r="BC696" s="122"/>
      <c r="BD696" s="122"/>
      <c r="BE696" s="122"/>
      <c r="BF696" s="122">
        <v>9965784.0</v>
      </c>
      <c r="BG696" s="82"/>
      <c r="BH696" s="82"/>
      <c r="BI696" s="82"/>
      <c r="BJ696" s="82"/>
      <c r="BK696" s="82"/>
      <c r="BL696" s="82"/>
      <c r="BM696" s="82"/>
      <c r="BN696" s="7"/>
      <c r="BO696" s="7">
        <v>1.0</v>
      </c>
      <c r="BP696" s="82"/>
      <c r="BQ696" s="7"/>
      <c r="BR696" s="7" t="s">
        <v>144</v>
      </c>
    </row>
    <row r="697">
      <c r="A697" s="16">
        <v>63.0</v>
      </c>
      <c r="B697" s="16" t="s">
        <v>758</v>
      </c>
      <c r="C697" s="53">
        <v>1.0</v>
      </c>
      <c r="D697" s="53" t="s">
        <v>765</v>
      </c>
      <c r="E697" s="7">
        <v>518.0</v>
      </c>
      <c r="F697" s="53"/>
      <c r="G697" s="7"/>
      <c r="H697" s="16">
        <v>1.0</v>
      </c>
      <c r="I697" s="81">
        <v>1.0</v>
      </c>
      <c r="J697" s="21" t="s">
        <v>4140</v>
      </c>
      <c r="K697" s="53"/>
      <c r="L697" s="53"/>
      <c r="M697" s="39" t="str">
        <f t="shared" si="1"/>
        <v>[ 5-point cyclic reduction (1970)]</v>
      </c>
      <c r="N697" s="39" t="s">
        <v>4584</v>
      </c>
      <c r="O697" s="81">
        <v>1970.0</v>
      </c>
      <c r="P697" s="39"/>
      <c r="Q697" s="82"/>
      <c r="R697" s="82"/>
      <c r="S697" s="82"/>
      <c r="T697" s="81">
        <v>0.0</v>
      </c>
      <c r="U697" s="16">
        <v>0.0</v>
      </c>
      <c r="V697" s="89">
        <f>IFERROR(__xludf.DUMMYFUNCTION("INDEX(SPLIT(SUBSTITUTE(W697,CHAR(10), """"),"",:""), MATCH(Z697, SPLIT(SUBSTITUTE(W697,CHAR(10), """"),"",:""), 0) + 1)"),6.01)</f>
        <v>6.01</v>
      </c>
      <c r="W697" s="85" t="s">
        <v>4142</v>
      </c>
      <c r="X697" s="21" t="s">
        <v>4143</v>
      </c>
      <c r="Y697" s="53" t="s">
        <v>4561</v>
      </c>
      <c r="Z697" s="53" t="str">
        <f t="array" ref="Z697">INDEX(Problems!J:J, MATCH(1, (Problems!B:B=B697)*1, 0))</f>
        <v>n</v>
      </c>
      <c r="AA697" s="53"/>
      <c r="AB697" s="53"/>
      <c r="AC697" s="53" t="s">
        <v>2614</v>
      </c>
      <c r="AD697" s="53" t="s">
        <v>1814</v>
      </c>
      <c r="AE697" s="85">
        <f>IFERROR(__xludf.DUMMYFUNCTION("INDEX(SPLIT(SUBSTITUTE(AF697,CHAR(10), """"),"",:""), MATCH(Z697, SPLIT(SUBSTITUTE(AF697,CHAR(10), """"),"",:""), 0) + 1)"),6.0)</f>
        <v>6</v>
      </c>
      <c r="AF697" s="85" t="s">
        <v>2008</v>
      </c>
      <c r="AG697" s="53" t="s">
        <v>4595</v>
      </c>
      <c r="AH697" s="53" t="s">
        <v>4596</v>
      </c>
      <c r="AI697" s="151">
        <v>1.0</v>
      </c>
      <c r="AJ697" s="84">
        <v>0.0</v>
      </c>
      <c r="AK697" s="87"/>
      <c r="AL697" s="81">
        <v>0.0</v>
      </c>
      <c r="AM697" s="87"/>
      <c r="AN697" s="81">
        <v>0.0</v>
      </c>
      <c r="AO697" s="90"/>
      <c r="AP697" s="81">
        <v>0.0</v>
      </c>
      <c r="AQ697" s="81">
        <v>0.0</v>
      </c>
      <c r="AR697" s="39"/>
      <c r="AS697" s="81">
        <v>0.0</v>
      </c>
      <c r="AT697" s="81">
        <v>0.0</v>
      </c>
      <c r="AU697" s="39"/>
      <c r="AV697" s="82"/>
      <c r="AW697" s="82"/>
      <c r="AX697" s="82"/>
      <c r="AY697" s="7"/>
      <c r="AZ697" s="122"/>
      <c r="BA697" s="122"/>
      <c r="BB697" s="122"/>
      <c r="BC697" s="122"/>
      <c r="BD697" s="122"/>
      <c r="BE697" s="122"/>
      <c r="BF697" s="122">
        <v>9965784.0</v>
      </c>
      <c r="BG697" s="82"/>
      <c r="BH697" s="82"/>
      <c r="BI697" s="82"/>
      <c r="BJ697" s="82"/>
      <c r="BK697" s="82"/>
      <c r="BL697" s="82"/>
      <c r="BM697" s="82"/>
      <c r="BN697" s="7"/>
      <c r="BO697" s="7">
        <v>1.0</v>
      </c>
      <c r="BP697" s="82"/>
      <c r="BQ697" s="7"/>
      <c r="BR697" s="7" t="s">
        <v>144</v>
      </c>
    </row>
    <row r="698">
      <c r="A698" s="16">
        <v>63.0</v>
      </c>
      <c r="B698" s="16" t="s">
        <v>758</v>
      </c>
      <c r="C698" s="53">
        <v>1.0</v>
      </c>
      <c r="D698" s="53" t="s">
        <v>765</v>
      </c>
      <c r="E698" s="7">
        <v>519.0</v>
      </c>
      <c r="F698" s="53"/>
      <c r="G698" s="7"/>
      <c r="H698" s="16">
        <v>1.0</v>
      </c>
      <c r="I698" s="81">
        <v>1.0</v>
      </c>
      <c r="J698" s="21" t="s">
        <v>4140</v>
      </c>
      <c r="K698" s="53"/>
      <c r="L698" s="53"/>
      <c r="M698" s="39" t="str">
        <f t="shared" si="1"/>
        <v>[ 9-point FFT (1978)]</v>
      </c>
      <c r="N698" s="39" t="s">
        <v>4585</v>
      </c>
      <c r="O698" s="81">
        <v>1978.0</v>
      </c>
      <c r="P698" s="39"/>
      <c r="Q698" s="82"/>
      <c r="R698" s="82"/>
      <c r="S698" s="82"/>
      <c r="T698" s="81">
        <v>0.0</v>
      </c>
      <c r="U698" s="16">
        <v>0.0</v>
      </c>
      <c r="V698" s="89">
        <f>IFERROR(__xludf.DUMMYFUNCTION("INDEX(SPLIT(SUBSTITUTE(W698,CHAR(10), """"),"",:""), MATCH(Z698, SPLIT(SUBSTITUTE(W698,CHAR(10), """"),"",:""), 0) + 1)"),6.01)</f>
        <v>6.01</v>
      </c>
      <c r="W698" s="85" t="s">
        <v>4142</v>
      </c>
      <c r="X698" s="21" t="s">
        <v>4143</v>
      </c>
      <c r="Y698" s="53" t="s">
        <v>4561</v>
      </c>
      <c r="Z698" s="53" t="str">
        <f t="array" ref="Z698">INDEX(Problems!J:J, MATCH(1, (Problems!B:B=B698)*1, 0))</f>
        <v>n</v>
      </c>
      <c r="AA698" s="53"/>
      <c r="AB698" s="53"/>
      <c r="AC698" s="53" t="s">
        <v>2614</v>
      </c>
      <c r="AD698" s="53" t="s">
        <v>1814</v>
      </c>
      <c r="AE698" s="85">
        <f>IFERROR(__xludf.DUMMYFUNCTION("INDEX(SPLIT(SUBSTITUTE(AF698,CHAR(10), """"),"",:""), MATCH(Z698, SPLIT(SUBSTITUTE(AF698,CHAR(10), """"),"",:""), 0) + 1)"),6.0)</f>
        <v>6</v>
      </c>
      <c r="AF698" s="85" t="s">
        <v>2008</v>
      </c>
      <c r="AG698" s="53" t="s">
        <v>4595</v>
      </c>
      <c r="AH698" s="53" t="s">
        <v>4582</v>
      </c>
      <c r="AI698" s="151">
        <v>1.0</v>
      </c>
      <c r="AJ698" s="84">
        <v>0.0</v>
      </c>
      <c r="AK698" s="87"/>
      <c r="AL698" s="81">
        <v>0.0</v>
      </c>
      <c r="AM698" s="87"/>
      <c r="AN698" s="81">
        <v>0.0</v>
      </c>
      <c r="AO698" s="90"/>
      <c r="AP698" s="81">
        <v>0.0</v>
      </c>
      <c r="AQ698" s="81">
        <v>0.0</v>
      </c>
      <c r="AR698" s="39"/>
      <c r="AS698" s="81">
        <v>0.0</v>
      </c>
      <c r="AT698" s="81">
        <v>0.0</v>
      </c>
      <c r="AU698" s="39"/>
      <c r="AV698" s="82"/>
      <c r="AW698" s="82"/>
      <c r="AX698" s="82"/>
      <c r="AY698" s="7"/>
      <c r="AZ698" s="122"/>
      <c r="BA698" s="122"/>
      <c r="BB698" s="122"/>
      <c r="BC698" s="122"/>
      <c r="BD698" s="122"/>
      <c r="BE698" s="122"/>
      <c r="BF698" s="122">
        <v>9965784.0</v>
      </c>
      <c r="BG698" s="82"/>
      <c r="BH698" s="82"/>
      <c r="BI698" s="82"/>
      <c r="BJ698" s="82"/>
      <c r="BK698" s="82"/>
      <c r="BL698" s="82"/>
      <c r="BM698" s="82"/>
      <c r="BN698" s="7"/>
      <c r="BO698" s="7">
        <v>1.0</v>
      </c>
      <c r="BP698" s="82"/>
      <c r="BQ698" s="7"/>
      <c r="BR698" s="7" t="s">
        <v>144</v>
      </c>
    </row>
    <row r="699">
      <c r="A699" s="16">
        <v>64.0</v>
      </c>
      <c r="B699" s="16" t="s">
        <v>768</v>
      </c>
      <c r="C699" s="53">
        <v>1.0</v>
      </c>
      <c r="D699" s="53" t="s">
        <v>4601</v>
      </c>
      <c r="E699" s="7">
        <v>520.0</v>
      </c>
      <c r="F699" s="53"/>
      <c r="G699" s="7"/>
      <c r="H699" s="16">
        <v>1.0</v>
      </c>
      <c r="I699" s="81">
        <v>1.0</v>
      </c>
      <c r="J699" s="21" t="s">
        <v>4602</v>
      </c>
      <c r="K699" s="53"/>
      <c r="L699" s="53"/>
      <c r="M699" s="39" t="str">
        <f t="shared" si="1"/>
        <v>[- Naive algorithm (1934)]</v>
      </c>
      <c r="N699" s="39" t="s">
        <v>2048</v>
      </c>
      <c r="O699" s="83">
        <v>1934.0</v>
      </c>
      <c r="P699" s="39" t="s">
        <v>1937</v>
      </c>
      <c r="Q699" s="7">
        <v>1.0</v>
      </c>
      <c r="R699" s="7">
        <v>1.0</v>
      </c>
      <c r="S699" s="82"/>
      <c r="T699" s="81">
        <v>1.0</v>
      </c>
      <c r="U699" s="81">
        <v>0.0</v>
      </c>
      <c r="V699" s="89">
        <f>IFERROR(__xludf.DUMMYFUNCTION("INDEX(SPLIT(SUBSTITUTE(W699,CHAR(10), """"),"",:""), MATCH(Z699, SPLIT(SUBSTITUTE(W699,CHAR(10), """"),"",:""), 0) + 1)"),7.0)</f>
        <v>7</v>
      </c>
      <c r="W699" s="85" t="s">
        <v>2517</v>
      </c>
      <c r="X699" s="21" t="s">
        <v>4603</v>
      </c>
      <c r="Y699" s="53" t="s">
        <v>3096</v>
      </c>
      <c r="Z699" s="53" t="str">
        <f t="array" ref="Z699">INDEX(Problems!J:J, MATCH(1, (Problems!B:B=B699)*1, 0))</f>
        <v>n</v>
      </c>
      <c r="AA699" s="53"/>
      <c r="AB699" s="53"/>
      <c r="AC699" s="53" t="s">
        <v>2614</v>
      </c>
      <c r="AD699" s="53" t="s">
        <v>1814</v>
      </c>
      <c r="AE699" s="85">
        <f>IFERROR(__xludf.DUMMYFUNCTION("INDEX(SPLIT(SUBSTITUTE(AF699,CHAR(10), """"),"",:""), MATCH(Z699, SPLIT(SUBSTITUTE(AF699,CHAR(10), """"),"",:""), 0) + 1)"),3.0)</f>
        <v>3</v>
      </c>
      <c r="AF699" s="85" t="s">
        <v>1763</v>
      </c>
      <c r="AG699" s="53" t="s">
        <v>35</v>
      </c>
      <c r="AH699" s="53" t="s">
        <v>4604</v>
      </c>
      <c r="AI699" s="84">
        <v>1.0</v>
      </c>
      <c r="AJ699" s="84">
        <v>0.0</v>
      </c>
      <c r="AK699" s="87"/>
      <c r="AL699" s="81">
        <v>0.0</v>
      </c>
      <c r="AM699" s="87"/>
      <c r="AN699" s="81">
        <v>0.0</v>
      </c>
      <c r="AO699" s="90"/>
      <c r="AP699" s="81">
        <v>0.0</v>
      </c>
      <c r="AQ699" s="81">
        <v>0.0</v>
      </c>
      <c r="AR699" s="39"/>
      <c r="AS699" s="81">
        <v>0.0</v>
      </c>
      <c r="AT699" s="81">
        <v>0.0</v>
      </c>
      <c r="AU699" s="39"/>
      <c r="AV699" s="82"/>
      <c r="AW699" s="82"/>
      <c r="AX699" s="82"/>
      <c r="AY699" s="7"/>
      <c r="AZ699" s="7"/>
      <c r="BA699" s="7"/>
      <c r="BB699" s="7"/>
      <c r="BC699" s="7"/>
      <c r="BD699" s="7"/>
      <c r="BE699" s="7"/>
      <c r="BF699" s="7">
        <v>1000000.0</v>
      </c>
      <c r="BG699" s="7">
        <v>1.0</v>
      </c>
      <c r="BH699" s="82"/>
      <c r="BI699" s="82">
        <f>POW(1000000,2)</f>
        <v>1000000000000</v>
      </c>
      <c r="BJ699" s="7">
        <v>1.0</v>
      </c>
      <c r="BK699" s="82"/>
      <c r="BL699" s="82">
        <f>POW(1000000000,2)</f>
        <v>1E+18</v>
      </c>
      <c r="BM699" s="7">
        <v>1.0</v>
      </c>
      <c r="BN699" s="7"/>
      <c r="BO699" s="7">
        <v>4.0</v>
      </c>
      <c r="BP699" s="82"/>
      <c r="BQ699" s="7"/>
      <c r="BR699" s="7" t="s">
        <v>23</v>
      </c>
    </row>
    <row r="700">
      <c r="A700" s="16">
        <v>64.0</v>
      </c>
      <c r="B700" s="16" t="s">
        <v>768</v>
      </c>
      <c r="C700" s="53">
        <v>1.0</v>
      </c>
      <c r="D700" s="53" t="s">
        <v>4601</v>
      </c>
      <c r="E700" s="7">
        <v>521.0</v>
      </c>
      <c r="F700" s="53"/>
      <c r="G700" s="7"/>
      <c r="H700" s="16">
        <v>1.0</v>
      </c>
      <c r="I700" s="81">
        <v>1.0</v>
      </c>
      <c r="J700" s="39" t="s">
        <v>115</v>
      </c>
      <c r="K700" s="53"/>
      <c r="L700" s="53"/>
      <c r="M700" s="39" t="str">
        <f t="shared" si="1"/>
        <v>[https://link.springer.com/article/10.1007/PL00009464 Flipping algorithm (1999)]</v>
      </c>
      <c r="N700" s="39" t="s">
        <v>4605</v>
      </c>
      <c r="O700" s="81">
        <v>1999.0</v>
      </c>
      <c r="P700" s="28" t="s">
        <v>4606</v>
      </c>
      <c r="Q700" s="82"/>
      <c r="R700" s="82"/>
      <c r="S700" s="82"/>
      <c r="T700" s="81">
        <v>0.0</v>
      </c>
      <c r="U700" s="81">
        <v>0.0</v>
      </c>
      <c r="V700" s="89">
        <f>IFERROR(__xludf.DUMMYFUNCTION("INDEX(SPLIT(SUBSTITUTE(W700,CHAR(10), """"),"",:""), MATCH(Z700, SPLIT(SUBSTITUTE(W700,CHAR(10), """"),"",:""), 0) + 1)"),5.0)</f>
        <v>5</v>
      </c>
      <c r="W700" s="85" t="s">
        <v>1938</v>
      </c>
      <c r="X700" s="39" t="s">
        <v>115</v>
      </c>
      <c r="Y700" s="53" t="s">
        <v>3096</v>
      </c>
      <c r="Z700" s="53" t="str">
        <f t="array" ref="Z700">INDEX(Problems!J:J, MATCH(1, (Problems!B:B=B700)*1, 0))</f>
        <v>n</v>
      </c>
      <c r="AA700" s="53"/>
      <c r="AB700" s="53"/>
      <c r="AC700" s="53" t="s">
        <v>2614</v>
      </c>
      <c r="AD700" s="53" t="s">
        <v>1814</v>
      </c>
      <c r="AE700" s="85">
        <f>IFERROR(__xludf.DUMMYFUNCTION("INDEX(SPLIT(SUBSTITUTE(AF700,CHAR(10), """"),"",:""), MATCH(Z700, SPLIT(SUBSTITUTE(AF700,CHAR(10), """"),"",:""), 0) + 1)"),3.0)</f>
        <v>3</v>
      </c>
      <c r="AF700" s="85" t="s">
        <v>1763</v>
      </c>
      <c r="AG700" s="53" t="s">
        <v>35</v>
      </c>
      <c r="AH700" s="53" t="s">
        <v>4607</v>
      </c>
      <c r="AI700" s="84">
        <v>1.0</v>
      </c>
      <c r="AJ700" s="84">
        <v>0.0</v>
      </c>
      <c r="AK700" s="87"/>
      <c r="AL700" s="81">
        <v>0.0</v>
      </c>
      <c r="AM700" s="87"/>
      <c r="AN700" s="81">
        <v>0.0</v>
      </c>
      <c r="AO700" s="90"/>
      <c r="AP700" s="81">
        <v>0.0</v>
      </c>
      <c r="AQ700" s="81">
        <v>0.0</v>
      </c>
      <c r="AR700" s="39"/>
      <c r="AS700" s="81">
        <v>0.0</v>
      </c>
      <c r="AT700" s="81">
        <v>0.0</v>
      </c>
      <c r="AU700" s="39"/>
      <c r="AV700" s="82"/>
      <c r="AW700" s="82"/>
      <c r="AX700" s="82"/>
      <c r="AY700" s="7"/>
      <c r="AZ700" s="7"/>
      <c r="BA700" s="7"/>
      <c r="BB700" s="7"/>
      <c r="BC700" s="7"/>
      <c r="BD700" s="7"/>
      <c r="BE700" s="7"/>
      <c r="BF700" s="7">
        <v>1000000.0</v>
      </c>
      <c r="BG700" s="82"/>
      <c r="BH700" s="82"/>
      <c r="BI700" s="82"/>
      <c r="BJ700" s="82"/>
      <c r="BK700" s="82"/>
      <c r="BL700" s="82"/>
      <c r="BM700" s="82"/>
      <c r="BN700" s="7"/>
      <c r="BO700" s="7">
        <v>4.0</v>
      </c>
      <c r="BP700" s="82"/>
      <c r="BQ700" s="7"/>
      <c r="BR700" s="7" t="s">
        <v>23</v>
      </c>
    </row>
    <row r="701">
      <c r="A701" s="16">
        <v>64.0</v>
      </c>
      <c r="B701" s="16" t="s">
        <v>768</v>
      </c>
      <c r="C701" s="53">
        <v>1.0</v>
      </c>
      <c r="D701" s="53" t="s">
        <v>4601</v>
      </c>
      <c r="E701" s="7">
        <v>522.0</v>
      </c>
      <c r="F701" s="53"/>
      <c r="G701" s="7"/>
      <c r="H701" s="16">
        <v>1.0</v>
      </c>
      <c r="I701" s="81">
        <v>1.0</v>
      </c>
      <c r="J701" s="39" t="s">
        <v>1788</v>
      </c>
      <c r="K701" s="53"/>
      <c r="L701" s="53"/>
      <c r="M701" s="39" t="str">
        <f t="shared" si="1"/>
        <v>[https://web.archive.org/web/20091028054315/http://www.cs.uu.nl/geobook/interpolation.pdf de Berg; Cheong (2008)]</v>
      </c>
      <c r="N701" s="39" t="s">
        <v>4608</v>
      </c>
      <c r="O701" s="81">
        <v>2008.0</v>
      </c>
      <c r="P701" s="28" t="s">
        <v>4609</v>
      </c>
      <c r="Q701" s="82"/>
      <c r="R701" s="82"/>
      <c r="S701" s="82"/>
      <c r="T701" s="81">
        <v>0.0</v>
      </c>
      <c r="U701" s="81">
        <v>0.0</v>
      </c>
      <c r="V701" s="89">
        <f>IFERROR(__xludf.DUMMYFUNCTION("INDEX(SPLIT(SUBSTITUTE(W701,CHAR(10), """"),"",:""), MATCH(Z701, SPLIT(SUBSTITUTE(W701,CHAR(10), """"),"",:""), 0) + 1)"),4.0)</f>
        <v>4</v>
      </c>
      <c r="W701" s="85" t="s">
        <v>1791</v>
      </c>
      <c r="X701" s="16" t="s">
        <v>1953</v>
      </c>
      <c r="Y701" s="53" t="s">
        <v>3096</v>
      </c>
      <c r="Z701" s="53" t="str">
        <f t="array" ref="Z701">INDEX(Problems!J:J, MATCH(1, (Problems!B:B=B701)*1, 0))</f>
        <v>n</v>
      </c>
      <c r="AA701" s="53"/>
      <c r="AB701" s="53"/>
      <c r="AC701" s="53" t="s">
        <v>2614</v>
      </c>
      <c r="AD701" s="53" t="s">
        <v>1814</v>
      </c>
      <c r="AE701" s="85">
        <f>IFERROR(__xludf.DUMMYFUNCTION("INDEX(SPLIT(SUBSTITUTE(AF701,CHAR(10), """"),"",:""), MATCH(Z701, SPLIT(SUBSTITUTE(AF701,CHAR(10), """"),"",:""), 0) + 1)"),3.0)</f>
        <v>3</v>
      </c>
      <c r="AF701" s="85" t="s">
        <v>1763</v>
      </c>
      <c r="AG701" s="53" t="s">
        <v>35</v>
      </c>
      <c r="AH701" s="53" t="s">
        <v>4610</v>
      </c>
      <c r="AI701" s="84">
        <v>1.0</v>
      </c>
      <c r="AJ701" s="84">
        <v>0.0</v>
      </c>
      <c r="AK701" s="87"/>
      <c r="AL701" s="81">
        <v>0.0</v>
      </c>
      <c r="AM701" s="87"/>
      <c r="AN701" s="81">
        <v>0.0</v>
      </c>
      <c r="AO701" s="90"/>
      <c r="AP701" s="81">
        <v>0.0</v>
      </c>
      <c r="AQ701" s="81">
        <v>0.0</v>
      </c>
      <c r="AR701" s="39"/>
      <c r="AS701" s="81">
        <v>0.0</v>
      </c>
      <c r="AT701" s="81">
        <v>0.0</v>
      </c>
      <c r="AU701" s="39"/>
      <c r="AV701" s="82"/>
      <c r="AW701" s="82"/>
      <c r="AX701" s="82"/>
      <c r="AY701" s="7"/>
      <c r="AZ701" s="7"/>
      <c r="BA701" s="7"/>
      <c r="BB701" s="7"/>
      <c r="BC701" s="7"/>
      <c r="BD701" s="7"/>
      <c r="BE701" s="7"/>
      <c r="BF701" s="7">
        <v>9965.0</v>
      </c>
      <c r="BG701" s="82"/>
      <c r="BH701" s="82"/>
      <c r="BI701" s="82"/>
      <c r="BJ701" s="82"/>
      <c r="BK701" s="82"/>
      <c r="BL701" s="82"/>
      <c r="BM701" s="82"/>
      <c r="BN701" s="7"/>
      <c r="BO701" s="7">
        <v>4.0</v>
      </c>
      <c r="BP701" s="82"/>
      <c r="BQ701" s="7"/>
      <c r="BR701" s="7" t="s">
        <v>23</v>
      </c>
    </row>
    <row r="702">
      <c r="A702" s="16">
        <v>64.0</v>
      </c>
      <c r="B702" s="16" t="s">
        <v>768</v>
      </c>
      <c r="C702" s="53">
        <v>1.0</v>
      </c>
      <c r="D702" s="53" t="s">
        <v>4601</v>
      </c>
      <c r="E702" s="7">
        <v>523.0</v>
      </c>
      <c r="F702" s="53"/>
      <c r="G702" s="7"/>
      <c r="H702" s="16">
        <v>1.0</v>
      </c>
      <c r="I702" s="81">
        <v>1.0</v>
      </c>
      <c r="J702" s="39" t="s">
        <v>1788</v>
      </c>
      <c r="K702" s="53"/>
      <c r="L702" s="53"/>
      <c r="M702" s="39" t="str">
        <f t="shared" si="1"/>
        <v>[https://academic.oup.com/comjnl/article/24/2/167/338200 Bowyer–Watson algorithm (1981)]</v>
      </c>
      <c r="N702" s="39" t="s">
        <v>4381</v>
      </c>
      <c r="O702" s="81">
        <v>1981.0</v>
      </c>
      <c r="P702" s="28" t="s">
        <v>4382</v>
      </c>
      <c r="Q702" s="82"/>
      <c r="R702" s="82"/>
      <c r="S702" s="82"/>
      <c r="T702" s="81">
        <v>0.0</v>
      </c>
      <c r="U702" s="81">
        <v>0.0</v>
      </c>
      <c r="V702" s="89">
        <f>IFERROR(__xludf.DUMMYFUNCTION("INDEX(SPLIT(SUBSTITUTE(W702,CHAR(10), """"),"",:""), MATCH(Z702, SPLIT(SUBSTITUTE(W702,CHAR(10), """"),"",:""), 0) + 1)"),4.0)</f>
        <v>4</v>
      </c>
      <c r="W702" s="85" t="s">
        <v>1791</v>
      </c>
      <c r="X702" s="16" t="s">
        <v>1953</v>
      </c>
      <c r="Y702" s="53" t="s">
        <v>3096</v>
      </c>
      <c r="Z702" s="53" t="str">
        <f t="array" ref="Z702">INDEX(Problems!J:J, MATCH(1, (Problems!B:B=B702)*1, 0))</f>
        <v>n</v>
      </c>
      <c r="AA702" s="53"/>
      <c r="AB702" s="53"/>
      <c r="AC702" s="53" t="s">
        <v>2614</v>
      </c>
      <c r="AD702" s="53" t="s">
        <v>1814</v>
      </c>
      <c r="AE702" s="85">
        <f>IFERROR(__xludf.DUMMYFUNCTION("INDEX(SPLIT(SUBSTITUTE(AF702,CHAR(10), """"),"",:""), MATCH(Z702, SPLIT(SUBSTITUTE(AF702,CHAR(10), """"),"",:""), 0) + 1)"),3.0)</f>
        <v>3</v>
      </c>
      <c r="AF702" s="85" t="s">
        <v>1763</v>
      </c>
      <c r="AG702" s="53" t="s">
        <v>35</v>
      </c>
      <c r="AH702" s="53" t="s">
        <v>4611</v>
      </c>
      <c r="AI702" s="84">
        <v>1.0</v>
      </c>
      <c r="AJ702" s="84">
        <v>0.0</v>
      </c>
      <c r="AK702" s="87"/>
      <c r="AL702" s="81">
        <v>0.0</v>
      </c>
      <c r="AM702" s="87"/>
      <c r="AN702" s="81">
        <v>0.0</v>
      </c>
      <c r="AO702" s="90"/>
      <c r="AP702" s="81">
        <v>0.0</v>
      </c>
      <c r="AQ702" s="81">
        <v>0.0</v>
      </c>
      <c r="AR702" s="39"/>
      <c r="AS702" s="81">
        <v>0.0</v>
      </c>
      <c r="AT702" s="81">
        <v>0.0</v>
      </c>
      <c r="AU702" s="39"/>
      <c r="AV702" s="82"/>
      <c r="AW702" s="82"/>
      <c r="AX702" s="82"/>
      <c r="AY702" s="7"/>
      <c r="AZ702" s="7"/>
      <c r="BA702" s="7"/>
      <c r="BB702" s="7"/>
      <c r="BC702" s="7"/>
      <c r="BD702" s="7"/>
      <c r="BE702" s="7"/>
      <c r="BF702" s="7">
        <v>9965.0</v>
      </c>
      <c r="BG702" s="82"/>
      <c r="BH702" s="82"/>
      <c r="BI702" s="82"/>
      <c r="BJ702" s="82"/>
      <c r="BK702" s="82"/>
      <c r="BL702" s="82"/>
      <c r="BM702" s="82"/>
      <c r="BN702" s="7"/>
      <c r="BO702" s="7">
        <v>4.0</v>
      </c>
      <c r="BP702" s="82"/>
      <c r="BQ702" s="7"/>
      <c r="BR702" s="7" t="s">
        <v>23</v>
      </c>
    </row>
    <row r="703">
      <c r="A703" s="16">
        <v>64.0</v>
      </c>
      <c r="B703" s="16" t="s">
        <v>768</v>
      </c>
      <c r="C703" s="53">
        <v>1.0</v>
      </c>
      <c r="D703" s="53" t="s">
        <v>4601</v>
      </c>
      <c r="E703" s="7">
        <v>524.0</v>
      </c>
      <c r="F703" s="53"/>
      <c r="G703" s="7"/>
      <c r="H703" s="16">
        <v>1.0</v>
      </c>
      <c r="I703" s="81">
        <v>1.0</v>
      </c>
      <c r="J703" s="39" t="s">
        <v>1788</v>
      </c>
      <c r="K703" s="53"/>
      <c r="L703" s="53"/>
      <c r="M703" s="39" t="str">
        <f t="shared" si="1"/>
        <v>[https://web.archive.org/web/20180425231851/https://www.cs.cmu.edu/~ygu1/paper/SPAA16/Incremental.pdf Belloch (2006)]</v>
      </c>
      <c r="N703" s="16" t="s">
        <v>4612</v>
      </c>
      <c r="O703" s="81">
        <v>2006.0</v>
      </c>
      <c r="P703" s="28" t="s">
        <v>4613</v>
      </c>
      <c r="Q703" s="82"/>
      <c r="R703" s="82"/>
      <c r="S703" s="82"/>
      <c r="T703" s="81">
        <v>0.0</v>
      </c>
      <c r="U703" s="81">
        <v>0.0</v>
      </c>
      <c r="V703" s="89">
        <f>IFERROR(__xludf.DUMMYFUNCTION("INDEX(SPLIT(SUBSTITUTE(W703,CHAR(10), """"),"",:""), MATCH(Z703, SPLIT(SUBSTITUTE(W703,CHAR(10), """"),"",:""), 0) + 1)"),4.0)</f>
        <v>4</v>
      </c>
      <c r="W703" s="85" t="s">
        <v>1791</v>
      </c>
      <c r="X703" s="16" t="s">
        <v>1953</v>
      </c>
      <c r="Y703" s="53" t="s">
        <v>3096</v>
      </c>
      <c r="Z703" s="53" t="str">
        <f t="array" ref="Z703">INDEX(Problems!J:J, MATCH(1, (Problems!B:B=B703)*1, 0))</f>
        <v>n</v>
      </c>
      <c r="AA703" s="53"/>
      <c r="AB703" s="53"/>
      <c r="AC703" s="53" t="s">
        <v>2614</v>
      </c>
      <c r="AD703" s="53" t="s">
        <v>1814</v>
      </c>
      <c r="AE703" s="85">
        <f>IFERROR(__xludf.DUMMYFUNCTION("INDEX(SPLIT(SUBSTITUTE(AF703,CHAR(10), """"),"",:""), MATCH(Z703, SPLIT(SUBSTITUTE(AF703,CHAR(10), """"),"",:""), 0) + 1)"),3.0)</f>
        <v>3</v>
      </c>
      <c r="AF703" s="85" t="s">
        <v>1763</v>
      </c>
      <c r="AG703" s="53" t="s">
        <v>35</v>
      </c>
      <c r="AH703" s="53" t="s">
        <v>4614</v>
      </c>
      <c r="AI703" s="84">
        <v>1.0</v>
      </c>
      <c r="AJ703" s="84">
        <v>0.0</v>
      </c>
      <c r="AK703" s="87"/>
      <c r="AL703" s="81">
        <v>0.0</v>
      </c>
      <c r="AM703" s="87"/>
      <c r="AN703" s="81">
        <v>0.0</v>
      </c>
      <c r="AO703" s="90"/>
      <c r="AP703" s="81">
        <v>0.0</v>
      </c>
      <c r="AQ703" s="81">
        <v>1.0</v>
      </c>
      <c r="AR703" s="39"/>
      <c r="AS703" s="81">
        <v>0.0</v>
      </c>
      <c r="AT703" s="81">
        <v>0.0</v>
      </c>
      <c r="AU703" s="39"/>
      <c r="AV703" s="82"/>
      <c r="AW703" s="82"/>
      <c r="AX703" s="82"/>
      <c r="AY703" s="7"/>
      <c r="AZ703" s="7"/>
      <c r="BA703" s="7"/>
      <c r="BB703" s="7"/>
      <c r="BC703" s="7"/>
      <c r="BD703" s="7"/>
      <c r="BE703" s="7"/>
      <c r="BF703" s="7">
        <v>9965.0</v>
      </c>
      <c r="BG703" s="82"/>
      <c r="BH703" s="82"/>
      <c r="BI703" s="82"/>
      <c r="BJ703" s="82"/>
      <c r="BK703" s="82"/>
      <c r="BL703" s="82"/>
      <c r="BM703" s="82"/>
      <c r="BN703" s="7"/>
      <c r="BO703" s="7">
        <v>4.0</v>
      </c>
      <c r="BP703" s="82"/>
      <c r="BQ703" s="7"/>
      <c r="BR703" s="7" t="s">
        <v>23</v>
      </c>
    </row>
    <row r="704">
      <c r="A704" s="16">
        <v>64.0</v>
      </c>
      <c r="B704" s="16" t="s">
        <v>768</v>
      </c>
      <c r="C704" s="53">
        <v>1.0</v>
      </c>
      <c r="D704" s="53" t="s">
        <v>4601</v>
      </c>
      <c r="E704" s="7">
        <v>525.0</v>
      </c>
      <c r="F704" s="53"/>
      <c r="G704" s="7"/>
      <c r="H704" s="16">
        <v>1.0</v>
      </c>
      <c r="I704" s="81">
        <v>1.0</v>
      </c>
      <c r="J704" s="39" t="s">
        <v>1788</v>
      </c>
      <c r="K704" s="53"/>
      <c r="L704" s="53"/>
      <c r="M704" s="39" t="str">
        <f t="shared" si="1"/>
        <v>[http://www.geom.uiuc.edu/~samuelp/del_project.html Guibas; Stofli (1985)]</v>
      </c>
      <c r="N704" s="16" t="s">
        <v>4615</v>
      </c>
      <c r="O704" s="81">
        <v>1985.0</v>
      </c>
      <c r="P704" s="28" t="s">
        <v>770</v>
      </c>
      <c r="Q704" s="82"/>
      <c r="R704" s="82"/>
      <c r="S704" s="82"/>
      <c r="T704" s="81">
        <v>0.0</v>
      </c>
      <c r="U704" s="81">
        <v>0.0</v>
      </c>
      <c r="V704" s="89">
        <f>IFERROR(__xludf.DUMMYFUNCTION("INDEX(SPLIT(SUBSTITUTE(W704,CHAR(10), """"),"",:""), MATCH(Z704, SPLIT(SUBSTITUTE(W704,CHAR(10), """"),"",:""), 0) + 1)"),4.0)</f>
        <v>4</v>
      </c>
      <c r="W704" s="85" t="s">
        <v>1791</v>
      </c>
      <c r="X704" s="16" t="s">
        <v>1953</v>
      </c>
      <c r="Y704" s="53" t="s">
        <v>3096</v>
      </c>
      <c r="Z704" s="53" t="str">
        <f t="array" ref="Z704">INDEX(Problems!J:J, MATCH(1, (Problems!B:B=B704)*1, 0))</f>
        <v>n</v>
      </c>
      <c r="AA704" s="53"/>
      <c r="AB704" s="53"/>
      <c r="AC704" s="53" t="s">
        <v>2614</v>
      </c>
      <c r="AD704" s="53" t="s">
        <v>1814</v>
      </c>
      <c r="AE704" s="85">
        <f>IFERROR(__xludf.DUMMYFUNCTION("INDEX(SPLIT(SUBSTITUTE(AF704,CHAR(10), """"),"",:""), MATCH(Z704, SPLIT(SUBSTITUTE(AF704,CHAR(10), """"),"",:""), 0) + 1)"),3.0)</f>
        <v>3</v>
      </c>
      <c r="AF704" s="85" t="s">
        <v>1763</v>
      </c>
      <c r="AG704" s="53" t="s">
        <v>35</v>
      </c>
      <c r="AH704" s="53" t="s">
        <v>4616</v>
      </c>
      <c r="AI704" s="84">
        <v>1.0</v>
      </c>
      <c r="AJ704" s="84">
        <v>0.0</v>
      </c>
      <c r="AK704" s="87"/>
      <c r="AL704" s="81">
        <v>0.0</v>
      </c>
      <c r="AM704" s="87"/>
      <c r="AN704" s="81">
        <v>0.0</v>
      </c>
      <c r="AO704" s="90"/>
      <c r="AP704" s="81">
        <v>0.0</v>
      </c>
      <c r="AQ704" s="81">
        <v>0.0</v>
      </c>
      <c r="AR704" s="39"/>
      <c r="AS704" s="81">
        <v>0.0</v>
      </c>
      <c r="AT704" s="81">
        <v>0.0</v>
      </c>
      <c r="AU704" s="39"/>
      <c r="AV704" s="82"/>
      <c r="AW704" s="82"/>
      <c r="AX704" s="82"/>
      <c r="AY704" s="7"/>
      <c r="AZ704" s="7"/>
      <c r="BA704" s="7"/>
      <c r="BB704" s="7"/>
      <c r="BC704" s="7"/>
      <c r="BD704" s="7"/>
      <c r="BE704" s="7"/>
      <c r="BF704" s="7">
        <v>9965.0</v>
      </c>
      <c r="BG704" s="82"/>
      <c r="BH704" s="82"/>
      <c r="BI704" s="82"/>
      <c r="BJ704" s="82"/>
      <c r="BK704" s="82"/>
      <c r="BL704" s="82"/>
      <c r="BM704" s="82"/>
      <c r="BN704" s="7"/>
      <c r="BO704" s="7">
        <v>4.0</v>
      </c>
      <c r="BP704" s="82"/>
      <c r="BQ704" s="7"/>
      <c r="BR704" s="7" t="s">
        <v>23</v>
      </c>
    </row>
    <row r="705">
      <c r="A705" s="16">
        <v>64.0</v>
      </c>
      <c r="B705" s="16" t="s">
        <v>768</v>
      </c>
      <c r="C705" s="53">
        <v>2.0</v>
      </c>
      <c r="D705" s="53" t="s">
        <v>4601</v>
      </c>
      <c r="E705" s="7">
        <v>526.0</v>
      </c>
      <c r="F705" s="53"/>
      <c r="G705" s="7"/>
      <c r="H705" s="16">
        <v>1.0</v>
      </c>
      <c r="I705" s="81">
        <v>1.0</v>
      </c>
      <c r="J705" s="39" t="s">
        <v>1788</v>
      </c>
      <c r="K705" s="53"/>
      <c r="L705" s="53"/>
      <c r="M705" s="39" t="str">
        <f t="shared" si="1"/>
        <v>[https://dl.acm.org/doi/10.1145/142675.142695 Fortune (1992)]</v>
      </c>
      <c r="N705" s="16" t="s">
        <v>3395</v>
      </c>
      <c r="O705" s="81">
        <v>1992.0</v>
      </c>
      <c r="P705" s="28" t="s">
        <v>4617</v>
      </c>
      <c r="Q705" s="82"/>
      <c r="R705" s="82"/>
      <c r="S705" s="82"/>
      <c r="T705" s="81">
        <v>0.0</v>
      </c>
      <c r="U705" s="81">
        <v>0.0</v>
      </c>
      <c r="V705" s="89">
        <f>IFERROR(__xludf.DUMMYFUNCTION("INDEX(SPLIT(SUBSTITUTE(W705,CHAR(10), """"),"",:""), MATCH(Z705, SPLIT(SUBSTITUTE(W705,CHAR(10), """"),"",:""), 0) + 1)"),5.0)</f>
        <v>5</v>
      </c>
      <c r="W705" s="85" t="s">
        <v>1938</v>
      </c>
      <c r="X705" s="21" t="s">
        <v>115</v>
      </c>
      <c r="Y705" s="53" t="s">
        <v>3096</v>
      </c>
      <c r="Z705" s="53" t="str">
        <f t="array" ref="Z705">INDEX(Problems!J:J, MATCH(1, (Problems!B:B=B705)*1, 0))</f>
        <v>n</v>
      </c>
      <c r="AA705" s="53"/>
      <c r="AB705" s="53"/>
      <c r="AC705" s="53" t="s">
        <v>2614</v>
      </c>
      <c r="AD705" s="53" t="s">
        <v>1814</v>
      </c>
      <c r="AE705" s="85">
        <f>IFERROR(__xludf.DUMMYFUNCTION("INDEX(SPLIT(SUBSTITUTE(AF705,CHAR(10), """"),"",:""), MATCH(Z705, SPLIT(SUBSTITUTE(AF705,CHAR(10), """"),"",:""), 0) + 1)"),3.0)</f>
        <v>3</v>
      </c>
      <c r="AF705" s="85" t="s">
        <v>1763</v>
      </c>
      <c r="AG705" s="53" t="s">
        <v>35</v>
      </c>
      <c r="AH705" s="53" t="s">
        <v>4618</v>
      </c>
      <c r="AI705" s="84">
        <v>1.0</v>
      </c>
      <c r="AJ705" s="84">
        <v>0.0</v>
      </c>
      <c r="AK705" s="87"/>
      <c r="AL705" s="81">
        <v>0.0</v>
      </c>
      <c r="AM705" s="87"/>
      <c r="AN705" s="81">
        <v>0.0</v>
      </c>
      <c r="AO705" s="21" t="s">
        <v>4619</v>
      </c>
      <c r="AP705" s="81">
        <v>0.0</v>
      </c>
      <c r="AQ705" s="81">
        <v>0.0</v>
      </c>
      <c r="AR705" s="39"/>
      <c r="AS705" s="81">
        <v>0.0</v>
      </c>
      <c r="AT705" s="81">
        <v>0.0</v>
      </c>
      <c r="AU705" s="39"/>
      <c r="AV705" s="161" t="s">
        <v>4620</v>
      </c>
      <c r="AW705" s="82"/>
      <c r="AX705" s="82"/>
      <c r="AY705" s="7"/>
      <c r="AZ705" s="7"/>
      <c r="BA705" s="7"/>
      <c r="BB705" s="7"/>
      <c r="BC705" s="7"/>
      <c r="BD705" s="7"/>
      <c r="BE705" s="7"/>
      <c r="BF705" s="7">
        <v>9965.0</v>
      </c>
      <c r="BG705" s="82"/>
      <c r="BH705" s="82"/>
      <c r="BI705" s="82"/>
      <c r="BJ705" s="82"/>
      <c r="BK705" s="82"/>
      <c r="BL705" s="82"/>
      <c r="BM705" s="82"/>
      <c r="BN705" s="7"/>
      <c r="BO705" s="7">
        <v>4.0</v>
      </c>
      <c r="BP705" s="82"/>
      <c r="BQ705" s="7"/>
      <c r="BR705" s="7" t="s">
        <v>23</v>
      </c>
    </row>
    <row r="706">
      <c r="A706" s="16">
        <v>64.0</v>
      </c>
      <c r="B706" s="16" t="s">
        <v>768</v>
      </c>
      <c r="C706" s="53">
        <v>1.0</v>
      </c>
      <c r="D706" s="53" t="s">
        <v>4601</v>
      </c>
      <c r="E706" s="7">
        <v>528.0</v>
      </c>
      <c r="F706" s="53"/>
      <c r="G706" s="7"/>
      <c r="H706" s="16">
        <v>1.0</v>
      </c>
      <c r="I706" s="81">
        <v>1.0</v>
      </c>
      <c r="J706" s="39" t="s">
        <v>1788</v>
      </c>
      <c r="K706" s="53"/>
      <c r="L706" s="53"/>
      <c r="M706" s="39" t="str">
        <f t="shared" si="1"/>
        <v>[http://www.s-hull.org/paper/s_hull.pdf S-hull (Sinclair) (2010)]</v>
      </c>
      <c r="N706" s="16" t="s">
        <v>4621</v>
      </c>
      <c r="O706" s="81">
        <v>2010.0</v>
      </c>
      <c r="P706" s="28" t="s">
        <v>4622</v>
      </c>
      <c r="Q706" s="82"/>
      <c r="R706" s="82"/>
      <c r="S706" s="82"/>
      <c r="T706" s="81">
        <v>0.0</v>
      </c>
      <c r="U706" s="81">
        <v>0.0</v>
      </c>
      <c r="V706" s="89">
        <f>IFERROR(__xludf.DUMMYFUNCTION("INDEX(SPLIT(SUBSTITUTE(W706,CHAR(10), """"),"",:""), MATCH(Z706, SPLIT(SUBSTITUTE(W706,CHAR(10), """"),"",:""), 0) + 1)"),4.0)</f>
        <v>4</v>
      </c>
      <c r="W706" s="85" t="s">
        <v>1791</v>
      </c>
      <c r="X706" s="16" t="s">
        <v>1953</v>
      </c>
      <c r="Y706" s="53" t="s">
        <v>3096</v>
      </c>
      <c r="Z706" s="53" t="str">
        <f t="array" ref="Z706">INDEX(Problems!J:J, MATCH(1, (Problems!B:B=B706)*1, 0))</f>
        <v>n</v>
      </c>
      <c r="AA706" s="53"/>
      <c r="AB706" s="53"/>
      <c r="AC706" s="53" t="s">
        <v>2614</v>
      </c>
      <c r="AD706" s="53" t="s">
        <v>1814</v>
      </c>
      <c r="AE706" s="85">
        <f>IFERROR(__xludf.DUMMYFUNCTION("INDEX(SPLIT(SUBSTITUTE(AF706,CHAR(10), """"),"",:""), MATCH(Z706, SPLIT(SUBSTITUTE(AF706,CHAR(10), """"),"",:""), 0) + 1)"),3.0)</f>
        <v>3</v>
      </c>
      <c r="AF706" s="85" t="s">
        <v>1763</v>
      </c>
      <c r="AG706" s="53" t="s">
        <v>35</v>
      </c>
      <c r="AH706" s="53" t="s">
        <v>4611</v>
      </c>
      <c r="AI706" s="84">
        <v>1.0</v>
      </c>
      <c r="AJ706" s="84">
        <v>0.0</v>
      </c>
      <c r="AK706" s="87"/>
      <c r="AL706" s="81">
        <v>0.0</v>
      </c>
      <c r="AM706" s="87"/>
      <c r="AN706" s="81">
        <v>0.0</v>
      </c>
      <c r="AO706" s="90"/>
      <c r="AP706" s="81">
        <v>0.0</v>
      </c>
      <c r="AQ706" s="81">
        <v>0.0</v>
      </c>
      <c r="AR706" s="39"/>
      <c r="AS706" s="81">
        <v>0.0</v>
      </c>
      <c r="AT706" s="81">
        <v>0.0</v>
      </c>
      <c r="AU706" s="39"/>
      <c r="AV706" s="82"/>
      <c r="AW706" s="82"/>
      <c r="AX706" s="82"/>
      <c r="AY706" s="7"/>
      <c r="AZ706" s="7"/>
      <c r="BA706" s="7"/>
      <c r="BB706" s="7"/>
      <c r="BC706" s="7"/>
      <c r="BD706" s="7"/>
      <c r="BE706" s="7"/>
      <c r="BF706" s="7">
        <v>9965.0</v>
      </c>
      <c r="BG706" s="82"/>
      <c r="BH706" s="82"/>
      <c r="BI706" s="82"/>
      <c r="BJ706" s="82"/>
      <c r="BK706" s="82"/>
      <c r="BL706" s="82"/>
      <c r="BM706" s="82"/>
      <c r="BN706" s="7"/>
      <c r="BO706" s="7">
        <v>4.0</v>
      </c>
      <c r="BP706" s="82"/>
      <c r="BQ706" s="7"/>
      <c r="BR706" s="7" t="s">
        <v>23</v>
      </c>
    </row>
    <row r="707">
      <c r="A707" s="16">
        <v>64.0</v>
      </c>
      <c r="B707" s="16" t="s">
        <v>768</v>
      </c>
      <c r="C707" s="53">
        <v>2.0</v>
      </c>
      <c r="D707" s="53" t="s">
        <v>4601</v>
      </c>
      <c r="E707" s="7">
        <v>529.0</v>
      </c>
      <c r="F707" s="53"/>
      <c r="G707" s="7"/>
      <c r="H707" s="16">
        <v>1.0</v>
      </c>
      <c r="I707" s="81">
        <v>1.0</v>
      </c>
      <c r="J707" s="21" t="s">
        <v>4623</v>
      </c>
      <c r="K707" s="53" t="s">
        <v>4624</v>
      </c>
      <c r="L707" s="86" t="s">
        <v>4625</v>
      </c>
      <c r="M707" s="39" t="str">
        <f t="shared" si="1"/>
        <v>[https://link.springer.com/article/10.1007/BF01840356 Dwyer (1987)]</v>
      </c>
      <c r="N707" s="16" t="s">
        <v>4626</v>
      </c>
      <c r="O707" s="81">
        <v>1987.0</v>
      </c>
      <c r="P707" s="28" t="s">
        <v>4625</v>
      </c>
      <c r="Q707" s="82"/>
      <c r="R707" s="82"/>
      <c r="S707" s="82"/>
      <c r="T707" s="81">
        <v>0.0</v>
      </c>
      <c r="U707" s="81">
        <v>0.0</v>
      </c>
      <c r="V707" s="89">
        <f>IFERROR(__xludf.DUMMYFUNCTION("INDEX(SPLIT(SUBSTITUTE(W707,CHAR(10), """"),"",:""), MATCH(Z707, SPLIT(SUBSTITUTE(W707,CHAR(10), """"),"",:""), 0) + 1)"),4.0)</f>
        <v>4</v>
      </c>
      <c r="W707" s="85" t="s">
        <v>1791</v>
      </c>
      <c r="X707" s="16" t="s">
        <v>1953</v>
      </c>
      <c r="Y707" s="53" t="s">
        <v>3096</v>
      </c>
      <c r="Z707" s="53" t="str">
        <f t="array" ref="Z707">INDEX(Problems!J:J, MATCH(1, (Problems!B:B=B707)*1, 0))</f>
        <v>n</v>
      </c>
      <c r="AA707" s="53"/>
      <c r="AB707" s="53"/>
      <c r="AC707" s="53" t="s">
        <v>2614</v>
      </c>
      <c r="AD707" s="53" t="s">
        <v>1814</v>
      </c>
      <c r="AE707" s="85">
        <f>IFERROR(__xludf.DUMMYFUNCTION("INDEX(SPLIT(SUBSTITUTE(AF707,CHAR(10), """"),"",:""), MATCH(Z707, SPLIT(SUBSTITUTE(AF707,CHAR(10), """"),"",:""), 0) + 1)"),3.0)</f>
        <v>3</v>
      </c>
      <c r="AF707" s="85" t="s">
        <v>1763</v>
      </c>
      <c r="AG707" s="53" t="s">
        <v>2625</v>
      </c>
      <c r="AH707" s="53" t="s">
        <v>4616</v>
      </c>
      <c r="AI707" s="84">
        <v>1.0</v>
      </c>
      <c r="AJ707" s="84">
        <v>0.0</v>
      </c>
      <c r="AK707" s="87"/>
      <c r="AL707" s="81">
        <v>0.0</v>
      </c>
      <c r="AM707" s="87"/>
      <c r="AN707" s="81">
        <v>0.0</v>
      </c>
      <c r="AO707" s="90"/>
      <c r="AP707" s="81">
        <v>0.0</v>
      </c>
      <c r="AQ707" s="81">
        <v>0.0</v>
      </c>
      <c r="AR707" s="39"/>
      <c r="AS707" s="81">
        <v>0.0</v>
      </c>
      <c r="AT707" s="81">
        <v>0.0</v>
      </c>
      <c r="AU707" s="39"/>
      <c r="AV707" s="82"/>
      <c r="AW707" s="82"/>
      <c r="AX707" s="82"/>
      <c r="AY707" s="7"/>
      <c r="AZ707" s="7"/>
      <c r="BA707" s="7"/>
      <c r="BB707" s="7"/>
      <c r="BC707" s="7"/>
      <c r="BD707" s="7"/>
      <c r="BE707" s="7"/>
      <c r="BF707" s="7">
        <v>9965.0</v>
      </c>
      <c r="BG707" s="82"/>
      <c r="BH707" s="82"/>
      <c r="BI707" s="82"/>
      <c r="BJ707" s="82"/>
      <c r="BK707" s="82"/>
      <c r="BL707" s="82"/>
      <c r="BM707" s="82"/>
      <c r="BN707" s="7"/>
      <c r="BO707" s="7">
        <v>4.0</v>
      </c>
      <c r="BP707" s="82"/>
      <c r="BQ707" s="7"/>
      <c r="BR707" s="7" t="s">
        <v>23</v>
      </c>
    </row>
    <row r="708">
      <c r="A708" s="16">
        <v>64.0</v>
      </c>
      <c r="B708" s="16" t="s">
        <v>768</v>
      </c>
      <c r="C708" s="53">
        <v>0.001</v>
      </c>
      <c r="D708" s="53"/>
      <c r="E708" s="7">
        <v>530.0</v>
      </c>
      <c r="F708" s="53" t="s">
        <v>4627</v>
      </c>
      <c r="G708" s="7"/>
      <c r="H708" s="16">
        <v>1.0</v>
      </c>
      <c r="I708" s="81">
        <v>1.0</v>
      </c>
      <c r="J708" s="48" t="s">
        <v>35</v>
      </c>
      <c r="K708" s="53"/>
      <c r="L708" s="91" t="s">
        <v>4628</v>
      </c>
      <c r="M708" s="39" t="str">
        <f t="shared" si="1"/>
        <v>[https://ieeexplore.ieee.org/stamp/stamp.jsp?tp=&amp;arnumber=6313167  Katajainen and M. Koppinen (1988)]</v>
      </c>
      <c r="N708" s="16" t="s">
        <v>4629</v>
      </c>
      <c r="O708" s="83">
        <v>1988.0</v>
      </c>
      <c r="P708" s="162" t="s">
        <v>4628</v>
      </c>
      <c r="Q708" s="82"/>
      <c r="R708" s="82"/>
      <c r="S708" s="82"/>
      <c r="T708" s="81">
        <v>1.0</v>
      </c>
      <c r="U708" s="39" t="s">
        <v>1952</v>
      </c>
      <c r="V708" s="89">
        <f>IFERROR(__xludf.DUMMYFUNCTION("INDEX(SPLIT(SUBSTITUTE(W708,CHAR(10), """"),"",:""), MATCH(Z708, SPLIT(SUBSTITUTE(W708,CHAR(10), """"),"",:""), 0) + 1)"),4.0)</f>
        <v>4</v>
      </c>
      <c r="W708" s="85" t="s">
        <v>1791</v>
      </c>
      <c r="X708" s="48" t="s">
        <v>1953</v>
      </c>
      <c r="Y708" s="53" t="s">
        <v>3096</v>
      </c>
      <c r="Z708" s="53" t="str">
        <f t="array" ref="Z708">INDEX(Problems!J:J, MATCH(1, (Problems!B:B=B708)*1, 0))</f>
        <v>n</v>
      </c>
      <c r="AA708" s="53"/>
      <c r="AB708" s="53"/>
      <c r="AC708" s="53" t="s">
        <v>2614</v>
      </c>
      <c r="AD708" s="53" t="s">
        <v>1814</v>
      </c>
      <c r="AE708" s="85" t="str">
        <f>IFERROR(__xludf.DUMMYFUNCTION("INDEX(SPLIT(SUBSTITUTE(AF708,CHAR(10), """"),"",:""), MATCH(Z708, SPLIT(SUBSTITUTE(AF708,CHAR(10), """"),"",:""), 0) + 1)"),"#VALUE!")</f>
        <v>#VALUE!</v>
      </c>
      <c r="AF708" s="131"/>
      <c r="AG708" s="53"/>
      <c r="AH708" s="53"/>
      <c r="AI708" s="87"/>
      <c r="AJ708" s="84" t="s">
        <v>2520</v>
      </c>
      <c r="AK708" s="87"/>
      <c r="AL708" s="81">
        <v>0.0</v>
      </c>
      <c r="AM708" s="87"/>
      <c r="AN708" s="81">
        <v>0.0</v>
      </c>
      <c r="AO708" s="90"/>
      <c r="AP708" s="81">
        <v>0.0</v>
      </c>
      <c r="AQ708" s="81">
        <v>0.0</v>
      </c>
      <c r="AR708" s="39"/>
      <c r="AS708" s="81">
        <v>0.0</v>
      </c>
      <c r="AT708" s="81">
        <v>0.0</v>
      </c>
      <c r="AU708" s="39"/>
      <c r="AV708" s="82"/>
      <c r="AW708" s="82"/>
      <c r="AX708" s="82"/>
      <c r="AY708" s="7"/>
      <c r="AZ708" s="7"/>
      <c r="BA708" s="7"/>
      <c r="BB708" s="7"/>
      <c r="BC708" s="7"/>
      <c r="BD708" s="7"/>
      <c r="BE708" s="7"/>
      <c r="BF708" s="7">
        <f>1000*LOG(LOG(1000,2),2)</f>
        <v>3316.983346</v>
      </c>
      <c r="BG708" s="82">
        <f>BF699/BF708</f>
        <v>301.4787521</v>
      </c>
      <c r="BH708" s="82">
        <f t="shared" ref="BH708:BH710" si="59">POW(BG708,1/($O708-1940))-1</f>
        <v>0.1262924722</v>
      </c>
      <c r="BI708" s="82">
        <f>1000000*LOG(LOG(1000000,2),2)</f>
        <v>4316983.346</v>
      </c>
      <c r="BJ708" s="82">
        <f>BI699/BI708</f>
        <v>231643.2378</v>
      </c>
      <c r="BK708" s="82">
        <f t="shared" ref="BK708:BK710" si="60">POW(BJ708,1/($O708-1940))-1</f>
        <v>0.2935019136</v>
      </c>
      <c r="BL708" s="82">
        <f>1000000000*LOG(LOG(1000000000,2),2)</f>
        <v>4901945847</v>
      </c>
      <c r="BM708" s="82">
        <f>BL699/BL708</f>
        <v>204000621.6</v>
      </c>
      <c r="BN708" s="82">
        <f t="shared" ref="BN708:BN710" si="61">POW(BM708,1/($O708-1940))-1</f>
        <v>0.4897634763</v>
      </c>
      <c r="BO708" s="7">
        <v>4.0</v>
      </c>
      <c r="BP708" s="82"/>
      <c r="BQ708" s="7"/>
      <c r="BR708" s="7" t="s">
        <v>23</v>
      </c>
    </row>
    <row r="709">
      <c r="A709" s="16">
        <v>64.0</v>
      </c>
      <c r="B709" s="16" t="s">
        <v>768</v>
      </c>
      <c r="C709" s="53">
        <v>1.0</v>
      </c>
      <c r="D709" s="53" t="s">
        <v>4601</v>
      </c>
      <c r="E709" s="7">
        <v>531.0</v>
      </c>
      <c r="F709" s="53"/>
      <c r="G709" s="7"/>
      <c r="H709" s="16">
        <v>1.0</v>
      </c>
      <c r="I709" s="81">
        <v>1.0</v>
      </c>
      <c r="J709" s="39" t="s">
        <v>35</v>
      </c>
      <c r="K709" s="53" t="s">
        <v>4624</v>
      </c>
      <c r="L709" s="113" t="s">
        <v>4630</v>
      </c>
      <c r="M709" s="39" t="str">
        <f t="shared" si="1"/>
        <v>[https://web.archive.org/web/20120308043808/http://www.cs.berkeley.edu/~jrs/meshpapers/SuDrysdale.pdf Drysdale; Su (1996)]</v>
      </c>
      <c r="N709" s="16" t="s">
        <v>4631</v>
      </c>
      <c r="O709" s="81">
        <v>1996.0</v>
      </c>
      <c r="P709" s="17" t="s">
        <v>4630</v>
      </c>
      <c r="Q709" s="7">
        <v>1.0</v>
      </c>
      <c r="R709" s="7">
        <v>1.0</v>
      </c>
      <c r="S709" s="82"/>
      <c r="T709" s="83">
        <v>1.0</v>
      </c>
      <c r="U709" s="39" t="s">
        <v>1818</v>
      </c>
      <c r="V709" s="89">
        <f>IFERROR(__xludf.DUMMYFUNCTION("INDEX(SPLIT(SUBSTITUTE(W709,CHAR(10), """"),"",:""), MATCH(Z709, SPLIT(SUBSTITUTE(W709,CHAR(10), """"),"",:""), 0) + 1)"),3.0)</f>
        <v>3</v>
      </c>
      <c r="W709" s="85" t="s">
        <v>1763</v>
      </c>
      <c r="X709" s="146" t="s">
        <v>35</v>
      </c>
      <c r="Y709" s="53" t="s">
        <v>3096</v>
      </c>
      <c r="Z709" s="53" t="str">
        <f t="array" ref="Z709">INDEX(Problems!J:J, MATCH(1, (Problems!B:B=B709)*1, 0))</f>
        <v>n</v>
      </c>
      <c r="AA709" s="53"/>
      <c r="AB709" s="53"/>
      <c r="AC709" s="53" t="s">
        <v>2614</v>
      </c>
      <c r="AD709" s="53" t="s">
        <v>1814</v>
      </c>
      <c r="AE709" s="85">
        <f>IFERROR(__xludf.DUMMYFUNCTION("INDEX(SPLIT(SUBSTITUTE(AF709,CHAR(10), """"),"",:""), MATCH(Z709, SPLIT(SUBSTITUTE(AF709,CHAR(10), """"),"",:""), 0) + 1)"),3.0)</f>
        <v>3</v>
      </c>
      <c r="AF709" s="85" t="s">
        <v>1763</v>
      </c>
      <c r="AG709" s="53" t="s">
        <v>2625</v>
      </c>
      <c r="AH709" s="53" t="s">
        <v>4632</v>
      </c>
      <c r="AI709" s="84">
        <v>1.0</v>
      </c>
      <c r="AJ709" s="84">
        <v>0.0</v>
      </c>
      <c r="AK709" s="87"/>
      <c r="AL709" s="81">
        <v>0.0</v>
      </c>
      <c r="AM709" s="87"/>
      <c r="AN709" s="81">
        <v>0.0</v>
      </c>
      <c r="AO709" s="90"/>
      <c r="AP709" s="81">
        <v>0.0</v>
      </c>
      <c r="AQ709" s="81">
        <v>0.0</v>
      </c>
      <c r="AR709" s="39"/>
      <c r="AS709" s="81">
        <v>0.0</v>
      </c>
      <c r="AT709" s="81">
        <v>0.0</v>
      </c>
      <c r="AU709" s="39"/>
      <c r="AV709" s="82"/>
      <c r="AW709" s="82"/>
      <c r="AX709" s="82"/>
      <c r="AY709" s="7"/>
      <c r="AZ709" s="7"/>
      <c r="BA709" s="7"/>
      <c r="BB709" s="7"/>
      <c r="BC709" s="7"/>
      <c r="BD709" s="7"/>
      <c r="BE709" s="7"/>
      <c r="BF709" s="7">
        <v>1000.0</v>
      </c>
      <c r="BG709" s="7">
        <v>1000.0</v>
      </c>
      <c r="BH709" s="82">
        <f t="shared" si="59"/>
        <v>0.1312834366</v>
      </c>
      <c r="BI709" s="7">
        <v>1000000.0</v>
      </c>
      <c r="BJ709" s="7">
        <v>1000000.0</v>
      </c>
      <c r="BK709" s="82">
        <f t="shared" si="60"/>
        <v>0.279802214</v>
      </c>
      <c r="BL709" s="7">
        <v>1.0E9</v>
      </c>
      <c r="BM709" s="7">
        <v>1.0E9</v>
      </c>
      <c r="BN709" s="82">
        <f t="shared" si="61"/>
        <v>0.4478190469</v>
      </c>
      <c r="BO709" s="7">
        <v>4.0</v>
      </c>
      <c r="BP709" s="82"/>
      <c r="BQ709" s="7"/>
      <c r="BR709" s="7" t="s">
        <v>23</v>
      </c>
    </row>
    <row r="710">
      <c r="A710" s="16">
        <v>64.0</v>
      </c>
      <c r="B710" s="16" t="s">
        <v>768</v>
      </c>
      <c r="C710" s="53">
        <v>1.0</v>
      </c>
      <c r="D710" s="53" t="s">
        <v>4633</v>
      </c>
      <c r="E710" s="7">
        <v>532.0</v>
      </c>
      <c r="F710" s="53"/>
      <c r="G710" s="7"/>
      <c r="H710" s="16">
        <v>1.0</v>
      </c>
      <c r="I710" s="81">
        <v>1.0</v>
      </c>
      <c r="J710" s="21" t="s">
        <v>35</v>
      </c>
      <c r="K710" s="53" t="s">
        <v>4634</v>
      </c>
      <c r="L710" s="86" t="s">
        <v>4635</v>
      </c>
      <c r="M710" s="39" t="str">
        <f t="shared" si="1"/>
        <v>[https://link.springer.com/article/10.1007/BF02574694 Dwyer (higher dimensions) (1987)]</v>
      </c>
      <c r="N710" s="16" t="s">
        <v>4636</v>
      </c>
      <c r="O710" s="81">
        <v>1987.0</v>
      </c>
      <c r="P710" s="28" t="s">
        <v>4635</v>
      </c>
      <c r="Q710" s="82"/>
      <c r="R710" s="82"/>
      <c r="S710" s="82"/>
      <c r="T710" s="83">
        <v>0.0</v>
      </c>
      <c r="U710" s="81">
        <v>0.0</v>
      </c>
      <c r="V710" s="89">
        <f>IFERROR(__xludf.DUMMYFUNCTION("INDEX(SPLIT(SUBSTITUTE(W710,CHAR(10), """"),"",:""), MATCH(Z710, SPLIT(SUBSTITUTE(W710,CHAR(10), """"),"",:""), 0) + 1)"),3.99)</f>
        <v>3.99</v>
      </c>
      <c r="W710" s="85" t="s">
        <v>4637</v>
      </c>
      <c r="X710" s="48" t="s">
        <v>3930</v>
      </c>
      <c r="Y710" s="53" t="s">
        <v>3096</v>
      </c>
      <c r="Z710" s="53" t="str">
        <f t="array" ref="Z710">INDEX(Problems!J:J, MATCH(1, (Problems!B:B=B710)*1, 0))</f>
        <v>n</v>
      </c>
      <c r="AA710" s="53"/>
      <c r="AB710" s="53"/>
      <c r="AC710" s="53" t="s">
        <v>2614</v>
      </c>
      <c r="AD710" s="53" t="s">
        <v>1814</v>
      </c>
      <c r="AE710" s="85">
        <f>IFERROR(__xludf.DUMMYFUNCTION("INDEX(SPLIT(SUBSTITUTE(AF710,CHAR(10), """"),"",:""), MATCH(Z710, SPLIT(SUBSTITUTE(AF710,CHAR(10), """"),"",:""), 0) + 1)"),3.0)</f>
        <v>3</v>
      </c>
      <c r="AF710" s="85" t="s">
        <v>1763</v>
      </c>
      <c r="AG710" s="53" t="s">
        <v>2625</v>
      </c>
      <c r="AH710" s="53" t="s">
        <v>4638</v>
      </c>
      <c r="AI710" s="84">
        <v>1.0</v>
      </c>
      <c r="AJ710" s="84">
        <v>0.0</v>
      </c>
      <c r="AK710" s="87"/>
      <c r="AL710" s="81">
        <v>0.0</v>
      </c>
      <c r="AM710" s="87"/>
      <c r="AN710" s="81">
        <v>0.0</v>
      </c>
      <c r="AO710" s="90"/>
      <c r="AP710" s="81">
        <v>0.0</v>
      </c>
      <c r="AQ710" s="81">
        <v>0.0</v>
      </c>
      <c r="AR710" s="39"/>
      <c r="AS710" s="81">
        <v>0.0</v>
      </c>
      <c r="AT710" s="81">
        <v>0.0</v>
      </c>
      <c r="AU710" s="39"/>
      <c r="AV710" s="82"/>
      <c r="AW710" s="82"/>
      <c r="AX710" s="82"/>
      <c r="AY710" s="7"/>
      <c r="AZ710" s="7"/>
      <c r="BA710" s="7"/>
      <c r="BB710" s="7"/>
      <c r="BC710" s="7"/>
      <c r="BD710" s="7"/>
      <c r="BE710" s="7"/>
      <c r="BF710" s="7">
        <f>1000*LOG(LOG(1000,2),2)</f>
        <v>3316.983346</v>
      </c>
      <c r="BG710" s="82">
        <f>BF699/BF710</f>
        <v>301.4787521</v>
      </c>
      <c r="BH710" s="82">
        <f t="shared" si="59"/>
        <v>0.1291461101</v>
      </c>
      <c r="BI710" s="82">
        <f>1000000*LOG(LOG(1000000,2),2)</f>
        <v>4316983.346</v>
      </c>
      <c r="BJ710" s="82">
        <f>BI699/BI710</f>
        <v>231643.2378</v>
      </c>
      <c r="BK710" s="82">
        <f t="shared" si="60"/>
        <v>0.3006040392</v>
      </c>
      <c r="BL710" s="82">
        <f>1000000000*LOG(LOG(1000000000,2),2)</f>
        <v>4901945847</v>
      </c>
      <c r="BM710" s="82">
        <f>BL699/BL710</f>
        <v>204000621.6</v>
      </c>
      <c r="BN710" s="82">
        <f t="shared" si="61"/>
        <v>0.5024522209</v>
      </c>
      <c r="BO710" s="7">
        <v>4.0</v>
      </c>
      <c r="BP710" s="82"/>
      <c r="BQ710" s="7"/>
      <c r="BR710" s="7" t="s">
        <v>23</v>
      </c>
    </row>
    <row r="711">
      <c r="A711" s="16">
        <v>65.0</v>
      </c>
      <c r="B711" s="16" t="s">
        <v>771</v>
      </c>
      <c r="C711" s="53">
        <v>1.0</v>
      </c>
      <c r="D711" s="53" t="s">
        <v>771</v>
      </c>
      <c r="E711" s="7">
        <v>533.0</v>
      </c>
      <c r="F711" s="53"/>
      <c r="G711" s="7"/>
      <c r="H711" s="16">
        <v>1.0</v>
      </c>
      <c r="I711" s="81">
        <v>1.0</v>
      </c>
      <c r="J711" s="39" t="s">
        <v>115</v>
      </c>
      <c r="K711" s="53"/>
      <c r="L711" s="53"/>
      <c r="M711" s="39" t="str">
        <f t="shared" si="1"/>
        <v>[https://www.ncbi.nlm.nih.gov/pubmed/7497130 de Bruijn Graph (Idury, Waterman) (1994)]</v>
      </c>
      <c r="N711" s="16" t="s">
        <v>4639</v>
      </c>
      <c r="O711" s="81">
        <v>1994.0</v>
      </c>
      <c r="P711" s="28" t="s">
        <v>4640</v>
      </c>
      <c r="Q711" s="82"/>
      <c r="R711" s="82"/>
      <c r="S711" s="82"/>
      <c r="T711" s="81">
        <v>1.0</v>
      </c>
      <c r="U711" s="81">
        <v>0.0</v>
      </c>
      <c r="V711" s="89">
        <f>IFERROR(__xludf.DUMMYFUNCTION("INDEX(SPLIT(SUBSTITUTE(W711,CHAR(10), """"),"",:""), MATCH(Z711, SPLIT(SUBSTITUTE(W711,CHAR(10), """"),"",:""), 0) + 1)"),5.0)</f>
        <v>5</v>
      </c>
      <c r="W711" s="85" t="s">
        <v>1938</v>
      </c>
      <c r="X711" s="39" t="s">
        <v>115</v>
      </c>
      <c r="Y711" s="53" t="s">
        <v>3442</v>
      </c>
      <c r="Z711" s="53" t="str">
        <f t="array" ref="Z711">INDEX(Problems!J:J, MATCH(1, (Problems!B:B=B711)*1, 0))</f>
        <v>n</v>
      </c>
      <c r="AA711" s="53"/>
      <c r="AB711" s="53"/>
      <c r="AC711" s="53" t="s">
        <v>1813</v>
      </c>
      <c r="AD711" s="53" t="s">
        <v>1814</v>
      </c>
      <c r="AE711" s="85">
        <f>IFERROR(__xludf.DUMMYFUNCTION("INDEX(SPLIT(SUBSTITUTE(AF711,CHAR(10), """"),"",:""), MATCH(Z711, SPLIT(SUBSTITUTE(AF711,CHAR(10), """"),"",:""), 0) + 1)"),3.0)</f>
        <v>3</v>
      </c>
      <c r="AF711" s="85" t="s">
        <v>1763</v>
      </c>
      <c r="AG711" s="53" t="s">
        <v>2625</v>
      </c>
      <c r="AH711" s="53" t="s">
        <v>4641</v>
      </c>
      <c r="AI711" s="84">
        <v>1.0</v>
      </c>
      <c r="AJ711" s="84">
        <v>0.0</v>
      </c>
      <c r="AK711" s="87"/>
      <c r="AL711" s="81">
        <v>0.0</v>
      </c>
      <c r="AM711" s="87"/>
      <c r="AN711" s="81">
        <v>0.0</v>
      </c>
      <c r="AO711" s="90"/>
      <c r="AP711" s="81">
        <v>0.0</v>
      </c>
      <c r="AQ711" s="81">
        <v>0.0</v>
      </c>
      <c r="AR711" s="39"/>
      <c r="AS711" s="81">
        <v>0.0</v>
      </c>
      <c r="AT711" s="81">
        <v>0.0</v>
      </c>
      <c r="AU711" s="97" t="s">
        <v>4642</v>
      </c>
      <c r="AV711" s="82"/>
      <c r="AW711" s="82"/>
      <c r="AX711" s="82"/>
      <c r="AY711" s="7"/>
      <c r="AZ711" s="7"/>
      <c r="BA711" s="7"/>
      <c r="BB711" s="7"/>
      <c r="BC711" s="7"/>
      <c r="BD711" s="7"/>
      <c r="BE711" s="7"/>
      <c r="BF711" s="7">
        <v>1000000.0</v>
      </c>
      <c r="BG711" s="7">
        <v>1.0</v>
      </c>
      <c r="BH711" s="82"/>
      <c r="BI711" s="82">
        <f>POW(1000000,2)</f>
        <v>1000000000000</v>
      </c>
      <c r="BJ711" s="7">
        <v>1.0</v>
      </c>
      <c r="BK711" s="82"/>
      <c r="BL711" s="82">
        <f>POW(1000000000,2)</f>
        <v>1E+18</v>
      </c>
      <c r="BM711" s="7">
        <v>1.0</v>
      </c>
      <c r="BN711" s="7"/>
      <c r="BO711" s="7">
        <v>4.0</v>
      </c>
      <c r="BP711" s="82"/>
      <c r="BQ711" s="7"/>
      <c r="BR711" s="7" t="s">
        <v>433</v>
      </c>
    </row>
    <row r="712">
      <c r="A712" s="16">
        <v>65.0</v>
      </c>
      <c r="B712" s="16" t="s">
        <v>771</v>
      </c>
      <c r="C712" s="53">
        <v>1.0</v>
      </c>
      <c r="D712" s="53" t="s">
        <v>771</v>
      </c>
      <c r="E712" s="7">
        <v>535.0</v>
      </c>
      <c r="F712" s="53"/>
      <c r="G712" s="7"/>
      <c r="H712" s="16">
        <v>1.0</v>
      </c>
      <c r="I712" s="81">
        <v>1.0</v>
      </c>
      <c r="J712" s="39" t="s">
        <v>1788</v>
      </c>
      <c r="K712" s="53"/>
      <c r="L712" s="53"/>
      <c r="M712" s="39" t="str">
        <f t="shared" si="1"/>
        <v>[https://www.ncbi.nlm.nih.gov/pubmed/7497129 String Graph (Myers) (1994)]</v>
      </c>
      <c r="N712" s="16" t="s">
        <v>4643</v>
      </c>
      <c r="O712" s="81">
        <v>1994.0</v>
      </c>
      <c r="P712" s="49" t="s">
        <v>4644</v>
      </c>
      <c r="Q712" s="82"/>
      <c r="R712" s="82"/>
      <c r="S712" s="82"/>
      <c r="T712" s="81">
        <v>1.0</v>
      </c>
      <c r="U712" s="39" t="s">
        <v>1952</v>
      </c>
      <c r="V712" s="89">
        <f>IFERROR(__xludf.DUMMYFUNCTION("INDEX(SPLIT(SUBSTITUTE(W712,CHAR(10), """"),"",:""), MATCH(Z712, SPLIT(SUBSTITUTE(W712,CHAR(10), """"),"",:""), 0) + 1)"),4.0)</f>
        <v>4</v>
      </c>
      <c r="W712" s="85" t="s">
        <v>1791</v>
      </c>
      <c r="X712" s="16" t="s">
        <v>1953</v>
      </c>
      <c r="Y712" s="53" t="s">
        <v>3442</v>
      </c>
      <c r="Z712" s="53" t="str">
        <f t="array" ref="Z712">INDEX(Problems!J:J, MATCH(1, (Problems!B:B=B712)*1, 0))</f>
        <v>n</v>
      </c>
      <c r="AA712" s="53"/>
      <c r="AB712" s="53"/>
      <c r="AC712" s="53" t="s">
        <v>1813</v>
      </c>
      <c r="AD712" s="53" t="s">
        <v>1814</v>
      </c>
      <c r="AE712" s="85">
        <f>IFERROR(__xludf.DUMMYFUNCTION("INDEX(SPLIT(SUBSTITUTE(AF712,CHAR(10), """"),"",:""), MATCH(Z712, SPLIT(SUBSTITUTE(AF712,CHAR(10), """"),"",:""), 0) + 1)"),3.0)</f>
        <v>3</v>
      </c>
      <c r="AF712" s="85" t="s">
        <v>1763</v>
      </c>
      <c r="AG712" s="53" t="s">
        <v>2625</v>
      </c>
      <c r="AH712" s="53" t="s">
        <v>4641</v>
      </c>
      <c r="AI712" s="84">
        <v>1.0</v>
      </c>
      <c r="AJ712" s="84">
        <v>0.0</v>
      </c>
      <c r="AK712" s="87"/>
      <c r="AL712" s="81">
        <v>0.0</v>
      </c>
      <c r="AM712" s="87"/>
      <c r="AN712" s="81">
        <v>0.0</v>
      </c>
      <c r="AO712" s="90"/>
      <c r="AP712" s="81">
        <v>0.0</v>
      </c>
      <c r="AQ712" s="81">
        <v>0.0</v>
      </c>
      <c r="AR712" s="39"/>
      <c r="AS712" s="81">
        <v>0.0</v>
      </c>
      <c r="AT712" s="81">
        <v>0.0</v>
      </c>
      <c r="AU712" s="39"/>
      <c r="AV712" s="82"/>
      <c r="AW712" s="82"/>
      <c r="AX712" s="82"/>
      <c r="AY712" s="7"/>
      <c r="AZ712" s="7"/>
      <c r="BA712" s="7"/>
      <c r="BB712" s="7"/>
      <c r="BC712" s="7"/>
      <c r="BD712" s="7"/>
      <c r="BE712" s="7"/>
      <c r="BF712" s="7">
        <v>9965.0</v>
      </c>
      <c r="BG712" s="82">
        <f t="shared" ref="BG712:BG713" si="62">BF711/BF712</f>
        <v>100.3512293</v>
      </c>
      <c r="BH712" s="82"/>
      <c r="BI712" s="82">
        <f>1000000*LOG(1000000,2)</f>
        <v>19931568.57</v>
      </c>
      <c r="BJ712" s="82">
        <f t="shared" ref="BJ712:BJ713" si="63">BI711/BI712</f>
        <v>50171.66594</v>
      </c>
      <c r="BK712" s="82"/>
      <c r="BL712" s="82">
        <f>1000000000*LOG(1000000000,2)</f>
        <v>29897352854</v>
      </c>
      <c r="BM712" s="82">
        <f t="shared" ref="BM712:BM713" si="64">BL711/BL712</f>
        <v>33447777.3</v>
      </c>
      <c r="BN712" s="7"/>
      <c r="BO712" s="7">
        <v>4.0</v>
      </c>
      <c r="BP712" s="82"/>
      <c r="BQ712" s="7"/>
      <c r="BR712" s="7" t="s">
        <v>433</v>
      </c>
    </row>
    <row r="713">
      <c r="A713" s="16">
        <v>65.0</v>
      </c>
      <c r="B713" s="16" t="s">
        <v>771</v>
      </c>
      <c r="C713" s="53">
        <v>1.0</v>
      </c>
      <c r="D713" s="53" t="s">
        <v>771</v>
      </c>
      <c r="E713" s="7">
        <v>536.0</v>
      </c>
      <c r="F713" s="53"/>
      <c r="G713" s="7"/>
      <c r="H713" s="16">
        <v>1.0</v>
      </c>
      <c r="I713" s="81">
        <v>1.0</v>
      </c>
      <c r="J713" s="39" t="s">
        <v>35</v>
      </c>
      <c r="K713" s="53"/>
      <c r="L713" s="53"/>
      <c r="M713" s="39" t="str">
        <f t="shared" si="1"/>
        <v>[https://www.ncbi.nlm.nih.gov/pmc/articles/PMC2881401/pdf/btq217.pdf String Graph with Ferragina–Manzini Index (Simpson, Durbin) (2010)]</v>
      </c>
      <c r="N713" s="16" t="s">
        <v>4645</v>
      </c>
      <c r="O713" s="81">
        <v>2010.0</v>
      </c>
      <c r="P713" s="49" t="s">
        <v>4646</v>
      </c>
      <c r="Q713" s="82"/>
      <c r="R713" s="82"/>
      <c r="S713" s="82"/>
      <c r="T713" s="81">
        <v>1.0</v>
      </c>
      <c r="U713" s="39" t="s">
        <v>1818</v>
      </c>
      <c r="V713" s="89">
        <f>IFERROR(__xludf.DUMMYFUNCTION("INDEX(SPLIT(SUBSTITUTE(W713,CHAR(10), """"),"",:""), MATCH(Z713, SPLIT(SUBSTITUTE(W713,CHAR(10), """"),"",:""), 0) + 1)"),3.0)</f>
        <v>3</v>
      </c>
      <c r="W713" s="85" t="s">
        <v>1763</v>
      </c>
      <c r="X713" s="39" t="s">
        <v>35</v>
      </c>
      <c r="Y713" s="53" t="s">
        <v>3442</v>
      </c>
      <c r="Z713" s="53" t="str">
        <f t="array" ref="Z713">INDEX(Problems!J:J, MATCH(1, (Problems!B:B=B713)*1, 0))</f>
        <v>n</v>
      </c>
      <c r="AA713" s="53"/>
      <c r="AB713" s="53"/>
      <c r="AC713" s="53" t="s">
        <v>1813</v>
      </c>
      <c r="AD713" s="53" t="s">
        <v>1814</v>
      </c>
      <c r="AE713" s="85">
        <f>IFERROR(__xludf.DUMMYFUNCTION("INDEX(SPLIT(SUBSTITUTE(AF713,CHAR(10), """"),"",:""), MATCH(Z713, SPLIT(SUBSTITUTE(AF713,CHAR(10), """"),"",:""), 0) + 1)"),3.0)</f>
        <v>3</v>
      </c>
      <c r="AF713" s="85" t="s">
        <v>1763</v>
      </c>
      <c r="AG713" s="53" t="s">
        <v>2625</v>
      </c>
      <c r="AH713" s="53" t="s">
        <v>4641</v>
      </c>
      <c r="AI713" s="84">
        <v>1.0</v>
      </c>
      <c r="AJ713" s="84">
        <v>0.0</v>
      </c>
      <c r="AK713" s="87"/>
      <c r="AL713" s="81">
        <v>0.0</v>
      </c>
      <c r="AM713" s="87"/>
      <c r="AN713" s="81">
        <v>0.0</v>
      </c>
      <c r="AO713" s="90"/>
      <c r="AP713" s="81">
        <v>0.0</v>
      </c>
      <c r="AQ713" s="81">
        <v>0.0</v>
      </c>
      <c r="AR713" s="39"/>
      <c r="AS713" s="81">
        <v>0.0</v>
      </c>
      <c r="AT713" s="81">
        <v>0.0</v>
      </c>
      <c r="AU713" s="39"/>
      <c r="AV713" s="82"/>
      <c r="AW713" s="82"/>
      <c r="AX713" s="82"/>
      <c r="AY713" s="7"/>
      <c r="AZ713" s="7"/>
      <c r="BA713" s="7"/>
      <c r="BB713" s="7"/>
      <c r="BC713" s="7"/>
      <c r="BD713" s="7"/>
      <c r="BE713" s="7"/>
      <c r="BF713" s="7">
        <v>1000.0</v>
      </c>
      <c r="BG713" s="7">
        <f t="shared" si="62"/>
        <v>9.965</v>
      </c>
      <c r="BH713" s="7">
        <f>POW(BG713,1/($O713-$O$712)) - 1</f>
        <v>0.1545289608</v>
      </c>
      <c r="BI713" s="7">
        <v>1000000.0</v>
      </c>
      <c r="BJ713" s="7">
        <f t="shared" si="63"/>
        <v>19.93156857</v>
      </c>
      <c r="BK713" s="7">
        <f>POW(BJ713,1/($O713-$O$712)) - 1</f>
        <v>0.2056502551</v>
      </c>
      <c r="BL713" s="7">
        <v>1.0E9</v>
      </c>
      <c r="BM713" s="7">
        <f t="shared" si="64"/>
        <v>29.89735285</v>
      </c>
      <c r="BN713" s="7">
        <f>POW(BM713,1/($O713-$O$712)) - 1</f>
        <v>0.2365937469</v>
      </c>
      <c r="BO713" s="7">
        <v>4.0</v>
      </c>
      <c r="BP713" s="82"/>
      <c r="BQ713" s="7"/>
      <c r="BR713" s="7" t="s">
        <v>433</v>
      </c>
    </row>
    <row r="714">
      <c r="A714" s="16">
        <v>65.0</v>
      </c>
      <c r="B714" s="16" t="s">
        <v>771</v>
      </c>
      <c r="C714" s="53">
        <v>0.001</v>
      </c>
      <c r="D714" s="53" t="s">
        <v>771</v>
      </c>
      <c r="E714" s="7">
        <v>538.0</v>
      </c>
      <c r="F714" s="53"/>
      <c r="G714" s="7"/>
      <c r="H714" s="16">
        <v>1.0</v>
      </c>
      <c r="I714" s="81">
        <v>1.0</v>
      </c>
      <c r="J714" s="39" t="s">
        <v>115</v>
      </c>
      <c r="K714" s="53"/>
      <c r="L714" s="53"/>
      <c r="M714" s="39" t="str">
        <f t="shared" si="1"/>
        <v>[ Hybrid Algorithm (1999)]</v>
      </c>
      <c r="N714" s="16" t="s">
        <v>4647</v>
      </c>
      <c r="O714" s="81">
        <v>1999.0</v>
      </c>
      <c r="P714" s="39"/>
      <c r="Q714" s="82"/>
      <c r="R714" s="82"/>
      <c r="S714" s="82"/>
      <c r="T714" s="81">
        <v>0.0</v>
      </c>
      <c r="U714" s="81">
        <v>0.0</v>
      </c>
      <c r="V714" s="89">
        <f>IFERROR(__xludf.DUMMYFUNCTION("INDEX(SPLIT(SUBSTITUTE(W714,CHAR(10), """"),"",:""), MATCH(Z714, SPLIT(SUBSTITUTE(W714,CHAR(10), """"),"",:""), 0) + 1)"),5.0)</f>
        <v>5</v>
      </c>
      <c r="W714" s="85" t="s">
        <v>1938</v>
      </c>
      <c r="X714" s="39" t="s">
        <v>115</v>
      </c>
      <c r="Y714" s="53" t="s">
        <v>3442</v>
      </c>
      <c r="Z714" s="53" t="str">
        <f t="array" ref="Z714">INDEX(Problems!J:J, MATCH(1, (Problems!B:B=B714)*1, 0))</f>
        <v>n</v>
      </c>
      <c r="AA714" s="53"/>
      <c r="AB714" s="53"/>
      <c r="AC714" s="53" t="s">
        <v>1813</v>
      </c>
      <c r="AD714" s="53" t="s">
        <v>1814</v>
      </c>
      <c r="AE714" s="85" t="str">
        <f>IFERROR(__xludf.DUMMYFUNCTION("INDEX(SPLIT(SUBSTITUTE(AF714,CHAR(10), """"),"",:""), MATCH(Z714, SPLIT(SUBSTITUTE(AF714,CHAR(10), """"),"",:""), 0) + 1)"),"#VALUE!")</f>
        <v>#VALUE!</v>
      </c>
      <c r="AF714" s="85"/>
      <c r="AG714" s="53"/>
      <c r="AH714" s="53"/>
      <c r="AI714" s="84"/>
      <c r="AJ714" s="84" t="s">
        <v>2520</v>
      </c>
      <c r="AK714" s="87"/>
      <c r="AL714" s="81">
        <v>0.0</v>
      </c>
      <c r="AM714" s="87"/>
      <c r="AN714" s="81">
        <v>0.0</v>
      </c>
      <c r="AO714" s="90"/>
      <c r="AP714" s="81">
        <v>0.0</v>
      </c>
      <c r="AQ714" s="81">
        <v>0.0</v>
      </c>
      <c r="AR714" s="39"/>
      <c r="AS714" s="81">
        <v>0.0</v>
      </c>
      <c r="AT714" s="81">
        <v>0.0</v>
      </c>
      <c r="AU714" s="39"/>
      <c r="AV714" s="82"/>
      <c r="AW714" s="82"/>
      <c r="AX714" s="82"/>
      <c r="AY714" s="7"/>
      <c r="AZ714" s="7"/>
      <c r="BA714" s="7"/>
      <c r="BB714" s="7"/>
      <c r="BC714" s="7"/>
      <c r="BD714" s="7"/>
      <c r="BE714" s="7"/>
      <c r="BF714" s="7">
        <v>1000000.0</v>
      </c>
      <c r="BG714" s="82"/>
      <c r="BH714" s="82"/>
      <c r="BI714" s="82"/>
      <c r="BJ714" s="82"/>
      <c r="BK714" s="82"/>
      <c r="BL714" s="82"/>
      <c r="BM714" s="82"/>
      <c r="BN714" s="7"/>
      <c r="BO714" s="7">
        <v>4.0</v>
      </c>
      <c r="BP714" s="82"/>
      <c r="BQ714" s="7"/>
      <c r="BR714" s="7" t="s">
        <v>433</v>
      </c>
    </row>
    <row r="715">
      <c r="A715" s="16">
        <v>66.0</v>
      </c>
      <c r="B715" s="16" t="s">
        <v>775</v>
      </c>
      <c r="C715" s="53">
        <v>1.0</v>
      </c>
      <c r="D715" s="53" t="s">
        <v>776</v>
      </c>
      <c r="E715" s="7">
        <v>539.0</v>
      </c>
      <c r="F715" s="53"/>
      <c r="G715" s="7"/>
      <c r="H715" s="16">
        <v>1.0</v>
      </c>
      <c r="I715" s="16">
        <v>1.0</v>
      </c>
      <c r="J715" s="39" t="s">
        <v>4648</v>
      </c>
      <c r="K715" s="53"/>
      <c r="L715" s="53"/>
      <c r="M715" s="39" t="str">
        <f t="shared" si="1"/>
        <v>[ Naive algorithm (1940)]</v>
      </c>
      <c r="N715" s="39" t="s">
        <v>2048</v>
      </c>
      <c r="O715" s="81">
        <v>1940.0</v>
      </c>
      <c r="P715" s="39"/>
      <c r="Q715" s="82"/>
      <c r="R715" s="82"/>
      <c r="S715" s="82"/>
      <c r="T715" s="16">
        <v>1.0</v>
      </c>
      <c r="U715" s="16">
        <v>0.0</v>
      </c>
      <c r="V715" s="89">
        <f>IFERROR(__xludf.DUMMYFUNCTION("INDEX(SPLIT(SUBSTITUTE(W715,CHAR(10), """"),"",:""), MATCH(Z715, SPLIT(SUBSTITUTE(W715,CHAR(10), """"),"",:""), 0) + 1)"),8.0)</f>
        <v>8</v>
      </c>
      <c r="W715" s="85" t="s">
        <v>2001</v>
      </c>
      <c r="X715" s="39" t="s">
        <v>4648</v>
      </c>
      <c r="Y715" s="53" t="s">
        <v>2388</v>
      </c>
      <c r="Z715" s="53" t="str">
        <f t="array" ref="Z715">INDEX(Problems!J:J, MATCH(1, (Problems!B:B=B715)*1, 0))</f>
        <v>n</v>
      </c>
      <c r="AA715" s="53"/>
      <c r="AB715" s="53"/>
      <c r="AC715" s="53" t="s">
        <v>1813</v>
      </c>
      <c r="AD715" s="53" t="s">
        <v>1814</v>
      </c>
      <c r="AE715" s="85">
        <f>IFERROR(__xludf.DUMMYFUNCTION("INDEX(SPLIT(SUBSTITUTE(AF715,CHAR(10), """"),"",:""), MATCH(Z715, SPLIT(SUBSTITUTE(AF715,CHAR(10), """"),"",:""), 0) + 1)"),3.0)</f>
        <v>3</v>
      </c>
      <c r="AF715" s="85" t="s">
        <v>1763</v>
      </c>
      <c r="AG715" s="53" t="s">
        <v>584</v>
      </c>
      <c r="AH715" s="91" t="s">
        <v>2386</v>
      </c>
      <c r="AI715" s="84">
        <v>0.0</v>
      </c>
      <c r="AJ715" s="84">
        <v>0.0</v>
      </c>
      <c r="AK715" s="87"/>
      <c r="AL715" s="81">
        <v>0.0</v>
      </c>
      <c r="AM715" s="87"/>
      <c r="AN715" s="81">
        <v>0.0</v>
      </c>
      <c r="AO715" s="90"/>
      <c r="AP715" s="81">
        <v>0.0</v>
      </c>
      <c r="AQ715" s="81">
        <v>0.0</v>
      </c>
      <c r="AR715" s="39"/>
      <c r="AS715" s="81">
        <v>0.0</v>
      </c>
      <c r="AT715" s="81">
        <v>0.0</v>
      </c>
      <c r="AU715" s="39"/>
      <c r="AV715" s="82"/>
      <c r="AW715" s="82"/>
      <c r="AX715" s="82"/>
      <c r="AY715" s="7"/>
      <c r="AZ715" s="7">
        <v>1000.0</v>
      </c>
      <c r="BA715" s="7"/>
      <c r="BB715" s="7">
        <v>1000000.0</v>
      </c>
      <c r="BC715" s="7"/>
      <c r="BD715" s="7">
        <v>1.0E9</v>
      </c>
      <c r="BE715" s="7"/>
      <c r="BF715" s="7" t="s">
        <v>1781</v>
      </c>
      <c r="BG715" s="7">
        <v>1.0</v>
      </c>
      <c r="BH715" s="7"/>
      <c r="BI715" s="7" t="s">
        <v>1781</v>
      </c>
      <c r="BJ715" s="7">
        <v>1.0</v>
      </c>
      <c r="BK715" s="7"/>
      <c r="BL715" s="7" t="s">
        <v>1781</v>
      </c>
      <c r="BM715" s="7">
        <v>1.0</v>
      </c>
      <c r="BN715" s="7"/>
      <c r="BO715" s="7">
        <v>1.0</v>
      </c>
      <c r="BP715" s="82"/>
      <c r="BQ715" s="7"/>
      <c r="BR715" s="7" t="s">
        <v>23</v>
      </c>
    </row>
    <row r="716">
      <c r="A716" s="48">
        <v>66.0</v>
      </c>
      <c r="B716" s="48" t="s">
        <v>775</v>
      </c>
      <c r="C716" s="53">
        <v>1.0</v>
      </c>
      <c r="D716" s="53" t="s">
        <v>776</v>
      </c>
      <c r="E716" s="7">
        <v>540.0</v>
      </c>
      <c r="F716" s="53"/>
      <c r="G716" s="7"/>
      <c r="H716" s="16">
        <v>1.0</v>
      </c>
      <c r="I716" s="16">
        <v>1.0</v>
      </c>
      <c r="J716" s="16" t="s">
        <v>4649</v>
      </c>
      <c r="K716" s="53"/>
      <c r="L716" s="53"/>
      <c r="M716" s="39" t="str">
        <f t="shared" si="1"/>
        <v>[ Random Split Exponential algorithm (1940)]</v>
      </c>
      <c r="N716" s="39" t="s">
        <v>4650</v>
      </c>
      <c r="O716" s="81">
        <v>1940.0</v>
      </c>
      <c r="P716" s="39"/>
      <c r="Q716" s="82"/>
      <c r="R716" s="82"/>
      <c r="S716" s="82"/>
      <c r="T716" s="16">
        <v>1.0</v>
      </c>
      <c r="U716" s="16">
        <v>0.0</v>
      </c>
      <c r="V716" s="89">
        <f>IFERROR(__xludf.DUMMYFUNCTION("INDEX(SPLIT(SUBSTITUTE(W716,CHAR(10), """"),"",:""), MATCH(Z716, SPLIT(SUBSTITUTE(W716,CHAR(10), """"),"",:""), 0) + 1)"),8.0)</f>
        <v>8</v>
      </c>
      <c r="W716" s="85" t="s">
        <v>2001</v>
      </c>
      <c r="X716" s="16" t="s">
        <v>4651</v>
      </c>
      <c r="Y716" s="53" t="s">
        <v>2388</v>
      </c>
      <c r="Z716" s="53" t="str">
        <f t="array" ref="Z716">INDEX(Problems!J:J, MATCH(1, (Problems!B:B=B716)*1, 0))</f>
        <v>n</v>
      </c>
      <c r="AA716" s="53"/>
      <c r="AB716" s="53"/>
      <c r="AC716" s="53" t="s">
        <v>1813</v>
      </c>
      <c r="AD716" s="53" t="s">
        <v>1814</v>
      </c>
      <c r="AE716" s="85">
        <f>IFERROR(__xludf.DUMMYFUNCTION("INDEX(SPLIT(SUBSTITUTE(AF716,CHAR(10), """"),"",:""), MATCH(Z716, SPLIT(SUBSTITUTE(AF716,CHAR(10), """"),"",:""), 0) + 1)"),8.0)</f>
        <v>8</v>
      </c>
      <c r="AF716" s="85" t="s">
        <v>2001</v>
      </c>
      <c r="AG716" s="53" t="s">
        <v>2387</v>
      </c>
      <c r="AH716" s="91" t="s">
        <v>2386</v>
      </c>
      <c r="AI716" s="84">
        <v>0.0</v>
      </c>
      <c r="AJ716" s="84">
        <v>0.0</v>
      </c>
      <c r="AK716" s="87"/>
      <c r="AL716" s="81">
        <v>0.0</v>
      </c>
      <c r="AM716" s="87"/>
      <c r="AN716" s="81">
        <v>0.0</v>
      </c>
      <c r="AO716" s="90"/>
      <c r="AP716" s="81">
        <v>0.0</v>
      </c>
      <c r="AQ716" s="81">
        <v>0.0</v>
      </c>
      <c r="AR716" s="39"/>
      <c r="AS716" s="81">
        <v>0.0</v>
      </c>
      <c r="AT716" s="81">
        <v>0.0</v>
      </c>
      <c r="AU716" s="39"/>
      <c r="AV716" s="82"/>
      <c r="AW716" s="82"/>
      <c r="AX716" s="82"/>
      <c r="AY716" s="7"/>
      <c r="AZ716" s="7"/>
      <c r="BA716" s="7"/>
      <c r="BB716" s="7"/>
      <c r="BC716" s="7"/>
      <c r="BD716" s="7"/>
      <c r="BE716" s="7"/>
      <c r="BF716" s="7" t="s">
        <v>1781</v>
      </c>
      <c r="BG716" s="7">
        <v>1.0</v>
      </c>
      <c r="BH716" s="7"/>
      <c r="BI716" s="7" t="s">
        <v>1781</v>
      </c>
      <c r="BJ716" s="7">
        <v>1.0</v>
      </c>
      <c r="BK716" s="7"/>
      <c r="BL716" s="7" t="s">
        <v>1781</v>
      </c>
      <c r="BM716" s="7">
        <v>1.0</v>
      </c>
      <c r="BN716" s="7"/>
      <c r="BO716" s="7">
        <v>1.0</v>
      </c>
      <c r="BP716" s="82"/>
      <c r="BQ716" s="7"/>
      <c r="BR716" s="7" t="s">
        <v>23</v>
      </c>
    </row>
    <row r="717">
      <c r="A717" s="16">
        <v>67.0</v>
      </c>
      <c r="B717" s="16" t="s">
        <v>784</v>
      </c>
      <c r="C717" s="53">
        <v>1.0</v>
      </c>
      <c r="D717" s="53" t="s">
        <v>785</v>
      </c>
      <c r="E717" s="7">
        <v>554.0</v>
      </c>
      <c r="F717" s="53"/>
      <c r="G717" s="7"/>
      <c r="H717" s="16">
        <v>1.0</v>
      </c>
      <c r="I717" s="81">
        <v>1.0</v>
      </c>
      <c r="J717" s="90" t="s">
        <v>4652</v>
      </c>
      <c r="K717" s="53"/>
      <c r="L717" s="53"/>
      <c r="M717" s="39" t="str">
        <f t="shared" si="1"/>
        <v>[https://www.sciencedirect.com/science/article/pii/0166218X92900315 Brute force algorithm (1967)]</v>
      </c>
      <c r="N717" s="39" t="s">
        <v>4653</v>
      </c>
      <c r="O717" s="83">
        <v>1967.0</v>
      </c>
      <c r="P717" s="49" t="s">
        <v>790</v>
      </c>
      <c r="Q717" s="82"/>
      <c r="R717" s="82"/>
      <c r="S717" s="82"/>
      <c r="T717" s="81">
        <v>1.0</v>
      </c>
      <c r="U717" s="83">
        <v>0.0</v>
      </c>
      <c r="V717" s="89">
        <f>IFERROR(__xludf.DUMMYFUNCTION("INDEX(SPLIT(SUBSTITUTE(W717,CHAR(10), """"),"",:""), MATCH(Z717, SPLIT(SUBSTITUTE(W717,CHAR(10), """"),"",:""), 0) + 1)"),8.0)</f>
        <v>8</v>
      </c>
      <c r="W717" s="85" t="s">
        <v>4654</v>
      </c>
      <c r="X717" s="21" t="s">
        <v>4655</v>
      </c>
      <c r="Y717" s="53" t="s">
        <v>4656</v>
      </c>
      <c r="Z717" s="53" t="str">
        <f t="array" ref="Z717">INDEX(Problems!J:J, MATCH(1, (Problems!B:B=B717)*1, 0))</f>
        <v>n</v>
      </c>
      <c r="AA717" s="53"/>
      <c r="AB717" s="53"/>
      <c r="AC717" s="53" t="s">
        <v>1813</v>
      </c>
      <c r="AD717" s="53" t="s">
        <v>1814</v>
      </c>
      <c r="AE717" s="85">
        <f>IFERROR(__xludf.DUMMYFUNCTION("INDEX(SPLIT(SUBSTITUTE(AF717,CHAR(10), """"),"",:""), MATCH(Z717, SPLIT(SUBSTITUTE(AF717,CHAR(10), """"),"",:""), 0) + 1)"),8.0)</f>
        <v>8</v>
      </c>
      <c r="AF717" s="85" t="s">
        <v>4657</v>
      </c>
      <c r="AG717" s="53" t="s">
        <v>4658</v>
      </c>
      <c r="AH717" s="53" t="s">
        <v>4659</v>
      </c>
      <c r="AI717" s="21">
        <v>1.0</v>
      </c>
      <c r="AJ717" s="84">
        <v>0.0</v>
      </c>
      <c r="AK717" s="21"/>
      <c r="AL717" s="16">
        <v>0.0</v>
      </c>
      <c r="AM717" s="87"/>
      <c r="AN717" s="81">
        <v>0.0</v>
      </c>
      <c r="AO717" s="90"/>
      <c r="AP717" s="81">
        <v>0.0</v>
      </c>
      <c r="AQ717" s="81">
        <v>0.0</v>
      </c>
      <c r="AR717" s="39"/>
      <c r="AS717" s="81">
        <v>0.0</v>
      </c>
      <c r="AT717" s="81">
        <v>0.0</v>
      </c>
      <c r="AU717" s="39"/>
      <c r="AV717" s="82"/>
      <c r="AW717" s="82"/>
      <c r="AX717" s="82"/>
      <c r="AY717" s="7"/>
      <c r="AZ717" s="7"/>
      <c r="BA717" s="7"/>
      <c r="BB717" s="7"/>
      <c r="BC717" s="7"/>
      <c r="BD717" s="7"/>
      <c r="BE717" s="7"/>
      <c r="BF717" s="7" t="s">
        <v>1781</v>
      </c>
      <c r="BG717" s="7">
        <v>1.0</v>
      </c>
      <c r="BH717" s="7"/>
      <c r="BI717" s="7" t="s">
        <v>1781</v>
      </c>
      <c r="BJ717" s="7">
        <v>1.0</v>
      </c>
      <c r="BK717" s="7"/>
      <c r="BL717" s="7" t="s">
        <v>1781</v>
      </c>
      <c r="BM717" s="7">
        <v>1.0</v>
      </c>
      <c r="BN717" s="7"/>
      <c r="BO717" s="7">
        <v>1.0</v>
      </c>
      <c r="BP717" s="82"/>
      <c r="BQ717" s="7"/>
      <c r="BR717" s="7" t="s">
        <v>440</v>
      </c>
    </row>
    <row r="718">
      <c r="A718" s="16">
        <v>67.0</v>
      </c>
      <c r="B718" s="16" t="s">
        <v>784</v>
      </c>
      <c r="C718" s="53">
        <v>1.0</v>
      </c>
      <c r="D718" s="53" t="s">
        <v>785</v>
      </c>
      <c r="E718" s="7">
        <v>555.0</v>
      </c>
      <c r="F718" s="53"/>
      <c r="G718" s="7"/>
      <c r="H718" s="16">
        <v>1.0</v>
      </c>
      <c r="I718" s="81">
        <v>1.0</v>
      </c>
      <c r="J718" s="90" t="s">
        <v>4660</v>
      </c>
      <c r="K718" s="53"/>
      <c r="L718" s="53"/>
      <c r="M718" s="39" t="str">
        <f t="shared" si="1"/>
        <v>[https://www.aaai.org/Papers/Workshops/1993/WS-93-02/WS93-02-017.pdf Schlimmer (1993)]</v>
      </c>
      <c r="N718" s="16" t="s">
        <v>4661</v>
      </c>
      <c r="O718" s="81">
        <v>1993.0</v>
      </c>
      <c r="P718" s="97" t="s">
        <v>4662</v>
      </c>
      <c r="Q718" s="82"/>
      <c r="R718" s="82"/>
      <c r="S718" s="82"/>
      <c r="T718" s="81">
        <v>1.0</v>
      </c>
      <c r="U718" s="83">
        <v>0.0</v>
      </c>
      <c r="V718" s="89">
        <f>IFERROR(__xludf.DUMMYFUNCTION("INDEX(SPLIT(SUBSTITUTE(W718,CHAR(10), """"),"",:""), MATCH(Z718, SPLIT(SUBSTITUTE(W718,CHAR(10), """"),"",:""), 0) + 1)"),8.0)</f>
        <v>8</v>
      </c>
      <c r="W718" s="85" t="s">
        <v>4663</v>
      </c>
      <c r="X718" s="21" t="s">
        <v>4664</v>
      </c>
      <c r="Y718" s="53" t="s">
        <v>4656</v>
      </c>
      <c r="Z718" s="53" t="str">
        <f t="array" ref="Z718">INDEX(Problems!J:J, MATCH(1, (Problems!B:B=B718)*1, 0))</f>
        <v>n</v>
      </c>
      <c r="AA718" s="53"/>
      <c r="AB718" s="53"/>
      <c r="AC718" s="53" t="s">
        <v>1813</v>
      </c>
      <c r="AD718" s="53" t="s">
        <v>1814</v>
      </c>
      <c r="AE718" s="85">
        <f>IFERROR(__xludf.DUMMYFUNCTION("INDEX(SPLIT(SUBSTITUTE(AF718,CHAR(10), """"),"",:""), MATCH(Z718, SPLIT(SUBSTITUTE(AF718,CHAR(10), """"),"",:""), 0) + 1)"),8.0)</f>
        <v>8</v>
      </c>
      <c r="AF718" s="85" t="s">
        <v>4657</v>
      </c>
      <c r="AG718" s="53" t="s">
        <v>789</v>
      </c>
      <c r="AH718" s="53" t="s">
        <v>4665</v>
      </c>
      <c r="AI718" s="84">
        <v>0.0</v>
      </c>
      <c r="AJ718" s="84">
        <v>1.0</v>
      </c>
      <c r="AK718" s="87"/>
      <c r="AL718" s="81">
        <v>0.0</v>
      </c>
      <c r="AM718" s="87"/>
      <c r="AN718" s="81">
        <v>0.0</v>
      </c>
      <c r="AO718" s="90"/>
      <c r="AP718" s="81">
        <v>0.0</v>
      </c>
      <c r="AQ718" s="81">
        <v>0.0</v>
      </c>
      <c r="AR718" s="39"/>
      <c r="AS718" s="81">
        <v>0.0</v>
      </c>
      <c r="AT718" s="81">
        <v>0.0</v>
      </c>
      <c r="AU718" s="39"/>
      <c r="AV718" s="82"/>
      <c r="AW718" s="82"/>
      <c r="AX718" s="82"/>
      <c r="AY718" s="7"/>
      <c r="AZ718" s="7"/>
      <c r="BA718" s="7"/>
      <c r="BB718" s="7"/>
      <c r="BC718" s="7"/>
      <c r="BD718" s="7"/>
      <c r="BE718" s="7"/>
      <c r="BF718" s="7" t="s">
        <v>1781</v>
      </c>
      <c r="BG718" s="7">
        <v>1.0</v>
      </c>
      <c r="BH718" s="7"/>
      <c r="BI718" s="7" t="s">
        <v>1781</v>
      </c>
      <c r="BJ718" s="7">
        <v>1.0</v>
      </c>
      <c r="BK718" s="7"/>
      <c r="BL718" s="7" t="s">
        <v>1781</v>
      </c>
      <c r="BM718" s="7">
        <v>1.0</v>
      </c>
      <c r="BN718" s="7"/>
      <c r="BO718" s="7">
        <v>1.0</v>
      </c>
      <c r="BP718" s="82"/>
      <c r="BQ718" s="7"/>
      <c r="BR718" s="7" t="s">
        <v>440</v>
      </c>
    </row>
    <row r="719">
      <c r="A719" s="16">
        <v>68.0</v>
      </c>
      <c r="B719" s="16" t="s">
        <v>795</v>
      </c>
      <c r="C719" s="53">
        <v>2.0</v>
      </c>
      <c r="D719" s="53" t="s">
        <v>800</v>
      </c>
      <c r="E719" s="7">
        <v>556.0</v>
      </c>
      <c r="F719" s="53"/>
      <c r="G719" s="7"/>
      <c r="H719" s="16">
        <v>1.0</v>
      </c>
      <c r="I719" s="16">
        <v>1.0</v>
      </c>
      <c r="J719" s="16" t="s">
        <v>793</v>
      </c>
      <c r="K719" s="53"/>
      <c r="L719" s="53"/>
      <c r="M719" s="39" t="str">
        <f t="shared" si="1"/>
        <v>[https://doi.org/10.1016/0950-5849(92)90028-N Liu (1992)]</v>
      </c>
      <c r="N719" s="16" t="s">
        <v>4666</v>
      </c>
      <c r="O719" s="81">
        <v>1992.0</v>
      </c>
      <c r="P719" s="17" t="s">
        <v>794</v>
      </c>
      <c r="Q719" s="82"/>
      <c r="R719" s="82"/>
      <c r="S719" s="82"/>
      <c r="T719" s="16">
        <v>1.0</v>
      </c>
      <c r="U719" s="16">
        <v>0.0</v>
      </c>
      <c r="V719" s="89">
        <f>IFERROR(__xludf.DUMMYFUNCTION("INDEX(SPLIT(SUBSTITUTE(W719,CHAR(10), """"),"",:""), MATCH(Z719, SPLIT(SUBSTITUTE(W719,CHAR(10), """"),"",:""), 0) + 1)"),6.0)</f>
        <v>6</v>
      </c>
      <c r="W719" s="85" t="s">
        <v>4667</v>
      </c>
      <c r="X719" s="163" t="s">
        <v>4668</v>
      </c>
      <c r="Y719" s="53" t="s">
        <v>4669</v>
      </c>
      <c r="Z719" s="53" t="str">
        <f t="array" ref="Z719">INDEX(Problems!J:J, MATCH(1, (Problems!B:B=B719)*1, 0))</f>
        <v>n</v>
      </c>
      <c r="AA719" s="53"/>
      <c r="AB719" s="53"/>
      <c r="AC719" s="53" t="s">
        <v>1813</v>
      </c>
      <c r="AD719" s="53" t="s">
        <v>1814</v>
      </c>
      <c r="AE719" s="85">
        <f>IFERROR(__xludf.DUMMYFUNCTION("INDEX(SPLIT(SUBSTITUTE(AF719,CHAR(10), """"),"",:""), MATCH(Z719, SPLIT(SUBSTITUTE(AF719,CHAR(10), """"),"",:""), 0) + 1)"),3.0)</f>
        <v>3</v>
      </c>
      <c r="AF719" s="85" t="s">
        <v>1763</v>
      </c>
      <c r="AG719" s="53" t="s">
        <v>35</v>
      </c>
      <c r="AH719" s="53" t="s">
        <v>4670</v>
      </c>
      <c r="AI719" s="21">
        <v>1.0</v>
      </c>
      <c r="AJ719" s="84">
        <v>0.0</v>
      </c>
      <c r="AK719" s="21"/>
      <c r="AL719" s="16">
        <v>0.0</v>
      </c>
      <c r="AM719" s="21"/>
      <c r="AN719" s="16">
        <v>0.0</v>
      </c>
      <c r="AO719" s="21"/>
      <c r="AP719" s="16">
        <v>0.0</v>
      </c>
      <c r="AQ719" s="16">
        <v>0.0</v>
      </c>
      <c r="AR719" s="39"/>
      <c r="AS719" s="81">
        <v>0.0</v>
      </c>
      <c r="AT719" s="81">
        <v>0.0</v>
      </c>
      <c r="AU719" s="39"/>
      <c r="AV719" s="82"/>
      <c r="AW719" s="82"/>
      <c r="AX719" s="82"/>
      <c r="AY719" s="7" t="s">
        <v>4671</v>
      </c>
      <c r="AZ719" s="82"/>
      <c r="BA719" s="82"/>
      <c r="BB719" s="82"/>
      <c r="BC719" s="82"/>
      <c r="BD719" s="82"/>
      <c r="BE719" s="82"/>
      <c r="BF719" s="82">
        <f>POW(1000/2,3)</f>
        <v>125000000</v>
      </c>
      <c r="BG719" s="7">
        <v>1.0</v>
      </c>
      <c r="BH719" s="82"/>
      <c r="BI719" s="82">
        <f>POW((1000000/2),3)</f>
        <v>1.25E+17</v>
      </c>
      <c r="BJ719" s="7">
        <v>1.0</v>
      </c>
      <c r="BK719" s="82"/>
      <c r="BL719" s="82">
        <f>POW((1000000000/2),3)</f>
        <v>1.25E+26</v>
      </c>
      <c r="BM719" s="7">
        <v>1.0</v>
      </c>
      <c r="BN719" s="7"/>
      <c r="BO719" s="7">
        <v>3.0</v>
      </c>
      <c r="BP719" s="82"/>
      <c r="BQ719" s="7"/>
      <c r="BR719" s="7" t="s">
        <v>440</v>
      </c>
    </row>
    <row r="720">
      <c r="A720" s="16">
        <v>69.0</v>
      </c>
      <c r="B720" s="16" t="s">
        <v>804</v>
      </c>
      <c r="C720" s="53">
        <v>0.001</v>
      </c>
      <c r="D720" s="53"/>
      <c r="E720" s="7">
        <v>557.0</v>
      </c>
      <c r="F720" s="53"/>
      <c r="G720" s="7"/>
      <c r="H720" s="16">
        <v>1.0</v>
      </c>
      <c r="I720" s="81">
        <v>1.0</v>
      </c>
      <c r="J720" s="39" t="s">
        <v>789</v>
      </c>
      <c r="K720" s="148"/>
      <c r="L720" s="148"/>
      <c r="M720" s="39" t="str">
        <f t="shared" si="1"/>
        <v>[ Tradu; Mirc (1967)]</v>
      </c>
      <c r="N720" s="16" t="s">
        <v>4672</v>
      </c>
      <c r="O720" s="81">
        <v>1967.0</v>
      </c>
      <c r="P720" s="39"/>
      <c r="Q720" s="82"/>
      <c r="R720" s="82"/>
      <c r="S720" s="82"/>
      <c r="T720" s="16">
        <v>0.0</v>
      </c>
      <c r="U720" s="16">
        <v>0.0</v>
      </c>
      <c r="V720" s="89">
        <f>IFERROR(__xludf.DUMMYFUNCTION("INDEX(SPLIT(SUBSTITUTE(W720,CHAR(10), """"),"",:""), MATCH(Z720, SPLIT(SUBSTITUTE(W720,CHAR(10), """"),"",:""), 0) + 1)"),8.0)</f>
        <v>8</v>
      </c>
      <c r="W720" s="85" t="s">
        <v>2001</v>
      </c>
      <c r="X720" s="39" t="s">
        <v>789</v>
      </c>
      <c r="Y720" s="53"/>
      <c r="Z720" s="53" t="str">
        <f t="array" ref="Z720">INDEX(Problems!J:J, MATCH(1, (Problems!B:B=B720)*1, 0))</f>
        <v>n</v>
      </c>
      <c r="AA720" s="53"/>
      <c r="AB720" s="53"/>
      <c r="AC720" s="53"/>
      <c r="AD720" s="53"/>
      <c r="AE720" s="85" t="str">
        <f>IFERROR(__xludf.DUMMYFUNCTION("INDEX(SPLIT(SUBSTITUTE(AF720,CHAR(10), """"),"",:""), MATCH(Z720, SPLIT(SUBSTITUTE(AF720,CHAR(10), """"),"",:""), 0) + 1)"),"#VALUE!")</f>
        <v>#VALUE!</v>
      </c>
      <c r="AF720" s="131"/>
      <c r="AG720" s="53"/>
      <c r="AH720" s="53"/>
      <c r="AI720" s="87"/>
      <c r="AJ720" s="84" t="s">
        <v>2520</v>
      </c>
      <c r="AK720" s="87"/>
      <c r="AL720" s="81">
        <v>0.0</v>
      </c>
      <c r="AM720" s="87"/>
      <c r="AN720" s="81">
        <v>0.0</v>
      </c>
      <c r="AO720" s="90"/>
      <c r="AP720" s="81">
        <v>0.0</v>
      </c>
      <c r="AQ720" s="81">
        <v>0.0</v>
      </c>
      <c r="AR720" s="39"/>
      <c r="AS720" s="81">
        <v>0.0</v>
      </c>
      <c r="AT720" s="81">
        <v>0.0</v>
      </c>
      <c r="AU720" s="39"/>
      <c r="AV720" s="82"/>
      <c r="AW720" s="82"/>
      <c r="AX720" s="82"/>
      <c r="AY720" s="82"/>
      <c r="AZ720" s="82"/>
      <c r="BA720" s="82"/>
      <c r="BB720" s="82"/>
      <c r="BC720" s="82"/>
      <c r="BD720" s="82"/>
      <c r="BE720" s="82"/>
      <c r="BF720" s="82"/>
      <c r="BG720" s="82"/>
      <c r="BH720" s="82"/>
      <c r="BI720" s="82"/>
      <c r="BJ720" s="82"/>
      <c r="BK720" s="82"/>
      <c r="BL720" s="82"/>
      <c r="BM720" s="82"/>
      <c r="BN720" s="7"/>
      <c r="BO720" s="7">
        <v>1.0</v>
      </c>
      <c r="BP720" s="82"/>
      <c r="BQ720" s="82"/>
      <c r="BR720" s="7" t="s">
        <v>440</v>
      </c>
    </row>
    <row r="721">
      <c r="A721" s="16">
        <v>69.0</v>
      </c>
      <c r="B721" s="16" t="s">
        <v>804</v>
      </c>
      <c r="C721" s="53">
        <v>0.001</v>
      </c>
      <c r="D721" s="53"/>
      <c r="E721" s="7">
        <v>558.0</v>
      </c>
      <c r="F721" s="53"/>
      <c r="G721" s="7"/>
      <c r="H721" s="16">
        <v>1.0</v>
      </c>
      <c r="I721" s="81">
        <v>1.0</v>
      </c>
      <c r="J721" s="39" t="s">
        <v>789</v>
      </c>
      <c r="K721" s="148"/>
      <c r="L721" s="148"/>
      <c r="M721" s="39" t="str">
        <f t="shared" si="1"/>
        <v>[ Xu; Renio (1972)]</v>
      </c>
      <c r="N721" s="16" t="s">
        <v>4673</v>
      </c>
      <c r="O721" s="81">
        <v>1972.0</v>
      </c>
      <c r="P721" s="39"/>
      <c r="Q721" s="82"/>
      <c r="R721" s="82"/>
      <c r="S721" s="82"/>
      <c r="T721" s="16">
        <v>0.0</v>
      </c>
      <c r="U721" s="16">
        <v>0.0</v>
      </c>
      <c r="V721" s="89">
        <f>IFERROR(__xludf.DUMMYFUNCTION("INDEX(SPLIT(SUBSTITUTE(W721,CHAR(10), """"),"",:""), MATCH(Z721, SPLIT(SUBSTITUTE(W721,CHAR(10), """"),"",:""), 0) + 1)"),8.0)</f>
        <v>8</v>
      </c>
      <c r="W721" s="85" t="s">
        <v>2001</v>
      </c>
      <c r="X721" s="39" t="s">
        <v>789</v>
      </c>
      <c r="Y721" s="53"/>
      <c r="Z721" s="53" t="str">
        <f t="array" ref="Z721">INDEX(Problems!J:J, MATCH(1, (Problems!B:B=B721)*1, 0))</f>
        <v>n</v>
      </c>
      <c r="AA721" s="53"/>
      <c r="AB721" s="53"/>
      <c r="AC721" s="53"/>
      <c r="AD721" s="53"/>
      <c r="AE721" s="85" t="str">
        <f>IFERROR(__xludf.DUMMYFUNCTION("INDEX(SPLIT(SUBSTITUTE(AF721,CHAR(10), """"),"",:""), MATCH(Z721, SPLIT(SUBSTITUTE(AF721,CHAR(10), """"),"",:""), 0) + 1)"),"#VALUE!")</f>
        <v>#VALUE!</v>
      </c>
      <c r="AF721" s="131"/>
      <c r="AG721" s="53"/>
      <c r="AH721" s="53"/>
      <c r="AI721" s="87"/>
      <c r="AJ721" s="84" t="s">
        <v>2520</v>
      </c>
      <c r="AK721" s="87"/>
      <c r="AL721" s="81">
        <v>0.0</v>
      </c>
      <c r="AM721" s="87"/>
      <c r="AN721" s="81">
        <v>0.0</v>
      </c>
      <c r="AO721" s="90"/>
      <c r="AP721" s="81">
        <v>0.0</v>
      </c>
      <c r="AQ721" s="81">
        <v>0.0</v>
      </c>
      <c r="AR721" s="39"/>
      <c r="AS721" s="81">
        <v>0.0</v>
      </c>
      <c r="AT721" s="81">
        <v>0.0</v>
      </c>
      <c r="AU721" s="39"/>
      <c r="AV721" s="82"/>
      <c r="AW721" s="82"/>
      <c r="AX721" s="82"/>
      <c r="AY721" s="82"/>
      <c r="AZ721" s="82"/>
      <c r="BA721" s="82"/>
      <c r="BB721" s="82"/>
      <c r="BC721" s="82"/>
      <c r="BD721" s="82"/>
      <c r="BE721" s="82"/>
      <c r="BF721" s="82"/>
      <c r="BG721" s="82"/>
      <c r="BH721" s="82"/>
      <c r="BI721" s="82"/>
      <c r="BJ721" s="82"/>
      <c r="BK721" s="82"/>
      <c r="BL721" s="82"/>
      <c r="BM721" s="82"/>
      <c r="BN721" s="7"/>
      <c r="BO721" s="7">
        <v>1.0</v>
      </c>
      <c r="BP721" s="82"/>
      <c r="BQ721" s="82"/>
      <c r="BR721" s="7" t="s">
        <v>440</v>
      </c>
    </row>
    <row r="722">
      <c r="A722" s="16">
        <v>69.0</v>
      </c>
      <c r="B722" s="16" t="s">
        <v>804</v>
      </c>
      <c r="C722" s="53">
        <v>0.001</v>
      </c>
      <c r="D722" s="53"/>
      <c r="E722" s="7">
        <v>559.0</v>
      </c>
      <c r="F722" s="53"/>
      <c r="G722" s="7"/>
      <c r="H722" s="16">
        <v>1.0</v>
      </c>
      <c r="I722" s="81">
        <v>1.0</v>
      </c>
      <c r="J722" s="39" t="s">
        <v>789</v>
      </c>
      <c r="K722" s="148"/>
      <c r="L722" s="148"/>
      <c r="M722" s="39" t="str">
        <f t="shared" si="1"/>
        <v>[ Derek's Algorithm (1983)]</v>
      </c>
      <c r="N722" s="39" t="s">
        <v>4674</v>
      </c>
      <c r="O722" s="81">
        <v>1983.0</v>
      </c>
      <c r="P722" s="39"/>
      <c r="Q722" s="82"/>
      <c r="R722" s="82"/>
      <c r="S722" s="82"/>
      <c r="T722" s="16">
        <v>0.0</v>
      </c>
      <c r="U722" s="16">
        <v>0.0</v>
      </c>
      <c r="V722" s="89">
        <f>IFERROR(__xludf.DUMMYFUNCTION("INDEX(SPLIT(SUBSTITUTE(W722,CHAR(10), """"),"",:""), MATCH(Z722, SPLIT(SUBSTITUTE(W722,CHAR(10), """"),"",:""), 0) + 1)"),8.0)</f>
        <v>8</v>
      </c>
      <c r="W722" s="85" t="s">
        <v>2001</v>
      </c>
      <c r="X722" s="39" t="s">
        <v>789</v>
      </c>
      <c r="Y722" s="53"/>
      <c r="Z722" s="53" t="str">
        <f t="array" ref="Z722">INDEX(Problems!J:J, MATCH(1, (Problems!B:B=B722)*1, 0))</f>
        <v>n</v>
      </c>
      <c r="AA722" s="53"/>
      <c r="AB722" s="53"/>
      <c r="AC722" s="53"/>
      <c r="AD722" s="53"/>
      <c r="AE722" s="85" t="str">
        <f>IFERROR(__xludf.DUMMYFUNCTION("INDEX(SPLIT(SUBSTITUTE(AF722,CHAR(10), """"),"",:""), MATCH(Z722, SPLIT(SUBSTITUTE(AF722,CHAR(10), """"),"",:""), 0) + 1)"),"#VALUE!")</f>
        <v>#VALUE!</v>
      </c>
      <c r="AF722" s="131"/>
      <c r="AG722" s="53"/>
      <c r="AH722" s="53"/>
      <c r="AI722" s="87"/>
      <c r="AJ722" s="84" t="s">
        <v>2520</v>
      </c>
      <c r="AK722" s="87"/>
      <c r="AL722" s="81">
        <v>0.0</v>
      </c>
      <c r="AM722" s="87"/>
      <c r="AN722" s="81">
        <v>0.0</v>
      </c>
      <c r="AO722" s="90"/>
      <c r="AP722" s="81">
        <v>0.0</v>
      </c>
      <c r="AQ722" s="81">
        <v>0.0</v>
      </c>
      <c r="AR722" s="39"/>
      <c r="AS722" s="81">
        <v>0.0</v>
      </c>
      <c r="AT722" s="81">
        <v>0.0</v>
      </c>
      <c r="AU722" s="39"/>
      <c r="AV722" s="82"/>
      <c r="AW722" s="82"/>
      <c r="AX722" s="82"/>
      <c r="AY722" s="82"/>
      <c r="AZ722" s="82"/>
      <c r="BA722" s="82"/>
      <c r="BB722" s="82"/>
      <c r="BC722" s="82"/>
      <c r="BD722" s="82"/>
      <c r="BE722" s="82"/>
      <c r="BF722" s="82"/>
      <c r="BG722" s="82"/>
      <c r="BH722" s="82"/>
      <c r="BI722" s="82"/>
      <c r="BJ722" s="82"/>
      <c r="BK722" s="82"/>
      <c r="BL722" s="82"/>
      <c r="BM722" s="82"/>
      <c r="BN722" s="7"/>
      <c r="BO722" s="7">
        <v>1.0</v>
      </c>
      <c r="BP722" s="82"/>
      <c r="BQ722" s="82"/>
      <c r="BR722" s="7" t="s">
        <v>440</v>
      </c>
    </row>
    <row r="723">
      <c r="A723" s="16">
        <v>69.0</v>
      </c>
      <c r="B723" s="16" t="s">
        <v>804</v>
      </c>
      <c r="C723" s="53">
        <v>0.001</v>
      </c>
      <c r="D723" s="53"/>
      <c r="E723" s="7">
        <v>560.0</v>
      </c>
      <c r="F723" s="53"/>
      <c r="G723" s="7"/>
      <c r="H723" s="16">
        <v>1.0</v>
      </c>
      <c r="I723" s="81">
        <v>1.0</v>
      </c>
      <c r="J723" s="39" t="s">
        <v>789</v>
      </c>
      <c r="K723" s="148"/>
      <c r="L723" s="148"/>
      <c r="M723" s="39" t="str">
        <f t="shared" si="1"/>
        <v>[ Russell et. al. (1989)]</v>
      </c>
      <c r="N723" s="16" t="s">
        <v>4675</v>
      </c>
      <c r="O723" s="81">
        <v>1989.0</v>
      </c>
      <c r="P723" s="39"/>
      <c r="Q723" s="82"/>
      <c r="R723" s="82"/>
      <c r="S723" s="82"/>
      <c r="T723" s="16">
        <v>0.0</v>
      </c>
      <c r="U723" s="16">
        <v>0.0</v>
      </c>
      <c r="V723" s="89">
        <f>IFERROR(__xludf.DUMMYFUNCTION("INDEX(SPLIT(SUBSTITUTE(W723,CHAR(10), """"),"",:""), MATCH(Z723, SPLIT(SUBSTITUTE(W723,CHAR(10), """"),"",:""), 0) + 1)"),8.0)</f>
        <v>8</v>
      </c>
      <c r="W723" s="85" t="s">
        <v>2001</v>
      </c>
      <c r="X723" s="39" t="s">
        <v>789</v>
      </c>
      <c r="Y723" s="53"/>
      <c r="Z723" s="53" t="str">
        <f t="array" ref="Z723">INDEX(Problems!J:J, MATCH(1, (Problems!B:B=B723)*1, 0))</f>
        <v>n</v>
      </c>
      <c r="AA723" s="53"/>
      <c r="AB723" s="53"/>
      <c r="AC723" s="53"/>
      <c r="AD723" s="53"/>
      <c r="AE723" s="85" t="str">
        <f>IFERROR(__xludf.DUMMYFUNCTION("INDEX(SPLIT(SUBSTITUTE(AF723,CHAR(10), """"),"",:""), MATCH(Z723, SPLIT(SUBSTITUTE(AF723,CHAR(10), """"),"",:""), 0) + 1)"),"#VALUE!")</f>
        <v>#VALUE!</v>
      </c>
      <c r="AF723" s="131"/>
      <c r="AG723" s="53"/>
      <c r="AH723" s="53"/>
      <c r="AI723" s="87"/>
      <c r="AJ723" s="84" t="s">
        <v>2520</v>
      </c>
      <c r="AK723" s="87"/>
      <c r="AL723" s="81">
        <v>0.0</v>
      </c>
      <c r="AM723" s="87"/>
      <c r="AN723" s="81">
        <v>0.0</v>
      </c>
      <c r="AO723" s="90"/>
      <c r="AP723" s="81">
        <v>0.0</v>
      </c>
      <c r="AQ723" s="81">
        <v>0.0</v>
      </c>
      <c r="AR723" s="39"/>
      <c r="AS723" s="81">
        <v>0.0</v>
      </c>
      <c r="AT723" s="81">
        <v>0.0</v>
      </c>
      <c r="AU723" s="39"/>
      <c r="AV723" s="82"/>
      <c r="AW723" s="82"/>
      <c r="AX723" s="82"/>
      <c r="AY723" s="82"/>
      <c r="AZ723" s="82"/>
      <c r="BA723" s="82"/>
      <c r="BB723" s="82"/>
      <c r="BC723" s="82"/>
      <c r="BD723" s="82"/>
      <c r="BE723" s="82"/>
      <c r="BF723" s="82"/>
      <c r="BG723" s="82"/>
      <c r="BH723" s="82"/>
      <c r="BI723" s="82"/>
      <c r="BJ723" s="82"/>
      <c r="BK723" s="82"/>
      <c r="BL723" s="82"/>
      <c r="BM723" s="82"/>
      <c r="BN723" s="7"/>
      <c r="BO723" s="7">
        <v>1.0</v>
      </c>
      <c r="BP723" s="82"/>
      <c r="BQ723" s="82"/>
      <c r="BR723" s="7" t="s">
        <v>440</v>
      </c>
    </row>
    <row r="724">
      <c r="A724" s="16">
        <v>69.0</v>
      </c>
      <c r="B724" s="16" t="s">
        <v>804</v>
      </c>
      <c r="C724" s="53">
        <v>0.001</v>
      </c>
      <c r="D724" s="53"/>
      <c r="E724" s="7">
        <v>561.0</v>
      </c>
      <c r="F724" s="53"/>
      <c r="G724" s="7"/>
      <c r="H724" s="16">
        <v>1.0</v>
      </c>
      <c r="I724" s="81">
        <v>1.0</v>
      </c>
      <c r="J724" s="39" t="s">
        <v>789</v>
      </c>
      <c r="K724" s="148"/>
      <c r="L724" s="148"/>
      <c r="M724" s="39" t="str">
        <f t="shared" si="1"/>
        <v>[ Maxwell (2000)]</v>
      </c>
      <c r="N724" s="16" t="s">
        <v>4676</v>
      </c>
      <c r="O724" s="81">
        <v>2000.0</v>
      </c>
      <c r="P724" s="39"/>
      <c r="Q724" s="82"/>
      <c r="R724" s="82"/>
      <c r="S724" s="82"/>
      <c r="T724" s="16">
        <v>0.0</v>
      </c>
      <c r="U724" s="16">
        <v>0.0</v>
      </c>
      <c r="V724" s="89">
        <f>IFERROR(__xludf.DUMMYFUNCTION("INDEX(SPLIT(SUBSTITUTE(W724,CHAR(10), """"),"",:""), MATCH(Z724, SPLIT(SUBSTITUTE(W724,CHAR(10), """"),"",:""), 0) + 1)"),8.0)</f>
        <v>8</v>
      </c>
      <c r="W724" s="85" t="s">
        <v>2001</v>
      </c>
      <c r="X724" s="39" t="s">
        <v>789</v>
      </c>
      <c r="Y724" s="53"/>
      <c r="Z724" s="53" t="str">
        <f t="array" ref="Z724">INDEX(Problems!J:J, MATCH(1, (Problems!B:B=B724)*1, 0))</f>
        <v>n</v>
      </c>
      <c r="AA724" s="53"/>
      <c r="AB724" s="53"/>
      <c r="AC724" s="53"/>
      <c r="AD724" s="53"/>
      <c r="AE724" s="85" t="str">
        <f>IFERROR(__xludf.DUMMYFUNCTION("INDEX(SPLIT(SUBSTITUTE(AF724,CHAR(10), """"),"",:""), MATCH(Z724, SPLIT(SUBSTITUTE(AF724,CHAR(10), """"),"",:""), 0) + 1)"),"#VALUE!")</f>
        <v>#VALUE!</v>
      </c>
      <c r="AF724" s="131"/>
      <c r="AG724" s="53"/>
      <c r="AH724" s="53"/>
      <c r="AI724" s="87"/>
      <c r="AJ724" s="84" t="s">
        <v>2520</v>
      </c>
      <c r="AK724" s="87"/>
      <c r="AL724" s="81">
        <v>0.0</v>
      </c>
      <c r="AM724" s="87"/>
      <c r="AN724" s="81">
        <v>0.0</v>
      </c>
      <c r="AO724" s="90"/>
      <c r="AP724" s="81">
        <v>0.0</v>
      </c>
      <c r="AQ724" s="81">
        <v>0.0</v>
      </c>
      <c r="AR724" s="39"/>
      <c r="AS724" s="81">
        <v>0.0</v>
      </c>
      <c r="AT724" s="81">
        <v>0.0</v>
      </c>
      <c r="AU724" s="39"/>
      <c r="AV724" s="82"/>
      <c r="AW724" s="82"/>
      <c r="AX724" s="82"/>
      <c r="AY724" s="82"/>
      <c r="AZ724" s="82"/>
      <c r="BA724" s="82"/>
      <c r="BB724" s="82"/>
      <c r="BC724" s="82"/>
      <c r="BD724" s="82"/>
      <c r="BE724" s="82"/>
      <c r="BF724" s="82"/>
      <c r="BG724" s="82"/>
      <c r="BH724" s="82"/>
      <c r="BI724" s="82"/>
      <c r="BJ724" s="82"/>
      <c r="BK724" s="82"/>
      <c r="BL724" s="82"/>
      <c r="BM724" s="82"/>
      <c r="BN724" s="7"/>
      <c r="BO724" s="7">
        <v>1.0</v>
      </c>
      <c r="BP724" s="82"/>
      <c r="BQ724" s="82"/>
      <c r="BR724" s="7" t="s">
        <v>440</v>
      </c>
    </row>
    <row r="725">
      <c r="A725" s="16">
        <v>69.0</v>
      </c>
      <c r="B725" s="16" t="s">
        <v>804</v>
      </c>
      <c r="C725" s="53">
        <v>0.001</v>
      </c>
      <c r="D725" s="53"/>
      <c r="E725" s="7">
        <v>562.0</v>
      </c>
      <c r="F725" s="53"/>
      <c r="G725" s="7"/>
      <c r="H725" s="16">
        <v>1.0</v>
      </c>
      <c r="I725" s="81">
        <v>1.0</v>
      </c>
      <c r="J725" s="39" t="s">
        <v>789</v>
      </c>
      <c r="K725" s="148"/>
      <c r="L725" s="148"/>
      <c r="M725" s="39" t="str">
        <f t="shared" si="1"/>
        <v>[ Derek's + Maxwell (2001)]</v>
      </c>
      <c r="N725" s="16" t="s">
        <v>4677</v>
      </c>
      <c r="O725" s="81">
        <v>2001.0</v>
      </c>
      <c r="P725" s="39"/>
      <c r="Q725" s="82"/>
      <c r="R725" s="82"/>
      <c r="S725" s="82"/>
      <c r="T725" s="16">
        <v>0.0</v>
      </c>
      <c r="U725" s="16">
        <v>0.0</v>
      </c>
      <c r="V725" s="89">
        <f>IFERROR(__xludf.DUMMYFUNCTION("INDEX(SPLIT(SUBSTITUTE(W725,CHAR(10), """"),"",:""), MATCH(Z725, SPLIT(SUBSTITUTE(W725,CHAR(10), """"),"",:""), 0) + 1)"),8.0)</f>
        <v>8</v>
      </c>
      <c r="W725" s="85" t="s">
        <v>2001</v>
      </c>
      <c r="X725" s="39" t="s">
        <v>789</v>
      </c>
      <c r="Y725" s="53"/>
      <c r="Z725" s="53" t="str">
        <f t="array" ref="Z725">INDEX(Problems!J:J, MATCH(1, (Problems!B:B=B725)*1, 0))</f>
        <v>n</v>
      </c>
      <c r="AA725" s="53"/>
      <c r="AB725" s="53"/>
      <c r="AC725" s="53"/>
      <c r="AD725" s="53"/>
      <c r="AE725" s="85" t="str">
        <f>IFERROR(__xludf.DUMMYFUNCTION("INDEX(SPLIT(SUBSTITUTE(AF725,CHAR(10), """"),"",:""), MATCH(Z725, SPLIT(SUBSTITUTE(AF725,CHAR(10), """"),"",:""), 0) + 1)"),"#VALUE!")</f>
        <v>#VALUE!</v>
      </c>
      <c r="AF725" s="131"/>
      <c r="AG725" s="53"/>
      <c r="AH725" s="53"/>
      <c r="AI725" s="87"/>
      <c r="AJ725" s="84" t="s">
        <v>2520</v>
      </c>
      <c r="AK725" s="87"/>
      <c r="AL725" s="81">
        <v>0.0</v>
      </c>
      <c r="AM725" s="87"/>
      <c r="AN725" s="81">
        <v>0.0</v>
      </c>
      <c r="AO725" s="90"/>
      <c r="AP725" s="81">
        <v>0.0</v>
      </c>
      <c r="AQ725" s="81">
        <v>0.0</v>
      </c>
      <c r="AR725" s="39"/>
      <c r="AS725" s="81">
        <v>0.0</v>
      </c>
      <c r="AT725" s="81">
        <v>0.0</v>
      </c>
      <c r="AU725" s="39"/>
      <c r="AV725" s="82"/>
      <c r="AW725" s="82"/>
      <c r="AX725" s="82"/>
      <c r="AY725" s="82"/>
      <c r="AZ725" s="82"/>
      <c r="BA725" s="82"/>
      <c r="BB725" s="82"/>
      <c r="BC725" s="82"/>
      <c r="BD725" s="82"/>
      <c r="BE725" s="82"/>
      <c r="BF725" s="82"/>
      <c r="BG725" s="82"/>
      <c r="BH725" s="82"/>
      <c r="BI725" s="82"/>
      <c r="BJ725" s="82"/>
      <c r="BK725" s="82"/>
      <c r="BL725" s="82"/>
      <c r="BM725" s="82"/>
      <c r="BN725" s="7"/>
      <c r="BO725" s="7">
        <v>1.0</v>
      </c>
      <c r="BP725" s="82"/>
      <c r="BQ725" s="82"/>
      <c r="BR725" s="7" t="s">
        <v>440</v>
      </c>
    </row>
    <row r="726">
      <c r="A726" s="16">
        <v>69.0</v>
      </c>
      <c r="B726" s="16" t="s">
        <v>804</v>
      </c>
      <c r="C726" s="53">
        <v>0.001</v>
      </c>
      <c r="D726" s="53"/>
      <c r="E726" s="7">
        <v>563.0</v>
      </c>
      <c r="F726" s="53"/>
      <c r="G726" s="7"/>
      <c r="H726" s="16">
        <v>1.0</v>
      </c>
      <c r="I726" s="81">
        <v>1.0</v>
      </c>
      <c r="J726" s="39" t="s">
        <v>789</v>
      </c>
      <c r="K726" s="148"/>
      <c r="L726" s="148"/>
      <c r="M726" s="39" t="str">
        <f t="shared" si="1"/>
        <v>[ Naive (1956)]</v>
      </c>
      <c r="N726" s="39" t="s">
        <v>2150</v>
      </c>
      <c r="O726" s="81">
        <v>1956.0</v>
      </c>
      <c r="P726" s="39"/>
      <c r="Q726" s="82"/>
      <c r="R726" s="82"/>
      <c r="S726" s="82"/>
      <c r="T726" s="16">
        <v>1.0</v>
      </c>
      <c r="U726" s="16">
        <v>0.0</v>
      </c>
      <c r="V726" s="89">
        <f>IFERROR(__xludf.DUMMYFUNCTION("INDEX(SPLIT(SUBSTITUTE(W726,CHAR(10), """"),"",:""), MATCH(Z726, SPLIT(SUBSTITUTE(W726,CHAR(10), """"),"",:""), 0) + 1)"),8.0)</f>
        <v>8</v>
      </c>
      <c r="W726" s="85" t="s">
        <v>2001</v>
      </c>
      <c r="X726" s="39" t="s">
        <v>789</v>
      </c>
      <c r="Y726" s="53"/>
      <c r="Z726" s="53" t="str">
        <f t="array" ref="Z726">INDEX(Problems!J:J, MATCH(1, (Problems!B:B=B726)*1, 0))</f>
        <v>n</v>
      </c>
      <c r="AA726" s="53"/>
      <c r="AB726" s="53"/>
      <c r="AC726" s="53"/>
      <c r="AD726" s="53"/>
      <c r="AE726" s="85" t="str">
        <f>IFERROR(__xludf.DUMMYFUNCTION("INDEX(SPLIT(SUBSTITUTE(AF726,CHAR(10), """"),"",:""), MATCH(Z726, SPLIT(SUBSTITUTE(AF726,CHAR(10), """"),"",:""), 0) + 1)"),"#VALUE!")</f>
        <v>#VALUE!</v>
      </c>
      <c r="AF726" s="131"/>
      <c r="AG726" s="53"/>
      <c r="AH726" s="53"/>
      <c r="AI726" s="87"/>
      <c r="AJ726" s="84" t="s">
        <v>2520</v>
      </c>
      <c r="AK726" s="87"/>
      <c r="AL726" s="81">
        <v>0.0</v>
      </c>
      <c r="AM726" s="87"/>
      <c r="AN726" s="81">
        <v>0.0</v>
      </c>
      <c r="AO726" s="90"/>
      <c r="AP726" s="81">
        <v>0.0</v>
      </c>
      <c r="AQ726" s="81">
        <v>0.0</v>
      </c>
      <c r="AR726" s="39"/>
      <c r="AS726" s="81">
        <v>0.0</v>
      </c>
      <c r="AT726" s="81">
        <v>0.0</v>
      </c>
      <c r="AU726" s="39"/>
      <c r="AV726" s="82"/>
      <c r="AW726" s="82"/>
      <c r="AX726" s="82"/>
      <c r="AY726" s="82"/>
      <c r="AZ726" s="82"/>
      <c r="BA726" s="82"/>
      <c r="BB726" s="82"/>
      <c r="BC726" s="82"/>
      <c r="BD726" s="82"/>
      <c r="BE726" s="82"/>
      <c r="BF726" s="82"/>
      <c r="BG726" s="82"/>
      <c r="BH726" s="82"/>
      <c r="BI726" s="82"/>
      <c r="BJ726" s="82"/>
      <c r="BK726" s="82"/>
      <c r="BL726" s="82"/>
      <c r="BM726" s="82"/>
      <c r="BN726" s="7"/>
      <c r="BO726" s="7">
        <v>1.0</v>
      </c>
      <c r="BP726" s="82"/>
      <c r="BQ726" s="82"/>
      <c r="BR726" s="7" t="s">
        <v>440</v>
      </c>
    </row>
    <row r="727">
      <c r="A727" s="16">
        <v>69.0</v>
      </c>
      <c r="B727" s="16" t="s">
        <v>804</v>
      </c>
      <c r="C727" s="53">
        <v>0.001</v>
      </c>
      <c r="D727" s="53"/>
      <c r="E727" s="7">
        <v>564.0</v>
      </c>
      <c r="F727" s="53"/>
      <c r="G727" s="7"/>
      <c r="H727" s="16">
        <v>1.0</v>
      </c>
      <c r="I727" s="81">
        <v>1.0</v>
      </c>
      <c r="J727" s="39" t="s">
        <v>789</v>
      </c>
      <c r="K727" s="148"/>
      <c r="L727" s="148"/>
      <c r="M727" s="39" t="str">
        <f t="shared" si="1"/>
        <v>[ Trino (2004)]</v>
      </c>
      <c r="N727" s="16" t="s">
        <v>4678</v>
      </c>
      <c r="O727" s="81">
        <v>2004.0</v>
      </c>
      <c r="P727" s="39"/>
      <c r="Q727" s="82"/>
      <c r="R727" s="82"/>
      <c r="S727" s="82"/>
      <c r="T727" s="16">
        <v>0.0</v>
      </c>
      <c r="U727" s="16">
        <v>0.0</v>
      </c>
      <c r="V727" s="89">
        <f>IFERROR(__xludf.DUMMYFUNCTION("INDEX(SPLIT(SUBSTITUTE(W727,CHAR(10), """"),"",:""), MATCH(Z727, SPLIT(SUBSTITUTE(W727,CHAR(10), """"),"",:""), 0) + 1)"),8.0)</f>
        <v>8</v>
      </c>
      <c r="W727" s="85" t="s">
        <v>2001</v>
      </c>
      <c r="X727" s="39" t="s">
        <v>789</v>
      </c>
      <c r="Y727" s="53"/>
      <c r="Z727" s="53" t="str">
        <f t="array" ref="Z727">INDEX(Problems!J:J, MATCH(1, (Problems!B:B=B727)*1, 0))</f>
        <v>n</v>
      </c>
      <c r="AA727" s="53"/>
      <c r="AB727" s="53"/>
      <c r="AC727" s="53"/>
      <c r="AD727" s="53"/>
      <c r="AE727" s="85" t="str">
        <f>IFERROR(__xludf.DUMMYFUNCTION("INDEX(SPLIT(SUBSTITUTE(AF727,CHAR(10), """"),"",:""), MATCH(Z727, SPLIT(SUBSTITUTE(AF727,CHAR(10), """"),"",:""), 0) + 1)"),"#VALUE!")</f>
        <v>#VALUE!</v>
      </c>
      <c r="AF727" s="131"/>
      <c r="AG727" s="53"/>
      <c r="AH727" s="53"/>
      <c r="AI727" s="87"/>
      <c r="AJ727" s="84" t="s">
        <v>2520</v>
      </c>
      <c r="AK727" s="87"/>
      <c r="AL727" s="81">
        <v>0.0</v>
      </c>
      <c r="AM727" s="87"/>
      <c r="AN727" s="81">
        <v>0.0</v>
      </c>
      <c r="AO727" s="90"/>
      <c r="AP727" s="81">
        <v>0.0</v>
      </c>
      <c r="AQ727" s="81">
        <v>0.0</v>
      </c>
      <c r="AR727" s="39"/>
      <c r="AS727" s="81">
        <v>0.0</v>
      </c>
      <c r="AT727" s="81">
        <v>0.0</v>
      </c>
      <c r="AU727" s="39"/>
      <c r="AV727" s="82"/>
      <c r="AW727" s="82"/>
      <c r="AX727" s="82"/>
      <c r="AY727" s="82"/>
      <c r="AZ727" s="82"/>
      <c r="BA727" s="82"/>
      <c r="BB727" s="82"/>
      <c r="BC727" s="82"/>
      <c r="BD727" s="82"/>
      <c r="BE727" s="82"/>
      <c r="BF727" s="82"/>
      <c r="BG727" s="82"/>
      <c r="BH727" s="82"/>
      <c r="BI727" s="82"/>
      <c r="BJ727" s="82"/>
      <c r="BK727" s="82"/>
      <c r="BL727" s="82"/>
      <c r="BM727" s="82"/>
      <c r="BN727" s="7"/>
      <c r="BO727" s="7">
        <v>1.0</v>
      </c>
      <c r="BP727" s="82"/>
      <c r="BQ727" s="82"/>
      <c r="BR727" s="7" t="s">
        <v>440</v>
      </c>
    </row>
    <row r="728">
      <c r="A728" s="16">
        <v>70.0</v>
      </c>
      <c r="B728" s="16" t="s">
        <v>784</v>
      </c>
      <c r="C728" s="53">
        <v>1.0</v>
      </c>
      <c r="D728" s="53" t="s">
        <v>791</v>
      </c>
      <c r="E728" s="7">
        <v>566.0</v>
      </c>
      <c r="F728" s="53"/>
      <c r="G728" s="7"/>
      <c r="H728" s="16">
        <v>1.0</v>
      </c>
      <c r="I728" s="16">
        <v>1.0</v>
      </c>
      <c r="J728" s="146" t="s">
        <v>4652</v>
      </c>
      <c r="K728" s="53"/>
      <c r="L728" s="53"/>
      <c r="M728" s="39" t="str">
        <f t="shared" si="1"/>
        <v>[https://www.sciencedirect.com/science/article/pii/0166218X92900315 Räihä; Manilla (1992)]</v>
      </c>
      <c r="N728" s="39" t="s">
        <v>4679</v>
      </c>
      <c r="O728" s="83">
        <v>1992.0</v>
      </c>
      <c r="P728" s="17" t="s">
        <v>790</v>
      </c>
      <c r="Q728" s="82"/>
      <c r="R728" s="82"/>
      <c r="S728" s="82"/>
      <c r="T728" s="16">
        <v>0.0</v>
      </c>
      <c r="U728" s="16">
        <v>0.0</v>
      </c>
      <c r="V728" s="89">
        <f>IFERROR(__xludf.DUMMYFUNCTION("INDEX(SPLIT(SUBSTITUTE(W728,CHAR(10), """"),"",:""), MATCH(Z728, SPLIT(SUBSTITUTE(W728,CHAR(10), """"),"",:""), 0) + 1)"),8.0)</f>
        <v>8</v>
      </c>
      <c r="W728" s="85" t="s">
        <v>2001</v>
      </c>
      <c r="X728" s="146" t="s">
        <v>4652</v>
      </c>
      <c r="Y728" s="53" t="s">
        <v>4656</v>
      </c>
      <c r="Z728" s="53" t="str">
        <f t="array" ref="Z728">INDEX(Problems!J:J, MATCH(1, (Problems!B:B=B728)*1, 0))</f>
        <v>n</v>
      </c>
      <c r="AA728" s="53"/>
      <c r="AB728" s="53"/>
      <c r="AC728" s="53" t="s">
        <v>1813</v>
      </c>
      <c r="AD728" s="53" t="s">
        <v>1814</v>
      </c>
      <c r="AE728" s="85">
        <f>IFERROR(__xludf.DUMMYFUNCTION("INDEX(SPLIT(SUBSTITUTE(AF728,CHAR(10), """"),"",:""), MATCH(Z728, SPLIT(SUBSTITUTE(AF728,CHAR(10), """"),"",:""), 0) + 1)"),8.0)</f>
        <v>8</v>
      </c>
      <c r="AF728" s="85" t="s">
        <v>4657</v>
      </c>
      <c r="AG728" s="53" t="s">
        <v>4658</v>
      </c>
      <c r="AH728" s="53" t="s">
        <v>4659</v>
      </c>
      <c r="AI728" s="21">
        <v>1.0</v>
      </c>
      <c r="AJ728" s="84">
        <v>0.0</v>
      </c>
      <c r="AK728" s="21"/>
      <c r="AL728" s="16">
        <v>0.0</v>
      </c>
      <c r="AM728" s="21"/>
      <c r="AN728" s="16">
        <v>0.0</v>
      </c>
      <c r="AO728" s="21"/>
      <c r="AP728" s="16">
        <v>0.0</v>
      </c>
      <c r="AQ728" s="16">
        <v>0.0</v>
      </c>
      <c r="AR728" s="39"/>
      <c r="AS728" s="81">
        <v>0.0</v>
      </c>
      <c r="AT728" s="81">
        <v>0.0</v>
      </c>
      <c r="AU728" s="39"/>
      <c r="AV728" s="82"/>
      <c r="AW728" s="82"/>
      <c r="AX728" s="82"/>
      <c r="AY728" s="7" t="s">
        <v>4680</v>
      </c>
      <c r="AZ728" s="7"/>
      <c r="BA728" s="7"/>
      <c r="BB728" s="7"/>
      <c r="BC728" s="7"/>
      <c r="BD728" s="7"/>
      <c r="BE728" s="7"/>
      <c r="BF728" s="7" t="s">
        <v>1781</v>
      </c>
      <c r="BG728" s="7">
        <v>1.0</v>
      </c>
      <c r="BH728" s="7"/>
      <c r="BI728" s="7" t="s">
        <v>1781</v>
      </c>
      <c r="BJ728" s="7">
        <v>1.0</v>
      </c>
      <c r="BK728" s="7"/>
      <c r="BL728" s="7" t="s">
        <v>1781</v>
      </c>
      <c r="BM728" s="7">
        <v>1.0</v>
      </c>
      <c r="BN728" s="7"/>
      <c r="BO728" s="7">
        <v>1.0</v>
      </c>
      <c r="BP728" s="82"/>
      <c r="BQ728" s="7"/>
      <c r="BR728" s="7" t="s">
        <v>440</v>
      </c>
    </row>
    <row r="729">
      <c r="A729" s="16">
        <v>70.0</v>
      </c>
      <c r="B729" s="16" t="s">
        <v>784</v>
      </c>
      <c r="C729" s="53">
        <v>0.001</v>
      </c>
      <c r="D729" s="53" t="s">
        <v>791</v>
      </c>
      <c r="E729" s="7">
        <v>567.0</v>
      </c>
      <c r="F729" s="53"/>
      <c r="G729" s="7"/>
      <c r="H729" s="16">
        <v>1.0</v>
      </c>
      <c r="I729" s="16">
        <v>1.0</v>
      </c>
      <c r="J729" s="39" t="s">
        <v>4681</v>
      </c>
      <c r="K729" s="53"/>
      <c r="L729" s="53"/>
      <c r="M729" s="39" t="str">
        <f t="shared" si="1"/>
        <v>[https://dl.acm.org/doi/10.1145/509404.509414 Catriel Beeri Ronald Fagin John H. Howard (1977)]</v>
      </c>
      <c r="N729" s="16" t="s">
        <v>4682</v>
      </c>
      <c r="O729" s="81">
        <v>1977.0</v>
      </c>
      <c r="P729" s="17" t="s">
        <v>4683</v>
      </c>
      <c r="Q729" s="82"/>
      <c r="R729" s="82"/>
      <c r="S729" s="82"/>
      <c r="T729" s="16">
        <v>1.0</v>
      </c>
      <c r="U729" s="16">
        <v>0.0</v>
      </c>
      <c r="V729" s="89">
        <f>IFERROR(__xludf.DUMMYFUNCTION("INDEX(SPLIT(SUBSTITUTE(W729,CHAR(10), """"),"",:""), MATCH(Z729, SPLIT(SUBSTITUTE(W729,CHAR(10), """"),"",:""), 0) + 1)"),8.0)</f>
        <v>8</v>
      </c>
      <c r="W729" s="85" t="s">
        <v>2001</v>
      </c>
      <c r="X729" s="39" t="s">
        <v>4681</v>
      </c>
      <c r="Y729" s="53"/>
      <c r="Z729" s="53" t="str">
        <f t="array" ref="Z729">INDEX(Problems!J:J, MATCH(1, (Problems!B:B=B729)*1, 0))</f>
        <v>n</v>
      </c>
      <c r="AA729" s="53"/>
      <c r="AB729" s="53"/>
      <c r="AC729" s="53"/>
      <c r="AD729" s="53"/>
      <c r="AE729" s="85" t="str">
        <f>IFERROR(__xludf.DUMMYFUNCTION("INDEX(SPLIT(SUBSTITUTE(AF729,CHAR(10), """"),"",:""), MATCH(Z729, SPLIT(SUBSTITUTE(AF729,CHAR(10), """"),"",:""), 0) + 1)"),"#VALUE!")</f>
        <v>#VALUE!</v>
      </c>
      <c r="AF729" s="85"/>
      <c r="AG729" s="53"/>
      <c r="AH729" s="53"/>
      <c r="AI729" s="21"/>
      <c r="AJ729" s="84" t="s">
        <v>2520</v>
      </c>
      <c r="AK729" s="21"/>
      <c r="AL729" s="16">
        <v>0.0</v>
      </c>
      <c r="AM729" s="21"/>
      <c r="AN729" s="16">
        <v>0.0</v>
      </c>
      <c r="AO729" s="90"/>
      <c r="AP729" s="16">
        <v>0.0</v>
      </c>
      <c r="AQ729" s="16">
        <v>0.0</v>
      </c>
      <c r="AR729" s="39"/>
      <c r="AS729" s="81">
        <v>0.0</v>
      </c>
      <c r="AT729" s="81">
        <v>0.0</v>
      </c>
      <c r="AU729" s="39"/>
      <c r="AV729" s="82"/>
      <c r="AW729" s="82"/>
      <c r="AX729" s="82"/>
      <c r="AY729" s="7"/>
      <c r="AZ729" s="7"/>
      <c r="BA729" s="7"/>
      <c r="BB729" s="7"/>
      <c r="BC729" s="7"/>
      <c r="BD729" s="7"/>
      <c r="BE729" s="7"/>
      <c r="BF729" s="7" t="s">
        <v>1781</v>
      </c>
      <c r="BG729" s="7">
        <v>1.0</v>
      </c>
      <c r="BH729" s="7"/>
      <c r="BI729" s="7" t="s">
        <v>1781</v>
      </c>
      <c r="BJ729" s="7">
        <v>1.0</v>
      </c>
      <c r="BK729" s="7"/>
      <c r="BL729" s="7" t="s">
        <v>1781</v>
      </c>
      <c r="BM729" s="7">
        <v>1.0</v>
      </c>
      <c r="BN729" s="7"/>
      <c r="BO729" s="7">
        <v>1.0</v>
      </c>
      <c r="BP729" s="82"/>
      <c r="BQ729" s="7"/>
      <c r="BR729" s="7" t="s">
        <v>440</v>
      </c>
    </row>
    <row r="730">
      <c r="A730" s="16">
        <v>71.0</v>
      </c>
      <c r="B730" s="16" t="s">
        <v>813</v>
      </c>
      <c r="C730" s="53">
        <v>2.0</v>
      </c>
      <c r="D730" s="53" t="s">
        <v>813</v>
      </c>
      <c r="E730" s="7">
        <v>568.0</v>
      </c>
      <c r="F730" s="53"/>
      <c r="G730" s="7"/>
      <c r="H730" s="16">
        <v>1.0</v>
      </c>
      <c r="I730" s="81">
        <v>1.0</v>
      </c>
      <c r="J730" s="39" t="s">
        <v>35</v>
      </c>
      <c r="K730" s="53" t="s">
        <v>4684</v>
      </c>
      <c r="L730" s="53" t="s">
        <v>4685</v>
      </c>
      <c r="M730" s="39" t="str">
        <f t="shared" si="1"/>
        <v>[- FCFS (1979)]</v>
      </c>
      <c r="N730" s="39" t="s">
        <v>4686</v>
      </c>
      <c r="O730" s="83">
        <v>1979.0</v>
      </c>
      <c r="P730" s="16" t="s">
        <v>1937</v>
      </c>
      <c r="Q730" s="82"/>
      <c r="R730" s="82"/>
      <c r="S730" s="82"/>
      <c r="T730" s="81">
        <v>1.0</v>
      </c>
      <c r="U730" s="16">
        <v>0.0</v>
      </c>
      <c r="V730" s="89">
        <f>IFERROR(__xludf.DUMMYFUNCTION("INDEX(SPLIT(SUBSTITUTE(W730,CHAR(10), """"),"",:""), MATCH(Z730, SPLIT(SUBSTITUTE(W730,CHAR(10), """"),"",:""), 0) + 1)"),3.0)</f>
        <v>3</v>
      </c>
      <c r="W730" s="85" t="s">
        <v>1763</v>
      </c>
      <c r="X730" s="39" t="s">
        <v>35</v>
      </c>
      <c r="Y730" s="53" t="s">
        <v>4687</v>
      </c>
      <c r="Z730" s="53" t="str">
        <f t="array" ref="Z730">INDEX(Problems!J:J, MATCH(1, (Problems!B:B=B730)*1, 0))</f>
        <v>n</v>
      </c>
      <c r="AA730" s="53"/>
      <c r="AB730" s="53"/>
      <c r="AC730" s="53" t="s">
        <v>1813</v>
      </c>
      <c r="AD730" s="53" t="s">
        <v>1814</v>
      </c>
      <c r="AE730" s="85">
        <f>IFERROR(__xludf.DUMMYFUNCTION("INDEX(SPLIT(SUBSTITUTE(AF730,CHAR(10), """"),"",:""), MATCH(Z730, SPLIT(SUBSTITUTE(AF730,CHAR(10), """"),"",:""), 0) + 1)"),1.0)</f>
        <v>1</v>
      </c>
      <c r="AF730" s="85" t="s">
        <v>1774</v>
      </c>
      <c r="AG730" s="53" t="s">
        <v>939</v>
      </c>
      <c r="AH730" s="53" t="s">
        <v>4688</v>
      </c>
      <c r="AI730" s="84">
        <v>1.0</v>
      </c>
      <c r="AJ730" s="84">
        <v>0.0</v>
      </c>
      <c r="AK730" s="87"/>
      <c r="AL730" s="81">
        <v>0.0</v>
      </c>
      <c r="AM730" s="87"/>
      <c r="AN730" s="81">
        <v>0.0</v>
      </c>
      <c r="AO730" s="90"/>
      <c r="AP730" s="81">
        <v>0.0</v>
      </c>
      <c r="AQ730" s="81">
        <v>0.0</v>
      </c>
      <c r="AR730" s="39"/>
      <c r="AS730" s="81">
        <v>0.0</v>
      </c>
      <c r="AT730" s="81">
        <v>0.0</v>
      </c>
      <c r="AU730" s="25" t="s">
        <v>4689</v>
      </c>
      <c r="AV730" s="82"/>
      <c r="AW730" s="82"/>
      <c r="AX730" s="82"/>
      <c r="AY730" s="7"/>
      <c r="AZ730" s="7"/>
      <c r="BA730" s="7"/>
      <c r="BB730" s="7"/>
      <c r="BC730" s="7"/>
      <c r="BD730" s="7"/>
      <c r="BE730" s="7"/>
      <c r="BF730" s="7">
        <v>1000.0</v>
      </c>
      <c r="BG730" s="7">
        <v>1.0</v>
      </c>
      <c r="BH730" s="7"/>
      <c r="BI730" s="7">
        <v>1000000.0</v>
      </c>
      <c r="BJ730" s="7">
        <v>1.0</v>
      </c>
      <c r="BK730" s="7"/>
      <c r="BL730" s="7">
        <v>1.0E9</v>
      </c>
      <c r="BM730" s="7">
        <v>1.0</v>
      </c>
      <c r="BN730" s="7"/>
      <c r="BO730" s="7">
        <v>6.0</v>
      </c>
      <c r="BP730" s="82"/>
      <c r="BQ730" s="7"/>
      <c r="BR730" s="7" t="s">
        <v>490</v>
      </c>
    </row>
    <row r="731">
      <c r="A731" s="16">
        <v>71.0</v>
      </c>
      <c r="B731" s="16" t="s">
        <v>813</v>
      </c>
      <c r="C731" s="53">
        <v>2.0</v>
      </c>
      <c r="D731" s="53" t="s">
        <v>813</v>
      </c>
      <c r="E731" s="7">
        <v>569.0</v>
      </c>
      <c r="F731" s="53"/>
      <c r="G731" s="7"/>
      <c r="H731" s="16">
        <v>1.0</v>
      </c>
      <c r="I731" s="81">
        <v>1.0</v>
      </c>
      <c r="J731" s="21" t="s">
        <v>4690</v>
      </c>
      <c r="K731" s="53" t="s">
        <v>4684</v>
      </c>
      <c r="L731" s="53" t="s">
        <v>4685</v>
      </c>
      <c r="M731" s="39" t="str">
        <f t="shared" si="1"/>
        <v>[- SSTF (1979)]</v>
      </c>
      <c r="N731" s="164" t="s">
        <v>4691</v>
      </c>
      <c r="O731" s="83">
        <v>1979.0</v>
      </c>
      <c r="P731" s="16" t="s">
        <v>1937</v>
      </c>
      <c r="Q731" s="82"/>
      <c r="R731" s="82"/>
      <c r="S731" s="82"/>
      <c r="T731" s="81">
        <v>0.0</v>
      </c>
      <c r="U731" s="16">
        <v>0.0</v>
      </c>
      <c r="V731" s="89">
        <f>IFERROR(__xludf.DUMMYFUNCTION("INDEX(SPLIT(SUBSTITUTE(W731,CHAR(10), """"),"",:""), MATCH(Z731, SPLIT(SUBSTITUTE(W731,CHAR(10), """"),"",:""), 0) + 1)"),4.0)</f>
        <v>4</v>
      </c>
      <c r="W731" s="85" t="s">
        <v>1791</v>
      </c>
      <c r="X731" s="21" t="s">
        <v>4692</v>
      </c>
      <c r="Y731" s="53" t="s">
        <v>4687</v>
      </c>
      <c r="Z731" s="53" t="str">
        <f t="array" ref="Z731">INDEX(Problems!J:J, MATCH(1, (Problems!B:B=B731)*1, 0))</f>
        <v>n</v>
      </c>
      <c r="AA731" s="53"/>
      <c r="AB731" s="53"/>
      <c r="AC731" s="53" t="s">
        <v>1813</v>
      </c>
      <c r="AD731" s="53" t="s">
        <v>1814</v>
      </c>
      <c r="AE731" s="85">
        <f>IFERROR(__xludf.DUMMYFUNCTION("INDEX(SPLIT(SUBSTITUTE(AF731,CHAR(10), """"),"",:""), MATCH(Z731, SPLIT(SUBSTITUTE(AF731,CHAR(10), """"),"",:""), 0) + 1)"),3.0)</f>
        <v>3</v>
      </c>
      <c r="AF731" s="85" t="s">
        <v>1763</v>
      </c>
      <c r="AG731" s="53" t="s">
        <v>584</v>
      </c>
      <c r="AH731" s="91" t="s">
        <v>4693</v>
      </c>
      <c r="AI731" s="84">
        <v>0.0</v>
      </c>
      <c r="AJ731" s="84">
        <v>0.0</v>
      </c>
      <c r="AK731" s="87"/>
      <c r="AL731" s="81">
        <v>0.0</v>
      </c>
      <c r="AM731" s="87"/>
      <c r="AN731" s="81">
        <v>0.0</v>
      </c>
      <c r="AO731" s="90"/>
      <c r="AP731" s="81">
        <v>0.0</v>
      </c>
      <c r="AQ731" s="81">
        <v>0.0</v>
      </c>
      <c r="AR731" s="39"/>
      <c r="AS731" s="81">
        <v>0.0</v>
      </c>
      <c r="AT731" s="81">
        <v>0.0</v>
      </c>
      <c r="AU731" s="25" t="s">
        <v>4694</v>
      </c>
      <c r="AV731" s="82"/>
      <c r="AW731" s="82"/>
      <c r="AX731" s="82"/>
      <c r="AY731" s="7"/>
      <c r="AZ731" s="7"/>
      <c r="BA731" s="7"/>
      <c r="BB731" s="7"/>
      <c r="BC731" s="7"/>
      <c r="BD731" s="7"/>
      <c r="BE731" s="7"/>
      <c r="BF731" s="7">
        <v>1000.0</v>
      </c>
      <c r="BG731" s="82"/>
      <c r="BH731" s="82"/>
      <c r="BI731" s="82"/>
      <c r="BJ731" s="82"/>
      <c r="BK731" s="82"/>
      <c r="BL731" s="82"/>
      <c r="BM731" s="82"/>
      <c r="BN731" s="7"/>
      <c r="BO731" s="7">
        <v>6.0</v>
      </c>
      <c r="BP731" s="82"/>
      <c r="BQ731" s="7"/>
      <c r="BR731" s="7" t="s">
        <v>490</v>
      </c>
    </row>
    <row r="732">
      <c r="A732" s="16">
        <v>71.0</v>
      </c>
      <c r="B732" s="16" t="s">
        <v>813</v>
      </c>
      <c r="C732" s="53">
        <v>2.0</v>
      </c>
      <c r="D732" s="53" t="s">
        <v>813</v>
      </c>
      <c r="E732" s="7">
        <v>570.0</v>
      </c>
      <c r="F732" s="53"/>
      <c r="G732" s="7"/>
      <c r="H732" s="16">
        <v>1.0</v>
      </c>
      <c r="I732" s="81">
        <v>1.0</v>
      </c>
      <c r="J732" s="21" t="s">
        <v>2666</v>
      </c>
      <c r="K732" s="53" t="s">
        <v>4684</v>
      </c>
      <c r="L732" s="53" t="s">
        <v>4685</v>
      </c>
      <c r="M732" s="39" t="str">
        <f t="shared" si="1"/>
        <v>[- SCAN (1979)]</v>
      </c>
      <c r="N732" s="39" t="s">
        <v>4695</v>
      </c>
      <c r="O732" s="83">
        <v>1979.0</v>
      </c>
      <c r="P732" s="16" t="s">
        <v>1937</v>
      </c>
      <c r="Q732" s="82"/>
      <c r="R732" s="82"/>
      <c r="S732" s="82"/>
      <c r="T732" s="81">
        <v>0.0</v>
      </c>
      <c r="U732" s="16">
        <v>0.0</v>
      </c>
      <c r="V732" s="89">
        <f>IFERROR(__xludf.DUMMYFUNCTION("INDEX(SPLIT(SUBSTITUTE(W732,CHAR(10), """"),"",:""), MATCH(Z732, SPLIT(SUBSTITUTE(W732,CHAR(10), """"),"",:""), 0) + 1)"),4.0)</f>
        <v>4</v>
      </c>
      <c r="W732" s="85" t="s">
        <v>1791</v>
      </c>
      <c r="X732" s="21" t="s">
        <v>1953</v>
      </c>
      <c r="Y732" s="53" t="s">
        <v>4687</v>
      </c>
      <c r="Z732" s="53" t="str">
        <f t="array" ref="Z732">INDEX(Problems!J:J, MATCH(1, (Problems!B:B=B732)*1, 0))</f>
        <v>n</v>
      </c>
      <c r="AA732" s="53"/>
      <c r="AB732" s="53"/>
      <c r="AC732" s="53" t="s">
        <v>1813</v>
      </c>
      <c r="AD732" s="53" t="s">
        <v>1814</v>
      </c>
      <c r="AE732" s="85">
        <f>IFERROR(__xludf.DUMMYFUNCTION("INDEX(SPLIT(SUBSTITUTE(AF732,CHAR(10), """"),"",:""), MATCH(Z732, SPLIT(SUBSTITUTE(AF732,CHAR(10), """"),"",:""), 0) + 1)"),3.0)</f>
        <v>3</v>
      </c>
      <c r="AF732" s="85" t="s">
        <v>1763</v>
      </c>
      <c r="AG732" s="53" t="s">
        <v>584</v>
      </c>
      <c r="AH732" s="91" t="s">
        <v>4696</v>
      </c>
      <c r="AI732" s="84">
        <v>0.0</v>
      </c>
      <c r="AJ732" s="84">
        <v>0.0</v>
      </c>
      <c r="AK732" s="87"/>
      <c r="AL732" s="81">
        <v>0.0</v>
      </c>
      <c r="AM732" s="87"/>
      <c r="AN732" s="81">
        <v>0.0</v>
      </c>
      <c r="AO732" s="90"/>
      <c r="AP732" s="81">
        <v>0.0</v>
      </c>
      <c r="AQ732" s="81">
        <v>0.0</v>
      </c>
      <c r="AR732" s="39"/>
      <c r="AS732" s="81">
        <v>0.0</v>
      </c>
      <c r="AT732" s="81">
        <v>0.0</v>
      </c>
      <c r="AU732" s="25" t="s">
        <v>4697</v>
      </c>
      <c r="AV732" s="82"/>
      <c r="AW732" s="82"/>
      <c r="AX732" s="82"/>
      <c r="AY732" s="7"/>
      <c r="AZ732" s="7"/>
      <c r="BA732" s="7"/>
      <c r="BB732" s="7"/>
      <c r="BC732" s="7"/>
      <c r="BD732" s="7"/>
      <c r="BE732" s="7"/>
      <c r="BF732" s="7">
        <v>1000.0</v>
      </c>
      <c r="BG732" s="82"/>
      <c r="BH732" s="82"/>
      <c r="BI732" s="82"/>
      <c r="BJ732" s="82"/>
      <c r="BK732" s="82"/>
      <c r="BL732" s="82"/>
      <c r="BM732" s="82"/>
      <c r="BN732" s="7"/>
      <c r="BO732" s="7">
        <v>6.0</v>
      </c>
      <c r="BP732" s="82"/>
      <c r="BQ732" s="7"/>
      <c r="BR732" s="7" t="s">
        <v>490</v>
      </c>
    </row>
    <row r="733">
      <c r="A733" s="16">
        <v>71.0</v>
      </c>
      <c r="B733" s="16" t="s">
        <v>813</v>
      </c>
      <c r="C733" s="53">
        <v>2.0</v>
      </c>
      <c r="D733" s="53" t="s">
        <v>813</v>
      </c>
      <c r="E733" s="7">
        <v>571.0</v>
      </c>
      <c r="F733" s="53"/>
      <c r="G733" s="7"/>
      <c r="H733" s="16">
        <v>1.0</v>
      </c>
      <c r="I733" s="81">
        <v>1.0</v>
      </c>
      <c r="J733" s="21" t="s">
        <v>2666</v>
      </c>
      <c r="K733" s="53" t="s">
        <v>4684</v>
      </c>
      <c r="L733" s="53" t="s">
        <v>4685</v>
      </c>
      <c r="M733" s="39" t="str">
        <f t="shared" si="1"/>
        <v>[- LOOK (1979)]</v>
      </c>
      <c r="N733" s="39" t="s">
        <v>4698</v>
      </c>
      <c r="O733" s="83">
        <v>1979.0</v>
      </c>
      <c r="P733" s="16" t="s">
        <v>1937</v>
      </c>
      <c r="Q733" s="82"/>
      <c r="R733" s="82"/>
      <c r="S733" s="82"/>
      <c r="T733" s="81">
        <v>0.0</v>
      </c>
      <c r="U733" s="16">
        <v>0.0</v>
      </c>
      <c r="V733" s="89">
        <f>IFERROR(__xludf.DUMMYFUNCTION("INDEX(SPLIT(SUBSTITUTE(W733,CHAR(10), """"),"",:""), MATCH(Z733, SPLIT(SUBSTITUTE(W733,CHAR(10), """"),"",:""), 0) + 1)"),4.0)</f>
        <v>4</v>
      </c>
      <c r="W733" s="85" t="s">
        <v>1791</v>
      </c>
      <c r="X733" s="21" t="s">
        <v>1953</v>
      </c>
      <c r="Y733" s="53" t="s">
        <v>4687</v>
      </c>
      <c r="Z733" s="53" t="str">
        <f t="array" ref="Z733">INDEX(Problems!J:J, MATCH(1, (Problems!B:B=B733)*1, 0))</f>
        <v>n</v>
      </c>
      <c r="AA733" s="53"/>
      <c r="AB733" s="53"/>
      <c r="AC733" s="53" t="s">
        <v>1813</v>
      </c>
      <c r="AD733" s="53" t="s">
        <v>1814</v>
      </c>
      <c r="AE733" s="85">
        <f>IFERROR(__xludf.DUMMYFUNCTION("INDEX(SPLIT(SUBSTITUTE(AF733,CHAR(10), """"),"",:""), MATCH(Z733, SPLIT(SUBSTITUTE(AF733,CHAR(10), """"),"",:""), 0) + 1)"),3.0)</f>
        <v>3</v>
      </c>
      <c r="AF733" s="85" t="s">
        <v>1763</v>
      </c>
      <c r="AG733" s="53" t="s">
        <v>584</v>
      </c>
      <c r="AH733" s="53" t="s">
        <v>4699</v>
      </c>
      <c r="AI733" s="84">
        <v>1.0</v>
      </c>
      <c r="AJ733" s="84">
        <v>0.0</v>
      </c>
      <c r="AK733" s="87"/>
      <c r="AL733" s="81">
        <v>0.0</v>
      </c>
      <c r="AM733" s="87"/>
      <c r="AN733" s="81">
        <v>0.0</v>
      </c>
      <c r="AO733" s="90"/>
      <c r="AP733" s="81">
        <v>0.0</v>
      </c>
      <c r="AQ733" s="81">
        <v>0.0</v>
      </c>
      <c r="AR733" s="39"/>
      <c r="AS733" s="81">
        <v>0.0</v>
      </c>
      <c r="AT733" s="81">
        <v>0.0</v>
      </c>
      <c r="AU733" s="18" t="s">
        <v>4700</v>
      </c>
      <c r="AV733" s="82"/>
      <c r="AW733" s="82"/>
      <c r="AX733" s="82"/>
      <c r="AY733" s="7"/>
      <c r="AZ733" s="7"/>
      <c r="BA733" s="7"/>
      <c r="BB733" s="7"/>
      <c r="BC733" s="7"/>
      <c r="BD733" s="7"/>
      <c r="BE733" s="7"/>
      <c r="BF733" s="7">
        <v>1000.0</v>
      </c>
      <c r="BG733" s="82"/>
      <c r="BH733" s="82"/>
      <c r="BI733" s="82"/>
      <c r="BJ733" s="82"/>
      <c r="BK733" s="82"/>
      <c r="BL733" s="82"/>
      <c r="BM733" s="82"/>
      <c r="BN733" s="7"/>
      <c r="BO733" s="7">
        <v>6.0</v>
      </c>
      <c r="BP733" s="82"/>
      <c r="BQ733" s="7"/>
      <c r="BR733" s="7" t="s">
        <v>490</v>
      </c>
    </row>
    <row r="734">
      <c r="A734" s="16">
        <v>71.0</v>
      </c>
      <c r="B734" s="16" t="s">
        <v>813</v>
      </c>
      <c r="C734" s="53">
        <v>2.0</v>
      </c>
      <c r="D734" s="53" t="s">
        <v>813</v>
      </c>
      <c r="E734" s="7">
        <v>572.0</v>
      </c>
      <c r="F734" s="53"/>
      <c r="G734" s="7"/>
      <c r="H734" s="16">
        <v>1.0</v>
      </c>
      <c r="I734" s="81">
        <v>1.0</v>
      </c>
      <c r="J734" s="21" t="s">
        <v>2666</v>
      </c>
      <c r="K734" s="53" t="s">
        <v>4684</v>
      </c>
      <c r="L734" s="53" t="s">
        <v>4685</v>
      </c>
      <c r="M734" s="39" t="str">
        <f t="shared" si="1"/>
        <v>[- C-SCAN (1979)]</v>
      </c>
      <c r="N734" s="39" t="s">
        <v>4701</v>
      </c>
      <c r="O734" s="83">
        <v>1979.0</v>
      </c>
      <c r="P734" s="16" t="s">
        <v>1937</v>
      </c>
      <c r="Q734" s="82"/>
      <c r="R734" s="82"/>
      <c r="S734" s="82"/>
      <c r="T734" s="81">
        <v>0.0</v>
      </c>
      <c r="U734" s="16">
        <v>0.0</v>
      </c>
      <c r="V734" s="89">
        <f>IFERROR(__xludf.DUMMYFUNCTION("INDEX(SPLIT(SUBSTITUTE(W734,CHAR(10), """"),"",:""), MATCH(Z734, SPLIT(SUBSTITUTE(W734,CHAR(10), """"),"",:""), 0) + 1)"),4.0)</f>
        <v>4</v>
      </c>
      <c r="W734" s="85" t="s">
        <v>1791</v>
      </c>
      <c r="X734" s="21" t="s">
        <v>1953</v>
      </c>
      <c r="Y734" s="53" t="s">
        <v>4687</v>
      </c>
      <c r="Z734" s="53" t="str">
        <f t="array" ref="Z734">INDEX(Problems!J:J, MATCH(1, (Problems!B:B=B734)*1, 0))</f>
        <v>n</v>
      </c>
      <c r="AA734" s="53"/>
      <c r="AB734" s="53"/>
      <c r="AC734" s="53" t="s">
        <v>1813</v>
      </c>
      <c r="AD734" s="53" t="s">
        <v>1814</v>
      </c>
      <c r="AE734" s="85">
        <f>IFERROR(__xludf.DUMMYFUNCTION("INDEX(SPLIT(SUBSTITUTE(AF734,CHAR(10), """"),"",:""), MATCH(Z734, SPLIT(SUBSTITUTE(AF734,CHAR(10), """"),"",:""), 0) + 1)"),3.0)</f>
        <v>3</v>
      </c>
      <c r="AF734" s="85" t="s">
        <v>1763</v>
      </c>
      <c r="AG734" s="53" t="s">
        <v>584</v>
      </c>
      <c r="AH734" s="53" t="s">
        <v>4702</v>
      </c>
      <c r="AI734" s="84">
        <v>1.0</v>
      </c>
      <c r="AJ734" s="84">
        <v>0.0</v>
      </c>
      <c r="AK734" s="87"/>
      <c r="AL734" s="81">
        <v>0.0</v>
      </c>
      <c r="AM734" s="87"/>
      <c r="AN734" s="81">
        <v>0.0</v>
      </c>
      <c r="AO734" s="90"/>
      <c r="AP734" s="81">
        <v>0.0</v>
      </c>
      <c r="AQ734" s="81">
        <v>0.0</v>
      </c>
      <c r="AR734" s="39"/>
      <c r="AS734" s="81">
        <v>0.0</v>
      </c>
      <c r="AT734" s="81">
        <v>0.0</v>
      </c>
      <c r="AU734" s="25" t="s">
        <v>4700</v>
      </c>
      <c r="AV734" s="82"/>
      <c r="AW734" s="82"/>
      <c r="AX734" s="82"/>
      <c r="AY734" s="7"/>
      <c r="AZ734" s="7"/>
      <c r="BA734" s="7"/>
      <c r="BB734" s="7"/>
      <c r="BC734" s="7"/>
      <c r="BD734" s="7"/>
      <c r="BE734" s="7"/>
      <c r="BF734" s="7">
        <v>1000.0</v>
      </c>
      <c r="BG734" s="82"/>
      <c r="BH734" s="82"/>
      <c r="BI734" s="82"/>
      <c r="BJ734" s="82"/>
      <c r="BK734" s="82"/>
      <c r="BL734" s="82"/>
      <c r="BM734" s="82"/>
      <c r="BN734" s="7"/>
      <c r="BO734" s="7">
        <v>6.0</v>
      </c>
      <c r="BP734" s="82"/>
      <c r="BQ734" s="7"/>
      <c r="BR734" s="7" t="s">
        <v>490</v>
      </c>
    </row>
    <row r="735">
      <c r="A735" s="16">
        <v>71.0</v>
      </c>
      <c r="B735" s="16" t="s">
        <v>813</v>
      </c>
      <c r="C735" s="53">
        <v>2.0</v>
      </c>
      <c r="D735" s="53" t="s">
        <v>813</v>
      </c>
      <c r="E735" s="7">
        <v>573.0</v>
      </c>
      <c r="F735" s="53"/>
      <c r="G735" s="7"/>
      <c r="H735" s="16">
        <v>1.0</v>
      </c>
      <c r="I735" s="81">
        <v>1.0</v>
      </c>
      <c r="J735" s="21" t="s">
        <v>2666</v>
      </c>
      <c r="K735" s="53" t="s">
        <v>4684</v>
      </c>
      <c r="L735" s="53" t="s">
        <v>4685</v>
      </c>
      <c r="M735" s="39" t="str">
        <f t="shared" si="1"/>
        <v>[- C-LOOK (1979)]</v>
      </c>
      <c r="N735" s="39" t="s">
        <v>4703</v>
      </c>
      <c r="O735" s="83">
        <v>1979.0</v>
      </c>
      <c r="P735" s="16" t="s">
        <v>1937</v>
      </c>
      <c r="Q735" s="82"/>
      <c r="R735" s="82"/>
      <c r="S735" s="82"/>
      <c r="T735" s="81">
        <v>0.0</v>
      </c>
      <c r="U735" s="16">
        <v>0.0</v>
      </c>
      <c r="V735" s="89">
        <f>IFERROR(__xludf.DUMMYFUNCTION("INDEX(SPLIT(SUBSTITUTE(W735,CHAR(10), """"),"",:""), MATCH(Z735, SPLIT(SUBSTITUTE(W735,CHAR(10), """"),"",:""), 0) + 1)"),4.0)</f>
        <v>4</v>
      </c>
      <c r="W735" s="85" t="s">
        <v>1791</v>
      </c>
      <c r="X735" s="21" t="s">
        <v>1953</v>
      </c>
      <c r="Y735" s="53" t="s">
        <v>4687</v>
      </c>
      <c r="Z735" s="53" t="str">
        <f t="array" ref="Z735">INDEX(Problems!J:J, MATCH(1, (Problems!B:B=B735)*1, 0))</f>
        <v>n</v>
      </c>
      <c r="AA735" s="53"/>
      <c r="AB735" s="53"/>
      <c r="AC735" s="53" t="s">
        <v>1813</v>
      </c>
      <c r="AD735" s="53" t="s">
        <v>1814</v>
      </c>
      <c r="AE735" s="85">
        <f>IFERROR(__xludf.DUMMYFUNCTION("INDEX(SPLIT(SUBSTITUTE(AF735,CHAR(10), """"),"",:""), MATCH(Z735, SPLIT(SUBSTITUTE(AF735,CHAR(10), """"),"",:""), 0) + 1)"),3.0)</f>
        <v>3</v>
      </c>
      <c r="AF735" s="85" t="s">
        <v>1763</v>
      </c>
      <c r="AG735" s="53" t="s">
        <v>584</v>
      </c>
      <c r="AH735" s="53" t="s">
        <v>4704</v>
      </c>
      <c r="AI735" s="84">
        <v>1.0</v>
      </c>
      <c r="AJ735" s="84">
        <v>0.0</v>
      </c>
      <c r="AK735" s="87"/>
      <c r="AL735" s="81">
        <v>0.0</v>
      </c>
      <c r="AM735" s="87"/>
      <c r="AN735" s="81">
        <v>0.0</v>
      </c>
      <c r="AO735" s="90"/>
      <c r="AP735" s="81">
        <v>0.0</v>
      </c>
      <c r="AQ735" s="81">
        <v>0.0</v>
      </c>
      <c r="AR735" s="39"/>
      <c r="AS735" s="81">
        <v>0.0</v>
      </c>
      <c r="AT735" s="81">
        <v>0.0</v>
      </c>
      <c r="AU735" s="25" t="s">
        <v>4705</v>
      </c>
      <c r="AV735" s="82"/>
      <c r="AW735" s="82"/>
      <c r="AX735" s="82"/>
      <c r="AY735" s="7"/>
      <c r="AZ735" s="7"/>
      <c r="BA735" s="7"/>
      <c r="BB735" s="7"/>
      <c r="BC735" s="7"/>
      <c r="BD735" s="7"/>
      <c r="BE735" s="7"/>
      <c r="BF735" s="7">
        <v>1000.0</v>
      </c>
      <c r="BG735" s="82"/>
      <c r="BH735" s="82"/>
      <c r="BI735" s="82"/>
      <c r="BJ735" s="82"/>
      <c r="BK735" s="82"/>
      <c r="BL735" s="82"/>
      <c r="BM735" s="82"/>
      <c r="BN735" s="7"/>
      <c r="BO735" s="7">
        <v>6.0</v>
      </c>
      <c r="BP735" s="82"/>
      <c r="BQ735" s="7"/>
      <c r="BR735" s="7" t="s">
        <v>490</v>
      </c>
    </row>
    <row r="736">
      <c r="A736" s="16">
        <v>72.0</v>
      </c>
      <c r="B736" s="16" t="s">
        <v>818</v>
      </c>
      <c r="C736" s="53">
        <v>1.0</v>
      </c>
      <c r="D736" s="53" t="s">
        <v>818</v>
      </c>
      <c r="E736" s="7">
        <v>574.0</v>
      </c>
      <c r="F736" s="53"/>
      <c r="G736" s="7"/>
      <c r="H736" s="16">
        <v>1.0</v>
      </c>
      <c r="I736" s="16">
        <v>1.0</v>
      </c>
      <c r="J736" s="16" t="s">
        <v>4706</v>
      </c>
      <c r="K736" s="53"/>
      <c r="L736" s="53"/>
      <c r="M736" s="39" t="str">
        <f t="shared" si="1"/>
        <v>[ Brute force (backtracking search) (1940)]</v>
      </c>
      <c r="N736" s="21" t="s">
        <v>4707</v>
      </c>
      <c r="O736" s="81">
        <v>1940.0</v>
      </c>
      <c r="P736" s="39"/>
      <c r="Q736" s="82"/>
      <c r="R736" s="82"/>
      <c r="S736" s="82"/>
      <c r="T736" s="16">
        <v>1.0</v>
      </c>
      <c r="U736" s="16">
        <v>0.0</v>
      </c>
      <c r="V736" s="89">
        <f>IFERROR(__xludf.DUMMYFUNCTION("INDEX(SPLIT(SUBSTITUTE(W736,CHAR(10), """"),"",:""), MATCH(Z736, SPLIT(SUBSTITUTE(W736,CHAR(10), """"),"",:""), 0) + 1)"),8.0)</f>
        <v>8</v>
      </c>
      <c r="W736" s="85" t="s">
        <v>4708</v>
      </c>
      <c r="X736" s="39" t="s">
        <v>4709</v>
      </c>
      <c r="Y736" s="53" t="s">
        <v>4710</v>
      </c>
      <c r="Z736" s="53" t="str">
        <f t="array" ref="Z736">INDEX(Problems!J:J, MATCH(1, (Problems!B:B=B736)*1, 0))</f>
        <v>n</v>
      </c>
      <c r="AA736" s="53"/>
      <c r="AB736" s="53"/>
      <c r="AC736" s="53" t="s">
        <v>1813</v>
      </c>
      <c r="AD736" s="53" t="s">
        <v>1814</v>
      </c>
      <c r="AE736" s="85">
        <f>IFERROR(__xludf.DUMMYFUNCTION("INDEX(SPLIT(SUBSTITUTE(AF736,CHAR(10), """"),"",:""), MATCH(Z736, SPLIT(SUBSTITUTE(AF736,CHAR(10), """"),"",:""), 0) + 1)"),3.0)</f>
        <v>3</v>
      </c>
      <c r="AF736" s="85" t="s">
        <v>4419</v>
      </c>
      <c r="AG736" s="53" t="s">
        <v>4711</v>
      </c>
      <c r="AH736" s="53" t="s">
        <v>4712</v>
      </c>
      <c r="AI736" s="84">
        <v>1.0</v>
      </c>
      <c r="AJ736" s="84">
        <v>0.0</v>
      </c>
      <c r="AK736" s="87"/>
      <c r="AL736" s="81">
        <v>0.0</v>
      </c>
      <c r="AM736" s="87"/>
      <c r="AN736" s="81">
        <v>0.0</v>
      </c>
      <c r="AO736" s="90"/>
      <c r="AP736" s="81">
        <v>0.0</v>
      </c>
      <c r="AQ736" s="81">
        <v>0.0</v>
      </c>
      <c r="AR736" s="39"/>
      <c r="AS736" s="81">
        <v>0.0</v>
      </c>
      <c r="AT736" s="81">
        <v>0.0</v>
      </c>
      <c r="AU736" s="39"/>
      <c r="AV736" s="82"/>
      <c r="AW736" s="82"/>
      <c r="AX736" s="82"/>
      <c r="AY736" s="7"/>
      <c r="AZ736" s="7"/>
      <c r="BA736" s="7"/>
      <c r="BB736" s="7"/>
      <c r="BC736" s="7"/>
      <c r="BD736" s="7"/>
      <c r="BE736" s="7"/>
      <c r="BF736" s="7" t="s">
        <v>1781</v>
      </c>
      <c r="BG736" s="7">
        <v>1.0</v>
      </c>
      <c r="BH736" s="7"/>
      <c r="BI736" s="7" t="s">
        <v>1781</v>
      </c>
      <c r="BJ736" s="7">
        <v>1.0</v>
      </c>
      <c r="BK736" s="7"/>
      <c r="BL736" s="7" t="s">
        <v>1781</v>
      </c>
      <c r="BM736" s="7">
        <v>1.0</v>
      </c>
      <c r="BN736" s="7"/>
      <c r="BO736" s="7">
        <v>1.0</v>
      </c>
      <c r="BP736" s="82"/>
      <c r="BQ736" s="7"/>
      <c r="BR736" s="7" t="s">
        <v>23</v>
      </c>
    </row>
    <row r="737">
      <c r="A737" s="16">
        <v>72.0</v>
      </c>
      <c r="B737" s="16" t="s">
        <v>818</v>
      </c>
      <c r="C737" s="53">
        <v>1.0</v>
      </c>
      <c r="D737" s="53" t="s">
        <v>818</v>
      </c>
      <c r="E737" s="7">
        <v>575.0</v>
      </c>
      <c r="F737" s="53"/>
      <c r="G737" s="7"/>
      <c r="H737" s="16">
        <v>1.0</v>
      </c>
      <c r="I737" s="16">
        <v>1.0</v>
      </c>
      <c r="J737" s="16" t="s">
        <v>4713</v>
      </c>
      <c r="K737" s="53"/>
      <c r="L737" s="53"/>
      <c r="M737" s="39" t="str">
        <f t="shared" si="1"/>
        <v>[http://bud.cs.uky.edu/~goldsmit/papers/NondetWithinP.pdf Sam Buss  (1993)]</v>
      </c>
      <c r="N737" s="39" t="s">
        <v>4714</v>
      </c>
      <c r="O737" s="81">
        <v>1993.0</v>
      </c>
      <c r="P737" s="25" t="s">
        <v>4715</v>
      </c>
      <c r="Q737" s="82"/>
      <c r="R737" s="82"/>
      <c r="S737" s="82"/>
      <c r="T737" s="16">
        <v>1.0</v>
      </c>
      <c r="U737" s="16">
        <v>0.0</v>
      </c>
      <c r="V737" s="89">
        <f>IFERROR(__xludf.DUMMYFUNCTION("INDEX(SPLIT(SUBSTITUTE(W737,CHAR(10), """"),"",:""), MATCH(Z737, SPLIT(SUBSTITUTE(W737,CHAR(10), """"),"",:""), 0) + 1)"),8.0)</f>
        <v>8</v>
      </c>
      <c r="W737" s="85" t="s">
        <v>4708</v>
      </c>
      <c r="X737" s="16" t="s">
        <v>4716</v>
      </c>
      <c r="Y737" s="53" t="s">
        <v>4710</v>
      </c>
      <c r="Z737" s="53" t="str">
        <f t="array" ref="Z737">INDEX(Problems!J:J, MATCH(1, (Problems!B:B=B737)*1, 0))</f>
        <v>n</v>
      </c>
      <c r="AA737" s="53"/>
      <c r="AB737" s="53"/>
      <c r="AC737" s="53" t="s">
        <v>1813</v>
      </c>
      <c r="AD737" s="53" t="s">
        <v>1814</v>
      </c>
      <c r="AE737" s="85">
        <f>IFERROR(__xludf.DUMMYFUNCTION("INDEX(SPLIT(SUBSTITUTE(AF737,CHAR(10), """"),"",:""), MATCH(Z737, SPLIT(SUBSTITUTE(AF737,CHAR(10), """"),"",:""), 0) + 1)"),5.0)</f>
        <v>5</v>
      </c>
      <c r="AF737" s="85" t="s">
        <v>4717</v>
      </c>
      <c r="AG737" s="53" t="s">
        <v>4718</v>
      </c>
      <c r="AH737" s="53" t="s">
        <v>4719</v>
      </c>
      <c r="AI737" s="84">
        <v>1.0</v>
      </c>
      <c r="AJ737" s="84">
        <v>0.0</v>
      </c>
      <c r="AK737" s="87"/>
      <c r="AL737" s="81">
        <v>0.0</v>
      </c>
      <c r="AM737" s="87"/>
      <c r="AN737" s="81">
        <v>0.0</v>
      </c>
      <c r="AO737" s="90"/>
      <c r="AP737" s="81">
        <v>0.0</v>
      </c>
      <c r="AQ737" s="81">
        <v>0.0</v>
      </c>
      <c r="AR737" s="39"/>
      <c r="AS737" s="81">
        <v>0.0</v>
      </c>
      <c r="AT737" s="81">
        <v>0.0</v>
      </c>
      <c r="AU737" s="39"/>
      <c r="AV737" s="82"/>
      <c r="AW737" s="82"/>
      <c r="AX737" s="82"/>
      <c r="AY737" s="7"/>
      <c r="AZ737" s="7"/>
      <c r="BA737" s="7"/>
      <c r="BB737" s="7"/>
      <c r="BC737" s="7"/>
      <c r="BD737" s="7"/>
      <c r="BE737" s="7"/>
      <c r="BF737" s="7" t="s">
        <v>1781</v>
      </c>
      <c r="BG737" s="7">
        <v>1.0</v>
      </c>
      <c r="BH737" s="7"/>
      <c r="BI737" s="7" t="s">
        <v>1781</v>
      </c>
      <c r="BJ737" s="7">
        <v>1.0</v>
      </c>
      <c r="BK737" s="7"/>
      <c r="BL737" s="7" t="s">
        <v>1781</v>
      </c>
      <c r="BM737" s="7">
        <v>1.0</v>
      </c>
      <c r="BN737" s="7"/>
      <c r="BO737" s="7">
        <v>1.0</v>
      </c>
      <c r="BP737" s="82"/>
      <c r="BQ737" s="7"/>
      <c r="BR737" s="7" t="s">
        <v>23</v>
      </c>
    </row>
    <row r="738">
      <c r="A738" s="16">
        <v>72.0</v>
      </c>
      <c r="B738" s="16" t="s">
        <v>818</v>
      </c>
      <c r="C738" s="53">
        <v>1.0</v>
      </c>
      <c r="D738" s="53" t="s">
        <v>818</v>
      </c>
      <c r="E738" s="7">
        <v>576.0</v>
      </c>
      <c r="F738" s="53"/>
      <c r="G738" s="7"/>
      <c r="H738" s="16">
        <v>1.0</v>
      </c>
      <c r="I738" s="16">
        <v>1.0</v>
      </c>
      <c r="J738" s="21" t="s">
        <v>4720</v>
      </c>
      <c r="K738" s="53"/>
      <c r="L738" s="53"/>
      <c r="M738" s="39" t="str">
        <f t="shared" si="1"/>
        <v>[https://citeseerx.ist.psu.edu/viewdoc/download?doi=10.1.1.7.4800&amp;rep=rep1&amp;type=pdf Chen; I. Kanj; and W. Jia. (2001)]</v>
      </c>
      <c r="N738" s="16" t="s">
        <v>4721</v>
      </c>
      <c r="O738" s="81">
        <v>2001.0</v>
      </c>
      <c r="P738" s="25" t="s">
        <v>4722</v>
      </c>
      <c r="Q738" s="82"/>
      <c r="R738" s="82"/>
      <c r="S738" s="82"/>
      <c r="T738" s="16">
        <v>0.0</v>
      </c>
      <c r="U738" s="16">
        <v>0.0</v>
      </c>
      <c r="V738" s="89">
        <f>IFERROR(__xludf.DUMMYFUNCTION("INDEX(SPLIT(SUBSTITUTE(W738,CHAR(10), """"),"",:""), MATCH(Z738, SPLIT(SUBSTITUTE(W738,CHAR(10), """"),"",:""), 0) + 1)"),8.0)</f>
        <v>8</v>
      </c>
      <c r="W738" s="85" t="s">
        <v>4708</v>
      </c>
      <c r="X738" s="21" t="s">
        <v>4723</v>
      </c>
      <c r="Y738" s="53" t="s">
        <v>4710</v>
      </c>
      <c r="Z738" s="53" t="str">
        <f t="array" ref="Z738">INDEX(Problems!J:J, MATCH(1, (Problems!B:B=B738)*1, 0))</f>
        <v>n</v>
      </c>
      <c r="AA738" s="53"/>
      <c r="AB738" s="53"/>
      <c r="AC738" s="53" t="s">
        <v>1813</v>
      </c>
      <c r="AD738" s="53" t="s">
        <v>1814</v>
      </c>
      <c r="AE738" s="85">
        <f>IFERROR(__xludf.DUMMYFUNCTION("INDEX(SPLIT(SUBSTITUTE(AF738,CHAR(10), """"),"",:""), MATCH(Z738, SPLIT(SUBSTITUTE(AF738,CHAR(10), """"),"",:""), 0) + 1)"),6.0)</f>
        <v>6</v>
      </c>
      <c r="AF738" s="85" t="s">
        <v>4724</v>
      </c>
      <c r="AG738" s="53" t="s">
        <v>4725</v>
      </c>
      <c r="AH738" s="53" t="s">
        <v>4726</v>
      </c>
      <c r="AI738" s="84">
        <v>1.0</v>
      </c>
      <c r="AJ738" s="84">
        <v>0.0</v>
      </c>
      <c r="AK738" s="87"/>
      <c r="AL738" s="81">
        <v>0.0</v>
      </c>
      <c r="AM738" s="87"/>
      <c r="AN738" s="81">
        <v>0.0</v>
      </c>
      <c r="AO738" s="90"/>
      <c r="AP738" s="81">
        <v>0.0</v>
      </c>
      <c r="AQ738" s="81">
        <v>0.0</v>
      </c>
      <c r="AR738" s="39"/>
      <c r="AS738" s="81">
        <v>0.0</v>
      </c>
      <c r="AT738" s="81">
        <v>0.0</v>
      </c>
      <c r="AU738" s="39"/>
      <c r="AV738" s="82"/>
      <c r="AW738" s="82"/>
      <c r="AX738" s="82"/>
      <c r="AY738" s="7"/>
      <c r="AZ738" s="82"/>
      <c r="BA738" s="82"/>
      <c r="BB738" s="82"/>
      <c r="BC738" s="82"/>
      <c r="BD738" s="82"/>
      <c r="BE738" s="82"/>
      <c r="BF738" s="82"/>
      <c r="BG738" s="82"/>
      <c r="BH738" s="82"/>
      <c r="BI738" s="82"/>
      <c r="BJ738" s="82"/>
      <c r="BK738" s="82"/>
      <c r="BL738" s="82"/>
      <c r="BM738" s="82"/>
      <c r="BN738" s="7"/>
      <c r="BO738" s="7">
        <v>1.0</v>
      </c>
      <c r="BP738" s="82"/>
      <c r="BQ738" s="7"/>
      <c r="BR738" s="7" t="s">
        <v>23</v>
      </c>
    </row>
    <row r="739">
      <c r="A739" s="16">
        <v>72.0</v>
      </c>
      <c r="B739" s="16" t="s">
        <v>818</v>
      </c>
      <c r="C739" s="53">
        <v>1.0</v>
      </c>
      <c r="D739" s="53" t="s">
        <v>818</v>
      </c>
      <c r="E739" s="7">
        <v>577.0</v>
      </c>
      <c r="F739" s="53"/>
      <c r="G739" s="7"/>
      <c r="H739" s="16">
        <v>1.0</v>
      </c>
      <c r="I739" s="16">
        <v>1.0</v>
      </c>
      <c r="J739" s="16" t="s">
        <v>4727</v>
      </c>
      <c r="K739" s="53"/>
      <c r="L739" s="53"/>
      <c r="M739" s="39" t="str">
        <f t="shared" si="1"/>
        <v>[https://citeseerx.ist.psu.edu/viewdoc/download?doi=10.1.1.136.4409&amp;rep=rep1&amp;type=pdf Chandran and F. Grandoni (2004)]</v>
      </c>
      <c r="N739" s="16" t="s">
        <v>4728</v>
      </c>
      <c r="O739" s="81">
        <v>2004.0</v>
      </c>
      <c r="P739" s="25" t="s">
        <v>4729</v>
      </c>
      <c r="Q739" s="82"/>
      <c r="R739" s="82"/>
      <c r="S739" s="82"/>
      <c r="T739" s="16">
        <v>0.0</v>
      </c>
      <c r="U739" s="16">
        <v>0.0</v>
      </c>
      <c r="V739" s="89">
        <f>IFERROR(__xludf.DUMMYFUNCTION("INDEX(SPLIT(SUBSTITUTE(W739,CHAR(10), """"),"",:""), MATCH(Z739, SPLIT(SUBSTITUTE(W739,CHAR(10), """"),"",:""), 0) + 1)"),8.0)</f>
        <v>8</v>
      </c>
      <c r="W739" s="85" t="s">
        <v>4708</v>
      </c>
      <c r="X739" s="16" t="s">
        <v>4730</v>
      </c>
      <c r="Y739" s="53" t="s">
        <v>4710</v>
      </c>
      <c r="Z739" s="53" t="str">
        <f t="array" ref="Z739">INDEX(Problems!J:J, MATCH(1, (Problems!B:B=B739)*1, 0))</f>
        <v>n</v>
      </c>
      <c r="AA739" s="53"/>
      <c r="AB739" s="53"/>
      <c r="AC739" s="53" t="s">
        <v>1813</v>
      </c>
      <c r="AD739" s="53" t="s">
        <v>1814</v>
      </c>
      <c r="AE739" s="85">
        <f>IFERROR(__xludf.DUMMYFUNCTION("INDEX(SPLIT(SUBSTITUTE(AF739,CHAR(10), """"),"",:""), MATCH(Z739, SPLIT(SUBSTITUTE(AF739,CHAR(10), """"),"",:""), 0) + 1)"),8.0)</f>
        <v>8</v>
      </c>
      <c r="AF739" s="85" t="s">
        <v>4731</v>
      </c>
      <c r="AG739" s="53" t="s">
        <v>4732</v>
      </c>
      <c r="AH739" s="86" t="s">
        <v>4729</v>
      </c>
      <c r="AI739" s="84">
        <v>0.0</v>
      </c>
      <c r="AJ739" s="84">
        <v>1.0</v>
      </c>
      <c r="AK739" s="87"/>
      <c r="AL739" s="81">
        <v>0.0</v>
      </c>
      <c r="AM739" s="87"/>
      <c r="AN739" s="81">
        <v>0.0</v>
      </c>
      <c r="AO739" s="90"/>
      <c r="AP739" s="81">
        <v>0.0</v>
      </c>
      <c r="AQ739" s="81">
        <v>0.0</v>
      </c>
      <c r="AR739" s="39"/>
      <c r="AS739" s="81">
        <v>0.0</v>
      </c>
      <c r="AT739" s="81">
        <v>0.0</v>
      </c>
      <c r="AU739" s="39"/>
      <c r="AV739" s="82"/>
      <c r="AW739" s="82"/>
      <c r="AX739" s="82"/>
      <c r="AY739" s="7"/>
      <c r="AZ739" s="82"/>
      <c r="BA739" s="82"/>
      <c r="BB739" s="82"/>
      <c r="BC739" s="82"/>
      <c r="BD739" s="82"/>
      <c r="BE739" s="82"/>
      <c r="BF739" s="82"/>
      <c r="BG739" s="82"/>
      <c r="BH739" s="82"/>
      <c r="BI739" s="82"/>
      <c r="BJ739" s="82"/>
      <c r="BK739" s="82"/>
      <c r="BL739" s="82"/>
      <c r="BM739" s="82"/>
      <c r="BN739" s="7"/>
      <c r="BO739" s="7">
        <v>1.0</v>
      </c>
      <c r="BP739" s="82"/>
      <c r="BQ739" s="7"/>
      <c r="BR739" s="7" t="s">
        <v>23</v>
      </c>
    </row>
    <row r="740">
      <c r="A740" s="16">
        <v>72.0</v>
      </c>
      <c r="B740" s="16" t="s">
        <v>818</v>
      </c>
      <c r="C740" s="53">
        <v>1.0</v>
      </c>
      <c r="D740" s="53" t="s">
        <v>818</v>
      </c>
      <c r="E740" s="7">
        <v>578.0</v>
      </c>
      <c r="F740" s="53"/>
      <c r="G740" s="7"/>
      <c r="H740" s="16">
        <v>1.0</v>
      </c>
      <c r="I740" s="16">
        <v>1.0</v>
      </c>
      <c r="J740" s="39" t="s">
        <v>4733</v>
      </c>
      <c r="K740" s="53"/>
      <c r="L740" s="53"/>
      <c r="M740" s="39" t="str">
        <f t="shared" si="1"/>
        <v>[https://www.cs.lafayette.edu/~gexia/research/mfcs06.pdf Chen; I. Kanj; and W. Jia. (2006)]</v>
      </c>
      <c r="N740" s="16" t="s">
        <v>4721</v>
      </c>
      <c r="O740" s="81">
        <v>2006.0</v>
      </c>
      <c r="P740" s="25" t="s">
        <v>4734</v>
      </c>
      <c r="Q740" s="82"/>
      <c r="R740" s="82"/>
      <c r="S740" s="82"/>
      <c r="T740" s="16">
        <v>0.0</v>
      </c>
      <c r="U740" s="16">
        <v>0.0</v>
      </c>
      <c r="V740" s="89">
        <f>IFERROR(__xludf.DUMMYFUNCTION("INDEX(SPLIT(SUBSTITUTE(W740,CHAR(10), """"),"",:""), MATCH(Z740, SPLIT(SUBSTITUTE(W740,CHAR(10), """"),"",:""), 0) + 1)"),8.0)</f>
        <v>8</v>
      </c>
      <c r="W740" s="85" t="s">
        <v>4708</v>
      </c>
      <c r="X740" s="39" t="s">
        <v>4733</v>
      </c>
      <c r="Y740" s="53" t="s">
        <v>4710</v>
      </c>
      <c r="Z740" s="53" t="str">
        <f t="array" ref="Z740">INDEX(Problems!J:J, MATCH(1, (Problems!B:B=B740)*1, 0))</f>
        <v>n</v>
      </c>
      <c r="AA740" s="53"/>
      <c r="AB740" s="53"/>
      <c r="AC740" s="53" t="s">
        <v>1813</v>
      </c>
      <c r="AD740" s="53" t="s">
        <v>1814</v>
      </c>
      <c r="AE740" s="85">
        <f>IFERROR(__xludf.DUMMYFUNCTION("INDEX(SPLIT(SUBSTITUTE(AF740,CHAR(10), """"),"",:""), MATCH(Z740, SPLIT(SUBSTITUTE(AF740,CHAR(10), """"),"",:""), 0) + 1)"),7.0)</f>
        <v>7</v>
      </c>
      <c r="AF740" s="85" t="s">
        <v>2517</v>
      </c>
      <c r="AG740" s="53" t="s">
        <v>2518</v>
      </c>
      <c r="AH740" s="91" t="s">
        <v>4734</v>
      </c>
      <c r="AI740" s="84">
        <v>0.0</v>
      </c>
      <c r="AJ740" s="84">
        <v>1.0</v>
      </c>
      <c r="AK740" s="87"/>
      <c r="AL740" s="81">
        <v>0.0</v>
      </c>
      <c r="AM740" s="87"/>
      <c r="AN740" s="81">
        <v>0.0</v>
      </c>
      <c r="AO740" s="90"/>
      <c r="AP740" s="81">
        <v>0.0</v>
      </c>
      <c r="AQ740" s="81">
        <v>0.0</v>
      </c>
      <c r="AR740" s="39"/>
      <c r="AS740" s="81">
        <v>0.0</v>
      </c>
      <c r="AT740" s="81">
        <v>0.0</v>
      </c>
      <c r="AU740" s="39"/>
      <c r="AV740" s="82"/>
      <c r="AW740" s="82"/>
      <c r="AX740" s="82"/>
      <c r="AY740" s="7"/>
      <c r="AZ740" s="82"/>
      <c r="BA740" s="82"/>
      <c r="BB740" s="82"/>
      <c r="BC740" s="82"/>
      <c r="BD740" s="82"/>
      <c r="BE740" s="82"/>
      <c r="BF740" s="82"/>
      <c r="BG740" s="82"/>
      <c r="BH740" s="82"/>
      <c r="BI740" s="82"/>
      <c r="BJ740" s="82"/>
      <c r="BK740" s="82"/>
      <c r="BL740" s="82"/>
      <c r="BM740" s="82"/>
      <c r="BN740" s="7"/>
      <c r="BO740" s="7">
        <v>1.0</v>
      </c>
      <c r="BP740" s="82"/>
      <c r="BQ740" s="7"/>
      <c r="BR740" s="7" t="s">
        <v>23</v>
      </c>
    </row>
    <row r="741">
      <c r="A741" s="16">
        <v>72.0</v>
      </c>
      <c r="B741" s="16" t="s">
        <v>818</v>
      </c>
      <c r="C741" s="53">
        <v>1.0</v>
      </c>
      <c r="D741" s="53" t="s">
        <v>824</v>
      </c>
      <c r="E741" s="7">
        <v>579.0</v>
      </c>
      <c r="F741" s="53"/>
      <c r="G741" s="7"/>
      <c r="H741" s="16">
        <v>1.0</v>
      </c>
      <c r="I741" s="16">
        <v>1.0</v>
      </c>
      <c r="J741" s="21" t="s">
        <v>4735</v>
      </c>
      <c r="K741" s="53"/>
      <c r="L741" s="53"/>
      <c r="M741" s="39" t="str">
        <f t="shared" si="1"/>
        <v>[https://onlinelibrary.wiley.com/doi/abs/10.1002/1097-0037(200007)35:4%3C253::AID-NET3%3E3.0.CO;2-K J. Chen; L. Liu; and W. Jia. (2000)]</v>
      </c>
      <c r="N741" s="16" t="s">
        <v>4736</v>
      </c>
      <c r="O741" s="81">
        <v>2000.0</v>
      </c>
      <c r="P741" s="96" t="s">
        <v>4737</v>
      </c>
      <c r="Q741" s="82"/>
      <c r="R741" s="82"/>
      <c r="S741" s="82"/>
      <c r="T741" s="16">
        <v>1.0</v>
      </c>
      <c r="U741" s="16">
        <v>0.0</v>
      </c>
      <c r="V741" s="89">
        <f>IFERROR(__xludf.DUMMYFUNCTION("INDEX(SPLIT(SUBSTITUTE(W741,CHAR(10), """"),"",:""), MATCH(Z741, SPLIT(SUBSTITUTE(W741,CHAR(10), """"),"",:""), 0) + 1)"),8.0)</f>
        <v>8</v>
      </c>
      <c r="W741" s="85" t="s">
        <v>4708</v>
      </c>
      <c r="X741" s="21" t="s">
        <v>4735</v>
      </c>
      <c r="Y741" s="53" t="s">
        <v>4710</v>
      </c>
      <c r="Z741" s="53" t="str">
        <f t="array" ref="Z741">INDEX(Problems!J:J, MATCH(1, (Problems!B:B=B741)*1, 0))</f>
        <v>n</v>
      </c>
      <c r="AA741" s="53"/>
      <c r="AB741" s="53"/>
      <c r="AC741" s="53" t="s">
        <v>1813</v>
      </c>
      <c r="AD741" s="53" t="s">
        <v>1814</v>
      </c>
      <c r="AE741" s="85">
        <f>IFERROR(__xludf.DUMMYFUNCTION("INDEX(SPLIT(SUBSTITUTE(AF741,CHAR(10), """"),"",:""), MATCH(Z741, SPLIT(SUBSTITUTE(AF741,CHAR(10), """"),"",:""), 0) + 1)"),6.0)</f>
        <v>6</v>
      </c>
      <c r="AF741" s="85" t="s">
        <v>4724</v>
      </c>
      <c r="AG741" s="53" t="s">
        <v>4725</v>
      </c>
      <c r="AH741" s="53" t="s">
        <v>4738</v>
      </c>
      <c r="AI741" s="84">
        <v>1.0</v>
      </c>
      <c r="AJ741" s="84">
        <v>0.0</v>
      </c>
      <c r="AK741" s="87"/>
      <c r="AL741" s="81">
        <v>0.0</v>
      </c>
      <c r="AM741" s="87"/>
      <c r="AN741" s="81">
        <v>0.0</v>
      </c>
      <c r="AO741" s="90"/>
      <c r="AP741" s="81">
        <v>0.0</v>
      </c>
      <c r="AQ741" s="81">
        <v>0.0</v>
      </c>
      <c r="AR741" s="39"/>
      <c r="AS741" s="81">
        <v>0.0</v>
      </c>
      <c r="AT741" s="81">
        <v>0.0</v>
      </c>
      <c r="AU741" s="39"/>
      <c r="AV741" s="82"/>
      <c r="AW741" s="82"/>
      <c r="AX741" s="82"/>
      <c r="AY741" s="7"/>
      <c r="AZ741" s="7"/>
      <c r="BA741" s="7"/>
      <c r="BB741" s="7"/>
      <c r="BC741" s="7"/>
      <c r="BD741" s="7"/>
      <c r="BE741" s="7"/>
      <c r="BF741" s="7" t="s">
        <v>1781</v>
      </c>
      <c r="BG741" s="7">
        <v>1.0</v>
      </c>
      <c r="BH741" s="7"/>
      <c r="BI741" s="7" t="s">
        <v>1781</v>
      </c>
      <c r="BJ741" s="7">
        <v>1.0</v>
      </c>
      <c r="BK741" s="7"/>
      <c r="BL741" s="7" t="s">
        <v>1781</v>
      </c>
      <c r="BM741" s="7">
        <v>1.0</v>
      </c>
      <c r="BN741" s="7"/>
      <c r="BO741" s="7">
        <v>1.0</v>
      </c>
      <c r="BP741" s="82"/>
      <c r="BQ741" s="7"/>
      <c r="BR741" s="7" t="s">
        <v>23</v>
      </c>
    </row>
    <row r="742">
      <c r="A742" s="16">
        <v>72.0</v>
      </c>
      <c r="B742" s="16" t="s">
        <v>818</v>
      </c>
      <c r="C742" s="53">
        <v>1.0</v>
      </c>
      <c r="D742" s="53" t="s">
        <v>818</v>
      </c>
      <c r="E742" s="7">
        <v>580.0</v>
      </c>
      <c r="F742" s="53"/>
      <c r="G742" s="7"/>
      <c r="H742" s="16">
        <v>1.0</v>
      </c>
      <c r="I742" s="16">
        <v>1.0</v>
      </c>
      <c r="J742" s="39" t="s">
        <v>4739</v>
      </c>
      <c r="K742" s="53"/>
      <c r="L742" s="53"/>
      <c r="M742" s="39" t="str">
        <f t="shared" si="1"/>
        <v>[https://citeseerx.ist.psu.edu/viewdoc/summary?doi=10.1.1.711.8844 Balasubramanian; Fellows (1996)]</v>
      </c>
      <c r="N742" s="16" t="s">
        <v>4740</v>
      </c>
      <c r="O742" s="81">
        <v>1996.0</v>
      </c>
      <c r="P742" s="25" t="s">
        <v>4741</v>
      </c>
      <c r="Q742" s="82"/>
      <c r="R742" s="82"/>
      <c r="S742" s="82"/>
      <c r="T742" s="16">
        <v>1.0</v>
      </c>
      <c r="U742" s="16">
        <v>0.0</v>
      </c>
      <c r="V742" s="89">
        <f>IFERROR(__xludf.DUMMYFUNCTION("INDEX(SPLIT(SUBSTITUTE(W742,CHAR(10), """"),"",:""), MATCH(Z742, SPLIT(SUBSTITUTE(W742,CHAR(10), """"),"",:""), 0) + 1)"),8.0)</f>
        <v>8</v>
      </c>
      <c r="W742" s="85" t="s">
        <v>4708</v>
      </c>
      <c r="X742" s="39" t="s">
        <v>4739</v>
      </c>
      <c r="Y742" s="53" t="s">
        <v>4710</v>
      </c>
      <c r="Z742" s="53" t="str">
        <f t="array" ref="Z742">INDEX(Problems!J:J, MATCH(1, (Problems!B:B=B742)*1, 0))</f>
        <v>n</v>
      </c>
      <c r="AA742" s="53"/>
      <c r="AB742" s="53"/>
      <c r="AC742" s="53" t="s">
        <v>1813</v>
      </c>
      <c r="AD742" s="53" t="s">
        <v>1814</v>
      </c>
      <c r="AE742" s="85">
        <f>IFERROR(__xludf.DUMMYFUNCTION("INDEX(SPLIT(SUBSTITUTE(AF742,CHAR(10), """"),"",:""), MATCH(Z742, SPLIT(SUBSTITUTE(AF742,CHAR(10), """"),"",:""), 0) + 1)"),6.0)</f>
        <v>6</v>
      </c>
      <c r="AF742" s="85" t="s">
        <v>4724</v>
      </c>
      <c r="AG742" s="53" t="s">
        <v>4725</v>
      </c>
      <c r="AH742" s="53" t="s">
        <v>4738</v>
      </c>
      <c r="AI742" s="84">
        <v>1.0</v>
      </c>
      <c r="AJ742" s="84">
        <v>0.0</v>
      </c>
      <c r="AK742" s="87"/>
      <c r="AL742" s="81">
        <v>0.0</v>
      </c>
      <c r="AM742" s="87"/>
      <c r="AN742" s="81">
        <v>0.0</v>
      </c>
      <c r="AO742" s="90"/>
      <c r="AP742" s="81">
        <v>0.0</v>
      </c>
      <c r="AQ742" s="81">
        <v>0.0</v>
      </c>
      <c r="AR742" s="39"/>
      <c r="AS742" s="81">
        <v>0.0</v>
      </c>
      <c r="AT742" s="81">
        <v>0.0</v>
      </c>
      <c r="AU742" s="39"/>
      <c r="AV742" s="82"/>
      <c r="AW742" s="82"/>
      <c r="AX742" s="82"/>
      <c r="AY742" s="7"/>
      <c r="AZ742" s="7"/>
      <c r="BA742" s="7"/>
      <c r="BB742" s="7"/>
      <c r="BC742" s="7"/>
      <c r="BD742" s="7"/>
      <c r="BE742" s="7"/>
      <c r="BF742" s="7" t="s">
        <v>1781</v>
      </c>
      <c r="BG742" s="7">
        <v>1.0</v>
      </c>
      <c r="BH742" s="7"/>
      <c r="BI742" s="7" t="s">
        <v>1781</v>
      </c>
      <c r="BJ742" s="7">
        <v>1.0</v>
      </c>
      <c r="BK742" s="7"/>
      <c r="BL742" s="7" t="s">
        <v>1781</v>
      </c>
      <c r="BM742" s="7">
        <v>1.0</v>
      </c>
      <c r="BN742" s="7"/>
      <c r="BO742" s="7">
        <v>1.0</v>
      </c>
      <c r="BP742" s="82"/>
      <c r="BQ742" s="7"/>
      <c r="BR742" s="7" t="s">
        <v>23</v>
      </c>
    </row>
    <row r="743">
      <c r="A743" s="16">
        <v>72.0</v>
      </c>
      <c r="B743" s="16" t="s">
        <v>818</v>
      </c>
      <c r="C743" s="53">
        <v>1.0</v>
      </c>
      <c r="D743" s="53" t="s">
        <v>818</v>
      </c>
      <c r="E743" s="7">
        <v>581.0</v>
      </c>
      <c r="F743" s="53"/>
      <c r="G743" s="7"/>
      <c r="H743" s="16">
        <v>1.0</v>
      </c>
      <c r="I743" s="16">
        <v>1.0</v>
      </c>
      <c r="J743" s="39" t="s">
        <v>4742</v>
      </c>
      <c r="K743" s="53"/>
      <c r="L743" s="53"/>
      <c r="M743" s="39" t="str">
        <f t="shared" si="1"/>
        <v>[https://www.sciencedirect.com/science/article/pii/S0022000096900586 Papadimitriou and M Yannakakis (1996)]</v>
      </c>
      <c r="N743" s="16" t="s">
        <v>4743</v>
      </c>
      <c r="O743" s="81">
        <v>1996.0</v>
      </c>
      <c r="P743" s="25" t="s">
        <v>4744</v>
      </c>
      <c r="Q743" s="82"/>
      <c r="R743" s="82"/>
      <c r="S743" s="82"/>
      <c r="T743" s="16">
        <v>0.0</v>
      </c>
      <c r="U743" s="16">
        <v>0.0</v>
      </c>
      <c r="V743" s="89">
        <f>IFERROR(__xludf.DUMMYFUNCTION("INDEX(SPLIT(SUBSTITUTE(W743,CHAR(10), """"),"",:""), MATCH(Z743, SPLIT(SUBSTITUTE(W743,CHAR(10), """"),"",:""), 0) + 1)"),8.0)</f>
        <v>8</v>
      </c>
      <c r="W743" s="85" t="s">
        <v>4708</v>
      </c>
      <c r="X743" s="39" t="s">
        <v>4742</v>
      </c>
      <c r="Y743" s="53" t="s">
        <v>4710</v>
      </c>
      <c r="Z743" s="53" t="str">
        <f t="array" ref="Z743">INDEX(Problems!J:J, MATCH(1, (Problems!B:B=B743)*1, 0))</f>
        <v>n</v>
      </c>
      <c r="AA743" s="53"/>
      <c r="AB743" s="53"/>
      <c r="AC743" s="53" t="s">
        <v>1813</v>
      </c>
      <c r="AD743" s="53" t="s">
        <v>1814</v>
      </c>
      <c r="AE743" s="85">
        <f>IFERROR(__xludf.DUMMYFUNCTION("INDEX(SPLIT(SUBSTITUTE(AF743,CHAR(10), """"),"",:""), MATCH(Z743, SPLIT(SUBSTITUTE(AF743,CHAR(10), """"),"",:""), 0) + 1)"),3.0)</f>
        <v>3</v>
      </c>
      <c r="AF743" s="85" t="s">
        <v>4419</v>
      </c>
      <c r="AG743" s="53" t="s">
        <v>4745</v>
      </c>
      <c r="AH743" s="53" t="s">
        <v>4746</v>
      </c>
      <c r="AI743" s="84">
        <v>1.0</v>
      </c>
      <c r="AJ743" s="84">
        <v>0.0</v>
      </c>
      <c r="AK743" s="87"/>
      <c r="AL743" s="81">
        <v>0.0</v>
      </c>
      <c r="AM743" s="87"/>
      <c r="AN743" s="81">
        <v>0.0</v>
      </c>
      <c r="AO743" s="90"/>
      <c r="AP743" s="81">
        <v>0.0</v>
      </c>
      <c r="AQ743" s="81">
        <v>0.0</v>
      </c>
      <c r="AR743" s="39"/>
      <c r="AS743" s="81">
        <v>0.0</v>
      </c>
      <c r="AT743" s="81">
        <v>0.0</v>
      </c>
      <c r="AU743" s="39"/>
      <c r="AV743" s="82"/>
      <c r="AW743" s="82"/>
      <c r="AX743" s="82"/>
      <c r="AY743" s="7"/>
      <c r="AZ743" s="82"/>
      <c r="BA743" s="82"/>
      <c r="BB743" s="82"/>
      <c r="BC743" s="82"/>
      <c r="BD743" s="82"/>
      <c r="BE743" s="82"/>
      <c r="BF743" s="82"/>
      <c r="BG743" s="82"/>
      <c r="BH743" s="82"/>
      <c r="BI743" s="82"/>
      <c r="BJ743" s="82"/>
      <c r="BK743" s="82"/>
      <c r="BL743" s="82"/>
      <c r="BM743" s="82"/>
      <c r="BN743" s="7"/>
      <c r="BO743" s="7">
        <v>1.0</v>
      </c>
      <c r="BP743" s="82"/>
      <c r="BQ743" s="7"/>
      <c r="BR743" s="7" t="s">
        <v>23</v>
      </c>
    </row>
    <row r="744">
      <c r="A744" s="16">
        <v>72.0</v>
      </c>
      <c r="B744" s="16" t="s">
        <v>818</v>
      </c>
      <c r="C744" s="53">
        <v>1.0</v>
      </c>
      <c r="D744" s="53" t="s">
        <v>818</v>
      </c>
      <c r="E744" s="7">
        <v>582.0</v>
      </c>
      <c r="F744" s="53"/>
      <c r="G744" s="7"/>
      <c r="H744" s="16">
        <v>1.0</v>
      </c>
      <c r="I744" s="16">
        <v>1.0</v>
      </c>
      <c r="J744" s="39" t="s">
        <v>4747</v>
      </c>
      <c r="K744" s="53"/>
      <c r="L744" s="53"/>
      <c r="M744" s="39" t="str">
        <f t="shared" si="1"/>
        <v>[https://citeseerx.ist.psu.edu/viewdoc/download?doi=10.1.1.69.1933&amp;rep=rep1&amp;type=pdf Niedermeier, Rossmanith (1999)]</v>
      </c>
      <c r="N744" s="21" t="s">
        <v>4748</v>
      </c>
      <c r="O744" s="81">
        <v>1999.0</v>
      </c>
      <c r="P744" s="25" t="s">
        <v>4749</v>
      </c>
      <c r="Q744" s="82"/>
      <c r="R744" s="82"/>
      <c r="S744" s="82"/>
      <c r="T744" s="16">
        <v>1.0</v>
      </c>
      <c r="U744" s="16">
        <v>0.0</v>
      </c>
      <c r="V744" s="89">
        <f>IFERROR(__xludf.DUMMYFUNCTION("INDEX(SPLIT(SUBSTITUTE(W744,CHAR(10), """"),"",:""), MATCH(Z744, SPLIT(SUBSTITUTE(W744,CHAR(10), """"),"",:""), 0) + 1)"),8.0)</f>
        <v>8</v>
      </c>
      <c r="W744" s="85" t="s">
        <v>4708</v>
      </c>
      <c r="X744" s="39" t="s">
        <v>4747</v>
      </c>
      <c r="Y744" s="53" t="s">
        <v>4710</v>
      </c>
      <c r="Z744" s="53" t="str">
        <f t="array" ref="Z744">INDEX(Problems!J:J, MATCH(1, (Problems!B:B=B744)*1, 0))</f>
        <v>n</v>
      </c>
      <c r="AA744" s="53"/>
      <c r="AB744" s="53"/>
      <c r="AC744" s="53" t="s">
        <v>1813</v>
      </c>
      <c r="AD744" s="53" t="s">
        <v>1814</v>
      </c>
      <c r="AE744" s="85">
        <f>IFERROR(__xludf.DUMMYFUNCTION("INDEX(SPLIT(SUBSTITUTE(AF744,CHAR(10), """"),"",:""), MATCH(Z744, SPLIT(SUBSTITUTE(AF744,CHAR(10), """"),"",:""), 0) + 1)"),6.0)</f>
        <v>6</v>
      </c>
      <c r="AF744" s="85" t="s">
        <v>4724</v>
      </c>
      <c r="AG744" s="53" t="s">
        <v>4725</v>
      </c>
      <c r="AH744" s="53" t="s">
        <v>4738</v>
      </c>
      <c r="AI744" s="84">
        <v>1.0</v>
      </c>
      <c r="AJ744" s="84">
        <v>0.0</v>
      </c>
      <c r="AK744" s="87"/>
      <c r="AL744" s="81">
        <v>0.0</v>
      </c>
      <c r="AM744" s="87"/>
      <c r="AN744" s="81">
        <v>0.0</v>
      </c>
      <c r="AO744" s="90"/>
      <c r="AP744" s="81">
        <v>0.0</v>
      </c>
      <c r="AQ744" s="81">
        <v>0.0</v>
      </c>
      <c r="AR744" s="39"/>
      <c r="AS744" s="81">
        <v>0.0</v>
      </c>
      <c r="AT744" s="81">
        <v>0.0</v>
      </c>
      <c r="AU744" s="39"/>
      <c r="AV744" s="82"/>
      <c r="AW744" s="82"/>
      <c r="AX744" s="82"/>
      <c r="AY744" s="7"/>
      <c r="AZ744" s="82"/>
      <c r="BA744" s="82"/>
      <c r="BB744" s="82"/>
      <c r="BC744" s="82"/>
      <c r="BD744" s="82"/>
      <c r="BE744" s="82"/>
      <c r="BF744" s="82"/>
      <c r="BG744" s="82"/>
      <c r="BH744" s="82"/>
      <c r="BI744" s="82"/>
      <c r="BJ744" s="82"/>
      <c r="BK744" s="82"/>
      <c r="BL744" s="82"/>
      <c r="BM744" s="82"/>
      <c r="BN744" s="7"/>
      <c r="BO744" s="7">
        <v>1.0</v>
      </c>
      <c r="BP744" s="82"/>
      <c r="BQ744" s="7"/>
      <c r="BR744" s="7" t="s">
        <v>23</v>
      </c>
    </row>
    <row r="745">
      <c r="A745" s="16">
        <v>72.0</v>
      </c>
      <c r="B745" s="16" t="s">
        <v>818</v>
      </c>
      <c r="C745" s="53">
        <v>1.0</v>
      </c>
      <c r="D745" s="53" t="s">
        <v>818</v>
      </c>
      <c r="E745" s="7">
        <v>583.0</v>
      </c>
      <c r="F745" s="53"/>
      <c r="G745" s="7"/>
      <c r="H745" s="16">
        <v>1.0</v>
      </c>
      <c r="I745" s="16">
        <v>1.0</v>
      </c>
      <c r="J745" s="39" t="s">
        <v>4750</v>
      </c>
      <c r="K745" s="53"/>
      <c r="L745" s="53"/>
      <c r="M745" s="39" t="str">
        <f t="shared" si="1"/>
        <v>[https://citeseerx.ist.psu.edu/viewdoc/download?doi=10.1.1.12.4079&amp;rep=rep1&amp;type=pdf Downey (1998)]</v>
      </c>
      <c r="N745" s="16" t="s">
        <v>4751</v>
      </c>
      <c r="O745" s="81">
        <v>1998.0</v>
      </c>
      <c r="P745" s="25" t="s">
        <v>4752</v>
      </c>
      <c r="Q745" s="82"/>
      <c r="R745" s="82"/>
      <c r="S745" s="82"/>
      <c r="T745" s="16">
        <v>1.0</v>
      </c>
      <c r="U745" s="16">
        <v>0.0</v>
      </c>
      <c r="V745" s="89">
        <f>IFERROR(__xludf.DUMMYFUNCTION("INDEX(SPLIT(SUBSTITUTE(W745,CHAR(10), """"),"",:""), MATCH(Z745, SPLIT(SUBSTITUTE(W745,CHAR(10), """"),"",:""), 0) + 1)"),8.0)</f>
        <v>8</v>
      </c>
      <c r="W745" s="85" t="s">
        <v>4708</v>
      </c>
      <c r="X745" s="39" t="s">
        <v>4750</v>
      </c>
      <c r="Y745" s="53" t="s">
        <v>4710</v>
      </c>
      <c r="Z745" s="53" t="str">
        <f t="array" ref="Z745">INDEX(Problems!J:J, MATCH(1, (Problems!B:B=B745)*1, 0))</f>
        <v>n</v>
      </c>
      <c r="AA745" s="53"/>
      <c r="AB745" s="53"/>
      <c r="AC745" s="53" t="s">
        <v>1813</v>
      </c>
      <c r="AD745" s="53" t="s">
        <v>1814</v>
      </c>
      <c r="AE745" s="85">
        <f>IFERROR(__xludf.DUMMYFUNCTION("INDEX(SPLIT(SUBSTITUTE(AF745,CHAR(10), """"),"",:""), MATCH(Z745, SPLIT(SUBSTITUTE(AF745,CHAR(10), """"),"",:""), 0) + 1)"),6.0)</f>
        <v>6</v>
      </c>
      <c r="AF745" s="85" t="s">
        <v>4724</v>
      </c>
      <c r="AG745" s="53" t="s">
        <v>4725</v>
      </c>
      <c r="AH745" s="53" t="s">
        <v>4738</v>
      </c>
      <c r="AI745" s="84">
        <v>1.0</v>
      </c>
      <c r="AJ745" s="84">
        <v>0.0</v>
      </c>
      <c r="AK745" s="87"/>
      <c r="AL745" s="81">
        <v>0.0</v>
      </c>
      <c r="AM745" s="87"/>
      <c r="AN745" s="81">
        <v>0.0</v>
      </c>
      <c r="AO745" s="90"/>
      <c r="AP745" s="81">
        <v>0.0</v>
      </c>
      <c r="AQ745" s="81">
        <v>0.0</v>
      </c>
      <c r="AR745" s="39"/>
      <c r="AS745" s="81">
        <v>0.0</v>
      </c>
      <c r="AT745" s="81">
        <v>0.0</v>
      </c>
      <c r="AU745" s="39"/>
      <c r="AV745" s="82"/>
      <c r="AW745" s="82"/>
      <c r="AX745" s="82"/>
      <c r="AY745" s="7"/>
      <c r="AZ745" s="7"/>
      <c r="BA745" s="7"/>
      <c r="BB745" s="7"/>
      <c r="BC745" s="7"/>
      <c r="BD745" s="7"/>
      <c r="BE745" s="7"/>
      <c r="BF745" s="7" t="s">
        <v>1781</v>
      </c>
      <c r="BG745" s="7">
        <v>1.0</v>
      </c>
      <c r="BH745" s="7"/>
      <c r="BI745" s="7" t="s">
        <v>1781</v>
      </c>
      <c r="BJ745" s="7">
        <v>1.0</v>
      </c>
      <c r="BK745" s="7"/>
      <c r="BL745" s="7" t="s">
        <v>1781</v>
      </c>
      <c r="BM745" s="7">
        <v>1.0</v>
      </c>
      <c r="BN745" s="7"/>
      <c r="BO745" s="7">
        <v>1.0</v>
      </c>
      <c r="BP745" s="82"/>
      <c r="BQ745" s="7"/>
      <c r="BR745" s="7" t="s">
        <v>23</v>
      </c>
    </row>
    <row r="746">
      <c r="A746" s="16">
        <v>73.0</v>
      </c>
      <c r="B746" s="6" t="s">
        <v>828</v>
      </c>
      <c r="C746" s="53">
        <v>1.0</v>
      </c>
      <c r="D746" s="53" t="s">
        <v>836</v>
      </c>
      <c r="E746" s="7">
        <v>584.0</v>
      </c>
      <c r="F746" s="53"/>
      <c r="G746" s="7"/>
      <c r="H746" s="16">
        <v>1.0</v>
      </c>
      <c r="I746" s="16">
        <v>1.0</v>
      </c>
      <c r="J746" s="39" t="s">
        <v>4753</v>
      </c>
      <c r="K746" s="53"/>
      <c r="L746" s="53"/>
      <c r="M746" s="39" t="str">
        <f t="shared" si="1"/>
        <v>[https://core.ac.uk/download/pdf/158319955.pdf Cocke–Younger–Kasami algorithm (1968)]</v>
      </c>
      <c r="N746" s="39" t="s">
        <v>4754</v>
      </c>
      <c r="O746" s="83">
        <v>1968.0</v>
      </c>
      <c r="P746" s="49" t="s">
        <v>4755</v>
      </c>
      <c r="Q746" s="82"/>
      <c r="R746" s="82"/>
      <c r="S746" s="82"/>
      <c r="T746" s="16">
        <v>1.0</v>
      </c>
      <c r="U746" s="16">
        <v>0.0</v>
      </c>
      <c r="V746" s="89">
        <f>IFERROR(__xludf.DUMMYFUNCTION("INDEX(SPLIT(SUBSTITUTE(W746,CHAR(10), """"),"",:""), MATCH(Z746, SPLIT(SUBSTITUTE(W746,CHAR(10), """"),"",:""), 0) + 1)"),6.0)</f>
        <v>6</v>
      </c>
      <c r="W746" s="85" t="s">
        <v>4756</v>
      </c>
      <c r="X746" s="39" t="s">
        <v>4753</v>
      </c>
      <c r="Y746" s="53" t="s">
        <v>4757</v>
      </c>
      <c r="Z746" s="53" t="str">
        <f t="array" ref="Z746">INDEX(Problems!J:J, MATCH(1, (Problems!B:B=B746)*1, 0))</f>
        <v>n</v>
      </c>
      <c r="AA746" s="53"/>
      <c r="AB746" s="53"/>
      <c r="AC746" s="53" t="s">
        <v>4758</v>
      </c>
      <c r="AD746" s="53" t="s">
        <v>4759</v>
      </c>
      <c r="AE746" s="85">
        <f>IFERROR(__xludf.DUMMYFUNCTION("INDEX(SPLIT(SUBSTITUTE(AF746,CHAR(10), """"),"",:""), MATCH(Z746, SPLIT(SUBSTITUTE(AF746,CHAR(10), """"),"",:""), 0) + 1)"),5.0)</f>
        <v>5</v>
      </c>
      <c r="AF746" s="85" t="s">
        <v>1938</v>
      </c>
      <c r="AG746" s="53" t="s">
        <v>115</v>
      </c>
      <c r="AH746" s="91" t="s">
        <v>4755</v>
      </c>
      <c r="AI746" s="21">
        <v>0.0</v>
      </c>
      <c r="AJ746" s="84">
        <v>1.0</v>
      </c>
      <c r="AK746" s="21"/>
      <c r="AL746" s="16">
        <v>0.0</v>
      </c>
      <c r="AM746" s="21"/>
      <c r="AN746" s="16">
        <v>0.0</v>
      </c>
      <c r="AO746" s="90"/>
      <c r="AP746" s="16">
        <v>0.0</v>
      </c>
      <c r="AQ746" s="16">
        <v>0.0</v>
      </c>
      <c r="AR746" s="39"/>
      <c r="AS746" s="81">
        <v>0.0</v>
      </c>
      <c r="AT746" s="81">
        <v>0.0</v>
      </c>
      <c r="AU746" s="39"/>
      <c r="AV746" s="82"/>
      <c r="AW746" s="82"/>
      <c r="AX746" s="82"/>
      <c r="AY746" s="7" t="s">
        <v>4760</v>
      </c>
      <c r="AZ746" s="82"/>
      <c r="BA746" s="82"/>
      <c r="BB746" s="82"/>
      <c r="BC746" s="82"/>
      <c r="BD746" s="82"/>
      <c r="BE746" s="82"/>
      <c r="BF746" s="82">
        <f>POW(1000,3)*100</f>
        <v>100000000000</v>
      </c>
      <c r="BG746" s="7">
        <v>1.0</v>
      </c>
      <c r="BH746" s="82"/>
      <c r="BI746" s="82">
        <f>POW(1000000,3)*100</f>
        <v>1E+20</v>
      </c>
      <c r="BJ746" s="7">
        <v>1.0</v>
      </c>
      <c r="BK746" s="82"/>
      <c r="BL746" s="82">
        <f>POW(1000000000,3)*100</f>
        <v>1E+29</v>
      </c>
      <c r="BM746" s="7">
        <v>1.0</v>
      </c>
      <c r="BN746" s="7"/>
      <c r="BO746" s="7">
        <v>3.0</v>
      </c>
      <c r="BP746" s="82"/>
      <c r="BQ746" s="7"/>
      <c r="BR746" s="53" t="s">
        <v>23</v>
      </c>
    </row>
    <row r="747">
      <c r="A747" s="16">
        <v>73.0</v>
      </c>
      <c r="B747" s="6" t="s">
        <v>828</v>
      </c>
      <c r="C747" s="53">
        <v>1.0</v>
      </c>
      <c r="D747" s="53" t="s">
        <v>836</v>
      </c>
      <c r="E747" s="7">
        <v>585.0</v>
      </c>
      <c r="F747" s="53"/>
      <c r="G747" s="7"/>
      <c r="H747" s="16">
        <v>1.0</v>
      </c>
      <c r="I747" s="16">
        <v>1.0</v>
      </c>
      <c r="J747" s="21" t="s">
        <v>4761</v>
      </c>
      <c r="K747" s="53"/>
      <c r="L747" s="53"/>
      <c r="M747" s="39" t="str">
        <f t="shared" si="1"/>
        <v>[https://linkinghub.elsevier.com/retrieve/pii/S0022000075800468 Valiant (1975)]</v>
      </c>
      <c r="N747" s="16" t="s">
        <v>4762</v>
      </c>
      <c r="O747" s="81">
        <v>1975.0</v>
      </c>
      <c r="P747" s="17" t="s">
        <v>839</v>
      </c>
      <c r="Q747" s="82"/>
      <c r="R747" s="82"/>
      <c r="S747" s="82"/>
      <c r="T747" s="16">
        <v>1.0</v>
      </c>
      <c r="U747" s="16">
        <v>0.0</v>
      </c>
      <c r="V747" s="89">
        <f>IFERROR(__xludf.DUMMYFUNCTION("INDEX(SPLIT(SUBSTITUTE(W747,CHAR(10), """"),"",:""), MATCH(Z747, SPLIT(SUBSTITUTE(W747,CHAR(10), """"),"",:""), 0) + 1)"),5.3728596)</f>
        <v>5.3728596</v>
      </c>
      <c r="W747" s="85" t="s">
        <v>4763</v>
      </c>
      <c r="X747" s="21" t="s">
        <v>4764</v>
      </c>
      <c r="Y747" s="53" t="s">
        <v>4757</v>
      </c>
      <c r="Z747" s="53" t="str">
        <f t="array" ref="Z747">INDEX(Problems!J:J, MATCH(1, (Problems!B:B=B747)*1, 0))</f>
        <v>n</v>
      </c>
      <c r="AA747" s="53"/>
      <c r="AB747" s="53"/>
      <c r="AC747" s="53" t="s">
        <v>4765</v>
      </c>
      <c r="AD747" s="53" t="s">
        <v>4766</v>
      </c>
      <c r="AE747" s="85">
        <f>IFERROR(__xludf.DUMMYFUNCTION("INDEX(SPLIT(SUBSTITUTE(AF747,CHAR(10), """"),"",:""), MATCH(Z747, SPLIT(SUBSTITUTE(AF747,CHAR(10), """"),"",:""), 0) + 1)"),5.0)</f>
        <v>5</v>
      </c>
      <c r="AF747" s="85" t="s">
        <v>1938</v>
      </c>
      <c r="AG747" s="53" t="s">
        <v>2615</v>
      </c>
      <c r="AH747" s="53" t="s">
        <v>4767</v>
      </c>
      <c r="AI747" s="21">
        <v>1.0</v>
      </c>
      <c r="AJ747" s="84">
        <v>0.0</v>
      </c>
      <c r="AK747" s="21"/>
      <c r="AL747" s="16">
        <v>0.0</v>
      </c>
      <c r="AM747" s="21"/>
      <c r="AN747" s="16">
        <v>0.0</v>
      </c>
      <c r="AO747" s="90"/>
      <c r="AP747" s="16">
        <v>0.0</v>
      </c>
      <c r="AQ747" s="16">
        <v>0.0</v>
      </c>
      <c r="AR747" s="39"/>
      <c r="AS747" s="81">
        <v>0.0</v>
      </c>
      <c r="AT747" s="81">
        <v>0.0</v>
      </c>
      <c r="AU747" s="39"/>
      <c r="AV747" s="82"/>
      <c r="AW747" s="82"/>
      <c r="AX747" s="82"/>
      <c r="AY747" s="7"/>
      <c r="AZ747" s="82"/>
      <c r="BA747" s="82"/>
      <c r="BB747" s="82"/>
      <c r="BC747" s="82"/>
      <c r="BD747" s="82"/>
      <c r="BE747" s="82"/>
      <c r="BF747" s="82">
        <f>POW(1000,2.38)*100</f>
        <v>1380384265</v>
      </c>
      <c r="BG747" s="82">
        <f>BF746/BF747</f>
        <v>72.44359601</v>
      </c>
      <c r="BH747" s="82">
        <f>POW(BG747,1/($O747-$O746)) - 1</f>
        <v>0.8438020169</v>
      </c>
      <c r="BI747" s="82">
        <f>POW(1000000,2.38)*100</f>
        <v>1.90546E+16</v>
      </c>
      <c r="BJ747" s="82">
        <f>BI746/BI747</f>
        <v>5248.074602</v>
      </c>
      <c r="BK747" s="82">
        <f>POW(BJ747,1/($O747-$O746)) - 1</f>
        <v>2.399605878</v>
      </c>
      <c r="BL747" s="82">
        <f>POW(1000000000,2.38)*100</f>
        <v>2.63027E+23</v>
      </c>
      <c r="BM747" s="82">
        <f>BL746/BL747</f>
        <v>380189.3963</v>
      </c>
      <c r="BN747" s="82">
        <f>POW(BM747,1/($O747-$O746)) - 1</f>
        <v>5.268200174</v>
      </c>
      <c r="BO747" s="7">
        <v>3.0</v>
      </c>
      <c r="BP747" s="82"/>
      <c r="BQ747" s="7"/>
      <c r="BR747" s="53" t="s">
        <v>23</v>
      </c>
    </row>
    <row r="748">
      <c r="A748" s="16">
        <v>73.0</v>
      </c>
      <c r="B748" s="6" t="s">
        <v>828</v>
      </c>
      <c r="C748" s="53">
        <v>2.0</v>
      </c>
      <c r="D748" s="165" t="s">
        <v>829</v>
      </c>
      <c r="E748" s="7">
        <v>586.0</v>
      </c>
      <c r="F748" s="53"/>
      <c r="G748" s="7"/>
      <c r="H748" s="16">
        <v>1.0</v>
      </c>
      <c r="I748" s="16">
        <v>1.0</v>
      </c>
      <c r="J748" s="39" t="s">
        <v>834</v>
      </c>
      <c r="K748" s="53"/>
      <c r="L748" s="53"/>
      <c r="M748" s="39" t="str">
        <f t="shared" si="1"/>
        <v>[https://web.archive.org/web/20040708052627/http://www-2.cs.cmu.edu/afs/cs.cmu.edu/project/cmt-55/lti/Courses/711/Class-notes/p94-earley.pdf Earley parser (1968)]</v>
      </c>
      <c r="N748" s="39" t="s">
        <v>4768</v>
      </c>
      <c r="O748" s="81">
        <v>1968.0</v>
      </c>
      <c r="P748" s="96" t="s">
        <v>4769</v>
      </c>
      <c r="Q748" s="82"/>
      <c r="R748" s="82"/>
      <c r="S748" s="82"/>
      <c r="T748" s="16">
        <v>1.0</v>
      </c>
      <c r="U748" s="16">
        <v>0.0</v>
      </c>
      <c r="V748" s="89">
        <f>IFERROR(__xludf.DUMMYFUNCTION("INDEX(SPLIT(SUBSTITUTE(W748,CHAR(10), """"),"",:""), MATCH(Z748, SPLIT(SUBSTITUTE(W748,CHAR(10), """"),"",:""), 0) + 1)"),6.0)</f>
        <v>6</v>
      </c>
      <c r="W748" s="85" t="s">
        <v>2008</v>
      </c>
      <c r="X748" s="39" t="s">
        <v>834</v>
      </c>
      <c r="Y748" s="53" t="s">
        <v>4770</v>
      </c>
      <c r="Z748" s="53" t="str">
        <f t="array" ref="Z748">INDEX(Problems!J:J, MATCH(1, (Problems!B:B=B748)*1, 0))</f>
        <v>n</v>
      </c>
      <c r="AA748" s="53"/>
      <c r="AB748" s="53"/>
      <c r="AC748" s="53" t="s">
        <v>1813</v>
      </c>
      <c r="AD748" s="53" t="s">
        <v>1814</v>
      </c>
      <c r="AE748" s="85">
        <f>IFERROR(__xludf.DUMMYFUNCTION("INDEX(SPLIT(SUBSTITUTE(AF748,CHAR(10), """"),"",:""), MATCH(Z748, SPLIT(SUBSTITUTE(AF748,CHAR(10), """"),"",:""), 0) + 1)"),5.0)</f>
        <v>5</v>
      </c>
      <c r="AF748" s="85" t="s">
        <v>1938</v>
      </c>
      <c r="AG748" s="53" t="s">
        <v>115</v>
      </c>
      <c r="AH748" s="96" t="s">
        <v>4769</v>
      </c>
      <c r="AI748" s="21">
        <v>0.0</v>
      </c>
      <c r="AJ748" s="84">
        <v>1.0</v>
      </c>
      <c r="AK748" s="21"/>
      <c r="AL748" s="16">
        <v>0.0</v>
      </c>
      <c r="AM748" s="21"/>
      <c r="AN748" s="16">
        <v>0.0</v>
      </c>
      <c r="AO748" s="90"/>
      <c r="AP748" s="16">
        <v>0.0</v>
      </c>
      <c r="AQ748" s="16">
        <v>0.0</v>
      </c>
      <c r="AR748" s="39"/>
      <c r="AS748" s="81">
        <v>0.0</v>
      </c>
      <c r="AT748" s="81">
        <v>0.0</v>
      </c>
      <c r="AU748" s="39"/>
      <c r="AV748" s="82"/>
      <c r="AW748" s="82"/>
      <c r="AX748" s="82"/>
      <c r="AY748" s="7"/>
      <c r="AZ748" s="7"/>
      <c r="BA748" s="7"/>
      <c r="BB748" s="7"/>
      <c r="BC748" s="7"/>
      <c r="BD748" s="7"/>
      <c r="BE748" s="7"/>
      <c r="BF748" s="7">
        <v>1.0E9</v>
      </c>
      <c r="BG748" s="82">
        <f>BF746/BF748</f>
        <v>100</v>
      </c>
      <c r="BH748" s="82"/>
      <c r="BI748" s="82">
        <f>POW(1000000,3)</f>
        <v>1E+18</v>
      </c>
      <c r="BJ748" s="82">
        <f>BI746/BI748</f>
        <v>100</v>
      </c>
      <c r="BK748" s="82"/>
      <c r="BL748" s="82">
        <f>POW(1000000000,3)</f>
        <v>1E+27</v>
      </c>
      <c r="BM748" s="7">
        <v>100.0</v>
      </c>
      <c r="BN748" s="7"/>
      <c r="BO748" s="7">
        <v>3.0</v>
      </c>
      <c r="BP748" s="82"/>
      <c r="BQ748" s="7"/>
      <c r="BR748" s="53" t="s">
        <v>23</v>
      </c>
    </row>
    <row r="749">
      <c r="A749" s="16">
        <v>73.0</v>
      </c>
      <c r="B749" s="6" t="s">
        <v>828</v>
      </c>
      <c r="C749" s="53">
        <v>2.0</v>
      </c>
      <c r="D749" s="165" t="s">
        <v>829</v>
      </c>
      <c r="E749" s="7">
        <v>587.0</v>
      </c>
      <c r="F749" s="53"/>
      <c r="G749" s="7"/>
      <c r="H749" s="16">
        <v>1.0</v>
      </c>
      <c r="I749" s="16">
        <v>1.0</v>
      </c>
      <c r="J749" s="39" t="s">
        <v>834</v>
      </c>
      <c r="K749" s="53"/>
      <c r="L749" s="53"/>
      <c r="M749" s="39" t="str">
        <f t="shared" si="1"/>
        <v>[https://link.springer.com/chapter/10.1007%2F978-3-662-21545-6_18 GLR parser (1974)]</v>
      </c>
      <c r="N749" s="39" t="s">
        <v>4771</v>
      </c>
      <c r="O749" s="81">
        <v>1974.0</v>
      </c>
      <c r="P749" s="25" t="s">
        <v>835</v>
      </c>
      <c r="Q749" s="82"/>
      <c r="R749" s="82"/>
      <c r="S749" s="82"/>
      <c r="T749" s="16">
        <v>0.0</v>
      </c>
      <c r="U749" s="16">
        <v>0.0</v>
      </c>
      <c r="V749" s="89">
        <f>IFERROR(__xludf.DUMMYFUNCTION("INDEX(SPLIT(SUBSTITUTE(W749,CHAR(10), """"),"",:""), MATCH(Z749, SPLIT(SUBSTITUTE(W749,CHAR(10), """"),"",:""), 0) + 1)"),6.0)</f>
        <v>6</v>
      </c>
      <c r="W749" s="85" t="s">
        <v>2008</v>
      </c>
      <c r="X749" s="39" t="s">
        <v>834</v>
      </c>
      <c r="Y749" s="53" t="s">
        <v>4770</v>
      </c>
      <c r="Z749" s="53" t="str">
        <f t="array" ref="Z749">INDEX(Problems!J:J, MATCH(1, (Problems!B:B=B749)*1, 0))</f>
        <v>n</v>
      </c>
      <c r="AA749" s="53"/>
      <c r="AB749" s="53"/>
      <c r="AC749" s="53" t="s">
        <v>4772</v>
      </c>
      <c r="AD749" s="53" t="s">
        <v>1814</v>
      </c>
      <c r="AE749" s="85">
        <f>IFERROR(__xludf.DUMMYFUNCTION("INDEX(SPLIT(SUBSTITUTE(AF749,CHAR(10), """"),"",:""), MATCH(Z749, SPLIT(SUBSTITUTE(AF749,CHAR(10), """"),"",:""), 0) + 1)"),6.0)</f>
        <v>6</v>
      </c>
      <c r="AF749" s="85" t="s">
        <v>2008</v>
      </c>
      <c r="AG749" s="53" t="s">
        <v>834</v>
      </c>
      <c r="AH749" s="91" t="s">
        <v>835</v>
      </c>
      <c r="AI749" s="21">
        <v>0.0</v>
      </c>
      <c r="AJ749" s="84">
        <v>1.0</v>
      </c>
      <c r="AK749" s="21"/>
      <c r="AL749" s="16">
        <v>0.0</v>
      </c>
      <c r="AM749" s="21"/>
      <c r="AN749" s="16">
        <v>0.0</v>
      </c>
      <c r="AO749" s="90"/>
      <c r="AP749" s="16">
        <v>0.0</v>
      </c>
      <c r="AQ749" s="16">
        <v>0.0</v>
      </c>
      <c r="AR749" s="39"/>
      <c r="AS749" s="81">
        <v>0.0</v>
      </c>
      <c r="AT749" s="81">
        <v>0.0</v>
      </c>
      <c r="AU749" s="39"/>
      <c r="AV749" s="82"/>
      <c r="AW749" s="82"/>
      <c r="AX749" s="82"/>
      <c r="AY749" s="7"/>
      <c r="AZ749" s="7"/>
      <c r="BA749" s="7"/>
      <c r="BB749" s="7"/>
      <c r="BC749" s="7"/>
      <c r="BD749" s="7"/>
      <c r="BE749" s="7"/>
      <c r="BF749" s="7">
        <v>1.0E9</v>
      </c>
      <c r="BG749" s="82"/>
      <c r="BH749" s="82"/>
      <c r="BI749" s="82"/>
      <c r="BJ749" s="82"/>
      <c r="BK749" s="82"/>
      <c r="BL749" s="82"/>
      <c r="BM749" s="82"/>
      <c r="BN749" s="7"/>
      <c r="BO749" s="7">
        <v>3.0</v>
      </c>
      <c r="BP749" s="82"/>
      <c r="BQ749" s="7"/>
      <c r="BR749" s="53" t="s">
        <v>23</v>
      </c>
    </row>
    <row r="750">
      <c r="A750" s="16">
        <v>74.0</v>
      </c>
      <c r="B750" s="16" t="s">
        <v>840</v>
      </c>
      <c r="C750" s="53">
        <v>2.0</v>
      </c>
      <c r="D750" s="53" t="s">
        <v>840</v>
      </c>
      <c r="E750" s="7">
        <v>588.0</v>
      </c>
      <c r="F750" s="53"/>
      <c r="G750" s="7"/>
      <c r="H750" s="16">
        <v>1.0</v>
      </c>
      <c r="I750" s="16">
        <v>1.0</v>
      </c>
      <c r="J750" s="21" t="s">
        <v>115</v>
      </c>
      <c r="K750" s="53"/>
      <c r="L750" s="53"/>
      <c r="M750" s="39" t="str">
        <f t="shared" si="1"/>
        <v>[http://www.vldb.org/conf/1994/P487.PDF A-Priori algorithm (1994)]</v>
      </c>
      <c r="N750" s="39" t="s">
        <v>4773</v>
      </c>
      <c r="O750" s="81">
        <v>1994.0</v>
      </c>
      <c r="P750" s="17" t="s">
        <v>4774</v>
      </c>
      <c r="Q750" s="82"/>
      <c r="R750" s="82"/>
      <c r="S750" s="82"/>
      <c r="T750" s="16">
        <v>1.0</v>
      </c>
      <c r="U750" s="16">
        <v>0.0</v>
      </c>
      <c r="V750" s="89">
        <f>IFERROR(__xludf.DUMMYFUNCTION("INDEX(SPLIT(SUBSTITUTE(W750,CHAR(10), """"),"",:""), MATCH(Z750, SPLIT(SUBSTITUTE(W750,CHAR(10), """"),"",:""), 0) + 1)"),5.0)</f>
        <v>5</v>
      </c>
      <c r="W750" s="85" t="s">
        <v>1938</v>
      </c>
      <c r="X750" s="21" t="s">
        <v>115</v>
      </c>
      <c r="Y750" s="53" t="s">
        <v>4775</v>
      </c>
      <c r="Z750" s="53" t="str">
        <f t="array" ref="Z750">INDEX(Problems!J:J, MATCH(1, (Problems!B:B=B750)*1, 0))</f>
        <v>n</v>
      </c>
      <c r="AA750" s="53"/>
      <c r="AB750" s="53"/>
      <c r="AC750" s="53" t="s">
        <v>1813</v>
      </c>
      <c r="AD750" s="53" t="s">
        <v>1814</v>
      </c>
      <c r="AE750" s="85">
        <f>IFERROR(__xludf.DUMMYFUNCTION("INDEX(SPLIT(SUBSTITUTE(AF750,CHAR(10), """"),"",:""), MATCH(Z750, SPLIT(SUBSTITUTE(AF750,CHAR(10), """"),"",:""), 0) + 1)"),5.0)</f>
        <v>5</v>
      </c>
      <c r="AF750" s="85" t="s">
        <v>1938</v>
      </c>
      <c r="AG750" s="53" t="s">
        <v>115</v>
      </c>
      <c r="AH750" s="91" t="s">
        <v>4776</v>
      </c>
      <c r="AI750" s="21">
        <v>0.0</v>
      </c>
      <c r="AJ750" s="84">
        <v>0.0</v>
      </c>
      <c r="AK750" s="21"/>
      <c r="AL750" s="16">
        <v>0.0</v>
      </c>
      <c r="AM750" s="21"/>
      <c r="AN750" s="16">
        <v>0.0</v>
      </c>
      <c r="AO750" s="90"/>
      <c r="AP750" s="16">
        <v>0.0</v>
      </c>
      <c r="AQ750" s="16">
        <v>0.0</v>
      </c>
      <c r="AR750" s="39"/>
      <c r="AS750" s="81">
        <v>0.0</v>
      </c>
      <c r="AT750" s="81">
        <v>0.0</v>
      </c>
      <c r="AU750" s="25" t="s">
        <v>4777</v>
      </c>
      <c r="AV750" s="82"/>
      <c r="AW750" s="82"/>
      <c r="AX750" s="82"/>
      <c r="AY750" s="7"/>
      <c r="AZ750" s="7"/>
      <c r="BA750" s="7"/>
      <c r="BB750" s="7"/>
      <c r="BC750" s="7"/>
      <c r="BD750" s="7"/>
      <c r="BE750" s="7"/>
      <c r="BF750" s="7" t="s">
        <v>1781</v>
      </c>
      <c r="BG750" s="7">
        <v>1.0</v>
      </c>
      <c r="BH750" s="7"/>
      <c r="BI750" s="7" t="s">
        <v>1781</v>
      </c>
      <c r="BJ750" s="7">
        <v>1.0</v>
      </c>
      <c r="BK750" s="7"/>
      <c r="BL750" s="7" t="s">
        <v>1781</v>
      </c>
      <c r="BM750" s="7">
        <v>1.0</v>
      </c>
      <c r="BN750" s="7"/>
      <c r="BO750" s="7">
        <v>1.0</v>
      </c>
      <c r="BP750" s="82"/>
      <c r="BQ750" s="7"/>
      <c r="BR750" s="7" t="s">
        <v>23</v>
      </c>
    </row>
    <row r="751">
      <c r="A751" s="16">
        <v>74.0</v>
      </c>
      <c r="B751" s="16" t="s">
        <v>840</v>
      </c>
      <c r="C751" s="53">
        <v>1.0</v>
      </c>
      <c r="D751" s="53" t="s">
        <v>840</v>
      </c>
      <c r="E751" s="7">
        <v>589.0</v>
      </c>
      <c r="F751" s="53"/>
      <c r="G751" s="7"/>
      <c r="H751" s="16">
        <v>1.0</v>
      </c>
      <c r="I751" s="16">
        <v>1.0</v>
      </c>
      <c r="J751" s="21" t="s">
        <v>115</v>
      </c>
      <c r="K751" s="53"/>
      <c r="L751" s="53"/>
      <c r="M751" s="39" t="str">
        <f t="shared" si="1"/>
        <v>[https://dl.acm.org/doi/abs/10.1145/568271.223813 The Algorithm of Park; Chen; and Yu (PCY) (1995)]</v>
      </c>
      <c r="N751" s="16" t="s">
        <v>4778</v>
      </c>
      <c r="O751" s="84">
        <v>1995.0</v>
      </c>
      <c r="P751" s="96" t="s">
        <v>4779</v>
      </c>
      <c r="Q751" s="82"/>
      <c r="R751" s="82"/>
      <c r="S751" s="82"/>
      <c r="T751" s="16">
        <v>0.0</v>
      </c>
      <c r="U751" s="16">
        <v>0.0</v>
      </c>
      <c r="V751" s="89">
        <f>IFERROR(__xludf.DUMMYFUNCTION("INDEX(SPLIT(SUBSTITUTE(W751,CHAR(10), """"),"",:""), MATCH(Z751, SPLIT(SUBSTITUTE(W751,CHAR(10), """"),"",:""), 0) + 1)"),5.0)</f>
        <v>5</v>
      </c>
      <c r="W751" s="85" t="s">
        <v>1938</v>
      </c>
      <c r="X751" s="21" t="s">
        <v>115</v>
      </c>
      <c r="Y751" s="53" t="s">
        <v>4775</v>
      </c>
      <c r="Z751" s="53" t="str">
        <f t="array" ref="Z751">INDEX(Problems!J:J, MATCH(1, (Problems!B:B=B751)*1, 0))</f>
        <v>n</v>
      </c>
      <c r="AA751" s="53"/>
      <c r="AB751" s="53"/>
      <c r="AC751" s="53" t="s">
        <v>1813</v>
      </c>
      <c r="AD751" s="53" t="s">
        <v>1814</v>
      </c>
      <c r="AE751" s="85">
        <f>IFERROR(__xludf.DUMMYFUNCTION("INDEX(SPLIT(SUBSTITUTE(AF751,CHAR(10), """"),"",:""), MATCH(Z751, SPLIT(SUBSTITUTE(AF751,CHAR(10), """"),"",:""), 0) + 1)"),5.0)</f>
        <v>5</v>
      </c>
      <c r="AF751" s="85" t="s">
        <v>1938</v>
      </c>
      <c r="AG751" s="53" t="s">
        <v>115</v>
      </c>
      <c r="AH751" s="53" t="s">
        <v>4780</v>
      </c>
      <c r="AI751" s="21">
        <v>1.0</v>
      </c>
      <c r="AJ751" s="84">
        <v>0.0</v>
      </c>
      <c r="AK751" s="21"/>
      <c r="AL751" s="16">
        <v>0.0</v>
      </c>
      <c r="AM751" s="21"/>
      <c r="AN751" s="16">
        <v>0.0</v>
      </c>
      <c r="AO751" s="90"/>
      <c r="AP751" s="16">
        <v>0.0</v>
      </c>
      <c r="AQ751" s="16">
        <v>0.0</v>
      </c>
      <c r="AR751" s="39"/>
      <c r="AS751" s="81">
        <v>0.0</v>
      </c>
      <c r="AT751" s="81">
        <v>0.0</v>
      </c>
      <c r="AU751" s="25" t="s">
        <v>4781</v>
      </c>
      <c r="AV751" s="82"/>
      <c r="AW751" s="82"/>
      <c r="AX751" s="82"/>
      <c r="AY751" s="7"/>
      <c r="AZ751" s="7"/>
      <c r="BA751" s="7"/>
      <c r="BB751" s="7"/>
      <c r="BC751" s="7"/>
      <c r="BD751" s="7"/>
      <c r="BE751" s="7"/>
      <c r="BF751" s="7" t="s">
        <v>1781</v>
      </c>
      <c r="BG751" s="82"/>
      <c r="BH751" s="82"/>
      <c r="BI751" s="82"/>
      <c r="BJ751" s="82"/>
      <c r="BK751" s="82"/>
      <c r="BL751" s="82"/>
      <c r="BM751" s="82"/>
      <c r="BN751" s="7"/>
      <c r="BO751" s="7">
        <v>1.0</v>
      </c>
      <c r="BP751" s="82"/>
      <c r="BQ751" s="7"/>
      <c r="BR751" s="7" t="s">
        <v>23</v>
      </c>
    </row>
    <row r="752">
      <c r="A752" s="16">
        <v>74.0</v>
      </c>
      <c r="B752" s="16" t="s">
        <v>840</v>
      </c>
      <c r="C752" s="53">
        <v>1.0</v>
      </c>
      <c r="D752" s="53" t="s">
        <v>840</v>
      </c>
      <c r="E752" s="7">
        <v>590.0</v>
      </c>
      <c r="F752" s="53"/>
      <c r="G752" s="7"/>
      <c r="H752" s="16">
        <v>1.0</v>
      </c>
      <c r="I752" s="16">
        <v>1.0</v>
      </c>
      <c r="J752" s="21" t="s">
        <v>115</v>
      </c>
      <c r="K752" s="53"/>
      <c r="L752" s="53"/>
      <c r="M752" s="39" t="str">
        <f t="shared" si="1"/>
        <v>[http://ilpubs.stanford.edu:8090/423/ The Multistage Algorithm (1999)]</v>
      </c>
      <c r="N752" s="39" t="s">
        <v>4782</v>
      </c>
      <c r="O752" s="84">
        <v>1999.0</v>
      </c>
      <c r="P752" s="96" t="s">
        <v>4783</v>
      </c>
      <c r="Q752" s="82"/>
      <c r="R752" s="82"/>
      <c r="S752" s="82"/>
      <c r="T752" s="16">
        <v>0.0</v>
      </c>
      <c r="U752" s="16">
        <v>0.0</v>
      </c>
      <c r="V752" s="89">
        <f>IFERROR(__xludf.DUMMYFUNCTION("INDEX(SPLIT(SUBSTITUTE(W752,CHAR(10), """"),"",:""), MATCH(Z752, SPLIT(SUBSTITUTE(W752,CHAR(10), """"),"",:""), 0) + 1)"),5.0)</f>
        <v>5</v>
      </c>
      <c r="W752" s="85" t="s">
        <v>1938</v>
      </c>
      <c r="X752" s="21" t="s">
        <v>115</v>
      </c>
      <c r="Y752" s="53" t="s">
        <v>4775</v>
      </c>
      <c r="Z752" s="53" t="str">
        <f t="array" ref="Z752">INDEX(Problems!J:J, MATCH(1, (Problems!B:B=B752)*1, 0))</f>
        <v>n</v>
      </c>
      <c r="AA752" s="53"/>
      <c r="AB752" s="53"/>
      <c r="AC752" s="53" t="s">
        <v>1813</v>
      </c>
      <c r="AD752" s="53" t="s">
        <v>1814</v>
      </c>
      <c r="AE752" s="85">
        <f>IFERROR(__xludf.DUMMYFUNCTION("INDEX(SPLIT(SUBSTITUTE(AF752,CHAR(10), """"),"",:""), MATCH(Z752, SPLIT(SUBSTITUTE(AF752,CHAR(10), """"),"",:""), 0) + 1)"),5.0)</f>
        <v>5</v>
      </c>
      <c r="AF752" s="85" t="s">
        <v>1938</v>
      </c>
      <c r="AG752" s="53" t="s">
        <v>115</v>
      </c>
      <c r="AH752" s="53" t="s">
        <v>4780</v>
      </c>
      <c r="AI752" s="21">
        <v>1.0</v>
      </c>
      <c r="AJ752" s="84">
        <v>0.0</v>
      </c>
      <c r="AK752" s="21"/>
      <c r="AL752" s="16">
        <v>0.0</v>
      </c>
      <c r="AM752" s="21"/>
      <c r="AN752" s="16">
        <v>0.0</v>
      </c>
      <c r="AO752" s="90"/>
      <c r="AP752" s="16">
        <v>0.0</v>
      </c>
      <c r="AQ752" s="16">
        <v>0.0</v>
      </c>
      <c r="AR752" s="39"/>
      <c r="AS752" s="81">
        <v>0.0</v>
      </c>
      <c r="AT752" s="81">
        <v>0.0</v>
      </c>
      <c r="AU752" s="39"/>
      <c r="AV752" s="82"/>
      <c r="AW752" s="82"/>
      <c r="AX752" s="82"/>
      <c r="AY752" s="7"/>
      <c r="AZ752" s="7"/>
      <c r="BA752" s="7"/>
      <c r="BB752" s="7"/>
      <c r="BC752" s="7"/>
      <c r="BD752" s="7"/>
      <c r="BE752" s="7"/>
      <c r="BF752" s="7" t="s">
        <v>1781</v>
      </c>
      <c r="BG752" s="82"/>
      <c r="BH752" s="82"/>
      <c r="BI752" s="82"/>
      <c r="BJ752" s="82"/>
      <c r="BK752" s="82"/>
      <c r="BL752" s="82"/>
      <c r="BM752" s="82"/>
      <c r="BN752" s="7"/>
      <c r="BO752" s="7">
        <v>1.0</v>
      </c>
      <c r="BP752" s="82"/>
      <c r="BQ752" s="7"/>
      <c r="BR752" s="7" t="s">
        <v>23</v>
      </c>
    </row>
    <row r="753">
      <c r="A753" s="16">
        <v>74.0</v>
      </c>
      <c r="B753" s="16" t="s">
        <v>840</v>
      </c>
      <c r="C753" s="53">
        <v>1.0</v>
      </c>
      <c r="D753" s="53" t="s">
        <v>840</v>
      </c>
      <c r="E753" s="7">
        <v>591.0</v>
      </c>
      <c r="F753" s="53"/>
      <c r="G753" s="7"/>
      <c r="H753" s="16">
        <v>1.0</v>
      </c>
      <c r="I753" s="16">
        <v>1.0</v>
      </c>
      <c r="J753" s="21" t="s">
        <v>115</v>
      </c>
      <c r="K753" s="53"/>
      <c r="L753" s="53"/>
      <c r="M753" s="39" t="str">
        <f t="shared" si="1"/>
        <v>[http://ilpubs.stanford.edu:8090/423/ The Multihash Algorithm (1999)]</v>
      </c>
      <c r="N753" s="39" t="s">
        <v>4784</v>
      </c>
      <c r="O753" s="84">
        <v>1999.0</v>
      </c>
      <c r="P753" s="96" t="s">
        <v>4783</v>
      </c>
      <c r="Q753" s="82"/>
      <c r="R753" s="82"/>
      <c r="S753" s="82"/>
      <c r="T753" s="16">
        <v>0.0</v>
      </c>
      <c r="U753" s="16">
        <v>0.0</v>
      </c>
      <c r="V753" s="89">
        <f>IFERROR(__xludf.DUMMYFUNCTION("INDEX(SPLIT(SUBSTITUTE(W753,CHAR(10), """"),"",:""), MATCH(Z753, SPLIT(SUBSTITUTE(W753,CHAR(10), """"),"",:""), 0) + 1)"),5.0)</f>
        <v>5</v>
      </c>
      <c r="W753" s="85" t="s">
        <v>1938</v>
      </c>
      <c r="X753" s="21" t="s">
        <v>115</v>
      </c>
      <c r="Y753" s="53" t="s">
        <v>4775</v>
      </c>
      <c r="Z753" s="53" t="str">
        <f t="array" ref="Z753">INDEX(Problems!J:J, MATCH(1, (Problems!B:B=B753)*1, 0))</f>
        <v>n</v>
      </c>
      <c r="AA753" s="53"/>
      <c r="AB753" s="53"/>
      <c r="AC753" s="53" t="s">
        <v>1813</v>
      </c>
      <c r="AD753" s="53" t="s">
        <v>1814</v>
      </c>
      <c r="AE753" s="85">
        <f>IFERROR(__xludf.DUMMYFUNCTION("INDEX(SPLIT(SUBSTITUTE(AF753,CHAR(10), """"),"",:""), MATCH(Z753, SPLIT(SUBSTITUTE(AF753,CHAR(10), """"),"",:""), 0) + 1)"),5.0)</f>
        <v>5</v>
      </c>
      <c r="AF753" s="85" t="s">
        <v>1938</v>
      </c>
      <c r="AG753" s="53" t="s">
        <v>115</v>
      </c>
      <c r="AH753" s="53" t="s">
        <v>4780</v>
      </c>
      <c r="AI753" s="21">
        <v>1.0</v>
      </c>
      <c r="AJ753" s="84">
        <v>0.0</v>
      </c>
      <c r="AK753" s="21"/>
      <c r="AL753" s="16">
        <v>0.0</v>
      </c>
      <c r="AM753" s="21"/>
      <c r="AN753" s="16">
        <v>0.0</v>
      </c>
      <c r="AO753" s="90"/>
      <c r="AP753" s="16">
        <v>0.0</v>
      </c>
      <c r="AQ753" s="16">
        <v>0.0</v>
      </c>
      <c r="AR753" s="39"/>
      <c r="AS753" s="81">
        <v>0.0</v>
      </c>
      <c r="AT753" s="81">
        <v>0.0</v>
      </c>
      <c r="AU753" s="39"/>
      <c r="AV753" s="82"/>
      <c r="AW753" s="82"/>
      <c r="AX753" s="82"/>
      <c r="AY753" s="7"/>
      <c r="AZ753" s="7"/>
      <c r="BA753" s="7"/>
      <c r="BB753" s="7"/>
      <c r="BC753" s="7"/>
      <c r="BD753" s="7"/>
      <c r="BE753" s="7"/>
      <c r="BF753" s="7" t="s">
        <v>1781</v>
      </c>
      <c r="BG753" s="82"/>
      <c r="BH753" s="82"/>
      <c r="BI753" s="82"/>
      <c r="BJ753" s="82"/>
      <c r="BK753" s="82"/>
      <c r="BL753" s="82"/>
      <c r="BM753" s="82"/>
      <c r="BN753" s="7"/>
      <c r="BO753" s="7">
        <v>1.0</v>
      </c>
      <c r="BP753" s="82"/>
      <c r="BQ753" s="7"/>
      <c r="BR753" s="7" t="s">
        <v>23</v>
      </c>
    </row>
    <row r="754">
      <c r="A754" s="16">
        <v>75.0</v>
      </c>
      <c r="B754" s="16" t="s">
        <v>845</v>
      </c>
      <c r="C754" s="53">
        <v>1.0</v>
      </c>
      <c r="D754" s="53" t="s">
        <v>846</v>
      </c>
      <c r="E754" s="7">
        <v>592.0</v>
      </c>
      <c r="F754" s="53"/>
      <c r="G754" s="7"/>
      <c r="H754" s="16">
        <v>1.0</v>
      </c>
      <c r="I754" s="16">
        <v>1.0</v>
      </c>
      <c r="J754" s="39" t="s">
        <v>3492</v>
      </c>
      <c r="K754" s="53"/>
      <c r="L754" s="53"/>
      <c r="M754" s="39" t="str">
        <f t="shared" si="1"/>
        <v>[https://doi.org/10.1109/TIT.2009.2016040 Gupta; Verdu (2009)]</v>
      </c>
      <c r="N754" s="16" t="s">
        <v>4785</v>
      </c>
      <c r="O754" s="81">
        <v>2009.0</v>
      </c>
      <c r="P754" s="96" t="s">
        <v>4786</v>
      </c>
      <c r="Q754" s="82"/>
      <c r="R754" s="82"/>
      <c r="S754" s="82"/>
      <c r="T754" s="16">
        <v>0.0</v>
      </c>
      <c r="U754" s="16">
        <v>0.0</v>
      </c>
      <c r="V754" s="89">
        <f>IFERROR(__xludf.DUMMYFUNCTION("INDEX(SPLIT(SUBSTITUTE(W754,CHAR(10), """"),"",:""), MATCH(Z754, SPLIT(SUBSTITUTE(W754,CHAR(10), """"),"",:""), 0) + 1)"),5.03)</f>
        <v>5.03</v>
      </c>
      <c r="W754" s="85" t="s">
        <v>3494</v>
      </c>
      <c r="X754" s="39" t="s">
        <v>3492</v>
      </c>
      <c r="Y754" s="53" t="s">
        <v>4787</v>
      </c>
      <c r="Z754" s="53" t="str">
        <f t="array" ref="Z754">INDEX(Problems!J:J, MATCH(1, (Problems!B:B=B754)*1, 0))</f>
        <v>n</v>
      </c>
      <c r="AA754" s="53"/>
      <c r="AB754" s="53"/>
      <c r="AC754" s="53" t="s">
        <v>1813</v>
      </c>
      <c r="AD754" s="53" t="s">
        <v>2338</v>
      </c>
      <c r="AE754" s="85">
        <f>IFERROR(__xludf.DUMMYFUNCTION("INDEX(SPLIT(SUBSTITUTE(AF754,CHAR(10), """"),"",:""), MATCH(Z754, SPLIT(SUBSTITUTE(AF754,CHAR(10), """"),"",:""), 0) + 1)"),3.0)</f>
        <v>3</v>
      </c>
      <c r="AF754" s="85" t="s">
        <v>1763</v>
      </c>
      <c r="AG754" s="53" t="s">
        <v>35</v>
      </c>
      <c r="AH754" s="53" t="s">
        <v>4788</v>
      </c>
      <c r="AI754" s="21">
        <v>1.0</v>
      </c>
      <c r="AJ754" s="84">
        <v>0.0</v>
      </c>
      <c r="AK754" s="21"/>
      <c r="AL754" s="16">
        <v>0.0</v>
      </c>
      <c r="AM754" s="21"/>
      <c r="AN754" s="16">
        <v>0.0</v>
      </c>
      <c r="AO754" s="90"/>
      <c r="AP754" s="16">
        <v>0.0</v>
      </c>
      <c r="AQ754" s="16">
        <v>0.0</v>
      </c>
      <c r="AR754" s="39"/>
      <c r="AS754" s="81">
        <v>0.0</v>
      </c>
      <c r="AT754" s="81">
        <v>0.0</v>
      </c>
      <c r="AU754" s="39"/>
      <c r="AV754" s="82"/>
      <c r="AW754" s="82"/>
      <c r="AX754" s="82"/>
      <c r="AY754" s="7"/>
      <c r="AZ754" s="82"/>
      <c r="BA754" s="82"/>
      <c r="BB754" s="82"/>
      <c r="BC754" s="82"/>
      <c r="BD754" s="82"/>
      <c r="BE754" s="82"/>
      <c r="BF754" s="82"/>
      <c r="BG754" s="82"/>
      <c r="BH754" s="82"/>
      <c r="BI754" s="82"/>
      <c r="BJ754" s="82"/>
      <c r="BK754" s="82"/>
      <c r="BL754" s="82"/>
      <c r="BM754" s="82"/>
      <c r="BN754" s="7"/>
      <c r="BO754" s="7">
        <v>1.0</v>
      </c>
      <c r="BP754" s="82"/>
      <c r="BQ754" s="7"/>
      <c r="BR754" s="7" t="s">
        <v>196</v>
      </c>
    </row>
    <row r="755">
      <c r="A755" s="16">
        <v>75.0</v>
      </c>
      <c r="B755" s="16" t="s">
        <v>845</v>
      </c>
      <c r="C755" s="53">
        <v>2.0</v>
      </c>
      <c r="D755" s="53" t="s">
        <v>846</v>
      </c>
      <c r="E755" s="7">
        <v>593.0</v>
      </c>
      <c r="F755" s="53"/>
      <c r="G755" s="7"/>
      <c r="H755" s="16">
        <v>1.0</v>
      </c>
      <c r="I755" s="16">
        <v>1.0</v>
      </c>
      <c r="J755" s="95" t="s">
        <v>115</v>
      </c>
      <c r="K755" s="53"/>
      <c r="L755" s="53"/>
      <c r="M755" s="39" t="str">
        <f t="shared" si="1"/>
        <v>[https://doi.org/10.1109%2FT-C.1974.223784 Discrete Cosine Transform (1974)]</v>
      </c>
      <c r="N755" s="16" t="s">
        <v>4789</v>
      </c>
      <c r="O755" s="83">
        <v>1974.0</v>
      </c>
      <c r="P755" s="25" t="s">
        <v>4790</v>
      </c>
      <c r="Q755" s="82"/>
      <c r="R755" s="82"/>
      <c r="S755" s="82"/>
      <c r="T755" s="16">
        <v>1.0</v>
      </c>
      <c r="U755" s="16" t="s">
        <v>2007</v>
      </c>
      <c r="V755" s="89">
        <f>IFERROR(__xludf.DUMMYFUNCTION("INDEX(SPLIT(SUBSTITUTE(W755,CHAR(10), """"),"",:""), MATCH(Z755, SPLIT(SUBSTITUTE(W755,CHAR(10), """"),"",:""), 0) + 1)"),5.0)</f>
        <v>5</v>
      </c>
      <c r="W755" s="85" t="s">
        <v>1938</v>
      </c>
      <c r="X755" s="48" t="s">
        <v>115</v>
      </c>
      <c r="Y755" s="53" t="s">
        <v>4791</v>
      </c>
      <c r="Z755" s="53" t="str">
        <f t="array" ref="Z755">INDEX(Problems!J:J, MATCH(1, (Problems!B:B=B755)*1, 0))</f>
        <v>n</v>
      </c>
      <c r="AA755" s="53" t="s">
        <v>4792</v>
      </c>
      <c r="AB755" s="53">
        <v>1.0</v>
      </c>
      <c r="AC755" s="53" t="s">
        <v>1813</v>
      </c>
      <c r="AD755" s="53" t="s">
        <v>1814</v>
      </c>
      <c r="AE755" s="85">
        <f>IFERROR(__xludf.DUMMYFUNCTION("INDEX(SPLIT(SUBSTITUTE(AF755,CHAR(10), """"),"",:""), MATCH(Z755, SPLIT(SUBSTITUTE(AF755,CHAR(10), """"),"",:""), 0) + 1)"),3.0)</f>
        <v>3</v>
      </c>
      <c r="AF755" s="85" t="s">
        <v>1763</v>
      </c>
      <c r="AG755" s="53" t="s">
        <v>35</v>
      </c>
      <c r="AH755" s="53" t="s">
        <v>4793</v>
      </c>
      <c r="AI755" s="21">
        <v>1.0</v>
      </c>
      <c r="AJ755" s="84">
        <v>0.0</v>
      </c>
      <c r="AK755" s="21"/>
      <c r="AL755" s="16">
        <v>0.0</v>
      </c>
      <c r="AM755" s="21"/>
      <c r="AN755" s="16">
        <v>0.0</v>
      </c>
      <c r="AO755" s="21"/>
      <c r="AP755" s="16">
        <v>0.0</v>
      </c>
      <c r="AQ755" s="16">
        <v>0.0</v>
      </c>
      <c r="AR755" s="39"/>
      <c r="AS755" s="83">
        <v>0.0</v>
      </c>
      <c r="AT755" s="83">
        <v>0.0</v>
      </c>
      <c r="AU755" s="39"/>
      <c r="AV755" s="82"/>
      <c r="AW755" s="82"/>
      <c r="AX755" s="82"/>
      <c r="AY755" s="7"/>
      <c r="AZ755" s="7">
        <f> 1000</f>
        <v>1000</v>
      </c>
      <c r="BA755" s="7" t="s">
        <v>1781</v>
      </c>
      <c r="BB755" s="7">
        <f> 1000000</f>
        <v>1000000</v>
      </c>
      <c r="BC755" s="7" t="s">
        <v>1781</v>
      </c>
      <c r="BD755" s="7">
        <f> 1000000000</f>
        <v>1000000000</v>
      </c>
      <c r="BE755" s="7" t="s">
        <v>1781</v>
      </c>
      <c r="BF755" s="7">
        <v>1.0E9</v>
      </c>
      <c r="BG755" s="7" t="s">
        <v>1781</v>
      </c>
      <c r="BH755" s="7" t="s">
        <v>1781</v>
      </c>
      <c r="BI755" s="82">
        <f>POW(1000000,3)</f>
        <v>1E+18</v>
      </c>
      <c r="BJ755" s="7" t="s">
        <v>1781</v>
      </c>
      <c r="BK755" s="7" t="s">
        <v>1781</v>
      </c>
      <c r="BL755" s="82">
        <f>POW(1000000000,3)</f>
        <v>1E+27</v>
      </c>
      <c r="BM755" s="7" t="s">
        <v>1781</v>
      </c>
      <c r="BN755" s="7" t="s">
        <v>1781</v>
      </c>
      <c r="BO755" s="7">
        <v>1.0</v>
      </c>
      <c r="BP755" s="82"/>
      <c r="BQ755" s="7"/>
      <c r="BR755" s="7" t="s">
        <v>196</v>
      </c>
    </row>
    <row r="756">
      <c r="A756" s="16">
        <v>75.0</v>
      </c>
      <c r="B756" s="16" t="s">
        <v>845</v>
      </c>
      <c r="C756" s="53">
        <v>2.0</v>
      </c>
      <c r="D756" s="53" t="s">
        <v>846</v>
      </c>
      <c r="E756" s="7">
        <v>594.0</v>
      </c>
      <c r="F756" s="53" t="s">
        <v>4794</v>
      </c>
      <c r="G756" s="7"/>
      <c r="H756" s="16">
        <v>1.0</v>
      </c>
      <c r="I756" s="16">
        <v>1.0</v>
      </c>
      <c r="J756" s="39" t="s">
        <v>115</v>
      </c>
      <c r="K756" s="53"/>
      <c r="L756" s="53"/>
      <c r="M756" s="39" t="str">
        <f t="shared" si="1"/>
        <v>[https://ieeexplore.ieee.org/document/1523592 Maneva and M. J. Wainwright (2005)]</v>
      </c>
      <c r="N756" s="16" t="s">
        <v>4795</v>
      </c>
      <c r="O756" s="81">
        <v>2005.0</v>
      </c>
      <c r="P756" s="96" t="s">
        <v>4796</v>
      </c>
      <c r="Q756" s="82"/>
      <c r="R756" s="82"/>
      <c r="S756" s="82"/>
      <c r="T756" s="16">
        <v>0.0</v>
      </c>
      <c r="U756" s="16">
        <v>0.0</v>
      </c>
      <c r="V756" s="89">
        <f>IFERROR(__xludf.DUMMYFUNCTION("INDEX(SPLIT(SUBSTITUTE(W756,CHAR(10), """"),"",:""), MATCH(Z756, SPLIT(SUBSTITUTE(W756,CHAR(10), """"),"",:""), 0) + 1)"),5.0)</f>
        <v>5</v>
      </c>
      <c r="W756" s="85" t="s">
        <v>1938</v>
      </c>
      <c r="X756" s="39" t="s">
        <v>115</v>
      </c>
      <c r="Y756" s="53" t="s">
        <v>4797</v>
      </c>
      <c r="Z756" s="53" t="str">
        <f t="array" ref="Z756">INDEX(Problems!J:J, MATCH(1, (Problems!B:B=B756)*1, 0))</f>
        <v>n</v>
      </c>
      <c r="AA756" s="53"/>
      <c r="AB756" s="53"/>
      <c r="AC756" s="53" t="s">
        <v>1813</v>
      </c>
      <c r="AD756" s="53" t="s">
        <v>2338</v>
      </c>
      <c r="AE756" s="85">
        <f>IFERROR(__xludf.DUMMYFUNCTION("INDEX(SPLIT(SUBSTITUTE(AF756,CHAR(10), """"),"",:""), MATCH(Z756, SPLIT(SUBSTITUTE(AF756,CHAR(10), """"),"",:""), 0) + 1)"),5.0)</f>
        <v>5</v>
      </c>
      <c r="AF756" s="85" t="s">
        <v>1938</v>
      </c>
      <c r="AG756" s="53" t="s">
        <v>115</v>
      </c>
      <c r="AH756" s="53" t="s">
        <v>4798</v>
      </c>
      <c r="AI756" s="21">
        <v>1.0</v>
      </c>
      <c r="AJ756" s="84">
        <v>0.0</v>
      </c>
      <c r="AK756" s="21"/>
      <c r="AL756" s="16">
        <v>0.0</v>
      </c>
      <c r="AM756" s="21"/>
      <c r="AN756" s="16">
        <v>0.0</v>
      </c>
      <c r="AO756" s="90"/>
      <c r="AP756" s="16">
        <v>0.0</v>
      </c>
      <c r="AQ756" s="16">
        <v>0.0</v>
      </c>
      <c r="AR756" s="39"/>
      <c r="AS756" s="81">
        <v>0.0</v>
      </c>
      <c r="AT756" s="81">
        <v>0.0</v>
      </c>
      <c r="AU756" s="39"/>
      <c r="AV756" s="82"/>
      <c r="AW756" s="82"/>
      <c r="AX756" s="82"/>
      <c r="AY756" s="7"/>
      <c r="AZ756" s="7"/>
      <c r="BA756" s="7"/>
      <c r="BB756" s="7"/>
      <c r="BC756" s="7"/>
      <c r="BD756" s="7"/>
      <c r="BE756" s="7"/>
      <c r="BF756" s="7">
        <v>1000000.0</v>
      </c>
      <c r="BG756" s="82"/>
      <c r="BH756" s="82"/>
      <c r="BI756" s="82"/>
      <c r="BJ756" s="82"/>
      <c r="BK756" s="82"/>
      <c r="BL756" s="82"/>
      <c r="BM756" s="82"/>
      <c r="BN756" s="7"/>
      <c r="BO756" s="7">
        <v>1.0</v>
      </c>
      <c r="BP756" s="82"/>
      <c r="BQ756" s="7"/>
      <c r="BR756" s="7" t="s">
        <v>196</v>
      </c>
    </row>
    <row r="757">
      <c r="A757" s="16">
        <v>75.0</v>
      </c>
      <c r="B757" s="16" t="s">
        <v>845</v>
      </c>
      <c r="C757" s="53">
        <v>1.0</v>
      </c>
      <c r="D757" s="53" t="s">
        <v>846</v>
      </c>
      <c r="E757" s="7">
        <v>595.0</v>
      </c>
      <c r="F757" s="53" t="s">
        <v>4799</v>
      </c>
      <c r="G757" s="7"/>
      <c r="H757" s="16">
        <v>1.0</v>
      </c>
      <c r="I757" s="16">
        <v>1.0</v>
      </c>
      <c r="J757" s="39" t="s">
        <v>115</v>
      </c>
      <c r="K757" s="53"/>
      <c r="L757" s="53"/>
      <c r="M757" s="39" t="str">
        <f t="shared" si="1"/>
        <v>[https://arxiv.org/abs/cond-mat/0504509  Ciliberti; Mézard (2005)]</v>
      </c>
      <c r="N757" s="16" t="s">
        <v>4800</v>
      </c>
      <c r="O757" s="81">
        <v>2005.0</v>
      </c>
      <c r="P757" s="49" t="s">
        <v>4801</v>
      </c>
      <c r="Q757" s="82"/>
      <c r="R757" s="82"/>
      <c r="S757" s="82"/>
      <c r="T757" s="16">
        <v>1.0</v>
      </c>
      <c r="U757" s="16" t="s">
        <v>2425</v>
      </c>
      <c r="V757" s="89">
        <f>IFERROR(__xludf.DUMMYFUNCTION("INDEX(SPLIT(SUBSTITUTE(W757,CHAR(10), """"),"",:""), MATCH(Z757, SPLIT(SUBSTITUTE(W757,CHAR(10), """"),"",:""), 0) + 1)"),5.0)</f>
        <v>5</v>
      </c>
      <c r="W757" s="85" t="s">
        <v>1938</v>
      </c>
      <c r="X757" s="39" t="s">
        <v>115</v>
      </c>
      <c r="Y757" s="53" t="s">
        <v>4797</v>
      </c>
      <c r="Z757" s="53" t="str">
        <f t="array" ref="Z757">INDEX(Problems!J:J, MATCH(1, (Problems!B:B=B757)*1, 0))</f>
        <v>n</v>
      </c>
      <c r="AA757" s="53"/>
      <c r="AB757" s="53"/>
      <c r="AC757" s="53" t="s">
        <v>1813</v>
      </c>
      <c r="AD757" s="53" t="s">
        <v>2338</v>
      </c>
      <c r="AE757" s="85">
        <f>IFERROR(__xludf.DUMMYFUNCTION("INDEX(SPLIT(SUBSTITUTE(AF757,CHAR(10), """"),"",:""), MATCH(Z757, SPLIT(SUBSTITUTE(AF757,CHAR(10), """"),"",:""), 0) + 1)"),5.0)</f>
        <v>5</v>
      </c>
      <c r="AF757" s="85" t="s">
        <v>1938</v>
      </c>
      <c r="AG757" s="53" t="s">
        <v>2615</v>
      </c>
      <c r="AH757" s="53" t="s">
        <v>4798</v>
      </c>
      <c r="AI757" s="21">
        <v>1.0</v>
      </c>
      <c r="AJ757" s="84">
        <v>0.0</v>
      </c>
      <c r="AK757" s="21"/>
      <c r="AL757" s="16">
        <v>0.0</v>
      </c>
      <c r="AM757" s="21"/>
      <c r="AN757" s="16">
        <v>0.0</v>
      </c>
      <c r="AO757" s="90"/>
      <c r="AP757" s="16">
        <v>0.0</v>
      </c>
      <c r="AQ757" s="16">
        <v>0.0</v>
      </c>
      <c r="AR757" s="39"/>
      <c r="AS757" s="81">
        <v>0.0</v>
      </c>
      <c r="AT757" s="81">
        <v>0.0</v>
      </c>
      <c r="AU757" s="39"/>
      <c r="AV757" s="82"/>
      <c r="AW757" s="82"/>
      <c r="AX757" s="82"/>
      <c r="AY757" s="7"/>
      <c r="AZ757" s="7"/>
      <c r="BA757" s="7"/>
      <c r="BB757" s="7"/>
      <c r="BC757" s="7"/>
      <c r="BD757" s="7"/>
      <c r="BE757" s="7"/>
      <c r="BF757" s="7">
        <v>1000000.0</v>
      </c>
      <c r="BG757" s="7" t="s">
        <v>1781</v>
      </c>
      <c r="BH757" s="82"/>
      <c r="BI757" s="82">
        <f>POW(1000000,2)</f>
        <v>1000000000000</v>
      </c>
      <c r="BJ757" s="7" t="s">
        <v>1781</v>
      </c>
      <c r="BK757" s="82"/>
      <c r="BL757" s="82">
        <f>POW(1000000000,2)</f>
        <v>1E+18</v>
      </c>
      <c r="BM757" s="7" t="s">
        <v>1781</v>
      </c>
      <c r="BN757" s="7"/>
      <c r="BO757" s="7">
        <v>1.0</v>
      </c>
      <c r="BP757" s="82"/>
      <c r="BQ757" s="7"/>
      <c r="BR757" s="7" t="s">
        <v>196</v>
      </c>
    </row>
    <row r="758">
      <c r="A758" s="16">
        <v>75.0</v>
      </c>
      <c r="B758" s="16" t="s">
        <v>845</v>
      </c>
      <c r="C758" s="53">
        <v>1.0</v>
      </c>
      <c r="D758" s="53" t="s">
        <v>846</v>
      </c>
      <c r="E758" s="7">
        <v>596.0</v>
      </c>
      <c r="F758" s="53" t="s">
        <v>1999</v>
      </c>
      <c r="G758" s="7"/>
      <c r="H758" s="16">
        <v>1.0</v>
      </c>
      <c r="I758" s="16">
        <v>1.0</v>
      </c>
      <c r="J758" s="39" t="s">
        <v>2466</v>
      </c>
      <c r="K758" s="53"/>
      <c r="L758" s="53"/>
      <c r="M758" s="39" t="str">
        <f t="shared" si="1"/>
        <v>[ Brute force (1940)]</v>
      </c>
      <c r="N758" s="39" t="s">
        <v>2106</v>
      </c>
      <c r="O758" s="81">
        <v>1940.0</v>
      </c>
      <c r="P758" s="39"/>
      <c r="Q758" s="82"/>
      <c r="R758" s="82"/>
      <c r="S758" s="82"/>
      <c r="T758" s="16">
        <v>1.0</v>
      </c>
      <c r="U758" s="16">
        <v>0.0</v>
      </c>
      <c r="V758" s="89">
        <f>IFERROR(__xludf.DUMMYFUNCTION("INDEX(SPLIT(SUBSTITUTE(W758,CHAR(10), """"),"",:""), MATCH(Z758, SPLIT(SUBSTITUTE(W758,CHAR(10), """"),"",:""), 0) + 1)"),8.0)</f>
        <v>8</v>
      </c>
      <c r="W758" s="85" t="s">
        <v>2001</v>
      </c>
      <c r="X758" s="39" t="s">
        <v>2466</v>
      </c>
      <c r="Y758" s="53" t="s">
        <v>4802</v>
      </c>
      <c r="Z758" s="53" t="str">
        <f t="array" ref="Z758">INDEX(Problems!J:J, MATCH(1, (Problems!B:B=B758)*1, 0))</f>
        <v>n</v>
      </c>
      <c r="AA758" s="53"/>
      <c r="AB758" s="53"/>
      <c r="AC758" s="53" t="s">
        <v>1813</v>
      </c>
      <c r="AD758" s="53" t="s">
        <v>1814</v>
      </c>
      <c r="AE758" s="85">
        <f>IFERROR(__xludf.DUMMYFUNCTION("INDEX(SPLIT(SUBSTITUTE(AF758,CHAR(10), """"),"",:""), MATCH(Z758, SPLIT(SUBSTITUTE(AF758,CHAR(10), """"),"",:""), 0) + 1)"),8.0)</f>
        <v>8</v>
      </c>
      <c r="AF758" s="85" t="s">
        <v>2001</v>
      </c>
      <c r="AG758" s="53" t="s">
        <v>4803</v>
      </c>
      <c r="AH758" s="53" t="s">
        <v>4804</v>
      </c>
      <c r="AI758" s="21">
        <v>1.0</v>
      </c>
      <c r="AJ758" s="84">
        <v>0.0</v>
      </c>
      <c r="AK758" s="21"/>
      <c r="AL758" s="16">
        <v>0.0</v>
      </c>
      <c r="AM758" s="21"/>
      <c r="AN758" s="16">
        <v>0.0</v>
      </c>
      <c r="AO758" s="90"/>
      <c r="AP758" s="16">
        <v>0.0</v>
      </c>
      <c r="AQ758" s="16">
        <v>0.0</v>
      </c>
      <c r="AR758" s="39"/>
      <c r="AS758" s="81">
        <v>0.0</v>
      </c>
      <c r="AT758" s="81">
        <v>0.0</v>
      </c>
      <c r="AU758" s="39"/>
      <c r="AV758" s="82"/>
      <c r="AW758" s="82"/>
      <c r="AX758" s="82"/>
      <c r="AY758" s="7"/>
      <c r="AZ758" s="7" t="s">
        <v>1781</v>
      </c>
      <c r="BA758" s="7"/>
      <c r="BB758" s="7" t="s">
        <v>1781</v>
      </c>
      <c r="BC758" s="7"/>
      <c r="BD758" s="7" t="s">
        <v>1781</v>
      </c>
      <c r="BE758" s="7"/>
      <c r="BF758" s="7" t="s">
        <v>1781</v>
      </c>
      <c r="BG758" s="7">
        <v>1.0</v>
      </c>
      <c r="BH758" s="7"/>
      <c r="BI758" s="7" t="s">
        <v>1781</v>
      </c>
      <c r="BJ758" s="7">
        <v>1.0</v>
      </c>
      <c r="BK758" s="7"/>
      <c r="BL758" s="7" t="s">
        <v>1781</v>
      </c>
      <c r="BM758" s="7">
        <v>1.0</v>
      </c>
      <c r="BN758" s="7"/>
      <c r="BO758" s="7">
        <v>1.0</v>
      </c>
      <c r="BP758" s="82"/>
      <c r="BQ758" s="7"/>
      <c r="BR758" s="7" t="s">
        <v>196</v>
      </c>
    </row>
    <row r="759">
      <c r="A759" s="16">
        <v>75.0</v>
      </c>
      <c r="B759" s="16" t="s">
        <v>845</v>
      </c>
      <c r="C759" s="53">
        <v>2.0</v>
      </c>
      <c r="D759" s="53" t="s">
        <v>846</v>
      </c>
      <c r="E759" s="7">
        <v>597.0</v>
      </c>
      <c r="F759" s="53" t="s">
        <v>4805</v>
      </c>
      <c r="G759" s="7"/>
      <c r="H759" s="16">
        <v>1.0</v>
      </c>
      <c r="I759" s="16">
        <v>1.0</v>
      </c>
      <c r="J759" s="39" t="s">
        <v>2466</v>
      </c>
      <c r="K759" s="53"/>
      <c r="L759" s="53"/>
      <c r="M759" s="39" t="str">
        <f t="shared" si="1"/>
        <v>[https://doi.org/10.1109/TIT.2003.815805 Matsunaga; Yamamoto (2003)]</v>
      </c>
      <c r="N759" s="39" t="s">
        <v>4806</v>
      </c>
      <c r="O759" s="81">
        <v>2003.0</v>
      </c>
      <c r="P759" s="25" t="s">
        <v>4807</v>
      </c>
      <c r="Q759" s="82"/>
      <c r="R759" s="82"/>
      <c r="S759" s="82"/>
      <c r="T759" s="16">
        <v>0.0</v>
      </c>
      <c r="U759" s="16">
        <v>0.0</v>
      </c>
      <c r="V759" s="89">
        <f>IFERROR(__xludf.DUMMYFUNCTION("INDEX(SPLIT(SUBSTITUTE(W759,CHAR(10), """"),"",:""), MATCH(Z759, SPLIT(SUBSTITUTE(W759,CHAR(10), """"),"",:""), 0) + 1)"),8.0)</f>
        <v>8</v>
      </c>
      <c r="W759" s="85" t="s">
        <v>2001</v>
      </c>
      <c r="X759" s="39" t="s">
        <v>2466</v>
      </c>
      <c r="Y759" s="53" t="s">
        <v>4802</v>
      </c>
      <c r="Z759" s="53" t="str">
        <f t="array" ref="Z759">INDEX(Problems!J:J, MATCH(1, (Problems!B:B=B759)*1, 0))</f>
        <v>n</v>
      </c>
      <c r="AA759" s="53"/>
      <c r="AB759" s="53"/>
      <c r="AC759" s="53" t="s">
        <v>1813</v>
      </c>
      <c r="AD759" s="53" t="s">
        <v>1814</v>
      </c>
      <c r="AE759" s="85">
        <f>IFERROR(__xludf.DUMMYFUNCTION("INDEX(SPLIT(SUBSTITUTE(AF759,CHAR(10), """"),"",:""), MATCH(Z759, SPLIT(SUBSTITUTE(AF759,CHAR(10), """"),"",:""), 0) + 1)"),8.0)</f>
        <v>8</v>
      </c>
      <c r="AF759" s="85" t="s">
        <v>2001</v>
      </c>
      <c r="AG759" s="53" t="s">
        <v>4808</v>
      </c>
      <c r="AH759" s="91" t="s">
        <v>4807</v>
      </c>
      <c r="AI759" s="21">
        <v>0.0</v>
      </c>
      <c r="AJ759" s="84">
        <v>1.0</v>
      </c>
      <c r="AK759" s="21"/>
      <c r="AL759" s="16">
        <v>0.0</v>
      </c>
      <c r="AM759" s="21"/>
      <c r="AN759" s="16">
        <v>0.0</v>
      </c>
      <c r="AO759" s="90"/>
      <c r="AP759" s="16">
        <v>0.0</v>
      </c>
      <c r="AQ759" s="16">
        <v>0.0</v>
      </c>
      <c r="AR759" s="39"/>
      <c r="AS759" s="81">
        <v>0.0</v>
      </c>
      <c r="AT759" s="81">
        <v>0.0</v>
      </c>
      <c r="AU759" s="39"/>
      <c r="AV759" s="82"/>
      <c r="AW759" s="82"/>
      <c r="AX759" s="82"/>
      <c r="AY759" s="7"/>
      <c r="AZ759" s="7"/>
      <c r="BA759" s="7"/>
      <c r="BB759" s="7"/>
      <c r="BC759" s="7"/>
      <c r="BD759" s="7"/>
      <c r="BE759" s="7"/>
      <c r="BF759" s="7" t="s">
        <v>1781</v>
      </c>
      <c r="BG759" s="82"/>
      <c r="BH759" s="82"/>
      <c r="BI759" s="82"/>
      <c r="BJ759" s="82"/>
      <c r="BK759" s="82"/>
      <c r="BL759" s="82"/>
      <c r="BM759" s="82"/>
      <c r="BN759" s="7"/>
      <c r="BO759" s="7">
        <v>1.0</v>
      </c>
      <c r="BP759" s="82"/>
      <c r="BQ759" s="7"/>
      <c r="BR759" s="7" t="s">
        <v>196</v>
      </c>
    </row>
    <row r="760">
      <c r="A760" s="16">
        <v>75.0</v>
      </c>
      <c r="B760" s="16" t="s">
        <v>845</v>
      </c>
      <c r="C760" s="53">
        <v>1.0</v>
      </c>
      <c r="D760" s="53" t="s">
        <v>846</v>
      </c>
      <c r="E760" s="7">
        <v>598.0</v>
      </c>
      <c r="F760" s="53" t="s">
        <v>4809</v>
      </c>
      <c r="G760" s="7"/>
      <c r="H760" s="16">
        <v>1.0</v>
      </c>
      <c r="I760" s="16">
        <v>1.0</v>
      </c>
      <c r="J760" s="95" t="s">
        <v>4810</v>
      </c>
      <c r="K760" s="53"/>
      <c r="L760" s="53"/>
      <c r="M760" s="39" t="str">
        <f t="shared" si="1"/>
        <v>[https://ieeexplore.ieee.org/document/5474629/ Sun; M. Shao; J. Chen; K. Wong; and X. Wu (2010)]</v>
      </c>
      <c r="N760" s="39" t="s">
        <v>4811</v>
      </c>
      <c r="O760" s="81">
        <v>2010.0</v>
      </c>
      <c r="P760" s="25" t="s">
        <v>4812</v>
      </c>
      <c r="Q760" s="82"/>
      <c r="R760" s="82"/>
      <c r="S760" s="82"/>
      <c r="T760" s="16">
        <v>0.0</v>
      </c>
      <c r="U760" s="16">
        <v>0.0</v>
      </c>
      <c r="V760" s="89">
        <f>IFERROR(__xludf.DUMMYFUNCTION("INDEX(SPLIT(SUBSTITUTE(W760,CHAR(10), """"),"",:""), MATCH(Z760, SPLIT(SUBSTITUTE(W760,CHAR(10), """"),"",:""), 0) + 1)"),8.0)</f>
        <v>8</v>
      </c>
      <c r="W760" s="85" t="s">
        <v>2001</v>
      </c>
      <c r="X760" s="95" t="s">
        <v>4810</v>
      </c>
      <c r="Y760" s="53" t="s">
        <v>4813</v>
      </c>
      <c r="Z760" s="53" t="str">
        <f t="array" ref="Z760">INDEX(Problems!J:J, MATCH(1, (Problems!B:B=B760)*1, 0))</f>
        <v>n</v>
      </c>
      <c r="AA760" s="53"/>
      <c r="AB760" s="53"/>
      <c r="AC760" s="53" t="s">
        <v>1813</v>
      </c>
      <c r="AD760" s="53" t="s">
        <v>1814</v>
      </c>
      <c r="AE760" s="85">
        <f>IFERROR(__xludf.DUMMYFUNCTION("INDEX(SPLIT(SUBSTITUTE(AF760,CHAR(10), """"),"",:""), MATCH(Z760, SPLIT(SUBSTITUTE(AF760,CHAR(10), """"),"",:""), 0) + 1)"),3.0)</f>
        <v>3</v>
      </c>
      <c r="AF760" s="85" t="s">
        <v>4814</v>
      </c>
      <c r="AG760" s="53" t="s">
        <v>4810</v>
      </c>
      <c r="AH760" s="53" t="s">
        <v>4815</v>
      </c>
      <c r="AI760" s="21">
        <v>1.0</v>
      </c>
      <c r="AJ760" s="84">
        <v>0.0</v>
      </c>
      <c r="AK760" s="21"/>
      <c r="AL760" s="16">
        <v>0.0</v>
      </c>
      <c r="AM760" s="21"/>
      <c r="AN760" s="16">
        <v>0.0</v>
      </c>
      <c r="AO760" s="90"/>
      <c r="AP760" s="16">
        <v>0.0</v>
      </c>
      <c r="AQ760" s="16">
        <v>0.0</v>
      </c>
      <c r="AR760" s="39"/>
      <c r="AS760" s="81">
        <v>0.0</v>
      </c>
      <c r="AT760" s="81">
        <v>0.0</v>
      </c>
      <c r="AU760" s="39"/>
      <c r="AV760" s="82"/>
      <c r="AW760" s="82"/>
      <c r="AX760" s="82"/>
      <c r="AY760" s="7"/>
      <c r="AZ760" s="7"/>
      <c r="BA760" s="7"/>
      <c r="BB760" s="7"/>
      <c r="BC760" s="7"/>
      <c r="BD760" s="7"/>
      <c r="BE760" s="7"/>
      <c r="BF760" s="7" t="s">
        <v>1781</v>
      </c>
      <c r="BG760" s="82"/>
      <c r="BH760" s="82"/>
      <c r="BI760" s="82"/>
      <c r="BJ760" s="82"/>
      <c r="BK760" s="82"/>
      <c r="BL760" s="82"/>
      <c r="BM760" s="82"/>
      <c r="BN760" s="7"/>
      <c r="BO760" s="7">
        <v>1.0</v>
      </c>
      <c r="BP760" s="82"/>
      <c r="BQ760" s="7"/>
      <c r="BR760" s="7" t="s">
        <v>196</v>
      </c>
    </row>
    <row r="761">
      <c r="A761" s="16">
        <v>75.0</v>
      </c>
      <c r="B761" s="16" t="s">
        <v>845</v>
      </c>
      <c r="C761" s="53">
        <v>1.0</v>
      </c>
      <c r="D761" s="53" t="s">
        <v>846</v>
      </c>
      <c r="E761" s="7">
        <v>599.0</v>
      </c>
      <c r="F761" s="53" t="s">
        <v>4805</v>
      </c>
      <c r="G761" s="7"/>
      <c r="H761" s="16">
        <v>1.0</v>
      </c>
      <c r="I761" s="16">
        <v>1.0</v>
      </c>
      <c r="J761" s="39" t="s">
        <v>2466</v>
      </c>
      <c r="K761" s="53"/>
      <c r="L761" s="53"/>
      <c r="M761" s="39" t="str">
        <f t="shared" si="1"/>
        <v>[https://www.semanticscholar.org/paper/Lossy-Data-Compression-over-Zq-by-LDPC-Code-Miyake/652f0438118898b63126f7261ec4cd2002ff0e0b Miyake 2006 (2006)]</v>
      </c>
      <c r="N761" s="39" t="s">
        <v>4816</v>
      </c>
      <c r="O761" s="81">
        <v>2006.0</v>
      </c>
      <c r="P761" s="25" t="s">
        <v>4817</v>
      </c>
      <c r="Q761" s="82"/>
      <c r="R761" s="82"/>
      <c r="S761" s="82"/>
      <c r="T761" s="16">
        <v>0.0</v>
      </c>
      <c r="U761" s="16">
        <v>0.0</v>
      </c>
      <c r="V761" s="89">
        <f>IFERROR(__xludf.DUMMYFUNCTION("INDEX(SPLIT(SUBSTITUTE(W761,CHAR(10), """"),"",:""), MATCH(Z761, SPLIT(SUBSTITUTE(W761,CHAR(10), """"),"",:""), 0) + 1)"),8.0)</f>
        <v>8</v>
      </c>
      <c r="W761" s="85" t="s">
        <v>2001</v>
      </c>
      <c r="X761" s="39" t="s">
        <v>2466</v>
      </c>
      <c r="Y761" s="53" t="s">
        <v>4802</v>
      </c>
      <c r="Z761" s="53" t="str">
        <f t="array" ref="Z761">INDEX(Problems!J:J, MATCH(1, (Problems!B:B=B761)*1, 0))</f>
        <v>n</v>
      </c>
      <c r="AA761" s="53"/>
      <c r="AB761" s="53"/>
      <c r="AC761" s="53" t="s">
        <v>1813</v>
      </c>
      <c r="AD761" s="53" t="s">
        <v>1814</v>
      </c>
      <c r="AE761" s="85">
        <f>IFERROR(__xludf.DUMMYFUNCTION("INDEX(SPLIT(SUBSTITUTE(AF761,CHAR(10), """"),"",:""), MATCH(Z761, SPLIT(SUBSTITUTE(AF761,CHAR(10), """"),"",:""), 0) + 1)"),8.0)</f>
        <v>8</v>
      </c>
      <c r="AF761" s="85" t="s">
        <v>2001</v>
      </c>
      <c r="AG761" s="53" t="s">
        <v>789</v>
      </c>
      <c r="AH761" s="53" t="s">
        <v>4818</v>
      </c>
      <c r="AI761" s="21">
        <v>1.0</v>
      </c>
      <c r="AJ761" s="84">
        <v>0.0</v>
      </c>
      <c r="AK761" s="21"/>
      <c r="AL761" s="16">
        <v>0.0</v>
      </c>
      <c r="AM761" s="21"/>
      <c r="AN761" s="16">
        <v>0.0</v>
      </c>
      <c r="AO761" s="90"/>
      <c r="AP761" s="16">
        <v>0.0</v>
      </c>
      <c r="AQ761" s="16">
        <v>0.0</v>
      </c>
      <c r="AR761" s="39"/>
      <c r="AS761" s="81">
        <v>0.0</v>
      </c>
      <c r="AT761" s="81">
        <v>0.0</v>
      </c>
      <c r="AU761" s="39"/>
      <c r="AV761" s="82"/>
      <c r="AW761" s="82"/>
      <c r="AX761" s="82"/>
      <c r="AY761" s="7"/>
      <c r="AZ761" s="7"/>
      <c r="BA761" s="7"/>
      <c r="BB761" s="7"/>
      <c r="BC761" s="7"/>
      <c r="BD761" s="7"/>
      <c r="BE761" s="7"/>
      <c r="BF761" s="7" t="s">
        <v>1781</v>
      </c>
      <c r="BG761" s="82"/>
      <c r="BH761" s="82"/>
      <c r="BI761" s="82"/>
      <c r="BJ761" s="82"/>
      <c r="BK761" s="82"/>
      <c r="BL761" s="82"/>
      <c r="BM761" s="82"/>
      <c r="BN761" s="7"/>
      <c r="BO761" s="7">
        <v>1.0</v>
      </c>
      <c r="BP761" s="82"/>
      <c r="BQ761" s="7"/>
      <c r="BR761" s="7" t="s">
        <v>196</v>
      </c>
    </row>
    <row r="762">
      <c r="A762" s="16">
        <v>75.0</v>
      </c>
      <c r="B762" s="16" t="s">
        <v>845</v>
      </c>
      <c r="C762" s="53">
        <v>1.0</v>
      </c>
      <c r="D762" s="53" t="s">
        <v>846</v>
      </c>
      <c r="E762" s="7">
        <v>600.0</v>
      </c>
      <c r="F762" s="53" t="s">
        <v>4819</v>
      </c>
      <c r="G762" s="7"/>
      <c r="H762" s="16">
        <v>1.0</v>
      </c>
      <c r="I762" s="16">
        <v>1.0</v>
      </c>
      <c r="J762" s="39" t="s">
        <v>2466</v>
      </c>
      <c r="K762" s="53"/>
      <c r="L762" s="53"/>
      <c r="M762" s="39" t="str">
        <f t="shared" si="1"/>
        <v>[https://arxiv.org/abs/cs/0602046 Martinian and M. J. Wainwright (2006)]</v>
      </c>
      <c r="N762" s="16" t="s">
        <v>4820</v>
      </c>
      <c r="O762" s="81">
        <v>2006.0</v>
      </c>
      <c r="P762" s="25" t="s">
        <v>4821</v>
      </c>
      <c r="Q762" s="82"/>
      <c r="R762" s="82"/>
      <c r="S762" s="82"/>
      <c r="T762" s="16">
        <v>0.0</v>
      </c>
      <c r="U762" s="16">
        <v>0.0</v>
      </c>
      <c r="V762" s="89">
        <f>IFERROR(__xludf.DUMMYFUNCTION("INDEX(SPLIT(SUBSTITUTE(W762,CHAR(10), """"),"",:""), MATCH(Z762, SPLIT(SUBSTITUTE(W762,CHAR(10), """"),"",:""), 0) + 1)"),8.0)</f>
        <v>8</v>
      </c>
      <c r="W762" s="85" t="s">
        <v>2001</v>
      </c>
      <c r="X762" s="39" t="s">
        <v>2466</v>
      </c>
      <c r="Y762" s="53" t="s">
        <v>4822</v>
      </c>
      <c r="Z762" s="53" t="str">
        <f t="array" ref="Z762">INDEX(Problems!J:J, MATCH(1, (Problems!B:B=B762)*1, 0))</f>
        <v>n</v>
      </c>
      <c r="AA762" s="53"/>
      <c r="AB762" s="53"/>
      <c r="AC762" s="53" t="s">
        <v>1813</v>
      </c>
      <c r="AD762" s="53" t="s">
        <v>1814</v>
      </c>
      <c r="AE762" s="85">
        <f>IFERROR(__xludf.DUMMYFUNCTION("INDEX(SPLIT(SUBSTITUTE(AF762,CHAR(10), """"),"",:""), MATCH(Z762, SPLIT(SUBSTITUTE(AF762,CHAR(10), """"),"",:""), 0) + 1)"),3.0)</f>
        <v>3</v>
      </c>
      <c r="AF762" s="85" t="s">
        <v>4814</v>
      </c>
      <c r="AG762" s="53" t="s">
        <v>4823</v>
      </c>
      <c r="AH762" s="53" t="s">
        <v>4824</v>
      </c>
      <c r="AI762" s="21">
        <v>1.0</v>
      </c>
      <c r="AJ762" s="84">
        <v>0.0</v>
      </c>
      <c r="AK762" s="21"/>
      <c r="AL762" s="16">
        <v>0.0</v>
      </c>
      <c r="AM762" s="21"/>
      <c r="AN762" s="16">
        <v>0.0</v>
      </c>
      <c r="AO762" s="90"/>
      <c r="AP762" s="16">
        <v>0.0</v>
      </c>
      <c r="AQ762" s="16">
        <v>0.0</v>
      </c>
      <c r="AR762" s="39"/>
      <c r="AS762" s="81">
        <v>0.0</v>
      </c>
      <c r="AT762" s="81">
        <v>0.0</v>
      </c>
      <c r="AU762" s="39"/>
      <c r="AV762" s="82"/>
      <c r="AW762" s="82"/>
      <c r="AX762" s="82"/>
      <c r="AY762" s="7"/>
      <c r="AZ762" s="7"/>
      <c r="BA762" s="7"/>
      <c r="BB762" s="7"/>
      <c r="BC762" s="7"/>
      <c r="BD762" s="7"/>
      <c r="BE762" s="7"/>
      <c r="BF762" s="7" t="s">
        <v>1781</v>
      </c>
      <c r="BG762" s="82"/>
      <c r="BH762" s="82"/>
      <c r="BI762" s="82"/>
      <c r="BJ762" s="82"/>
      <c r="BK762" s="82"/>
      <c r="BL762" s="82"/>
      <c r="BM762" s="82"/>
      <c r="BN762" s="7"/>
      <c r="BO762" s="7">
        <v>1.0</v>
      </c>
      <c r="BP762" s="82"/>
      <c r="BQ762" s="7"/>
      <c r="BR762" s="7" t="s">
        <v>196</v>
      </c>
    </row>
    <row r="763">
      <c r="A763" s="16">
        <v>75.0</v>
      </c>
      <c r="B763" s="16" t="s">
        <v>845</v>
      </c>
      <c r="C763" s="53">
        <v>1.0</v>
      </c>
      <c r="D763" s="53" t="s">
        <v>846</v>
      </c>
      <c r="E763" s="7">
        <v>601.0</v>
      </c>
      <c r="F763" s="53" t="s">
        <v>4825</v>
      </c>
      <c r="G763" s="7"/>
      <c r="H763" s="16">
        <v>1.0</v>
      </c>
      <c r="I763" s="16">
        <v>1.0</v>
      </c>
      <c r="J763" s="39" t="s">
        <v>35</v>
      </c>
      <c r="K763" s="53"/>
      <c r="L763" s="53"/>
      <c r="M763" s="39" t="str">
        <f t="shared" si="1"/>
        <v>[https://web.stanford.edu/~tsachy/pdf_files/Lossy%20Source%20Coding%20via%20Markov%20Chain%20Monte%20Carlo.pdf Jalali and T. Weissman (2008)]</v>
      </c>
      <c r="N763" s="16" t="s">
        <v>4826</v>
      </c>
      <c r="O763" s="81">
        <v>2008.0</v>
      </c>
      <c r="P763" s="17" t="s">
        <v>4827</v>
      </c>
      <c r="Q763" s="82"/>
      <c r="R763" s="82"/>
      <c r="S763" s="82"/>
      <c r="T763" s="16">
        <v>1.0</v>
      </c>
      <c r="U763" s="16" t="s">
        <v>1983</v>
      </c>
      <c r="V763" s="89">
        <f>IFERROR(__xludf.DUMMYFUNCTION("INDEX(SPLIT(SUBSTITUTE(W763,CHAR(10), """"),"",:""), MATCH(Z763, SPLIT(SUBSTITUTE(W763,CHAR(10), """"),"",:""), 0) + 1)"),3.0)</f>
        <v>3</v>
      </c>
      <c r="W763" s="85" t="s">
        <v>1763</v>
      </c>
      <c r="X763" s="39" t="s">
        <v>35</v>
      </c>
      <c r="Y763" s="53" t="s">
        <v>4802</v>
      </c>
      <c r="Z763" s="53" t="str">
        <f t="array" ref="Z763">INDEX(Problems!J:J, MATCH(1, (Problems!B:B=B763)*1, 0))</f>
        <v>n</v>
      </c>
      <c r="AA763" s="53"/>
      <c r="AB763" s="53"/>
      <c r="AC763" s="53" t="s">
        <v>1813</v>
      </c>
      <c r="AD763" s="53" t="s">
        <v>1814</v>
      </c>
      <c r="AE763" s="85">
        <f>IFERROR(__xludf.DUMMYFUNCTION("INDEX(SPLIT(SUBSTITUTE(AF763,CHAR(10), """"),"",:""), MATCH(Z763, SPLIT(SUBSTITUTE(AF763,CHAR(10), """"),"",:""), 0) + 1)"),3.0)</f>
        <v>3</v>
      </c>
      <c r="AF763" s="85" t="s">
        <v>1763</v>
      </c>
      <c r="AG763" s="53" t="s">
        <v>2625</v>
      </c>
      <c r="AH763" s="53" t="s">
        <v>4828</v>
      </c>
      <c r="AI763" s="21">
        <v>1.0</v>
      </c>
      <c r="AJ763" s="84">
        <v>0.0</v>
      </c>
      <c r="AK763" s="21"/>
      <c r="AL763" s="16">
        <v>0.0</v>
      </c>
      <c r="AM763" s="21"/>
      <c r="AN763" s="16">
        <v>0.0</v>
      </c>
      <c r="AO763" s="90"/>
      <c r="AP763" s="16">
        <v>0.0</v>
      </c>
      <c r="AQ763" s="16">
        <v>0.0</v>
      </c>
      <c r="AR763" s="39"/>
      <c r="AS763" s="81">
        <v>0.0</v>
      </c>
      <c r="AT763" s="81">
        <v>0.0</v>
      </c>
      <c r="AU763" s="39"/>
      <c r="AV763" s="82"/>
      <c r="AW763" s="82"/>
      <c r="AX763" s="82"/>
      <c r="AY763" s="7"/>
      <c r="AZ763" s="7"/>
      <c r="BA763" s="7"/>
      <c r="BB763" s="7"/>
      <c r="BC763" s="7"/>
      <c r="BD763" s="7"/>
      <c r="BE763" s="7"/>
      <c r="BF763" s="7">
        <v>1000.0</v>
      </c>
      <c r="BG763" s="7" t="s">
        <v>1781</v>
      </c>
      <c r="BH763" s="7"/>
      <c r="BI763" s="7">
        <v>1000000.0</v>
      </c>
      <c r="BJ763" s="7" t="s">
        <v>1781</v>
      </c>
      <c r="BK763" s="7"/>
      <c r="BL763" s="7">
        <v>1.0E9</v>
      </c>
      <c r="BM763" s="7" t="s">
        <v>1781</v>
      </c>
      <c r="BN763" s="7"/>
      <c r="BO763" s="7">
        <v>1.0</v>
      </c>
      <c r="BP763" s="82"/>
      <c r="BQ763" s="7"/>
      <c r="BR763" s="7" t="s">
        <v>196</v>
      </c>
    </row>
    <row r="764">
      <c r="A764" s="16">
        <v>75.0</v>
      </c>
      <c r="B764" s="16" t="s">
        <v>845</v>
      </c>
      <c r="C764" s="53">
        <v>1.0</v>
      </c>
      <c r="D764" s="53" t="s">
        <v>846</v>
      </c>
      <c r="E764" s="7">
        <v>602.0</v>
      </c>
      <c r="F764" s="53" t="s">
        <v>4829</v>
      </c>
      <c r="G764" s="7"/>
      <c r="H764" s="16">
        <v>1.0</v>
      </c>
      <c r="I764" s="16">
        <v>1.0</v>
      </c>
      <c r="J764" s="39" t="s">
        <v>35</v>
      </c>
      <c r="K764" s="53"/>
      <c r="L764" s="53"/>
      <c r="M764" s="39" t="str">
        <f t="shared" si="1"/>
        <v>[https://authors.library.caltech.edu/17983/1/Jalali2010p7459Ieee_T_Inform_Theory.pdf Jalali; A. Montanari; and T. Weissman (2010)]</v>
      </c>
      <c r="N764" s="16" t="s">
        <v>4830</v>
      </c>
      <c r="O764" s="81">
        <v>2010.0</v>
      </c>
      <c r="P764" s="25" t="s">
        <v>4831</v>
      </c>
      <c r="Q764" s="82"/>
      <c r="R764" s="82"/>
      <c r="S764" s="82"/>
      <c r="T764" s="16">
        <v>0.0</v>
      </c>
      <c r="U764" s="16">
        <v>0.0</v>
      </c>
      <c r="V764" s="89">
        <f>IFERROR(__xludf.DUMMYFUNCTION("INDEX(SPLIT(SUBSTITUTE(W764,CHAR(10), """"),"",:""), MATCH(Z764, SPLIT(SUBSTITUTE(W764,CHAR(10), """"),"",:""), 0) + 1)"),3.0)</f>
        <v>3</v>
      </c>
      <c r="W764" s="85" t="s">
        <v>1763</v>
      </c>
      <c r="X764" s="39" t="s">
        <v>35</v>
      </c>
      <c r="Y764" s="53" t="s">
        <v>4802</v>
      </c>
      <c r="Z764" s="53" t="str">
        <f t="array" ref="Z764">INDEX(Problems!J:J, MATCH(1, (Problems!B:B=B764)*1, 0))</f>
        <v>n</v>
      </c>
      <c r="AA764" s="53"/>
      <c r="AB764" s="53"/>
      <c r="AC764" s="53" t="s">
        <v>1813</v>
      </c>
      <c r="AD764" s="53" t="s">
        <v>1814</v>
      </c>
      <c r="AE764" s="85">
        <f>IFERROR(__xludf.DUMMYFUNCTION("INDEX(SPLIT(SUBSTITUTE(AF764,CHAR(10), """"),"",:""), MATCH(Z764, SPLIT(SUBSTITUTE(AF764,CHAR(10), """"),"",:""), 0) + 1)"),3.0)</f>
        <v>3</v>
      </c>
      <c r="AF764" s="85" t="s">
        <v>1763</v>
      </c>
      <c r="AG764" s="53" t="s">
        <v>2625</v>
      </c>
      <c r="AH764" s="53" t="s">
        <v>4832</v>
      </c>
      <c r="AI764" s="21">
        <v>1.0</v>
      </c>
      <c r="AJ764" s="84">
        <v>0.0</v>
      </c>
      <c r="AK764" s="21"/>
      <c r="AL764" s="16">
        <v>0.0</v>
      </c>
      <c r="AM764" s="21"/>
      <c r="AN764" s="16">
        <v>0.0</v>
      </c>
      <c r="AO764" s="90"/>
      <c r="AP764" s="16">
        <v>0.0</v>
      </c>
      <c r="AQ764" s="16">
        <v>0.0</v>
      </c>
      <c r="AR764" s="39"/>
      <c r="AS764" s="81">
        <v>0.0</v>
      </c>
      <c r="AT764" s="81">
        <v>0.0</v>
      </c>
      <c r="AU764" s="39"/>
      <c r="AV764" s="82"/>
      <c r="AW764" s="82"/>
      <c r="AX764" s="82"/>
      <c r="AY764" s="7"/>
      <c r="AZ764" s="7"/>
      <c r="BA764" s="7"/>
      <c r="BB764" s="7"/>
      <c r="BC764" s="7"/>
      <c r="BD764" s="7"/>
      <c r="BE764" s="7"/>
      <c r="BF764" s="7">
        <v>1000.0</v>
      </c>
      <c r="BG764" s="82"/>
      <c r="BH764" s="82"/>
      <c r="BI764" s="82"/>
      <c r="BJ764" s="82"/>
      <c r="BK764" s="82"/>
      <c r="BL764" s="82"/>
      <c r="BM764" s="82"/>
      <c r="BN764" s="7"/>
      <c r="BO764" s="7">
        <v>1.0</v>
      </c>
      <c r="BP764" s="82"/>
      <c r="BQ764" s="7"/>
      <c r="BR764" s="7" t="s">
        <v>196</v>
      </c>
    </row>
    <row r="765">
      <c r="A765" s="16">
        <v>75.0</v>
      </c>
      <c r="B765" s="16" t="s">
        <v>845</v>
      </c>
      <c r="C765" s="53">
        <v>2.0</v>
      </c>
      <c r="D765" s="53" t="s">
        <v>846</v>
      </c>
      <c r="E765" s="7">
        <v>603.0</v>
      </c>
      <c r="F765" s="53" t="s">
        <v>4833</v>
      </c>
      <c r="G765" s="7"/>
      <c r="H765" s="16">
        <v>1.0</v>
      </c>
      <c r="I765" s="16">
        <v>1.0</v>
      </c>
      <c r="J765" s="95" t="s">
        <v>4834</v>
      </c>
      <c r="K765" s="53"/>
      <c r="L765" s="53"/>
      <c r="M765" s="39" t="str">
        <f t="shared" si="1"/>
        <v>[https://arxiv.org/pdf/0903.0307.pdf Korada and R. Urbanke; (2010)]</v>
      </c>
      <c r="N765" s="39" t="s">
        <v>4835</v>
      </c>
      <c r="O765" s="81">
        <v>2010.0</v>
      </c>
      <c r="P765" s="25" t="s">
        <v>4836</v>
      </c>
      <c r="Q765" s="82"/>
      <c r="R765" s="82"/>
      <c r="S765" s="82"/>
      <c r="T765" s="16">
        <v>0.0</v>
      </c>
      <c r="U765" s="16">
        <v>0.0</v>
      </c>
      <c r="V765" s="89">
        <f>IFERROR(__xludf.DUMMYFUNCTION("INDEX(SPLIT(SUBSTITUTE(W765,CHAR(10), """"),"",:""), MATCH(Z765, SPLIT(SUBSTITUTE(W765,CHAR(10), """"),"",:""), 0) + 1)"),8.0)</f>
        <v>8</v>
      </c>
      <c r="W765" s="85" t="s">
        <v>2001</v>
      </c>
      <c r="X765" s="166" t="s">
        <v>2466</v>
      </c>
      <c r="Y765" s="53" t="s">
        <v>4837</v>
      </c>
      <c r="Z765" s="53" t="str">
        <f t="array" ref="Z765">INDEX(Problems!J:J, MATCH(1, (Problems!B:B=B765)*1, 0))</f>
        <v>n</v>
      </c>
      <c r="AA765" s="91" t="s">
        <v>4836</v>
      </c>
      <c r="AB765" s="53">
        <v>0.0</v>
      </c>
      <c r="AC765" s="53" t="s">
        <v>1813</v>
      </c>
      <c r="AD765" s="53" t="s">
        <v>1814</v>
      </c>
      <c r="AE765" s="85">
        <f>IFERROR(__xludf.DUMMYFUNCTION("INDEX(SPLIT(SUBSTITUTE(AF765,CHAR(10), """"),"",:""), MATCH(Z765, SPLIT(SUBSTITUTE(AF765,CHAR(10), """"),"",:""), 0) + 1)"),8.0)</f>
        <v>8</v>
      </c>
      <c r="AF765" s="85" t="s">
        <v>2001</v>
      </c>
      <c r="AG765" s="53" t="s">
        <v>655</v>
      </c>
      <c r="AH765" s="53" t="s">
        <v>4838</v>
      </c>
      <c r="AI765" s="21">
        <v>1.0</v>
      </c>
      <c r="AJ765" s="84">
        <v>0.0</v>
      </c>
      <c r="AK765" s="21"/>
      <c r="AL765" s="16">
        <v>0.0</v>
      </c>
      <c r="AM765" s="21"/>
      <c r="AN765" s="16">
        <v>0.0</v>
      </c>
      <c r="AO765" s="90"/>
      <c r="AP765" s="16">
        <v>0.0</v>
      </c>
      <c r="AQ765" s="16">
        <v>0.0</v>
      </c>
      <c r="AR765" s="39"/>
      <c r="AS765" s="81">
        <v>0.0</v>
      </c>
      <c r="AT765" s="81">
        <v>0.0</v>
      </c>
      <c r="AU765" s="39"/>
      <c r="AV765" s="82"/>
      <c r="AW765" s="82"/>
      <c r="AX765" s="82"/>
      <c r="AY765" s="7"/>
      <c r="AZ765" s="7"/>
      <c r="BA765" s="7"/>
      <c r="BB765" s="7"/>
      <c r="BC765" s="7"/>
      <c r="BD765" s="7"/>
      <c r="BE765" s="7"/>
      <c r="BF765" s="7">
        <v>9965.0</v>
      </c>
      <c r="BG765" s="82"/>
      <c r="BH765" s="82"/>
      <c r="BI765" s="82"/>
      <c r="BJ765" s="82"/>
      <c r="BK765" s="82"/>
      <c r="BL765" s="82"/>
      <c r="BM765" s="82"/>
      <c r="BN765" s="7"/>
      <c r="BO765" s="7">
        <v>1.0</v>
      </c>
      <c r="BP765" s="7" t="s">
        <v>4839</v>
      </c>
      <c r="BQ765" s="7"/>
      <c r="BR765" s="7" t="s">
        <v>196</v>
      </c>
    </row>
    <row r="766">
      <c r="A766" s="16">
        <v>76.0</v>
      </c>
      <c r="B766" s="16" t="s">
        <v>852</v>
      </c>
      <c r="C766" s="53">
        <v>1.0</v>
      </c>
      <c r="D766" s="53" t="s">
        <v>4840</v>
      </c>
      <c r="E766" s="7">
        <v>604.0</v>
      </c>
      <c r="F766" s="53"/>
      <c r="G766" s="7"/>
      <c r="H766" s="16">
        <v>1.0</v>
      </c>
      <c r="I766" s="81">
        <v>1.0</v>
      </c>
      <c r="J766" s="146" t="s">
        <v>4140</v>
      </c>
      <c r="K766" s="53"/>
      <c r="L766" s="53"/>
      <c r="M766" s="39" t="str">
        <f t="shared" si="1"/>
        <v>[https://ieeexplore.ieee.org/document/6768643/ Berlekamp's algorithm (1967)]</v>
      </c>
      <c r="N766" s="39" t="s">
        <v>4841</v>
      </c>
      <c r="O766" s="81">
        <v>1967.0</v>
      </c>
      <c r="P766" s="25" t="s">
        <v>4842</v>
      </c>
      <c r="Q766" s="82"/>
      <c r="R766" s="82"/>
      <c r="S766" s="82"/>
      <c r="T766" s="16">
        <v>0.0</v>
      </c>
      <c r="U766" s="16">
        <v>0.0</v>
      </c>
      <c r="V766" s="89">
        <f>IFERROR(__xludf.DUMMYFUNCTION("INDEX(SPLIT(SUBSTITUTE(W766,CHAR(10), """"),"",:""), MATCH(Z766, SPLIT(SUBSTITUTE(W766,CHAR(10), """"),"",:""), 0) + 1)"),6.01)</f>
        <v>6.01</v>
      </c>
      <c r="W766" s="85" t="s">
        <v>4142</v>
      </c>
      <c r="X766" s="48" t="s">
        <v>4143</v>
      </c>
      <c r="Y766" s="53" t="s">
        <v>4843</v>
      </c>
      <c r="Z766" s="53" t="str">
        <f t="array" ref="Z766">INDEX(Problems!J:J, MATCH(1, (Problems!B:B=B766)*1, 0))</f>
        <v>n</v>
      </c>
      <c r="AA766" s="53"/>
      <c r="AB766" s="53"/>
      <c r="AC766" s="53" t="s">
        <v>1813</v>
      </c>
      <c r="AD766" s="53" t="s">
        <v>1814</v>
      </c>
      <c r="AE766" s="85">
        <f>IFERROR(__xludf.DUMMYFUNCTION("INDEX(SPLIT(SUBSTITUTE(AF766,CHAR(10), """"),"",:""), MATCH(Z766, SPLIT(SUBSTITUTE(AF766,CHAR(10), """"),"",:""), 0) + 1)"),3.0)</f>
        <v>3</v>
      </c>
      <c r="AF766" s="104" t="s">
        <v>4844</v>
      </c>
      <c r="AG766" s="53" t="s">
        <v>35</v>
      </c>
      <c r="AH766" s="53" t="s">
        <v>4845</v>
      </c>
      <c r="AI766" s="84">
        <v>1.0</v>
      </c>
      <c r="AJ766" s="84">
        <v>0.0</v>
      </c>
      <c r="AK766" s="84"/>
      <c r="AL766" s="84">
        <v>1.0</v>
      </c>
      <c r="AM766" s="84" t="s">
        <v>1907</v>
      </c>
      <c r="AN766" s="81">
        <v>0.0</v>
      </c>
      <c r="AO766" s="90"/>
      <c r="AP766" s="81">
        <v>0.0</v>
      </c>
      <c r="AQ766" s="81">
        <v>0.0</v>
      </c>
      <c r="AR766" s="39"/>
      <c r="AS766" s="81">
        <v>0.0</v>
      </c>
      <c r="AT766" s="81">
        <v>0.0</v>
      </c>
      <c r="AU766" s="39"/>
      <c r="AV766" s="82"/>
      <c r="AW766" s="82"/>
      <c r="AX766" s="82"/>
      <c r="AY766" s="7"/>
      <c r="AZ766" s="82"/>
      <c r="BA766" s="82"/>
      <c r="BB766" s="82"/>
      <c r="BC766" s="82"/>
      <c r="BD766" s="82"/>
      <c r="BE766" s="82"/>
      <c r="BF766" s="82"/>
      <c r="BG766" s="82"/>
      <c r="BH766" s="82"/>
      <c r="BI766" s="82"/>
      <c r="BJ766" s="82"/>
      <c r="BK766" s="82"/>
      <c r="BL766" s="82"/>
      <c r="BM766" s="82"/>
      <c r="BN766" s="7"/>
      <c r="BO766" s="7">
        <v>3.0</v>
      </c>
      <c r="BP766" s="82"/>
      <c r="BQ766" s="7"/>
      <c r="BR766" s="7" t="s">
        <v>144</v>
      </c>
    </row>
    <row r="767">
      <c r="A767" s="16">
        <v>76.0</v>
      </c>
      <c r="B767" s="16" t="s">
        <v>852</v>
      </c>
      <c r="C767" s="53">
        <v>1.0</v>
      </c>
      <c r="D767" s="53"/>
      <c r="E767" s="7">
        <v>605.0</v>
      </c>
      <c r="F767" s="53"/>
      <c r="G767" s="7"/>
      <c r="H767" s="16">
        <v>1.0</v>
      </c>
      <c r="I767" s="81">
        <v>1.0</v>
      </c>
      <c r="J767" s="146" t="s">
        <v>834</v>
      </c>
      <c r="K767" s="53"/>
      <c r="L767" s="53"/>
      <c r="M767" s="39" t="str">
        <f t="shared" si="1"/>
        <v>[- Schubert's algorithm (1940)]</v>
      </c>
      <c r="N767" s="39" t="s">
        <v>4846</v>
      </c>
      <c r="O767" s="81">
        <v>1940.0</v>
      </c>
      <c r="P767" s="16" t="s">
        <v>1937</v>
      </c>
      <c r="Q767" s="82"/>
      <c r="R767" s="82"/>
      <c r="S767" s="82"/>
      <c r="T767" s="16">
        <v>1.0</v>
      </c>
      <c r="U767" s="16">
        <v>0.0</v>
      </c>
      <c r="V767" s="89">
        <f>IFERROR(__xludf.DUMMYFUNCTION("INDEX(SPLIT(SUBSTITUTE(W767,CHAR(10), """"),"",:""), MATCH(Z767, SPLIT(SUBSTITUTE(W767,CHAR(10), """"),"",:""), 0) + 1)"),6.0)</f>
        <v>6</v>
      </c>
      <c r="W767" s="85" t="s">
        <v>2008</v>
      </c>
      <c r="X767" s="146" t="s">
        <v>834</v>
      </c>
      <c r="Y767" s="53" t="s">
        <v>4843</v>
      </c>
      <c r="Z767" s="53" t="str">
        <f t="array" ref="Z767">INDEX(Problems!J:J, MATCH(1, (Problems!B:B=B767)*1, 0))</f>
        <v>n</v>
      </c>
      <c r="AA767" s="53"/>
      <c r="AB767" s="53"/>
      <c r="AC767" s="53" t="s">
        <v>1813</v>
      </c>
      <c r="AD767" s="53" t="s">
        <v>1814</v>
      </c>
      <c r="AE767" s="85">
        <f>IFERROR(__xludf.DUMMYFUNCTION("INDEX(SPLIT(SUBSTITUTE(AF767,CHAR(10), """"),"",:""), MATCH(Z767, SPLIT(SUBSTITUTE(AF767,CHAR(10), """"),"",:""), 0) + 1)"),3.0)</f>
        <v>3</v>
      </c>
      <c r="AF767" s="104" t="s">
        <v>4844</v>
      </c>
      <c r="AG767" s="53" t="s">
        <v>35</v>
      </c>
      <c r="AH767" s="53"/>
      <c r="AI767" s="84"/>
      <c r="AJ767" s="84" t="s">
        <v>2520</v>
      </c>
      <c r="AK767" s="87"/>
      <c r="AL767" s="81">
        <v>0.0</v>
      </c>
      <c r="AM767" s="87"/>
      <c r="AN767" s="81">
        <v>0.0</v>
      </c>
      <c r="AO767" s="90"/>
      <c r="AP767" s="81">
        <v>0.0</v>
      </c>
      <c r="AQ767" s="81">
        <v>0.0</v>
      </c>
      <c r="AR767" s="39"/>
      <c r="AS767" s="81">
        <v>0.0</v>
      </c>
      <c r="AT767" s="81">
        <v>0.0</v>
      </c>
      <c r="AU767" s="25" t="s">
        <v>4847</v>
      </c>
      <c r="AV767" s="82"/>
      <c r="AW767" s="82"/>
      <c r="AX767" s="82"/>
      <c r="AY767" s="7"/>
      <c r="AZ767" s="7"/>
      <c r="BA767" s="7"/>
      <c r="BB767" s="7"/>
      <c r="BC767" s="7"/>
      <c r="BD767" s="7"/>
      <c r="BE767" s="7"/>
      <c r="BF767" s="7">
        <v>1.0E9</v>
      </c>
      <c r="BG767" s="6">
        <v>1.0</v>
      </c>
      <c r="BH767" s="82"/>
      <c r="BI767" s="82">
        <f>POW(1000000,3)</f>
        <v>1E+18</v>
      </c>
      <c r="BJ767" s="7">
        <v>1.0</v>
      </c>
      <c r="BK767" s="82"/>
      <c r="BL767" s="82">
        <f>POW(1000000000,3)</f>
        <v>1E+27</v>
      </c>
      <c r="BM767" s="7">
        <v>1.0</v>
      </c>
      <c r="BN767" s="7"/>
      <c r="BO767" s="7">
        <v>3.0</v>
      </c>
      <c r="BP767" s="82"/>
      <c r="BQ767" s="7"/>
      <c r="BR767" s="7" t="s">
        <v>144</v>
      </c>
    </row>
    <row r="768">
      <c r="A768" s="16">
        <v>76.0</v>
      </c>
      <c r="B768" s="16" t="s">
        <v>852</v>
      </c>
      <c r="C768" s="53">
        <v>1.0</v>
      </c>
      <c r="D768" s="53" t="s">
        <v>4848</v>
      </c>
      <c r="E768" s="7">
        <v>606.0</v>
      </c>
      <c r="F768" s="53"/>
      <c r="G768" s="7"/>
      <c r="H768" s="16">
        <v>1.0</v>
      </c>
      <c r="I768" s="81">
        <v>1.0</v>
      </c>
      <c r="J768" s="146" t="s">
        <v>834</v>
      </c>
      <c r="K768" s="53"/>
      <c r="L768" s="53"/>
      <c r="M768" s="39" t="str">
        <f t="shared" si="1"/>
        <v>[- Square-free factorization (1975)]</v>
      </c>
      <c r="N768" s="39" t="s">
        <v>4849</v>
      </c>
      <c r="O768" s="81">
        <v>1975.0</v>
      </c>
      <c r="P768" s="16" t="s">
        <v>1937</v>
      </c>
      <c r="Q768" s="82"/>
      <c r="R768" s="82"/>
      <c r="S768" s="82"/>
      <c r="T768" s="16">
        <v>0.0</v>
      </c>
      <c r="U768" s="16">
        <v>0.0</v>
      </c>
      <c r="V768" s="89">
        <f>IFERROR(__xludf.DUMMYFUNCTION("INDEX(SPLIT(SUBSTITUTE(W768,CHAR(10), """"),"",:""), MATCH(Z768, SPLIT(SUBSTITUTE(W768,CHAR(10), """"),"",:""), 0) + 1)"),6.0)</f>
        <v>6</v>
      </c>
      <c r="W768" s="85" t="s">
        <v>2008</v>
      </c>
      <c r="X768" s="146" t="s">
        <v>834</v>
      </c>
      <c r="Y768" s="53" t="s">
        <v>4843</v>
      </c>
      <c r="Z768" s="53" t="str">
        <f t="array" ref="Z768">INDEX(Problems!J:J, MATCH(1, (Problems!B:B=B768)*1, 0))</f>
        <v>n</v>
      </c>
      <c r="AA768" s="53"/>
      <c r="AB768" s="53"/>
      <c r="AC768" s="53" t="s">
        <v>1813</v>
      </c>
      <c r="AD768" s="53" t="s">
        <v>1814</v>
      </c>
      <c r="AE768" s="85">
        <f>IFERROR(__xludf.DUMMYFUNCTION("INDEX(SPLIT(SUBSTITUTE(AF768,CHAR(10), """"),"",:""), MATCH(Z768, SPLIT(SUBSTITUTE(AF768,CHAR(10), """"),"",:""), 0) + 1)"),3.0)</f>
        <v>3</v>
      </c>
      <c r="AF768" s="104" t="s">
        <v>4844</v>
      </c>
      <c r="AG768" s="120" t="s">
        <v>35</v>
      </c>
      <c r="AH768" s="104" t="s">
        <v>4850</v>
      </c>
      <c r="AI768" s="105">
        <v>1.0</v>
      </c>
      <c r="AJ768" s="84">
        <v>0.0</v>
      </c>
      <c r="AK768" s="87"/>
      <c r="AL768" s="81">
        <v>0.0</v>
      </c>
      <c r="AM768" s="87"/>
      <c r="AN768" s="81">
        <v>0.0</v>
      </c>
      <c r="AO768" s="90"/>
      <c r="AP768" s="81">
        <v>0.0</v>
      </c>
      <c r="AQ768" s="81">
        <v>0.0</v>
      </c>
      <c r="AR768" s="39"/>
      <c r="AS768" s="81">
        <v>0.0</v>
      </c>
      <c r="AT768" s="81">
        <v>0.0</v>
      </c>
      <c r="AU768" s="25" t="s">
        <v>4847</v>
      </c>
      <c r="AV768" s="82"/>
      <c r="AW768" s="82"/>
      <c r="AX768" s="82"/>
      <c r="AY768" s="7"/>
      <c r="AZ768" s="7"/>
      <c r="BA768" s="7"/>
      <c r="BB768" s="7"/>
      <c r="BC768" s="7"/>
      <c r="BD768" s="7"/>
      <c r="BE768" s="7"/>
      <c r="BF768" s="7">
        <v>1.0E9</v>
      </c>
      <c r="BG768" s="13"/>
      <c r="BH768" s="82"/>
      <c r="BI768" s="82"/>
      <c r="BJ768" s="82"/>
      <c r="BK768" s="82"/>
      <c r="BL768" s="82"/>
      <c r="BM768" s="82"/>
      <c r="BN768" s="7"/>
      <c r="BO768" s="7">
        <v>3.0</v>
      </c>
      <c r="BP768" s="82"/>
      <c r="BQ768" s="7"/>
      <c r="BR768" s="7" t="s">
        <v>144</v>
      </c>
    </row>
    <row r="769">
      <c r="A769" s="16">
        <v>76.0</v>
      </c>
      <c r="B769" s="16" t="s">
        <v>852</v>
      </c>
      <c r="C769" s="53">
        <v>1.0</v>
      </c>
      <c r="D769" s="53" t="s">
        <v>4851</v>
      </c>
      <c r="E769" s="7">
        <v>607.0</v>
      </c>
      <c r="F769" s="53"/>
      <c r="G769" s="7"/>
      <c r="H769" s="16">
        <v>1.0</v>
      </c>
      <c r="I769" s="81">
        <v>1.0</v>
      </c>
      <c r="J769" s="146" t="s">
        <v>4852</v>
      </c>
      <c r="K769" s="53"/>
      <c r="L769" s="53"/>
      <c r="M769" s="39" t="str">
        <f t="shared" si="1"/>
        <v>[- Distinct-degree factorization (1944)]</v>
      </c>
      <c r="N769" s="39" t="s">
        <v>4853</v>
      </c>
      <c r="O769" s="81">
        <v>1944.0</v>
      </c>
      <c r="P769" s="16" t="s">
        <v>1937</v>
      </c>
      <c r="Q769" s="82"/>
      <c r="R769" s="82"/>
      <c r="S769" s="82"/>
      <c r="T769" s="16">
        <v>0.0</v>
      </c>
      <c r="U769" s="16">
        <v>0.0</v>
      </c>
      <c r="V769" s="89">
        <f>IFERROR(__xludf.DUMMYFUNCTION("INDEX(SPLIT(SUBSTITUTE(W769,CHAR(10), """"),"",:""), MATCH(Z769, SPLIT(SUBSTITUTE(W769,CHAR(10), """"),"",:""), 0) + 1)"),6.0)</f>
        <v>6</v>
      </c>
      <c r="W769" s="85" t="s">
        <v>2008</v>
      </c>
      <c r="X769" s="48" t="s">
        <v>4854</v>
      </c>
      <c r="Y769" s="53" t="s">
        <v>4843</v>
      </c>
      <c r="Z769" s="53" t="str">
        <f t="array" ref="Z769">INDEX(Problems!J:J, MATCH(1, (Problems!B:B=B769)*1, 0))</f>
        <v>n</v>
      </c>
      <c r="AA769" s="53"/>
      <c r="AB769" s="53"/>
      <c r="AC769" s="53" t="s">
        <v>1813</v>
      </c>
      <c r="AD769" s="53" t="s">
        <v>1814</v>
      </c>
      <c r="AE769" s="85">
        <f>IFERROR(__xludf.DUMMYFUNCTION("INDEX(SPLIT(SUBSTITUTE(AF769,CHAR(10), """"),"",:""), MATCH(Z769, SPLIT(SUBSTITUTE(AF769,CHAR(10), """"),"",:""), 0) + 1)"),3.0)</f>
        <v>3</v>
      </c>
      <c r="AF769" s="104" t="s">
        <v>4844</v>
      </c>
      <c r="AG769" s="120" t="s">
        <v>35</v>
      </c>
      <c r="AH769" s="104" t="s">
        <v>4855</v>
      </c>
      <c r="AI769" s="105">
        <v>1.0</v>
      </c>
      <c r="AJ769" s="84">
        <v>0.0</v>
      </c>
      <c r="AK769" s="87"/>
      <c r="AL769" s="81">
        <v>0.0</v>
      </c>
      <c r="AM769" s="87"/>
      <c r="AN769" s="81">
        <v>0.0</v>
      </c>
      <c r="AO769" s="90"/>
      <c r="AP769" s="81">
        <v>0.0</v>
      </c>
      <c r="AQ769" s="81">
        <v>0.0</v>
      </c>
      <c r="AR769" s="39"/>
      <c r="AS769" s="81">
        <v>0.0</v>
      </c>
      <c r="AT769" s="81">
        <v>0.0</v>
      </c>
      <c r="AU769" s="25" t="s">
        <v>4847</v>
      </c>
      <c r="AV769" s="82"/>
      <c r="AW769" s="82"/>
      <c r="AX769" s="82"/>
      <c r="AY769" s="7"/>
      <c r="AZ769" s="82"/>
      <c r="BA769" s="82"/>
      <c r="BB769" s="82"/>
      <c r="BC769" s="82"/>
      <c r="BD769" s="82"/>
      <c r="BE769" s="82"/>
      <c r="BF769" s="82"/>
      <c r="BG769" s="13"/>
      <c r="BH769" s="82"/>
      <c r="BI769" s="82"/>
      <c r="BJ769" s="82"/>
      <c r="BK769" s="82"/>
      <c r="BL769" s="82"/>
      <c r="BM769" s="82"/>
      <c r="BN769" s="7"/>
      <c r="BO769" s="7">
        <v>3.0</v>
      </c>
      <c r="BP769" s="82"/>
      <c r="BQ769" s="7"/>
      <c r="BR769" s="7" t="s">
        <v>144</v>
      </c>
    </row>
    <row r="770">
      <c r="A770" s="16">
        <v>76.0</v>
      </c>
      <c r="B770" s="16" t="s">
        <v>852</v>
      </c>
      <c r="C770" s="53">
        <v>1.0</v>
      </c>
      <c r="D770" s="53" t="s">
        <v>4856</v>
      </c>
      <c r="E770" s="7">
        <v>608.0</v>
      </c>
      <c r="F770" s="53"/>
      <c r="G770" s="7"/>
      <c r="H770" s="16">
        <v>1.0</v>
      </c>
      <c r="I770" s="81">
        <v>1.0</v>
      </c>
      <c r="J770" s="146" t="s">
        <v>4140</v>
      </c>
      <c r="K770" s="53"/>
      <c r="L770" s="53"/>
      <c r="M770" s="39" t="str">
        <f t="shared" si="1"/>
        <v>[https://www.ams.org/journals/mcom/1981-36-154/S0025-5718-1981-0606517-5/home.html Cantor–Zassenhaus algorithm (1981)]</v>
      </c>
      <c r="N770" s="39" t="s">
        <v>4857</v>
      </c>
      <c r="O770" s="81">
        <v>1981.0</v>
      </c>
      <c r="P770" s="25" t="s">
        <v>4858</v>
      </c>
      <c r="Q770" s="82"/>
      <c r="R770" s="82"/>
      <c r="S770" s="82"/>
      <c r="T770" s="16">
        <v>0.0</v>
      </c>
      <c r="U770" s="16">
        <v>0.0</v>
      </c>
      <c r="V770" s="89">
        <f>IFERROR(__xludf.DUMMYFUNCTION("INDEX(SPLIT(SUBSTITUTE(W770,CHAR(10), """"),"",:""), MATCH(Z770, SPLIT(SUBSTITUTE(W770,CHAR(10), """"),"",:""), 0) + 1)"),6.01)</f>
        <v>6.01</v>
      </c>
      <c r="W770" s="85" t="s">
        <v>4142</v>
      </c>
      <c r="X770" s="48" t="s">
        <v>4143</v>
      </c>
      <c r="Y770" s="53" t="s">
        <v>4843</v>
      </c>
      <c r="Z770" s="53" t="str">
        <f t="array" ref="Z770">INDEX(Problems!J:J, MATCH(1, (Problems!B:B=B770)*1, 0))</f>
        <v>n</v>
      </c>
      <c r="AA770" s="53"/>
      <c r="AB770" s="53"/>
      <c r="AC770" s="53" t="s">
        <v>1813</v>
      </c>
      <c r="AD770" s="53" t="s">
        <v>1814</v>
      </c>
      <c r="AE770" s="85">
        <f>IFERROR(__xludf.DUMMYFUNCTION("INDEX(SPLIT(SUBSTITUTE(AF770,CHAR(10), """"),"",:""), MATCH(Z770, SPLIT(SUBSTITUTE(AF770,CHAR(10), """"),"",:""), 0) + 1)"),3.0)</f>
        <v>3</v>
      </c>
      <c r="AF770" s="104" t="s">
        <v>4844</v>
      </c>
      <c r="AG770" s="120" t="s">
        <v>35</v>
      </c>
      <c r="AH770" s="53" t="s">
        <v>4859</v>
      </c>
      <c r="AI770" s="84">
        <v>1.0</v>
      </c>
      <c r="AJ770" s="84">
        <v>0.0</v>
      </c>
      <c r="AK770" s="84"/>
      <c r="AL770" s="84">
        <v>1.0</v>
      </c>
      <c r="AM770" s="84" t="s">
        <v>1907</v>
      </c>
      <c r="AN770" s="81">
        <v>0.0</v>
      </c>
      <c r="AO770" s="90"/>
      <c r="AP770" s="81">
        <v>0.0</v>
      </c>
      <c r="AQ770" s="81">
        <v>0.0</v>
      </c>
      <c r="AR770" s="39"/>
      <c r="AS770" s="81">
        <v>0.0</v>
      </c>
      <c r="AT770" s="81">
        <v>0.0</v>
      </c>
      <c r="AU770" s="39"/>
      <c r="AV770" s="82"/>
      <c r="AW770" s="82"/>
      <c r="AX770" s="82"/>
      <c r="AY770" s="7"/>
      <c r="AZ770" s="82"/>
      <c r="BA770" s="82"/>
      <c r="BB770" s="82"/>
      <c r="BC770" s="82"/>
      <c r="BD770" s="82"/>
      <c r="BE770" s="82"/>
      <c r="BF770" s="82"/>
      <c r="BG770" s="13"/>
      <c r="BH770" s="82"/>
      <c r="BI770" s="82"/>
      <c r="BJ770" s="82"/>
      <c r="BK770" s="82"/>
      <c r="BL770" s="82"/>
      <c r="BM770" s="82"/>
      <c r="BN770" s="7"/>
      <c r="BO770" s="7">
        <v>3.0</v>
      </c>
      <c r="BP770" s="82"/>
      <c r="BQ770" s="7"/>
      <c r="BR770" s="7" t="s">
        <v>144</v>
      </c>
    </row>
    <row r="771">
      <c r="A771" s="16">
        <v>76.0</v>
      </c>
      <c r="B771" s="16" t="s">
        <v>852</v>
      </c>
      <c r="C771" s="53">
        <v>1.0</v>
      </c>
      <c r="D771" s="53" t="s">
        <v>4856</v>
      </c>
      <c r="E771" s="7">
        <v>609.0</v>
      </c>
      <c r="F771" s="53"/>
      <c r="G771" s="7"/>
      <c r="H771" s="16">
        <v>1.0</v>
      </c>
      <c r="I771" s="81">
        <v>1.0</v>
      </c>
      <c r="J771" s="146" t="s">
        <v>115</v>
      </c>
      <c r="K771" s="53"/>
      <c r="L771" s="53"/>
      <c r="M771" s="39" t="str">
        <f t="shared" si="1"/>
        <v>[https://www.sciencedirect.com/science/article/abs/pii/0020019090901954 Victor Shoup's algorithm (1990)]</v>
      </c>
      <c r="N771" s="39" t="s">
        <v>4860</v>
      </c>
      <c r="O771" s="83">
        <v>1990.0</v>
      </c>
      <c r="P771" s="17" t="s">
        <v>856</v>
      </c>
      <c r="Q771" s="82"/>
      <c r="R771" s="82"/>
      <c r="S771" s="82"/>
      <c r="T771" s="16">
        <v>1.0</v>
      </c>
      <c r="U771" s="16" t="s">
        <v>2425</v>
      </c>
      <c r="V771" s="89">
        <f>IFERROR(__xludf.DUMMYFUNCTION("INDEX(SPLIT(SUBSTITUTE(W771,CHAR(10), """"),"",:""), MATCH(Z771, SPLIT(SUBSTITUTE(W771,CHAR(10), """"),"",:""), 0) + 1)"),5.0)</f>
        <v>5</v>
      </c>
      <c r="W771" s="85" t="s">
        <v>1938</v>
      </c>
      <c r="X771" s="146" t="s">
        <v>115</v>
      </c>
      <c r="Y771" s="53" t="s">
        <v>4843</v>
      </c>
      <c r="Z771" s="53" t="str">
        <f t="array" ref="Z771">INDEX(Problems!J:J, MATCH(1, (Problems!B:B=B771)*1, 0))</f>
        <v>n</v>
      </c>
      <c r="AA771" s="53"/>
      <c r="AB771" s="53"/>
      <c r="AC771" s="53" t="s">
        <v>1813</v>
      </c>
      <c r="AD771" s="53" t="s">
        <v>1814</v>
      </c>
      <c r="AE771" s="85">
        <f>IFERROR(__xludf.DUMMYFUNCTION("INDEX(SPLIT(SUBSTITUTE(AF771,CHAR(10), """"),"",:""), MATCH(Z771, SPLIT(SUBSTITUTE(AF771,CHAR(10), """"),"",:""), 0) + 1)"),3.0)</f>
        <v>3</v>
      </c>
      <c r="AF771" s="104" t="s">
        <v>4844</v>
      </c>
      <c r="AG771" s="120" t="s">
        <v>35</v>
      </c>
      <c r="AH771" s="53" t="s">
        <v>4861</v>
      </c>
      <c r="AI771" s="84">
        <v>1.0</v>
      </c>
      <c r="AJ771" s="84">
        <v>0.0</v>
      </c>
      <c r="AK771" s="87"/>
      <c r="AL771" s="81">
        <v>0.0</v>
      </c>
      <c r="AM771" s="87"/>
      <c r="AN771" s="81">
        <v>0.0</v>
      </c>
      <c r="AO771" s="90"/>
      <c r="AP771" s="81">
        <v>0.0</v>
      </c>
      <c r="AQ771" s="81">
        <v>0.0</v>
      </c>
      <c r="AR771" s="39"/>
      <c r="AS771" s="81">
        <v>0.0</v>
      </c>
      <c r="AT771" s="81">
        <v>0.0</v>
      </c>
      <c r="AU771" s="39"/>
      <c r="AV771" s="82"/>
      <c r="AW771" s="82"/>
      <c r="AX771" s="82"/>
      <c r="AY771" s="7"/>
      <c r="AZ771" s="7"/>
      <c r="BA771" s="7"/>
      <c r="BB771" s="7"/>
      <c r="BC771" s="7"/>
      <c r="BD771" s="7"/>
      <c r="BE771" s="7"/>
      <c r="BF771" s="7">
        <v>1000000.0</v>
      </c>
      <c r="BG771" s="6">
        <v>1000.0</v>
      </c>
      <c r="BH771" s="82">
        <f>POW(BG771,1/($O771-$O767)) - 1</f>
        <v>0.1481536215</v>
      </c>
      <c r="BI771" s="82">
        <f>POW(1000000,2)</f>
        <v>1000000000000</v>
      </c>
      <c r="BJ771" s="7">
        <v>1000000.0</v>
      </c>
      <c r="BK771" s="82">
        <f>POW(BJ771,1/($O771-$O767)) - 1</f>
        <v>0.3182567386</v>
      </c>
      <c r="BL771" s="82">
        <f>POW(1000000000,2)</f>
        <v>1E+18</v>
      </c>
      <c r="BM771" s="7">
        <v>1.0E9</v>
      </c>
      <c r="BN771" s="82">
        <f>POW(BM771,1/($O771-$O767)) - 1</f>
        <v>0.5135612484</v>
      </c>
      <c r="BO771" s="7">
        <v>3.0</v>
      </c>
      <c r="BP771" s="82"/>
      <c r="BQ771" s="7"/>
      <c r="BR771" s="7" t="s">
        <v>144</v>
      </c>
    </row>
    <row r="772">
      <c r="A772" s="16">
        <v>77.0</v>
      </c>
      <c r="B772" s="16" t="s">
        <v>857</v>
      </c>
      <c r="C772" s="53">
        <v>1.0</v>
      </c>
      <c r="D772" s="53" t="s">
        <v>857</v>
      </c>
      <c r="E772" s="7">
        <v>610.0</v>
      </c>
      <c r="F772" s="53"/>
      <c r="G772" s="7"/>
      <c r="H772" s="16">
        <v>1.0</v>
      </c>
      <c r="I772" s="81">
        <v>1.0</v>
      </c>
      <c r="J772" s="39" t="s">
        <v>115</v>
      </c>
      <c r="K772" s="53"/>
      <c r="L772" s="53"/>
      <c r="M772" s="39" t="str">
        <f t="shared" si="1"/>
        <v>[https://ieeexplore.ieee.org/document/1054260 Berlekamp–Massey algorithm (1969)]</v>
      </c>
      <c r="N772" s="39" t="s">
        <v>4862</v>
      </c>
      <c r="O772" s="81">
        <v>1969.0</v>
      </c>
      <c r="P772" s="17" t="s">
        <v>4863</v>
      </c>
      <c r="Q772" s="7">
        <v>2.0</v>
      </c>
      <c r="R772" s="7">
        <v>1.0</v>
      </c>
      <c r="S772" s="47" t="s">
        <v>4864</v>
      </c>
      <c r="T772" s="16">
        <v>1.0</v>
      </c>
      <c r="U772" s="16">
        <v>0.0</v>
      </c>
      <c r="V772" s="89">
        <f>IFERROR(__xludf.DUMMYFUNCTION("INDEX(SPLIT(SUBSTITUTE(W772,CHAR(10), """"),"",:""), MATCH(Z772, SPLIT(SUBSTITUTE(W772,CHAR(10), """"),"",:""), 0) + 1)"),5.0)</f>
        <v>5</v>
      </c>
      <c r="W772" s="85" t="s">
        <v>1938</v>
      </c>
      <c r="X772" s="39" t="s">
        <v>115</v>
      </c>
      <c r="Y772" s="53" t="s">
        <v>4865</v>
      </c>
      <c r="Z772" s="53" t="str">
        <f t="array" ref="Z772">INDEX(Problems!J:J, MATCH(1, (Problems!B:B=B772)*1, 0))</f>
        <v>n</v>
      </c>
      <c r="AA772" s="53"/>
      <c r="AB772" s="53"/>
      <c r="AC772" s="53" t="s">
        <v>1813</v>
      </c>
      <c r="AD772" s="53" t="s">
        <v>1814</v>
      </c>
      <c r="AE772" s="85">
        <f>IFERROR(__xludf.DUMMYFUNCTION("INDEX(SPLIT(SUBSTITUTE(AF772,CHAR(10), """"),"",:""), MATCH(Z772, SPLIT(SUBSTITUTE(AF772,CHAR(10), """"),"",:""), 0) + 1)"),3.0)</f>
        <v>3</v>
      </c>
      <c r="AF772" s="85" t="s">
        <v>1763</v>
      </c>
      <c r="AG772" s="53" t="s">
        <v>2625</v>
      </c>
      <c r="AH772" s="53" t="s">
        <v>4866</v>
      </c>
      <c r="AI772" s="84">
        <v>1.0</v>
      </c>
      <c r="AJ772" s="84">
        <v>0.0</v>
      </c>
      <c r="AK772" s="87"/>
      <c r="AL772" s="81">
        <v>0.0</v>
      </c>
      <c r="AM772" s="87"/>
      <c r="AN772" s="81">
        <v>0.0</v>
      </c>
      <c r="AO772" s="90"/>
      <c r="AP772" s="81">
        <v>0.0</v>
      </c>
      <c r="AQ772" s="81">
        <v>0.0</v>
      </c>
      <c r="AR772" s="39"/>
      <c r="AS772" s="81">
        <v>0.0</v>
      </c>
      <c r="AT772" s="81">
        <v>0.0</v>
      </c>
      <c r="AU772" s="39"/>
      <c r="AV772" s="82"/>
      <c r="AW772" s="82"/>
      <c r="AX772" s="82"/>
      <c r="AY772" s="7"/>
      <c r="AZ772" s="7"/>
      <c r="BA772" s="7"/>
      <c r="BB772" s="7"/>
      <c r="BC772" s="7"/>
      <c r="BD772" s="7"/>
      <c r="BE772" s="7"/>
      <c r="BF772" s="7">
        <v>1000000.0</v>
      </c>
      <c r="BG772" s="6">
        <v>1.0</v>
      </c>
      <c r="BH772" s="7"/>
      <c r="BI772" s="7">
        <v>1.0E12</v>
      </c>
      <c r="BJ772" s="7">
        <v>1.0</v>
      </c>
      <c r="BK772" s="7"/>
      <c r="BL772" s="7">
        <v>1.0E18</v>
      </c>
      <c r="BM772" s="7">
        <v>1.0</v>
      </c>
      <c r="BN772" s="7"/>
      <c r="BO772" s="7">
        <v>4.0</v>
      </c>
      <c r="BP772" s="82"/>
      <c r="BQ772" s="7"/>
      <c r="BR772" s="7" t="s">
        <v>485</v>
      </c>
    </row>
    <row r="773">
      <c r="A773" s="16">
        <v>78.0</v>
      </c>
      <c r="B773" s="16" t="s">
        <v>861</v>
      </c>
      <c r="C773" s="53">
        <v>1.0</v>
      </c>
      <c r="D773" s="53" t="s">
        <v>862</v>
      </c>
      <c r="E773" s="7">
        <v>611.0</v>
      </c>
      <c r="F773" s="53"/>
      <c r="G773" s="7"/>
      <c r="H773" s="16">
        <v>1.0</v>
      </c>
      <c r="I773" s="81">
        <v>1.0</v>
      </c>
      <c r="J773" s="39" t="s">
        <v>115</v>
      </c>
      <c r="K773" s="53"/>
      <c r="L773" s="53"/>
      <c r="M773" s="39" t="str">
        <f t="shared" si="1"/>
        <v>[http://www.eecs.harvard.edu/cs286r/courses/fall09/papers/galeshapley.pdf Gale–Shapley algorithm (1962)]</v>
      </c>
      <c r="N773" s="39" t="s">
        <v>4867</v>
      </c>
      <c r="O773" s="81">
        <v>1962.0</v>
      </c>
      <c r="P773" s="28" t="s">
        <v>866</v>
      </c>
      <c r="Q773" s="7">
        <v>1.0</v>
      </c>
      <c r="R773" s="7">
        <v>1.0</v>
      </c>
      <c r="S773" s="7" t="s">
        <v>4868</v>
      </c>
      <c r="T773" s="81">
        <v>1.0</v>
      </c>
      <c r="U773" s="81">
        <v>0.0</v>
      </c>
      <c r="V773" s="89">
        <f>IFERROR(__xludf.DUMMYFUNCTION("INDEX(SPLIT(SUBSTITUTE(W773,CHAR(10), """"),"",:""), MATCH(Z773, SPLIT(SUBSTITUTE(W773,CHAR(10), """"),"",:""), 0) + 1)"),5.0)</f>
        <v>5</v>
      </c>
      <c r="W773" s="85" t="s">
        <v>1938</v>
      </c>
      <c r="X773" s="39" t="s">
        <v>115</v>
      </c>
      <c r="Y773" s="53" t="s">
        <v>4869</v>
      </c>
      <c r="Z773" s="53" t="str">
        <f t="array" ref="Z773">INDEX(Problems!J:J, MATCH(1, (Problems!B:B=B773)*1, 0))</f>
        <v>n</v>
      </c>
      <c r="AA773" s="53"/>
      <c r="AB773" s="53"/>
      <c r="AC773" s="53" t="s">
        <v>1813</v>
      </c>
      <c r="AD773" s="53" t="s">
        <v>1814</v>
      </c>
      <c r="AE773" s="85">
        <f>IFERROR(__xludf.DUMMYFUNCTION("INDEX(SPLIT(SUBSTITUTE(AF773,CHAR(10), """"),"",:""), MATCH(Z773, SPLIT(SUBSTITUTE(AF773,CHAR(10), """"),"",:""), 0) + 1)"),3.0)</f>
        <v>3</v>
      </c>
      <c r="AF773" s="85" t="s">
        <v>1763</v>
      </c>
      <c r="AG773" s="53" t="s">
        <v>35</v>
      </c>
      <c r="AH773" s="53" t="s">
        <v>4870</v>
      </c>
      <c r="AI773" s="84">
        <v>1.0</v>
      </c>
      <c r="AJ773" s="84">
        <v>0.0</v>
      </c>
      <c r="AK773" s="87"/>
      <c r="AL773" s="81">
        <v>0.0</v>
      </c>
      <c r="AM773" s="87"/>
      <c r="AN773" s="81">
        <v>0.0</v>
      </c>
      <c r="AO773" s="90"/>
      <c r="AP773" s="81">
        <v>0.0</v>
      </c>
      <c r="AQ773" s="81">
        <v>0.0</v>
      </c>
      <c r="AR773" s="39"/>
      <c r="AS773" s="81">
        <v>0.0</v>
      </c>
      <c r="AT773" s="81">
        <v>0.0</v>
      </c>
      <c r="AU773" s="39"/>
      <c r="AV773" s="82"/>
      <c r="AW773" s="82"/>
      <c r="AX773" s="82"/>
      <c r="AY773" s="7"/>
      <c r="AZ773" s="7"/>
      <c r="BA773" s="7"/>
      <c r="BB773" s="7"/>
      <c r="BC773" s="7"/>
      <c r="BD773" s="7"/>
      <c r="BE773" s="7"/>
      <c r="BF773" s="7">
        <v>1000000.0</v>
      </c>
      <c r="BG773" s="6">
        <v>1.0</v>
      </c>
      <c r="BH773" s="7"/>
      <c r="BI773" s="7">
        <v>1.0E12</v>
      </c>
      <c r="BJ773" s="7">
        <v>1.0</v>
      </c>
      <c r="BK773" s="7"/>
      <c r="BL773" s="7">
        <v>1.0E18</v>
      </c>
      <c r="BM773" s="7">
        <v>1.0</v>
      </c>
      <c r="BN773" s="7"/>
      <c r="BO773" s="7">
        <v>4.0</v>
      </c>
      <c r="BP773" s="82"/>
      <c r="BQ773" s="7"/>
      <c r="BR773" s="7" t="s">
        <v>23</v>
      </c>
    </row>
    <row r="774">
      <c r="A774" s="16">
        <v>78.0</v>
      </c>
      <c r="B774" s="16" t="s">
        <v>861</v>
      </c>
      <c r="C774" s="53">
        <v>1.0</v>
      </c>
      <c r="D774" s="53" t="s">
        <v>864</v>
      </c>
      <c r="E774" s="7">
        <v>612.0</v>
      </c>
      <c r="F774" s="53"/>
      <c r="G774" s="7"/>
      <c r="H774" s="16">
        <v>1.0</v>
      </c>
      <c r="I774" s="81">
        <v>1.0</v>
      </c>
      <c r="J774" s="39" t="s">
        <v>115</v>
      </c>
      <c r="K774" s="53"/>
      <c r="L774" s="53"/>
      <c r="M774" s="39" t="str">
        <f t="shared" si="1"/>
        <v>[http://www.dcs.gla.ac.uk/~pat/jchoco/roommates/papers/Comp_sdarticle.pdf Irving's Algorithm (1985)]</v>
      </c>
      <c r="N774" s="39" t="s">
        <v>4871</v>
      </c>
      <c r="O774" s="81">
        <v>1985.0</v>
      </c>
      <c r="P774" s="28" t="s">
        <v>4872</v>
      </c>
      <c r="Q774" s="82"/>
      <c r="R774" s="82"/>
      <c r="S774" s="82"/>
      <c r="T774" s="81">
        <v>0.0</v>
      </c>
      <c r="U774" s="81">
        <v>0.0</v>
      </c>
      <c r="V774" s="89">
        <f>IFERROR(__xludf.DUMMYFUNCTION("INDEX(SPLIT(SUBSTITUTE(W774,CHAR(10), """"),"",:""), MATCH(Z774, SPLIT(SUBSTITUTE(W774,CHAR(10), """"),"",:""), 0) + 1)"),5.0)</f>
        <v>5</v>
      </c>
      <c r="W774" s="85" t="s">
        <v>1938</v>
      </c>
      <c r="X774" s="39" t="s">
        <v>115</v>
      </c>
      <c r="Y774" s="53" t="s">
        <v>4873</v>
      </c>
      <c r="Z774" s="53" t="str">
        <f t="array" ref="Z774">INDEX(Problems!J:J, MATCH(1, (Problems!B:B=B774)*1, 0))</f>
        <v>n</v>
      </c>
      <c r="AA774" s="53"/>
      <c r="AB774" s="53"/>
      <c r="AC774" s="53" t="s">
        <v>1813</v>
      </c>
      <c r="AD774" s="53" t="s">
        <v>1814</v>
      </c>
      <c r="AE774" s="85">
        <f>IFERROR(__xludf.DUMMYFUNCTION("INDEX(SPLIT(SUBSTITUTE(AF774,CHAR(10), """"),"",:""), MATCH(Z774, SPLIT(SUBSTITUTE(AF774,CHAR(10), """"),"",:""), 0) + 1)"),5.0)</f>
        <v>5</v>
      </c>
      <c r="AF774" s="85" t="s">
        <v>1938</v>
      </c>
      <c r="AG774" s="53" t="s">
        <v>2615</v>
      </c>
      <c r="AH774" s="53" t="s">
        <v>4874</v>
      </c>
      <c r="AI774" s="84">
        <v>1.0</v>
      </c>
      <c r="AJ774" s="84">
        <v>0.0</v>
      </c>
      <c r="AK774" s="87"/>
      <c r="AL774" s="81">
        <v>0.0</v>
      </c>
      <c r="AM774" s="87"/>
      <c r="AN774" s="81">
        <v>0.0</v>
      </c>
      <c r="AO774" s="90"/>
      <c r="AP774" s="81">
        <v>0.0</v>
      </c>
      <c r="AQ774" s="81">
        <v>0.0</v>
      </c>
      <c r="AR774" s="39"/>
      <c r="AS774" s="81">
        <v>0.0</v>
      </c>
      <c r="AT774" s="81">
        <v>0.0</v>
      </c>
      <c r="AU774" s="39"/>
      <c r="AV774" s="82"/>
      <c r="AW774" s="82"/>
      <c r="AX774" s="82"/>
      <c r="AY774" s="7"/>
      <c r="AZ774" s="7"/>
      <c r="BA774" s="7"/>
      <c r="BB774" s="7"/>
      <c r="BC774" s="7"/>
      <c r="BD774" s="7"/>
      <c r="BE774" s="7"/>
      <c r="BF774" s="7">
        <v>1000000.0</v>
      </c>
      <c r="BG774" s="13"/>
      <c r="BH774" s="82"/>
      <c r="BI774" s="82"/>
      <c r="BJ774" s="82"/>
      <c r="BK774" s="82"/>
      <c r="BL774" s="82"/>
      <c r="BM774" s="82"/>
      <c r="BN774" s="7"/>
      <c r="BO774" s="7">
        <v>4.0</v>
      </c>
      <c r="BP774" s="82"/>
      <c r="BQ774" s="7"/>
      <c r="BR774" s="7" t="s">
        <v>23</v>
      </c>
    </row>
    <row r="775">
      <c r="A775" s="16">
        <v>78.0</v>
      </c>
      <c r="B775" s="16" t="s">
        <v>861</v>
      </c>
      <c r="C775" s="53">
        <v>1.0</v>
      </c>
      <c r="D775" s="53" t="s">
        <v>862</v>
      </c>
      <c r="E775" s="7">
        <v>613.0</v>
      </c>
      <c r="F775" s="53"/>
      <c r="G775" s="7"/>
      <c r="H775" s="16">
        <v>1.0</v>
      </c>
      <c r="I775" s="81">
        <v>1.0</v>
      </c>
      <c r="J775" s="39" t="s">
        <v>115</v>
      </c>
      <c r="K775" s="53"/>
      <c r="L775" s="53"/>
      <c r="M775" s="39" t="str">
        <f t="shared" si="1"/>
        <v>[http://www.dcs.gla.ac.uk/~davidm/pubs/7981.pdf Manlove; Malley (2005)]</v>
      </c>
      <c r="N775" s="16" t="s">
        <v>4875</v>
      </c>
      <c r="O775" s="81">
        <v>2005.0</v>
      </c>
      <c r="P775" s="28" t="s">
        <v>868</v>
      </c>
      <c r="Q775" s="82"/>
      <c r="R775" s="82"/>
      <c r="S775" s="82"/>
      <c r="T775" s="81">
        <v>0.0</v>
      </c>
      <c r="U775" s="81">
        <v>0.0</v>
      </c>
      <c r="V775" s="89">
        <f>IFERROR(__xludf.DUMMYFUNCTION("INDEX(SPLIT(SUBSTITUTE(W775,CHAR(10), """"),"",:""), MATCH(Z775, SPLIT(SUBSTITUTE(W775,CHAR(10), """"),"",:""), 0) + 1)"),5.0)</f>
        <v>5</v>
      </c>
      <c r="W775" s="85" t="s">
        <v>1938</v>
      </c>
      <c r="X775" s="39" t="s">
        <v>115</v>
      </c>
      <c r="Y775" s="53" t="s">
        <v>4869</v>
      </c>
      <c r="Z775" s="53" t="str">
        <f t="array" ref="Z775">INDEX(Problems!J:J, MATCH(1, (Problems!B:B=B775)*1, 0))</f>
        <v>n</v>
      </c>
      <c r="AA775" s="53"/>
      <c r="AB775" s="53"/>
      <c r="AC775" s="53" t="s">
        <v>1813</v>
      </c>
      <c r="AD775" s="53" t="s">
        <v>1814</v>
      </c>
      <c r="AE775" s="85">
        <f>IFERROR(__xludf.DUMMYFUNCTION("INDEX(SPLIT(SUBSTITUTE(AF775,CHAR(10), """"),"",:""), MATCH(Z775, SPLIT(SUBSTITUTE(AF775,CHAR(10), """"),"",:""), 0) + 1)"),5.0)</f>
        <v>5</v>
      </c>
      <c r="AF775" s="85" t="s">
        <v>1938</v>
      </c>
      <c r="AG775" s="53" t="s">
        <v>2615</v>
      </c>
      <c r="AH775" s="53" t="s">
        <v>4876</v>
      </c>
      <c r="AI775" s="84">
        <v>1.0</v>
      </c>
      <c r="AJ775" s="84">
        <v>0.0</v>
      </c>
      <c r="AK775" s="87"/>
      <c r="AL775" s="81">
        <v>0.0</v>
      </c>
      <c r="AM775" s="87"/>
      <c r="AN775" s="81">
        <v>0.0</v>
      </c>
      <c r="AO775" s="90"/>
      <c r="AP775" s="81">
        <v>0.0</v>
      </c>
      <c r="AQ775" s="81">
        <v>0.0</v>
      </c>
      <c r="AR775" s="39"/>
      <c r="AS775" s="81">
        <v>0.0</v>
      </c>
      <c r="AT775" s="81">
        <v>0.0</v>
      </c>
      <c r="AU775" s="39"/>
      <c r="AV775" s="82"/>
      <c r="AW775" s="82"/>
      <c r="AX775" s="82"/>
      <c r="AY775" s="7"/>
      <c r="AZ775" s="7"/>
      <c r="BA775" s="7"/>
      <c r="BB775" s="7"/>
      <c r="BC775" s="7"/>
      <c r="BD775" s="7"/>
      <c r="BE775" s="7"/>
      <c r="BF775" s="7">
        <v>1000000.0</v>
      </c>
      <c r="BG775" s="13"/>
      <c r="BH775" s="82"/>
      <c r="BI775" s="82"/>
      <c r="BJ775" s="82"/>
      <c r="BK775" s="82"/>
      <c r="BL775" s="82"/>
      <c r="BM775" s="82"/>
      <c r="BN775" s="7"/>
      <c r="BO775" s="7">
        <v>4.0</v>
      </c>
      <c r="BP775" s="82"/>
      <c r="BQ775" s="7"/>
      <c r="BR775" s="7" t="s">
        <v>23</v>
      </c>
    </row>
    <row r="776">
      <c r="A776" s="16">
        <v>78.0</v>
      </c>
      <c r="B776" s="16" t="s">
        <v>861</v>
      </c>
      <c r="C776" s="53">
        <v>1.0</v>
      </c>
      <c r="D776" s="53" t="s">
        <v>862</v>
      </c>
      <c r="E776" s="7">
        <v>614.0</v>
      </c>
      <c r="F776" s="53"/>
      <c r="G776" s="7"/>
      <c r="H776" s="16">
        <v>1.0</v>
      </c>
      <c r="I776" s="81">
        <v>1.0</v>
      </c>
      <c r="J776" s="39" t="s">
        <v>115</v>
      </c>
      <c r="K776" s="53"/>
      <c r="L776" s="53"/>
      <c r="M776" s="39" t="str">
        <f t="shared" si="1"/>
        <v>[http://www.dcs.gla.ac.uk/~pat/roommates/distribution/papers/SM2N.pdf Unsworth; C.; Prosser; P (2005)]</v>
      </c>
      <c r="N776" s="16" t="s">
        <v>4877</v>
      </c>
      <c r="O776" s="81">
        <v>2005.0</v>
      </c>
      <c r="P776" s="28" t="s">
        <v>4878</v>
      </c>
      <c r="Q776" s="82"/>
      <c r="R776" s="82"/>
      <c r="S776" s="82"/>
      <c r="T776" s="81">
        <v>0.0</v>
      </c>
      <c r="U776" s="81">
        <v>0.0</v>
      </c>
      <c r="V776" s="89">
        <f>IFERROR(__xludf.DUMMYFUNCTION("INDEX(SPLIT(SUBSTITUTE(W776,CHAR(10), """"),"",:""), MATCH(Z776, SPLIT(SUBSTITUTE(W776,CHAR(10), """"),"",:""), 0) + 1)"),5.0)</f>
        <v>5</v>
      </c>
      <c r="W776" s="85" t="s">
        <v>1938</v>
      </c>
      <c r="X776" s="39" t="s">
        <v>115</v>
      </c>
      <c r="Y776" s="53" t="s">
        <v>4869</v>
      </c>
      <c r="Z776" s="53" t="str">
        <f t="array" ref="Z776">INDEX(Problems!J:J, MATCH(1, (Problems!B:B=B776)*1, 0))</f>
        <v>n</v>
      </c>
      <c r="AA776" s="53"/>
      <c r="AB776" s="53"/>
      <c r="AC776" s="53" t="s">
        <v>1813</v>
      </c>
      <c r="AD776" s="53" t="s">
        <v>1814</v>
      </c>
      <c r="AE776" s="85">
        <f>IFERROR(__xludf.DUMMYFUNCTION("INDEX(SPLIT(SUBSTITUTE(AF776,CHAR(10), """"),"",:""), MATCH(Z776, SPLIT(SUBSTITUTE(AF776,CHAR(10), """"),"",:""), 0) + 1)"),5.0)</f>
        <v>5</v>
      </c>
      <c r="AF776" s="85" t="s">
        <v>1938</v>
      </c>
      <c r="AG776" s="53" t="s">
        <v>2615</v>
      </c>
      <c r="AH776" s="53" t="s">
        <v>4879</v>
      </c>
      <c r="AI776" s="84">
        <v>1.0</v>
      </c>
      <c r="AJ776" s="84">
        <v>0.0</v>
      </c>
      <c r="AK776" s="87"/>
      <c r="AL776" s="81">
        <v>0.0</v>
      </c>
      <c r="AM776" s="87"/>
      <c r="AN776" s="81">
        <v>0.0</v>
      </c>
      <c r="AO776" s="90"/>
      <c r="AP776" s="81">
        <v>0.0</v>
      </c>
      <c r="AQ776" s="81">
        <v>0.0</v>
      </c>
      <c r="AR776" s="39"/>
      <c r="AS776" s="81">
        <v>0.0</v>
      </c>
      <c r="AT776" s="81">
        <v>0.0</v>
      </c>
      <c r="AU776" s="39"/>
      <c r="AV776" s="82"/>
      <c r="AW776" s="82"/>
      <c r="AX776" s="82"/>
      <c r="AY776" s="7"/>
      <c r="AZ776" s="7"/>
      <c r="BA776" s="7"/>
      <c r="BB776" s="7"/>
      <c r="BC776" s="7"/>
      <c r="BD776" s="7"/>
      <c r="BE776" s="7"/>
      <c r="BF776" s="7">
        <v>1000000.0</v>
      </c>
      <c r="BG776" s="13"/>
      <c r="BH776" s="82"/>
      <c r="BI776" s="82"/>
      <c r="BJ776" s="82"/>
      <c r="BK776" s="82"/>
      <c r="BL776" s="82"/>
      <c r="BM776" s="82"/>
      <c r="BN776" s="7"/>
      <c r="BO776" s="7">
        <v>4.0</v>
      </c>
      <c r="BP776" s="82"/>
      <c r="BQ776" s="7"/>
      <c r="BR776" s="7" t="s">
        <v>23</v>
      </c>
    </row>
    <row r="777">
      <c r="A777" s="16">
        <v>78.0</v>
      </c>
      <c r="B777" s="16" t="s">
        <v>861</v>
      </c>
      <c r="C777" s="53">
        <v>1.0</v>
      </c>
      <c r="D777" s="53" t="s">
        <v>4880</v>
      </c>
      <c r="E777" s="7">
        <v>615.0</v>
      </c>
      <c r="F777" s="53"/>
      <c r="G777" s="7"/>
      <c r="H777" s="16">
        <v>1.0</v>
      </c>
      <c r="I777" s="81">
        <v>1.0</v>
      </c>
      <c r="J777" s="39" t="s">
        <v>834</v>
      </c>
      <c r="K777" s="53"/>
      <c r="L777" s="53"/>
      <c r="M777" s="39" t="str">
        <f t="shared" si="1"/>
        <v>[https://www.sciencedirect.com/science/article/abs/pii/000437029290020X Hentenryck et. al. (1992)]</v>
      </c>
      <c r="N777" s="16" t="s">
        <v>4881</v>
      </c>
      <c r="O777" s="81">
        <v>1992.0</v>
      </c>
      <c r="P777" s="28" t="s">
        <v>4882</v>
      </c>
      <c r="Q777" s="82"/>
      <c r="R777" s="82"/>
      <c r="S777" s="82"/>
      <c r="T777" s="81">
        <v>0.0</v>
      </c>
      <c r="U777" s="81">
        <v>0.0</v>
      </c>
      <c r="V777" s="89">
        <f>IFERROR(__xludf.DUMMYFUNCTION("INDEX(SPLIT(SUBSTITUTE(W777,CHAR(10), """"),"",:""), MATCH(Z777, SPLIT(SUBSTITUTE(W777,CHAR(10), """"),"",:""), 0) + 1)"),6.0)</f>
        <v>6</v>
      </c>
      <c r="W777" s="85" t="s">
        <v>2008</v>
      </c>
      <c r="X777" s="39" t="s">
        <v>834</v>
      </c>
      <c r="Y777" s="53" t="s">
        <v>4869</v>
      </c>
      <c r="Z777" s="53" t="str">
        <f t="array" ref="Z777">INDEX(Problems!J:J, MATCH(1, (Problems!B:B=B777)*1, 0))</f>
        <v>n</v>
      </c>
      <c r="AA777" s="53"/>
      <c r="AB777" s="53"/>
      <c r="AC777" s="53" t="s">
        <v>1813</v>
      </c>
      <c r="AD777" s="53" t="s">
        <v>1814</v>
      </c>
      <c r="AE777" s="85">
        <f>IFERROR(__xludf.DUMMYFUNCTION("INDEX(SPLIT(SUBSTITUTE(AF777,CHAR(10), """"),"",:""), MATCH(Z777, SPLIT(SUBSTITUTE(AF777,CHAR(10), """"),"",:""), 0) + 1)"),6.0)</f>
        <v>6</v>
      </c>
      <c r="AF777" s="85" t="s">
        <v>2008</v>
      </c>
      <c r="AG777" s="53" t="s">
        <v>4595</v>
      </c>
      <c r="AH777" s="86" t="s">
        <v>4882</v>
      </c>
      <c r="AI777" s="84">
        <v>0.0</v>
      </c>
      <c r="AJ777" s="84">
        <v>1.0</v>
      </c>
      <c r="AK777" s="87"/>
      <c r="AL777" s="81">
        <v>0.0</v>
      </c>
      <c r="AM777" s="87"/>
      <c r="AN777" s="81">
        <v>0.0</v>
      </c>
      <c r="AO777" s="90"/>
      <c r="AP777" s="81">
        <v>0.0</v>
      </c>
      <c r="AQ777" s="81">
        <v>0.0</v>
      </c>
      <c r="AR777" s="39"/>
      <c r="AS777" s="81">
        <v>0.0</v>
      </c>
      <c r="AT777" s="81">
        <v>0.0</v>
      </c>
      <c r="AU777" s="39"/>
      <c r="AV777" s="82"/>
      <c r="AW777" s="82"/>
      <c r="AX777" s="82"/>
      <c r="AY777" s="7"/>
      <c r="AZ777" s="7"/>
      <c r="BA777" s="7"/>
      <c r="BB777" s="7"/>
      <c r="BC777" s="7"/>
      <c r="BD777" s="7"/>
      <c r="BE777" s="7"/>
      <c r="BF777" s="7">
        <v>1.0E9</v>
      </c>
      <c r="BG777" s="13"/>
      <c r="BH777" s="82"/>
      <c r="BI777" s="82"/>
      <c r="BJ777" s="82"/>
      <c r="BK777" s="82"/>
      <c r="BL777" s="82"/>
      <c r="BM777" s="82"/>
      <c r="BN777" s="7"/>
      <c r="BO777" s="7">
        <v>4.0</v>
      </c>
      <c r="BP777" s="82"/>
      <c r="BQ777" s="7"/>
      <c r="BR777" s="7" t="s">
        <v>23</v>
      </c>
    </row>
    <row r="778">
      <c r="A778" s="16">
        <v>78.0</v>
      </c>
      <c r="B778" s="16" t="s">
        <v>861</v>
      </c>
      <c r="C778" s="53">
        <v>1.0</v>
      </c>
      <c r="D778" s="53" t="s">
        <v>862</v>
      </c>
      <c r="E778" s="7">
        <v>616.0</v>
      </c>
      <c r="F778" s="53"/>
      <c r="G778" s="7"/>
      <c r="H778" s="16">
        <v>1.0</v>
      </c>
      <c r="I778" s="81">
        <v>1.0</v>
      </c>
      <c r="J778" s="39" t="s">
        <v>115</v>
      </c>
      <c r="K778" s="53"/>
      <c r="L778" s="53"/>
      <c r="M778" s="39" t="str">
        <f t="shared" si="1"/>
        <v>[https://link.springer.com/chapter/10.1007/3-540-45578-7_16 Gent; I.P.; Irving; R.W.; Manlove; D.F.; Prosser; P.; Smith; B.M. (2001)]</v>
      </c>
      <c r="N778" s="39" t="s">
        <v>4883</v>
      </c>
      <c r="O778" s="81">
        <v>2001.0</v>
      </c>
      <c r="P778" s="28" t="s">
        <v>4884</v>
      </c>
      <c r="Q778" s="82"/>
      <c r="R778" s="82"/>
      <c r="S778" s="82"/>
      <c r="T778" s="81">
        <v>0.0</v>
      </c>
      <c r="U778" s="81">
        <v>0.0</v>
      </c>
      <c r="V778" s="89">
        <f>IFERROR(__xludf.DUMMYFUNCTION("INDEX(SPLIT(SUBSTITUTE(W778,CHAR(10), """"),"",:""), MATCH(Z778, SPLIT(SUBSTITUTE(W778,CHAR(10), """"),"",:""), 0) + 1)"),5.0)</f>
        <v>5</v>
      </c>
      <c r="W778" s="85" t="s">
        <v>1938</v>
      </c>
      <c r="X778" s="39" t="s">
        <v>115</v>
      </c>
      <c r="Y778" s="53" t="s">
        <v>4869</v>
      </c>
      <c r="Z778" s="53" t="str">
        <f t="array" ref="Z778">INDEX(Problems!J:J, MATCH(1, (Problems!B:B=B778)*1, 0))</f>
        <v>n</v>
      </c>
      <c r="AA778" s="53"/>
      <c r="AB778" s="53"/>
      <c r="AC778" s="53" t="s">
        <v>1813</v>
      </c>
      <c r="AD778" s="53" t="s">
        <v>1814</v>
      </c>
      <c r="AE778" s="85">
        <f>IFERROR(__xludf.DUMMYFUNCTION("INDEX(SPLIT(SUBSTITUTE(AF778,CHAR(10), """"),"",:""), MATCH(Z778, SPLIT(SUBSTITUTE(AF778,CHAR(10), """"),"",:""), 0) + 1)"),5.0)</f>
        <v>5</v>
      </c>
      <c r="AF778" s="85" t="s">
        <v>1938</v>
      </c>
      <c r="AG778" s="53" t="s">
        <v>2615</v>
      </c>
      <c r="AH778" s="53" t="s">
        <v>4885</v>
      </c>
      <c r="AI778" s="84">
        <v>1.0</v>
      </c>
      <c r="AJ778" s="84">
        <v>0.0</v>
      </c>
      <c r="AK778" s="87"/>
      <c r="AL778" s="81">
        <v>0.0</v>
      </c>
      <c r="AM778" s="87"/>
      <c r="AN778" s="81">
        <v>0.0</v>
      </c>
      <c r="AO778" s="90"/>
      <c r="AP778" s="81">
        <v>0.0</v>
      </c>
      <c r="AQ778" s="81">
        <v>0.0</v>
      </c>
      <c r="AR778" s="39"/>
      <c r="AS778" s="81">
        <v>0.0</v>
      </c>
      <c r="AT778" s="81">
        <v>0.0</v>
      </c>
      <c r="AU778" s="39"/>
      <c r="AV778" s="82"/>
      <c r="AW778" s="82"/>
      <c r="AX778" s="82"/>
      <c r="AY778" s="7"/>
      <c r="AZ778" s="7"/>
      <c r="BA778" s="7"/>
      <c r="BB778" s="7"/>
      <c r="BC778" s="7"/>
      <c r="BD778" s="7"/>
      <c r="BE778" s="7"/>
      <c r="BF778" s="7">
        <v>1000000.0</v>
      </c>
      <c r="BG778" s="13"/>
      <c r="BH778" s="82"/>
      <c r="BI778" s="82"/>
      <c r="BJ778" s="82"/>
      <c r="BK778" s="82"/>
      <c r="BL778" s="82"/>
      <c r="BM778" s="82"/>
      <c r="BN778" s="7"/>
      <c r="BO778" s="7">
        <v>4.0</v>
      </c>
      <c r="BP778" s="82"/>
      <c r="BQ778" s="7"/>
      <c r="BR778" s="7" t="s">
        <v>23</v>
      </c>
    </row>
    <row r="779">
      <c r="A779" s="16">
        <v>78.0</v>
      </c>
      <c r="B779" s="16" t="s">
        <v>861</v>
      </c>
      <c r="C779" s="53">
        <v>1.0</v>
      </c>
      <c r="D779" s="53" t="s">
        <v>864</v>
      </c>
      <c r="E779" s="7">
        <v>617.0</v>
      </c>
      <c r="F779" s="53"/>
      <c r="G779" s="7"/>
      <c r="H779" s="16">
        <v>1.0</v>
      </c>
      <c r="I779" s="81">
        <v>1.0</v>
      </c>
      <c r="J779" s="39" t="s">
        <v>834</v>
      </c>
      <c r="K779" s="53"/>
      <c r="L779" s="53"/>
      <c r="M779" s="39" t="str">
        <f t="shared" si="1"/>
        <v>[https://link.springer.com/chapter/10.1007%2F978-3-319-07046-9_2 Patrick Posser (2014)]</v>
      </c>
      <c r="N779" s="39" t="s">
        <v>4886</v>
      </c>
      <c r="O779" s="81">
        <v>2014.0</v>
      </c>
      <c r="P779" s="25" t="s">
        <v>4887</v>
      </c>
      <c r="Q779" s="82"/>
      <c r="R779" s="82"/>
      <c r="S779" s="82"/>
      <c r="T779" s="81">
        <v>0.0</v>
      </c>
      <c r="U779" s="81">
        <v>0.0</v>
      </c>
      <c r="V779" s="89">
        <f>IFERROR(__xludf.DUMMYFUNCTION("INDEX(SPLIT(SUBSTITUTE(W779,CHAR(10), """"),"",:""), MATCH(Z779, SPLIT(SUBSTITUTE(W779,CHAR(10), """"),"",:""), 0) + 1)"),6.0)</f>
        <v>6</v>
      </c>
      <c r="W779" s="85" t="s">
        <v>2008</v>
      </c>
      <c r="X779" s="39" t="s">
        <v>834</v>
      </c>
      <c r="Y779" s="53" t="s">
        <v>4873</v>
      </c>
      <c r="Z779" s="53" t="str">
        <f t="array" ref="Z779">INDEX(Problems!J:J, MATCH(1, (Problems!B:B=B779)*1, 0))</f>
        <v>n</v>
      </c>
      <c r="AA779" s="53"/>
      <c r="AB779" s="53"/>
      <c r="AC779" s="53" t="s">
        <v>1813</v>
      </c>
      <c r="AD779" s="53" t="s">
        <v>1814</v>
      </c>
      <c r="AE779" s="85">
        <f>IFERROR(__xludf.DUMMYFUNCTION("INDEX(SPLIT(SUBSTITUTE(AF779,CHAR(10), """"),"",:""), MATCH(Z779, SPLIT(SUBSTITUTE(AF779,CHAR(10), """"),"",:""), 0) + 1)"),3.0)</f>
        <v>3</v>
      </c>
      <c r="AF779" s="85" t="s">
        <v>1763</v>
      </c>
      <c r="AG779" s="53" t="s">
        <v>35</v>
      </c>
      <c r="AH779" s="86" t="s">
        <v>4887</v>
      </c>
      <c r="AI779" s="84">
        <v>0.0</v>
      </c>
      <c r="AJ779" s="84">
        <v>1.0</v>
      </c>
      <c r="AK779" s="87"/>
      <c r="AL779" s="81">
        <v>0.0</v>
      </c>
      <c r="AM779" s="87"/>
      <c r="AN779" s="81">
        <v>0.0</v>
      </c>
      <c r="AO779" s="90"/>
      <c r="AP779" s="81">
        <v>0.0</v>
      </c>
      <c r="AQ779" s="81">
        <v>0.0</v>
      </c>
      <c r="AR779" s="39"/>
      <c r="AS779" s="81">
        <v>0.0</v>
      </c>
      <c r="AT779" s="81">
        <v>0.0</v>
      </c>
      <c r="AU779" s="39"/>
      <c r="AV779" s="82"/>
      <c r="AW779" s="82"/>
      <c r="AX779" s="82"/>
      <c r="AY779" s="7"/>
      <c r="AZ779" s="7"/>
      <c r="BA779" s="7"/>
      <c r="BB779" s="7"/>
      <c r="BC779" s="7"/>
      <c r="BD779" s="7"/>
      <c r="BE779" s="7"/>
      <c r="BF779" s="7">
        <v>1.0E9</v>
      </c>
      <c r="BG779" s="13"/>
      <c r="BH779" s="82"/>
      <c r="BI779" s="82"/>
      <c r="BJ779" s="82"/>
      <c r="BK779" s="82"/>
      <c r="BL779" s="82"/>
      <c r="BM779" s="82"/>
      <c r="BN779" s="7"/>
      <c r="BO779" s="7">
        <v>4.0</v>
      </c>
      <c r="BP779" s="82"/>
      <c r="BQ779" s="7"/>
      <c r="BR779" s="7" t="s">
        <v>23</v>
      </c>
    </row>
    <row r="780">
      <c r="A780" s="16">
        <v>78.0</v>
      </c>
      <c r="B780" s="16" t="s">
        <v>861</v>
      </c>
      <c r="C780" s="53">
        <v>1.0</v>
      </c>
      <c r="D780" s="53" t="s">
        <v>862</v>
      </c>
      <c r="E780" s="7">
        <v>618.0</v>
      </c>
      <c r="F780" s="53"/>
      <c r="G780" s="7"/>
      <c r="H780" s="16">
        <v>1.0</v>
      </c>
      <c r="I780" s="81">
        <v>1.0</v>
      </c>
      <c r="J780" s="39" t="s">
        <v>115</v>
      </c>
      <c r="K780" s="53"/>
      <c r="L780" s="53"/>
      <c r="M780" s="39" t="str">
        <f t="shared" si="1"/>
        <v>[https://link.springer.com/content/pdf/10.1007/BF02136029.pdf S. S. TSENG and R. C. T. LEE (1984)]</v>
      </c>
      <c r="N780" s="39" t="s">
        <v>4888</v>
      </c>
      <c r="O780" s="81">
        <v>1984.0</v>
      </c>
      <c r="P780" s="17" t="s">
        <v>4889</v>
      </c>
      <c r="Q780" s="82"/>
      <c r="R780" s="82"/>
      <c r="S780" s="82"/>
      <c r="T780" s="81">
        <v>0.0</v>
      </c>
      <c r="U780" s="81">
        <v>0.0</v>
      </c>
      <c r="V780" s="89">
        <f>IFERROR(__xludf.DUMMYFUNCTION("INDEX(SPLIT(SUBSTITUTE(W780,CHAR(10), """"),"",:""), MATCH(Z780, SPLIT(SUBSTITUTE(W780,CHAR(10), """"),"",:""), 0) + 1)"),5.0)</f>
        <v>5</v>
      </c>
      <c r="W780" s="85" t="s">
        <v>1938</v>
      </c>
      <c r="X780" s="39" t="s">
        <v>115</v>
      </c>
      <c r="Y780" s="53" t="s">
        <v>4869</v>
      </c>
      <c r="Z780" s="53" t="str">
        <f t="array" ref="Z780">INDEX(Problems!J:J, MATCH(1, (Problems!B:B=B780)*1, 0))</f>
        <v>n</v>
      </c>
      <c r="AA780" s="53"/>
      <c r="AB780" s="53"/>
      <c r="AC780" s="53" t="s">
        <v>1813</v>
      </c>
      <c r="AD780" s="53" t="s">
        <v>1814</v>
      </c>
      <c r="AE780" s="85">
        <f>IFERROR(__xludf.DUMMYFUNCTION("INDEX(SPLIT(SUBSTITUTE(AF780,CHAR(10), """"),"",:""), MATCH(Z780, SPLIT(SUBSTITUTE(AF780,CHAR(10), """"),"",:""), 0) + 1)"),3.0)</f>
        <v>3</v>
      </c>
      <c r="AF780" s="85" t="s">
        <v>1763</v>
      </c>
      <c r="AG780" s="53" t="s">
        <v>4890</v>
      </c>
      <c r="AH780" s="53" t="s">
        <v>4870</v>
      </c>
      <c r="AI780" s="84">
        <v>1.0</v>
      </c>
      <c r="AJ780" s="84">
        <v>0.0</v>
      </c>
      <c r="AK780" s="87"/>
      <c r="AL780" s="81">
        <v>0.0</v>
      </c>
      <c r="AM780" s="87"/>
      <c r="AN780" s="81">
        <v>0.0</v>
      </c>
      <c r="AO780" s="90"/>
      <c r="AP780" s="81">
        <v>0.0</v>
      </c>
      <c r="AQ780" s="81">
        <v>1.0</v>
      </c>
      <c r="AR780" s="39"/>
      <c r="AS780" s="81">
        <v>0.0</v>
      </c>
      <c r="AT780" s="81">
        <v>0.0</v>
      </c>
      <c r="AU780" s="39"/>
      <c r="AV780" s="82"/>
      <c r="AW780" s="82"/>
      <c r="AX780" s="82"/>
      <c r="AY780" s="7"/>
      <c r="AZ780" s="7"/>
      <c r="BA780" s="7"/>
      <c r="BB780" s="7"/>
      <c r="BC780" s="7"/>
      <c r="BD780" s="7"/>
      <c r="BE780" s="7"/>
      <c r="BF780" s="7">
        <v>1000000.0</v>
      </c>
      <c r="BG780" s="13"/>
      <c r="BH780" s="82"/>
      <c r="BI780" s="82"/>
      <c r="BJ780" s="82"/>
      <c r="BK780" s="82"/>
      <c r="BL780" s="82"/>
      <c r="BM780" s="82"/>
      <c r="BN780" s="7"/>
      <c r="BO780" s="7">
        <v>4.0</v>
      </c>
      <c r="BP780" s="82"/>
      <c r="BQ780" s="7"/>
      <c r="BR780" s="7" t="s">
        <v>23</v>
      </c>
    </row>
    <row r="781">
      <c r="A781" s="16">
        <v>78.0</v>
      </c>
      <c r="B781" s="16" t="s">
        <v>861</v>
      </c>
      <c r="C781" s="53">
        <v>1.0</v>
      </c>
      <c r="D781" s="53" t="s">
        <v>862</v>
      </c>
      <c r="E781" s="7">
        <v>620.0</v>
      </c>
      <c r="F781" s="53"/>
      <c r="G781" s="7"/>
      <c r="H781" s="16">
        <v>1.0</v>
      </c>
      <c r="I781" s="81">
        <v>1.0</v>
      </c>
      <c r="J781" s="16" t="s">
        <v>3352</v>
      </c>
      <c r="K781" s="53"/>
      <c r="L781" s="53"/>
      <c r="M781" s="39" t="str">
        <f t="shared" si="1"/>
        <v>[http://theory.stanford.edu/~megiddo/pdf/soda94.pdf Tomas Feder, Nimrod Megiddoy, Serge A_x0001_ Plotki (1994)]</v>
      </c>
      <c r="N781" s="39" t="s">
        <v>4891</v>
      </c>
      <c r="O781" s="81">
        <v>1994.0</v>
      </c>
      <c r="P781" s="28" t="s">
        <v>4892</v>
      </c>
      <c r="Q781" s="82"/>
      <c r="R781" s="82"/>
      <c r="S781" s="82"/>
      <c r="T781" s="81">
        <v>0.0</v>
      </c>
      <c r="U781" s="81">
        <v>0.0</v>
      </c>
      <c r="V781" s="89">
        <f>IFERROR(__xludf.DUMMYFUNCTION("INDEX(SPLIT(SUBSTITUTE(W781,CHAR(10), """"),"",:""), MATCH(Z781, SPLIT(SUBSTITUTE(W781,CHAR(10), """"),"",:""), 0) + 1)"),2.5)</f>
        <v>2.5</v>
      </c>
      <c r="W781" s="85" t="s">
        <v>3355</v>
      </c>
      <c r="X781" s="39" t="s">
        <v>4893</v>
      </c>
      <c r="Y781" s="53" t="s">
        <v>4869</v>
      </c>
      <c r="Z781" s="53" t="str">
        <f t="array" ref="Z781">INDEX(Problems!J:J, MATCH(1, (Problems!B:B=B781)*1, 0))</f>
        <v>n</v>
      </c>
      <c r="AA781" s="53"/>
      <c r="AB781" s="53"/>
      <c r="AC781" s="53" t="s">
        <v>1813</v>
      </c>
      <c r="AD781" s="53" t="s">
        <v>1814</v>
      </c>
      <c r="AE781" s="85">
        <f>IFERROR(__xludf.DUMMYFUNCTION("INDEX(SPLIT(SUBSTITUTE(AF781,CHAR(10), """"),"",:""), MATCH(Z781, SPLIT(SUBSTITUTE(AF781,CHAR(10), """"),"",:""), 0) + 1)"),2.5)</f>
        <v>2.5</v>
      </c>
      <c r="AF781" s="85" t="s">
        <v>3355</v>
      </c>
      <c r="AG781" s="53" t="s">
        <v>4894</v>
      </c>
      <c r="AH781" s="53" t="s">
        <v>4895</v>
      </c>
      <c r="AI781" s="84">
        <v>1.0</v>
      </c>
      <c r="AJ781" s="84">
        <v>0.0</v>
      </c>
      <c r="AK781" s="87"/>
      <c r="AL781" s="81">
        <v>0.0</v>
      </c>
      <c r="AM781" s="87"/>
      <c r="AN781" s="81">
        <v>0.0</v>
      </c>
      <c r="AO781" s="90"/>
      <c r="AP781" s="81">
        <v>0.0</v>
      </c>
      <c r="AQ781" s="81">
        <v>1.0</v>
      </c>
      <c r="AR781" s="39" t="s">
        <v>4896</v>
      </c>
      <c r="AS781" s="81">
        <v>0.0</v>
      </c>
      <c r="AT781" s="81">
        <v>0.0</v>
      </c>
      <c r="AU781" s="39"/>
      <c r="AV781" s="82"/>
      <c r="AW781" s="82"/>
      <c r="AX781" s="82"/>
      <c r="AY781" s="7"/>
      <c r="AZ781" s="7"/>
      <c r="BA781" s="7"/>
      <c r="BB781" s="7"/>
      <c r="BC781" s="7"/>
      <c r="BD781" s="7"/>
      <c r="BE781" s="7"/>
      <c r="BF781" s="7">
        <v>31.62</v>
      </c>
      <c r="BG781" s="13"/>
      <c r="BH781" s="82"/>
      <c r="BI781" s="82"/>
      <c r="BJ781" s="82"/>
      <c r="BK781" s="82"/>
      <c r="BL781" s="82"/>
      <c r="BM781" s="82"/>
      <c r="BN781" s="7"/>
      <c r="BO781" s="7">
        <v>4.0</v>
      </c>
      <c r="BP781" s="82"/>
      <c r="BQ781" s="7"/>
      <c r="BR781" s="7" t="s">
        <v>23</v>
      </c>
    </row>
    <row r="782">
      <c r="A782" s="16">
        <v>79.0</v>
      </c>
      <c r="B782" s="16" t="s">
        <v>885</v>
      </c>
      <c r="C782" s="53">
        <v>1.0</v>
      </c>
      <c r="D782" s="53" t="s">
        <v>886</v>
      </c>
      <c r="E782" s="7">
        <v>621.0</v>
      </c>
      <c r="F782" s="53"/>
      <c r="G782" s="7"/>
      <c r="H782" s="16">
        <v>1.0</v>
      </c>
      <c r="I782" s="81">
        <v>1.0</v>
      </c>
      <c r="J782" s="39" t="s">
        <v>3153</v>
      </c>
      <c r="K782" s="53"/>
      <c r="L782" s="53"/>
      <c r="M782" s="39" t="str">
        <f t="shared" si="1"/>
        <v>[https://link.springer.com/content/pdf/10.1007/s00453-010-9411-3.pdf Ioannidou; Kyriaki; Mertzios; George B.; Nikolopoulos; Stavros D. (2011)]</v>
      </c>
      <c r="N782" s="16" t="s">
        <v>4897</v>
      </c>
      <c r="O782" s="81">
        <v>2011.0</v>
      </c>
      <c r="P782" s="113" t="s">
        <v>888</v>
      </c>
      <c r="Q782" s="7">
        <v>1.0</v>
      </c>
      <c r="R782" s="7">
        <v>1.0</v>
      </c>
      <c r="S782" s="47" t="s">
        <v>888</v>
      </c>
      <c r="T782" s="81">
        <v>1.0</v>
      </c>
      <c r="U782" s="81">
        <v>0.0</v>
      </c>
      <c r="V782" s="89">
        <f>IFERROR(__xludf.DUMMYFUNCTION("INDEX(SPLIT(SUBSTITUTE(W782,CHAR(10), """"),"",:""), MATCH(Z782, SPLIT(SUBSTITUTE(W782,CHAR(10), """"),"",:""), 0) + 1)"),7.0)</f>
        <v>7</v>
      </c>
      <c r="W782" s="85" t="s">
        <v>2517</v>
      </c>
      <c r="X782" s="39" t="s">
        <v>3153</v>
      </c>
      <c r="Y782" s="53" t="s">
        <v>3397</v>
      </c>
      <c r="Z782" s="53" t="str">
        <f t="array" ref="Z782">INDEX(Problems!J:J, MATCH(1, (Problems!B:B=B782)*1, 0))</f>
        <v>n</v>
      </c>
      <c r="AA782" s="53"/>
      <c r="AB782" s="53"/>
      <c r="AC782" s="53" t="s">
        <v>1813</v>
      </c>
      <c r="AD782" s="53" t="s">
        <v>1814</v>
      </c>
      <c r="AE782" s="85">
        <f>IFERROR(__xludf.DUMMYFUNCTION("INDEX(SPLIT(SUBSTITUTE(AF782,CHAR(10), """"),"",:""), MATCH(Z782, SPLIT(SUBSTITUTE(AF782,CHAR(10), """"),"",:""), 0) + 1)"),6.0)</f>
        <v>6</v>
      </c>
      <c r="AF782" s="85" t="s">
        <v>2008</v>
      </c>
      <c r="AG782" s="53" t="s">
        <v>834</v>
      </c>
      <c r="AH782" s="86" t="s">
        <v>888</v>
      </c>
      <c r="AI782" s="84">
        <v>0.0</v>
      </c>
      <c r="AJ782" s="84">
        <v>1.0</v>
      </c>
      <c r="AK782" s="87"/>
      <c r="AL782" s="81">
        <v>0.0</v>
      </c>
      <c r="AM782" s="87"/>
      <c r="AN782" s="81">
        <v>0.0</v>
      </c>
      <c r="AO782" s="90"/>
      <c r="AP782" s="81">
        <v>0.0</v>
      </c>
      <c r="AQ782" s="81">
        <v>0.0</v>
      </c>
      <c r="AR782" s="39"/>
      <c r="AS782" s="81">
        <v>0.0</v>
      </c>
      <c r="AT782" s="81">
        <v>0.0</v>
      </c>
      <c r="AU782" s="39"/>
      <c r="AV782" s="82"/>
      <c r="AW782" s="82"/>
      <c r="AX782" s="82"/>
      <c r="AY782" s="7"/>
      <c r="AZ782" s="7"/>
      <c r="BA782" s="7"/>
      <c r="BB782" s="7"/>
      <c r="BC782" s="7"/>
      <c r="BD782" s="7"/>
      <c r="BE782" s="7"/>
      <c r="BF782" s="7">
        <v>1.0E12</v>
      </c>
      <c r="BG782" s="6">
        <v>1.0</v>
      </c>
      <c r="BH782" s="82"/>
      <c r="BI782" s="82">
        <f>POW(1000000, 4)</f>
        <v>1E+24</v>
      </c>
      <c r="BJ782" s="7">
        <v>1.0</v>
      </c>
      <c r="BK782" s="82"/>
      <c r="BL782" s="82">
        <f>POW(1000000000, 4)</f>
        <v>1E+36</v>
      </c>
      <c r="BM782" s="7">
        <v>1.0</v>
      </c>
      <c r="BN782" s="7"/>
      <c r="BO782" s="7">
        <v>2.0</v>
      </c>
      <c r="BP782" s="82"/>
      <c r="BQ782" s="7"/>
      <c r="BR782" s="7" t="s">
        <v>23</v>
      </c>
    </row>
    <row r="783">
      <c r="A783" s="16">
        <v>81.0</v>
      </c>
      <c r="B783" s="16" t="s">
        <v>910</v>
      </c>
      <c r="C783" s="53">
        <v>2.0</v>
      </c>
      <c r="D783" s="53" t="s">
        <v>910</v>
      </c>
      <c r="E783" s="7">
        <v>630.0</v>
      </c>
      <c r="F783" s="53"/>
      <c r="G783" s="7"/>
      <c r="H783" s="16">
        <v>1.0</v>
      </c>
      <c r="I783" s="81">
        <v>1.0</v>
      </c>
      <c r="J783" s="39" t="s">
        <v>115</v>
      </c>
      <c r="K783" s="53" t="s">
        <v>4898</v>
      </c>
      <c r="L783" s="53" t="s">
        <v>4899</v>
      </c>
      <c r="M783" s="39" t="str">
        <f t="shared" si="1"/>
        <v>[- Naive (1973)]</v>
      </c>
      <c r="N783" s="39" t="s">
        <v>2150</v>
      </c>
      <c r="O783" s="81">
        <v>1973.0</v>
      </c>
      <c r="P783" s="39" t="s">
        <v>1937</v>
      </c>
      <c r="Q783" s="82"/>
      <c r="R783" s="82"/>
      <c r="S783" s="82"/>
      <c r="T783" s="81">
        <v>1.0</v>
      </c>
      <c r="U783" s="16">
        <v>0.0</v>
      </c>
      <c r="V783" s="89">
        <f>IFERROR(__xludf.DUMMYFUNCTION("INDEX(SPLIT(SUBSTITUTE(W783,CHAR(10), """"),"",:""), MATCH(Z783, SPLIT(SUBSTITUTE(W783,CHAR(10), """"),"",:""), 0) + 1)"),5.0)</f>
        <v>5</v>
      </c>
      <c r="W783" s="85" t="s">
        <v>1938</v>
      </c>
      <c r="X783" s="39" t="s">
        <v>115</v>
      </c>
      <c r="Y783" s="53" t="s">
        <v>4900</v>
      </c>
      <c r="Z783" s="53" t="str">
        <f t="array" ref="Z783">INDEX(Problems!J:J, MATCH(1, (Problems!B:B=B783)*1, 0))</f>
        <v>n</v>
      </c>
      <c r="AA783" s="53"/>
      <c r="AB783" s="53"/>
      <c r="AC783" s="53" t="s">
        <v>1813</v>
      </c>
      <c r="AD783" s="53" t="s">
        <v>1814</v>
      </c>
      <c r="AE783" s="85">
        <f>IFERROR(__xludf.DUMMYFUNCTION("INDEX(SPLIT(SUBSTITUTE(AF783,CHAR(10), """"),"",:""), MATCH(Z783, SPLIT(SUBSTITUTE(AF783,CHAR(10), """"),"",:""), 0) + 1)"),3.0)</f>
        <v>3</v>
      </c>
      <c r="AF783" s="85" t="s">
        <v>1763</v>
      </c>
      <c r="AG783" s="53" t="s">
        <v>35</v>
      </c>
      <c r="AH783" s="53" t="s">
        <v>4901</v>
      </c>
      <c r="AI783" s="84">
        <v>1.0</v>
      </c>
      <c r="AJ783" s="84">
        <v>0.0</v>
      </c>
      <c r="AK783" s="87"/>
      <c r="AL783" s="81">
        <v>0.0</v>
      </c>
      <c r="AM783" s="87"/>
      <c r="AN783" s="81">
        <v>0.0</v>
      </c>
      <c r="AO783" s="90"/>
      <c r="AP783" s="81">
        <v>0.0</v>
      </c>
      <c r="AQ783" s="81">
        <v>0.0</v>
      </c>
      <c r="AR783" s="39"/>
      <c r="AS783" s="81">
        <v>0.0</v>
      </c>
      <c r="AT783" s="81">
        <v>0.0</v>
      </c>
      <c r="AU783" s="39"/>
      <c r="AV783" s="82"/>
      <c r="AW783" s="82"/>
      <c r="AX783" s="82"/>
      <c r="AY783" s="7"/>
      <c r="AZ783" s="7"/>
      <c r="BA783" s="7"/>
      <c r="BB783" s="7"/>
      <c r="BC783" s="7"/>
      <c r="BD783" s="7"/>
      <c r="BE783" s="7"/>
      <c r="BF783" s="7">
        <v>1000000.0</v>
      </c>
      <c r="BG783" s="6">
        <v>1.0</v>
      </c>
      <c r="BH783" s="7"/>
      <c r="BI783" s="7">
        <v>1.0E12</v>
      </c>
      <c r="BJ783" s="7">
        <v>1.0</v>
      </c>
      <c r="BK783" s="82"/>
      <c r="BL783" s="82">
        <f>POW(1000000000,2)</f>
        <v>1E+18</v>
      </c>
      <c r="BM783" s="7">
        <v>1.0</v>
      </c>
      <c r="BN783" s="7"/>
      <c r="BO783" s="7">
        <v>4.0</v>
      </c>
      <c r="BP783" s="82"/>
      <c r="BQ783" s="7"/>
      <c r="BR783" s="7" t="s">
        <v>23</v>
      </c>
    </row>
    <row r="784">
      <c r="A784" s="16">
        <v>81.0</v>
      </c>
      <c r="B784" s="16" t="s">
        <v>910</v>
      </c>
      <c r="C784" s="53">
        <v>2.0</v>
      </c>
      <c r="D784" s="53" t="s">
        <v>910</v>
      </c>
      <c r="E784" s="7">
        <v>631.0</v>
      </c>
      <c r="F784" s="53"/>
      <c r="G784" s="7"/>
      <c r="H784" s="16">
        <v>1.0</v>
      </c>
      <c r="I784" s="81">
        <v>1.0</v>
      </c>
      <c r="J784" s="39" t="s">
        <v>35</v>
      </c>
      <c r="K784" s="53" t="s">
        <v>4898</v>
      </c>
      <c r="L784" s="53" t="s">
        <v>4899</v>
      </c>
      <c r="M784" s="39" t="str">
        <f t="shared" si="1"/>
        <v>[https://dl.acm.org/citation.cfm?id=1441766 Weiner's algorithm (1973)]</v>
      </c>
      <c r="N784" s="39" t="s">
        <v>4902</v>
      </c>
      <c r="O784" s="81">
        <v>1973.0</v>
      </c>
      <c r="P784" s="17" t="s">
        <v>4903</v>
      </c>
      <c r="Q784" s="82"/>
      <c r="R784" s="82"/>
      <c r="S784" s="82"/>
      <c r="T784" s="81">
        <v>1.0</v>
      </c>
      <c r="U784" s="16" t="s">
        <v>1983</v>
      </c>
      <c r="V784" s="89">
        <f>IFERROR(__xludf.DUMMYFUNCTION("INDEX(SPLIT(SUBSTITUTE(W784,CHAR(10), """"),"",:""), MATCH(Z784, SPLIT(SUBSTITUTE(W784,CHAR(10), """"),"",:""), 0) + 1)"),3.0)</f>
        <v>3</v>
      </c>
      <c r="W784" s="85" t="s">
        <v>1763</v>
      </c>
      <c r="X784" s="39" t="s">
        <v>35</v>
      </c>
      <c r="Y784" s="53" t="s">
        <v>4900</v>
      </c>
      <c r="Z784" s="53" t="str">
        <f t="array" ref="Z784">INDEX(Problems!J:J, MATCH(1, (Problems!B:B=B784)*1, 0))</f>
        <v>n</v>
      </c>
      <c r="AA784" s="53"/>
      <c r="AB784" s="53"/>
      <c r="AC784" s="53" t="s">
        <v>1813</v>
      </c>
      <c r="AD784" s="53" t="s">
        <v>1814</v>
      </c>
      <c r="AE784" s="85">
        <f>IFERROR(__xludf.DUMMYFUNCTION("INDEX(SPLIT(SUBSTITUTE(AF784,CHAR(10), """"),"",:""), MATCH(Z784, SPLIT(SUBSTITUTE(AF784,CHAR(10), """"),"",:""), 0) + 1)"),3.0)</f>
        <v>3</v>
      </c>
      <c r="AF784" s="85" t="s">
        <v>1763</v>
      </c>
      <c r="AG784" s="53" t="s">
        <v>35</v>
      </c>
      <c r="AH784" s="53" t="s">
        <v>4901</v>
      </c>
      <c r="AI784" s="84">
        <v>1.0</v>
      </c>
      <c r="AJ784" s="84">
        <v>0.0</v>
      </c>
      <c r="AK784" s="87"/>
      <c r="AL784" s="81">
        <v>0.0</v>
      </c>
      <c r="AM784" s="87"/>
      <c r="AN784" s="81">
        <v>0.0</v>
      </c>
      <c r="AO784" s="90"/>
      <c r="AP784" s="81">
        <v>0.0</v>
      </c>
      <c r="AQ784" s="81">
        <v>0.0</v>
      </c>
      <c r="AR784" s="39"/>
      <c r="AS784" s="81">
        <v>0.0</v>
      </c>
      <c r="AT784" s="81">
        <v>0.0</v>
      </c>
      <c r="AU784" s="39"/>
      <c r="AV784" s="82"/>
      <c r="AW784" s="82"/>
      <c r="AX784" s="82"/>
      <c r="AY784" s="7"/>
      <c r="AZ784" s="7"/>
      <c r="BA784" s="7"/>
      <c r="BB784" s="7"/>
      <c r="BC784" s="7"/>
      <c r="BD784" s="7"/>
      <c r="BE784" s="7"/>
      <c r="BF784" s="7">
        <v>1000.0</v>
      </c>
      <c r="BG784" s="6">
        <v>1000.0</v>
      </c>
      <c r="BH784" s="7">
        <f>POW(BG784,1/($O784-1940))-1</f>
        <v>0.2328467394</v>
      </c>
      <c r="BI784" s="7">
        <v>1000000.0</v>
      </c>
      <c r="BJ784" s="7">
        <v>1000000.0</v>
      </c>
      <c r="BK784" s="7">
        <f>POW(BJ784,1/($O784-1940))-1</f>
        <v>0.519911083</v>
      </c>
      <c r="BL784" s="7">
        <v>1.0E9</v>
      </c>
      <c r="BM784" s="7">
        <v>1.0E9</v>
      </c>
      <c r="BN784" s="7">
        <f>POW(BM784,1/($O784-1940))-1</f>
        <v>0.8738174229</v>
      </c>
      <c r="BO784" s="7">
        <v>4.0</v>
      </c>
      <c r="BP784" s="82"/>
      <c r="BQ784" s="7"/>
      <c r="BR784" s="7" t="s">
        <v>23</v>
      </c>
    </row>
    <row r="785">
      <c r="A785" s="16">
        <v>81.0</v>
      </c>
      <c r="B785" s="16" t="s">
        <v>910</v>
      </c>
      <c r="C785" s="53">
        <v>0.001</v>
      </c>
      <c r="D785" s="53" t="s">
        <v>910</v>
      </c>
      <c r="E785" s="7">
        <v>632.0</v>
      </c>
      <c r="F785" s="53"/>
      <c r="G785" s="7"/>
      <c r="H785" s="16">
        <v>1.0</v>
      </c>
      <c r="I785" s="81">
        <v>1.0</v>
      </c>
      <c r="J785" s="39" t="s">
        <v>35</v>
      </c>
      <c r="K785" s="53"/>
      <c r="L785" s="53"/>
      <c r="M785" s="39" t="str">
        <f t="shared" si="1"/>
        <v>[- Pratt (1973)]</v>
      </c>
      <c r="N785" s="16" t="s">
        <v>4904</v>
      </c>
      <c r="O785" s="81">
        <v>1973.0</v>
      </c>
      <c r="P785" s="39" t="s">
        <v>1937</v>
      </c>
      <c r="Q785" s="82"/>
      <c r="R785" s="82"/>
      <c r="S785" s="82"/>
      <c r="T785" s="81">
        <v>0.0</v>
      </c>
      <c r="U785" s="16">
        <v>0.0</v>
      </c>
      <c r="V785" s="89">
        <f>IFERROR(__xludf.DUMMYFUNCTION("INDEX(SPLIT(SUBSTITUTE(W785,CHAR(10), """"),"",:""), MATCH(Z785, SPLIT(SUBSTITUTE(W785,CHAR(10), """"),"",:""), 0) + 1)"),3.0)</f>
        <v>3</v>
      </c>
      <c r="W785" s="85" t="s">
        <v>1763</v>
      </c>
      <c r="X785" s="39" t="s">
        <v>35</v>
      </c>
      <c r="Y785" s="53" t="s">
        <v>4900</v>
      </c>
      <c r="Z785" s="53" t="str">
        <f t="array" ref="Z785">INDEX(Problems!J:J, MATCH(1, (Problems!B:B=B785)*1, 0))</f>
        <v>n</v>
      </c>
      <c r="AA785" s="53"/>
      <c r="AB785" s="53"/>
      <c r="AC785" s="53" t="s">
        <v>1813</v>
      </c>
      <c r="AD785" s="53" t="s">
        <v>1814</v>
      </c>
      <c r="AE785" s="85" t="str">
        <f>IFERROR(__xludf.DUMMYFUNCTION("INDEX(SPLIT(SUBSTITUTE(AF785,CHAR(10), """"),"",:""), MATCH(Z785, SPLIT(SUBSTITUTE(AF785,CHAR(10), """"),"",:""), 0) + 1)"),"#VALUE!")</f>
        <v>#VALUE!</v>
      </c>
      <c r="AF785" s="131"/>
      <c r="AG785" s="53"/>
      <c r="AH785" s="53"/>
      <c r="AI785" s="87"/>
      <c r="AJ785" s="84" t="s">
        <v>2520</v>
      </c>
      <c r="AK785" s="87"/>
      <c r="AL785" s="81">
        <v>0.0</v>
      </c>
      <c r="AM785" s="87"/>
      <c r="AN785" s="81">
        <v>0.0</v>
      </c>
      <c r="AO785" s="90"/>
      <c r="AP785" s="81">
        <v>0.0</v>
      </c>
      <c r="AQ785" s="81">
        <v>0.0</v>
      </c>
      <c r="AR785" s="39"/>
      <c r="AS785" s="81">
        <v>0.0</v>
      </c>
      <c r="AT785" s="81">
        <v>0.0</v>
      </c>
      <c r="AU785" s="39"/>
      <c r="AV785" s="82"/>
      <c r="AW785" s="82"/>
      <c r="AX785" s="82"/>
      <c r="AY785" s="7"/>
      <c r="AZ785" s="7"/>
      <c r="BA785" s="7"/>
      <c r="BB785" s="7"/>
      <c r="BC785" s="7"/>
      <c r="BD785" s="7"/>
      <c r="BE785" s="7"/>
      <c r="BF785" s="7">
        <v>1000.0</v>
      </c>
      <c r="BG785" s="13"/>
      <c r="BH785" s="82"/>
      <c r="BI785" s="82"/>
      <c r="BJ785" s="82"/>
      <c r="BK785" s="82"/>
      <c r="BL785" s="82"/>
      <c r="BM785" s="82"/>
      <c r="BN785" s="7"/>
      <c r="BO785" s="7">
        <v>4.0</v>
      </c>
      <c r="BP785" s="82"/>
      <c r="BQ785" s="7"/>
      <c r="BR785" s="7" t="s">
        <v>23</v>
      </c>
    </row>
    <row r="786">
      <c r="A786" s="16">
        <v>81.0</v>
      </c>
      <c r="B786" s="16" t="s">
        <v>910</v>
      </c>
      <c r="C786" s="53">
        <v>2.0</v>
      </c>
      <c r="D786" s="53" t="s">
        <v>910</v>
      </c>
      <c r="E786" s="7">
        <v>633.0</v>
      </c>
      <c r="F786" s="53"/>
      <c r="G786" s="7"/>
      <c r="H786" s="16">
        <v>1.0</v>
      </c>
      <c r="I786" s="81">
        <v>1.0</v>
      </c>
      <c r="J786" s="39" t="s">
        <v>35</v>
      </c>
      <c r="K786" s="53" t="s">
        <v>4898</v>
      </c>
      <c r="L786" s="53" t="s">
        <v>4899</v>
      </c>
      <c r="M786" s="39" t="str">
        <f t="shared" si="1"/>
        <v>[https://www.cs.helsinki.fi/u/ukkonen/SuffixT1withFigs.pdf Ukkonen (1995)]</v>
      </c>
      <c r="N786" s="16" t="s">
        <v>4905</v>
      </c>
      <c r="O786" s="81">
        <v>1995.0</v>
      </c>
      <c r="P786" s="28" t="s">
        <v>4906</v>
      </c>
      <c r="Q786" s="82"/>
      <c r="R786" s="82"/>
      <c r="S786" s="82"/>
      <c r="T786" s="81">
        <v>0.0</v>
      </c>
      <c r="U786" s="16">
        <v>0.0</v>
      </c>
      <c r="V786" s="89">
        <f>IFERROR(__xludf.DUMMYFUNCTION("INDEX(SPLIT(SUBSTITUTE(W786,CHAR(10), """"),"",:""), MATCH(Z786, SPLIT(SUBSTITUTE(W786,CHAR(10), """"),"",:""), 0) + 1)"),3.0)</f>
        <v>3</v>
      </c>
      <c r="W786" s="85" t="s">
        <v>1763</v>
      </c>
      <c r="X786" s="39" t="s">
        <v>35</v>
      </c>
      <c r="Y786" s="53" t="s">
        <v>4900</v>
      </c>
      <c r="Z786" s="53" t="str">
        <f t="array" ref="Z786">INDEX(Problems!J:J, MATCH(1, (Problems!B:B=B786)*1, 0))</f>
        <v>n</v>
      </c>
      <c r="AA786" s="53"/>
      <c r="AB786" s="53"/>
      <c r="AC786" s="53" t="s">
        <v>1813</v>
      </c>
      <c r="AD786" s="53" t="s">
        <v>1814</v>
      </c>
      <c r="AE786" s="85">
        <f>IFERROR(__xludf.DUMMYFUNCTION("INDEX(SPLIT(SUBSTITUTE(AF786,CHAR(10), """"),"",:""), MATCH(Z786, SPLIT(SUBSTITUTE(AF786,CHAR(10), """"),"",:""), 0) + 1)"),3.0)</f>
        <v>3</v>
      </c>
      <c r="AF786" s="85" t="s">
        <v>1763</v>
      </c>
      <c r="AG786" s="53" t="s">
        <v>35</v>
      </c>
      <c r="AH786" s="53" t="s">
        <v>4901</v>
      </c>
      <c r="AI786" s="84">
        <v>1.0</v>
      </c>
      <c r="AJ786" s="84">
        <v>0.0</v>
      </c>
      <c r="AK786" s="87"/>
      <c r="AL786" s="81">
        <v>0.0</v>
      </c>
      <c r="AM786" s="87"/>
      <c r="AN786" s="81">
        <v>0.0</v>
      </c>
      <c r="AO786" s="90"/>
      <c r="AP786" s="81">
        <v>0.0</v>
      </c>
      <c r="AQ786" s="81">
        <v>0.0</v>
      </c>
      <c r="AR786" s="39"/>
      <c r="AS786" s="81">
        <v>0.0</v>
      </c>
      <c r="AT786" s="81">
        <v>0.0</v>
      </c>
      <c r="AU786" s="39"/>
      <c r="AV786" s="82"/>
      <c r="AW786" s="82"/>
      <c r="AX786" s="82"/>
      <c r="AY786" s="7"/>
      <c r="AZ786" s="7"/>
      <c r="BA786" s="7"/>
      <c r="BB786" s="7"/>
      <c r="BC786" s="7"/>
      <c r="BD786" s="7"/>
      <c r="BE786" s="7"/>
      <c r="BF786" s="7">
        <v>1000.0</v>
      </c>
      <c r="BG786" s="13"/>
      <c r="BH786" s="82"/>
      <c r="BI786" s="82"/>
      <c r="BJ786" s="82"/>
      <c r="BK786" s="82"/>
      <c r="BL786" s="82"/>
      <c r="BM786" s="82"/>
      <c r="BN786" s="7"/>
      <c r="BO786" s="7">
        <v>4.0</v>
      </c>
      <c r="BP786" s="82"/>
      <c r="BQ786" s="7"/>
      <c r="BR786" s="7" t="s">
        <v>23</v>
      </c>
    </row>
    <row r="787">
      <c r="A787" s="16">
        <v>81.0</v>
      </c>
      <c r="B787" s="16" t="s">
        <v>910</v>
      </c>
      <c r="C787" s="53">
        <v>2.0</v>
      </c>
      <c r="D787" s="53" t="s">
        <v>910</v>
      </c>
      <c r="E787" s="7">
        <v>634.0</v>
      </c>
      <c r="F787" s="53"/>
      <c r="G787" s="7"/>
      <c r="H787" s="16">
        <v>1.0</v>
      </c>
      <c r="I787" s="81">
        <v>1.0</v>
      </c>
      <c r="J787" s="39" t="s">
        <v>115</v>
      </c>
      <c r="K787" s="53" t="s">
        <v>4898</v>
      </c>
      <c r="L787" s="53" t="s">
        <v>4899</v>
      </c>
      <c r="M787" s="39" t="str">
        <f t="shared" si="1"/>
        <v>[https://link.springer.com/article/10.1007/BF01769703 Ukkonen and D. Wood (1993)]</v>
      </c>
      <c r="N787" s="16" t="s">
        <v>4907</v>
      </c>
      <c r="O787" s="81">
        <v>1993.0</v>
      </c>
      <c r="P787" s="28" t="s">
        <v>4908</v>
      </c>
      <c r="Q787" s="82"/>
      <c r="R787" s="82"/>
      <c r="S787" s="82"/>
      <c r="T787" s="81">
        <v>0.0</v>
      </c>
      <c r="U787" s="16">
        <v>0.0</v>
      </c>
      <c r="V787" s="89">
        <f>IFERROR(__xludf.DUMMYFUNCTION("INDEX(SPLIT(SUBSTITUTE(W787,CHAR(10), """"),"",:""), MATCH(Z787, SPLIT(SUBSTITUTE(W787,CHAR(10), """"),"",:""), 0) + 1)"),5.0)</f>
        <v>5</v>
      </c>
      <c r="W787" s="85" t="s">
        <v>1938</v>
      </c>
      <c r="X787" s="39" t="s">
        <v>115</v>
      </c>
      <c r="Y787" s="53" t="s">
        <v>4900</v>
      </c>
      <c r="Z787" s="53" t="str">
        <f t="array" ref="Z787">INDEX(Problems!J:J, MATCH(1, (Problems!B:B=B787)*1, 0))</f>
        <v>n</v>
      </c>
      <c r="AA787" s="53"/>
      <c r="AB787" s="53"/>
      <c r="AC787" s="53" t="s">
        <v>1813</v>
      </c>
      <c r="AD787" s="53" t="s">
        <v>1814</v>
      </c>
      <c r="AE787" s="85">
        <f>IFERROR(__xludf.DUMMYFUNCTION("INDEX(SPLIT(SUBSTITUTE(AF787,CHAR(10), """"),"",:""), MATCH(Z787, SPLIT(SUBSTITUTE(AF787,CHAR(10), """"),"",:""), 0) + 1)"),5.0)</f>
        <v>5</v>
      </c>
      <c r="AF787" s="85" t="s">
        <v>1938</v>
      </c>
      <c r="AG787" s="53" t="s">
        <v>115</v>
      </c>
      <c r="AH787" s="86" t="s">
        <v>4908</v>
      </c>
      <c r="AI787" s="84">
        <v>0.0</v>
      </c>
      <c r="AJ787" s="84">
        <v>1.0</v>
      </c>
      <c r="AK787" s="87"/>
      <c r="AL787" s="81">
        <v>0.0</v>
      </c>
      <c r="AM787" s="87"/>
      <c r="AN787" s="81">
        <v>0.0</v>
      </c>
      <c r="AO787" s="90"/>
      <c r="AP787" s="81">
        <v>0.0</v>
      </c>
      <c r="AQ787" s="81">
        <v>0.0</v>
      </c>
      <c r="AR787" s="39"/>
      <c r="AS787" s="81">
        <v>0.0</v>
      </c>
      <c r="AT787" s="81">
        <v>0.0</v>
      </c>
      <c r="AU787" s="39"/>
      <c r="AV787" s="82"/>
      <c r="AW787" s="82"/>
      <c r="AX787" s="82"/>
      <c r="AY787" s="7"/>
      <c r="AZ787" s="7"/>
      <c r="BA787" s="7"/>
      <c r="BB787" s="7"/>
      <c r="BC787" s="7"/>
      <c r="BD787" s="7"/>
      <c r="BE787" s="7"/>
      <c r="BF787" s="7">
        <v>1000000.0</v>
      </c>
      <c r="BG787" s="13"/>
      <c r="BH787" s="82"/>
      <c r="BI787" s="82"/>
      <c r="BJ787" s="82"/>
      <c r="BK787" s="82"/>
      <c r="BL787" s="82"/>
      <c r="BM787" s="82"/>
      <c r="BN787" s="7"/>
      <c r="BO787" s="7">
        <v>4.0</v>
      </c>
      <c r="BP787" s="82"/>
      <c r="BQ787" s="7"/>
      <c r="BR787" s="7" t="s">
        <v>23</v>
      </c>
    </row>
    <row r="788">
      <c r="A788" s="16">
        <v>81.0</v>
      </c>
      <c r="B788" s="16" t="s">
        <v>910</v>
      </c>
      <c r="C788" s="53">
        <v>1.0</v>
      </c>
      <c r="D788" s="53" t="s">
        <v>910</v>
      </c>
      <c r="E788" s="7">
        <v>635.0</v>
      </c>
      <c r="F788" s="53"/>
      <c r="G788" s="7"/>
      <c r="H788" s="16">
        <v>1.0</v>
      </c>
      <c r="I788" s="81">
        <v>1.0</v>
      </c>
      <c r="J788" s="39" t="s">
        <v>4909</v>
      </c>
      <c r="K788" s="53"/>
      <c r="L788" s="53"/>
      <c r="M788" s="39" t="str">
        <f t="shared" si="1"/>
        <v>[https://www.sciencedirect.com/science/article/pii/S0022000097914963 Hariharan (1997)]</v>
      </c>
      <c r="N788" s="39" t="s">
        <v>4910</v>
      </c>
      <c r="O788" s="81">
        <v>1997.0</v>
      </c>
      <c r="P788" s="28" t="s">
        <v>4911</v>
      </c>
      <c r="Q788" s="82"/>
      <c r="R788" s="82"/>
      <c r="S788" s="82"/>
      <c r="T788" s="81">
        <v>0.0</v>
      </c>
      <c r="U788" s="16">
        <v>0.0</v>
      </c>
      <c r="V788" s="89">
        <f>IFERROR(__xludf.DUMMYFUNCTION("INDEX(SPLIT(SUBSTITUTE(W788,CHAR(10), """"),"",:""), MATCH(Z788, SPLIT(SUBSTITUTE(W788,CHAR(10), """"),"",:""), 0) + 1)"),2.03)</f>
        <v>2.03</v>
      </c>
      <c r="W788" s="85" t="s">
        <v>3637</v>
      </c>
      <c r="X788" s="39" t="s">
        <v>4909</v>
      </c>
      <c r="Y788" s="53" t="s">
        <v>4900</v>
      </c>
      <c r="Z788" s="53" t="str">
        <f t="array" ref="Z788">INDEX(Problems!J:J, MATCH(1, (Problems!B:B=B788)*1, 0))</f>
        <v>n</v>
      </c>
      <c r="AA788" s="53"/>
      <c r="AB788" s="53"/>
      <c r="AC788" s="53" t="s">
        <v>2486</v>
      </c>
      <c r="AD788" s="53" t="s">
        <v>1814</v>
      </c>
      <c r="AE788" s="85">
        <f>IFERROR(__xludf.DUMMYFUNCTION("INDEX(SPLIT(SUBSTITUTE(AF788,CHAR(10), """"),"",:""), MATCH(Z788, SPLIT(SUBSTITUTE(AF788,CHAR(10), """"),"",:""), 0) + 1)"),3.0)</f>
        <v>3</v>
      </c>
      <c r="AF788" s="85" t="s">
        <v>1763</v>
      </c>
      <c r="AG788" s="53" t="s">
        <v>35</v>
      </c>
      <c r="AH788" s="121" t="s">
        <v>4911</v>
      </c>
      <c r="AI788" s="84">
        <v>0.0</v>
      </c>
      <c r="AJ788" s="84">
        <v>1.0</v>
      </c>
      <c r="AK788" s="87"/>
      <c r="AL788" s="81">
        <v>0.0</v>
      </c>
      <c r="AM788" s="87"/>
      <c r="AN788" s="81">
        <v>0.0</v>
      </c>
      <c r="AO788" s="90"/>
      <c r="AP788" s="81">
        <v>0.0</v>
      </c>
      <c r="AQ788" s="81">
        <v>1.0</v>
      </c>
      <c r="AR788" s="39"/>
      <c r="AS788" s="81">
        <v>0.0</v>
      </c>
      <c r="AT788" s="81">
        <v>0.0</v>
      </c>
      <c r="AU788" s="39"/>
      <c r="AV788" s="82"/>
      <c r="AW788" s="82"/>
      <c r="AX788" s="82"/>
      <c r="AY788" s="7"/>
      <c r="AZ788" s="7"/>
      <c r="BA788" s="7"/>
      <c r="BB788" s="7"/>
      <c r="BC788" s="7"/>
      <c r="BD788" s="7"/>
      <c r="BE788" s="7"/>
      <c r="BF788" s="7">
        <v>9860.7</v>
      </c>
      <c r="BG788" s="13"/>
      <c r="BH788" s="82"/>
      <c r="BI788" s="82"/>
      <c r="BJ788" s="82"/>
      <c r="BK788" s="82"/>
      <c r="BL788" s="82"/>
      <c r="BM788" s="82"/>
      <c r="BN788" s="7"/>
      <c r="BO788" s="7">
        <v>4.0</v>
      </c>
      <c r="BP788" s="82"/>
      <c r="BQ788" s="7"/>
      <c r="BR788" s="7" t="s">
        <v>23</v>
      </c>
    </row>
    <row r="789">
      <c r="A789" s="16">
        <v>81.0</v>
      </c>
      <c r="B789" s="16" t="s">
        <v>910</v>
      </c>
      <c r="C789" s="53">
        <v>1.0</v>
      </c>
      <c r="D789" s="53" t="s">
        <v>910</v>
      </c>
      <c r="E789" s="7">
        <v>636.0</v>
      </c>
      <c r="F789" s="53"/>
      <c r="G789" s="7"/>
      <c r="H789" s="16">
        <v>1.0</v>
      </c>
      <c r="I789" s="81">
        <v>1.0</v>
      </c>
      <c r="J789" s="39" t="s">
        <v>2933</v>
      </c>
      <c r="K789" s="53"/>
      <c r="L789" s="53"/>
      <c r="M789" s="39" t="str">
        <f t="shared" si="1"/>
        <v>[https://link.springer.com/content/pdf/10.1007/3-540-57811-0_3.pdf Süleyman Cenk Sahinalp ; Uzi Vishkin (1994)]</v>
      </c>
      <c r="N789" s="39" t="s">
        <v>4912</v>
      </c>
      <c r="O789" s="81">
        <v>1994.0</v>
      </c>
      <c r="P789" s="96" t="s">
        <v>4913</v>
      </c>
      <c r="Q789" s="82"/>
      <c r="R789" s="82"/>
      <c r="S789" s="82"/>
      <c r="T789" s="81">
        <v>1.0</v>
      </c>
      <c r="U789" s="16">
        <v>0.0</v>
      </c>
      <c r="V789" s="89">
        <f>IFERROR(__xludf.DUMMYFUNCTION("INDEX(SPLIT(SUBSTITUTE(W789,CHAR(10), """"),"",:""), MATCH(Z789, SPLIT(SUBSTITUTE(W789,CHAR(10), """"),"",:""), 0) + 1)"),2.01)</f>
        <v>2.01</v>
      </c>
      <c r="W789" s="85" t="s">
        <v>4914</v>
      </c>
      <c r="X789" s="39" t="s">
        <v>2933</v>
      </c>
      <c r="Y789" s="53" t="s">
        <v>4900</v>
      </c>
      <c r="Z789" s="53" t="str">
        <f t="array" ref="Z789">INDEX(Problems!J:J, MATCH(1, (Problems!B:B=B789)*1, 0))</f>
        <v>n</v>
      </c>
      <c r="AA789" s="53"/>
      <c r="AB789" s="53"/>
      <c r="AC789" s="53" t="s">
        <v>4915</v>
      </c>
      <c r="AD789" s="53" t="s">
        <v>1814</v>
      </c>
      <c r="AE789" s="85">
        <f>IFERROR(__xludf.DUMMYFUNCTION("INDEX(SPLIT(SUBSTITUTE(AF789,CHAR(10), """"),"",:""), MATCH(Z789, SPLIT(SUBSTITUTE(AF789,CHAR(10), """"),"",:""), 0) + 1)"),4.01)</f>
        <v>4.01</v>
      </c>
      <c r="AF789" s="85" t="s">
        <v>2691</v>
      </c>
      <c r="AG789" s="53" t="s">
        <v>4916</v>
      </c>
      <c r="AH789" s="91" t="s">
        <v>4913</v>
      </c>
      <c r="AI789" s="84">
        <v>0.0</v>
      </c>
      <c r="AJ789" s="84">
        <v>1.0</v>
      </c>
      <c r="AK789" s="87"/>
      <c r="AL789" s="81">
        <v>0.0</v>
      </c>
      <c r="AM789" s="87"/>
      <c r="AN789" s="81">
        <v>0.0</v>
      </c>
      <c r="AO789" s="90"/>
      <c r="AP789" s="81">
        <v>0.0</v>
      </c>
      <c r="AQ789" s="81">
        <v>1.0</v>
      </c>
      <c r="AR789" s="39"/>
      <c r="AS789" s="81">
        <v>0.0</v>
      </c>
      <c r="AT789" s="81">
        <v>0.0</v>
      </c>
      <c r="AU789" s="39"/>
      <c r="AV789" s="82"/>
      <c r="AW789" s="82"/>
      <c r="AX789" s="82"/>
      <c r="AY789" s="7"/>
      <c r="AZ789" s="7"/>
      <c r="BA789" s="7"/>
      <c r="BB789" s="7"/>
      <c r="BC789" s="7"/>
      <c r="BD789" s="7"/>
      <c r="BE789" s="7"/>
      <c r="BF789" s="7">
        <v>99.3</v>
      </c>
      <c r="BG789" s="13">
        <f>BF783/BF789</f>
        <v>10070.49345</v>
      </c>
      <c r="BH789" s="82"/>
      <c r="BI789" s="82">
        <f>POW(LOG(1000000,2),2)</f>
        <v>397.2674256</v>
      </c>
      <c r="BJ789" s="82">
        <f>BI783/BI789</f>
        <v>2517196064</v>
      </c>
      <c r="BK789" s="82"/>
      <c r="BL789" s="82">
        <f>POW(LOG(1000000000,2),2)</f>
        <v>893.8517077</v>
      </c>
      <c r="BM789" s="82">
        <f>BL783/BL789</f>
        <v>1.11875E+15</v>
      </c>
      <c r="BN789" s="7"/>
      <c r="BO789" s="7">
        <v>4.0</v>
      </c>
      <c r="BP789" s="82"/>
      <c r="BQ789" s="7"/>
      <c r="BR789" s="7" t="s">
        <v>23</v>
      </c>
    </row>
    <row r="790">
      <c r="A790" s="16">
        <v>81.0</v>
      </c>
      <c r="B790" s="16" t="s">
        <v>910</v>
      </c>
      <c r="C790" s="53">
        <v>1.0</v>
      </c>
      <c r="D790" s="53" t="s">
        <v>910</v>
      </c>
      <c r="E790" s="7">
        <v>637.0</v>
      </c>
      <c r="F790" s="53"/>
      <c r="G790" s="7"/>
      <c r="H790" s="16">
        <v>1.0</v>
      </c>
      <c r="I790" s="81">
        <v>1.0</v>
      </c>
      <c r="J790" s="21" t="s">
        <v>2382</v>
      </c>
      <c r="K790" s="53"/>
      <c r="L790" s="53"/>
      <c r="M790" s="39" t="str">
        <f t="shared" si="1"/>
        <v>[https://www.cs.rutgers.edu/~farach/pubs/PRAMSuffixICALP.pdf Farach (1997)]</v>
      </c>
      <c r="N790" s="39" t="s">
        <v>4917</v>
      </c>
      <c r="O790" s="81">
        <v>1997.0</v>
      </c>
      <c r="P790" s="28" t="s">
        <v>4918</v>
      </c>
      <c r="Q790" s="82"/>
      <c r="R790" s="82"/>
      <c r="S790" s="82"/>
      <c r="T790" s="81">
        <v>0.0</v>
      </c>
      <c r="U790" s="16">
        <v>0.0</v>
      </c>
      <c r="V790" s="89">
        <f>IFERROR(__xludf.DUMMYFUNCTION("INDEX(SPLIT(SUBSTITUTE(W790,CHAR(10), """"),"",:""), MATCH(Z790, SPLIT(SUBSTITUTE(W790,CHAR(10), """"),"",:""), 0) + 1)"),2.0)</f>
        <v>2</v>
      </c>
      <c r="W790" s="85" t="s">
        <v>1962</v>
      </c>
      <c r="X790" s="21" t="s">
        <v>2430</v>
      </c>
      <c r="Y790" s="53" t="s">
        <v>4900</v>
      </c>
      <c r="Z790" s="53" t="str">
        <f t="array" ref="Z790">INDEX(Problems!J:J, MATCH(1, (Problems!B:B=B790)*1, 0))</f>
        <v>n</v>
      </c>
      <c r="AA790" s="53"/>
      <c r="AB790" s="53"/>
      <c r="AC790" s="53" t="s">
        <v>4915</v>
      </c>
      <c r="AD790" s="53" t="s">
        <v>1814</v>
      </c>
      <c r="AE790" s="85">
        <f>IFERROR(__xludf.DUMMYFUNCTION("INDEX(SPLIT(SUBSTITUTE(AF790,CHAR(10), """"),"",:""), MATCH(Z790, SPLIT(SUBSTITUTE(AF790,CHAR(10), """"),"",:""), 0) + 1)"),3.0)</f>
        <v>3</v>
      </c>
      <c r="AF790" s="85" t="s">
        <v>1763</v>
      </c>
      <c r="AG790" s="53" t="s">
        <v>35</v>
      </c>
      <c r="AH790" s="121" t="s">
        <v>4918</v>
      </c>
      <c r="AI790" s="84">
        <v>0.0</v>
      </c>
      <c r="AJ790" s="84">
        <v>1.0</v>
      </c>
      <c r="AK790" s="84"/>
      <c r="AL790" s="83">
        <v>1.0</v>
      </c>
      <c r="AM790" s="84" t="s">
        <v>2187</v>
      </c>
      <c r="AN790" s="81">
        <v>0.0</v>
      </c>
      <c r="AO790" s="90"/>
      <c r="AP790" s="81">
        <v>0.0</v>
      </c>
      <c r="AQ790" s="84">
        <v>1.0</v>
      </c>
      <c r="AR790" s="39"/>
      <c r="AS790" s="81">
        <v>0.0</v>
      </c>
      <c r="AT790" s="81">
        <v>0.0</v>
      </c>
      <c r="AU790" s="39"/>
      <c r="AV790" s="82"/>
      <c r="AW790" s="82"/>
      <c r="AX790" s="82"/>
      <c r="AY790" s="7"/>
      <c r="AZ790" s="7"/>
      <c r="BA790" s="7"/>
      <c r="BB790" s="7"/>
      <c r="BC790" s="7"/>
      <c r="BD790" s="7"/>
      <c r="BE790" s="7"/>
      <c r="BF790" s="7">
        <v>1000.0</v>
      </c>
      <c r="BG790" s="13"/>
      <c r="BH790" s="82"/>
      <c r="BI790" s="82"/>
      <c r="BJ790" s="82"/>
      <c r="BK790" s="82"/>
      <c r="BL790" s="82"/>
      <c r="BM790" s="82"/>
      <c r="BN790" s="7"/>
      <c r="BO790" s="7">
        <v>4.0</v>
      </c>
      <c r="BP790" s="82"/>
      <c r="BQ790" s="7"/>
      <c r="BR790" s="7" t="s">
        <v>23</v>
      </c>
    </row>
    <row r="791">
      <c r="A791" s="16">
        <v>81.0</v>
      </c>
      <c r="B791" s="16" t="s">
        <v>910</v>
      </c>
      <c r="C791" s="53">
        <v>1.0</v>
      </c>
      <c r="D791" s="53" t="s">
        <v>910</v>
      </c>
      <c r="E791" s="7">
        <v>638.0</v>
      </c>
      <c r="F791" s="53"/>
      <c r="G791" s="7"/>
      <c r="H791" s="16">
        <v>1.0</v>
      </c>
      <c r="I791" s="81">
        <v>1.0</v>
      </c>
      <c r="J791" s="39" t="s">
        <v>1963</v>
      </c>
      <c r="K791" s="53"/>
      <c r="L791" s="53"/>
      <c r="M791" s="39" t="str">
        <f t="shared" si="1"/>
        <v>[https://www.researchgate.net/publication/228945502_On_parallel_transformations_of_suffix_arrays_into_suffix_trees Rytter (2004)]</v>
      </c>
      <c r="N791" s="39" t="s">
        <v>4919</v>
      </c>
      <c r="O791" s="81">
        <v>2004.0</v>
      </c>
      <c r="P791" s="17" t="s">
        <v>4920</v>
      </c>
      <c r="Q791" s="82"/>
      <c r="R791" s="82"/>
      <c r="S791" s="82"/>
      <c r="T791" s="81">
        <v>1.0</v>
      </c>
      <c r="U791" s="16" t="s">
        <v>3364</v>
      </c>
      <c r="V791" s="89">
        <f>IFERROR(__xludf.DUMMYFUNCTION("INDEX(SPLIT(SUBSTITUTE(W791,CHAR(10), """"),"",:""), MATCH(Z791, SPLIT(SUBSTITUTE(W791,CHAR(10), """"),"",:""), 0) + 1)"),2.0)</f>
        <v>2</v>
      </c>
      <c r="W791" s="85" t="s">
        <v>1962</v>
      </c>
      <c r="X791" s="16" t="s">
        <v>2430</v>
      </c>
      <c r="Y791" s="53" t="s">
        <v>4900</v>
      </c>
      <c r="Z791" s="53" t="str">
        <f t="array" ref="Z791">INDEX(Problems!J:J, MATCH(1, (Problems!B:B=B791)*1, 0))</f>
        <v>n</v>
      </c>
      <c r="AA791" s="53"/>
      <c r="AB791" s="53"/>
      <c r="AC791" s="53" t="s">
        <v>2486</v>
      </c>
      <c r="AD791" s="53" t="s">
        <v>1814</v>
      </c>
      <c r="AE791" s="85">
        <f>IFERROR(__xludf.DUMMYFUNCTION("INDEX(SPLIT(SUBSTITUTE(AF791,CHAR(10), """"),"",:""), MATCH(Z791, SPLIT(SUBSTITUTE(AF791,CHAR(10), """"),"",:""), 0) + 1)"),3.0)</f>
        <v>3</v>
      </c>
      <c r="AF791" s="85" t="s">
        <v>1763</v>
      </c>
      <c r="AG791" s="53" t="s">
        <v>35</v>
      </c>
      <c r="AH791" s="86" t="s">
        <v>4920</v>
      </c>
      <c r="AI791" s="84">
        <v>0.0</v>
      </c>
      <c r="AJ791" s="84">
        <v>1.0</v>
      </c>
      <c r="AK791" s="87"/>
      <c r="AL791" s="81">
        <v>0.0</v>
      </c>
      <c r="AM791" s="87"/>
      <c r="AN791" s="81">
        <v>0.0</v>
      </c>
      <c r="AO791" s="90"/>
      <c r="AP791" s="81">
        <v>0.0</v>
      </c>
      <c r="AQ791" s="81">
        <v>1.0</v>
      </c>
      <c r="AR791" s="39"/>
      <c r="AS791" s="81">
        <v>0.0</v>
      </c>
      <c r="AT791" s="81">
        <v>0.0</v>
      </c>
      <c r="AU791" s="39"/>
      <c r="AV791" s="82"/>
      <c r="AW791" s="82"/>
      <c r="AX791" s="82"/>
      <c r="AY791" s="7"/>
      <c r="AZ791" s="7"/>
      <c r="BA791" s="7"/>
      <c r="BB791" s="7"/>
      <c r="BC791" s="7"/>
      <c r="BD791" s="7"/>
      <c r="BE791" s="7"/>
      <c r="BF791" s="7">
        <v>9.965</v>
      </c>
      <c r="BG791" s="13">
        <f>BF783/BF791</f>
        <v>100351.2293</v>
      </c>
      <c r="BH791" s="82"/>
      <c r="BI791" s="82">
        <f>LOG(1000000,2)</f>
        <v>19.93156857</v>
      </c>
      <c r="BJ791" s="82">
        <f>BI783/BI791</f>
        <v>50171665944</v>
      </c>
      <c r="BK791" s="82"/>
      <c r="BL791" s="82">
        <f>LOG(1000000000,2)</f>
        <v>29.89735285</v>
      </c>
      <c r="BM791" s="82">
        <f>BL783/BL791</f>
        <v>3.34478E+16</v>
      </c>
      <c r="BN791" s="7"/>
      <c r="BO791" s="7">
        <v>4.0</v>
      </c>
      <c r="BP791" s="82"/>
      <c r="BQ791" s="7"/>
      <c r="BR791" s="7" t="s">
        <v>23</v>
      </c>
    </row>
    <row r="792">
      <c r="A792" s="16">
        <v>81.0</v>
      </c>
      <c r="B792" s="16" t="s">
        <v>910</v>
      </c>
      <c r="C792" s="53">
        <v>2.0</v>
      </c>
      <c r="D792" s="53" t="s">
        <v>910</v>
      </c>
      <c r="E792" s="7">
        <v>639.0</v>
      </c>
      <c r="F792" s="53"/>
      <c r="G792" s="7"/>
      <c r="H792" s="16">
        <v>1.0</v>
      </c>
      <c r="I792" s="81">
        <v>1.0</v>
      </c>
      <c r="J792" s="39" t="s">
        <v>35</v>
      </c>
      <c r="K792" s="53" t="s">
        <v>4898</v>
      </c>
      <c r="L792" s="53" t="s">
        <v>4899</v>
      </c>
      <c r="M792" s="39" t="str">
        <f t="shared" si="1"/>
        <v>[http://libeccio.di.unisa.it/TdP/suffix.pdf McCreight (1976)]</v>
      </c>
      <c r="N792" s="39" t="s">
        <v>4921</v>
      </c>
      <c r="O792" s="81">
        <v>1976.0</v>
      </c>
      <c r="P792" s="28" t="s">
        <v>4922</v>
      </c>
      <c r="Q792" s="82"/>
      <c r="R792" s="82"/>
      <c r="S792" s="82"/>
      <c r="T792" s="81">
        <v>0.0</v>
      </c>
      <c r="U792" s="16">
        <v>0.0</v>
      </c>
      <c r="V792" s="89">
        <f>IFERROR(__xludf.DUMMYFUNCTION("INDEX(SPLIT(SUBSTITUTE(W792,CHAR(10), """"),"",:""), MATCH(Z792, SPLIT(SUBSTITUTE(W792,CHAR(10), """"),"",:""), 0) + 1)"),3.0)</f>
        <v>3</v>
      </c>
      <c r="W792" s="85" t="s">
        <v>1763</v>
      </c>
      <c r="X792" s="39" t="s">
        <v>35</v>
      </c>
      <c r="Y792" s="53" t="s">
        <v>4900</v>
      </c>
      <c r="Z792" s="53" t="str">
        <f t="array" ref="Z792">INDEX(Problems!J:J, MATCH(1, (Problems!B:B=B792)*1, 0))</f>
        <v>n</v>
      </c>
      <c r="AA792" s="53"/>
      <c r="AB792" s="53"/>
      <c r="AC792" s="53" t="s">
        <v>1813</v>
      </c>
      <c r="AD792" s="53" t="s">
        <v>1814</v>
      </c>
      <c r="AE792" s="85">
        <f>IFERROR(__xludf.DUMMYFUNCTION("INDEX(SPLIT(SUBSTITUTE(AF792,CHAR(10), """"),"",:""), MATCH(Z792, SPLIT(SUBSTITUTE(AF792,CHAR(10), """"),"",:""), 0) + 1)"),3.0)</f>
        <v>3</v>
      </c>
      <c r="AF792" s="85" t="s">
        <v>1763</v>
      </c>
      <c r="AG792" s="53" t="s">
        <v>35</v>
      </c>
      <c r="AH792" s="53" t="s">
        <v>4901</v>
      </c>
      <c r="AI792" s="84">
        <v>1.0</v>
      </c>
      <c r="AJ792" s="84">
        <v>0.0</v>
      </c>
      <c r="AK792" s="87"/>
      <c r="AL792" s="81">
        <v>0.0</v>
      </c>
      <c r="AM792" s="87"/>
      <c r="AN792" s="81">
        <v>0.0</v>
      </c>
      <c r="AO792" s="90"/>
      <c r="AP792" s="81">
        <v>0.0</v>
      </c>
      <c r="AQ792" s="81">
        <v>0.0</v>
      </c>
      <c r="AR792" s="39"/>
      <c r="AS792" s="81">
        <v>0.0</v>
      </c>
      <c r="AT792" s="81">
        <v>0.0</v>
      </c>
      <c r="AU792" s="39"/>
      <c r="AV792" s="82"/>
      <c r="AW792" s="82"/>
      <c r="AX792" s="82"/>
      <c r="AY792" s="7"/>
      <c r="AZ792" s="7"/>
      <c r="BA792" s="7"/>
      <c r="BB792" s="7"/>
      <c r="BC792" s="7"/>
      <c r="BD792" s="7"/>
      <c r="BE792" s="7"/>
      <c r="BF792" s="7">
        <v>1000.0</v>
      </c>
      <c r="BG792" s="13"/>
      <c r="BH792" s="82"/>
      <c r="BI792" s="82"/>
      <c r="BJ792" s="82"/>
      <c r="BK792" s="82"/>
      <c r="BL792" s="82"/>
      <c r="BM792" s="82"/>
      <c r="BN792" s="7"/>
      <c r="BO792" s="7">
        <v>4.0</v>
      </c>
      <c r="BP792" s="82"/>
      <c r="BQ792" s="7"/>
      <c r="BR792" s="7" t="s">
        <v>23</v>
      </c>
    </row>
    <row r="793">
      <c r="A793" s="16">
        <v>83.0</v>
      </c>
      <c r="B793" s="16" t="s">
        <v>917</v>
      </c>
      <c r="C793" s="53">
        <v>1.0</v>
      </c>
      <c r="D793" s="53" t="s">
        <v>917</v>
      </c>
      <c r="E793" s="7">
        <v>645.0</v>
      </c>
      <c r="F793" s="53"/>
      <c r="G793" s="7"/>
      <c r="H793" s="16">
        <v>1.0</v>
      </c>
      <c r="I793" s="16">
        <v>1.0</v>
      </c>
      <c r="J793" s="16" t="s">
        <v>4923</v>
      </c>
      <c r="K793" s="53"/>
      <c r="L793" s="53"/>
      <c r="M793" s="39" t="str">
        <f t="shared" si="1"/>
        <v>[https://courses.cs.washington.edu/courses/cse590q/04au/papers/Felligi69.pdf Fellegi &amp; Sunter Model (1969)]</v>
      </c>
      <c r="N793" s="16" t="s">
        <v>4924</v>
      </c>
      <c r="O793" s="81">
        <v>1969.0</v>
      </c>
      <c r="P793" s="97" t="s">
        <v>4925</v>
      </c>
      <c r="Q793" s="82"/>
      <c r="R793" s="82"/>
      <c r="S793" s="82"/>
      <c r="T793" s="16">
        <v>1.0</v>
      </c>
      <c r="U793" s="16">
        <v>0.0</v>
      </c>
      <c r="V793" s="89">
        <f>IFERROR(__xludf.DUMMYFUNCTION("INDEX(SPLIT(SUBSTITUTE(W793,CHAR(10), """"),"",:""), MATCH(Z793, SPLIT(SUBSTITUTE(W793,CHAR(10), """"),"",:""), 0) + 1)"),6.5)</f>
        <v>6.5</v>
      </c>
      <c r="W793" s="85" t="s">
        <v>4926</v>
      </c>
      <c r="X793" s="16" t="s">
        <v>4923</v>
      </c>
      <c r="Y793" s="53" t="s">
        <v>4927</v>
      </c>
      <c r="Z793" s="53" t="str">
        <f t="array" ref="Z793">INDEX(Problems!J:J, MATCH(1, (Problems!B:B=B793)*1, 0))</f>
        <v>n</v>
      </c>
      <c r="AA793" s="53"/>
      <c r="AB793" s="53"/>
      <c r="AC793" s="53" t="s">
        <v>1813</v>
      </c>
      <c r="AD793" s="53" t="s">
        <v>1814</v>
      </c>
      <c r="AE793" s="85">
        <f>IFERROR(__xludf.DUMMYFUNCTION("INDEX(SPLIT(SUBSTITUTE(AF793,CHAR(10), """"),"",:""), MATCH(Z793, SPLIT(SUBSTITUTE(AF793,CHAR(10), """"),"",:""), 0) + 1)"),2.5)</f>
        <v>2.5</v>
      </c>
      <c r="AF793" s="85" t="s">
        <v>4928</v>
      </c>
      <c r="AG793" s="53" t="s">
        <v>4711</v>
      </c>
      <c r="AH793" s="53" t="s">
        <v>4929</v>
      </c>
      <c r="AI793" s="84">
        <v>1.0</v>
      </c>
      <c r="AJ793" s="84">
        <v>0.0</v>
      </c>
      <c r="AK793" s="87"/>
      <c r="AL793" s="81">
        <v>0.0</v>
      </c>
      <c r="AM793" s="21"/>
      <c r="AN793" s="16">
        <v>0.0</v>
      </c>
      <c r="AO793" s="90"/>
      <c r="AP793" s="16">
        <v>0.0</v>
      </c>
      <c r="AQ793" s="16">
        <v>0.0</v>
      </c>
      <c r="AR793" s="39"/>
      <c r="AS793" s="81">
        <v>0.0</v>
      </c>
      <c r="AT793" s="81">
        <v>0.0</v>
      </c>
      <c r="AU793" s="39"/>
      <c r="AV793" s="82"/>
      <c r="AW793" s="82"/>
      <c r="AX793" s="82"/>
      <c r="AY793" s="7" t="s">
        <v>4930</v>
      </c>
      <c r="AZ793" s="82"/>
      <c r="BA793" s="82"/>
      <c r="BB793" s="82"/>
      <c r="BC793" s="82"/>
      <c r="BD793" s="82"/>
      <c r="BE793" s="82"/>
      <c r="BF793" s="82">
        <f>POW(500,4)</f>
        <v>62500000000</v>
      </c>
      <c r="BG793" s="7">
        <v>1.0</v>
      </c>
      <c r="BH793" s="82"/>
      <c r="BI793" s="82">
        <f>POW(500000,4)</f>
        <v>6.25E+22</v>
      </c>
      <c r="BJ793" s="7">
        <v>1.0</v>
      </c>
      <c r="BK793" s="82"/>
      <c r="BL793" s="82">
        <f>POW(500000000,4)</f>
        <v>6.25E+34</v>
      </c>
      <c r="BM793" s="7">
        <v>1.0</v>
      </c>
      <c r="BN793" s="7"/>
      <c r="BO793" s="7">
        <v>2.0</v>
      </c>
      <c r="BP793" s="82"/>
      <c r="BQ793" s="7"/>
      <c r="BR793" s="7" t="s">
        <v>23</v>
      </c>
    </row>
    <row r="794">
      <c r="A794" s="16">
        <v>83.0</v>
      </c>
      <c r="B794" s="16" t="s">
        <v>917</v>
      </c>
      <c r="C794" s="53">
        <v>1.0</v>
      </c>
      <c r="D794" s="53" t="s">
        <v>917</v>
      </c>
      <c r="E794" s="7">
        <v>646.0</v>
      </c>
      <c r="F794" s="53" t="s">
        <v>4931</v>
      </c>
      <c r="G794" s="7"/>
      <c r="H794" s="16">
        <v>1.0</v>
      </c>
      <c r="I794" s="16">
        <v>1.0</v>
      </c>
      <c r="J794" s="16" t="s">
        <v>4923</v>
      </c>
      <c r="K794" s="53"/>
      <c r="L794" s="53"/>
      <c r="M794" s="39" t="str">
        <f t="shared" si="1"/>
        <v>[https://doi.org/10.14778/1687627.1687661 Gupta &amp; Sarawagi CRF (2009)]</v>
      </c>
      <c r="N794" s="16" t="s">
        <v>4932</v>
      </c>
      <c r="O794" s="81">
        <v>2009.0</v>
      </c>
      <c r="P794" s="96" t="s">
        <v>4933</v>
      </c>
      <c r="Q794" s="82"/>
      <c r="R794" s="82"/>
      <c r="S794" s="82"/>
      <c r="T794" s="16">
        <v>0.0</v>
      </c>
      <c r="U794" s="16">
        <v>0.0</v>
      </c>
      <c r="V794" s="89">
        <f>IFERROR(__xludf.DUMMYFUNCTION("INDEX(SPLIT(SUBSTITUTE(W794,CHAR(10), """"),"",:""), MATCH(Z794, SPLIT(SUBSTITUTE(W794,CHAR(10), """"),"",:""), 0) + 1)"),6.5)</f>
        <v>6.5</v>
      </c>
      <c r="W794" s="85" t="s">
        <v>4926</v>
      </c>
      <c r="X794" s="16" t="s">
        <v>4923</v>
      </c>
      <c r="Y794" s="53" t="s">
        <v>4927</v>
      </c>
      <c r="Z794" s="53" t="str">
        <f t="array" ref="Z794">INDEX(Problems!J:J, MATCH(1, (Problems!B:B=B794)*1, 0))</f>
        <v>n</v>
      </c>
      <c r="AA794" s="53"/>
      <c r="AB794" s="53"/>
      <c r="AC794" s="53" t="s">
        <v>1813</v>
      </c>
      <c r="AD794" s="53" t="s">
        <v>1814</v>
      </c>
      <c r="AE794" s="85">
        <f>IFERROR(__xludf.DUMMYFUNCTION("INDEX(SPLIT(SUBSTITUTE(AF794,CHAR(10), """"),"",:""), MATCH(Z794, SPLIT(SUBSTITUTE(AF794,CHAR(10), """"),"",:""), 0) + 1)"),4.5)</f>
        <v>4.5</v>
      </c>
      <c r="AF794" s="85" t="s">
        <v>4934</v>
      </c>
      <c r="AG794" s="53" t="s">
        <v>4935</v>
      </c>
      <c r="AH794" s="53" t="s">
        <v>4936</v>
      </c>
      <c r="AI794" s="84">
        <v>1.0</v>
      </c>
      <c r="AJ794" s="84">
        <v>0.0</v>
      </c>
      <c r="AK794" s="87"/>
      <c r="AL794" s="81">
        <v>0.0</v>
      </c>
      <c r="AM794" s="21"/>
      <c r="AN794" s="16">
        <v>0.0</v>
      </c>
      <c r="AO794" s="90"/>
      <c r="AP794" s="16">
        <v>0.0</v>
      </c>
      <c r="AQ794" s="16">
        <v>0.0</v>
      </c>
      <c r="AR794" s="39"/>
      <c r="AS794" s="81">
        <v>0.0</v>
      </c>
      <c r="AT794" s="81">
        <v>0.0</v>
      </c>
      <c r="AU794" s="39"/>
      <c r="AV794" s="82"/>
      <c r="AW794" s="82"/>
      <c r="AX794" s="82"/>
      <c r="AY794" s="7"/>
      <c r="AZ794" s="82"/>
      <c r="BA794" s="82"/>
      <c r="BB794" s="82"/>
      <c r="BC794" s="82"/>
      <c r="BD794" s="82"/>
      <c r="BE794" s="82"/>
      <c r="BF794" s="82"/>
      <c r="BG794" s="82"/>
      <c r="BH794" s="82"/>
      <c r="BI794" s="82"/>
      <c r="BJ794" s="82"/>
      <c r="BK794" s="82"/>
      <c r="BL794" s="82"/>
      <c r="BM794" s="82"/>
      <c r="BN794" s="7"/>
      <c r="BO794" s="7">
        <v>2.0</v>
      </c>
      <c r="BP794" s="82"/>
      <c r="BQ794" s="7"/>
      <c r="BR794" s="7" t="s">
        <v>23</v>
      </c>
    </row>
    <row r="795">
      <c r="A795" s="16">
        <v>83.0</v>
      </c>
      <c r="B795" s="16" t="s">
        <v>917</v>
      </c>
      <c r="C795" s="53">
        <v>0.001</v>
      </c>
      <c r="D795" s="53" t="s">
        <v>917</v>
      </c>
      <c r="E795" s="7">
        <v>647.0</v>
      </c>
      <c r="F795" s="53"/>
      <c r="G795" s="7"/>
      <c r="H795" s="16">
        <v>1.0</v>
      </c>
      <c r="I795" s="21">
        <v>0.0</v>
      </c>
      <c r="J795" s="16" t="s">
        <v>1564</v>
      </c>
      <c r="K795" s="53"/>
      <c r="L795" s="53"/>
      <c r="M795" s="39" t="str">
        <f t="shared" si="1"/>
        <v>[ Chen Ensembles of classifiers (1989)]</v>
      </c>
      <c r="N795" s="16" t="s">
        <v>4937</v>
      </c>
      <c r="O795" s="81">
        <v>1989.0</v>
      </c>
      <c r="P795" s="39"/>
      <c r="Q795" s="82"/>
      <c r="R795" s="82"/>
      <c r="S795" s="82"/>
      <c r="T795" s="16">
        <v>1.0</v>
      </c>
      <c r="U795" s="16" t="s">
        <v>2019</v>
      </c>
      <c r="V795" s="89">
        <f>IFERROR(__xludf.DUMMYFUNCTION("INDEX(SPLIT(SUBSTITUTE(W795,CHAR(10), """"),"",:""), MATCH(Z795, SPLIT(SUBSTITUTE(W795,CHAR(10), """"),"",:""), 0) + 1)"),5.01)</f>
        <v>5.01</v>
      </c>
      <c r="W795" s="85" t="s">
        <v>1890</v>
      </c>
      <c r="X795" s="16" t="s">
        <v>1564</v>
      </c>
      <c r="Y795" s="53" t="s">
        <v>4927</v>
      </c>
      <c r="Z795" s="53" t="str">
        <f t="array" ref="Z795">INDEX(Problems!J:J, MATCH(1, (Problems!B:B=B795)*1, 0))</f>
        <v>n</v>
      </c>
      <c r="AA795" s="53"/>
      <c r="AB795" s="53"/>
      <c r="AC795" s="53" t="s">
        <v>1813</v>
      </c>
      <c r="AD795" s="53" t="s">
        <v>1814</v>
      </c>
      <c r="AE795" s="85" t="str">
        <f>IFERROR(__xludf.DUMMYFUNCTION("INDEX(SPLIT(SUBSTITUTE(AF795,CHAR(10), """"),"",:""), MATCH(Z795, SPLIT(SUBSTITUTE(AF795,CHAR(10), """"),"",:""), 0) + 1)"),"#VALUE!")</f>
        <v>#VALUE!</v>
      </c>
      <c r="AF795" s="131"/>
      <c r="AG795" s="53"/>
      <c r="AH795" s="53"/>
      <c r="AI795" s="87"/>
      <c r="AJ795" s="84" t="s">
        <v>2520</v>
      </c>
      <c r="AK795" s="87"/>
      <c r="AL795" s="81">
        <v>0.0</v>
      </c>
      <c r="AM795" s="21"/>
      <c r="AN795" s="16">
        <v>0.0</v>
      </c>
      <c r="AO795" s="90"/>
      <c r="AP795" s="16">
        <v>0.0</v>
      </c>
      <c r="AQ795" s="16">
        <v>0.0</v>
      </c>
      <c r="AR795" s="39"/>
      <c r="AS795" s="81">
        <v>0.0</v>
      </c>
      <c r="AT795" s="81">
        <v>0.0</v>
      </c>
      <c r="AU795" s="39"/>
      <c r="AV795" s="82"/>
      <c r="AW795" s="82"/>
      <c r="AX795" s="82"/>
      <c r="AY795" s="7"/>
      <c r="AZ795" s="82"/>
      <c r="BA795" s="82"/>
      <c r="BB795" s="82"/>
      <c r="BC795" s="82"/>
      <c r="BD795" s="82"/>
      <c r="BE795" s="82"/>
      <c r="BF795" s="82">
        <f>POW(500,2)*LOG(500,2)</f>
        <v>2241446.071</v>
      </c>
      <c r="BG795" s="82">
        <f>BF793/BF795</f>
        <v>27883.78485</v>
      </c>
      <c r="BH795" s="82">
        <f>POW(BG795,1/($O795-$O793)) - 1</f>
        <v>0.6682747866</v>
      </c>
      <c r="BI795" s="82">
        <f>POW(500000,2)*LOG(500000,2)</f>
        <v>4732892142331</v>
      </c>
      <c r="BJ795" s="82">
        <f>BI793/BI795</f>
        <v>13205456224</v>
      </c>
      <c r="BK795" s="82">
        <f>POW(BJ795,1/($O795-$O793)) - 1</f>
        <v>2.206547447</v>
      </c>
      <c r="BL795" s="82">
        <f>POW(500000000,2)*LOG(500000000,2)</f>
        <v>7.22434E+18</v>
      </c>
      <c r="BM795" s="82">
        <f>BL793/BL795</f>
        <v>8.65131E+15</v>
      </c>
      <c r="BN795" s="82">
        <f>POW(BM795,1/($O795-$O793)) - 1</f>
        <v>5.264033871</v>
      </c>
      <c r="BO795" s="7">
        <v>2.0</v>
      </c>
      <c r="BP795" s="82"/>
      <c r="BQ795" s="7"/>
      <c r="BR795" s="7" t="s">
        <v>23</v>
      </c>
    </row>
    <row r="796">
      <c r="A796" s="16">
        <v>83.0</v>
      </c>
      <c r="B796" s="16" t="s">
        <v>917</v>
      </c>
      <c r="C796" s="53">
        <v>2.0</v>
      </c>
      <c r="D796" s="53" t="s">
        <v>917</v>
      </c>
      <c r="E796" s="7">
        <v>648.0</v>
      </c>
      <c r="F796" s="53"/>
      <c r="G796" s="7"/>
      <c r="H796" s="16">
        <v>1.0</v>
      </c>
      <c r="I796" s="16">
        <v>1.0</v>
      </c>
      <c r="J796" s="16" t="s">
        <v>4923</v>
      </c>
      <c r="K796" s="53"/>
      <c r="L796" s="53"/>
      <c r="M796" s="39" t="str">
        <f t="shared" si="1"/>
        <v>[https://courses.cs.washington.edu/courses/cse590q/04au/papers/WinklerEM.pdf EM Based Winkler (2000)]</v>
      </c>
      <c r="N796" s="16" t="s">
        <v>4938</v>
      </c>
      <c r="O796" s="84">
        <v>2000.0</v>
      </c>
      <c r="P796" s="96" t="s">
        <v>4939</v>
      </c>
      <c r="Q796" s="82"/>
      <c r="R796" s="82"/>
      <c r="S796" s="82"/>
      <c r="T796" s="16">
        <v>0.0</v>
      </c>
      <c r="U796" s="16">
        <v>0.0</v>
      </c>
      <c r="V796" s="89">
        <f>IFERROR(__xludf.DUMMYFUNCTION("INDEX(SPLIT(SUBSTITUTE(W796,CHAR(10), """"),"",:""), MATCH(Z796, SPLIT(SUBSTITUTE(W796,CHAR(10), """"),"",:""), 0) + 1)"),6.5)</f>
        <v>6.5</v>
      </c>
      <c r="W796" s="85" t="s">
        <v>4926</v>
      </c>
      <c r="X796" s="16" t="s">
        <v>4923</v>
      </c>
      <c r="Y796" s="53" t="s">
        <v>4927</v>
      </c>
      <c r="Z796" s="53" t="str">
        <f t="array" ref="Z796">INDEX(Problems!J:J, MATCH(1, (Problems!B:B=B796)*1, 0))</f>
        <v>n</v>
      </c>
      <c r="AA796" s="53"/>
      <c r="AB796" s="53"/>
      <c r="AC796" s="53" t="s">
        <v>1813</v>
      </c>
      <c r="AD796" s="53" t="s">
        <v>1814</v>
      </c>
      <c r="AE796" s="85">
        <f>IFERROR(__xludf.DUMMYFUNCTION("INDEX(SPLIT(SUBSTITUTE(AF796,CHAR(10), """"),"",:""), MATCH(Z796, SPLIT(SUBSTITUTE(AF796,CHAR(10), """"),"",:""), 0) + 1)"),2.5)</f>
        <v>2.5</v>
      </c>
      <c r="AF796" s="85" t="s">
        <v>4928</v>
      </c>
      <c r="AG796" s="53" t="s">
        <v>4711</v>
      </c>
      <c r="AH796" s="53" t="s">
        <v>4940</v>
      </c>
      <c r="AI796" s="84">
        <v>1.0</v>
      </c>
      <c r="AJ796" s="84">
        <v>0.0</v>
      </c>
      <c r="AK796" s="87"/>
      <c r="AL796" s="81">
        <v>0.0</v>
      </c>
      <c r="AM796" s="21"/>
      <c r="AN796" s="16">
        <v>0.0</v>
      </c>
      <c r="AO796" s="90"/>
      <c r="AP796" s="16">
        <v>0.0</v>
      </c>
      <c r="AQ796" s="16">
        <v>0.0</v>
      </c>
      <c r="AR796" s="39"/>
      <c r="AS796" s="81">
        <v>0.0</v>
      </c>
      <c r="AT796" s="81">
        <v>0.0</v>
      </c>
      <c r="AU796" s="39"/>
      <c r="AV796" s="82"/>
      <c r="AW796" s="82"/>
      <c r="AX796" s="82"/>
      <c r="AY796" s="7"/>
      <c r="AZ796" s="82"/>
      <c r="BA796" s="82"/>
      <c r="BB796" s="82"/>
      <c r="BC796" s="82"/>
      <c r="BD796" s="82"/>
      <c r="BE796" s="82"/>
      <c r="BF796" s="82"/>
      <c r="BG796" s="82"/>
      <c r="BH796" s="82"/>
      <c r="BI796" s="82"/>
      <c r="BJ796" s="82"/>
      <c r="BK796" s="82"/>
      <c r="BL796" s="82"/>
      <c r="BM796" s="82"/>
      <c r="BN796" s="7"/>
      <c r="BO796" s="7">
        <v>2.0</v>
      </c>
      <c r="BP796" s="82"/>
      <c r="BQ796" s="7"/>
      <c r="BR796" s="7" t="s">
        <v>23</v>
      </c>
    </row>
    <row r="797">
      <c r="A797" s="16">
        <v>83.0</v>
      </c>
      <c r="B797" s="16" t="s">
        <v>917</v>
      </c>
      <c r="C797" s="53">
        <v>2.0</v>
      </c>
      <c r="D797" s="53" t="s">
        <v>917</v>
      </c>
      <c r="E797" s="7">
        <v>649.0</v>
      </c>
      <c r="F797" s="53"/>
      <c r="G797" s="7"/>
      <c r="H797" s="16">
        <v>1.0</v>
      </c>
      <c r="I797" s="16">
        <v>1.0</v>
      </c>
      <c r="J797" s="16" t="s">
        <v>4426</v>
      </c>
      <c r="K797" s="53"/>
      <c r="L797" s="53"/>
      <c r="M797" s="39" t="str">
        <f t="shared" si="1"/>
        <v>[https://arxiv.org/abs/1207.4180 Ravikumar &amp; Cohen Generative Models (2004)]</v>
      </c>
      <c r="N797" s="16" t="s">
        <v>4941</v>
      </c>
      <c r="O797" s="84">
        <v>2004.0</v>
      </c>
      <c r="P797" s="96" t="s">
        <v>4942</v>
      </c>
      <c r="Q797" s="82"/>
      <c r="R797" s="82"/>
      <c r="S797" s="82"/>
      <c r="T797" s="16">
        <v>0.0</v>
      </c>
      <c r="U797" s="16">
        <v>0.0</v>
      </c>
      <c r="V797" s="89">
        <f>IFERROR(__xludf.DUMMYFUNCTION("INDEX(SPLIT(SUBSTITUTE(W797,CHAR(10), """"),"",:""), MATCH(Z797, SPLIT(SUBSTITUTE(W797,CHAR(10), """"),"",:""), 0) + 1)"),5.5)</f>
        <v>5.5</v>
      </c>
      <c r="W797" s="85" t="s">
        <v>4943</v>
      </c>
      <c r="X797" s="16" t="s">
        <v>4426</v>
      </c>
      <c r="Y797" s="53" t="s">
        <v>4927</v>
      </c>
      <c r="Z797" s="53" t="str">
        <f t="array" ref="Z797">INDEX(Problems!J:J, MATCH(1, (Problems!B:B=B797)*1, 0))</f>
        <v>n</v>
      </c>
      <c r="AA797" s="53"/>
      <c r="AB797" s="53"/>
      <c r="AC797" s="53" t="s">
        <v>1813</v>
      </c>
      <c r="AD797" s="53" t="s">
        <v>1814</v>
      </c>
      <c r="AE797" s="85">
        <f>IFERROR(__xludf.DUMMYFUNCTION("INDEX(SPLIT(SUBSTITUTE(AF797,CHAR(10), """"),"",:""), MATCH(Z797, SPLIT(SUBSTITUTE(AF797,CHAR(10), """"),"",:""), 0) + 1)"),2.5)</f>
        <v>2.5</v>
      </c>
      <c r="AF797" s="85" t="s">
        <v>4928</v>
      </c>
      <c r="AG797" s="53" t="s">
        <v>4711</v>
      </c>
      <c r="AH797" s="53" t="s">
        <v>4940</v>
      </c>
      <c r="AI797" s="84">
        <v>1.0</v>
      </c>
      <c r="AJ797" s="84">
        <v>0.0</v>
      </c>
      <c r="AK797" s="87"/>
      <c r="AL797" s="81">
        <v>0.0</v>
      </c>
      <c r="AM797" s="21"/>
      <c r="AN797" s="16">
        <v>0.0</v>
      </c>
      <c r="AO797" s="90"/>
      <c r="AP797" s="16">
        <v>0.0</v>
      </c>
      <c r="AQ797" s="16">
        <v>0.0</v>
      </c>
      <c r="AR797" s="39"/>
      <c r="AS797" s="81">
        <v>0.0</v>
      </c>
      <c r="AT797" s="81">
        <v>0.0</v>
      </c>
      <c r="AU797" s="39"/>
      <c r="AV797" s="82"/>
      <c r="AW797" s="82"/>
      <c r="AX797" s="82"/>
      <c r="AY797" s="7"/>
      <c r="AZ797" s="82"/>
      <c r="BA797" s="82"/>
      <c r="BB797" s="82"/>
      <c r="BC797" s="82"/>
      <c r="BD797" s="82"/>
      <c r="BE797" s="82"/>
      <c r="BF797" s="82"/>
      <c r="BG797" s="82"/>
      <c r="BH797" s="82"/>
      <c r="BI797" s="82"/>
      <c r="BJ797" s="82"/>
      <c r="BK797" s="82"/>
      <c r="BL797" s="82"/>
      <c r="BM797" s="82"/>
      <c r="BN797" s="7"/>
      <c r="BO797" s="7">
        <v>2.0</v>
      </c>
      <c r="BP797" s="82"/>
      <c r="BQ797" s="7"/>
      <c r="BR797" s="7" t="s">
        <v>23</v>
      </c>
    </row>
    <row r="798">
      <c r="A798" s="16">
        <v>83.0</v>
      </c>
      <c r="B798" s="16" t="s">
        <v>917</v>
      </c>
      <c r="C798" s="53">
        <v>1.0</v>
      </c>
      <c r="D798" s="53" t="s">
        <v>917</v>
      </c>
      <c r="E798" s="7">
        <v>650.0</v>
      </c>
      <c r="F798" s="53" t="s">
        <v>4944</v>
      </c>
      <c r="G798" s="7"/>
      <c r="H798" s="16">
        <v>1.0</v>
      </c>
      <c r="I798" s="21">
        <v>0.0</v>
      </c>
      <c r="J798" s="16" t="s">
        <v>4945</v>
      </c>
      <c r="K798" s="53"/>
      <c r="L798" s="53"/>
      <c r="M798" s="39" t="str">
        <f t="shared" si="1"/>
        <v>[https://dl.acm.org/doi/10.1145/2339530.2339707 Bellare Active Learning (2012)]</v>
      </c>
      <c r="N798" s="16" t="s">
        <v>4946</v>
      </c>
      <c r="O798" s="81">
        <v>2012.0</v>
      </c>
      <c r="P798" s="17" t="s">
        <v>4947</v>
      </c>
      <c r="Q798" s="82"/>
      <c r="R798" s="82"/>
      <c r="S798" s="82"/>
      <c r="T798" s="16">
        <v>0.0</v>
      </c>
      <c r="U798" s="16">
        <v>0.0</v>
      </c>
      <c r="V798" s="89">
        <f>IFERROR(__xludf.DUMMYFUNCTION("INDEX(SPLIT(SUBSTITUTE(W798,CHAR(10), """"),"",:""), MATCH(Z798, SPLIT(SUBSTITUTE(W798,CHAR(10), """"),"",:""), 0) + 1)"),5.01)</f>
        <v>5.01</v>
      </c>
      <c r="W798" s="85" t="s">
        <v>1890</v>
      </c>
      <c r="X798" s="16" t="s">
        <v>4945</v>
      </c>
      <c r="Y798" s="53" t="s">
        <v>4927</v>
      </c>
      <c r="Z798" s="53" t="str">
        <f t="array" ref="Z798">INDEX(Problems!J:J, MATCH(1, (Problems!B:B=B798)*1, 0))</f>
        <v>n</v>
      </c>
      <c r="AA798" s="53"/>
      <c r="AB798" s="53"/>
      <c r="AC798" s="53" t="s">
        <v>1813</v>
      </c>
      <c r="AD798" s="53" t="s">
        <v>1814</v>
      </c>
      <c r="AE798" s="85" t="str">
        <f>IFERROR(__xludf.DUMMYFUNCTION("INDEX(SPLIT(SUBSTITUTE(AF798,CHAR(10), """"),"",:""), MATCH(Z798, SPLIT(SUBSTITUTE(AF798,CHAR(10), """"),"",:""), 0) + 1)"),"#VALUE!")</f>
        <v>#VALUE!</v>
      </c>
      <c r="AF798" s="131"/>
      <c r="AG798" s="53"/>
      <c r="AH798" s="53"/>
      <c r="AI798" s="87"/>
      <c r="AJ798" s="84" t="s">
        <v>2520</v>
      </c>
      <c r="AK798" s="87"/>
      <c r="AL798" s="81">
        <v>0.0</v>
      </c>
      <c r="AM798" s="21"/>
      <c r="AN798" s="16">
        <v>0.0</v>
      </c>
      <c r="AO798" s="90"/>
      <c r="AP798" s="16">
        <v>0.0</v>
      </c>
      <c r="AQ798" s="16">
        <v>0.0</v>
      </c>
      <c r="AR798" s="39"/>
      <c r="AS798" s="81">
        <v>0.0</v>
      </c>
      <c r="AT798" s="81">
        <v>0.0</v>
      </c>
      <c r="AU798" s="39"/>
      <c r="AV798" s="82"/>
      <c r="AW798" s="82"/>
      <c r="AX798" s="82"/>
      <c r="AY798" s="7"/>
      <c r="AZ798" s="82"/>
      <c r="BA798" s="82"/>
      <c r="BB798" s="82"/>
      <c r="BC798" s="82"/>
      <c r="BD798" s="82"/>
      <c r="BE798" s="82"/>
      <c r="BF798" s="82"/>
      <c r="BG798" s="82"/>
      <c r="BH798" s="82"/>
      <c r="BI798" s="82"/>
      <c r="BJ798" s="82"/>
      <c r="BK798" s="82"/>
      <c r="BL798" s="82"/>
      <c r="BM798" s="82"/>
      <c r="BN798" s="7"/>
      <c r="BO798" s="7">
        <v>2.0</v>
      </c>
      <c r="BP798" s="82"/>
      <c r="BQ798" s="7"/>
      <c r="BR798" s="7" t="s">
        <v>23</v>
      </c>
    </row>
    <row r="799">
      <c r="A799" s="16">
        <v>83.0</v>
      </c>
      <c r="B799" s="16" t="s">
        <v>917</v>
      </c>
      <c r="C799" s="53">
        <v>2.0</v>
      </c>
      <c r="D799" s="53" t="s">
        <v>917</v>
      </c>
      <c r="E799" s="7">
        <v>651.0</v>
      </c>
      <c r="F799" s="53" t="s">
        <v>4948</v>
      </c>
      <c r="G799" s="7"/>
      <c r="H799" s="16">
        <v>1.0</v>
      </c>
      <c r="I799" s="16">
        <v>1.0</v>
      </c>
      <c r="J799" s="16" t="s">
        <v>4426</v>
      </c>
      <c r="K799" s="53"/>
      <c r="L799" s="53"/>
      <c r="M799" s="39" t="str">
        <f t="shared" si="1"/>
        <v>[https://doi.org/10.1016/B978-155860869-6/50058-5 Ananthakrishna (2002)]</v>
      </c>
      <c r="N799" s="16" t="s">
        <v>4949</v>
      </c>
      <c r="O799" s="81">
        <v>2002.0</v>
      </c>
      <c r="P799" s="96" t="s">
        <v>4950</v>
      </c>
      <c r="Q799" s="82"/>
      <c r="R799" s="82"/>
      <c r="S799" s="82"/>
      <c r="T799" s="16">
        <v>0.0</v>
      </c>
      <c r="U799" s="16">
        <v>0.0</v>
      </c>
      <c r="V799" s="89">
        <f>IFERROR(__xludf.DUMMYFUNCTION("INDEX(SPLIT(SUBSTITUTE(W799,CHAR(10), """"),"",:""), MATCH(Z799, SPLIT(SUBSTITUTE(W799,CHAR(10), """"),"",:""), 0) + 1)"),5.5)</f>
        <v>5.5</v>
      </c>
      <c r="W799" s="85" t="s">
        <v>4943</v>
      </c>
      <c r="X799" s="16" t="s">
        <v>4426</v>
      </c>
      <c r="Y799" s="53" t="s">
        <v>4927</v>
      </c>
      <c r="Z799" s="53" t="str">
        <f t="array" ref="Z799">INDEX(Problems!J:J, MATCH(1, (Problems!B:B=B799)*1, 0))</f>
        <v>n</v>
      </c>
      <c r="AA799" s="53"/>
      <c r="AB799" s="53"/>
      <c r="AC799" s="53" t="s">
        <v>1813</v>
      </c>
      <c r="AD799" s="53" t="s">
        <v>1814</v>
      </c>
      <c r="AE799" s="85">
        <f>IFERROR(__xludf.DUMMYFUNCTION("INDEX(SPLIT(SUBSTITUTE(AF799,CHAR(10), """"),"",:""), MATCH(Z799, SPLIT(SUBSTITUTE(AF799,CHAR(10), """"),"",:""), 0) + 1)"),3.0)</f>
        <v>3</v>
      </c>
      <c r="AF799" s="85" t="s">
        <v>1763</v>
      </c>
      <c r="AG799" s="53" t="s">
        <v>584</v>
      </c>
      <c r="AH799" s="53" t="s">
        <v>4951</v>
      </c>
      <c r="AI799" s="84">
        <v>1.0</v>
      </c>
      <c r="AJ799" s="84">
        <v>0.0</v>
      </c>
      <c r="AK799" s="87"/>
      <c r="AL799" s="81">
        <v>0.0</v>
      </c>
      <c r="AM799" s="21"/>
      <c r="AN799" s="16">
        <v>0.0</v>
      </c>
      <c r="AO799" s="90"/>
      <c r="AP799" s="16">
        <v>0.0</v>
      </c>
      <c r="AQ799" s="16">
        <v>0.0</v>
      </c>
      <c r="AR799" s="39"/>
      <c r="AS799" s="81">
        <v>0.0</v>
      </c>
      <c r="AT799" s="81">
        <v>0.0</v>
      </c>
      <c r="AU799" s="39"/>
      <c r="AV799" s="82"/>
      <c r="AW799" s="82"/>
      <c r="AX799" s="82"/>
      <c r="AY799" s="7"/>
      <c r="AZ799" s="82"/>
      <c r="BA799" s="82"/>
      <c r="BB799" s="82"/>
      <c r="BC799" s="82"/>
      <c r="BD799" s="82"/>
      <c r="BE799" s="82"/>
      <c r="BF799" s="82"/>
      <c r="BG799" s="82"/>
      <c r="BH799" s="82"/>
      <c r="BI799" s="82"/>
      <c r="BJ799" s="82"/>
      <c r="BK799" s="82"/>
      <c r="BL799" s="82"/>
      <c r="BM799" s="82"/>
      <c r="BN799" s="7"/>
      <c r="BO799" s="7">
        <v>2.0</v>
      </c>
      <c r="BP799" s="82"/>
      <c r="BQ799" s="7"/>
      <c r="BR799" s="7" t="s">
        <v>23</v>
      </c>
    </row>
    <row r="800">
      <c r="A800" s="16">
        <v>83.0</v>
      </c>
      <c r="B800" s="16" t="s">
        <v>917</v>
      </c>
      <c r="C800" s="53">
        <v>1.0</v>
      </c>
      <c r="D800" s="53" t="s">
        <v>917</v>
      </c>
      <c r="E800" s="7">
        <v>652.0</v>
      </c>
      <c r="F800" s="53"/>
      <c r="G800" s="7"/>
      <c r="H800" s="16">
        <v>1.0</v>
      </c>
      <c r="I800" s="16">
        <v>1.0</v>
      </c>
      <c r="J800" s="16" t="s">
        <v>4426</v>
      </c>
      <c r="K800" s="53"/>
      <c r="L800" s="53"/>
      <c r="M800" s="39" t="str">
        <f t="shared" si="1"/>
        <v>[https://www.sciencedirect.com/science/article/abs/pii/016794739390116B BOYS algorithm (1993)]</v>
      </c>
      <c r="N800" s="21" t="s">
        <v>4952</v>
      </c>
      <c r="O800" s="81">
        <v>1993.0</v>
      </c>
      <c r="P800" s="96" t="s">
        <v>4953</v>
      </c>
      <c r="Q800" s="82"/>
      <c r="R800" s="82"/>
      <c r="S800" s="82"/>
      <c r="T800" s="16">
        <v>0.0</v>
      </c>
      <c r="U800" s="16">
        <v>0.0</v>
      </c>
      <c r="V800" s="89">
        <f>IFERROR(__xludf.DUMMYFUNCTION("INDEX(SPLIT(SUBSTITUTE(W800,CHAR(10), """"),"",:""), MATCH(Z800, SPLIT(SUBSTITUTE(W800,CHAR(10), """"),"",:""), 0) + 1)"),5.5)</f>
        <v>5.5</v>
      </c>
      <c r="W800" s="85" t="s">
        <v>4943</v>
      </c>
      <c r="X800" s="16" t="s">
        <v>4426</v>
      </c>
      <c r="Y800" s="53" t="s">
        <v>4927</v>
      </c>
      <c r="Z800" s="53" t="str">
        <f t="array" ref="Z800">INDEX(Problems!J:J, MATCH(1, (Problems!B:B=B800)*1, 0))</f>
        <v>n</v>
      </c>
      <c r="AA800" s="53"/>
      <c r="AB800" s="53"/>
      <c r="AC800" s="53" t="s">
        <v>1813</v>
      </c>
      <c r="AD800" s="53" t="s">
        <v>1814</v>
      </c>
      <c r="AE800" s="85">
        <f>IFERROR(__xludf.DUMMYFUNCTION("INDEX(SPLIT(SUBSTITUTE(AF800,CHAR(10), """"),"",:""), MATCH(Z800, SPLIT(SUBSTITUTE(AF800,CHAR(10), """"),"",:""), 0) + 1)"),5.0)</f>
        <v>5</v>
      </c>
      <c r="AF800" s="85" t="s">
        <v>1938</v>
      </c>
      <c r="AG800" s="53" t="s">
        <v>61</v>
      </c>
      <c r="AH800" s="53" t="s">
        <v>4954</v>
      </c>
      <c r="AI800" s="84">
        <v>1.0</v>
      </c>
      <c r="AJ800" s="84">
        <v>0.0</v>
      </c>
      <c r="AK800" s="87"/>
      <c r="AL800" s="81">
        <v>0.0</v>
      </c>
      <c r="AM800" s="21"/>
      <c r="AN800" s="16">
        <v>0.0</v>
      </c>
      <c r="AO800" s="90"/>
      <c r="AP800" s="16">
        <v>0.0</v>
      </c>
      <c r="AQ800" s="16">
        <v>0.0</v>
      </c>
      <c r="AR800" s="39"/>
      <c r="AS800" s="81">
        <v>0.0</v>
      </c>
      <c r="AT800" s="81">
        <v>0.0</v>
      </c>
      <c r="AU800" s="39"/>
      <c r="AV800" s="82"/>
      <c r="AW800" s="82"/>
      <c r="AX800" s="82"/>
      <c r="AY800" s="7"/>
      <c r="AZ800" s="82"/>
      <c r="BA800" s="82"/>
      <c r="BB800" s="82"/>
      <c r="BC800" s="82"/>
      <c r="BD800" s="82"/>
      <c r="BE800" s="82"/>
      <c r="BF800" s="82"/>
      <c r="BG800" s="82"/>
      <c r="BH800" s="82"/>
      <c r="BI800" s="82"/>
      <c r="BJ800" s="82"/>
      <c r="BK800" s="82"/>
      <c r="BL800" s="82"/>
      <c r="BM800" s="82"/>
      <c r="BN800" s="7"/>
      <c r="BO800" s="7">
        <v>2.0</v>
      </c>
      <c r="BP800" s="82"/>
      <c r="BQ800" s="7"/>
      <c r="BR800" s="7" t="s">
        <v>23</v>
      </c>
    </row>
    <row r="801">
      <c r="A801" s="16">
        <v>84.0</v>
      </c>
      <c r="B801" s="16" t="s">
        <v>922</v>
      </c>
      <c r="C801" s="53">
        <v>2.0</v>
      </c>
      <c r="D801" s="53" t="s">
        <v>922</v>
      </c>
      <c r="E801" s="7">
        <v>653.0</v>
      </c>
      <c r="F801" s="53"/>
      <c r="G801" s="7"/>
      <c r="H801" s="16">
        <v>1.0</v>
      </c>
      <c r="I801" s="16">
        <v>1.0</v>
      </c>
      <c r="J801" s="16" t="s">
        <v>834</v>
      </c>
      <c r="K801" s="53" t="s">
        <v>4330</v>
      </c>
      <c r="L801" s="53" t="s">
        <v>4955</v>
      </c>
      <c r="M801" s="39" t="str">
        <f t="shared" si="1"/>
        <v>[- Naive (1940)]</v>
      </c>
      <c r="N801" s="39" t="s">
        <v>2150</v>
      </c>
      <c r="O801" s="81">
        <v>1940.0</v>
      </c>
      <c r="P801" s="16" t="s">
        <v>1937</v>
      </c>
      <c r="Q801" s="7">
        <v>1.0</v>
      </c>
      <c r="R801" s="7">
        <v>1.0</v>
      </c>
      <c r="S801" s="82"/>
      <c r="T801" s="16">
        <v>1.0</v>
      </c>
      <c r="U801" s="16">
        <v>0.0</v>
      </c>
      <c r="V801" s="89">
        <f>IFERROR(__xludf.DUMMYFUNCTION("INDEX(SPLIT(SUBSTITUTE(W801,CHAR(10), """"),"",:""), MATCH(Z801, SPLIT(SUBSTITUTE(W801,CHAR(10), """"),"",:""), 0) + 1)"),6.0)</f>
        <v>6</v>
      </c>
      <c r="W801" s="85" t="s">
        <v>2008</v>
      </c>
      <c r="X801" s="16" t="s">
        <v>834</v>
      </c>
      <c r="Y801" s="53" t="s">
        <v>4956</v>
      </c>
      <c r="Z801" s="53" t="str">
        <f t="array" ref="Z801">INDEX(Problems!J:J, MATCH(1, (Problems!B:B=B801)*1, 0))</f>
        <v>n</v>
      </c>
      <c r="AA801" s="53"/>
      <c r="AB801" s="53"/>
      <c r="AC801" s="53" t="s">
        <v>1813</v>
      </c>
      <c r="AD801" s="53" t="s">
        <v>1814</v>
      </c>
      <c r="AE801" s="85">
        <f>IFERROR(__xludf.DUMMYFUNCTION("INDEX(SPLIT(SUBSTITUTE(AF801,CHAR(10), """"),"",:""), MATCH(Z801, SPLIT(SUBSTITUTE(AF801,CHAR(10), """"),"",:""), 0) + 1)"),1.0)</f>
        <v>1</v>
      </c>
      <c r="AF801" s="85" t="s">
        <v>1774</v>
      </c>
      <c r="AG801" s="53" t="s">
        <v>939</v>
      </c>
      <c r="AH801" s="91" t="s">
        <v>4957</v>
      </c>
      <c r="AI801" s="84">
        <v>0.0</v>
      </c>
      <c r="AJ801" s="84">
        <v>0.0</v>
      </c>
      <c r="AK801" s="87"/>
      <c r="AL801" s="81">
        <v>0.0</v>
      </c>
      <c r="AM801" s="21"/>
      <c r="AN801" s="16">
        <v>0.0</v>
      </c>
      <c r="AO801" s="21"/>
      <c r="AP801" s="16">
        <v>0.0</v>
      </c>
      <c r="AQ801" s="16">
        <v>0.0</v>
      </c>
      <c r="AR801" s="39"/>
      <c r="AS801" s="81">
        <v>0.0</v>
      </c>
      <c r="AT801" s="81">
        <v>0.0</v>
      </c>
      <c r="AU801" s="39"/>
      <c r="AV801" s="82"/>
      <c r="AW801" s="82"/>
      <c r="AX801" s="82"/>
      <c r="AY801" s="7"/>
      <c r="AZ801" s="7"/>
      <c r="BA801" s="7"/>
      <c r="BB801" s="7"/>
      <c r="BC801" s="7"/>
      <c r="BD801" s="7"/>
      <c r="BE801" s="7"/>
      <c r="BF801" s="7">
        <v>1.0E9</v>
      </c>
      <c r="BG801" s="6">
        <v>1.0</v>
      </c>
      <c r="BH801" s="82"/>
      <c r="BI801" s="82">
        <f>POW(1000000,3)</f>
        <v>1E+18</v>
      </c>
      <c r="BJ801" s="7">
        <v>1.0</v>
      </c>
      <c r="BK801" s="82"/>
      <c r="BL801" s="82">
        <f>POW(1000000000,3)</f>
        <v>1E+27</v>
      </c>
      <c r="BM801" s="7">
        <v>1.0</v>
      </c>
      <c r="BN801" s="7"/>
      <c r="BO801" s="7">
        <v>3.0</v>
      </c>
      <c r="BP801" s="82"/>
      <c r="BQ801" s="7"/>
      <c r="BR801" s="7" t="s">
        <v>23</v>
      </c>
    </row>
    <row r="802">
      <c r="A802" s="16">
        <v>84.0</v>
      </c>
      <c r="B802" s="16" t="s">
        <v>922</v>
      </c>
      <c r="C802" s="53">
        <v>1.0</v>
      </c>
      <c r="D802" s="53" t="s">
        <v>922</v>
      </c>
      <c r="E802" s="7">
        <v>654.0</v>
      </c>
      <c r="F802" s="53"/>
      <c r="G802" s="7"/>
      <c r="H802" s="16">
        <v>1.0</v>
      </c>
      <c r="I802" s="16">
        <v>1.0</v>
      </c>
      <c r="J802" s="16" t="s">
        <v>115</v>
      </c>
      <c r="K802" s="53"/>
      <c r="L802" s="53"/>
      <c r="M802" s="39" t="str">
        <f t="shared" si="1"/>
        <v>[- Dynamic Programming (1953)]</v>
      </c>
      <c r="N802" s="39" t="s">
        <v>1835</v>
      </c>
      <c r="O802" s="81">
        <v>1953.0</v>
      </c>
      <c r="P802" s="16" t="s">
        <v>1937</v>
      </c>
      <c r="Q802" s="82"/>
      <c r="R802" s="82"/>
      <c r="S802" s="82"/>
      <c r="T802" s="16">
        <v>1.0</v>
      </c>
      <c r="U802" s="16" t="s">
        <v>2425</v>
      </c>
      <c r="V802" s="89">
        <f>IFERROR(__xludf.DUMMYFUNCTION("INDEX(SPLIT(SUBSTITUTE(W802,CHAR(10), """"),"",:""), MATCH(Z802, SPLIT(SUBSTITUTE(W802,CHAR(10), """"),"",:""), 0) + 1)"),5.0)</f>
        <v>5</v>
      </c>
      <c r="W802" s="85" t="s">
        <v>1938</v>
      </c>
      <c r="X802" s="16" t="s">
        <v>115</v>
      </c>
      <c r="Y802" s="53" t="s">
        <v>4956</v>
      </c>
      <c r="Z802" s="53" t="str">
        <f t="array" ref="Z802">INDEX(Problems!J:J, MATCH(1, (Problems!B:B=B802)*1, 0))</f>
        <v>n</v>
      </c>
      <c r="AA802" s="53"/>
      <c r="AB802" s="53"/>
      <c r="AC802" s="53" t="s">
        <v>1813</v>
      </c>
      <c r="AD802" s="53" t="s">
        <v>1814</v>
      </c>
      <c r="AE802" s="85">
        <f>IFERROR(__xludf.DUMMYFUNCTION("INDEX(SPLIT(SUBSTITUTE(AF802,CHAR(10), """"),"",:""), MATCH(Z802, SPLIT(SUBSTITUTE(AF802,CHAR(10), """"),"",:""), 0) + 1)"),5.0)</f>
        <v>5</v>
      </c>
      <c r="AF802" s="85" t="s">
        <v>1938</v>
      </c>
      <c r="AG802" s="53" t="s">
        <v>115</v>
      </c>
      <c r="AH802" s="91" t="s">
        <v>4957</v>
      </c>
      <c r="AI802" s="84">
        <v>0.0</v>
      </c>
      <c r="AJ802" s="84">
        <v>0.0</v>
      </c>
      <c r="AK802" s="87"/>
      <c r="AL802" s="81">
        <v>0.0</v>
      </c>
      <c r="AM802" s="21"/>
      <c r="AN802" s="16">
        <v>0.0</v>
      </c>
      <c r="AO802" s="21"/>
      <c r="AP802" s="16">
        <v>0.0</v>
      </c>
      <c r="AQ802" s="16">
        <v>0.0</v>
      </c>
      <c r="AR802" s="39"/>
      <c r="AS802" s="16">
        <v>0.0</v>
      </c>
      <c r="AT802" s="16">
        <v>0.0</v>
      </c>
      <c r="AU802" s="39"/>
      <c r="AV802" s="82"/>
      <c r="AW802" s="82"/>
      <c r="AX802" s="82"/>
      <c r="AY802" s="7"/>
      <c r="AZ802" s="7"/>
      <c r="BA802" s="7"/>
      <c r="BB802" s="7"/>
      <c r="BC802" s="7"/>
      <c r="BD802" s="7"/>
      <c r="BE802" s="7"/>
      <c r="BF802" s="7">
        <v>1000000.0</v>
      </c>
      <c r="BG802" s="6">
        <v>1000.0</v>
      </c>
      <c r="BH802" s="82">
        <f t="shared" ref="BH802:BH803" si="65">POW(BG802,1/($O802-$O$801)) - 1</f>
        <v>0.7012542799</v>
      </c>
      <c r="BI802" s="82">
        <f>POW(1000000,2)</f>
        <v>1000000000000</v>
      </c>
      <c r="BJ802" s="7">
        <v>1000000.0</v>
      </c>
      <c r="BK802" s="82">
        <f t="shared" ref="BK802:BK803" si="66">POW(BJ802,1/($O802-$O$801)) - 1</f>
        <v>1.894266125</v>
      </c>
      <c r="BL802" s="82">
        <f>POW(1000000000,2)</f>
        <v>1E+18</v>
      </c>
      <c r="BM802" s="7">
        <v>1.0E9</v>
      </c>
      <c r="BN802" s="82">
        <f t="shared" ref="BN802:BN803" si="67">POW(BM802,1/($O802-$O$801)) - 1</f>
        <v>3.923882632</v>
      </c>
      <c r="BO802" s="7">
        <v>3.0</v>
      </c>
      <c r="BP802" s="82"/>
      <c r="BQ802" s="7"/>
      <c r="BR802" s="7" t="s">
        <v>23</v>
      </c>
    </row>
    <row r="803">
      <c r="A803" s="16">
        <v>84.0</v>
      </c>
      <c r="B803" s="16" t="s">
        <v>922</v>
      </c>
      <c r="C803" s="53">
        <v>2.0</v>
      </c>
      <c r="D803" s="53" t="s">
        <v>922</v>
      </c>
      <c r="E803" s="7">
        <v>655.0</v>
      </c>
      <c r="F803" s="53"/>
      <c r="G803" s="7"/>
      <c r="H803" s="16">
        <v>1.0</v>
      </c>
      <c r="I803" s="16">
        <v>1.0</v>
      </c>
      <c r="J803" s="16" t="s">
        <v>35</v>
      </c>
      <c r="K803" s="53" t="s">
        <v>4330</v>
      </c>
      <c r="L803" s="53" t="s">
        <v>3623</v>
      </c>
      <c r="M803" s="39" t="str">
        <f t="shared" si="1"/>
        <v>[https://doi.org/10.1145%2F321892.321896 Manacher (1975)]</v>
      </c>
      <c r="N803" s="39" t="s">
        <v>4958</v>
      </c>
      <c r="O803" s="81">
        <v>1975.0</v>
      </c>
      <c r="P803" s="17" t="s">
        <v>4959</v>
      </c>
      <c r="Q803" s="7">
        <v>2.0</v>
      </c>
      <c r="R803" s="7">
        <v>1.0</v>
      </c>
      <c r="S803" s="47" t="s">
        <v>4960</v>
      </c>
      <c r="T803" s="16">
        <v>1.0</v>
      </c>
      <c r="U803" s="16" t="s">
        <v>1983</v>
      </c>
      <c r="V803" s="89">
        <f>IFERROR(__xludf.DUMMYFUNCTION("INDEX(SPLIT(SUBSTITUTE(W803,CHAR(10), """"),"",:""), MATCH(Z803, SPLIT(SUBSTITUTE(W803,CHAR(10), """"),"",:""), 0) + 1)"),3.0)</f>
        <v>3</v>
      </c>
      <c r="W803" s="85" t="s">
        <v>1763</v>
      </c>
      <c r="X803" s="16" t="s">
        <v>35</v>
      </c>
      <c r="Y803" s="53" t="s">
        <v>4956</v>
      </c>
      <c r="Z803" s="53" t="str">
        <f t="array" ref="Z803">INDEX(Problems!J:J, MATCH(1, (Problems!B:B=B803)*1, 0))</f>
        <v>n</v>
      </c>
      <c r="AA803" s="53"/>
      <c r="AB803" s="53"/>
      <c r="AC803" s="53" t="s">
        <v>1813</v>
      </c>
      <c r="AD803" s="53" t="s">
        <v>1814</v>
      </c>
      <c r="AE803" s="85">
        <f>IFERROR(__xludf.DUMMYFUNCTION("INDEX(SPLIT(SUBSTITUTE(AF803,CHAR(10), """"),"",:""), MATCH(Z803, SPLIT(SUBSTITUTE(AF803,CHAR(10), """"),"",:""), 0) + 1)"),3.0)</f>
        <v>3</v>
      </c>
      <c r="AF803" s="85" t="s">
        <v>1763</v>
      </c>
      <c r="AG803" s="53" t="s">
        <v>584</v>
      </c>
      <c r="AH803" s="53" t="s">
        <v>4961</v>
      </c>
      <c r="AI803" s="84">
        <v>1.0</v>
      </c>
      <c r="AJ803" s="84">
        <v>0.0</v>
      </c>
      <c r="AK803" s="87"/>
      <c r="AL803" s="81">
        <v>0.0</v>
      </c>
      <c r="AM803" s="21"/>
      <c r="AN803" s="16">
        <v>0.0</v>
      </c>
      <c r="AO803" s="21"/>
      <c r="AP803" s="16">
        <v>0.0</v>
      </c>
      <c r="AQ803" s="16">
        <v>0.0</v>
      </c>
      <c r="AR803" s="39"/>
      <c r="AS803" s="16">
        <v>0.0</v>
      </c>
      <c r="AT803" s="16">
        <v>0.0</v>
      </c>
      <c r="AU803" s="39"/>
      <c r="AV803" s="82"/>
      <c r="AW803" s="82"/>
      <c r="AX803" s="82"/>
      <c r="AY803" s="7"/>
      <c r="AZ803" s="7"/>
      <c r="BA803" s="7"/>
      <c r="BB803" s="7"/>
      <c r="BC803" s="7"/>
      <c r="BD803" s="7"/>
      <c r="BE803" s="7"/>
      <c r="BF803" s="7">
        <v>1000.0</v>
      </c>
      <c r="BG803" s="6">
        <v>1000000.0</v>
      </c>
      <c r="BH803" s="82">
        <f t="shared" si="65"/>
        <v>0.483981789</v>
      </c>
      <c r="BI803" s="7">
        <v>1000.0</v>
      </c>
      <c r="BJ803" s="7">
        <v>1.0E12</v>
      </c>
      <c r="BK803" s="82">
        <f t="shared" si="66"/>
        <v>1.20220195</v>
      </c>
      <c r="BL803" s="7">
        <v>1.0E9</v>
      </c>
      <c r="BM803" s="82">
        <f>POW(1000000000,2)</f>
        <v>1E+18</v>
      </c>
      <c r="BN803" s="82">
        <f t="shared" si="67"/>
        <v>2.268027589</v>
      </c>
      <c r="BO803" s="7">
        <v>3.0</v>
      </c>
      <c r="BP803" s="82"/>
      <c r="BQ803" s="7"/>
      <c r="BR803" s="7" t="s">
        <v>23</v>
      </c>
    </row>
    <row r="804">
      <c r="A804" s="16">
        <v>84.0</v>
      </c>
      <c r="B804" s="16" t="s">
        <v>922</v>
      </c>
      <c r="C804" s="53">
        <v>1.0</v>
      </c>
      <c r="D804" s="53" t="s">
        <v>922</v>
      </c>
      <c r="E804" s="7">
        <v>656.0</v>
      </c>
      <c r="F804" s="53"/>
      <c r="G804" s="7"/>
      <c r="H804" s="16">
        <v>1.0</v>
      </c>
      <c r="I804" s="16">
        <v>1.0</v>
      </c>
      <c r="J804" s="16" t="s">
        <v>35</v>
      </c>
      <c r="K804" s="53" t="s">
        <v>4330</v>
      </c>
      <c r="L804" s="53" t="s">
        <v>3623</v>
      </c>
      <c r="M804" s="39" t="str">
        <f t="shared" si="1"/>
        <v>[https://doi.org/10.1007%2FBF01182773 Jeuring (1994)]</v>
      </c>
      <c r="N804" s="16" t="s">
        <v>4962</v>
      </c>
      <c r="O804" s="81">
        <v>1994.0</v>
      </c>
      <c r="P804" s="25" t="s">
        <v>4963</v>
      </c>
      <c r="Q804" s="82"/>
      <c r="R804" s="82"/>
      <c r="S804" s="82"/>
      <c r="T804" s="16">
        <v>0.0</v>
      </c>
      <c r="U804" s="16">
        <v>0.0</v>
      </c>
      <c r="V804" s="89">
        <f>IFERROR(__xludf.DUMMYFUNCTION("INDEX(SPLIT(SUBSTITUTE(W804,CHAR(10), """"),"",:""), MATCH(Z804, SPLIT(SUBSTITUTE(W804,CHAR(10), """"),"",:""), 0) + 1)"),3.0)</f>
        <v>3</v>
      </c>
      <c r="W804" s="85" t="s">
        <v>1763</v>
      </c>
      <c r="X804" s="16" t="s">
        <v>35</v>
      </c>
      <c r="Y804" s="53" t="s">
        <v>4956</v>
      </c>
      <c r="Z804" s="53" t="str">
        <f t="array" ref="Z804">INDEX(Problems!J:J, MATCH(1, (Problems!B:B=B804)*1, 0))</f>
        <v>n</v>
      </c>
      <c r="AA804" s="53"/>
      <c r="AB804" s="53"/>
      <c r="AC804" s="53" t="s">
        <v>1813</v>
      </c>
      <c r="AD804" s="53" t="s">
        <v>1814</v>
      </c>
      <c r="AE804" s="85">
        <f>IFERROR(__xludf.DUMMYFUNCTION("INDEX(SPLIT(SUBSTITUTE(AF804,CHAR(10), """"),"",:""), MATCH(Z804, SPLIT(SUBSTITUTE(AF804,CHAR(10), """"),"",:""), 0) + 1)"),3.0)</f>
        <v>3</v>
      </c>
      <c r="AF804" s="85" t="s">
        <v>1763</v>
      </c>
      <c r="AG804" s="53" t="s">
        <v>2496</v>
      </c>
      <c r="AH804" s="53" t="s">
        <v>4964</v>
      </c>
      <c r="AI804" s="84">
        <v>1.0</v>
      </c>
      <c r="AJ804" s="84">
        <v>0.0</v>
      </c>
      <c r="AK804" s="87"/>
      <c r="AL804" s="81">
        <v>0.0</v>
      </c>
      <c r="AM804" s="21"/>
      <c r="AN804" s="16">
        <v>0.0</v>
      </c>
      <c r="AO804" s="21"/>
      <c r="AP804" s="16">
        <v>0.0</v>
      </c>
      <c r="AQ804" s="16">
        <v>0.0</v>
      </c>
      <c r="AR804" s="39"/>
      <c r="AS804" s="16">
        <v>0.0</v>
      </c>
      <c r="AT804" s="16">
        <v>0.0</v>
      </c>
      <c r="AU804" s="39"/>
      <c r="AV804" s="82"/>
      <c r="AW804" s="82"/>
      <c r="AX804" s="82"/>
      <c r="AY804" s="7"/>
      <c r="AZ804" s="7"/>
      <c r="BA804" s="7"/>
      <c r="BB804" s="7"/>
      <c r="BC804" s="7"/>
      <c r="BD804" s="7"/>
      <c r="BE804" s="7"/>
      <c r="BF804" s="7">
        <v>1000.0</v>
      </c>
      <c r="BG804" s="13"/>
      <c r="BH804" s="82"/>
      <c r="BI804" s="82"/>
      <c r="BJ804" s="82"/>
      <c r="BK804" s="82"/>
      <c r="BL804" s="82"/>
      <c r="BM804" s="82"/>
      <c r="BN804" s="7"/>
      <c r="BO804" s="7">
        <v>3.0</v>
      </c>
      <c r="BP804" s="82"/>
      <c r="BQ804" s="7"/>
      <c r="BR804" s="7" t="s">
        <v>23</v>
      </c>
    </row>
    <row r="805">
      <c r="A805" s="16">
        <v>84.0</v>
      </c>
      <c r="B805" s="16" t="s">
        <v>922</v>
      </c>
      <c r="C805" s="53">
        <v>2.0</v>
      </c>
      <c r="D805" s="53" t="s">
        <v>922</v>
      </c>
      <c r="E805" s="7">
        <v>657.0</v>
      </c>
      <c r="F805" s="53"/>
      <c r="G805" s="7"/>
      <c r="H805" s="16">
        <v>1.0</v>
      </c>
      <c r="I805" s="16">
        <v>1.0</v>
      </c>
      <c r="J805" s="16" t="s">
        <v>35</v>
      </c>
      <c r="K805" s="53" t="s">
        <v>4330</v>
      </c>
      <c r="L805" s="53" t="s">
        <v>3623</v>
      </c>
      <c r="M805" s="39" t="str">
        <f t="shared" si="1"/>
        <v>[https://www.cambridge.org/core/books/algorithms-on-strings-trees-and-sequences/F0B095049C7E6EF5356F0A26686C20D3 Gusfield  (1997)]</v>
      </c>
      <c r="N805" s="16" t="s">
        <v>4965</v>
      </c>
      <c r="O805" s="81">
        <v>1997.0</v>
      </c>
      <c r="P805" s="25" t="s">
        <v>4966</v>
      </c>
      <c r="Q805" s="82"/>
      <c r="R805" s="82"/>
      <c r="S805" s="82"/>
      <c r="T805" s="16">
        <v>0.0</v>
      </c>
      <c r="U805" s="16">
        <v>0.0</v>
      </c>
      <c r="V805" s="89">
        <f>IFERROR(__xludf.DUMMYFUNCTION("INDEX(SPLIT(SUBSTITUTE(W805,CHAR(10), """"),"",:""), MATCH(Z805, SPLIT(SUBSTITUTE(W805,CHAR(10), """"),"",:""), 0) + 1)"),3.0)</f>
        <v>3</v>
      </c>
      <c r="W805" s="85" t="s">
        <v>1763</v>
      </c>
      <c r="X805" s="16" t="s">
        <v>35</v>
      </c>
      <c r="Y805" s="53" t="s">
        <v>4956</v>
      </c>
      <c r="Z805" s="53" t="str">
        <f t="array" ref="Z805">INDEX(Problems!J:J, MATCH(1, (Problems!B:B=B805)*1, 0))</f>
        <v>n</v>
      </c>
      <c r="AA805" s="53"/>
      <c r="AB805" s="53"/>
      <c r="AC805" s="53" t="s">
        <v>1813</v>
      </c>
      <c r="AD805" s="53" t="s">
        <v>1814</v>
      </c>
      <c r="AE805" s="85">
        <f>IFERROR(__xludf.DUMMYFUNCTION("INDEX(SPLIT(SUBSTITUTE(AF805,CHAR(10), """"),"",:""), MATCH(Z805, SPLIT(SUBSTITUTE(AF805,CHAR(10), """"),"",:""), 0) + 1)"),3.0)</f>
        <v>3</v>
      </c>
      <c r="AF805" s="85" t="s">
        <v>1763</v>
      </c>
      <c r="AG805" s="53" t="s">
        <v>584</v>
      </c>
      <c r="AH805" s="53" t="s">
        <v>4967</v>
      </c>
      <c r="AI805" s="84">
        <v>1.0</v>
      </c>
      <c r="AJ805" s="84">
        <v>0.0</v>
      </c>
      <c r="AK805" s="87"/>
      <c r="AL805" s="81">
        <v>0.0</v>
      </c>
      <c r="AM805" s="21"/>
      <c r="AN805" s="16">
        <v>0.0</v>
      </c>
      <c r="AO805" s="21"/>
      <c r="AP805" s="16">
        <v>0.0</v>
      </c>
      <c r="AQ805" s="16">
        <v>0.0</v>
      </c>
      <c r="AR805" s="39"/>
      <c r="AS805" s="16">
        <v>0.0</v>
      </c>
      <c r="AT805" s="16">
        <v>0.0</v>
      </c>
      <c r="AU805" s="167" t="s">
        <v>4968</v>
      </c>
      <c r="AV805" s="82"/>
      <c r="AW805" s="82"/>
      <c r="AX805" s="82"/>
      <c r="AY805" s="7"/>
      <c r="AZ805" s="7"/>
      <c r="BA805" s="7"/>
      <c r="BB805" s="7"/>
      <c r="BC805" s="7"/>
      <c r="BD805" s="7"/>
      <c r="BE805" s="7"/>
      <c r="BF805" s="7">
        <v>1000.0</v>
      </c>
      <c r="BG805" s="13"/>
      <c r="BH805" s="82"/>
      <c r="BI805" s="82"/>
      <c r="BJ805" s="82"/>
      <c r="BK805" s="82"/>
      <c r="BL805" s="82"/>
      <c r="BM805" s="82"/>
      <c r="BN805" s="7"/>
      <c r="BO805" s="7">
        <v>3.0</v>
      </c>
      <c r="BP805" s="82"/>
      <c r="BQ805" s="7"/>
      <c r="BR805" s="7" t="s">
        <v>23</v>
      </c>
    </row>
    <row r="806">
      <c r="A806" s="95">
        <v>53.0</v>
      </c>
      <c r="B806" s="95" t="s">
        <v>659</v>
      </c>
      <c r="C806" s="53">
        <v>2.0</v>
      </c>
      <c r="D806" s="95" t="s">
        <v>665</v>
      </c>
      <c r="E806" s="7">
        <v>658.0</v>
      </c>
      <c r="F806" s="53"/>
      <c r="G806" s="7"/>
      <c r="H806" s="16">
        <v>1.0</v>
      </c>
      <c r="I806" s="16">
        <v>1.0</v>
      </c>
      <c r="J806" s="39" t="s">
        <v>115</v>
      </c>
      <c r="K806" s="53"/>
      <c r="L806" s="53"/>
      <c r="M806" s="39" t="str">
        <f t="shared" si="1"/>
        <v>[https://dl.acm.org/doi/10.1145/236114.236117 Demand-Driven Register Allocation (1996)]</v>
      </c>
      <c r="N806" s="21" t="s">
        <v>4969</v>
      </c>
      <c r="O806" s="81">
        <v>1996.0</v>
      </c>
      <c r="P806" s="25" t="s">
        <v>933</v>
      </c>
      <c r="Q806" s="82"/>
      <c r="R806" s="82"/>
      <c r="S806" s="82"/>
      <c r="T806" s="16">
        <v>0.0</v>
      </c>
      <c r="U806" s="16">
        <v>0.0</v>
      </c>
      <c r="V806" s="89">
        <f>IFERROR(__xludf.DUMMYFUNCTION("INDEX(SPLIT(SUBSTITUTE(W806,CHAR(10), """"),"",:""), MATCH(Z806, SPLIT(SUBSTITUTE(W806,CHAR(10), """"),"",:""), 0) + 1)"),5.0)</f>
        <v>5</v>
      </c>
      <c r="W806" s="85" t="s">
        <v>1938</v>
      </c>
      <c r="X806" s="39" t="s">
        <v>115</v>
      </c>
      <c r="Y806" s="53" t="s">
        <v>4970</v>
      </c>
      <c r="Z806" s="53" t="str">
        <f t="array" ref="Z806">INDEX(Problems!J:J, MATCH(1, (Problems!B:B=B806)*1, 0))</f>
        <v>n</v>
      </c>
      <c r="AA806" s="53"/>
      <c r="AB806" s="53"/>
      <c r="AC806" s="53" t="s">
        <v>1813</v>
      </c>
      <c r="AD806" s="53" t="s">
        <v>1814</v>
      </c>
      <c r="AE806" s="85">
        <f>IFERROR(__xludf.DUMMYFUNCTION("INDEX(SPLIT(SUBSTITUTE(AF806,CHAR(10), """"),"",:""), MATCH(Z806, SPLIT(SUBSTITUTE(AF806,CHAR(10), """"),"",:""), 0) + 1)"),5.0)</f>
        <v>5</v>
      </c>
      <c r="AF806" s="85" t="s">
        <v>1938</v>
      </c>
      <c r="AG806" s="53" t="s">
        <v>61</v>
      </c>
      <c r="AH806" s="53" t="s">
        <v>4971</v>
      </c>
      <c r="AI806" s="84">
        <v>1.0</v>
      </c>
      <c r="AJ806" s="84">
        <v>0.0</v>
      </c>
      <c r="AK806" s="87"/>
      <c r="AL806" s="81">
        <v>0.0</v>
      </c>
      <c r="AM806" s="21"/>
      <c r="AN806" s="16">
        <v>0.0</v>
      </c>
      <c r="AO806" s="90"/>
      <c r="AP806" s="21">
        <v>1.0</v>
      </c>
      <c r="AQ806" s="16">
        <v>0.0</v>
      </c>
      <c r="AR806" s="39"/>
      <c r="AS806" s="81">
        <v>0.0</v>
      </c>
      <c r="AT806" s="81">
        <v>0.0</v>
      </c>
      <c r="AU806" s="39"/>
      <c r="AV806" s="82"/>
      <c r="AW806" s="82"/>
      <c r="AX806" s="82"/>
      <c r="AY806" s="7"/>
      <c r="AZ806" s="7"/>
      <c r="BA806" s="7"/>
      <c r="BB806" s="7"/>
      <c r="BC806" s="7"/>
      <c r="BD806" s="7"/>
      <c r="BE806" s="7"/>
      <c r="BF806" s="7">
        <v>1000000.0</v>
      </c>
      <c r="BG806" s="6">
        <v>1.0</v>
      </c>
      <c r="BH806" s="82"/>
      <c r="BI806" s="82"/>
      <c r="BJ806" s="82"/>
      <c r="BK806" s="82"/>
      <c r="BL806" s="82"/>
      <c r="BM806" s="82"/>
      <c r="BN806" s="7"/>
      <c r="BO806" s="7">
        <v>4.0</v>
      </c>
      <c r="BP806" s="82"/>
      <c r="BQ806" s="7"/>
      <c r="BR806" s="7" t="s">
        <v>23</v>
      </c>
    </row>
    <row r="807">
      <c r="A807" s="16">
        <v>85.0</v>
      </c>
      <c r="B807" s="16" t="s">
        <v>927</v>
      </c>
      <c r="C807" s="53">
        <v>2.0</v>
      </c>
      <c r="D807" s="53" t="s">
        <v>931</v>
      </c>
      <c r="E807" s="7">
        <v>659.0</v>
      </c>
      <c r="F807" s="53"/>
      <c r="G807" s="7"/>
      <c r="H807" s="16">
        <v>1.0</v>
      </c>
      <c r="I807" s="16">
        <v>1.0</v>
      </c>
      <c r="J807" s="21" t="s">
        <v>35</v>
      </c>
      <c r="K807" s="53"/>
      <c r="L807" s="53"/>
      <c r="M807" s="39" t="str">
        <f t="shared" si="1"/>
        <v>[https://dl.acm.org/doi/10.1145/321607.321620 Sethi–Ullman Algorithm (1970)]</v>
      </c>
      <c r="N807" s="16" t="s">
        <v>4972</v>
      </c>
      <c r="O807" s="81">
        <v>1970.0</v>
      </c>
      <c r="P807" s="17" t="s">
        <v>4973</v>
      </c>
      <c r="Q807" s="7">
        <v>0.5</v>
      </c>
      <c r="R807" s="7">
        <v>1.0</v>
      </c>
      <c r="S807" s="47" t="s">
        <v>4973</v>
      </c>
      <c r="T807" s="16">
        <v>1.0</v>
      </c>
      <c r="U807" s="16">
        <v>0.0</v>
      </c>
      <c r="V807" s="89">
        <f>IFERROR(__xludf.DUMMYFUNCTION("INDEX(SPLIT(SUBSTITUTE(W807,CHAR(10), """"),"",:""), MATCH(Z807, SPLIT(SUBSTITUTE(W807,CHAR(10), """"),"",:""), 0) + 1)"),3.0)</f>
        <v>3</v>
      </c>
      <c r="W807" s="85" t="s">
        <v>1763</v>
      </c>
      <c r="X807" s="21" t="s">
        <v>35</v>
      </c>
      <c r="Y807" s="53" t="s">
        <v>930</v>
      </c>
      <c r="Z807" s="53" t="str">
        <f t="array" ref="Z807">INDEX(Problems!J:J, MATCH(1, (Problems!B:B=B807)*1, 0))</f>
        <v>n</v>
      </c>
      <c r="AA807" s="53"/>
      <c r="AB807" s="53"/>
      <c r="AC807" s="53" t="s">
        <v>1813</v>
      </c>
      <c r="AD807" s="53" t="s">
        <v>1814</v>
      </c>
      <c r="AE807" s="85">
        <f>IFERROR(__xludf.DUMMYFUNCTION("INDEX(SPLIT(SUBSTITUTE(AF807,CHAR(10), """"),"",:""), MATCH(Z807, SPLIT(SUBSTITUTE(AF807,CHAR(10), """"),"",:""), 0) + 1)"),1.0)</f>
        <v>1</v>
      </c>
      <c r="AF807" s="85" t="s">
        <v>1774</v>
      </c>
      <c r="AG807" s="53" t="s">
        <v>939</v>
      </c>
      <c r="AH807" s="53" t="s">
        <v>4974</v>
      </c>
      <c r="AI807" s="84">
        <v>1.0</v>
      </c>
      <c r="AJ807" s="84">
        <v>0.0</v>
      </c>
      <c r="AK807" s="87"/>
      <c r="AL807" s="81">
        <v>0.0</v>
      </c>
      <c r="AM807" s="21"/>
      <c r="AN807" s="16">
        <v>0.0</v>
      </c>
      <c r="AO807" s="90"/>
      <c r="AP807" s="16">
        <v>0.0</v>
      </c>
      <c r="AQ807" s="16">
        <v>0.0</v>
      </c>
      <c r="AR807" s="39"/>
      <c r="AS807" s="81">
        <v>0.0</v>
      </c>
      <c r="AT807" s="81">
        <v>0.0</v>
      </c>
      <c r="AU807" s="39"/>
      <c r="AV807" s="82"/>
      <c r="AW807" s="82"/>
      <c r="AX807" s="82"/>
      <c r="AY807" s="7"/>
      <c r="AZ807" s="7"/>
      <c r="BA807" s="7"/>
      <c r="BB807" s="7"/>
      <c r="BC807" s="7"/>
      <c r="BD807" s="7"/>
      <c r="BE807" s="7"/>
      <c r="BF807" s="7">
        <v>1000000.0</v>
      </c>
      <c r="BG807" s="6">
        <v>1.0</v>
      </c>
      <c r="BH807" s="82"/>
      <c r="BI807" s="82">
        <f>POW(1000000,2)</f>
        <v>1000000000000</v>
      </c>
      <c r="BJ807" s="7">
        <v>1.0</v>
      </c>
      <c r="BK807" s="82"/>
      <c r="BL807" s="82">
        <f>POW(1000000000,2)</f>
        <v>1E+18</v>
      </c>
      <c r="BM807" s="7">
        <v>1.0</v>
      </c>
      <c r="BN807" s="7"/>
      <c r="BO807" s="7">
        <v>4.0</v>
      </c>
      <c r="BP807" s="82"/>
      <c r="BQ807" s="7"/>
      <c r="BR807" s="7" t="s">
        <v>23</v>
      </c>
    </row>
    <row r="808">
      <c r="A808" s="16">
        <v>86.0</v>
      </c>
      <c r="B808" s="16" t="s">
        <v>934</v>
      </c>
      <c r="C808" s="53">
        <v>0.0</v>
      </c>
      <c r="D808" s="53" t="s">
        <v>935</v>
      </c>
      <c r="E808" s="7">
        <v>660.0</v>
      </c>
      <c r="F808" s="53" t="s">
        <v>4975</v>
      </c>
      <c r="G808" s="7"/>
      <c r="H808" s="16">
        <v>1.0</v>
      </c>
      <c r="I808" s="16">
        <v>1.0</v>
      </c>
      <c r="J808" s="21" t="s">
        <v>4976</v>
      </c>
      <c r="K808" s="53"/>
      <c r="L808" s="53"/>
      <c r="M808" s="39" t="str">
        <f t="shared" si="1"/>
        <v>[https://dl.acm.org/doi/10.1145/800061.808746 Babai and Luks (1983)]</v>
      </c>
      <c r="N808" s="16" t="s">
        <v>4977</v>
      </c>
      <c r="O808" s="81">
        <v>1983.0</v>
      </c>
      <c r="P808" s="25" t="s">
        <v>4978</v>
      </c>
      <c r="Q808" s="82"/>
      <c r="R808" s="82"/>
      <c r="S808" s="82"/>
      <c r="T808" s="16">
        <v>0.0</v>
      </c>
      <c r="U808" s="16">
        <v>0.0</v>
      </c>
      <c r="V808" s="89">
        <f>IFERROR(__xludf.DUMMYFUNCTION("INDEX(SPLIT(SUBSTITUTE(W808,CHAR(10), """"),"",:""), MATCH(Z808, SPLIT(SUBSTITUTE(W808,CHAR(10), """"),"",:""), 0) + 1)"),8.0)</f>
        <v>8</v>
      </c>
      <c r="W808" s="85" t="s">
        <v>2001</v>
      </c>
      <c r="X808" s="21" t="s">
        <v>4976</v>
      </c>
      <c r="Y808" s="53" t="s">
        <v>3397</v>
      </c>
      <c r="Z808" s="53" t="str">
        <f t="array" ref="Z808">INDEX(Problems!J:J, MATCH(1, (Problems!B:B=B808)*1, 0))</f>
        <v>n</v>
      </c>
      <c r="AA808" s="53"/>
      <c r="AB808" s="53"/>
      <c r="AC808" s="53" t="s">
        <v>1813</v>
      </c>
      <c r="AD808" s="53" t="s">
        <v>1814</v>
      </c>
      <c r="AE808" s="85" t="str">
        <f>IFERROR(__xludf.DUMMYFUNCTION("INDEX(SPLIT(SUBSTITUTE(AF808,CHAR(10), """"),"",:""), MATCH(Z808, SPLIT(SUBSTITUTE(AF808,CHAR(10), """"),"",:""), 0) + 1)"),"#VALUE!")</f>
        <v>#VALUE!</v>
      </c>
      <c r="AF808" s="131"/>
      <c r="AG808" s="53"/>
      <c r="AH808" s="53"/>
      <c r="AI808" s="87"/>
      <c r="AJ808" s="84" t="s">
        <v>2520</v>
      </c>
      <c r="AK808" s="87"/>
      <c r="AL808" s="81">
        <v>0.0</v>
      </c>
      <c r="AM808" s="21"/>
      <c r="AN808" s="16">
        <v>0.0</v>
      </c>
      <c r="AO808" s="90"/>
      <c r="AP808" s="16">
        <v>0.0</v>
      </c>
      <c r="AQ808" s="16">
        <v>0.0</v>
      </c>
      <c r="AR808" s="39"/>
      <c r="AS808" s="81">
        <v>0.0</v>
      </c>
      <c r="AT808" s="81">
        <v>0.0</v>
      </c>
      <c r="AU808" s="39"/>
      <c r="AV808" s="82"/>
      <c r="AW808" s="82"/>
      <c r="AX808" s="82"/>
      <c r="AY808" s="7"/>
      <c r="AZ808" s="82"/>
      <c r="BA808" s="82"/>
      <c r="BB808" s="82"/>
      <c r="BC808" s="82"/>
      <c r="BD808" s="82"/>
      <c r="BE808" s="82"/>
      <c r="BF808" s="82"/>
      <c r="BG808" s="82"/>
      <c r="BH808" s="82"/>
      <c r="BI808" s="82"/>
      <c r="BJ808" s="82"/>
      <c r="BK808" s="82"/>
      <c r="BL808" s="82"/>
      <c r="BM808" s="82"/>
      <c r="BN808" s="7"/>
      <c r="BO808" s="7">
        <v>1.0</v>
      </c>
      <c r="BP808" s="82"/>
      <c r="BQ808" s="7"/>
      <c r="BR808" s="7" t="s">
        <v>23</v>
      </c>
    </row>
    <row r="809">
      <c r="A809" s="16">
        <v>86.0</v>
      </c>
      <c r="B809" s="16" t="s">
        <v>934</v>
      </c>
      <c r="C809" s="53">
        <v>1.0</v>
      </c>
      <c r="D809" s="53" t="s">
        <v>940</v>
      </c>
      <c r="E809" s="7">
        <v>661.0</v>
      </c>
      <c r="F809" s="53"/>
      <c r="G809" s="7"/>
      <c r="H809" s="16">
        <v>1.0</v>
      </c>
      <c r="I809" s="16">
        <v>1.0</v>
      </c>
      <c r="J809" s="21" t="s">
        <v>4979</v>
      </c>
      <c r="K809" s="53"/>
      <c r="L809" s="53"/>
      <c r="M809" s="39" t="str">
        <f t="shared" si="1"/>
        <v>[https://epubs.siam.org/doi/10.1137/0209018 Babai (1980)]</v>
      </c>
      <c r="N809" s="16" t="s">
        <v>4980</v>
      </c>
      <c r="O809" s="81">
        <v>1980.0</v>
      </c>
      <c r="P809" s="25" t="s">
        <v>4981</v>
      </c>
      <c r="Q809" s="82"/>
      <c r="R809" s="82"/>
      <c r="S809" s="82"/>
      <c r="T809" s="16">
        <v>1.0</v>
      </c>
      <c r="U809" s="16">
        <v>0.0</v>
      </c>
      <c r="V809" s="89">
        <f>IFERROR(__xludf.DUMMYFUNCTION("INDEX(SPLIT(SUBSTITUTE(W809,CHAR(10), """"),"",:""), MATCH(Z809, SPLIT(SUBSTITUTE(W809,CHAR(10), """"),"",:""), 0) + 1)"),8.0)</f>
        <v>8</v>
      </c>
      <c r="W809" s="85" t="s">
        <v>2001</v>
      </c>
      <c r="X809" s="21" t="s">
        <v>4979</v>
      </c>
      <c r="Y809" s="53" t="s">
        <v>3397</v>
      </c>
      <c r="Z809" s="53" t="str">
        <f t="array" ref="Z809">INDEX(Problems!J:J, MATCH(1, (Problems!B:B=B809)*1, 0))</f>
        <v>n</v>
      </c>
      <c r="AA809" s="53"/>
      <c r="AB809" s="53"/>
      <c r="AC809" s="53" t="s">
        <v>1813</v>
      </c>
      <c r="AD809" s="53" t="s">
        <v>1814</v>
      </c>
      <c r="AE809" s="85">
        <f>IFERROR(__xludf.DUMMYFUNCTION("INDEX(SPLIT(SUBSTITUTE(AF809,CHAR(10), """"),"",:""), MATCH(Z809, SPLIT(SUBSTITUTE(AF809,CHAR(10), """"),"",:""), 0) + 1)"),5.0)</f>
        <v>5</v>
      </c>
      <c r="AF809" s="85" t="s">
        <v>1938</v>
      </c>
      <c r="AG809" s="53" t="s">
        <v>115</v>
      </c>
      <c r="AH809" s="97" t="s">
        <v>4982</v>
      </c>
      <c r="AI809" s="84">
        <v>0.0</v>
      </c>
      <c r="AJ809" s="84">
        <v>1.0</v>
      </c>
      <c r="AK809" s="87"/>
      <c r="AL809" s="81">
        <v>0.0</v>
      </c>
      <c r="AM809" s="21"/>
      <c r="AN809" s="16">
        <v>0.0</v>
      </c>
      <c r="AO809" s="90"/>
      <c r="AP809" s="16">
        <v>0.0</v>
      </c>
      <c r="AQ809" s="16">
        <v>0.0</v>
      </c>
      <c r="AR809" s="39"/>
      <c r="AS809" s="81">
        <v>0.0</v>
      </c>
      <c r="AT809" s="81">
        <v>0.0</v>
      </c>
      <c r="AU809" s="39"/>
      <c r="AV809" s="82"/>
      <c r="AW809" s="82"/>
      <c r="AX809" s="82"/>
      <c r="AY809" s="7"/>
      <c r="AZ809" s="82"/>
      <c r="BA809" s="82"/>
      <c r="BB809" s="82"/>
      <c r="BC809" s="82"/>
      <c r="BD809" s="82"/>
      <c r="BE809" s="82"/>
      <c r="BF809" s="82"/>
      <c r="BG809" s="82"/>
      <c r="BH809" s="82"/>
      <c r="BI809" s="82"/>
      <c r="BJ809" s="82"/>
      <c r="BK809" s="82"/>
      <c r="BL809" s="82"/>
      <c r="BM809" s="82"/>
      <c r="BN809" s="7"/>
      <c r="BO809" s="7">
        <v>1.0</v>
      </c>
      <c r="BP809" s="82"/>
      <c r="BQ809" s="7"/>
      <c r="BR809" s="7" t="s">
        <v>23</v>
      </c>
    </row>
    <row r="810">
      <c r="A810" s="16">
        <v>86.0</v>
      </c>
      <c r="B810" s="16" t="s">
        <v>934</v>
      </c>
      <c r="C810" s="53">
        <v>0.0</v>
      </c>
      <c r="D810" s="53" t="s">
        <v>4983</v>
      </c>
      <c r="E810" s="7">
        <v>662.0</v>
      </c>
      <c r="F810" s="53"/>
      <c r="G810" s="7"/>
      <c r="H810" s="16">
        <v>1.0</v>
      </c>
      <c r="I810" s="16">
        <v>1.0</v>
      </c>
      <c r="J810" s="16" t="s">
        <v>4984</v>
      </c>
      <c r="K810" s="53"/>
      <c r="L810" s="53"/>
      <c r="M810" s="39" t="str">
        <f t="shared" si="1"/>
        <v>[https://www.cs.yale.edu/homes/spielman/PAPERS/srg.pdf Spielman (1996)]</v>
      </c>
      <c r="N810" s="16" t="s">
        <v>4985</v>
      </c>
      <c r="O810" s="81">
        <v>1996.0</v>
      </c>
      <c r="P810" s="25" t="s">
        <v>4986</v>
      </c>
      <c r="Q810" s="82"/>
      <c r="R810" s="82"/>
      <c r="S810" s="82"/>
      <c r="T810" s="16">
        <v>0.0</v>
      </c>
      <c r="U810" s="16">
        <v>0.0</v>
      </c>
      <c r="V810" s="89">
        <f>IFERROR(__xludf.DUMMYFUNCTION("INDEX(SPLIT(SUBSTITUTE(W810,CHAR(10), """"),"",:""), MATCH(Z810, SPLIT(SUBSTITUTE(W810,CHAR(10), """"),"",:""), 0) + 1)"),8.0)</f>
        <v>8</v>
      </c>
      <c r="W810" s="85" t="s">
        <v>2001</v>
      </c>
      <c r="X810" s="16" t="s">
        <v>4987</v>
      </c>
      <c r="Y810" s="53" t="s">
        <v>3397</v>
      </c>
      <c r="Z810" s="53" t="str">
        <f t="array" ref="Z810">INDEX(Problems!J:J, MATCH(1, (Problems!B:B=B810)*1, 0))</f>
        <v>n</v>
      </c>
      <c r="AA810" s="53"/>
      <c r="AB810" s="53"/>
      <c r="AC810" s="53" t="s">
        <v>1813</v>
      </c>
      <c r="AD810" s="53" t="s">
        <v>1814</v>
      </c>
      <c r="AE810" s="85" t="str">
        <f>IFERROR(__xludf.DUMMYFUNCTION("INDEX(SPLIT(SUBSTITUTE(AF810,CHAR(10), """"),"",:""), MATCH(Z810, SPLIT(SUBSTITUTE(AF810,CHAR(10), """"),"",:""), 0) + 1)"),"#VALUE!")</f>
        <v>#VALUE!</v>
      </c>
      <c r="AF810" s="131"/>
      <c r="AG810" s="53" t="s">
        <v>4988</v>
      </c>
      <c r="AH810" s="53"/>
      <c r="AI810" s="87"/>
      <c r="AJ810" s="84" t="s">
        <v>2520</v>
      </c>
      <c r="AK810" s="87"/>
      <c r="AL810" s="81">
        <v>0.0</v>
      </c>
      <c r="AM810" s="21"/>
      <c r="AN810" s="16">
        <v>0.0</v>
      </c>
      <c r="AO810" s="90"/>
      <c r="AP810" s="16">
        <v>0.0</v>
      </c>
      <c r="AQ810" s="16">
        <v>0.0</v>
      </c>
      <c r="AR810" s="39"/>
      <c r="AS810" s="81">
        <v>0.0</v>
      </c>
      <c r="AT810" s="81">
        <v>0.0</v>
      </c>
      <c r="AU810" s="39"/>
      <c r="AV810" s="82"/>
      <c r="AW810" s="82"/>
      <c r="AX810" s="82"/>
      <c r="AY810" s="7"/>
      <c r="AZ810" s="82"/>
      <c r="BA810" s="82"/>
      <c r="BB810" s="82"/>
      <c r="BC810" s="82"/>
      <c r="BD810" s="82"/>
      <c r="BE810" s="82"/>
      <c r="BF810" s="82"/>
      <c r="BG810" s="82"/>
      <c r="BH810" s="82"/>
      <c r="BI810" s="82"/>
      <c r="BJ810" s="82"/>
      <c r="BK810" s="82"/>
      <c r="BL810" s="82"/>
      <c r="BM810" s="82"/>
      <c r="BN810" s="7"/>
      <c r="BO810" s="7">
        <v>1.0</v>
      </c>
      <c r="BP810" s="82"/>
      <c r="BQ810" s="7"/>
      <c r="BR810" s="7" t="s">
        <v>23</v>
      </c>
    </row>
    <row r="811">
      <c r="A811" s="16">
        <v>86.0</v>
      </c>
      <c r="B811" s="16" t="s">
        <v>934</v>
      </c>
      <c r="C811" s="53">
        <v>1.0</v>
      </c>
      <c r="D811" s="53"/>
      <c r="E811" s="7">
        <v>663.0</v>
      </c>
      <c r="F811" s="53"/>
      <c r="G811" s="7"/>
      <c r="H811" s="16">
        <v>1.0</v>
      </c>
      <c r="I811" s="16">
        <v>1.0</v>
      </c>
      <c r="J811" s="39"/>
      <c r="K811" s="53"/>
      <c r="L811" s="53"/>
      <c r="M811" s="39" t="str">
        <f t="shared" si="1"/>
        <v>[http://users.cecs.anu.edu.au/~bdm/papers/pgi.pdf McKay (1981)]</v>
      </c>
      <c r="N811" s="16" t="s">
        <v>4989</v>
      </c>
      <c r="O811" s="81">
        <v>1981.0</v>
      </c>
      <c r="P811" s="25" t="s">
        <v>4990</v>
      </c>
      <c r="Q811" s="82"/>
      <c r="R811" s="82"/>
      <c r="S811" s="82"/>
      <c r="T811" s="16">
        <v>0.0</v>
      </c>
      <c r="U811" s="16">
        <v>0.0</v>
      </c>
      <c r="V811" s="89" t="str">
        <f>IFERROR(__xludf.DUMMYFUNCTION("INDEX(SPLIT(SUBSTITUTE(W811,CHAR(10), """"),"",:""), MATCH(Z811, SPLIT(SUBSTITUTE(W811,CHAR(10), """"),"",:""), 0) + 1)"),"#VALUE!")</f>
        <v>#VALUE!</v>
      </c>
      <c r="W811" s="85"/>
      <c r="X811" s="16" t="s">
        <v>4991</v>
      </c>
      <c r="Y811" s="53" t="s">
        <v>3397</v>
      </c>
      <c r="Z811" s="53" t="str">
        <f t="array" ref="Z811">INDEX(Problems!J:J, MATCH(1, (Problems!B:B=B811)*1, 0))</f>
        <v>n</v>
      </c>
      <c r="AA811" s="53"/>
      <c r="AB811" s="53"/>
      <c r="AC811" s="53" t="s">
        <v>1813</v>
      </c>
      <c r="AD811" s="53" t="s">
        <v>1814</v>
      </c>
      <c r="AE811" s="85">
        <f>IFERROR(__xludf.DUMMYFUNCTION("INDEX(SPLIT(SUBSTITUTE(AF811,CHAR(10), """"),"",:""), MATCH(Z811, SPLIT(SUBSTITUTE(AF811,CHAR(10), """"),"",:""), 0) + 1)"),6.0)</f>
        <v>6</v>
      </c>
      <c r="AF811" s="85" t="s">
        <v>2008</v>
      </c>
      <c r="AG811" s="53" t="s">
        <v>4992</v>
      </c>
      <c r="AH811" s="53"/>
      <c r="AI811" s="87"/>
      <c r="AJ811" s="84" t="s">
        <v>2520</v>
      </c>
      <c r="AK811" s="87"/>
      <c r="AL811" s="81">
        <v>0.0</v>
      </c>
      <c r="AM811" s="21"/>
      <c r="AN811" s="16">
        <v>0.0</v>
      </c>
      <c r="AO811" s="90"/>
      <c r="AP811" s="16">
        <v>0.0</v>
      </c>
      <c r="AQ811" s="16">
        <v>0.0</v>
      </c>
      <c r="AR811" s="39"/>
      <c r="AS811" s="81">
        <v>0.0</v>
      </c>
      <c r="AT811" s="81">
        <v>0.0</v>
      </c>
      <c r="AU811" s="39"/>
      <c r="AV811" s="82"/>
      <c r="AW811" s="82"/>
      <c r="AX811" s="82"/>
      <c r="AY811" s="7"/>
      <c r="AZ811" s="82"/>
      <c r="BA811" s="82"/>
      <c r="BB811" s="82"/>
      <c r="BC811" s="82"/>
      <c r="BD811" s="82"/>
      <c r="BE811" s="82"/>
      <c r="BF811" s="82"/>
      <c r="BG811" s="82"/>
      <c r="BH811" s="82"/>
      <c r="BI811" s="82"/>
      <c r="BJ811" s="82"/>
      <c r="BK811" s="82"/>
      <c r="BL811" s="82"/>
      <c r="BM811" s="82"/>
      <c r="BN811" s="7"/>
      <c r="BO811" s="7">
        <v>1.0</v>
      </c>
      <c r="BP811" s="82"/>
      <c r="BQ811" s="7"/>
      <c r="BR811" s="7" t="s">
        <v>23</v>
      </c>
    </row>
    <row r="812">
      <c r="A812" s="16">
        <v>86.0</v>
      </c>
      <c r="B812" s="16" t="s">
        <v>934</v>
      </c>
      <c r="C812" s="53">
        <v>1.0</v>
      </c>
      <c r="D812" s="53"/>
      <c r="E812" s="7">
        <v>664.0</v>
      </c>
      <c r="F812" s="53"/>
      <c r="G812" s="7"/>
      <c r="H812" s="16">
        <v>1.0</v>
      </c>
      <c r="I812" s="16">
        <v>1.0</v>
      </c>
      <c r="J812" s="39"/>
      <c r="K812" s="53"/>
      <c r="L812" s="53"/>
      <c r="M812" s="39" t="str">
        <f t="shared" si="1"/>
        <v>[https://dl.acm.org/doi/10.1145/321958.321963 Schmidt &amp; Druffel (1976)]</v>
      </c>
      <c r="N812" s="16" t="s">
        <v>4993</v>
      </c>
      <c r="O812" s="81">
        <v>1976.0</v>
      </c>
      <c r="P812" s="25" t="s">
        <v>4994</v>
      </c>
      <c r="Q812" s="82"/>
      <c r="R812" s="82"/>
      <c r="S812" s="82"/>
      <c r="T812" s="16">
        <v>1.0</v>
      </c>
      <c r="U812" s="16">
        <v>0.0</v>
      </c>
      <c r="V812" s="89">
        <f>IFERROR(__xludf.DUMMYFUNCTION("INDEX(SPLIT(SUBSTITUTE(W812,CHAR(10), """"),"",:""), MATCH(Z812, SPLIT(SUBSTITUTE(W812,CHAR(10), """"),"",:""), 0) + 1)"),8.0)</f>
        <v>8</v>
      </c>
      <c r="W812" s="85" t="s">
        <v>2001</v>
      </c>
      <c r="X812" s="16" t="s">
        <v>4995</v>
      </c>
      <c r="Y812" s="53" t="s">
        <v>3397</v>
      </c>
      <c r="Z812" s="53" t="str">
        <f t="array" ref="Z812">INDEX(Problems!J:J, MATCH(1, (Problems!B:B=B812)*1, 0))</f>
        <v>n</v>
      </c>
      <c r="AA812" s="53"/>
      <c r="AB812" s="53"/>
      <c r="AC812" s="53" t="s">
        <v>1813</v>
      </c>
      <c r="AD812" s="53" t="s">
        <v>1814</v>
      </c>
      <c r="AE812" s="85">
        <f>IFERROR(__xludf.DUMMYFUNCTION("INDEX(SPLIT(SUBSTITUTE(AF812,CHAR(10), """"),"",:""), MATCH(Z812, SPLIT(SUBSTITUTE(AF812,CHAR(10), """"),"",:""), 0) + 1)"),5.0)</f>
        <v>5</v>
      </c>
      <c r="AF812" s="85" t="s">
        <v>1938</v>
      </c>
      <c r="AG812" s="53" t="s">
        <v>61</v>
      </c>
      <c r="AH812" s="53" t="s">
        <v>2783</v>
      </c>
      <c r="AI812" s="84">
        <v>1.0</v>
      </c>
      <c r="AJ812" s="84">
        <v>0.0</v>
      </c>
      <c r="AK812" s="87"/>
      <c r="AL812" s="81">
        <v>0.0</v>
      </c>
      <c r="AM812" s="21"/>
      <c r="AN812" s="16">
        <v>0.0</v>
      </c>
      <c r="AO812" s="90"/>
      <c r="AP812" s="16">
        <v>0.0</v>
      </c>
      <c r="AQ812" s="16">
        <v>0.0</v>
      </c>
      <c r="AR812" s="39"/>
      <c r="AS812" s="81">
        <v>0.0</v>
      </c>
      <c r="AT812" s="81">
        <v>0.0</v>
      </c>
      <c r="AU812" s="39"/>
      <c r="AV812" s="82"/>
      <c r="AW812" s="82"/>
      <c r="AX812" s="82"/>
      <c r="AY812" s="7"/>
      <c r="AZ812" s="82"/>
      <c r="BA812" s="82"/>
      <c r="BB812" s="82"/>
      <c r="BC812" s="82"/>
      <c r="BD812" s="82"/>
      <c r="BE812" s="82"/>
      <c r="BF812" s="7" t="s">
        <v>1781</v>
      </c>
      <c r="BG812" s="7">
        <v>1.0</v>
      </c>
      <c r="BH812" s="82"/>
      <c r="BI812" s="7" t="s">
        <v>1781</v>
      </c>
      <c r="BJ812" s="7">
        <v>1.0</v>
      </c>
      <c r="BK812" s="82"/>
      <c r="BL812" s="7" t="s">
        <v>1781</v>
      </c>
      <c r="BM812" s="7">
        <v>1.0</v>
      </c>
      <c r="BN812" s="7"/>
      <c r="BO812" s="7">
        <v>1.0</v>
      </c>
      <c r="BP812" s="82"/>
      <c r="BQ812" s="7"/>
      <c r="BR812" s="7" t="s">
        <v>23</v>
      </c>
    </row>
    <row r="813">
      <c r="A813" s="16">
        <v>86.0</v>
      </c>
      <c r="B813" s="16" t="s">
        <v>934</v>
      </c>
      <c r="C813" s="53">
        <v>1.0</v>
      </c>
      <c r="D813" s="53" t="s">
        <v>4996</v>
      </c>
      <c r="E813" s="7">
        <v>665.0</v>
      </c>
      <c r="F813" s="53"/>
      <c r="G813" s="7"/>
      <c r="H813" s="16">
        <v>1.0</v>
      </c>
      <c r="I813" s="16">
        <v>1.0</v>
      </c>
      <c r="J813" s="16" t="s">
        <v>4997</v>
      </c>
      <c r="K813" s="53"/>
      <c r="L813" s="53"/>
      <c r="M813" s="39" t="str">
        <f t="shared" si="1"/>
        <v>[https://dl.acm.org/doi/10.1145/321921.321925 Ullman (1976)]</v>
      </c>
      <c r="N813" s="16" t="s">
        <v>4998</v>
      </c>
      <c r="O813" s="81">
        <v>1976.0</v>
      </c>
      <c r="P813" s="25" t="s">
        <v>4999</v>
      </c>
      <c r="Q813" s="82"/>
      <c r="R813" s="82"/>
      <c r="S813" s="82"/>
      <c r="T813" s="16">
        <v>1.0</v>
      </c>
      <c r="U813" s="16">
        <v>0.0</v>
      </c>
      <c r="V813" s="89" t="str">
        <f>IFERROR(__xludf.DUMMYFUNCTION("INDEX(SPLIT(SUBSTITUTE(W813,CHAR(10), """"),"",:""), MATCH(Z813, SPLIT(SUBSTITUTE(W813,CHAR(10), """"),"",:""), 0) + 1)"),"#VALUE!")</f>
        <v>#VALUE!</v>
      </c>
      <c r="W813" s="131"/>
      <c r="X813" s="39"/>
      <c r="Y813" s="53" t="s">
        <v>5000</v>
      </c>
      <c r="Z813" s="53" t="str">
        <f t="array" ref="Z813">INDEX(Problems!J:J, MATCH(1, (Problems!B:B=B813)*1, 0))</f>
        <v>n</v>
      </c>
      <c r="AA813" s="53"/>
      <c r="AB813" s="53"/>
      <c r="AC813" s="53" t="s">
        <v>1813</v>
      </c>
      <c r="AD813" s="53" t="s">
        <v>1814</v>
      </c>
      <c r="AE813" s="85" t="str">
        <f>IFERROR(__xludf.DUMMYFUNCTION("INDEX(SPLIT(SUBSTITUTE(AF813,CHAR(10), """"),"",:""), MATCH(Z813, SPLIT(SUBSTITUTE(AF813,CHAR(10), """"),"",:""), 0) + 1)")," 3m")</f>
        <v> 3m</v>
      </c>
      <c r="AF813" s="85" t="s">
        <v>5001</v>
      </c>
      <c r="AG813" s="168" t="s">
        <v>3296</v>
      </c>
      <c r="AH813" s="53" t="s">
        <v>5002</v>
      </c>
      <c r="AI813" s="84">
        <v>1.0</v>
      </c>
      <c r="AJ813" s="84">
        <v>0.0</v>
      </c>
      <c r="AK813" s="87"/>
      <c r="AL813" s="81">
        <v>0.0</v>
      </c>
      <c r="AM813" s="21"/>
      <c r="AN813" s="16">
        <v>0.0</v>
      </c>
      <c r="AO813" s="90"/>
      <c r="AP813" s="16">
        <v>0.0</v>
      </c>
      <c r="AQ813" s="16">
        <v>1.0</v>
      </c>
      <c r="AR813" s="39"/>
      <c r="AS813" s="81">
        <v>0.0</v>
      </c>
      <c r="AT813" s="81">
        <v>0.0</v>
      </c>
      <c r="AU813" s="39"/>
      <c r="AV813" s="82"/>
      <c r="AW813" s="82"/>
      <c r="AX813" s="82"/>
      <c r="AY813" s="7"/>
      <c r="AZ813" s="82"/>
      <c r="BA813" s="82"/>
      <c r="BB813" s="82"/>
      <c r="BC813" s="82"/>
      <c r="BD813" s="82"/>
      <c r="BE813" s="82"/>
      <c r="BF813" s="82"/>
      <c r="BG813" s="82"/>
      <c r="BH813" s="82"/>
      <c r="BI813" s="82"/>
      <c r="BJ813" s="82"/>
      <c r="BK813" s="82"/>
      <c r="BL813" s="82"/>
      <c r="BM813" s="82"/>
      <c r="BN813" s="7"/>
      <c r="BO813" s="7">
        <v>1.0</v>
      </c>
      <c r="BP813" s="82"/>
      <c r="BQ813" s="7"/>
      <c r="BR813" s="7" t="s">
        <v>23</v>
      </c>
    </row>
    <row r="814">
      <c r="A814" s="16">
        <v>86.0</v>
      </c>
      <c r="B814" s="169" t="s">
        <v>934</v>
      </c>
      <c r="C814" s="53">
        <v>0.001</v>
      </c>
      <c r="D814" s="53"/>
      <c r="E814" s="7">
        <v>666.0</v>
      </c>
      <c r="F814" s="53"/>
      <c r="G814" s="7"/>
      <c r="H814" s="16">
        <v>1.0</v>
      </c>
      <c r="I814" s="16">
        <v>1.0</v>
      </c>
      <c r="J814" s="21" t="s">
        <v>5003</v>
      </c>
      <c r="K814" s="53"/>
      <c r="L814" s="53"/>
      <c r="M814" s="39" t="str">
        <f t="shared" si="1"/>
        <v>[http://people.cs.uchicago.edu/~laci/update.html, http://people.cs.uchicago.edu/~laci/17groups/version2.1.pdf Babai (2017)]</v>
      </c>
      <c r="N814" s="16" t="s">
        <v>4980</v>
      </c>
      <c r="O814" s="81">
        <v>2017.0</v>
      </c>
      <c r="P814" s="16" t="s">
        <v>5004</v>
      </c>
      <c r="Q814" s="82"/>
      <c r="R814" s="82"/>
      <c r="S814" s="82"/>
      <c r="T814" s="16">
        <v>0.0</v>
      </c>
      <c r="U814" s="16">
        <v>0.0</v>
      </c>
      <c r="V814" s="89">
        <f>IFERROR(__xludf.DUMMYFUNCTION("INDEX(SPLIT(SUBSTITUTE(W814,CHAR(10), """"),"",:""), MATCH(Z814, SPLIT(SUBSTITUTE(W814,CHAR(10), """"),"",:""), 0) + 1)"),7.5)</f>
        <v>7.5</v>
      </c>
      <c r="W814" s="85" t="s">
        <v>5005</v>
      </c>
      <c r="X814" s="21" t="s">
        <v>5003</v>
      </c>
      <c r="Y814" s="53"/>
      <c r="Z814" s="53" t="str">
        <f t="array" ref="Z814">INDEX(Problems!J:J, MATCH(1, (Problems!B:B=B814)*1, 0))</f>
        <v>n</v>
      </c>
      <c r="AA814" s="53"/>
      <c r="AB814" s="53"/>
      <c r="AC814" s="53"/>
      <c r="AD814" s="53"/>
      <c r="AE814" s="85" t="str">
        <f>IFERROR(__xludf.DUMMYFUNCTION("INDEX(SPLIT(SUBSTITUTE(AF814,CHAR(10), """"),"",:""), MATCH(Z814, SPLIT(SUBSTITUTE(AF814,CHAR(10), """"),"",:""), 0) + 1)"),"#VALUE!")</f>
        <v>#VALUE!</v>
      </c>
      <c r="AF814" s="131"/>
      <c r="AG814" s="53"/>
      <c r="AH814" s="53"/>
      <c r="AI814" s="87"/>
      <c r="AJ814" s="84" t="s">
        <v>2520</v>
      </c>
      <c r="AK814" s="87"/>
      <c r="AL814" s="81">
        <v>0.0</v>
      </c>
      <c r="AM814" s="21"/>
      <c r="AN814" s="16">
        <v>0.0</v>
      </c>
      <c r="AO814" s="90"/>
      <c r="AP814" s="16">
        <v>0.0</v>
      </c>
      <c r="AQ814" s="16">
        <v>0.0</v>
      </c>
      <c r="AR814" s="39"/>
      <c r="AS814" s="81">
        <v>0.0</v>
      </c>
      <c r="AT814" s="81">
        <v>0.0</v>
      </c>
      <c r="AU814" s="39"/>
      <c r="AV814" s="82"/>
      <c r="AW814" s="82"/>
      <c r="AX814" s="82"/>
      <c r="AY814" s="7"/>
      <c r="AZ814" s="82"/>
      <c r="BA814" s="82"/>
      <c r="BB814" s="82"/>
      <c r="BC814" s="82"/>
      <c r="BD814" s="82"/>
      <c r="BE814" s="82"/>
      <c r="BF814" s="82"/>
      <c r="BG814" s="82"/>
      <c r="BH814" s="82"/>
      <c r="BI814" s="82"/>
      <c r="BJ814" s="82"/>
      <c r="BK814" s="82"/>
      <c r="BL814" s="82"/>
      <c r="BM814" s="82"/>
      <c r="BN814" s="7"/>
      <c r="BO814" s="7">
        <v>1.0</v>
      </c>
      <c r="BP814" s="82"/>
      <c r="BQ814" s="7"/>
      <c r="BR814" s="7" t="s">
        <v>23</v>
      </c>
    </row>
    <row r="815">
      <c r="A815" s="16">
        <v>86.0</v>
      </c>
      <c r="B815" s="16" t="s">
        <v>934</v>
      </c>
      <c r="C815" s="53">
        <v>2.0</v>
      </c>
      <c r="D815" s="53" t="s">
        <v>5006</v>
      </c>
      <c r="E815" s="7">
        <v>667.0</v>
      </c>
      <c r="F815" s="53"/>
      <c r="G815" s="7"/>
      <c r="H815" s="16">
        <v>1.0</v>
      </c>
      <c r="I815" s="16">
        <v>1.0</v>
      </c>
      <c r="J815" s="16" t="s">
        <v>115</v>
      </c>
      <c r="K815" s="53"/>
      <c r="L815" s="53"/>
      <c r="M815" s="39" t="str">
        <f t="shared" si="1"/>
        <v>[https://londmathsoc.onlinelibrary.wiley.com/doi/abs/10.1112/S0024611503014412 Muzychuk (2004)]</v>
      </c>
      <c r="N815" s="16" t="s">
        <v>5007</v>
      </c>
      <c r="O815" s="81">
        <v>2004.0</v>
      </c>
      <c r="P815" s="25" t="s">
        <v>5008</v>
      </c>
      <c r="Q815" s="82"/>
      <c r="R815" s="82"/>
      <c r="S815" s="82"/>
      <c r="T815" s="16">
        <v>0.0</v>
      </c>
      <c r="U815" s="16">
        <v>0.0</v>
      </c>
      <c r="V815" s="89">
        <f>IFERROR(__xludf.DUMMYFUNCTION("INDEX(SPLIT(SUBSTITUTE(W815,CHAR(10), """"),"",:""), MATCH(Z815, SPLIT(SUBSTITUTE(W815,CHAR(10), """"),"",:""), 0) + 1)"),5.0)</f>
        <v>5</v>
      </c>
      <c r="W815" s="85" t="s">
        <v>1938</v>
      </c>
      <c r="X815" s="16" t="s">
        <v>115</v>
      </c>
      <c r="Y815" s="53" t="s">
        <v>3397</v>
      </c>
      <c r="Z815" s="53" t="str">
        <f t="array" ref="Z815">INDEX(Problems!J:J, MATCH(1, (Problems!B:B=B815)*1, 0))</f>
        <v>n</v>
      </c>
      <c r="AA815" s="53"/>
      <c r="AB815" s="53"/>
      <c r="AC815" s="53" t="s">
        <v>1813</v>
      </c>
      <c r="AD815" s="53" t="s">
        <v>1814</v>
      </c>
      <c r="AE815" s="85">
        <f>IFERROR(__xludf.DUMMYFUNCTION("INDEX(SPLIT(SUBSTITUTE(AF815,CHAR(10), """"),"",:""), MATCH(Z815, SPLIT(SUBSTITUTE(AF815,CHAR(10), """"),"",:""), 0) + 1)"),5.0)</f>
        <v>5</v>
      </c>
      <c r="AF815" s="85" t="s">
        <v>1938</v>
      </c>
      <c r="AG815" s="53" t="s">
        <v>61</v>
      </c>
      <c r="AH815" s="53" t="s">
        <v>5009</v>
      </c>
      <c r="AI815" s="84">
        <v>1.0</v>
      </c>
      <c r="AJ815" s="84">
        <v>0.0</v>
      </c>
      <c r="AK815" s="87"/>
      <c r="AL815" s="81">
        <v>0.0</v>
      </c>
      <c r="AM815" s="21"/>
      <c r="AN815" s="16">
        <v>0.0</v>
      </c>
      <c r="AO815" s="90"/>
      <c r="AP815" s="16">
        <v>0.0</v>
      </c>
      <c r="AQ815" s="16">
        <v>0.0</v>
      </c>
      <c r="AR815" s="39"/>
      <c r="AS815" s="81">
        <v>0.0</v>
      </c>
      <c r="AT815" s="81">
        <v>0.0</v>
      </c>
      <c r="AU815" s="39"/>
      <c r="AV815" s="82"/>
      <c r="AW815" s="82"/>
      <c r="AX815" s="82"/>
      <c r="AY815" s="7"/>
      <c r="AZ815" s="82"/>
      <c r="BA815" s="82"/>
      <c r="BB815" s="82"/>
      <c r="BC815" s="82"/>
      <c r="BD815" s="82"/>
      <c r="BE815" s="82"/>
      <c r="BF815" s="82"/>
      <c r="BG815" s="82"/>
      <c r="BH815" s="7" t="s">
        <v>1781</v>
      </c>
      <c r="BI815" s="82"/>
      <c r="BJ815" s="82"/>
      <c r="BK815" s="7" t="s">
        <v>1781</v>
      </c>
      <c r="BL815" s="82"/>
      <c r="BM815" s="82"/>
      <c r="BN815" s="7" t="s">
        <v>1781</v>
      </c>
      <c r="BO815" s="7">
        <v>1.0</v>
      </c>
      <c r="BP815" s="82"/>
      <c r="BQ815" s="7"/>
      <c r="BR815" s="7" t="s">
        <v>23</v>
      </c>
    </row>
    <row r="816">
      <c r="A816" s="16">
        <v>86.0</v>
      </c>
      <c r="B816" s="16" t="s">
        <v>934</v>
      </c>
      <c r="C816" s="53">
        <v>0.0</v>
      </c>
      <c r="D816" s="53" t="s">
        <v>5010</v>
      </c>
      <c r="E816" s="7">
        <v>668.0</v>
      </c>
      <c r="F816" s="53"/>
      <c r="G816" s="7"/>
      <c r="H816" s="16">
        <v>1.0</v>
      </c>
      <c r="I816" s="16">
        <v>1.0</v>
      </c>
      <c r="J816" s="170" t="s">
        <v>5011</v>
      </c>
      <c r="K816" s="53"/>
      <c r="L816" s="53"/>
      <c r="M816" s="39" t="str">
        <f t="shared" si="1"/>
        <v>[https://www.sciencedirect.com/science/article/pii/0196677490900135 Bodlaender (1990)]</v>
      </c>
      <c r="N816" s="16" t="s">
        <v>5012</v>
      </c>
      <c r="O816" s="81">
        <v>1990.0</v>
      </c>
      <c r="P816" s="25" t="s">
        <v>5013</v>
      </c>
      <c r="Q816" s="82"/>
      <c r="R816" s="82"/>
      <c r="S816" s="82"/>
      <c r="T816" s="16">
        <v>0.0</v>
      </c>
      <c r="U816" s="16">
        <v>0.0</v>
      </c>
      <c r="V816" s="89">
        <f>IFERROR(__xludf.DUMMYFUNCTION("INDEX(SPLIT(SUBSTITUTE(W816,CHAR(10), """"),"",:""), MATCH(Z816, SPLIT(SUBSTITUTE(W816,CHAR(10), """"),"",:""), 0) + 1)"),7.0)</f>
        <v>7</v>
      </c>
      <c r="W816" s="85" t="s">
        <v>2517</v>
      </c>
      <c r="X816" s="16" t="s">
        <v>5014</v>
      </c>
      <c r="Y816" s="53" t="s">
        <v>5015</v>
      </c>
      <c r="Z816" s="53" t="str">
        <f t="array" ref="Z816">INDEX(Problems!J:J, MATCH(1, (Problems!B:B=B816)*1, 0))</f>
        <v>n</v>
      </c>
      <c r="AA816" s="53"/>
      <c r="AB816" s="53"/>
      <c r="AC816" s="53" t="s">
        <v>1813</v>
      </c>
      <c r="AD816" s="53" t="s">
        <v>1814</v>
      </c>
      <c r="AE816" s="85" t="str">
        <f>IFERROR(__xludf.DUMMYFUNCTION("INDEX(SPLIT(SUBSTITUTE(AF816,CHAR(10), """"),"",:""), MATCH(Z816, SPLIT(SUBSTITUTE(AF816,CHAR(10), """"),"",:""), 0) + 1)"),"#VALUE!")</f>
        <v>#VALUE!</v>
      </c>
      <c r="AF816" s="131"/>
      <c r="AG816" s="171" t="s">
        <v>4988</v>
      </c>
      <c r="AH816" s="53"/>
      <c r="AI816" s="87"/>
      <c r="AJ816" s="84" t="s">
        <v>2520</v>
      </c>
      <c r="AK816" s="87"/>
      <c r="AL816" s="81">
        <v>0.0</v>
      </c>
      <c r="AM816" s="21"/>
      <c r="AN816" s="16">
        <v>0.0</v>
      </c>
      <c r="AO816" s="90"/>
      <c r="AP816" s="16">
        <v>0.0</v>
      </c>
      <c r="AQ816" s="16">
        <v>0.0</v>
      </c>
      <c r="AR816" s="39"/>
      <c r="AS816" s="81">
        <v>0.0</v>
      </c>
      <c r="AT816" s="81">
        <v>0.0</v>
      </c>
      <c r="AU816" s="39"/>
      <c r="AV816" s="82"/>
      <c r="AW816" s="82"/>
      <c r="AX816" s="82"/>
      <c r="AY816" s="7"/>
      <c r="AZ816" s="82"/>
      <c r="BA816" s="82"/>
      <c r="BB816" s="82"/>
      <c r="BC816" s="82"/>
      <c r="BD816" s="82"/>
      <c r="BE816" s="82"/>
      <c r="BF816" s="82"/>
      <c r="BG816" s="82"/>
      <c r="BH816" s="82"/>
      <c r="BI816" s="82"/>
      <c r="BJ816" s="82"/>
      <c r="BK816" s="82"/>
      <c r="BL816" s="82"/>
      <c r="BM816" s="82"/>
      <c r="BN816" s="7"/>
      <c r="BO816" s="7">
        <v>1.0</v>
      </c>
      <c r="BP816" s="82"/>
      <c r="BQ816" s="7"/>
      <c r="BR816" s="7" t="s">
        <v>23</v>
      </c>
    </row>
    <row r="817">
      <c r="A817" s="16">
        <v>86.0</v>
      </c>
      <c r="B817" s="16" t="s">
        <v>934</v>
      </c>
      <c r="C817" s="53">
        <v>0.0</v>
      </c>
      <c r="D817" s="53" t="s">
        <v>5016</v>
      </c>
      <c r="E817" s="7">
        <v>669.0</v>
      </c>
      <c r="F817" s="53"/>
      <c r="G817" s="7"/>
      <c r="H817" s="16">
        <v>1.0</v>
      </c>
      <c r="I817" s="16">
        <v>1.0</v>
      </c>
      <c r="J817" s="16" t="s">
        <v>5017</v>
      </c>
      <c r="K817" s="53"/>
      <c r="L817" s="53"/>
      <c r="M817" s="39" t="str">
        <f t="shared" si="1"/>
        <v>[https://oa.mg/work/10.1109/focs.2008.80 Babai &amp; Codenotti (2008)]</v>
      </c>
      <c r="N817" s="16" t="s">
        <v>5018</v>
      </c>
      <c r="O817" s="81">
        <v>2008.0</v>
      </c>
      <c r="P817" s="25" t="s">
        <v>5019</v>
      </c>
      <c r="Q817" s="82"/>
      <c r="R817" s="82"/>
      <c r="S817" s="82"/>
      <c r="T817" s="16">
        <v>0.0</v>
      </c>
      <c r="U817" s="16">
        <v>0.0</v>
      </c>
      <c r="V817" s="89">
        <f>IFERROR(__xludf.DUMMYFUNCTION("INDEX(SPLIT(SUBSTITUTE(W817,CHAR(10), """"),"",:""), MATCH(Z817, SPLIT(SUBSTITUTE(W817,CHAR(10), """"),"",:""), 0) + 1)"),8.0)</f>
        <v>8</v>
      </c>
      <c r="W817" s="85" t="s">
        <v>2001</v>
      </c>
      <c r="X817" s="16" t="s">
        <v>5020</v>
      </c>
      <c r="Y817" s="53" t="s">
        <v>5021</v>
      </c>
      <c r="Z817" s="53" t="str">
        <f t="array" ref="Z817">INDEX(Problems!J:J, MATCH(1, (Problems!B:B=B817)*1, 0))</f>
        <v>n</v>
      </c>
      <c r="AA817" s="53"/>
      <c r="AB817" s="53"/>
      <c r="AC817" s="53" t="s">
        <v>1813</v>
      </c>
      <c r="AD817" s="53" t="s">
        <v>1814</v>
      </c>
      <c r="AE817" s="85" t="str">
        <f>IFERROR(__xludf.DUMMYFUNCTION("INDEX(SPLIT(SUBSTITUTE(AF817,CHAR(10), """"),"",:""), MATCH(Z817, SPLIT(SUBSTITUTE(AF817,CHAR(10), """"),"",:""), 0) + 1)"),"#VALUE!")</f>
        <v>#VALUE!</v>
      </c>
      <c r="AF817" s="131"/>
      <c r="AG817" s="171" t="s">
        <v>4988</v>
      </c>
      <c r="AH817" s="53"/>
      <c r="AI817" s="87"/>
      <c r="AJ817" s="84" t="s">
        <v>2520</v>
      </c>
      <c r="AK817" s="87"/>
      <c r="AL817" s="81">
        <v>0.0</v>
      </c>
      <c r="AM817" s="21"/>
      <c r="AN817" s="16">
        <v>0.0</v>
      </c>
      <c r="AO817" s="90"/>
      <c r="AP817" s="16">
        <v>0.0</v>
      </c>
      <c r="AQ817" s="16">
        <v>0.0</v>
      </c>
      <c r="AR817" s="39"/>
      <c r="AS817" s="81">
        <v>0.0</v>
      </c>
      <c r="AT817" s="81">
        <v>0.0</v>
      </c>
      <c r="AU817" s="39"/>
      <c r="AV817" s="82"/>
      <c r="AW817" s="82"/>
      <c r="AX817" s="82"/>
      <c r="AY817" s="7"/>
      <c r="AZ817" s="82"/>
      <c r="BA817" s="82"/>
      <c r="BB817" s="82"/>
      <c r="BC817" s="82"/>
      <c r="BD817" s="82"/>
      <c r="BE817" s="82"/>
      <c r="BF817" s="82"/>
      <c r="BG817" s="82"/>
      <c r="BH817" s="82"/>
      <c r="BI817" s="82"/>
      <c r="BJ817" s="82"/>
      <c r="BK817" s="82"/>
      <c r="BL817" s="82"/>
      <c r="BM817" s="82"/>
      <c r="BN817" s="7"/>
      <c r="BO817" s="7">
        <v>1.0</v>
      </c>
      <c r="BP817" s="82"/>
      <c r="BQ817" s="7"/>
      <c r="BR817" s="7" t="s">
        <v>23</v>
      </c>
    </row>
    <row r="818">
      <c r="A818" s="16">
        <v>87.0</v>
      </c>
      <c r="B818" s="16" t="s">
        <v>955</v>
      </c>
      <c r="C818" s="53">
        <v>2.0</v>
      </c>
      <c r="D818" s="53" t="s">
        <v>956</v>
      </c>
      <c r="E818" s="7">
        <v>670.0</v>
      </c>
      <c r="F818" s="53" t="s">
        <v>5022</v>
      </c>
      <c r="G818" s="7"/>
      <c r="H818" s="16">
        <v>1.0</v>
      </c>
      <c r="I818" s="16">
        <v>1.0</v>
      </c>
      <c r="J818" s="21" t="s">
        <v>35</v>
      </c>
      <c r="K818" s="53"/>
      <c r="L818" s="53"/>
      <c r="M818" s="39" t="str">
        <f t="shared" si="1"/>
        <v>[https://linkinghub.elsevier.com/retrieve/pii/0012365X7390037X Kleitman–Wang Algorithm (1973)]</v>
      </c>
      <c r="N818" s="16" t="s">
        <v>5023</v>
      </c>
      <c r="O818" s="81">
        <v>1973.0</v>
      </c>
      <c r="P818" s="45" t="s">
        <v>961</v>
      </c>
      <c r="Q818" s="7">
        <v>1.0</v>
      </c>
      <c r="R818" s="7">
        <v>1.0</v>
      </c>
      <c r="S818" s="47" t="s">
        <v>5024</v>
      </c>
      <c r="T818" s="16">
        <v>1.0</v>
      </c>
      <c r="U818" s="16">
        <v>0.0</v>
      </c>
      <c r="V818" s="89">
        <f>IFERROR(__xludf.DUMMYFUNCTION("INDEX(SPLIT(SUBSTITUTE(W818,CHAR(10), """"),"",:""), MATCH(Z818, SPLIT(SUBSTITUTE(W818,CHAR(10), """"),"",:""), 0) + 1)"),3.0)</f>
        <v>3</v>
      </c>
      <c r="W818" s="85" t="s">
        <v>1763</v>
      </c>
      <c r="X818" s="21" t="s">
        <v>35</v>
      </c>
      <c r="Y818" s="53" t="s">
        <v>959</v>
      </c>
      <c r="Z818" s="53" t="str">
        <f t="array" ref="Z818">INDEX(Problems!J:J, MATCH(1, (Problems!B:B=B818)*1, 0))</f>
        <v>n</v>
      </c>
      <c r="AA818" s="53"/>
      <c r="AB818" s="53"/>
      <c r="AC818" s="53" t="s">
        <v>1813</v>
      </c>
      <c r="AD818" s="53" t="s">
        <v>1814</v>
      </c>
      <c r="AE818" s="85">
        <f>IFERROR(__xludf.DUMMYFUNCTION("INDEX(SPLIT(SUBSTITUTE(AF818,CHAR(10), """"),"",:""), MATCH(Z818, SPLIT(SUBSTITUTE(AF818,CHAR(10), """"),"",:""), 0) + 1)"),3.0)</f>
        <v>3</v>
      </c>
      <c r="AF818" s="85" t="s">
        <v>1763</v>
      </c>
      <c r="AG818" s="53" t="s">
        <v>584</v>
      </c>
      <c r="AH818" s="53" t="s">
        <v>5025</v>
      </c>
      <c r="AI818" s="84">
        <v>1.0</v>
      </c>
      <c r="AJ818" s="84">
        <v>0.0</v>
      </c>
      <c r="AK818" s="87"/>
      <c r="AL818" s="81">
        <v>0.0</v>
      </c>
      <c r="AM818" s="21"/>
      <c r="AN818" s="16">
        <v>0.0</v>
      </c>
      <c r="AO818" s="21"/>
      <c r="AP818" s="16">
        <v>0.0</v>
      </c>
      <c r="AQ818" s="16">
        <v>0.0</v>
      </c>
      <c r="AR818" s="39"/>
      <c r="AS818" s="81">
        <v>0.0</v>
      </c>
      <c r="AT818" s="81">
        <v>0.0</v>
      </c>
      <c r="AU818" s="39"/>
      <c r="AV818" s="82"/>
      <c r="AW818" s="82"/>
      <c r="AX818" s="82"/>
      <c r="AY818" s="7"/>
      <c r="AZ818" s="82">
        <f> 1000</f>
        <v>1000</v>
      </c>
      <c r="BA818" s="82"/>
      <c r="BB818" s="82">
        <f> 1000000</f>
        <v>1000000</v>
      </c>
      <c r="BC818" s="82"/>
      <c r="BD818" s="82">
        <f> 1000000000</f>
        <v>1000000000</v>
      </c>
      <c r="BE818" s="82"/>
      <c r="BF818" s="82">
        <f>500*500</f>
        <v>250000</v>
      </c>
      <c r="BG818" s="7">
        <v>1.0</v>
      </c>
      <c r="BH818" s="82"/>
      <c r="BI818" s="82">
        <f>500000*500000</f>
        <v>250000000000</v>
      </c>
      <c r="BJ818" s="7">
        <v>1.0</v>
      </c>
      <c r="BK818" s="82"/>
      <c r="BL818" s="82">
        <f>500000000*500000000</f>
        <v>2.5E+17</v>
      </c>
      <c r="BM818" s="7">
        <v>1.0</v>
      </c>
      <c r="BN818" s="7"/>
      <c r="BO818" s="7">
        <v>4.0</v>
      </c>
      <c r="BP818" s="82"/>
      <c r="BQ818" s="7"/>
      <c r="BR818" s="7" t="s">
        <v>23</v>
      </c>
    </row>
    <row r="819">
      <c r="A819" s="127">
        <v>87.0</v>
      </c>
      <c r="B819" s="16" t="s">
        <v>955</v>
      </c>
      <c r="C819" s="53">
        <v>2.0</v>
      </c>
      <c r="D819" s="53" t="s">
        <v>956</v>
      </c>
      <c r="E819" s="7">
        <v>671.0</v>
      </c>
      <c r="F819" s="53" t="s">
        <v>5026</v>
      </c>
      <c r="G819" s="7"/>
      <c r="H819" s="16">
        <v>1.0</v>
      </c>
      <c r="I819" s="16">
        <v>1.0</v>
      </c>
      <c r="J819" s="21" t="s">
        <v>35</v>
      </c>
      <c r="K819" s="53"/>
      <c r="L819" s="53"/>
      <c r="M819" s="39" t="str">
        <f t="shared" si="1"/>
        <v>[https://www.cambridge.org/core/journals/canadian-journal-of-mathematics/article/properties-of-a-class-of-01matrices-covering-a-given-matrix/9A3857D219511017536142BD7F132C91 Fulkerson–Chen–Anstee (1982)]</v>
      </c>
      <c r="N819" s="39" t="s">
        <v>5027</v>
      </c>
      <c r="O819" s="83">
        <v>1982.0</v>
      </c>
      <c r="P819" s="25" t="s">
        <v>5028</v>
      </c>
      <c r="Q819" s="82"/>
      <c r="R819" s="82"/>
      <c r="S819" s="82"/>
      <c r="T819" s="16">
        <v>0.0</v>
      </c>
      <c r="U819" s="16">
        <v>0.0</v>
      </c>
      <c r="V819" s="89">
        <f>IFERROR(__xludf.DUMMYFUNCTION("INDEX(SPLIT(SUBSTITUTE(W819,CHAR(10), """"),"",:""), MATCH(Z819, SPLIT(SUBSTITUTE(W819,CHAR(10), """"),"",:""), 0) + 1)"),3.0)</f>
        <v>3</v>
      </c>
      <c r="W819" s="85" t="s">
        <v>1763</v>
      </c>
      <c r="X819" s="21" t="s">
        <v>35</v>
      </c>
      <c r="Y819" s="53" t="s">
        <v>959</v>
      </c>
      <c r="Z819" s="53" t="str">
        <f t="array" ref="Z819">INDEX(Problems!J:J, MATCH(1, (Problems!B:B=B819)*1, 0))</f>
        <v>n</v>
      </c>
      <c r="AA819" s="53"/>
      <c r="AB819" s="53"/>
      <c r="AC819" s="53" t="s">
        <v>1813</v>
      </c>
      <c r="AD819" s="53" t="s">
        <v>1814</v>
      </c>
      <c r="AE819" s="85">
        <f>IFERROR(__xludf.DUMMYFUNCTION("INDEX(SPLIT(SUBSTITUTE(AF819,CHAR(10), """"),"",:""), MATCH(Z819, SPLIT(SUBSTITUTE(AF819,CHAR(10), """"),"",:""), 0) + 1)"),1.0)</f>
        <v>1</v>
      </c>
      <c r="AF819" s="85" t="s">
        <v>1774</v>
      </c>
      <c r="AG819" s="53" t="s">
        <v>939</v>
      </c>
      <c r="AH819" s="53" t="s">
        <v>5029</v>
      </c>
      <c r="AI819" s="84">
        <v>1.0</v>
      </c>
      <c r="AJ819" s="84">
        <v>0.0</v>
      </c>
      <c r="AK819" s="87"/>
      <c r="AL819" s="81">
        <v>0.0</v>
      </c>
      <c r="AM819" s="21"/>
      <c r="AN819" s="16">
        <v>0.0</v>
      </c>
      <c r="AO819" s="90"/>
      <c r="AP819" s="16">
        <v>0.0</v>
      </c>
      <c r="AQ819" s="16">
        <v>0.0</v>
      </c>
      <c r="AR819" s="39"/>
      <c r="AS819" s="81">
        <v>0.0</v>
      </c>
      <c r="AT819" s="81">
        <v>0.0</v>
      </c>
      <c r="AU819" s="25" t="s">
        <v>5030</v>
      </c>
      <c r="AV819" s="82"/>
      <c r="AW819" s="82"/>
      <c r="AX819" s="82"/>
      <c r="AY819" s="7"/>
      <c r="AZ819" s="7">
        <v>1.0</v>
      </c>
      <c r="BA819" s="82">
        <f>POW(AZ818/AZ819,1/($O819-$O818)) - 1</f>
        <v>1.15443469</v>
      </c>
      <c r="BB819" s="7">
        <v>1.0</v>
      </c>
      <c r="BC819" s="82">
        <f>POW(BB818/BB819,1/($O819-$O818)) - 1</f>
        <v>3.641588834</v>
      </c>
      <c r="BD819" s="7">
        <v>1.0</v>
      </c>
      <c r="BE819" s="82">
        <f>POW(BD818/BD819,1/($O819-$O818)) - 1</f>
        <v>9</v>
      </c>
      <c r="BF819" s="82"/>
      <c r="BG819" s="82"/>
      <c r="BH819" s="82"/>
      <c r="BI819" s="82"/>
      <c r="BJ819" s="82"/>
      <c r="BK819" s="82"/>
      <c r="BL819" s="82"/>
      <c r="BM819" s="82"/>
      <c r="BN819" s="7"/>
      <c r="BO819" s="7">
        <v>4.0</v>
      </c>
      <c r="BP819" s="82"/>
      <c r="BQ819" s="7"/>
      <c r="BR819" s="7" t="s">
        <v>23</v>
      </c>
    </row>
    <row r="820">
      <c r="A820" s="127">
        <v>87.0</v>
      </c>
      <c r="B820" s="16" t="s">
        <v>955</v>
      </c>
      <c r="C820" s="53">
        <v>1.0</v>
      </c>
      <c r="D820" s="53" t="s">
        <v>962</v>
      </c>
      <c r="E820" s="7">
        <v>672.0</v>
      </c>
      <c r="F820" s="53"/>
      <c r="G820" s="7"/>
      <c r="H820" s="16">
        <v>1.0</v>
      </c>
      <c r="I820" s="16">
        <v>1.0</v>
      </c>
      <c r="J820" s="21" t="s">
        <v>5031</v>
      </c>
      <c r="K820" s="53"/>
      <c r="L820" s="53"/>
      <c r="M820" s="39" t="str">
        <f t="shared" si="1"/>
        <v>[https://arxiv.org/abs/1203.3636 Berger &amp; Müller-Hannemann (2011)]</v>
      </c>
      <c r="N820" s="16" t="s">
        <v>5032</v>
      </c>
      <c r="O820" s="81">
        <v>2011.0</v>
      </c>
      <c r="P820" s="25" t="s">
        <v>5033</v>
      </c>
      <c r="Q820" s="82"/>
      <c r="R820" s="82"/>
      <c r="S820" s="82"/>
      <c r="T820" s="16">
        <v>0.0</v>
      </c>
      <c r="U820" s="16">
        <v>0.0</v>
      </c>
      <c r="V820" s="89">
        <f>IFERROR(__xludf.DUMMYFUNCTION("INDEX(SPLIT(SUBSTITUTE(W820,CHAR(10), """"),"",:""), MATCH(Z820, SPLIT(SUBSTITUTE(W820,CHAR(10), """"),"",:""), 0) + 1)"),8.0)</f>
        <v>8</v>
      </c>
      <c r="W820" s="85" t="s">
        <v>2001</v>
      </c>
      <c r="X820" s="21" t="s">
        <v>5031</v>
      </c>
      <c r="Y820" s="53" t="s">
        <v>959</v>
      </c>
      <c r="Z820" s="53" t="str">
        <f t="array" ref="Z820">INDEX(Problems!J:J, MATCH(1, (Problems!B:B=B820)*1, 0))</f>
        <v>n</v>
      </c>
      <c r="AA820" s="53"/>
      <c r="AB820" s="53"/>
      <c r="AC820" s="53" t="s">
        <v>1813</v>
      </c>
      <c r="AD820" s="53" t="s">
        <v>1814</v>
      </c>
      <c r="AE820" s="85" t="str">
        <f>IFERROR(__xludf.DUMMYFUNCTION("INDEX(SPLIT(SUBSTITUTE(AF820,CHAR(10), """"),"",:""), MATCH(Z820, SPLIT(SUBSTITUTE(AF820,CHAR(10), """"),"",:""), 0) + 1)"),"#VALUE!")</f>
        <v>#VALUE!</v>
      </c>
      <c r="AF820" s="131"/>
      <c r="AG820" s="53" t="s">
        <v>1182</v>
      </c>
      <c r="AH820" s="53"/>
      <c r="AI820" s="87"/>
      <c r="AJ820" s="84" t="s">
        <v>2520</v>
      </c>
      <c r="AK820" s="87"/>
      <c r="AL820" s="81">
        <v>0.0</v>
      </c>
      <c r="AM820" s="21"/>
      <c r="AN820" s="16">
        <v>0.0</v>
      </c>
      <c r="AO820" s="90"/>
      <c r="AP820" s="16">
        <v>0.0</v>
      </c>
      <c r="AQ820" s="16">
        <v>0.0</v>
      </c>
      <c r="AR820" s="39"/>
      <c r="AS820" s="81">
        <v>0.0</v>
      </c>
      <c r="AT820" s="81">
        <v>0.0</v>
      </c>
      <c r="AU820" s="39"/>
      <c r="AV820" s="82"/>
      <c r="AW820" s="82"/>
      <c r="AX820" s="82"/>
      <c r="AY820" s="7"/>
      <c r="AZ820" s="82"/>
      <c r="BA820" s="82"/>
      <c r="BB820" s="82"/>
      <c r="BC820" s="82"/>
      <c r="BD820" s="82"/>
      <c r="BE820" s="82"/>
      <c r="BF820" s="82"/>
      <c r="BG820" s="82"/>
      <c r="BH820" s="82"/>
      <c r="BI820" s="82"/>
      <c r="BJ820" s="82"/>
      <c r="BK820" s="82"/>
      <c r="BL820" s="82"/>
      <c r="BM820" s="82"/>
      <c r="BN820" s="7"/>
      <c r="BO820" s="7">
        <v>4.0</v>
      </c>
      <c r="BP820" s="82"/>
      <c r="BQ820" s="7"/>
      <c r="BR820" s="7" t="s">
        <v>23</v>
      </c>
    </row>
    <row r="821">
      <c r="A821" s="16">
        <v>88.0</v>
      </c>
      <c r="B821" s="16" t="s">
        <v>965</v>
      </c>
      <c r="C821" s="53">
        <v>2.0</v>
      </c>
      <c r="D821" s="53" t="s">
        <v>965</v>
      </c>
      <c r="E821" s="7">
        <v>673.0</v>
      </c>
      <c r="F821" s="53"/>
      <c r="G821" s="7"/>
      <c r="H821" s="16">
        <v>1.0</v>
      </c>
      <c r="I821" s="81">
        <v>1.0</v>
      </c>
      <c r="J821" s="39" t="s">
        <v>1788</v>
      </c>
      <c r="K821" s="53"/>
      <c r="L821" s="53"/>
      <c r="M821" s="39" t="str">
        <f t="shared" si="1"/>
        <v>[ Sorting based [Merge Sort] (1964)]</v>
      </c>
      <c r="N821" s="39" t="s">
        <v>5034</v>
      </c>
      <c r="O821" s="81">
        <v>1964.0</v>
      </c>
      <c r="P821" s="39"/>
      <c r="Q821" s="82"/>
      <c r="R821" s="82"/>
      <c r="S821" s="82"/>
      <c r="T821" s="16">
        <v>1.0</v>
      </c>
      <c r="U821" s="16">
        <v>0.0</v>
      </c>
      <c r="V821" s="89">
        <f>IFERROR(__xludf.DUMMYFUNCTION("INDEX(SPLIT(SUBSTITUTE(W821,CHAR(10), """"),"",:""), MATCH(Z821, SPLIT(SUBSTITUTE(W821,CHAR(10), """"),"",:""), 0) + 1)"),4.0)</f>
        <v>4</v>
      </c>
      <c r="W821" s="85" t="s">
        <v>1791</v>
      </c>
      <c r="X821" s="16" t="s">
        <v>1953</v>
      </c>
      <c r="Y821" s="53"/>
      <c r="Z821" s="53" t="str">
        <f t="array" ref="Z821">INDEX(Problems!J:J, MATCH(1, (Problems!B:B=B821)*1, 0))</f>
        <v>n</v>
      </c>
      <c r="AA821" s="53"/>
      <c r="AB821" s="53"/>
      <c r="AC821" s="53" t="s">
        <v>1813</v>
      </c>
      <c r="AD821" s="53" t="s">
        <v>1814</v>
      </c>
      <c r="AE821" s="85">
        <f>IFERROR(__xludf.DUMMYFUNCTION("INDEX(SPLIT(SUBSTITUTE(AF821,CHAR(10), """"),"",:""), MATCH(Z821, SPLIT(SUBSTITUTE(AF821,CHAR(10), """"),"",:""), 0) + 1)"),3.0)</f>
        <v>3</v>
      </c>
      <c r="AF821" s="85" t="s">
        <v>1763</v>
      </c>
      <c r="AG821" s="53" t="s">
        <v>584</v>
      </c>
      <c r="AH821" s="53" t="s">
        <v>5035</v>
      </c>
      <c r="AI821" s="84">
        <v>1.0</v>
      </c>
      <c r="AJ821" s="84">
        <v>0.0</v>
      </c>
      <c r="AK821" s="87"/>
      <c r="AL821" s="81">
        <v>0.0</v>
      </c>
      <c r="AM821" s="87"/>
      <c r="AN821" s="81">
        <v>0.0</v>
      </c>
      <c r="AO821" s="90"/>
      <c r="AP821" s="81">
        <v>0.0</v>
      </c>
      <c r="AQ821" s="81">
        <v>0.0</v>
      </c>
      <c r="AR821" s="39"/>
      <c r="AS821" s="81">
        <v>0.0</v>
      </c>
      <c r="AT821" s="81">
        <v>0.0</v>
      </c>
      <c r="AU821" s="39"/>
      <c r="AV821" s="82"/>
      <c r="AW821" s="82"/>
      <c r="AX821" s="82"/>
      <c r="AY821" s="7"/>
      <c r="AZ821" s="7">
        <f> 1000</f>
        <v>1000</v>
      </c>
      <c r="BA821" s="7"/>
      <c r="BB821" s="7">
        <f> 1000000</f>
        <v>1000000</v>
      </c>
      <c r="BC821" s="7"/>
      <c r="BD821" s="7">
        <f> 1000000000</f>
        <v>1000000000</v>
      </c>
      <c r="BE821" s="7"/>
      <c r="BF821" s="7">
        <v>9965.0</v>
      </c>
      <c r="BG821" s="6">
        <v>1.0</v>
      </c>
      <c r="BH821" s="82"/>
      <c r="BI821" s="82">
        <f>1000000*LOG(1000000,2)</f>
        <v>19931568.57</v>
      </c>
      <c r="BJ821" s="7">
        <v>1.0</v>
      </c>
      <c r="BK821" s="82"/>
      <c r="BL821" s="82">
        <f>1000000000*LOG(1000000000,2)</f>
        <v>29897352854</v>
      </c>
      <c r="BM821" s="7">
        <v>1.0</v>
      </c>
      <c r="BN821" s="7"/>
      <c r="BO821" s="7">
        <v>5.0</v>
      </c>
      <c r="BP821" s="82"/>
      <c r="BQ821" s="7"/>
      <c r="BR821" s="7" t="s">
        <v>440</v>
      </c>
    </row>
    <row r="822">
      <c r="A822" s="16">
        <v>88.0</v>
      </c>
      <c r="B822" s="16" t="s">
        <v>965</v>
      </c>
      <c r="C822" s="53">
        <v>0.001</v>
      </c>
      <c r="D822" s="53" t="s">
        <v>965</v>
      </c>
      <c r="E822" s="7">
        <v>674.0</v>
      </c>
      <c r="F822" s="53"/>
      <c r="G822" s="7"/>
      <c r="H822" s="16">
        <v>1.0</v>
      </c>
      <c r="I822" s="81">
        <v>1.0</v>
      </c>
      <c r="J822" s="39" t="s">
        <v>1788</v>
      </c>
      <c r="K822" s="53"/>
      <c r="L822" s="53"/>
      <c r="M822" s="39" t="str">
        <f t="shared" si="1"/>
        <v>[ Sorting based [Merge Sort] + real-time elimination (1964)]</v>
      </c>
      <c r="N822" s="39" t="s">
        <v>5036</v>
      </c>
      <c r="O822" s="81">
        <v>1964.0</v>
      </c>
      <c r="P822" s="39"/>
      <c r="Q822" s="82"/>
      <c r="R822" s="82"/>
      <c r="S822" s="82"/>
      <c r="T822" s="16">
        <v>0.0</v>
      </c>
      <c r="U822" s="16">
        <v>0.0</v>
      </c>
      <c r="V822" s="89">
        <f>IFERROR(__xludf.DUMMYFUNCTION("INDEX(SPLIT(SUBSTITUTE(W822,CHAR(10), """"),"",:""), MATCH(Z822, SPLIT(SUBSTITUTE(W822,CHAR(10), """"),"",:""), 0) + 1)"),4.0)</f>
        <v>4</v>
      </c>
      <c r="W822" s="85" t="s">
        <v>1791</v>
      </c>
      <c r="X822" s="16" t="s">
        <v>1953</v>
      </c>
      <c r="Y822" s="53"/>
      <c r="Z822" s="53" t="str">
        <f t="array" ref="Z822">INDEX(Problems!J:J, MATCH(1, (Problems!B:B=B822)*1, 0))</f>
        <v>n</v>
      </c>
      <c r="AA822" s="53"/>
      <c r="AB822" s="53"/>
      <c r="AC822" s="53"/>
      <c r="AD822" s="53"/>
      <c r="AE822" s="85" t="str">
        <f>IFERROR(__xludf.DUMMYFUNCTION("INDEX(SPLIT(SUBSTITUTE(AF822,CHAR(10), """"),"",:""), MATCH(Z822, SPLIT(SUBSTITUTE(AF822,CHAR(10), """"),"",:""), 0) + 1)"),"#VALUE!")</f>
        <v>#VALUE!</v>
      </c>
      <c r="AF822" s="131"/>
      <c r="AG822" s="53"/>
      <c r="AH822" s="53"/>
      <c r="AI822" s="87"/>
      <c r="AJ822" s="84" t="s">
        <v>2520</v>
      </c>
      <c r="AK822" s="87"/>
      <c r="AL822" s="81">
        <v>0.0</v>
      </c>
      <c r="AM822" s="87"/>
      <c r="AN822" s="81">
        <v>0.0</v>
      </c>
      <c r="AO822" s="90"/>
      <c r="AP822" s="81">
        <v>0.0</v>
      </c>
      <c r="AQ822" s="81">
        <v>0.0</v>
      </c>
      <c r="AR822" s="39"/>
      <c r="AS822" s="81">
        <v>0.0</v>
      </c>
      <c r="AT822" s="81">
        <v>0.0</v>
      </c>
      <c r="AU822" s="39"/>
      <c r="AV822" s="82"/>
      <c r="AW822" s="82"/>
      <c r="AX822" s="82"/>
      <c r="AY822" s="7"/>
      <c r="AZ822" s="7"/>
      <c r="BA822" s="7"/>
      <c r="BB822" s="7"/>
      <c r="BC822" s="7"/>
      <c r="BD822" s="7"/>
      <c r="BE822" s="7"/>
      <c r="BF822" s="7">
        <v>9965.0</v>
      </c>
      <c r="BG822" s="13"/>
      <c r="BH822" s="82"/>
      <c r="BI822" s="82"/>
      <c r="BJ822" s="82"/>
      <c r="BK822" s="82"/>
      <c r="BL822" s="82"/>
      <c r="BM822" s="82"/>
      <c r="BN822" s="7"/>
      <c r="BO822" s="7">
        <v>5.0</v>
      </c>
      <c r="BP822" s="82"/>
      <c r="BQ822" s="7"/>
      <c r="BR822" s="7" t="s">
        <v>440</v>
      </c>
    </row>
    <row r="823">
      <c r="A823" s="16">
        <v>88.0</v>
      </c>
      <c r="B823" s="16" t="s">
        <v>965</v>
      </c>
      <c r="C823" s="53">
        <v>2.0</v>
      </c>
      <c r="D823" s="53" t="s">
        <v>965</v>
      </c>
      <c r="E823" s="7">
        <v>675.0</v>
      </c>
      <c r="F823" s="53"/>
      <c r="G823" s="7"/>
      <c r="H823" s="16">
        <v>1.0</v>
      </c>
      <c r="I823" s="81">
        <v>1.0</v>
      </c>
      <c r="J823" s="39" t="s">
        <v>1788</v>
      </c>
      <c r="K823" s="53"/>
      <c r="L823" s="53"/>
      <c r="M823" s="39" t="str">
        <f t="shared" si="1"/>
        <v>[ BST Algorithm (1999)]</v>
      </c>
      <c r="N823" s="39" t="s">
        <v>5037</v>
      </c>
      <c r="O823" s="81">
        <v>1999.0</v>
      </c>
      <c r="P823" s="39"/>
      <c r="Q823" s="82"/>
      <c r="R823" s="82"/>
      <c r="S823" s="82"/>
      <c r="T823" s="16">
        <v>0.0</v>
      </c>
      <c r="U823" s="16">
        <v>0.0</v>
      </c>
      <c r="V823" s="89">
        <f>IFERROR(__xludf.DUMMYFUNCTION("INDEX(SPLIT(SUBSTITUTE(W823,CHAR(10), """"),"",:""), MATCH(Z823, SPLIT(SUBSTITUTE(W823,CHAR(10), """"),"",:""), 0) + 1)"),4.0)</f>
        <v>4</v>
      </c>
      <c r="W823" s="85" t="s">
        <v>1791</v>
      </c>
      <c r="X823" s="16" t="s">
        <v>1953</v>
      </c>
      <c r="Y823" s="53"/>
      <c r="Z823" s="53" t="str">
        <f t="array" ref="Z823">INDEX(Problems!J:J, MATCH(1, (Problems!B:B=B823)*1, 0))</f>
        <v>n</v>
      </c>
      <c r="AA823" s="53"/>
      <c r="AB823" s="53"/>
      <c r="AC823" s="53" t="s">
        <v>1813</v>
      </c>
      <c r="AD823" s="53" t="s">
        <v>1814</v>
      </c>
      <c r="AE823" s="85">
        <f>IFERROR(__xludf.DUMMYFUNCTION("INDEX(SPLIT(SUBSTITUTE(AF823,CHAR(10), """"),"",:""), MATCH(Z823, SPLIT(SUBSTITUTE(AF823,CHAR(10), """"),"",:""), 0) + 1)"),2.0)</f>
        <v>2</v>
      </c>
      <c r="AF823" s="85" t="s">
        <v>1962</v>
      </c>
      <c r="AG823" s="53" t="s">
        <v>2483</v>
      </c>
      <c r="AH823" s="53" t="s">
        <v>5038</v>
      </c>
      <c r="AI823" s="84">
        <v>1.0</v>
      </c>
      <c r="AJ823" s="84">
        <v>0.0</v>
      </c>
      <c r="AK823" s="87"/>
      <c r="AL823" s="81">
        <v>0.0</v>
      </c>
      <c r="AM823" s="87"/>
      <c r="AN823" s="81">
        <v>0.0</v>
      </c>
      <c r="AO823" s="90"/>
      <c r="AP823" s="81">
        <v>0.0</v>
      </c>
      <c r="AQ823" s="81">
        <v>0.0</v>
      </c>
      <c r="AR823" s="39"/>
      <c r="AS823" s="81">
        <v>0.0</v>
      </c>
      <c r="AT823" s="81">
        <v>0.0</v>
      </c>
      <c r="AU823" s="39"/>
      <c r="AV823" s="82"/>
      <c r="AW823" s="82"/>
      <c r="AX823" s="82"/>
      <c r="AY823" s="7"/>
      <c r="AZ823" s="7">
        <f>LOG(1000,2)</f>
        <v>9.965784285</v>
      </c>
      <c r="BA823" s="7">
        <f>POW(AZ821/AZ823,1/($O823-$O821)) - 1</f>
        <v>0.1407366271</v>
      </c>
      <c r="BB823" s="7">
        <f>LOG(1000000,2)</f>
        <v>19.93156857</v>
      </c>
      <c r="BC823" s="7">
        <f>POW(BB821/BB823,1/($O823-$O821)) - 1</f>
        <v>0.3623817424</v>
      </c>
      <c r="BD823" s="7">
        <f>LOG(1000000000,2)</f>
        <v>29.89735285</v>
      </c>
      <c r="BE823" s="7">
        <f>POW(BD821/BD823,1/($O823-$O821)) - 1</f>
        <v>0.6405214824</v>
      </c>
      <c r="BF823" s="7">
        <v>9965.0</v>
      </c>
      <c r="BG823" s="13"/>
      <c r="BH823" s="82"/>
      <c r="BI823" s="82"/>
      <c r="BJ823" s="82"/>
      <c r="BK823" s="82"/>
      <c r="BL823" s="82"/>
      <c r="BM823" s="82"/>
      <c r="BN823" s="7"/>
      <c r="BO823" s="7">
        <v>5.0</v>
      </c>
      <c r="BP823" s="82"/>
      <c r="BQ823" s="7"/>
      <c r="BR823" s="7" t="s">
        <v>440</v>
      </c>
    </row>
    <row r="824">
      <c r="A824" s="16">
        <v>88.0</v>
      </c>
      <c r="B824" s="16" t="s">
        <v>965</v>
      </c>
      <c r="C824" s="53">
        <v>2.0</v>
      </c>
      <c r="D824" s="53" t="s">
        <v>965</v>
      </c>
      <c r="E824" s="7">
        <v>676.0</v>
      </c>
      <c r="F824" s="53" t="s">
        <v>5039</v>
      </c>
      <c r="G824" s="7"/>
      <c r="H824" s="16">
        <v>1.0</v>
      </c>
      <c r="I824" s="81">
        <v>1.0</v>
      </c>
      <c r="J824" s="39" t="s">
        <v>115</v>
      </c>
      <c r="K824" s="53"/>
      <c r="L824" s="53"/>
      <c r="M824" s="39" t="str">
        <f t="shared" si="1"/>
        <v>[ Priority Queue Algorithm (1976)]</v>
      </c>
      <c r="N824" s="39" t="s">
        <v>5040</v>
      </c>
      <c r="O824" s="81">
        <v>1976.0</v>
      </c>
      <c r="P824" s="39"/>
      <c r="Q824" s="82"/>
      <c r="R824" s="82"/>
      <c r="S824" s="82"/>
      <c r="T824" s="16">
        <v>0.0</v>
      </c>
      <c r="U824" s="16">
        <v>0.0</v>
      </c>
      <c r="V824" s="89">
        <f>IFERROR(__xludf.DUMMYFUNCTION("INDEX(SPLIT(SUBSTITUTE(W824,CHAR(10), """"),"",:""), MATCH(Z824, SPLIT(SUBSTITUTE(W824,CHAR(10), """"),"",:""), 0) + 1)"),5.0)</f>
        <v>5</v>
      </c>
      <c r="W824" s="85" t="s">
        <v>1938</v>
      </c>
      <c r="X824" s="39" t="s">
        <v>115</v>
      </c>
      <c r="Y824" s="53"/>
      <c r="Z824" s="53" t="str">
        <f t="array" ref="Z824">INDEX(Problems!J:J, MATCH(1, (Problems!B:B=B824)*1, 0))</f>
        <v>n</v>
      </c>
      <c r="AA824" s="53"/>
      <c r="AB824" s="53"/>
      <c r="AC824" s="53" t="s">
        <v>1813</v>
      </c>
      <c r="AD824" s="53" t="s">
        <v>1814</v>
      </c>
      <c r="AE824" s="85">
        <f>IFERROR(__xludf.DUMMYFUNCTION("INDEX(SPLIT(SUBSTITUTE(AF824,CHAR(10), """"),"",:""), MATCH(Z824, SPLIT(SUBSTITUTE(AF824,CHAR(10), """"),"",:""), 0) + 1)"),3.0)</f>
        <v>3</v>
      </c>
      <c r="AF824" s="85" t="s">
        <v>1763</v>
      </c>
      <c r="AG824" s="53" t="s">
        <v>584</v>
      </c>
      <c r="AH824" s="53" t="s">
        <v>5041</v>
      </c>
      <c r="AI824" s="84">
        <v>1.0</v>
      </c>
      <c r="AJ824" s="84">
        <v>0.0</v>
      </c>
      <c r="AK824" s="87"/>
      <c r="AL824" s="81">
        <v>0.0</v>
      </c>
      <c r="AM824" s="87"/>
      <c r="AN824" s="81">
        <v>0.0</v>
      </c>
      <c r="AO824" s="90"/>
      <c r="AP824" s="81">
        <v>0.0</v>
      </c>
      <c r="AQ824" s="81">
        <v>0.0</v>
      </c>
      <c r="AR824" s="39"/>
      <c r="AS824" s="81">
        <v>0.0</v>
      </c>
      <c r="AT824" s="81">
        <v>0.0</v>
      </c>
      <c r="AU824" s="39"/>
      <c r="AV824" s="82"/>
      <c r="AW824" s="82"/>
      <c r="AX824" s="82"/>
      <c r="AY824" s="7"/>
      <c r="AZ824" s="7"/>
      <c r="BA824" s="7"/>
      <c r="BB824" s="7"/>
      <c r="BC824" s="7"/>
      <c r="BD824" s="7"/>
      <c r="BE824" s="7"/>
      <c r="BF824" s="7">
        <v>1000000.0</v>
      </c>
      <c r="BG824" s="13"/>
      <c r="BH824" s="82"/>
      <c r="BI824" s="82"/>
      <c r="BJ824" s="82"/>
      <c r="BK824" s="82"/>
      <c r="BL824" s="82"/>
      <c r="BM824" s="82"/>
      <c r="BN824" s="7"/>
      <c r="BO824" s="7">
        <v>5.0</v>
      </c>
      <c r="BP824" s="82"/>
      <c r="BQ824" s="7"/>
      <c r="BR824" s="7" t="s">
        <v>440</v>
      </c>
    </row>
    <row r="825">
      <c r="A825" s="16">
        <v>88.0</v>
      </c>
      <c r="B825" s="16" t="s">
        <v>965</v>
      </c>
      <c r="C825" s="53">
        <v>2.0</v>
      </c>
      <c r="D825" s="53" t="s">
        <v>965</v>
      </c>
      <c r="E825" s="7">
        <v>677.0</v>
      </c>
      <c r="F825" s="53"/>
      <c r="G825" s="7"/>
      <c r="H825" s="16">
        <v>1.0</v>
      </c>
      <c r="I825" s="81">
        <v>1.0</v>
      </c>
      <c r="J825" s="146" t="s">
        <v>115</v>
      </c>
      <c r="K825" s="53"/>
      <c r="L825" s="53"/>
      <c r="M825" s="39" t="str">
        <f t="shared" si="1"/>
        <v>[https://link.springer.com/article/10.1023/A:1009761603038 Sorted Neighborhood Algorithm (SNA) (1998)]</v>
      </c>
      <c r="N825" s="16" t="s">
        <v>5042</v>
      </c>
      <c r="O825" s="141">
        <v>1998.0</v>
      </c>
      <c r="P825" s="25" t="s">
        <v>5043</v>
      </c>
      <c r="Q825" s="82"/>
      <c r="R825" s="82"/>
      <c r="S825" s="82"/>
      <c r="T825" s="16">
        <v>0.0</v>
      </c>
      <c r="U825" s="16">
        <v>0.0</v>
      </c>
      <c r="V825" s="89">
        <f>IFERROR(__xludf.DUMMYFUNCTION("INDEX(SPLIT(SUBSTITUTE(W825,CHAR(10), """"),"",:""), MATCH(Z825, SPLIT(SUBSTITUTE(W825,CHAR(10), """"),"",:""), 0) + 1)"),5.0)</f>
        <v>5</v>
      </c>
      <c r="W825" s="85" t="s">
        <v>1938</v>
      </c>
      <c r="X825" s="146" t="s">
        <v>115</v>
      </c>
      <c r="Y825" s="53"/>
      <c r="Z825" s="53" t="str">
        <f t="array" ref="Z825">INDEX(Problems!J:J, MATCH(1, (Problems!B:B=B825)*1, 0))</f>
        <v>n</v>
      </c>
      <c r="AA825" s="91" t="s">
        <v>5044</v>
      </c>
      <c r="AB825" s="53">
        <v>0.0</v>
      </c>
      <c r="AC825" s="53" t="s">
        <v>1813</v>
      </c>
      <c r="AD825" s="53" t="s">
        <v>1814</v>
      </c>
      <c r="AE825" s="85">
        <f>IFERROR(__xludf.DUMMYFUNCTION("INDEX(SPLIT(SUBSTITUTE(AF825,CHAR(10), """"),"",:""), MATCH(Z825, SPLIT(SUBSTITUTE(AF825,CHAR(10), """"),"",:""), 0) + 1)"),3.0)</f>
        <v>3</v>
      </c>
      <c r="AF825" s="85" t="s">
        <v>1763</v>
      </c>
      <c r="AG825" s="53" t="s">
        <v>584</v>
      </c>
      <c r="AH825" s="53" t="s">
        <v>5045</v>
      </c>
      <c r="AI825" s="84">
        <v>1.0</v>
      </c>
      <c r="AJ825" s="84">
        <v>0.0</v>
      </c>
      <c r="AK825" s="87"/>
      <c r="AL825" s="81">
        <v>0.0</v>
      </c>
      <c r="AM825" s="87"/>
      <c r="AN825" s="81">
        <v>0.0</v>
      </c>
      <c r="AO825" s="90"/>
      <c r="AP825" s="81">
        <v>0.0</v>
      </c>
      <c r="AQ825" s="81">
        <v>0.0</v>
      </c>
      <c r="AR825" s="39"/>
      <c r="AS825" s="81">
        <v>0.0</v>
      </c>
      <c r="AT825" s="81">
        <v>0.0</v>
      </c>
      <c r="AU825" s="25" t="s">
        <v>5046</v>
      </c>
      <c r="AV825" s="82"/>
      <c r="AW825" s="82"/>
      <c r="AX825" s="82"/>
      <c r="AY825" s="7"/>
      <c r="AZ825" s="7"/>
      <c r="BA825" s="7"/>
      <c r="BB825" s="7"/>
      <c r="BC825" s="7"/>
      <c r="BD825" s="7"/>
      <c r="BE825" s="7"/>
      <c r="BF825" s="7">
        <v>9965.0</v>
      </c>
      <c r="BG825" s="13"/>
      <c r="BH825" s="82"/>
      <c r="BI825" s="82"/>
      <c r="BJ825" s="82"/>
      <c r="BK825" s="82"/>
      <c r="BL825" s="82"/>
      <c r="BM825" s="82"/>
      <c r="BN825" s="7"/>
      <c r="BO825" s="7">
        <v>5.0</v>
      </c>
      <c r="BP825" s="82"/>
      <c r="BQ825" s="7"/>
      <c r="BR825" s="7" t="s">
        <v>440</v>
      </c>
    </row>
    <row r="826">
      <c r="A826" s="16">
        <v>88.0</v>
      </c>
      <c r="B826" s="16" t="s">
        <v>965</v>
      </c>
      <c r="C826" s="53">
        <v>0.001</v>
      </c>
      <c r="D826" s="53" t="s">
        <v>965</v>
      </c>
      <c r="E826" s="7">
        <v>678.0</v>
      </c>
      <c r="F826" s="53"/>
      <c r="G826" s="7"/>
      <c r="H826" s="16">
        <v>1.0</v>
      </c>
      <c r="I826" s="81">
        <v>1.0</v>
      </c>
      <c r="J826" s="39" t="s">
        <v>1788</v>
      </c>
      <c r="K826" s="53"/>
      <c r="L826" s="53"/>
      <c r="M826" s="39" t="str">
        <f t="shared" si="1"/>
        <v>[ Duplicate Elimination Sorted Neighborhood Algorithm (DE-SNA) (2002)]</v>
      </c>
      <c r="N826" s="16" t="s">
        <v>5047</v>
      </c>
      <c r="O826" s="81">
        <v>2002.0</v>
      </c>
      <c r="P826" s="16"/>
      <c r="Q826" s="82"/>
      <c r="R826" s="82"/>
      <c r="S826" s="82"/>
      <c r="T826" s="16">
        <v>0.0</v>
      </c>
      <c r="U826" s="16">
        <v>0.0</v>
      </c>
      <c r="V826" s="89">
        <f>IFERROR(__xludf.DUMMYFUNCTION("INDEX(SPLIT(SUBSTITUTE(W826,CHAR(10), """"),"",:""), MATCH(Z826, SPLIT(SUBSTITUTE(W826,CHAR(10), """"),"",:""), 0) + 1)"),4.0)</f>
        <v>4</v>
      </c>
      <c r="W826" s="85" t="s">
        <v>1791</v>
      </c>
      <c r="X826" s="16" t="s">
        <v>1953</v>
      </c>
      <c r="Y826" s="53"/>
      <c r="Z826" s="53" t="str">
        <f t="array" ref="Z826">INDEX(Problems!J:J, MATCH(1, (Problems!B:B=B826)*1, 0))</f>
        <v>n</v>
      </c>
      <c r="AA826" s="53"/>
      <c r="AB826" s="53"/>
      <c r="AC826" s="53"/>
      <c r="AD826" s="53"/>
      <c r="AE826" s="85" t="str">
        <f>IFERROR(__xludf.DUMMYFUNCTION("INDEX(SPLIT(SUBSTITUTE(AF826,CHAR(10), """"),"",:""), MATCH(Z826, SPLIT(SUBSTITUTE(AF826,CHAR(10), """"),"",:""), 0) + 1)"),"#VALUE!")</f>
        <v>#VALUE!</v>
      </c>
      <c r="AF826" s="131"/>
      <c r="AG826" s="53"/>
      <c r="AH826" s="53"/>
      <c r="AI826" s="87"/>
      <c r="AJ826" s="84" t="s">
        <v>2520</v>
      </c>
      <c r="AK826" s="87"/>
      <c r="AL826" s="81">
        <v>0.0</v>
      </c>
      <c r="AM826" s="87"/>
      <c r="AN826" s="81">
        <v>0.0</v>
      </c>
      <c r="AO826" s="90"/>
      <c r="AP826" s="81">
        <v>0.0</v>
      </c>
      <c r="AQ826" s="81">
        <v>0.0</v>
      </c>
      <c r="AR826" s="39"/>
      <c r="AS826" s="81">
        <v>0.0</v>
      </c>
      <c r="AT826" s="81">
        <v>0.0</v>
      </c>
      <c r="AU826" s="39"/>
      <c r="AV826" s="82"/>
      <c r="AW826" s="82"/>
      <c r="AX826" s="82"/>
      <c r="AY826" s="7"/>
      <c r="AZ826" s="7"/>
      <c r="BA826" s="7"/>
      <c r="BB826" s="7"/>
      <c r="BC826" s="7"/>
      <c r="BD826" s="7"/>
      <c r="BE826" s="7"/>
      <c r="BF826" s="7">
        <v>9965.0</v>
      </c>
      <c r="BG826" s="13"/>
      <c r="BH826" s="82"/>
      <c r="BI826" s="82"/>
      <c r="BJ826" s="82"/>
      <c r="BK826" s="82"/>
      <c r="BL826" s="82"/>
      <c r="BM826" s="82"/>
      <c r="BN826" s="7"/>
      <c r="BO826" s="7">
        <v>5.0</v>
      </c>
      <c r="BP826" s="82"/>
      <c r="BQ826" s="7"/>
      <c r="BR826" s="7" t="s">
        <v>440</v>
      </c>
    </row>
    <row r="827">
      <c r="A827" s="16">
        <v>88.0</v>
      </c>
      <c r="B827" s="16" t="s">
        <v>965</v>
      </c>
      <c r="C827" s="53">
        <v>2.0</v>
      </c>
      <c r="D827" s="53" t="s">
        <v>965</v>
      </c>
      <c r="E827" s="7">
        <v>679.0</v>
      </c>
      <c r="F827" s="53" t="s">
        <v>5048</v>
      </c>
      <c r="G827" s="7"/>
      <c r="H827" s="16">
        <v>1.0</v>
      </c>
      <c r="I827" s="81">
        <v>1.0</v>
      </c>
      <c r="J827" s="48" t="s">
        <v>834</v>
      </c>
      <c r="K827" s="53"/>
      <c r="L827" s="53"/>
      <c r="M827" s="39" t="str">
        <f t="shared" si="1"/>
        <v>[https://dl.acm.org/doi/10.1145/956750.956759 Adaptive Duplicate Detection Algorithm (ADD) (2003)]</v>
      </c>
      <c r="N827" s="16" t="s">
        <v>5049</v>
      </c>
      <c r="O827" s="83">
        <v>2003.0</v>
      </c>
      <c r="P827" s="17" t="s">
        <v>5050</v>
      </c>
      <c r="Q827" s="82"/>
      <c r="R827" s="82"/>
      <c r="S827" s="82"/>
      <c r="T827" s="16">
        <v>1.0</v>
      </c>
      <c r="U827" s="16">
        <v>0.0</v>
      </c>
      <c r="V827" s="89">
        <f>IFERROR(__xludf.DUMMYFUNCTION("INDEX(SPLIT(SUBSTITUTE(W827,CHAR(10), """"),"",:""), MATCH(Z827, SPLIT(SUBSTITUTE(W827,CHAR(10), """"),"",:""), 0) + 1)"),6.0)</f>
        <v>6</v>
      </c>
      <c r="W827" s="85" t="s">
        <v>2008</v>
      </c>
      <c r="X827" s="48" t="s">
        <v>834</v>
      </c>
      <c r="Y827" s="53"/>
      <c r="Z827" s="53" t="str">
        <f t="array" ref="Z827">INDEX(Problems!J:J, MATCH(1, (Problems!B:B=B827)*1, 0))</f>
        <v>n</v>
      </c>
      <c r="AA827" s="53"/>
      <c r="AB827" s="53"/>
      <c r="AC827" s="53" t="s">
        <v>1813</v>
      </c>
      <c r="AD827" s="53" t="s">
        <v>1814</v>
      </c>
      <c r="AE827" s="85">
        <f>IFERROR(__xludf.DUMMYFUNCTION("INDEX(SPLIT(SUBSTITUTE(AF827,CHAR(10), """"),"",:""), MATCH(Z827, SPLIT(SUBSTITUTE(AF827,CHAR(10), """"),"",:""), 0) + 1)"),1.0)</f>
        <v>1</v>
      </c>
      <c r="AF827" s="85" t="s">
        <v>1774</v>
      </c>
      <c r="AG827" s="53" t="s">
        <v>939</v>
      </c>
      <c r="AH827" s="53" t="s">
        <v>5051</v>
      </c>
      <c r="AI827" s="84">
        <v>1.0</v>
      </c>
      <c r="AJ827" s="84">
        <v>0.0</v>
      </c>
      <c r="AK827" s="87"/>
      <c r="AL827" s="81">
        <v>0.0</v>
      </c>
      <c r="AM827" s="87"/>
      <c r="AN827" s="81">
        <v>0.0</v>
      </c>
      <c r="AO827" s="90"/>
      <c r="AP827" s="81">
        <v>0.0</v>
      </c>
      <c r="AQ827" s="81">
        <v>0.0</v>
      </c>
      <c r="AR827" s="39"/>
      <c r="AS827" s="81">
        <v>0.0</v>
      </c>
      <c r="AT827" s="81">
        <v>0.0</v>
      </c>
      <c r="AU827" s="39"/>
      <c r="AV827" s="82"/>
      <c r="AW827" s="82"/>
      <c r="AX827" s="82"/>
      <c r="AY827" s="7"/>
      <c r="AZ827" s="7">
        <v>1.0</v>
      </c>
      <c r="BA827" s="7">
        <f>POW(AZ823/AZ827,1/($O827-$O823)) - 1</f>
        <v>0.7767563268</v>
      </c>
      <c r="BB827" s="7">
        <v>1.0</v>
      </c>
      <c r="BC827" s="7">
        <f>POW(BB823/BB827,1/($O827-$O823)) - 1</f>
        <v>1.112931266</v>
      </c>
      <c r="BD827" s="7">
        <v>1.0</v>
      </c>
      <c r="BE827" s="7">
        <f>POW(BD823/BD827,1/($O827-$O823)) - 1</f>
        <v>1.338342829</v>
      </c>
      <c r="BF827" s="82">
        <f>1000*LOG(LOG(1000,2),2)</f>
        <v>3316.983346</v>
      </c>
      <c r="BG827" s="13">
        <f>BF821/BF827</f>
        <v>3.004235765</v>
      </c>
      <c r="BH827" s="82"/>
      <c r="BI827" s="82">
        <f>1000000*LOG(LOG(1000000,2),2)</f>
        <v>4316983.346</v>
      </c>
      <c r="BJ827" s="82">
        <f>BI821/BI827</f>
        <v>4.617013078</v>
      </c>
      <c r="BK827" s="82"/>
      <c r="BL827" s="82">
        <f>1000000000*LOG(LOG(1000000000,2),2)</f>
        <v>4901945847</v>
      </c>
      <c r="BM827" s="82">
        <f>BL821/BL827</f>
        <v>6.099078567</v>
      </c>
      <c r="BN827" s="7"/>
      <c r="BO827" s="7">
        <v>5.0</v>
      </c>
      <c r="BP827" s="82"/>
      <c r="BQ827" s="7"/>
      <c r="BR827" s="7" t="s">
        <v>440</v>
      </c>
    </row>
    <row r="828">
      <c r="A828" s="16">
        <v>89.0</v>
      </c>
      <c r="B828" s="16" t="s">
        <v>970</v>
      </c>
      <c r="C828" s="53">
        <v>1.0</v>
      </c>
      <c r="D828" s="53" t="s">
        <v>970</v>
      </c>
      <c r="E828" s="7">
        <v>680.0</v>
      </c>
      <c r="F828" s="53" t="s">
        <v>5052</v>
      </c>
      <c r="G828" s="7">
        <v>0.0</v>
      </c>
      <c r="H828" s="16">
        <v>1.0</v>
      </c>
      <c r="I828" s="16">
        <v>1.0</v>
      </c>
      <c r="J828" s="39" t="s">
        <v>5053</v>
      </c>
      <c r="K828" s="53"/>
      <c r="L828" s="53"/>
      <c r="M828" s="39" t="str">
        <f t="shared" si="1"/>
        <v>[https://link.springer.com/article/10.1134/S0965542508040039 B.I. Kvasov (2008)]</v>
      </c>
      <c r="N828" s="16" t="s">
        <v>5054</v>
      </c>
      <c r="O828" s="84">
        <v>2008.0</v>
      </c>
      <c r="P828" s="96" t="s">
        <v>5055</v>
      </c>
      <c r="Q828" s="82"/>
      <c r="R828" s="82"/>
      <c r="S828" s="82"/>
      <c r="T828" s="16">
        <v>1.0</v>
      </c>
      <c r="U828" s="16">
        <v>0.0</v>
      </c>
      <c r="V828" s="89">
        <f>IFERROR(__xludf.DUMMYFUNCTION("INDEX(SPLIT(SUBSTITUTE(W828,CHAR(10), """"),"",:""), MATCH(Z828, SPLIT(SUBSTITUTE(W828,CHAR(10), """"),"",:""), 0) + 1)"),6.0)</f>
        <v>6</v>
      </c>
      <c r="W828" s="85" t="s">
        <v>5056</v>
      </c>
      <c r="X828" s="16" t="s">
        <v>5057</v>
      </c>
      <c r="Y828" s="53" t="s">
        <v>3096</v>
      </c>
      <c r="Z828" s="53" t="str">
        <f t="array" ref="Z828">INDEX(Problems!J:J, MATCH(1, (Problems!B:B=B828)*1, 0))</f>
        <v>n</v>
      </c>
      <c r="AA828" s="53"/>
      <c r="AB828" s="53"/>
      <c r="AC828" s="53" t="s">
        <v>1813</v>
      </c>
      <c r="AD828" s="53" t="s">
        <v>1814</v>
      </c>
      <c r="AE828" s="85">
        <f>IFERROR(__xludf.DUMMYFUNCTION("INDEX(SPLIT(SUBSTITUTE(AF828,CHAR(10), """"),"",:""), MATCH(Z828, SPLIT(SUBSTITUTE(AF828,CHAR(10), """"),"",:""), 0) + 1)"),3.0)</f>
        <v>3</v>
      </c>
      <c r="AF828" s="85" t="s">
        <v>1763</v>
      </c>
      <c r="AG828" s="53" t="s">
        <v>2625</v>
      </c>
      <c r="AH828" s="53" t="s">
        <v>5058</v>
      </c>
      <c r="AI828" s="84">
        <v>1.0</v>
      </c>
      <c r="AJ828" s="84">
        <v>0.0</v>
      </c>
      <c r="AK828" s="87"/>
      <c r="AL828" s="81">
        <v>0.0</v>
      </c>
      <c r="AM828" s="21"/>
      <c r="AN828" s="16">
        <v>0.0</v>
      </c>
      <c r="AO828" s="90"/>
      <c r="AP828" s="16">
        <v>0.0</v>
      </c>
      <c r="AQ828" s="16">
        <v>0.0</v>
      </c>
      <c r="AR828" s="39"/>
      <c r="AS828" s="81">
        <v>0.0</v>
      </c>
      <c r="AT828" s="81">
        <v>0.0</v>
      </c>
      <c r="AU828" s="25" t="s">
        <v>972</v>
      </c>
      <c r="AV828" s="82"/>
      <c r="AW828" s="82"/>
      <c r="AX828" s="82"/>
      <c r="AY828" s="7" t="s">
        <v>5059</v>
      </c>
      <c r="AZ828" s="82"/>
      <c r="BA828" s="82"/>
      <c r="BB828" s="82"/>
      <c r="BC828" s="82"/>
      <c r="BD828" s="82"/>
      <c r="BE828" s="82"/>
      <c r="BF828" s="82">
        <f>POW(1000,3)*POW(LOG(500),2)</f>
        <v>7284439084</v>
      </c>
      <c r="BG828" s="13">
        <f>BF831/BF828</f>
        <v>370511.7131</v>
      </c>
      <c r="BH828" s="82">
        <f t="shared" ref="BH828:BH829" si="68">POW(BG828,1/($O828-$O$831)) - 1</f>
        <v>0.3779074509</v>
      </c>
      <c r="BI828" s="82">
        <f>POW(1000000,3)*POW(LOG(500),2)</f>
        <v>7.28444E+18</v>
      </c>
      <c r="BJ828" s="82">
        <f>BI831/BI828</f>
        <v>370511713133</v>
      </c>
      <c r="BK828" s="82">
        <f t="shared" ref="BK828:BK829" si="69">POW(BJ828,1/($O828-$O$831)) - 1</f>
        <v>0.9463460074</v>
      </c>
      <c r="BL828" s="82">
        <f>POW(1000000000,3)*POW(LOG(500),2)</f>
        <v>7.28444E+27</v>
      </c>
      <c r="BM828" s="82">
        <f>BL831/BL828</f>
        <v>3.70512E+17</v>
      </c>
      <c r="BN828" s="82">
        <f t="shared" ref="BN828:BN829" si="70">POW(BM828,1/($O828-$O$831)) - 1</f>
        <v>1.74928681</v>
      </c>
      <c r="BO828" s="7">
        <v>2.0</v>
      </c>
      <c r="BP828" s="82"/>
      <c r="BQ828" s="7"/>
      <c r="BR828" s="7" t="s">
        <v>144</v>
      </c>
    </row>
    <row r="829">
      <c r="A829" s="16">
        <v>89.0</v>
      </c>
      <c r="B829" s="16" t="s">
        <v>970</v>
      </c>
      <c r="C829" s="53">
        <v>0.001</v>
      </c>
      <c r="D829" s="53" t="s">
        <v>970</v>
      </c>
      <c r="E829" s="7">
        <v>681.0</v>
      </c>
      <c r="F829" s="53"/>
      <c r="G829" s="7">
        <v>0.0</v>
      </c>
      <c r="H829" s="16">
        <v>1.0</v>
      </c>
      <c r="I829" s="16">
        <v>1.0</v>
      </c>
      <c r="J829" s="39" t="s">
        <v>5060</v>
      </c>
      <c r="K829" s="53"/>
      <c r="L829" s="53"/>
      <c r="M829" s="39" t="str">
        <f t="shared" si="1"/>
        <v>[https://www.mathnet.ru/eng/zvmmf2544 V. A. Lyul’ka and A. V. Romanenko (1994)]</v>
      </c>
      <c r="N829" s="16" t="s">
        <v>5061</v>
      </c>
      <c r="O829" s="81">
        <v>1994.0</v>
      </c>
      <c r="P829" s="96" t="s">
        <v>5062</v>
      </c>
      <c r="Q829" s="82"/>
      <c r="R829" s="82"/>
      <c r="S829" s="82"/>
      <c r="T829" s="16">
        <v>1.0</v>
      </c>
      <c r="U829" s="16">
        <v>0.0</v>
      </c>
      <c r="V829" s="89">
        <f>IFERROR(__xludf.DUMMYFUNCTION("INDEX(SPLIT(SUBSTITUTE(W829,CHAR(10), """"),"",:""), MATCH(Z829, SPLIT(SUBSTITUTE(W829,CHAR(10), """"),"",:""), 0) + 1)"),7.0)</f>
        <v>7</v>
      </c>
      <c r="W829" s="85" t="s">
        <v>2517</v>
      </c>
      <c r="X829" s="39" t="s">
        <v>5060</v>
      </c>
      <c r="Y829" s="53" t="s">
        <v>3096</v>
      </c>
      <c r="Z829" s="53" t="str">
        <f t="array" ref="Z829">INDEX(Problems!J:J, MATCH(1, (Problems!B:B=B829)*1, 0))</f>
        <v>n</v>
      </c>
      <c r="AA829" s="53"/>
      <c r="AB829" s="53"/>
      <c r="AC829" s="53"/>
      <c r="AD829" s="53"/>
      <c r="AE829" s="85" t="str">
        <f>IFERROR(__xludf.DUMMYFUNCTION("INDEX(SPLIT(SUBSTITUTE(AF829,CHAR(10), """"),"",:""), MATCH(Z829, SPLIT(SUBSTITUTE(AF829,CHAR(10), """"),"",:""), 0) + 1)"),"#VALUE!")</f>
        <v>#VALUE!</v>
      </c>
      <c r="AF829" s="131"/>
      <c r="AG829" s="53"/>
      <c r="AH829" s="53"/>
      <c r="AI829" s="87"/>
      <c r="AJ829" s="84" t="s">
        <v>2520</v>
      </c>
      <c r="AK829" s="87"/>
      <c r="AL829" s="81">
        <v>0.0</v>
      </c>
      <c r="AM829" s="21"/>
      <c r="AN829" s="16">
        <v>0.0</v>
      </c>
      <c r="AO829" s="90"/>
      <c r="AP829" s="16">
        <v>0.0</v>
      </c>
      <c r="AQ829" s="16">
        <v>0.0</v>
      </c>
      <c r="AR829" s="39"/>
      <c r="AS829" s="81">
        <v>0.0</v>
      </c>
      <c r="AT829" s="81">
        <v>0.0</v>
      </c>
      <c r="AU829" s="39"/>
      <c r="AV829" s="82"/>
      <c r="AW829" s="82"/>
      <c r="AX829" s="82"/>
      <c r="AY829" s="7"/>
      <c r="AZ829" s="7"/>
      <c r="BA829" s="7"/>
      <c r="BB829" s="7"/>
      <c r="BC829" s="7"/>
      <c r="BD829" s="7"/>
      <c r="BE829" s="7"/>
      <c r="BF829" s="7">
        <v>1.0E15</v>
      </c>
      <c r="BG829" s="13">
        <f>BF831/BF829</f>
        <v>2.698970004</v>
      </c>
      <c r="BH829" s="82">
        <f t="shared" si="68"/>
        <v>0.03892582226</v>
      </c>
      <c r="BI829" s="82">
        <f>POW(1000000,5)</f>
        <v>1E+30</v>
      </c>
      <c r="BJ829" s="82">
        <f>BI831/BI829</f>
        <v>2.698970004</v>
      </c>
      <c r="BK829" s="82">
        <f t="shared" si="69"/>
        <v>0.03892582226</v>
      </c>
      <c r="BL829" s="82">
        <f>POW(1000000000,5)</f>
        <v>1E+45</v>
      </c>
      <c r="BM829" s="82">
        <f>BL831/BL829</f>
        <v>2.698970004</v>
      </c>
      <c r="BN829" s="82">
        <f t="shared" si="70"/>
        <v>0.03892582226</v>
      </c>
      <c r="BO829" s="7">
        <v>2.0</v>
      </c>
      <c r="BP829" s="82"/>
      <c r="BQ829" s="7"/>
      <c r="BR829" s="7" t="s">
        <v>144</v>
      </c>
    </row>
    <row r="830">
      <c r="A830" s="16">
        <v>89.0</v>
      </c>
      <c r="B830" s="16" t="s">
        <v>970</v>
      </c>
      <c r="C830" s="53">
        <v>0.001</v>
      </c>
      <c r="D830" s="53" t="s">
        <v>970</v>
      </c>
      <c r="E830" s="7">
        <v>682.0</v>
      </c>
      <c r="F830" s="53"/>
      <c r="G830" s="7">
        <v>0.0</v>
      </c>
      <c r="H830" s="16">
        <v>1.0</v>
      </c>
      <c r="I830" s="16">
        <v>1.0</v>
      </c>
      <c r="J830" s="39" t="s">
        <v>3153</v>
      </c>
      <c r="K830" s="53"/>
      <c r="L830" s="53"/>
      <c r="M830" s="39" t="str">
        <f t="shared" si="1"/>
        <v>[http://www.mathnet.ru/php/archive.phtml?wshow=paper&amp;jrnid=zvmmf&amp;paperid=943&amp;option_lang=eng V. A. Lyul’ka and I. E. Mikhailov (2003)]</v>
      </c>
      <c r="N830" s="16" t="s">
        <v>5063</v>
      </c>
      <c r="O830" s="81">
        <v>2003.0</v>
      </c>
      <c r="P830" s="25" t="s">
        <v>5064</v>
      </c>
      <c r="Q830" s="82"/>
      <c r="R830" s="82"/>
      <c r="S830" s="82"/>
      <c r="T830" s="16">
        <v>0.0</v>
      </c>
      <c r="U830" s="16">
        <v>0.0</v>
      </c>
      <c r="V830" s="89">
        <f>IFERROR(__xludf.DUMMYFUNCTION("INDEX(SPLIT(SUBSTITUTE(W830,CHAR(10), """"),"",:""), MATCH(Z830, SPLIT(SUBSTITUTE(W830,CHAR(10), """"),"",:""), 0) + 1)"),7.0)</f>
        <v>7</v>
      </c>
      <c r="W830" s="85" t="s">
        <v>2517</v>
      </c>
      <c r="X830" s="39" t="s">
        <v>3153</v>
      </c>
      <c r="Y830" s="53" t="s">
        <v>3096</v>
      </c>
      <c r="Z830" s="53" t="str">
        <f t="array" ref="Z830">INDEX(Problems!J:J, MATCH(1, (Problems!B:B=B830)*1, 0))</f>
        <v>n</v>
      </c>
      <c r="AA830" s="53"/>
      <c r="AB830" s="53"/>
      <c r="AC830" s="53"/>
      <c r="AD830" s="53"/>
      <c r="AE830" s="85" t="str">
        <f>IFERROR(__xludf.DUMMYFUNCTION("INDEX(SPLIT(SUBSTITUTE(AF830,CHAR(10), """"),"",:""), MATCH(Z830, SPLIT(SUBSTITUTE(AF830,CHAR(10), """"),"",:""), 0) + 1)"),"#VALUE!")</f>
        <v>#VALUE!</v>
      </c>
      <c r="AF830" s="131"/>
      <c r="AG830" s="53"/>
      <c r="AH830" s="53"/>
      <c r="AI830" s="87"/>
      <c r="AJ830" s="84" t="s">
        <v>2520</v>
      </c>
      <c r="AK830" s="87"/>
      <c r="AL830" s="81">
        <v>0.0</v>
      </c>
      <c r="AM830" s="21"/>
      <c r="AN830" s="16">
        <v>0.0</v>
      </c>
      <c r="AO830" s="90"/>
      <c r="AP830" s="16">
        <v>0.0</v>
      </c>
      <c r="AQ830" s="16">
        <v>0.0</v>
      </c>
      <c r="AR830" s="39"/>
      <c r="AS830" s="81">
        <v>0.0</v>
      </c>
      <c r="AT830" s="81">
        <v>0.0</v>
      </c>
      <c r="AU830" s="39"/>
      <c r="AV830" s="82"/>
      <c r="AW830" s="82"/>
      <c r="AX830" s="82"/>
      <c r="AY830" s="7"/>
      <c r="AZ830" s="7"/>
      <c r="BA830" s="7"/>
      <c r="BB830" s="7"/>
      <c r="BC830" s="7"/>
      <c r="BD830" s="7"/>
      <c r="BE830" s="7"/>
      <c r="BF830" s="7">
        <v>1.0E12</v>
      </c>
      <c r="BG830" s="13"/>
      <c r="BH830" s="82"/>
      <c r="BI830" s="82"/>
      <c r="BJ830" s="82"/>
      <c r="BK830" s="82"/>
      <c r="BL830" s="82"/>
      <c r="BM830" s="82"/>
      <c r="BN830" s="7"/>
      <c r="BO830" s="7">
        <v>2.0</v>
      </c>
      <c r="BP830" s="82"/>
      <c r="BQ830" s="7"/>
      <c r="BR830" s="7" t="s">
        <v>144</v>
      </c>
    </row>
    <row r="831">
      <c r="A831" s="16">
        <v>89.0</v>
      </c>
      <c r="B831" s="16" t="s">
        <v>970</v>
      </c>
      <c r="C831" s="53">
        <v>0.001</v>
      </c>
      <c r="D831" s="53" t="s">
        <v>970</v>
      </c>
      <c r="E831" s="7">
        <v>683.0</v>
      </c>
      <c r="F831" s="53"/>
      <c r="G831" s="7">
        <v>0.0</v>
      </c>
      <c r="H831" s="16">
        <v>1.0</v>
      </c>
      <c r="I831" s="16">
        <v>1.0</v>
      </c>
      <c r="J831" s="39" t="s">
        <v>5065</v>
      </c>
      <c r="K831" s="53"/>
      <c r="L831" s="53"/>
      <c r="M831" s="39" t="str">
        <f t="shared" si="1"/>
        <v>[ V. I. Paasonen (1968)]</v>
      </c>
      <c r="N831" s="16" t="s">
        <v>5066</v>
      </c>
      <c r="O831" s="81">
        <v>1968.0</v>
      </c>
      <c r="P831" s="39"/>
      <c r="Q831" s="82"/>
      <c r="R831" s="82"/>
      <c r="S831" s="82"/>
      <c r="T831" s="16">
        <v>1.0</v>
      </c>
      <c r="U831" s="16">
        <v>0.0</v>
      </c>
      <c r="V831" s="89">
        <f>IFERROR(__xludf.DUMMYFUNCTION("INDEX(SPLIT(SUBSTITUTE(W831,CHAR(10), """"),"",:""), MATCH(Z831, SPLIT(SUBSTITUTE(W831,CHAR(10), """"),"",:""), 0) + 1)"),7.0)</f>
        <v>7</v>
      </c>
      <c r="W831" s="85" t="s">
        <v>5067</v>
      </c>
      <c r="X831" s="16" t="s">
        <v>5068</v>
      </c>
      <c r="Y831" s="53" t="s">
        <v>3096</v>
      </c>
      <c r="Z831" s="53" t="str">
        <f t="array" ref="Z831">INDEX(Problems!J:J, MATCH(1, (Problems!B:B=B831)*1, 0))</f>
        <v>n</v>
      </c>
      <c r="AA831" s="53"/>
      <c r="AB831" s="53"/>
      <c r="AC831" s="53"/>
      <c r="AD831" s="53"/>
      <c r="AE831" s="85" t="str">
        <f>IFERROR(__xludf.DUMMYFUNCTION("INDEX(SPLIT(SUBSTITUTE(AF831,CHAR(10), """"),"",:""), MATCH(Z831, SPLIT(SUBSTITUTE(AF831,CHAR(10), """"),"",:""), 0) + 1)"),"#VALUE!")</f>
        <v>#VALUE!</v>
      </c>
      <c r="AF831" s="131"/>
      <c r="AG831" s="53"/>
      <c r="AH831" s="53"/>
      <c r="AI831" s="87"/>
      <c r="AJ831" s="84" t="s">
        <v>2520</v>
      </c>
      <c r="AK831" s="87"/>
      <c r="AL831" s="81">
        <v>0.0</v>
      </c>
      <c r="AM831" s="21"/>
      <c r="AN831" s="16">
        <v>0.0</v>
      </c>
      <c r="AO831" s="90"/>
      <c r="AP831" s="16">
        <v>0.0</v>
      </c>
      <c r="AQ831" s="16">
        <v>0.0</v>
      </c>
      <c r="AR831" s="39"/>
      <c r="AS831" s="81">
        <v>0.0</v>
      </c>
      <c r="AT831" s="81">
        <v>0.0</v>
      </c>
      <c r="AU831" s="39"/>
      <c r="AV831" s="82"/>
      <c r="AW831" s="82"/>
      <c r="AX831" s="82"/>
      <c r="AY831" s="7"/>
      <c r="AZ831" s="82"/>
      <c r="BA831" s="82"/>
      <c r="BB831" s="82"/>
      <c r="BC831" s="82"/>
      <c r="BD831" s="82"/>
      <c r="BE831" s="82"/>
      <c r="BF831" s="82">
        <f>POW(1000,5)*LOG(500)</f>
        <v>2.69897E+15</v>
      </c>
      <c r="BG831" s="7">
        <v>1.0</v>
      </c>
      <c r="BH831" s="82"/>
      <c r="BI831" s="82">
        <f>POW(1000000,5)*LOG(500)</f>
        <v>2.69897E+30</v>
      </c>
      <c r="BJ831" s="7">
        <v>1.0</v>
      </c>
      <c r="BK831" s="82"/>
      <c r="BL831" s="82">
        <f>POW(1000000000,5)*LOG(500)</f>
        <v>2.69897E+45</v>
      </c>
      <c r="BM831" s="7">
        <v>1.0</v>
      </c>
      <c r="BN831" s="7"/>
      <c r="BO831" s="7">
        <v>2.0</v>
      </c>
      <c r="BP831" s="82"/>
      <c r="BQ831" s="7"/>
      <c r="BR831" s="7" t="s">
        <v>144</v>
      </c>
    </row>
    <row r="832">
      <c r="A832" s="16">
        <v>89.0</v>
      </c>
      <c r="B832" s="16" t="s">
        <v>970</v>
      </c>
      <c r="C832" s="53">
        <v>1.0</v>
      </c>
      <c r="D832" s="53" t="s">
        <v>970</v>
      </c>
      <c r="E832" s="7">
        <v>684.0</v>
      </c>
      <c r="F832" s="53" t="s">
        <v>5069</v>
      </c>
      <c r="G832" s="7">
        <v>0.0</v>
      </c>
      <c r="H832" s="16">
        <v>1.0</v>
      </c>
      <c r="I832" s="16">
        <v>1.0</v>
      </c>
      <c r="J832" s="48" t="s">
        <v>5068</v>
      </c>
      <c r="K832" s="53"/>
      <c r="L832" s="53"/>
      <c r="M832" s="39" t="str">
        <f t="shared" si="1"/>
        <v>[https://link.springer.com/article/10.1023/A:1018988312596 P. Costantini, B. I. Kvasov, and C. Manni (1999)]</v>
      </c>
      <c r="N832" s="21" t="s">
        <v>5070</v>
      </c>
      <c r="O832" s="84">
        <v>1999.0</v>
      </c>
      <c r="P832" s="96" t="s">
        <v>5071</v>
      </c>
      <c r="Q832" s="82"/>
      <c r="R832" s="82"/>
      <c r="S832" s="82"/>
      <c r="T832" s="16">
        <v>0.0</v>
      </c>
      <c r="U832" s="16">
        <v>0.0</v>
      </c>
      <c r="V832" s="89">
        <f>IFERROR(__xludf.DUMMYFUNCTION("INDEX(SPLIT(SUBSTITUTE(W832,CHAR(10), """"),"",:""), MATCH(Z832, SPLIT(SUBSTITUTE(W832,CHAR(10), """"),"",:""), 0) + 1)"),7.0)</f>
        <v>7</v>
      </c>
      <c r="W832" s="85" t="s">
        <v>5067</v>
      </c>
      <c r="X832" s="48" t="s">
        <v>5068</v>
      </c>
      <c r="Y832" s="53" t="s">
        <v>3096</v>
      </c>
      <c r="Z832" s="53" t="str">
        <f t="array" ref="Z832">INDEX(Problems!J:J, MATCH(1, (Problems!B:B=B832)*1, 0))</f>
        <v>n</v>
      </c>
      <c r="AA832" s="53"/>
      <c r="AB832" s="53"/>
      <c r="AC832" s="53" t="s">
        <v>1813</v>
      </c>
      <c r="AD832" s="53" t="s">
        <v>1814</v>
      </c>
      <c r="AE832" s="85">
        <f>IFERROR(__xludf.DUMMYFUNCTION("INDEX(SPLIT(SUBSTITUTE(AF832,CHAR(10), """"),"",:""), MATCH(Z832, SPLIT(SUBSTITUTE(AF832,CHAR(10), """"),"",:""), 0) + 1)"),3.0)</f>
        <v>3</v>
      </c>
      <c r="AF832" s="85" t="s">
        <v>1763</v>
      </c>
      <c r="AG832" s="53" t="s">
        <v>2625</v>
      </c>
      <c r="AH832" s="53" t="s">
        <v>5072</v>
      </c>
      <c r="AI832" s="84">
        <v>1.0</v>
      </c>
      <c r="AJ832" s="84">
        <v>0.0</v>
      </c>
      <c r="AK832" s="87"/>
      <c r="AL832" s="81">
        <v>0.0</v>
      </c>
      <c r="AM832" s="21"/>
      <c r="AN832" s="16">
        <v>0.0</v>
      </c>
      <c r="AO832" s="90"/>
      <c r="AP832" s="16">
        <v>0.0</v>
      </c>
      <c r="AQ832" s="16">
        <v>0.0</v>
      </c>
      <c r="AR832" s="39"/>
      <c r="AS832" s="81">
        <v>0.0</v>
      </c>
      <c r="AT832" s="81">
        <v>0.0</v>
      </c>
      <c r="AU832" s="39"/>
      <c r="AV832" s="82"/>
      <c r="AW832" s="82"/>
      <c r="AX832" s="82"/>
      <c r="AY832" s="7"/>
      <c r="AZ832" s="82"/>
      <c r="BA832" s="82"/>
      <c r="BB832" s="82"/>
      <c r="BC832" s="82"/>
      <c r="BD832" s="82"/>
      <c r="BE832" s="82"/>
      <c r="BF832" s="82"/>
      <c r="BG832" s="82"/>
      <c r="BH832" s="82"/>
      <c r="BI832" s="82"/>
      <c r="BJ832" s="82"/>
      <c r="BK832" s="82"/>
      <c r="BL832" s="82"/>
      <c r="BM832" s="82"/>
      <c r="BN832" s="7"/>
      <c r="BO832" s="7">
        <v>2.0</v>
      </c>
      <c r="BP832" s="82"/>
      <c r="BQ832" s="7"/>
      <c r="BR832" s="7" t="s">
        <v>144</v>
      </c>
    </row>
    <row r="833">
      <c r="A833" s="16">
        <v>89.0</v>
      </c>
      <c r="B833" s="16" t="s">
        <v>970</v>
      </c>
      <c r="C833" s="53">
        <v>1.0</v>
      </c>
      <c r="D833" s="53" t="s">
        <v>970</v>
      </c>
      <c r="E833" s="7">
        <v>685.0</v>
      </c>
      <c r="F833" s="53" t="s">
        <v>5073</v>
      </c>
      <c r="G833" s="7">
        <v>0.0</v>
      </c>
      <c r="H833" s="16">
        <v>1.0</v>
      </c>
      <c r="I833" s="16">
        <v>1.0</v>
      </c>
      <c r="J833" s="39" t="s">
        <v>3153</v>
      </c>
      <c r="K833" s="53"/>
      <c r="L833" s="53"/>
      <c r="M833" s="39" t="str">
        <f t="shared" si="1"/>
        <v>[http://sutir.sut.ac.th:8080/sutir/bitstream/123456789/431/1/bib115.pdf B. I. Kvasov (2000)]</v>
      </c>
      <c r="N833" s="16" t="s">
        <v>5074</v>
      </c>
      <c r="O833" s="81">
        <v>2000.0</v>
      </c>
      <c r="P833" s="172" t="s">
        <v>5075</v>
      </c>
      <c r="Q833" s="82"/>
      <c r="R833" s="82"/>
      <c r="S833" s="82"/>
      <c r="T833" s="16">
        <v>1.0</v>
      </c>
      <c r="U833" s="16">
        <v>0.0</v>
      </c>
      <c r="V833" s="89">
        <f>IFERROR(__xludf.DUMMYFUNCTION("INDEX(SPLIT(SUBSTITUTE(W833,CHAR(10), """"),"",:""), MATCH(Z833, SPLIT(SUBSTITUTE(W833,CHAR(10), """"),"",:""), 0) + 1)"),7.0)</f>
        <v>7</v>
      </c>
      <c r="W833" s="85" t="s">
        <v>2517</v>
      </c>
      <c r="X833" s="39" t="s">
        <v>3153</v>
      </c>
      <c r="Y833" s="53" t="s">
        <v>3096</v>
      </c>
      <c r="Z833" s="53" t="str">
        <f t="array" ref="Z833">INDEX(Problems!J:J, MATCH(1, (Problems!B:B=B833)*1, 0))</f>
        <v>n</v>
      </c>
      <c r="AA833" s="53"/>
      <c r="AB833" s="53"/>
      <c r="AC833" s="53" t="s">
        <v>1813</v>
      </c>
      <c r="AD833" s="53" t="s">
        <v>1814</v>
      </c>
      <c r="AE833" s="85">
        <f>IFERROR(__xludf.DUMMYFUNCTION("INDEX(SPLIT(SUBSTITUTE(AF833,CHAR(10), """"),"",:""), MATCH(Z833, SPLIT(SUBSTITUTE(AF833,CHAR(10), """"),"",:""), 0) + 1)"),3.0)</f>
        <v>3</v>
      </c>
      <c r="AF833" s="85" t="s">
        <v>1763</v>
      </c>
      <c r="AG833" s="53" t="s">
        <v>5076</v>
      </c>
      <c r="AH833" s="53" t="s">
        <v>5077</v>
      </c>
      <c r="AI833" s="84">
        <v>1.0</v>
      </c>
      <c r="AJ833" s="84">
        <v>0.0</v>
      </c>
      <c r="AK833" s="87"/>
      <c r="AL833" s="81">
        <v>0.0</v>
      </c>
      <c r="AM833" s="21"/>
      <c r="AN833" s="16">
        <v>0.0</v>
      </c>
      <c r="AO833" s="90"/>
      <c r="AP833" s="16">
        <v>0.0</v>
      </c>
      <c r="AQ833" s="16">
        <v>0.0</v>
      </c>
      <c r="AR833" s="39"/>
      <c r="AS833" s="81">
        <v>0.0</v>
      </c>
      <c r="AT833" s="81">
        <v>0.0</v>
      </c>
      <c r="AU833" s="39"/>
      <c r="AV833" s="82"/>
      <c r="AW833" s="82"/>
      <c r="AX833" s="82"/>
      <c r="AY833" s="7"/>
      <c r="AZ833" s="82"/>
      <c r="BA833" s="82"/>
      <c r="BB833" s="82"/>
      <c r="BC833" s="82"/>
      <c r="BD833" s="82"/>
      <c r="BE833" s="82"/>
      <c r="BF833" s="82">
        <f>POW(1000, 4)</f>
        <v>1000000000000</v>
      </c>
      <c r="BG833" s="82">
        <f>BF831/BF833</f>
        <v>2698.970004</v>
      </c>
      <c r="BH833" s="82">
        <f>POW(BG833,1/($O833-$O$831)) - 1</f>
        <v>0.280044121</v>
      </c>
      <c r="BI833" s="82">
        <f>POW(1000000, 4)</f>
        <v>1E+24</v>
      </c>
      <c r="BJ833" s="82">
        <f>BI831/BI833</f>
        <v>2698970.004</v>
      </c>
      <c r="BK833" s="82">
        <f>POW(BJ833,1/($O833-$O$831)) - 1</f>
        <v>0.5884550852</v>
      </c>
      <c r="BL833" s="82">
        <f>POW(1000000000, 4)</f>
        <v>1E+36</v>
      </c>
      <c r="BM833" s="82">
        <f>BL831/BL833</f>
        <v>2698970004</v>
      </c>
      <c r="BN833" s="82">
        <f>POW(BM833,1/($O833-$O$831)) - 1</f>
        <v>0.9711738964</v>
      </c>
      <c r="BO833" s="7">
        <v>2.0</v>
      </c>
      <c r="BP833" s="82"/>
      <c r="BQ833" s="7"/>
      <c r="BR833" s="7" t="s">
        <v>144</v>
      </c>
    </row>
    <row r="834">
      <c r="A834" s="16">
        <v>90.0</v>
      </c>
      <c r="B834" s="16" t="s">
        <v>973</v>
      </c>
      <c r="C834" s="53">
        <v>0.0</v>
      </c>
      <c r="D834" s="53" t="s">
        <v>973</v>
      </c>
      <c r="E834" s="7">
        <v>686.0</v>
      </c>
      <c r="F834" s="53"/>
      <c r="G834" s="7">
        <v>0.0</v>
      </c>
      <c r="H834" s="16">
        <v>0.0</v>
      </c>
      <c r="I834" s="81">
        <v>1.0</v>
      </c>
      <c r="J834" s="39" t="s">
        <v>115</v>
      </c>
      <c r="K834" s="53"/>
      <c r="L834" s="53"/>
      <c r="M834" s="39" t="str">
        <f t="shared" si="1"/>
        <v>[https://dl.acm.org/doi/10.1145/218380.218440 ECK M.; DEROSE T.; DUCHAMP T.; 1995 (1995)]</v>
      </c>
      <c r="N834" s="39" t="s">
        <v>5078</v>
      </c>
      <c r="O834" s="81">
        <v>1995.0</v>
      </c>
      <c r="P834" s="17" t="s">
        <v>5079</v>
      </c>
      <c r="Q834" s="82"/>
      <c r="R834" s="82"/>
      <c r="S834" s="82"/>
      <c r="T834" s="16">
        <v>1.0</v>
      </c>
      <c r="U834" s="16">
        <v>0.0</v>
      </c>
      <c r="V834" s="89">
        <f>IFERROR(__xludf.DUMMYFUNCTION("INDEX(SPLIT(SUBSTITUTE(W834,CHAR(10), """"),"",:""), MATCH(Z834, SPLIT(SUBSTITUTE(W834,CHAR(10), """"),"",:""), 0) + 1)"),5.0)</f>
        <v>5</v>
      </c>
      <c r="W834" s="85" t="s">
        <v>1938</v>
      </c>
      <c r="X834" s="39" t="s">
        <v>115</v>
      </c>
      <c r="Y834" s="53"/>
      <c r="Z834" s="53" t="str">
        <f t="array" ref="Z834">INDEX(Problems!J:J, MATCH(1, (Problems!B:B=B834)*1, 0))</f>
        <v>n</v>
      </c>
      <c r="AA834" s="53"/>
      <c r="AB834" s="53"/>
      <c r="AC834" s="53"/>
      <c r="AD834" s="53"/>
      <c r="AE834" s="85" t="str">
        <f>IFERROR(__xludf.DUMMYFUNCTION("INDEX(SPLIT(SUBSTITUTE(AF834,CHAR(10), """"),"",:""), MATCH(Z834, SPLIT(SUBSTITUTE(AF834,CHAR(10), """"),"",:""), 0) + 1)"),"#VALUE!")</f>
        <v>#VALUE!</v>
      </c>
      <c r="AF834" s="131"/>
      <c r="AG834" s="53"/>
      <c r="AH834" s="53"/>
      <c r="AI834" s="87"/>
      <c r="AJ834" s="84" t="s">
        <v>2520</v>
      </c>
      <c r="AK834" s="87"/>
      <c r="AL834" s="81">
        <v>0.0</v>
      </c>
      <c r="AM834" s="87"/>
      <c r="AN834" s="81">
        <v>0.0</v>
      </c>
      <c r="AO834" s="90"/>
      <c r="AP834" s="81">
        <v>0.0</v>
      </c>
      <c r="AQ834" s="81">
        <v>0.0</v>
      </c>
      <c r="AR834" s="39"/>
      <c r="AS834" s="81">
        <v>0.0</v>
      </c>
      <c r="AT834" s="81">
        <v>0.0</v>
      </c>
      <c r="AU834" s="39"/>
      <c r="AV834" s="82"/>
      <c r="AW834" s="82"/>
      <c r="AX834" s="82"/>
      <c r="AY834" s="7"/>
      <c r="AZ834" s="7"/>
      <c r="BA834" s="7"/>
      <c r="BB834" s="7"/>
      <c r="BC834" s="7"/>
      <c r="BD834" s="7"/>
      <c r="BE834" s="7"/>
      <c r="BF834" s="7">
        <v>1000000.0</v>
      </c>
      <c r="BG834" s="13"/>
      <c r="BH834" s="82"/>
      <c r="BI834" s="82"/>
      <c r="BJ834" s="82"/>
      <c r="BK834" s="82"/>
      <c r="BL834" s="82"/>
      <c r="BM834" s="82"/>
      <c r="BN834" s="7"/>
      <c r="BO834" s="7">
        <v>4.0</v>
      </c>
      <c r="BP834" s="82"/>
      <c r="BQ834" s="7"/>
      <c r="BR834" s="7" t="s">
        <v>196</v>
      </c>
    </row>
    <row r="835">
      <c r="A835" s="16">
        <v>90.0</v>
      </c>
      <c r="B835" s="16" t="s">
        <v>973</v>
      </c>
      <c r="C835" s="53">
        <v>0.0</v>
      </c>
      <c r="D835" s="53" t="s">
        <v>973</v>
      </c>
      <c r="E835" s="7">
        <v>687.0</v>
      </c>
      <c r="F835" s="53"/>
      <c r="G835" s="7">
        <v>0.0</v>
      </c>
      <c r="H835" s="16">
        <v>0.0</v>
      </c>
      <c r="I835" s="81">
        <v>1.0</v>
      </c>
      <c r="J835" s="39" t="s">
        <v>115</v>
      </c>
      <c r="K835" s="53"/>
      <c r="L835" s="53"/>
      <c r="M835" s="39" t="str">
        <f t="shared" si="1"/>
        <v>[http://www.cs.jhu.edu/~misha/Fall09/Floater97.pdf FLOATER 1997 (1997)]</v>
      </c>
      <c r="N835" s="39" t="s">
        <v>5080</v>
      </c>
      <c r="O835" s="81">
        <v>1997.0</v>
      </c>
      <c r="P835" s="25" t="s">
        <v>5081</v>
      </c>
      <c r="Q835" s="82"/>
      <c r="R835" s="82"/>
      <c r="S835" s="82"/>
      <c r="T835" s="16">
        <v>0.0</v>
      </c>
      <c r="U835" s="16">
        <v>0.0</v>
      </c>
      <c r="V835" s="89">
        <f>IFERROR(__xludf.DUMMYFUNCTION("INDEX(SPLIT(SUBSTITUTE(W835,CHAR(10), """"),"",:""), MATCH(Z835, SPLIT(SUBSTITUTE(W835,CHAR(10), """"),"",:""), 0) + 1)"),5.0)</f>
        <v>5</v>
      </c>
      <c r="W835" s="85" t="s">
        <v>1938</v>
      </c>
      <c r="X835" s="39" t="s">
        <v>115</v>
      </c>
      <c r="Y835" s="53"/>
      <c r="Z835" s="53" t="str">
        <f t="array" ref="Z835">INDEX(Problems!J:J, MATCH(1, (Problems!B:B=B835)*1, 0))</f>
        <v>n</v>
      </c>
      <c r="AA835" s="53"/>
      <c r="AB835" s="53"/>
      <c r="AC835" s="53"/>
      <c r="AD835" s="53"/>
      <c r="AE835" s="85" t="str">
        <f>IFERROR(__xludf.DUMMYFUNCTION("INDEX(SPLIT(SUBSTITUTE(AF835,CHAR(10), """"),"",:""), MATCH(Z835, SPLIT(SUBSTITUTE(AF835,CHAR(10), """"),"",:""), 0) + 1)"),"#VALUE!")</f>
        <v>#VALUE!</v>
      </c>
      <c r="AF835" s="131"/>
      <c r="AG835" s="53"/>
      <c r="AH835" s="53"/>
      <c r="AI835" s="87"/>
      <c r="AJ835" s="84" t="s">
        <v>2520</v>
      </c>
      <c r="AK835" s="87"/>
      <c r="AL835" s="81">
        <v>0.0</v>
      </c>
      <c r="AM835" s="87"/>
      <c r="AN835" s="81">
        <v>0.0</v>
      </c>
      <c r="AO835" s="90"/>
      <c r="AP835" s="81">
        <v>0.0</v>
      </c>
      <c r="AQ835" s="81">
        <v>0.0</v>
      </c>
      <c r="AR835" s="39"/>
      <c r="AS835" s="81">
        <v>0.0</v>
      </c>
      <c r="AT835" s="81">
        <v>0.0</v>
      </c>
      <c r="AU835" s="39"/>
      <c r="AV835" s="82"/>
      <c r="AW835" s="82"/>
      <c r="AX835" s="82"/>
      <c r="AY835" s="7"/>
      <c r="AZ835" s="7"/>
      <c r="BA835" s="7"/>
      <c r="BB835" s="7"/>
      <c r="BC835" s="7"/>
      <c r="BD835" s="7"/>
      <c r="BE835" s="7"/>
      <c r="BF835" s="7">
        <v>1000000.0</v>
      </c>
      <c r="BG835" s="13"/>
      <c r="BH835" s="82"/>
      <c r="BI835" s="82"/>
      <c r="BJ835" s="82"/>
      <c r="BK835" s="82"/>
      <c r="BL835" s="82"/>
      <c r="BM835" s="82"/>
      <c r="BN835" s="7"/>
      <c r="BO835" s="7">
        <v>4.0</v>
      </c>
      <c r="BP835" s="82"/>
      <c r="BQ835" s="7"/>
      <c r="BR835" s="7" t="s">
        <v>196</v>
      </c>
    </row>
    <row r="836">
      <c r="A836" s="16">
        <v>90.0</v>
      </c>
      <c r="B836" s="16" t="s">
        <v>973</v>
      </c>
      <c r="C836" s="53">
        <v>0.0</v>
      </c>
      <c r="D836" s="53" t="s">
        <v>973</v>
      </c>
      <c r="E836" s="7">
        <v>688.0</v>
      </c>
      <c r="F836" s="53"/>
      <c r="G836" s="7">
        <v>0.0</v>
      </c>
      <c r="H836" s="16">
        <v>0.0</v>
      </c>
      <c r="I836" s="81">
        <v>1.0</v>
      </c>
      <c r="J836" s="39" t="s">
        <v>115</v>
      </c>
      <c r="K836" s="53"/>
      <c r="L836" s="53"/>
      <c r="M836" s="39" t="str">
        <f t="shared" si="1"/>
        <v>[http://www.cs.jhu.edu/~misha/Fall09/Pinkall93.pdf PINKALL U.; POLTHIER K 1993 (1993)]</v>
      </c>
      <c r="N836" s="39" t="s">
        <v>5082</v>
      </c>
      <c r="O836" s="81">
        <v>1993.0</v>
      </c>
      <c r="P836" s="25" t="s">
        <v>5083</v>
      </c>
      <c r="Q836" s="82"/>
      <c r="R836" s="82"/>
      <c r="S836" s="82"/>
      <c r="T836" s="16">
        <v>0.0</v>
      </c>
      <c r="U836" s="16">
        <v>0.0</v>
      </c>
      <c r="V836" s="89">
        <f>IFERROR(__xludf.DUMMYFUNCTION("INDEX(SPLIT(SUBSTITUTE(W836,CHAR(10), """"),"",:""), MATCH(Z836, SPLIT(SUBSTITUTE(W836,CHAR(10), """"),"",:""), 0) + 1)"),5.0)</f>
        <v>5</v>
      </c>
      <c r="W836" s="85" t="s">
        <v>1938</v>
      </c>
      <c r="X836" s="39" t="s">
        <v>115</v>
      </c>
      <c r="Y836" s="53"/>
      <c r="Z836" s="53" t="str">
        <f t="array" ref="Z836">INDEX(Problems!J:J, MATCH(1, (Problems!B:B=B836)*1, 0))</f>
        <v>n</v>
      </c>
      <c r="AA836" s="53"/>
      <c r="AB836" s="53"/>
      <c r="AC836" s="53"/>
      <c r="AD836" s="53"/>
      <c r="AE836" s="85" t="str">
        <f>IFERROR(__xludf.DUMMYFUNCTION("INDEX(SPLIT(SUBSTITUTE(AF836,CHAR(10), """"),"",:""), MATCH(Z836, SPLIT(SUBSTITUTE(AF836,CHAR(10), """"),"",:""), 0) + 1)"),"#VALUE!")</f>
        <v>#VALUE!</v>
      </c>
      <c r="AF836" s="131"/>
      <c r="AG836" s="53"/>
      <c r="AH836" s="53"/>
      <c r="AI836" s="87"/>
      <c r="AJ836" s="84" t="s">
        <v>2520</v>
      </c>
      <c r="AK836" s="87"/>
      <c r="AL836" s="81">
        <v>0.0</v>
      </c>
      <c r="AM836" s="87"/>
      <c r="AN836" s="81">
        <v>0.0</v>
      </c>
      <c r="AO836" s="90"/>
      <c r="AP836" s="81">
        <v>0.0</v>
      </c>
      <c r="AQ836" s="81">
        <v>0.0</v>
      </c>
      <c r="AR836" s="39"/>
      <c r="AS836" s="81">
        <v>0.0</v>
      </c>
      <c r="AT836" s="81">
        <v>0.0</v>
      </c>
      <c r="AU836" s="39"/>
      <c r="AV836" s="82"/>
      <c r="AW836" s="82"/>
      <c r="AX836" s="82"/>
      <c r="AY836" s="7"/>
      <c r="AZ836" s="7"/>
      <c r="BA836" s="7"/>
      <c r="BB836" s="7"/>
      <c r="BC836" s="7"/>
      <c r="BD836" s="7"/>
      <c r="BE836" s="7"/>
      <c r="BF836" s="7">
        <v>1000000.0</v>
      </c>
      <c r="BG836" s="13"/>
      <c r="BH836" s="82"/>
      <c r="BI836" s="82"/>
      <c r="BJ836" s="82"/>
      <c r="BK836" s="82"/>
      <c r="BL836" s="82"/>
      <c r="BM836" s="82"/>
      <c r="BN836" s="7"/>
      <c r="BO836" s="7">
        <v>4.0</v>
      </c>
      <c r="BP836" s="82"/>
      <c r="BQ836" s="7"/>
      <c r="BR836" s="7" t="s">
        <v>196</v>
      </c>
    </row>
    <row r="837">
      <c r="A837" s="16">
        <v>90.0</v>
      </c>
      <c r="B837" s="16" t="s">
        <v>973</v>
      </c>
      <c r="C837" s="53">
        <v>0.0</v>
      </c>
      <c r="D837" s="53" t="s">
        <v>973</v>
      </c>
      <c r="E837" s="7">
        <v>689.0</v>
      </c>
      <c r="F837" s="53"/>
      <c r="G837" s="7">
        <v>0.0</v>
      </c>
      <c r="H837" s="16">
        <v>0.0</v>
      </c>
      <c r="I837" s="81">
        <v>1.0</v>
      </c>
      <c r="J837" s="39" t="s">
        <v>115</v>
      </c>
      <c r="K837" s="53"/>
      <c r="L837" s="53"/>
      <c r="M837" s="39" t="str">
        <f t="shared" si="1"/>
        <v>[https://www.ams.org/journals/mcom/2003-72-242/S0025-5718-02-01466-7/S0025-5718-02-01466-7.pdf FLOATER 2003 (2003)]</v>
      </c>
      <c r="N837" s="39" t="s">
        <v>5084</v>
      </c>
      <c r="O837" s="81">
        <v>2003.0</v>
      </c>
      <c r="P837" s="25" t="s">
        <v>5085</v>
      </c>
      <c r="Q837" s="82"/>
      <c r="R837" s="82"/>
      <c r="S837" s="82"/>
      <c r="T837" s="16">
        <v>0.0</v>
      </c>
      <c r="U837" s="16">
        <v>0.0</v>
      </c>
      <c r="V837" s="89">
        <f>IFERROR(__xludf.DUMMYFUNCTION("INDEX(SPLIT(SUBSTITUTE(W837,CHAR(10), """"),"",:""), MATCH(Z837, SPLIT(SUBSTITUTE(W837,CHAR(10), """"),"",:""), 0) + 1)"),5.0)</f>
        <v>5</v>
      </c>
      <c r="W837" s="85" t="s">
        <v>1938</v>
      </c>
      <c r="X837" s="39" t="s">
        <v>115</v>
      </c>
      <c r="Y837" s="53"/>
      <c r="Z837" s="53" t="str">
        <f t="array" ref="Z837">INDEX(Problems!J:J, MATCH(1, (Problems!B:B=B837)*1, 0))</f>
        <v>n</v>
      </c>
      <c r="AA837" s="53"/>
      <c r="AB837" s="53"/>
      <c r="AC837" s="53"/>
      <c r="AD837" s="53"/>
      <c r="AE837" s="85" t="str">
        <f>IFERROR(__xludf.DUMMYFUNCTION("INDEX(SPLIT(SUBSTITUTE(AF837,CHAR(10), """"),"",:""), MATCH(Z837, SPLIT(SUBSTITUTE(AF837,CHAR(10), """"),"",:""), 0) + 1)"),"#VALUE!")</f>
        <v>#VALUE!</v>
      </c>
      <c r="AF837" s="131"/>
      <c r="AG837" s="53"/>
      <c r="AH837" s="53"/>
      <c r="AI837" s="87"/>
      <c r="AJ837" s="84" t="s">
        <v>2520</v>
      </c>
      <c r="AK837" s="87"/>
      <c r="AL837" s="81">
        <v>0.0</v>
      </c>
      <c r="AM837" s="87"/>
      <c r="AN837" s="81">
        <v>0.0</v>
      </c>
      <c r="AO837" s="90"/>
      <c r="AP837" s="81">
        <v>0.0</v>
      </c>
      <c r="AQ837" s="81">
        <v>0.0</v>
      </c>
      <c r="AR837" s="39"/>
      <c r="AS837" s="81">
        <v>0.0</v>
      </c>
      <c r="AT837" s="81">
        <v>0.0</v>
      </c>
      <c r="AU837" s="39"/>
      <c r="AV837" s="82"/>
      <c r="AW837" s="82"/>
      <c r="AX837" s="82"/>
      <c r="AY837" s="7"/>
      <c r="AZ837" s="7"/>
      <c r="BA837" s="7"/>
      <c r="BB837" s="7"/>
      <c r="BC837" s="7"/>
      <c r="BD837" s="7"/>
      <c r="BE837" s="7"/>
      <c r="BF837" s="7">
        <v>1000000.0</v>
      </c>
      <c r="BG837" s="13"/>
      <c r="BH837" s="82"/>
      <c r="BI837" s="82"/>
      <c r="BJ837" s="82"/>
      <c r="BK837" s="82"/>
      <c r="BL837" s="82"/>
      <c r="BM837" s="82"/>
      <c r="BN837" s="7"/>
      <c r="BO837" s="7">
        <v>4.0</v>
      </c>
      <c r="BP837" s="82"/>
      <c r="BQ837" s="7"/>
      <c r="BR837" s="7" t="s">
        <v>196</v>
      </c>
    </row>
    <row r="838">
      <c r="A838" s="16">
        <v>90.0</v>
      </c>
      <c r="B838" s="16" t="s">
        <v>973</v>
      </c>
      <c r="C838" s="53">
        <v>0.0</v>
      </c>
      <c r="D838" s="53" t="s">
        <v>973</v>
      </c>
      <c r="E838" s="7">
        <v>690.0</v>
      </c>
      <c r="F838" s="53"/>
      <c r="G838" s="7">
        <v>0.0</v>
      </c>
      <c r="H838" s="16">
        <v>0.0</v>
      </c>
      <c r="I838" s="81">
        <v>1.0</v>
      </c>
      <c r="J838" s="39" t="s">
        <v>5086</v>
      </c>
      <c r="K838" s="53"/>
      <c r="L838" s="53"/>
      <c r="M838" s="39" t="str">
        <f t="shared" si="1"/>
        <v>[https://www.sciencedirect.com/science/article/abs/pii/S0097849302001231 LEE Y.; KIM H. S.; LEE S 2002 (2002)]</v>
      </c>
      <c r="N838" s="39" t="s">
        <v>5087</v>
      </c>
      <c r="O838" s="81">
        <v>2002.0</v>
      </c>
      <c r="P838" s="25" t="s">
        <v>5088</v>
      </c>
      <c r="Q838" s="82"/>
      <c r="R838" s="82"/>
      <c r="S838" s="82"/>
      <c r="T838" s="16">
        <v>1.0</v>
      </c>
      <c r="U838" s="16">
        <v>0.0</v>
      </c>
      <c r="V838" s="89">
        <f>IFERROR(__xludf.DUMMYFUNCTION("INDEX(SPLIT(SUBSTITUTE(W838,CHAR(10), """"),"",:""), MATCH(Z838, SPLIT(SUBSTITUTE(W838,CHAR(10), """"),"",:""), 0) + 1)"),4.02)</f>
        <v>4.02</v>
      </c>
      <c r="W838" s="85" t="s">
        <v>5089</v>
      </c>
      <c r="X838" s="16" t="s">
        <v>5090</v>
      </c>
      <c r="Y838" s="53"/>
      <c r="Z838" s="53" t="str">
        <f t="array" ref="Z838">INDEX(Problems!J:J, MATCH(1, (Problems!B:B=B838)*1, 0))</f>
        <v>n</v>
      </c>
      <c r="AA838" s="53"/>
      <c r="AB838" s="53"/>
      <c r="AC838" s="53"/>
      <c r="AD838" s="53"/>
      <c r="AE838" s="85" t="str">
        <f>IFERROR(__xludf.DUMMYFUNCTION("INDEX(SPLIT(SUBSTITUTE(AF838,CHAR(10), """"),"",:""), MATCH(Z838, SPLIT(SUBSTITUTE(AF838,CHAR(10), """"),"",:""), 0) + 1)"),"#VALUE!")</f>
        <v>#VALUE!</v>
      </c>
      <c r="AF838" s="131"/>
      <c r="AG838" s="53"/>
      <c r="AH838" s="53"/>
      <c r="AI838" s="87"/>
      <c r="AJ838" s="84" t="s">
        <v>2520</v>
      </c>
      <c r="AK838" s="87"/>
      <c r="AL838" s="81">
        <v>0.0</v>
      </c>
      <c r="AM838" s="87"/>
      <c r="AN838" s="81">
        <v>0.0</v>
      </c>
      <c r="AO838" s="90"/>
      <c r="AP838" s="81">
        <v>0.0</v>
      </c>
      <c r="AQ838" s="81">
        <v>0.0</v>
      </c>
      <c r="AR838" s="39"/>
      <c r="AS838" s="81">
        <v>0.0</v>
      </c>
      <c r="AT838" s="81">
        <v>0.0</v>
      </c>
      <c r="AU838" s="39"/>
      <c r="AV838" s="82"/>
      <c r="AW838" s="82"/>
      <c r="AX838" s="82"/>
      <c r="AY838" s="7"/>
      <c r="AZ838" s="82"/>
      <c r="BA838" s="82"/>
      <c r="BB838" s="82"/>
      <c r="BC838" s="82"/>
      <c r="BD838" s="82"/>
      <c r="BE838" s="82"/>
      <c r="BF838" s="82"/>
      <c r="BG838" s="82"/>
      <c r="BH838" s="82"/>
      <c r="BI838" s="82"/>
      <c r="BJ838" s="82"/>
      <c r="BK838" s="82"/>
      <c r="BL838" s="82"/>
      <c r="BM838" s="82"/>
      <c r="BN838" s="7"/>
      <c r="BO838" s="7">
        <v>4.0</v>
      </c>
      <c r="BP838" s="82"/>
      <c r="BQ838" s="7"/>
      <c r="BR838" s="7" t="s">
        <v>196</v>
      </c>
    </row>
    <row r="839">
      <c r="A839" s="16">
        <v>90.0</v>
      </c>
      <c r="B839" s="16" t="s">
        <v>973</v>
      </c>
      <c r="C839" s="53">
        <v>0.0</v>
      </c>
      <c r="D839" s="53" t="s">
        <v>973</v>
      </c>
      <c r="E839" s="7">
        <v>691.0</v>
      </c>
      <c r="F839" s="53"/>
      <c r="G839" s="7">
        <v>0.0</v>
      </c>
      <c r="H839" s="16">
        <v>0.0</v>
      </c>
      <c r="I839" s="81">
        <v>1.0</v>
      </c>
      <c r="J839" s="39" t="s">
        <v>115</v>
      </c>
      <c r="K839" s="53"/>
      <c r="L839" s="53"/>
      <c r="M839" s="39" t="str">
        <f t="shared" si="1"/>
        <v>[https://dl.acm.org/doi/10.1145/566654.566588 DESBRUN M.; MEYER M.; ALLIEZ P. 2002 (2002)]</v>
      </c>
      <c r="N839" s="39" t="s">
        <v>5091</v>
      </c>
      <c r="O839" s="81">
        <v>2002.0</v>
      </c>
      <c r="P839" s="25" t="s">
        <v>5092</v>
      </c>
      <c r="Q839" s="82"/>
      <c r="R839" s="82"/>
      <c r="S839" s="82"/>
      <c r="T839" s="16">
        <v>0.0</v>
      </c>
      <c r="U839" s="16">
        <v>0.0</v>
      </c>
      <c r="V839" s="89">
        <f>IFERROR(__xludf.DUMMYFUNCTION("INDEX(SPLIT(SUBSTITUTE(W839,CHAR(10), """"),"",:""), MATCH(Z839, SPLIT(SUBSTITUTE(W839,CHAR(10), """"),"",:""), 0) + 1)"),5.0)</f>
        <v>5</v>
      </c>
      <c r="W839" s="85" t="s">
        <v>1938</v>
      </c>
      <c r="X839" s="39" t="s">
        <v>115</v>
      </c>
      <c r="Y839" s="53"/>
      <c r="Z839" s="53" t="str">
        <f t="array" ref="Z839">INDEX(Problems!J:J, MATCH(1, (Problems!B:B=B839)*1, 0))</f>
        <v>n</v>
      </c>
      <c r="AA839" s="53"/>
      <c r="AB839" s="53"/>
      <c r="AC839" s="53"/>
      <c r="AD839" s="53"/>
      <c r="AE839" s="85" t="str">
        <f>IFERROR(__xludf.DUMMYFUNCTION("INDEX(SPLIT(SUBSTITUTE(AF839,CHAR(10), """"),"",:""), MATCH(Z839, SPLIT(SUBSTITUTE(AF839,CHAR(10), """"),"",:""), 0) + 1)"),"#VALUE!")</f>
        <v>#VALUE!</v>
      </c>
      <c r="AF839" s="131"/>
      <c r="AG839" s="53"/>
      <c r="AH839" s="53"/>
      <c r="AI839" s="87"/>
      <c r="AJ839" s="84" t="s">
        <v>2520</v>
      </c>
      <c r="AK839" s="87"/>
      <c r="AL839" s="81">
        <v>0.0</v>
      </c>
      <c r="AM839" s="87"/>
      <c r="AN839" s="81">
        <v>0.0</v>
      </c>
      <c r="AO839" s="90"/>
      <c r="AP839" s="81">
        <v>0.0</v>
      </c>
      <c r="AQ839" s="81">
        <v>0.0</v>
      </c>
      <c r="AR839" s="39"/>
      <c r="AS839" s="81">
        <v>0.0</v>
      </c>
      <c r="AT839" s="81">
        <v>0.0</v>
      </c>
      <c r="AU839" s="39"/>
      <c r="AV839" s="82"/>
      <c r="AW839" s="82"/>
      <c r="AX839" s="82"/>
      <c r="AY839" s="7"/>
      <c r="AZ839" s="7"/>
      <c r="BA839" s="7"/>
      <c r="BB839" s="7"/>
      <c r="BC839" s="7"/>
      <c r="BD839" s="7"/>
      <c r="BE839" s="7"/>
      <c r="BF839" s="7">
        <v>1000000.0</v>
      </c>
      <c r="BG839" s="82"/>
      <c r="BH839" s="82"/>
      <c r="BI839" s="82"/>
      <c r="BJ839" s="82"/>
      <c r="BK839" s="82"/>
      <c r="BL839" s="82"/>
      <c r="BM839" s="82"/>
      <c r="BN839" s="7"/>
      <c r="BO839" s="7">
        <v>4.0</v>
      </c>
      <c r="BP839" s="82"/>
      <c r="BQ839" s="7"/>
      <c r="BR839" s="7" t="s">
        <v>196</v>
      </c>
    </row>
    <row r="840">
      <c r="A840" s="16">
        <v>90.0</v>
      </c>
      <c r="B840" s="16" t="s">
        <v>973</v>
      </c>
      <c r="C840" s="53">
        <v>0.0</v>
      </c>
      <c r="D840" s="53" t="s">
        <v>973</v>
      </c>
      <c r="E840" s="7">
        <v>692.0</v>
      </c>
      <c r="F840" s="53"/>
      <c r="G840" s="7">
        <v>0.0</v>
      </c>
      <c r="H840" s="16">
        <v>0.0</v>
      </c>
      <c r="I840" s="81">
        <v>1.0</v>
      </c>
      <c r="J840" s="16" t="s">
        <v>5093</v>
      </c>
      <c r="K840" s="53"/>
      <c r="L840" s="53"/>
      <c r="M840" s="39" t="str">
        <f t="shared" si="1"/>
        <v>[https://members.loria.fr/Bruno.Levy/papers/LSCM_SIGGRAPH_2002.pdf LÉVY B.; PETITJEAN S.; RAY N.; MAILLOT J 2002 (2002)]</v>
      </c>
      <c r="N840" s="39" t="s">
        <v>5094</v>
      </c>
      <c r="O840" s="81">
        <v>2002.0</v>
      </c>
      <c r="P840" s="25" t="s">
        <v>5095</v>
      </c>
      <c r="Q840" s="82"/>
      <c r="R840" s="82"/>
      <c r="S840" s="82"/>
      <c r="T840" s="16">
        <v>1.0</v>
      </c>
      <c r="U840" s="16">
        <v>0.0</v>
      </c>
      <c r="V840" s="89">
        <f>IFERROR(__xludf.DUMMYFUNCTION("INDEX(SPLIT(SUBSTITUTE(W840,CHAR(10), """"),"",:""), MATCH(Z840, SPLIT(SUBSTITUTE(W840,CHAR(10), """"),"",:""), 0) + 1)"),4.015)</f>
        <v>4.015</v>
      </c>
      <c r="W840" s="85" t="s">
        <v>5096</v>
      </c>
      <c r="X840" s="16" t="s">
        <v>5097</v>
      </c>
      <c r="Y840" s="53"/>
      <c r="Z840" s="53" t="str">
        <f t="array" ref="Z840">INDEX(Problems!J:J, MATCH(1, (Problems!B:B=B840)*1, 0))</f>
        <v>n</v>
      </c>
      <c r="AA840" s="53"/>
      <c r="AB840" s="53"/>
      <c r="AC840" s="53"/>
      <c r="AD840" s="53"/>
      <c r="AE840" s="85" t="str">
        <f>IFERROR(__xludf.DUMMYFUNCTION("INDEX(SPLIT(SUBSTITUTE(AF840,CHAR(10), """"),"",:""), MATCH(Z840, SPLIT(SUBSTITUTE(AF840,CHAR(10), """"),"",:""), 0) + 1)"),"#VALUE!")</f>
        <v>#VALUE!</v>
      </c>
      <c r="AF840" s="131"/>
      <c r="AG840" s="53"/>
      <c r="AH840" s="53"/>
      <c r="AI840" s="87"/>
      <c r="AJ840" s="84" t="s">
        <v>2520</v>
      </c>
      <c r="AK840" s="87"/>
      <c r="AL840" s="81">
        <v>0.0</v>
      </c>
      <c r="AM840" s="87"/>
      <c r="AN840" s="81">
        <v>0.0</v>
      </c>
      <c r="AO840" s="90"/>
      <c r="AP840" s="81">
        <v>0.0</v>
      </c>
      <c r="AQ840" s="81">
        <v>0.0</v>
      </c>
      <c r="AR840" s="39"/>
      <c r="AS840" s="81">
        <v>0.0</v>
      </c>
      <c r="AT840" s="81">
        <v>0.0</v>
      </c>
      <c r="AU840" s="39"/>
      <c r="AV840" s="82"/>
      <c r="AW840" s="82"/>
      <c r="AX840" s="82"/>
      <c r="AY840" s="7"/>
      <c r="AZ840" s="82"/>
      <c r="BA840" s="82"/>
      <c r="BB840" s="82"/>
      <c r="BC840" s="82"/>
      <c r="BD840" s="82"/>
      <c r="BE840" s="82"/>
      <c r="BF840" s="82"/>
      <c r="BG840" s="82"/>
      <c r="BH840" s="82"/>
      <c r="BI840" s="82"/>
      <c r="BJ840" s="82"/>
      <c r="BK840" s="82"/>
      <c r="BL840" s="82"/>
      <c r="BM840" s="82"/>
      <c r="BN840" s="7"/>
      <c r="BO840" s="7">
        <v>4.0</v>
      </c>
      <c r="BP840" s="82"/>
      <c r="BQ840" s="7"/>
      <c r="BR840" s="7" t="s">
        <v>196</v>
      </c>
    </row>
    <row r="841">
      <c r="A841" s="16">
        <v>90.0</v>
      </c>
      <c r="B841" s="16" t="s">
        <v>973</v>
      </c>
      <c r="C841" s="53">
        <v>0.0</v>
      </c>
      <c r="D841" s="53" t="s">
        <v>973</v>
      </c>
      <c r="E841" s="7">
        <v>693.0</v>
      </c>
      <c r="F841" s="53"/>
      <c r="G841" s="7">
        <v>0.0</v>
      </c>
      <c r="H841" s="16">
        <v>0.0</v>
      </c>
      <c r="I841" s="81">
        <v>1.0</v>
      </c>
      <c r="J841" s="39" t="s">
        <v>115</v>
      </c>
      <c r="K841" s="53"/>
      <c r="L841" s="53"/>
      <c r="M841" s="39" t="str">
        <f t="shared" si="1"/>
        <v>[https://dash.harvard.edu/bitstream/handle/1/2634388/Gortler_FreeBoundary.pdf?sequence=2&amp;isAllowed=y KARNI Z.; GOTSMAN C.; GORTLER S. J. 2005 (2005)]</v>
      </c>
      <c r="N841" s="39" t="s">
        <v>5098</v>
      </c>
      <c r="O841" s="81">
        <v>2005.0</v>
      </c>
      <c r="P841" s="25" t="s">
        <v>5099</v>
      </c>
      <c r="Q841" s="82"/>
      <c r="R841" s="82"/>
      <c r="S841" s="82"/>
      <c r="T841" s="16">
        <v>0.0</v>
      </c>
      <c r="U841" s="16">
        <v>0.0</v>
      </c>
      <c r="V841" s="89">
        <f>IFERROR(__xludf.DUMMYFUNCTION("INDEX(SPLIT(SUBSTITUTE(W841,CHAR(10), """"),"",:""), MATCH(Z841, SPLIT(SUBSTITUTE(W841,CHAR(10), """"),"",:""), 0) + 1)"),5.0)</f>
        <v>5</v>
      </c>
      <c r="W841" s="85" t="s">
        <v>1938</v>
      </c>
      <c r="X841" s="39" t="s">
        <v>115</v>
      </c>
      <c r="Y841" s="53"/>
      <c r="Z841" s="53" t="str">
        <f t="array" ref="Z841">INDEX(Problems!J:J, MATCH(1, (Problems!B:B=B841)*1, 0))</f>
        <v>n</v>
      </c>
      <c r="AA841" s="53"/>
      <c r="AB841" s="53"/>
      <c r="AC841" s="53"/>
      <c r="AD841" s="53"/>
      <c r="AE841" s="85" t="str">
        <f>IFERROR(__xludf.DUMMYFUNCTION("INDEX(SPLIT(SUBSTITUTE(AF841,CHAR(10), """"),"",:""), MATCH(Z841, SPLIT(SUBSTITUTE(AF841,CHAR(10), """"),"",:""), 0) + 1)"),"#VALUE!")</f>
        <v>#VALUE!</v>
      </c>
      <c r="AF841" s="131"/>
      <c r="AG841" s="53"/>
      <c r="AH841" s="53"/>
      <c r="AI841" s="87"/>
      <c r="AJ841" s="84" t="s">
        <v>2520</v>
      </c>
      <c r="AK841" s="87"/>
      <c r="AL841" s="81">
        <v>0.0</v>
      </c>
      <c r="AM841" s="87"/>
      <c r="AN841" s="81">
        <v>0.0</v>
      </c>
      <c r="AO841" s="90"/>
      <c r="AP841" s="81">
        <v>0.0</v>
      </c>
      <c r="AQ841" s="81">
        <v>0.0</v>
      </c>
      <c r="AR841" s="39"/>
      <c r="AS841" s="81">
        <v>0.0</v>
      </c>
      <c r="AT841" s="81">
        <v>0.0</v>
      </c>
      <c r="AU841" s="39"/>
      <c r="AV841" s="82"/>
      <c r="AW841" s="82"/>
      <c r="AX841" s="82"/>
      <c r="AY841" s="7"/>
      <c r="AZ841" s="7"/>
      <c r="BA841" s="7"/>
      <c r="BB841" s="7"/>
      <c r="BC841" s="7"/>
      <c r="BD841" s="7"/>
      <c r="BE841" s="7"/>
      <c r="BF841" s="7">
        <v>1000000.0</v>
      </c>
      <c r="BG841" s="13"/>
      <c r="BH841" s="82"/>
      <c r="BI841" s="82"/>
      <c r="BJ841" s="82"/>
      <c r="BK841" s="82"/>
      <c r="BL841" s="82"/>
      <c r="BM841" s="82"/>
      <c r="BN841" s="7"/>
      <c r="BO841" s="7">
        <v>4.0</v>
      </c>
      <c r="BP841" s="82"/>
      <c r="BQ841" s="7"/>
      <c r="BR841" s="7" t="s">
        <v>196</v>
      </c>
    </row>
    <row r="842">
      <c r="A842" s="16">
        <v>90.0</v>
      </c>
      <c r="B842" s="16" t="s">
        <v>973</v>
      </c>
      <c r="C842" s="53">
        <v>0.0</v>
      </c>
      <c r="D842" s="53" t="s">
        <v>973</v>
      </c>
      <c r="E842" s="7">
        <v>694.0</v>
      </c>
      <c r="F842" s="53"/>
      <c r="G842" s="7">
        <v>0.0</v>
      </c>
      <c r="H842" s="16">
        <v>0.0</v>
      </c>
      <c r="I842" s="81">
        <v>1.0</v>
      </c>
      <c r="J842" s="39" t="s">
        <v>115</v>
      </c>
      <c r="K842" s="53"/>
      <c r="L842" s="53"/>
      <c r="M842" s="39" t="str">
        <f t="shared" si="1"/>
        <v>[https://www.semanticscholar.org/paper/MIPS%3A-An-Efficient-Global-Parametrization-Method-Hormann-Greiner/a2f7f69b37565eb2729b45a7d72c6aae2e4908b8 HORMANN K.; GREINER G 1999 (1999)]</v>
      </c>
      <c r="N842" s="39" t="s">
        <v>5100</v>
      </c>
      <c r="O842" s="81">
        <v>1999.0</v>
      </c>
      <c r="P842" s="25" t="s">
        <v>5101</v>
      </c>
      <c r="Q842" s="82"/>
      <c r="R842" s="82"/>
      <c r="S842" s="82"/>
      <c r="T842" s="16">
        <v>0.0</v>
      </c>
      <c r="U842" s="16">
        <v>0.0</v>
      </c>
      <c r="V842" s="89">
        <f>IFERROR(__xludf.DUMMYFUNCTION("INDEX(SPLIT(SUBSTITUTE(W842,CHAR(10), """"),"",:""), MATCH(Z842, SPLIT(SUBSTITUTE(W842,CHAR(10), """"),"",:""), 0) + 1)"),5.0)</f>
        <v>5</v>
      </c>
      <c r="W842" s="85" t="s">
        <v>1938</v>
      </c>
      <c r="X842" s="39" t="s">
        <v>115</v>
      </c>
      <c r="Y842" s="53"/>
      <c r="Z842" s="53" t="str">
        <f t="array" ref="Z842">INDEX(Problems!J:J, MATCH(1, (Problems!B:B=B842)*1, 0))</f>
        <v>n</v>
      </c>
      <c r="AA842" s="53"/>
      <c r="AB842" s="53"/>
      <c r="AC842" s="53"/>
      <c r="AD842" s="53"/>
      <c r="AE842" s="85" t="str">
        <f>IFERROR(__xludf.DUMMYFUNCTION("INDEX(SPLIT(SUBSTITUTE(AF842,CHAR(10), """"),"",:""), MATCH(Z842, SPLIT(SUBSTITUTE(AF842,CHAR(10), """"),"",:""), 0) + 1)"),"#VALUE!")</f>
        <v>#VALUE!</v>
      </c>
      <c r="AF842" s="131"/>
      <c r="AG842" s="53"/>
      <c r="AH842" s="53"/>
      <c r="AI842" s="87"/>
      <c r="AJ842" s="84" t="s">
        <v>2520</v>
      </c>
      <c r="AK842" s="87"/>
      <c r="AL842" s="81">
        <v>0.0</v>
      </c>
      <c r="AM842" s="87"/>
      <c r="AN842" s="81">
        <v>0.0</v>
      </c>
      <c r="AO842" s="90"/>
      <c r="AP842" s="81">
        <v>0.0</v>
      </c>
      <c r="AQ842" s="81">
        <v>0.0</v>
      </c>
      <c r="AR842" s="39"/>
      <c r="AS842" s="81">
        <v>0.0</v>
      </c>
      <c r="AT842" s="81">
        <v>0.0</v>
      </c>
      <c r="AU842" s="39"/>
      <c r="AV842" s="82"/>
      <c r="AW842" s="82"/>
      <c r="AX842" s="82"/>
      <c r="AY842" s="7"/>
      <c r="AZ842" s="7"/>
      <c r="BA842" s="7"/>
      <c r="BB842" s="7"/>
      <c r="BC842" s="7"/>
      <c r="BD842" s="7"/>
      <c r="BE842" s="7"/>
      <c r="BF842" s="7">
        <v>1000000.0</v>
      </c>
      <c r="BG842" s="13"/>
      <c r="BH842" s="82"/>
      <c r="BI842" s="82"/>
      <c r="BJ842" s="82"/>
      <c r="BK842" s="82"/>
      <c r="BL842" s="82"/>
      <c r="BM842" s="82"/>
      <c r="BN842" s="7"/>
      <c r="BO842" s="7">
        <v>4.0</v>
      </c>
      <c r="BP842" s="82"/>
      <c r="BQ842" s="7"/>
      <c r="BR842" s="7" t="s">
        <v>196</v>
      </c>
    </row>
    <row r="843">
      <c r="A843" s="16">
        <v>90.0</v>
      </c>
      <c r="B843" s="16" t="s">
        <v>973</v>
      </c>
      <c r="C843" s="53">
        <v>0.0</v>
      </c>
      <c r="D843" s="53" t="s">
        <v>973</v>
      </c>
      <c r="E843" s="7">
        <v>695.0</v>
      </c>
      <c r="F843" s="53"/>
      <c r="G843" s="7">
        <v>0.0</v>
      </c>
      <c r="H843" s="16">
        <v>0.0</v>
      </c>
      <c r="I843" s="81">
        <v>1.0</v>
      </c>
      <c r="J843" s="39" t="s">
        <v>115</v>
      </c>
      <c r="K843" s="53"/>
      <c r="L843" s="53"/>
      <c r="M843" s="39" t="str">
        <f t="shared" si="1"/>
        <v>[https://link.springer.com/article/10.1007/PL00013391 SHEFFER A.; DE STURLER E. 2000 (2000)]</v>
      </c>
      <c r="N843" s="39" t="s">
        <v>5102</v>
      </c>
      <c r="O843" s="81">
        <v>2000.0</v>
      </c>
      <c r="P843" s="25" t="s">
        <v>5103</v>
      </c>
      <c r="Q843" s="82"/>
      <c r="R843" s="82"/>
      <c r="S843" s="82"/>
      <c r="T843" s="16">
        <v>0.0</v>
      </c>
      <c r="U843" s="16">
        <v>0.0</v>
      </c>
      <c r="V843" s="89">
        <f>IFERROR(__xludf.DUMMYFUNCTION("INDEX(SPLIT(SUBSTITUTE(W843,CHAR(10), """"),"",:""), MATCH(Z843, SPLIT(SUBSTITUTE(W843,CHAR(10), """"),"",:""), 0) + 1)"),5.0)</f>
        <v>5</v>
      </c>
      <c r="W843" s="85" t="s">
        <v>1938</v>
      </c>
      <c r="X843" s="39" t="s">
        <v>115</v>
      </c>
      <c r="Y843" s="53"/>
      <c r="Z843" s="53" t="str">
        <f t="array" ref="Z843">INDEX(Problems!J:J, MATCH(1, (Problems!B:B=B843)*1, 0))</f>
        <v>n</v>
      </c>
      <c r="AA843" s="53"/>
      <c r="AB843" s="53"/>
      <c r="AC843" s="53"/>
      <c r="AD843" s="53"/>
      <c r="AE843" s="85" t="str">
        <f>IFERROR(__xludf.DUMMYFUNCTION("INDEX(SPLIT(SUBSTITUTE(AF843,CHAR(10), """"),"",:""), MATCH(Z843, SPLIT(SUBSTITUTE(AF843,CHAR(10), """"),"",:""), 0) + 1)"),"#VALUE!")</f>
        <v>#VALUE!</v>
      </c>
      <c r="AF843" s="131"/>
      <c r="AG843" s="53"/>
      <c r="AH843" s="53"/>
      <c r="AI843" s="87"/>
      <c r="AJ843" s="84" t="s">
        <v>2520</v>
      </c>
      <c r="AK843" s="87"/>
      <c r="AL843" s="81">
        <v>0.0</v>
      </c>
      <c r="AM843" s="87"/>
      <c r="AN843" s="81">
        <v>0.0</v>
      </c>
      <c r="AO843" s="90"/>
      <c r="AP843" s="81">
        <v>0.0</v>
      </c>
      <c r="AQ843" s="81">
        <v>0.0</v>
      </c>
      <c r="AR843" s="39"/>
      <c r="AS843" s="81">
        <v>0.0</v>
      </c>
      <c r="AT843" s="81">
        <v>0.0</v>
      </c>
      <c r="AU843" s="39"/>
      <c r="AV843" s="82"/>
      <c r="AW843" s="82"/>
      <c r="AX843" s="82"/>
      <c r="AY843" s="7"/>
      <c r="AZ843" s="7"/>
      <c r="BA843" s="7"/>
      <c r="BB843" s="7"/>
      <c r="BC843" s="7"/>
      <c r="BD843" s="7"/>
      <c r="BE843" s="7"/>
      <c r="BF843" s="7">
        <v>1000000.0</v>
      </c>
      <c r="BG843" s="13"/>
      <c r="BH843" s="82"/>
      <c r="BI843" s="82"/>
      <c r="BJ843" s="82"/>
      <c r="BK843" s="82"/>
      <c r="BL843" s="82"/>
      <c r="BM843" s="82"/>
      <c r="BN843" s="7"/>
      <c r="BO843" s="7">
        <v>4.0</v>
      </c>
      <c r="BP843" s="82"/>
      <c r="BQ843" s="7"/>
      <c r="BR843" s="7" t="s">
        <v>196</v>
      </c>
    </row>
    <row r="844">
      <c r="A844" s="16">
        <v>90.0</v>
      </c>
      <c r="B844" s="16" t="s">
        <v>973</v>
      </c>
      <c r="C844" s="53">
        <v>0.0</v>
      </c>
      <c r="D844" s="53" t="s">
        <v>973</v>
      </c>
      <c r="E844" s="7">
        <v>696.0</v>
      </c>
      <c r="F844" s="53"/>
      <c r="G844" s="7">
        <v>0.0</v>
      </c>
      <c r="H844" s="16">
        <v>0.0</v>
      </c>
      <c r="I844" s="81">
        <v>1.0</v>
      </c>
      <c r="J844" s="39" t="s">
        <v>115</v>
      </c>
      <c r="K844" s="53"/>
      <c r="L844" s="53"/>
      <c r="M844" s="39" t="str">
        <f t="shared" si="1"/>
        <v>[https://hal.inria.fr/inria-00105689/document SHEFFER A.; LÉVY B.; MOGILNITSKY M.; BOGOMYAKOV A. 2005 (2005)]</v>
      </c>
      <c r="N844" s="39" t="s">
        <v>5104</v>
      </c>
      <c r="O844" s="81">
        <v>2005.0</v>
      </c>
      <c r="P844" s="25" t="s">
        <v>5105</v>
      </c>
      <c r="Q844" s="82"/>
      <c r="R844" s="82"/>
      <c r="S844" s="82"/>
      <c r="T844" s="16">
        <v>0.0</v>
      </c>
      <c r="U844" s="16">
        <v>0.0</v>
      </c>
      <c r="V844" s="89">
        <f>IFERROR(__xludf.DUMMYFUNCTION("INDEX(SPLIT(SUBSTITUTE(W844,CHAR(10), """"),"",:""), MATCH(Z844, SPLIT(SUBSTITUTE(W844,CHAR(10), """"),"",:""), 0) + 1)"),5.0)</f>
        <v>5</v>
      </c>
      <c r="W844" s="85" t="s">
        <v>1938</v>
      </c>
      <c r="X844" s="39" t="s">
        <v>115</v>
      </c>
      <c r="Y844" s="53"/>
      <c r="Z844" s="53" t="str">
        <f t="array" ref="Z844">INDEX(Problems!J:J, MATCH(1, (Problems!B:B=B844)*1, 0))</f>
        <v>n</v>
      </c>
      <c r="AA844" s="53"/>
      <c r="AB844" s="53"/>
      <c r="AC844" s="53"/>
      <c r="AD844" s="53"/>
      <c r="AE844" s="85" t="str">
        <f>IFERROR(__xludf.DUMMYFUNCTION("INDEX(SPLIT(SUBSTITUTE(AF844,CHAR(10), """"),"",:""), MATCH(Z844, SPLIT(SUBSTITUTE(AF844,CHAR(10), """"),"",:""), 0) + 1)"),"#VALUE!")</f>
        <v>#VALUE!</v>
      </c>
      <c r="AF844" s="131"/>
      <c r="AG844" s="53"/>
      <c r="AH844" s="53"/>
      <c r="AI844" s="87"/>
      <c r="AJ844" s="84" t="s">
        <v>2520</v>
      </c>
      <c r="AK844" s="87"/>
      <c r="AL844" s="81">
        <v>0.0</v>
      </c>
      <c r="AM844" s="87"/>
      <c r="AN844" s="81">
        <v>0.0</v>
      </c>
      <c r="AO844" s="90"/>
      <c r="AP844" s="81">
        <v>0.0</v>
      </c>
      <c r="AQ844" s="81">
        <v>0.0</v>
      </c>
      <c r="AR844" s="39"/>
      <c r="AS844" s="81">
        <v>0.0</v>
      </c>
      <c r="AT844" s="81">
        <v>0.0</v>
      </c>
      <c r="AU844" s="39"/>
      <c r="AV844" s="82"/>
      <c r="AW844" s="82"/>
      <c r="AX844" s="82"/>
      <c r="AY844" s="7"/>
      <c r="AZ844" s="7"/>
      <c r="BA844" s="7"/>
      <c r="BB844" s="7"/>
      <c r="BC844" s="7"/>
      <c r="BD844" s="7"/>
      <c r="BE844" s="7"/>
      <c r="BF844" s="7">
        <v>1000000.0</v>
      </c>
      <c r="BG844" s="13"/>
      <c r="BH844" s="82"/>
      <c r="BI844" s="82"/>
      <c r="BJ844" s="82"/>
      <c r="BK844" s="82"/>
      <c r="BL844" s="82"/>
      <c r="BM844" s="82"/>
      <c r="BN844" s="7"/>
      <c r="BO844" s="7">
        <v>4.0</v>
      </c>
      <c r="BP844" s="82"/>
      <c r="BQ844" s="7"/>
      <c r="BR844" s="7" t="s">
        <v>196</v>
      </c>
    </row>
    <row r="845">
      <c r="A845" s="16">
        <v>90.0</v>
      </c>
      <c r="B845" s="16" t="s">
        <v>973</v>
      </c>
      <c r="C845" s="53">
        <v>0.0</v>
      </c>
      <c r="D845" s="53" t="s">
        <v>973</v>
      </c>
      <c r="E845" s="7">
        <v>697.0</v>
      </c>
      <c r="F845" s="53"/>
      <c r="G845" s="7">
        <v>0.0</v>
      </c>
      <c r="H845" s="16">
        <v>0.0</v>
      </c>
      <c r="I845" s="81">
        <v>1.0</v>
      </c>
      <c r="J845" s="39" t="s">
        <v>35</v>
      </c>
      <c r="K845" s="53"/>
      <c r="L845" s="53"/>
      <c r="M845" s="39" t="str">
        <f t="shared" si="1"/>
        <v>[https://dl.acm.org/doi/10.5555/1281991.1282010 ZAYER R.; LÉVY B.; SEIDEL H.-P. 2007 (2007)]</v>
      </c>
      <c r="N845" s="39" t="s">
        <v>5106</v>
      </c>
      <c r="O845" s="81">
        <v>2007.0</v>
      </c>
      <c r="P845" s="25" t="s">
        <v>5107</v>
      </c>
      <c r="Q845" s="82"/>
      <c r="R845" s="82"/>
      <c r="S845" s="82"/>
      <c r="T845" s="16">
        <v>1.0</v>
      </c>
      <c r="U845" s="16" t="s">
        <v>1818</v>
      </c>
      <c r="V845" s="89">
        <f>IFERROR(__xludf.DUMMYFUNCTION("INDEX(SPLIT(SUBSTITUTE(W845,CHAR(10), """"),"",:""), MATCH(Z845, SPLIT(SUBSTITUTE(W845,CHAR(10), """"),"",:""), 0) + 1)"),3.0)</f>
        <v>3</v>
      </c>
      <c r="W845" s="85" t="s">
        <v>1763</v>
      </c>
      <c r="X845" s="39" t="s">
        <v>35</v>
      </c>
      <c r="Y845" s="53"/>
      <c r="Z845" s="53" t="str">
        <f t="array" ref="Z845">INDEX(Problems!J:J, MATCH(1, (Problems!B:B=B845)*1, 0))</f>
        <v>n</v>
      </c>
      <c r="AA845" s="53"/>
      <c r="AB845" s="53"/>
      <c r="AC845" s="53"/>
      <c r="AD845" s="53"/>
      <c r="AE845" s="85" t="str">
        <f>IFERROR(__xludf.DUMMYFUNCTION("INDEX(SPLIT(SUBSTITUTE(AF845,CHAR(10), """"),"",:""), MATCH(Z845, SPLIT(SUBSTITUTE(AF845,CHAR(10), """"),"",:""), 0) + 1)"),"#VALUE!")</f>
        <v>#VALUE!</v>
      </c>
      <c r="AF845" s="131"/>
      <c r="AG845" s="53"/>
      <c r="AH845" s="53"/>
      <c r="AI845" s="87"/>
      <c r="AJ845" s="84" t="s">
        <v>2520</v>
      </c>
      <c r="AK845" s="87"/>
      <c r="AL845" s="81">
        <v>0.0</v>
      </c>
      <c r="AM845" s="87"/>
      <c r="AN845" s="81">
        <v>0.0</v>
      </c>
      <c r="AO845" s="90"/>
      <c r="AP845" s="81">
        <v>0.0</v>
      </c>
      <c r="AQ845" s="81">
        <v>0.0</v>
      </c>
      <c r="AR845" s="39"/>
      <c r="AS845" s="81">
        <v>0.0</v>
      </c>
      <c r="AT845" s="81">
        <v>0.0</v>
      </c>
      <c r="AU845" s="39"/>
      <c r="AV845" s="82"/>
      <c r="AW845" s="82"/>
      <c r="AX845" s="82"/>
      <c r="AY845" s="7"/>
      <c r="AZ845" s="7"/>
      <c r="BA845" s="7"/>
      <c r="BB845" s="7"/>
      <c r="BC845" s="7"/>
      <c r="BD845" s="7"/>
      <c r="BE845" s="7"/>
      <c r="BF845" s="7">
        <v>1000.0</v>
      </c>
      <c r="BG845" s="13"/>
      <c r="BH845" s="82"/>
      <c r="BI845" s="82"/>
      <c r="BJ845" s="82"/>
      <c r="BK845" s="82"/>
      <c r="BL845" s="82"/>
      <c r="BM845" s="82"/>
      <c r="BN845" s="7"/>
      <c r="BO845" s="7">
        <v>4.0</v>
      </c>
      <c r="BP845" s="82"/>
      <c r="BQ845" s="7"/>
      <c r="BR845" s="7" t="s">
        <v>196</v>
      </c>
    </row>
    <row r="846">
      <c r="A846" s="16">
        <v>90.0</v>
      </c>
      <c r="B846" s="16" t="s">
        <v>973</v>
      </c>
      <c r="C846" s="53">
        <v>0.0</v>
      </c>
      <c r="D846" s="53" t="s">
        <v>973</v>
      </c>
      <c r="E846" s="7">
        <v>698.0</v>
      </c>
      <c r="F846" s="53"/>
      <c r="G846" s="7">
        <v>0.0</v>
      </c>
      <c r="H846" s="16">
        <v>0.0</v>
      </c>
      <c r="I846" s="81">
        <v>1.0</v>
      </c>
      <c r="J846" s="39" t="s">
        <v>115</v>
      </c>
      <c r="K846" s="53"/>
      <c r="L846" s="53"/>
      <c r="M846" s="39" t="str">
        <f t="shared" si="1"/>
        <v>[https://dl.acm.org/doi/pdf/10.1145/383259.383307 SANDER P. V.; SNYDER J.; GORTER S. J.; HOPPE 2001 (2001)]</v>
      </c>
      <c r="N846" s="39" t="s">
        <v>5108</v>
      </c>
      <c r="O846" s="81">
        <v>2001.0</v>
      </c>
      <c r="P846" s="25" t="s">
        <v>5109</v>
      </c>
      <c r="Q846" s="82"/>
      <c r="R846" s="82"/>
      <c r="S846" s="82"/>
      <c r="T846" s="16">
        <v>0.0</v>
      </c>
      <c r="U846" s="16">
        <v>0.0</v>
      </c>
      <c r="V846" s="89">
        <f>IFERROR(__xludf.DUMMYFUNCTION("INDEX(SPLIT(SUBSTITUTE(W846,CHAR(10), """"),"",:""), MATCH(Z846, SPLIT(SUBSTITUTE(W846,CHAR(10), """"),"",:""), 0) + 1)"),5.0)</f>
        <v>5</v>
      </c>
      <c r="W846" s="85" t="s">
        <v>1938</v>
      </c>
      <c r="X846" s="39" t="s">
        <v>115</v>
      </c>
      <c r="Y846" s="53"/>
      <c r="Z846" s="53" t="str">
        <f t="array" ref="Z846">INDEX(Problems!J:J, MATCH(1, (Problems!B:B=B846)*1, 0))</f>
        <v>n</v>
      </c>
      <c r="AA846" s="53"/>
      <c r="AB846" s="53"/>
      <c r="AC846" s="53"/>
      <c r="AD846" s="53"/>
      <c r="AE846" s="85" t="str">
        <f>IFERROR(__xludf.DUMMYFUNCTION("INDEX(SPLIT(SUBSTITUTE(AF846,CHAR(10), """"),"",:""), MATCH(Z846, SPLIT(SUBSTITUTE(AF846,CHAR(10), """"),"",:""), 0) + 1)"),"#VALUE!")</f>
        <v>#VALUE!</v>
      </c>
      <c r="AF846" s="131"/>
      <c r="AG846" s="53"/>
      <c r="AH846" s="53"/>
      <c r="AI846" s="87"/>
      <c r="AJ846" s="84" t="s">
        <v>2520</v>
      </c>
      <c r="AK846" s="87"/>
      <c r="AL846" s="81">
        <v>0.0</v>
      </c>
      <c r="AM846" s="87"/>
      <c r="AN846" s="81">
        <v>0.0</v>
      </c>
      <c r="AO846" s="90"/>
      <c r="AP846" s="81">
        <v>0.0</v>
      </c>
      <c r="AQ846" s="81">
        <v>0.0</v>
      </c>
      <c r="AR846" s="39"/>
      <c r="AS846" s="81">
        <v>0.0</v>
      </c>
      <c r="AT846" s="81">
        <v>0.0</v>
      </c>
      <c r="AU846" s="39"/>
      <c r="AV846" s="82"/>
      <c r="AW846" s="82"/>
      <c r="AX846" s="82"/>
      <c r="AY846" s="7"/>
      <c r="AZ846" s="7"/>
      <c r="BA846" s="7"/>
      <c r="BB846" s="7"/>
      <c r="BC846" s="7"/>
      <c r="BD846" s="7"/>
      <c r="BE846" s="7"/>
      <c r="BF846" s="7">
        <v>1000000.0</v>
      </c>
      <c r="BG846" s="13"/>
      <c r="BH846" s="82"/>
      <c r="BI846" s="82"/>
      <c r="BJ846" s="82"/>
      <c r="BK846" s="82"/>
      <c r="BL846" s="82"/>
      <c r="BM846" s="82"/>
      <c r="BN846" s="7"/>
      <c r="BO846" s="7">
        <v>4.0</v>
      </c>
      <c r="BP846" s="82"/>
      <c r="BQ846" s="7"/>
      <c r="BR846" s="7" t="s">
        <v>196</v>
      </c>
    </row>
    <row r="847">
      <c r="A847" s="16">
        <v>90.0</v>
      </c>
      <c r="B847" s="16" t="s">
        <v>973</v>
      </c>
      <c r="C847" s="53">
        <v>0.0</v>
      </c>
      <c r="D847" s="53" t="s">
        <v>973</v>
      </c>
      <c r="E847" s="7">
        <v>699.0</v>
      </c>
      <c r="F847" s="53"/>
      <c r="G847" s="7">
        <v>0.0</v>
      </c>
      <c r="H847" s="16">
        <v>0.0</v>
      </c>
      <c r="I847" s="81">
        <v>1.0</v>
      </c>
      <c r="J847" s="39" t="s">
        <v>115</v>
      </c>
      <c r="K847" s="53"/>
      <c r="L847" s="53"/>
      <c r="M847" s="39" t="str">
        <f t="shared" si="1"/>
        <v>[ YAN J. Q.; YANG X.; SHI P. F 2006 (2006)]</v>
      </c>
      <c r="N847" s="39" t="s">
        <v>5110</v>
      </c>
      <c r="O847" s="81">
        <v>2006.0</v>
      </c>
      <c r="P847" s="39"/>
      <c r="Q847" s="82"/>
      <c r="R847" s="82"/>
      <c r="S847" s="82"/>
      <c r="T847" s="16">
        <v>0.0</v>
      </c>
      <c r="U847" s="16">
        <v>0.0</v>
      </c>
      <c r="V847" s="89">
        <f>IFERROR(__xludf.DUMMYFUNCTION("INDEX(SPLIT(SUBSTITUTE(W847,CHAR(10), """"),"",:""), MATCH(Z847, SPLIT(SUBSTITUTE(W847,CHAR(10), """"),"",:""), 0) + 1)"),5.0)</f>
        <v>5</v>
      </c>
      <c r="W847" s="85" t="s">
        <v>1938</v>
      </c>
      <c r="X847" s="39" t="s">
        <v>115</v>
      </c>
      <c r="Y847" s="53"/>
      <c r="Z847" s="53" t="str">
        <f t="array" ref="Z847">INDEX(Problems!J:J, MATCH(1, (Problems!B:B=B847)*1, 0))</f>
        <v>n</v>
      </c>
      <c r="AA847" s="53"/>
      <c r="AB847" s="53"/>
      <c r="AC847" s="53"/>
      <c r="AD847" s="53"/>
      <c r="AE847" s="85" t="str">
        <f>IFERROR(__xludf.DUMMYFUNCTION("INDEX(SPLIT(SUBSTITUTE(AF847,CHAR(10), """"),"",:""), MATCH(Z847, SPLIT(SUBSTITUTE(AF847,CHAR(10), """"),"",:""), 0) + 1)"),"#VALUE!")</f>
        <v>#VALUE!</v>
      </c>
      <c r="AF847" s="131"/>
      <c r="AG847" s="53"/>
      <c r="AH847" s="53"/>
      <c r="AI847" s="87"/>
      <c r="AJ847" s="84" t="s">
        <v>2520</v>
      </c>
      <c r="AK847" s="87"/>
      <c r="AL847" s="81">
        <v>0.0</v>
      </c>
      <c r="AM847" s="87"/>
      <c r="AN847" s="81">
        <v>0.0</v>
      </c>
      <c r="AO847" s="90"/>
      <c r="AP847" s="81">
        <v>0.0</v>
      </c>
      <c r="AQ847" s="81">
        <v>0.0</v>
      </c>
      <c r="AR847" s="39"/>
      <c r="AS847" s="81">
        <v>0.0</v>
      </c>
      <c r="AT847" s="81">
        <v>0.0</v>
      </c>
      <c r="AU847" s="39"/>
      <c r="AV847" s="82"/>
      <c r="AW847" s="82"/>
      <c r="AX847" s="82"/>
      <c r="AY847" s="7"/>
      <c r="AZ847" s="7"/>
      <c r="BA847" s="7"/>
      <c r="BB847" s="7"/>
      <c r="BC847" s="7"/>
      <c r="BD847" s="7"/>
      <c r="BE847" s="7"/>
      <c r="BF847" s="7">
        <v>1000000.0</v>
      </c>
      <c r="BG847" s="13"/>
      <c r="BH847" s="82"/>
      <c r="BI847" s="82"/>
      <c r="BJ847" s="82"/>
      <c r="BK847" s="82"/>
      <c r="BL847" s="82"/>
      <c r="BM847" s="82"/>
      <c r="BN847" s="7"/>
      <c r="BO847" s="7">
        <v>4.0</v>
      </c>
      <c r="BP847" s="82"/>
      <c r="BQ847" s="7"/>
      <c r="BR847" s="7" t="s">
        <v>196</v>
      </c>
    </row>
    <row r="848">
      <c r="A848" s="16">
        <v>90.0</v>
      </c>
      <c r="B848" s="16" t="s">
        <v>973</v>
      </c>
      <c r="C848" s="53">
        <v>0.0</v>
      </c>
      <c r="D848" s="53" t="s">
        <v>973</v>
      </c>
      <c r="E848" s="7">
        <v>700.0</v>
      </c>
      <c r="F848" s="53"/>
      <c r="G848" s="7">
        <v>0.0</v>
      </c>
      <c r="H848" s="16">
        <v>0.0</v>
      </c>
      <c r="I848" s="81">
        <v>1.0</v>
      </c>
      <c r="J848" s="39" t="s">
        <v>1788</v>
      </c>
      <c r="K848" s="53"/>
      <c r="L848" s="53"/>
      <c r="M848" s="39" t="str">
        <f t="shared" si="1"/>
        <v>[http://citeseerx.ist.psu.edu/viewdoc/download?doi=10.1.1.226.1150&amp;rep=rep1&amp;type=pdf ZAYER R.; ROESSL C.; SEIDEL H.-P 2005 (2005)]</v>
      </c>
      <c r="N848" s="39" t="s">
        <v>5111</v>
      </c>
      <c r="O848" s="81">
        <v>2005.0</v>
      </c>
      <c r="P848" s="25" t="s">
        <v>5112</v>
      </c>
      <c r="Q848" s="82"/>
      <c r="R848" s="82"/>
      <c r="S848" s="82"/>
      <c r="T848" s="16">
        <v>1.0</v>
      </c>
      <c r="U848" s="16" t="s">
        <v>1952</v>
      </c>
      <c r="V848" s="89">
        <f>IFERROR(__xludf.DUMMYFUNCTION("INDEX(SPLIT(SUBSTITUTE(W848,CHAR(10), """"),"",:""), MATCH(Z848, SPLIT(SUBSTITUTE(W848,CHAR(10), """"),"",:""), 0) + 1)"),4.0)</f>
        <v>4</v>
      </c>
      <c r="W848" s="85" t="s">
        <v>1791</v>
      </c>
      <c r="X848" s="16" t="s">
        <v>1953</v>
      </c>
      <c r="Y848" s="53"/>
      <c r="Z848" s="53" t="str">
        <f t="array" ref="Z848">INDEX(Problems!J:J, MATCH(1, (Problems!B:B=B848)*1, 0))</f>
        <v>n</v>
      </c>
      <c r="AA848" s="53"/>
      <c r="AB848" s="53"/>
      <c r="AC848" s="53"/>
      <c r="AD848" s="53"/>
      <c r="AE848" s="85" t="str">
        <f>IFERROR(__xludf.DUMMYFUNCTION("INDEX(SPLIT(SUBSTITUTE(AF848,CHAR(10), """"),"",:""), MATCH(Z848, SPLIT(SUBSTITUTE(AF848,CHAR(10), """"),"",:""), 0) + 1)"),"#VALUE!")</f>
        <v>#VALUE!</v>
      </c>
      <c r="AF848" s="131"/>
      <c r="AG848" s="53"/>
      <c r="AH848" s="53"/>
      <c r="AI848" s="87"/>
      <c r="AJ848" s="84" t="s">
        <v>2520</v>
      </c>
      <c r="AK848" s="87"/>
      <c r="AL848" s="81">
        <v>0.0</v>
      </c>
      <c r="AM848" s="87"/>
      <c r="AN848" s="81">
        <v>0.0</v>
      </c>
      <c r="AO848" s="90"/>
      <c r="AP848" s="81">
        <v>0.0</v>
      </c>
      <c r="AQ848" s="81">
        <v>0.0</v>
      </c>
      <c r="AR848" s="39"/>
      <c r="AS848" s="81">
        <v>0.0</v>
      </c>
      <c r="AT848" s="81">
        <v>0.0</v>
      </c>
      <c r="AU848" s="39"/>
      <c r="AV848" s="82"/>
      <c r="AW848" s="82"/>
      <c r="AX848" s="82"/>
      <c r="AY848" s="7"/>
      <c r="AZ848" s="7"/>
      <c r="BA848" s="7"/>
      <c r="BB848" s="7"/>
      <c r="BC848" s="7"/>
      <c r="BD848" s="7"/>
      <c r="BE848" s="7"/>
      <c r="BF848" s="7">
        <v>9965.0</v>
      </c>
      <c r="BG848" s="13"/>
      <c r="BH848" s="82"/>
      <c r="BI848" s="82"/>
      <c r="BJ848" s="82"/>
      <c r="BK848" s="82"/>
      <c r="BL848" s="82"/>
      <c r="BM848" s="82"/>
      <c r="BN848" s="7"/>
      <c r="BO848" s="7">
        <v>4.0</v>
      </c>
      <c r="BP848" s="82"/>
      <c r="BQ848" s="7"/>
      <c r="BR848" s="7" t="s">
        <v>196</v>
      </c>
    </row>
    <row r="849">
      <c r="A849" s="16">
        <v>90.0</v>
      </c>
      <c r="B849" s="16" t="s">
        <v>973</v>
      </c>
      <c r="C849" s="53">
        <v>0.0</v>
      </c>
      <c r="D849" s="53" t="s">
        <v>973</v>
      </c>
      <c r="E849" s="7">
        <v>701.0</v>
      </c>
      <c r="F849" s="53"/>
      <c r="G849" s="7">
        <v>0.0</v>
      </c>
      <c r="H849" s="16">
        <v>0.0</v>
      </c>
      <c r="I849" s="81">
        <v>1.0</v>
      </c>
      <c r="J849" s="39" t="s">
        <v>115</v>
      </c>
      <c r="K849" s="53"/>
      <c r="L849" s="53"/>
      <c r="M849" s="39" t="str">
        <f t="shared" si="1"/>
        <v>[https://www.researchgate.net/profile/Alexander_Belyaev5/publication/47861414_A_fast_and_simple_stretch-minimizing_mesh_parameterization/links/5b962a6292851c78c40c0c3f/A-fast-and-simple-stretch-minimizing-mesh-parameterization.pdf YOSHIZAWA S.; BELYAEV A. G.; SEIDEL H.-P 2004 (2004)]</v>
      </c>
      <c r="N849" s="39" t="s">
        <v>5113</v>
      </c>
      <c r="O849" s="81">
        <v>2004.0</v>
      </c>
      <c r="P849" s="17" t="s">
        <v>5114</v>
      </c>
      <c r="Q849" s="82"/>
      <c r="R849" s="82"/>
      <c r="S849" s="82"/>
      <c r="T849" s="16">
        <v>0.0</v>
      </c>
      <c r="U849" s="16">
        <v>0.0</v>
      </c>
      <c r="V849" s="89">
        <f>IFERROR(__xludf.DUMMYFUNCTION("INDEX(SPLIT(SUBSTITUTE(W849,CHAR(10), """"),"",:""), MATCH(Z849, SPLIT(SUBSTITUTE(W849,CHAR(10), """"),"",:""), 0) + 1)"),5.0)</f>
        <v>5</v>
      </c>
      <c r="W849" s="85" t="s">
        <v>1938</v>
      </c>
      <c r="X849" s="39" t="s">
        <v>115</v>
      </c>
      <c r="Y849" s="53"/>
      <c r="Z849" s="53" t="str">
        <f t="array" ref="Z849">INDEX(Problems!J:J, MATCH(1, (Problems!B:B=B849)*1, 0))</f>
        <v>n</v>
      </c>
      <c r="AA849" s="53"/>
      <c r="AB849" s="53"/>
      <c r="AC849" s="53"/>
      <c r="AD849" s="53"/>
      <c r="AE849" s="85" t="str">
        <f>IFERROR(__xludf.DUMMYFUNCTION("INDEX(SPLIT(SUBSTITUTE(AF849,CHAR(10), """"),"",:""), MATCH(Z849, SPLIT(SUBSTITUTE(AF849,CHAR(10), """"),"",:""), 0) + 1)"),"#VALUE!")</f>
        <v>#VALUE!</v>
      </c>
      <c r="AF849" s="131"/>
      <c r="AG849" s="53"/>
      <c r="AH849" s="53"/>
      <c r="AI849" s="87"/>
      <c r="AJ849" s="84" t="s">
        <v>2520</v>
      </c>
      <c r="AK849" s="87"/>
      <c r="AL849" s="81">
        <v>0.0</v>
      </c>
      <c r="AM849" s="87"/>
      <c r="AN849" s="81">
        <v>0.0</v>
      </c>
      <c r="AO849" s="90"/>
      <c r="AP849" s="81">
        <v>0.0</v>
      </c>
      <c r="AQ849" s="81">
        <v>0.0</v>
      </c>
      <c r="AR849" s="39"/>
      <c r="AS849" s="81">
        <v>0.0</v>
      </c>
      <c r="AT849" s="81">
        <v>0.0</v>
      </c>
      <c r="AU849" s="39"/>
      <c r="AV849" s="82"/>
      <c r="AW849" s="82"/>
      <c r="AX849" s="82"/>
      <c r="AY849" s="7"/>
      <c r="AZ849" s="7"/>
      <c r="BA849" s="7"/>
      <c r="BB849" s="7"/>
      <c r="BC849" s="7"/>
      <c r="BD849" s="7"/>
      <c r="BE849" s="7"/>
      <c r="BF849" s="7">
        <v>1000000.0</v>
      </c>
      <c r="BG849" s="13"/>
      <c r="BH849" s="82"/>
      <c r="BI849" s="82"/>
      <c r="BJ849" s="82"/>
      <c r="BK849" s="82"/>
      <c r="BL849" s="82"/>
      <c r="BM849" s="82"/>
      <c r="BN849" s="7"/>
      <c r="BO849" s="7">
        <v>4.0</v>
      </c>
      <c r="BP849" s="82"/>
      <c r="BQ849" s="7"/>
      <c r="BR849" s="7" t="s">
        <v>196</v>
      </c>
    </row>
    <row r="850">
      <c r="A850" s="16">
        <v>90.0</v>
      </c>
      <c r="B850" s="16" t="s">
        <v>973</v>
      </c>
      <c r="C850" s="53">
        <v>0.0</v>
      </c>
      <c r="D850" s="53" t="s">
        <v>973</v>
      </c>
      <c r="E850" s="7">
        <v>702.0</v>
      </c>
      <c r="F850" s="53"/>
      <c r="G850" s="7">
        <v>0.0</v>
      </c>
      <c r="H850" s="16">
        <v>0.0</v>
      </c>
      <c r="I850" s="81">
        <v>1.0</v>
      </c>
      <c r="J850" s="39" t="s">
        <v>115</v>
      </c>
      <c r="K850" s="53"/>
      <c r="L850" s="53"/>
      <c r="M850" s="39" t="str">
        <f t="shared" si="1"/>
        <v>[https://dl.acm.org/doi/10.1145/1236246.1236287 CHEN Z. G.; LIU L. G.; ZHANG Z. Y.; WANG G. J. 2007 (2007)]</v>
      </c>
      <c r="N850" s="39" t="s">
        <v>5115</v>
      </c>
      <c r="O850" s="81">
        <v>2007.0</v>
      </c>
      <c r="P850" s="25" t="s">
        <v>975</v>
      </c>
      <c r="Q850" s="82"/>
      <c r="R850" s="82"/>
      <c r="S850" s="82"/>
      <c r="T850" s="16">
        <v>0.0</v>
      </c>
      <c r="U850" s="16">
        <v>0.0</v>
      </c>
      <c r="V850" s="89">
        <f>IFERROR(__xludf.DUMMYFUNCTION("INDEX(SPLIT(SUBSTITUTE(W850,CHAR(10), """"),"",:""), MATCH(Z850, SPLIT(SUBSTITUTE(W850,CHAR(10), """"),"",:""), 0) + 1)"),5.0)</f>
        <v>5</v>
      </c>
      <c r="W850" s="85" t="s">
        <v>1938</v>
      </c>
      <c r="X850" s="39" t="s">
        <v>115</v>
      </c>
      <c r="Y850" s="53"/>
      <c r="Z850" s="53" t="str">
        <f t="array" ref="Z850">INDEX(Problems!J:J, MATCH(1, (Problems!B:B=B850)*1, 0))</f>
        <v>n</v>
      </c>
      <c r="AA850" s="53"/>
      <c r="AB850" s="53"/>
      <c r="AC850" s="53"/>
      <c r="AD850" s="53"/>
      <c r="AE850" s="85" t="str">
        <f>IFERROR(__xludf.DUMMYFUNCTION("INDEX(SPLIT(SUBSTITUTE(AF850,CHAR(10), """"),"",:""), MATCH(Z850, SPLIT(SUBSTITUTE(AF850,CHAR(10), """"),"",:""), 0) + 1)"),"#VALUE!")</f>
        <v>#VALUE!</v>
      </c>
      <c r="AF850" s="131"/>
      <c r="AG850" s="53"/>
      <c r="AH850" s="53"/>
      <c r="AI850" s="87"/>
      <c r="AJ850" s="84" t="s">
        <v>2520</v>
      </c>
      <c r="AK850" s="87"/>
      <c r="AL850" s="81">
        <v>0.0</v>
      </c>
      <c r="AM850" s="87"/>
      <c r="AN850" s="81">
        <v>0.0</v>
      </c>
      <c r="AO850" s="90"/>
      <c r="AP850" s="81">
        <v>0.0</v>
      </c>
      <c r="AQ850" s="81">
        <v>0.0</v>
      </c>
      <c r="AR850" s="39"/>
      <c r="AS850" s="81">
        <v>0.0</v>
      </c>
      <c r="AT850" s="81">
        <v>0.0</v>
      </c>
      <c r="AU850" s="39"/>
      <c r="AV850" s="82"/>
      <c r="AW850" s="82"/>
      <c r="AX850" s="82"/>
      <c r="AY850" s="7"/>
      <c r="AZ850" s="7"/>
      <c r="BA850" s="7"/>
      <c r="BB850" s="7"/>
      <c r="BC850" s="7"/>
      <c r="BD850" s="7"/>
      <c r="BE850" s="7"/>
      <c r="BF850" s="7">
        <v>1000000.0</v>
      </c>
      <c r="BG850" s="13"/>
      <c r="BH850" s="82"/>
      <c r="BI850" s="82"/>
      <c r="BJ850" s="82"/>
      <c r="BK850" s="82"/>
      <c r="BL850" s="82"/>
      <c r="BM850" s="82"/>
      <c r="BN850" s="7"/>
      <c r="BO850" s="7">
        <v>4.0</v>
      </c>
      <c r="BP850" s="82"/>
      <c r="BQ850" s="7"/>
      <c r="BR850" s="7" t="s">
        <v>196</v>
      </c>
    </row>
    <row r="851">
      <c r="A851" s="16">
        <v>90.0</v>
      </c>
      <c r="B851" s="16" t="s">
        <v>973</v>
      </c>
      <c r="C851" s="53">
        <v>0.0</v>
      </c>
      <c r="D851" s="53" t="s">
        <v>973</v>
      </c>
      <c r="E851" s="7">
        <v>703.0</v>
      </c>
      <c r="F851" s="53"/>
      <c r="G851" s="7">
        <v>0.0</v>
      </c>
      <c r="H851" s="16">
        <v>0.0</v>
      </c>
      <c r="I851" s="81">
        <v>1.0</v>
      </c>
      <c r="J851" s="39" t="s">
        <v>5116</v>
      </c>
      <c r="K851" s="53"/>
      <c r="L851" s="53"/>
      <c r="M851" s="39" t="str">
        <f t="shared" si="1"/>
        <v>[ YANG Y.; KIM J.; LUO F.; HU S.; GU X. 2008 (2008)]</v>
      </c>
      <c r="N851" s="39" t="s">
        <v>5117</v>
      </c>
      <c r="O851" s="81">
        <v>2008.0</v>
      </c>
      <c r="P851" s="39"/>
      <c r="Q851" s="82"/>
      <c r="R851" s="82"/>
      <c r="S851" s="82"/>
      <c r="T851" s="16">
        <v>0.0</v>
      </c>
      <c r="U851" s="16">
        <v>0.0</v>
      </c>
      <c r="V851" s="89">
        <f>IFERROR(__xludf.DUMMYFUNCTION("INDEX(SPLIT(SUBSTITUTE(W851,CHAR(10), """"),"",:""), MATCH(Z851, SPLIT(SUBSTITUTE(W851,CHAR(10), """"),"",:""), 0) + 1)"),3.99)</f>
        <v>3.99</v>
      </c>
      <c r="W851" s="85" t="s">
        <v>4637</v>
      </c>
      <c r="X851" s="16" t="s">
        <v>5118</v>
      </c>
      <c r="Y851" s="53"/>
      <c r="Z851" s="53" t="str">
        <f t="array" ref="Z851">INDEX(Problems!J:J, MATCH(1, (Problems!B:B=B851)*1, 0))</f>
        <v>n</v>
      </c>
      <c r="AA851" s="53"/>
      <c r="AB851" s="53"/>
      <c r="AC851" s="53"/>
      <c r="AD851" s="53"/>
      <c r="AE851" s="85" t="str">
        <f>IFERROR(__xludf.DUMMYFUNCTION("INDEX(SPLIT(SUBSTITUTE(AF851,CHAR(10), """"),"",:""), MATCH(Z851, SPLIT(SUBSTITUTE(AF851,CHAR(10), """"),"",:""), 0) + 1)"),"#VALUE!")</f>
        <v>#VALUE!</v>
      </c>
      <c r="AF851" s="131"/>
      <c r="AG851" s="53"/>
      <c r="AH851" s="53"/>
      <c r="AI851" s="87"/>
      <c r="AJ851" s="84" t="s">
        <v>2520</v>
      </c>
      <c r="AK851" s="87"/>
      <c r="AL851" s="81">
        <v>0.0</v>
      </c>
      <c r="AM851" s="87"/>
      <c r="AN851" s="81">
        <v>0.0</v>
      </c>
      <c r="AO851" s="90"/>
      <c r="AP851" s="81">
        <v>0.0</v>
      </c>
      <c r="AQ851" s="81">
        <v>0.0</v>
      </c>
      <c r="AR851" s="39"/>
      <c r="AS851" s="81">
        <v>0.0</v>
      </c>
      <c r="AT851" s="81">
        <v>0.0</v>
      </c>
      <c r="AU851" s="39"/>
      <c r="AV851" s="82"/>
      <c r="AW851" s="82"/>
      <c r="AX851" s="82"/>
      <c r="AY851" s="7"/>
      <c r="AZ851" s="82"/>
      <c r="BA851" s="82"/>
      <c r="BB851" s="82"/>
      <c r="BC851" s="82"/>
      <c r="BD851" s="82"/>
      <c r="BE851" s="82"/>
      <c r="BF851" s="82"/>
      <c r="BG851" s="82"/>
      <c r="BH851" s="82"/>
      <c r="BI851" s="82"/>
      <c r="BJ851" s="82"/>
      <c r="BK851" s="82"/>
      <c r="BL851" s="82"/>
      <c r="BM851" s="82"/>
      <c r="BN851" s="7"/>
      <c r="BO851" s="7">
        <v>4.0</v>
      </c>
      <c r="BP851" s="82"/>
      <c r="BQ851" s="7"/>
      <c r="BR851" s="7" t="s">
        <v>196</v>
      </c>
    </row>
    <row r="852">
      <c r="A852" s="16">
        <v>90.0</v>
      </c>
      <c r="B852" s="16" t="s">
        <v>973</v>
      </c>
      <c r="C852" s="53">
        <v>0.0</v>
      </c>
      <c r="D852" s="53" t="s">
        <v>973</v>
      </c>
      <c r="E852" s="7">
        <v>704.0</v>
      </c>
      <c r="F852" s="53"/>
      <c r="G852" s="7">
        <v>0.0</v>
      </c>
      <c r="H852" s="16">
        <v>0.0</v>
      </c>
      <c r="I852" s="81">
        <v>1.0</v>
      </c>
      <c r="J852" s="39" t="s">
        <v>5119</v>
      </c>
      <c r="K852" s="53"/>
      <c r="L852" s="53"/>
      <c r="M852" s="39" t="str">
        <f t="shared" si="1"/>
        <v>[http://www.cs.technion.ac.il/~gotsman/AmendedPubl/Miri/EG08_Conf.pdf BEN-CHEN M.; GOTSMAN C.; BUNIN G. 2008 (2008)]</v>
      </c>
      <c r="N852" s="39" t="s">
        <v>5120</v>
      </c>
      <c r="O852" s="81">
        <v>2008.0</v>
      </c>
      <c r="P852" s="25" t="s">
        <v>5121</v>
      </c>
      <c r="Q852" s="82"/>
      <c r="R852" s="82"/>
      <c r="S852" s="82"/>
      <c r="T852" s="16">
        <v>0.0</v>
      </c>
      <c r="U852" s="16">
        <v>0.0</v>
      </c>
      <c r="V852" s="89">
        <f>IFERROR(__xludf.DUMMYFUNCTION("INDEX(SPLIT(SUBSTITUTE(W852,CHAR(10), """"),"",:""), MATCH(Z852, SPLIT(SUBSTITUTE(W852,CHAR(10), """"),"",:""), 0) + 1)"),4.01)</f>
        <v>4.01</v>
      </c>
      <c r="W852" s="85" t="s">
        <v>2691</v>
      </c>
      <c r="X852" s="16" t="s">
        <v>5122</v>
      </c>
      <c r="Y852" s="53"/>
      <c r="Z852" s="53" t="str">
        <f t="array" ref="Z852">INDEX(Problems!J:J, MATCH(1, (Problems!B:B=B852)*1, 0))</f>
        <v>n</v>
      </c>
      <c r="AA852" s="53"/>
      <c r="AB852" s="53"/>
      <c r="AC852" s="53"/>
      <c r="AD852" s="53"/>
      <c r="AE852" s="85" t="str">
        <f>IFERROR(__xludf.DUMMYFUNCTION("INDEX(SPLIT(SUBSTITUTE(AF852,CHAR(10), """"),"",:""), MATCH(Z852, SPLIT(SUBSTITUTE(AF852,CHAR(10), """"),"",:""), 0) + 1)"),"#VALUE!")</f>
        <v>#VALUE!</v>
      </c>
      <c r="AF852" s="131"/>
      <c r="AG852" s="53"/>
      <c r="AH852" s="53"/>
      <c r="AI852" s="87"/>
      <c r="AJ852" s="84" t="s">
        <v>2520</v>
      </c>
      <c r="AK852" s="87"/>
      <c r="AL852" s="81">
        <v>0.0</v>
      </c>
      <c r="AM852" s="87"/>
      <c r="AN852" s="81">
        <v>0.0</v>
      </c>
      <c r="AO852" s="90"/>
      <c r="AP852" s="81">
        <v>0.0</v>
      </c>
      <c r="AQ852" s="81">
        <v>0.0</v>
      </c>
      <c r="AR852" s="39"/>
      <c r="AS852" s="81">
        <v>0.0</v>
      </c>
      <c r="AT852" s="81">
        <v>0.0</v>
      </c>
      <c r="AU852" s="39"/>
      <c r="AV852" s="82"/>
      <c r="AW852" s="82"/>
      <c r="AX852" s="82"/>
      <c r="AY852" s="7"/>
      <c r="AZ852" s="7"/>
      <c r="BA852" s="7"/>
      <c r="BB852" s="7"/>
      <c r="BC852" s="7"/>
      <c r="BD852" s="7"/>
      <c r="BE852" s="7"/>
      <c r="BF852" s="7">
        <v>99301.0</v>
      </c>
      <c r="BG852" s="82"/>
      <c r="BH852" s="82"/>
      <c r="BI852" s="82"/>
      <c r="BJ852" s="82"/>
      <c r="BK852" s="82"/>
      <c r="BL852" s="82"/>
      <c r="BM852" s="82"/>
      <c r="BN852" s="7"/>
      <c r="BO852" s="7">
        <v>4.0</v>
      </c>
      <c r="BP852" s="82"/>
      <c r="BQ852" s="7"/>
      <c r="BR852" s="7" t="s">
        <v>196</v>
      </c>
    </row>
    <row r="853">
      <c r="A853" s="16">
        <v>90.0</v>
      </c>
      <c r="B853" s="16" t="s">
        <v>973</v>
      </c>
      <c r="C853" s="53">
        <v>0.0</v>
      </c>
      <c r="D853" s="53" t="s">
        <v>973</v>
      </c>
      <c r="E853" s="7">
        <v>705.0</v>
      </c>
      <c r="F853" s="53"/>
      <c r="G853" s="7">
        <v>0.0</v>
      </c>
      <c r="H853" s="16">
        <v>0.0</v>
      </c>
      <c r="I853" s="81">
        <v>1.0</v>
      </c>
      <c r="J853" s="39" t="s">
        <v>5119</v>
      </c>
      <c r="K853" s="53"/>
      <c r="L853" s="53"/>
      <c r="M853" s="39" t="str">
        <f t="shared" si="1"/>
        <v>[https://dl.acm.org/doi/10.1145/1399504.1360676 SPRINGBORN B.; SCHROEDER P.; PINKALL U. 2008 (2008)]</v>
      </c>
      <c r="N853" s="39" t="s">
        <v>5123</v>
      </c>
      <c r="O853" s="81">
        <v>2008.0</v>
      </c>
      <c r="P853" s="25" t="s">
        <v>5124</v>
      </c>
      <c r="Q853" s="82"/>
      <c r="R853" s="82"/>
      <c r="S853" s="82"/>
      <c r="T853" s="16">
        <v>0.0</v>
      </c>
      <c r="U853" s="16">
        <v>0.0</v>
      </c>
      <c r="V853" s="89">
        <f>IFERROR(__xludf.DUMMYFUNCTION("INDEX(SPLIT(SUBSTITUTE(W853,CHAR(10), """"),"",:""), MATCH(Z853, SPLIT(SUBSTITUTE(W853,CHAR(10), """"),"",:""), 0) + 1)"),4.01)</f>
        <v>4.01</v>
      </c>
      <c r="W853" s="85" t="s">
        <v>2691</v>
      </c>
      <c r="X853" s="16" t="s">
        <v>5122</v>
      </c>
      <c r="Y853" s="53"/>
      <c r="Z853" s="53" t="str">
        <f t="array" ref="Z853">INDEX(Problems!J:J, MATCH(1, (Problems!B:B=B853)*1, 0))</f>
        <v>n</v>
      </c>
      <c r="AA853" s="53"/>
      <c r="AB853" s="53"/>
      <c r="AC853" s="53"/>
      <c r="AD853" s="53"/>
      <c r="AE853" s="85" t="str">
        <f>IFERROR(__xludf.DUMMYFUNCTION("INDEX(SPLIT(SUBSTITUTE(AF853,CHAR(10), """"),"",:""), MATCH(Z853, SPLIT(SUBSTITUTE(AF853,CHAR(10), """"),"",:""), 0) + 1)"),"#VALUE!")</f>
        <v>#VALUE!</v>
      </c>
      <c r="AF853" s="131"/>
      <c r="AG853" s="53"/>
      <c r="AH853" s="53"/>
      <c r="AI853" s="87"/>
      <c r="AJ853" s="84" t="s">
        <v>2520</v>
      </c>
      <c r="AK853" s="87"/>
      <c r="AL853" s="81">
        <v>0.0</v>
      </c>
      <c r="AM853" s="87"/>
      <c r="AN853" s="81">
        <v>0.0</v>
      </c>
      <c r="AO853" s="90"/>
      <c r="AP853" s="81">
        <v>0.0</v>
      </c>
      <c r="AQ853" s="81">
        <v>0.0</v>
      </c>
      <c r="AR853" s="39"/>
      <c r="AS853" s="81">
        <v>0.0</v>
      </c>
      <c r="AT853" s="81">
        <v>0.0</v>
      </c>
      <c r="AU853" s="39"/>
      <c r="AV853" s="82"/>
      <c r="AW853" s="82"/>
      <c r="AX853" s="82"/>
      <c r="AY853" s="7"/>
      <c r="AZ853" s="7"/>
      <c r="BA853" s="7"/>
      <c r="BB853" s="7"/>
      <c r="BC853" s="7"/>
      <c r="BD853" s="7"/>
      <c r="BE853" s="7"/>
      <c r="BF853" s="7">
        <v>99301.0</v>
      </c>
      <c r="BG853" s="82"/>
      <c r="BH853" s="82"/>
      <c r="BI853" s="82"/>
      <c r="BJ853" s="82"/>
      <c r="BK853" s="82"/>
      <c r="BL853" s="82"/>
      <c r="BM853" s="82"/>
      <c r="BN853" s="7"/>
      <c r="BO853" s="7">
        <v>4.0</v>
      </c>
      <c r="BP853" s="82"/>
      <c r="BQ853" s="7"/>
      <c r="BR853" s="7" t="s">
        <v>196</v>
      </c>
    </row>
    <row r="854">
      <c r="A854" s="35">
        <v>91.0</v>
      </c>
      <c r="B854" s="35" t="s">
        <v>976</v>
      </c>
      <c r="C854" s="53">
        <v>1.0</v>
      </c>
      <c r="D854" s="104" t="s">
        <v>976</v>
      </c>
      <c r="E854" s="7">
        <v>706.0</v>
      </c>
      <c r="F854" s="53"/>
      <c r="G854" s="6">
        <v>0.0</v>
      </c>
      <c r="H854" s="35">
        <v>1.0</v>
      </c>
      <c r="I854" s="35">
        <v>1.0</v>
      </c>
      <c r="J854" s="173" t="s">
        <v>834</v>
      </c>
      <c r="K854" s="99"/>
      <c r="L854" s="99"/>
      <c r="M854" s="39" t="str">
        <f t="shared" si="1"/>
        <v>[https://www.jstor.org/stable/2984875 Expectation-Maximization (EM) algorithm (1977)]</v>
      </c>
      <c r="N854" s="35" t="s">
        <v>5125</v>
      </c>
      <c r="O854" s="98">
        <v>1977.0</v>
      </c>
      <c r="P854" s="135" t="s">
        <v>647</v>
      </c>
      <c r="Q854" s="13"/>
      <c r="R854" s="13"/>
      <c r="S854" s="13"/>
      <c r="T854" s="35">
        <v>1.0</v>
      </c>
      <c r="U854" s="35">
        <v>0.0</v>
      </c>
      <c r="V854" s="89">
        <f>IFERROR(__xludf.DUMMYFUNCTION("INDEX(SPLIT(SUBSTITUTE(W854,CHAR(10), """"),"",:""), MATCH(Z854, SPLIT(SUBSTITUTE(W854,CHAR(10), """"),"",:""), 0) + 1)"),6.0)</f>
        <v>6</v>
      </c>
      <c r="W854" s="102" t="s">
        <v>2008</v>
      </c>
      <c r="X854" s="173" t="s">
        <v>834</v>
      </c>
      <c r="Y854" s="53" t="s">
        <v>4306</v>
      </c>
      <c r="Z854" s="53" t="str">
        <f t="array" ref="Z854">INDEX(Problems!J:J, MATCH(1, (Problems!B:B=B854)*1, 0))</f>
        <v>n</v>
      </c>
      <c r="AA854" s="53"/>
      <c r="AB854" s="53"/>
      <c r="AC854" s="53" t="s">
        <v>2152</v>
      </c>
      <c r="AD854" s="53" t="s">
        <v>1814</v>
      </c>
      <c r="AE854" s="85">
        <f>IFERROR(__xludf.DUMMYFUNCTION("INDEX(SPLIT(SUBSTITUTE(AF854,CHAR(10), """"),"",:""), MATCH(Z854, SPLIT(SUBSTITUTE(AF854,CHAR(10), """"),"",:""), 0) + 1)"),3.0)</f>
        <v>3</v>
      </c>
      <c r="AF854" s="85" t="s">
        <v>4307</v>
      </c>
      <c r="AG854" s="53" t="s">
        <v>4308</v>
      </c>
      <c r="AH854" s="53" t="s">
        <v>4309</v>
      </c>
      <c r="AI854" s="21">
        <v>1.0</v>
      </c>
      <c r="AJ854" s="84">
        <v>0.0</v>
      </c>
      <c r="AK854" s="105"/>
      <c r="AL854" s="98">
        <v>0.0</v>
      </c>
      <c r="AM854" s="104"/>
      <c r="AN854" s="35">
        <v>0.0</v>
      </c>
      <c r="AO854" s="110"/>
      <c r="AP854" s="35">
        <v>0.0</v>
      </c>
      <c r="AQ854" s="35">
        <v>0.0</v>
      </c>
      <c r="AR854" s="69"/>
      <c r="AS854" s="98">
        <v>0.0</v>
      </c>
      <c r="AT854" s="98">
        <v>0.0</v>
      </c>
      <c r="AU854" s="69"/>
      <c r="AV854" s="13"/>
      <c r="AW854" s="13"/>
      <c r="AX854" s="13"/>
      <c r="AY854" s="13"/>
      <c r="AZ854" s="6">
        <f> 1000</f>
        <v>1000</v>
      </c>
      <c r="BA854" s="6"/>
      <c r="BB854" s="6">
        <f> 1000000</f>
        <v>1000000</v>
      </c>
      <c r="BC854" s="6"/>
      <c r="BD854" s="6">
        <f> 1000000000</f>
        <v>1000000000</v>
      </c>
      <c r="BE854" s="6"/>
      <c r="BF854" s="6">
        <v>1.0E9</v>
      </c>
      <c r="BG854" s="6">
        <v>1.0</v>
      </c>
      <c r="BH854" s="13"/>
      <c r="BI854" s="13">
        <f>POW(1000000,3)</f>
        <v>1E+18</v>
      </c>
      <c r="BJ854" s="6">
        <v>1.0</v>
      </c>
      <c r="BK854" s="13"/>
      <c r="BL854" s="13">
        <f>POW(1000000000,3)</f>
        <v>1E+27</v>
      </c>
      <c r="BM854" s="6">
        <v>1.0</v>
      </c>
      <c r="BN854" s="6"/>
      <c r="BO854" s="6">
        <v>3.0</v>
      </c>
      <c r="BP854" s="13"/>
      <c r="BQ854" s="13"/>
      <c r="BR854" s="6" t="s">
        <v>979</v>
      </c>
    </row>
    <row r="855">
      <c r="A855" s="35">
        <v>91.0</v>
      </c>
      <c r="B855" s="35" t="s">
        <v>976</v>
      </c>
      <c r="C855" s="53">
        <v>1.0</v>
      </c>
      <c r="D855" s="104" t="s">
        <v>976</v>
      </c>
      <c r="E855" s="7">
        <v>707.0</v>
      </c>
      <c r="F855" s="53"/>
      <c r="G855" s="6">
        <v>0.0</v>
      </c>
      <c r="H855" s="35">
        <v>1.0</v>
      </c>
      <c r="I855" s="35">
        <v>1.0</v>
      </c>
      <c r="J855" s="173" t="s">
        <v>3492</v>
      </c>
      <c r="K855" s="99"/>
      <c r="L855" s="99"/>
      <c r="M855" s="39" t="str">
        <f t="shared" si="1"/>
        <v>[https://rss.onlinelibrary.wiley.com/doi/abs/10.1111/1467-9868.00083 EM with Quasi-Newton Methods (Jamshidian; Mortaza; Jennrich; Robert I.) (1997)]</v>
      </c>
      <c r="N855" s="104" t="s">
        <v>5126</v>
      </c>
      <c r="O855" s="98">
        <v>1997.0</v>
      </c>
      <c r="P855" s="106" t="s">
        <v>5127</v>
      </c>
      <c r="Q855" s="13"/>
      <c r="R855" s="13"/>
      <c r="S855" s="13"/>
      <c r="T855" s="35">
        <v>1.0</v>
      </c>
      <c r="U855" s="35">
        <v>0.0</v>
      </c>
      <c r="V855" s="89">
        <f>IFERROR(__xludf.DUMMYFUNCTION("INDEX(SPLIT(SUBSTITUTE(W855,CHAR(10), """"),"",:""), MATCH(Z855, SPLIT(SUBSTITUTE(W855,CHAR(10), """"),"",:""), 0) + 1)"),5.03)</f>
        <v>5.03</v>
      </c>
      <c r="W855" s="102" t="s">
        <v>3494</v>
      </c>
      <c r="X855" s="61" t="s">
        <v>5128</v>
      </c>
      <c r="Y855" s="53" t="s">
        <v>4306</v>
      </c>
      <c r="Z855" s="53" t="str">
        <f t="array" ref="Z855">INDEX(Problems!J:J, MATCH(1, (Problems!B:B=B855)*1, 0))</f>
        <v>n</v>
      </c>
      <c r="AA855" s="53"/>
      <c r="AB855" s="53"/>
      <c r="AC855" s="53" t="s">
        <v>2152</v>
      </c>
      <c r="AD855" s="53" t="s">
        <v>1814</v>
      </c>
      <c r="AE855" s="85">
        <f>IFERROR(__xludf.DUMMYFUNCTION("INDEX(SPLIT(SUBSTITUTE(AF855,CHAR(10), """"),"",:""), MATCH(Z855, SPLIT(SUBSTITUTE(AF855,CHAR(10), """"),"",:""), 0) + 1)"),3.0)</f>
        <v>3</v>
      </c>
      <c r="AF855" s="85" t="s">
        <v>4311</v>
      </c>
      <c r="AG855" s="53" t="s">
        <v>4312</v>
      </c>
      <c r="AH855" s="53" t="s">
        <v>5129</v>
      </c>
      <c r="AI855" s="21">
        <v>1.0</v>
      </c>
      <c r="AJ855" s="84">
        <v>0.0</v>
      </c>
      <c r="AK855" s="105"/>
      <c r="AL855" s="98">
        <v>0.0</v>
      </c>
      <c r="AM855" s="104"/>
      <c r="AN855" s="35">
        <v>0.0</v>
      </c>
      <c r="AO855" s="110"/>
      <c r="AP855" s="35">
        <v>0.0</v>
      </c>
      <c r="AQ855" s="35">
        <v>0.0</v>
      </c>
      <c r="AR855" s="69"/>
      <c r="AS855" s="98">
        <v>0.0</v>
      </c>
      <c r="AT855" s="98">
        <v>0.0</v>
      </c>
      <c r="AU855" s="69"/>
      <c r="AV855" s="13"/>
      <c r="AW855" s="13"/>
      <c r="AX855" s="13"/>
      <c r="AY855" s="13"/>
      <c r="AZ855" s="13"/>
      <c r="BA855" s="13"/>
      <c r="BB855" s="13"/>
      <c r="BC855" s="13"/>
      <c r="BD855" s="13"/>
      <c r="BE855" s="13"/>
      <c r="BF855" s="13">
        <f>POW(1000,2)*POW(LOG(1000,2),3)</f>
        <v>989770366.8</v>
      </c>
      <c r="BG855" s="13">
        <f>BF854/BF855</f>
        <v>1.01033536</v>
      </c>
      <c r="BH855" s="13">
        <f>POW(BG855,1/($O855-$O$854)) - 1</f>
        <v>0.0005142479546</v>
      </c>
      <c r="BI855" s="13">
        <f>POW(1000000,2)*POW(LOG(1000000,2),3)</f>
        <v>7.91816E+15</v>
      </c>
      <c r="BJ855" s="13">
        <f>BI854/BI855</f>
        <v>126.29192</v>
      </c>
      <c r="BK855" s="13">
        <f>POW(BJ855,1/($O855-$O$854)) - 1</f>
        <v>0.273704779</v>
      </c>
      <c r="BL855" s="13">
        <f>POW(1000000000,2)*POW(LOG(1000000000,2),3)</f>
        <v>2.67238E+22</v>
      </c>
      <c r="BM855" s="13">
        <f>BL854/BL855</f>
        <v>37419.82815</v>
      </c>
      <c r="BN855" s="13">
        <f>POW(BM855,1/($O855-$O$854)) - 1</f>
        <v>0.6929927154</v>
      </c>
      <c r="BO855" s="6">
        <v>3.0</v>
      </c>
      <c r="BP855" s="13"/>
      <c r="BQ855" s="13"/>
      <c r="BR855" s="6" t="s">
        <v>979</v>
      </c>
    </row>
    <row r="856">
      <c r="A856" s="35">
        <v>91.0</v>
      </c>
      <c r="B856" s="35" t="s">
        <v>976</v>
      </c>
      <c r="C856" s="53">
        <v>1.0</v>
      </c>
      <c r="D856" s="104" t="s">
        <v>976</v>
      </c>
      <c r="E856" s="7">
        <v>708.0</v>
      </c>
      <c r="F856" s="53"/>
      <c r="G856" s="6">
        <v>0.0</v>
      </c>
      <c r="H856" s="35">
        <v>1.0</v>
      </c>
      <c r="I856" s="35">
        <v>1.0</v>
      </c>
      <c r="J856" s="173" t="s">
        <v>834</v>
      </c>
      <c r="K856" s="99"/>
      <c r="L856" s="99"/>
      <c r="M856" s="39" t="str">
        <f t="shared" si="1"/>
        <v>[http://www.stat.ucla.edu/~ywu/research/papers/PXEM.pdf Parameter-expanded expectation maximization (PX-EM) (1998)]</v>
      </c>
      <c r="N856" s="35" t="s">
        <v>5130</v>
      </c>
      <c r="O856" s="98">
        <v>1998.0</v>
      </c>
      <c r="P856" s="106" t="s">
        <v>5131</v>
      </c>
      <c r="Q856" s="13"/>
      <c r="R856" s="13"/>
      <c r="S856" s="13"/>
      <c r="T856" s="35">
        <v>0.0</v>
      </c>
      <c r="U856" s="35">
        <v>0.0</v>
      </c>
      <c r="V856" s="89">
        <f>IFERROR(__xludf.DUMMYFUNCTION("INDEX(SPLIT(SUBSTITUTE(W856,CHAR(10), """"),"",:""), MATCH(Z856, SPLIT(SUBSTITUTE(W856,CHAR(10), """"),"",:""), 0) + 1)"),6.0)</f>
        <v>6</v>
      </c>
      <c r="W856" s="102" t="s">
        <v>2008</v>
      </c>
      <c r="X856" s="173" t="s">
        <v>834</v>
      </c>
      <c r="Y856" s="53" t="s">
        <v>4306</v>
      </c>
      <c r="Z856" s="53" t="str">
        <f t="array" ref="Z856">INDEX(Problems!J:J, MATCH(1, (Problems!B:B=B856)*1, 0))</f>
        <v>n</v>
      </c>
      <c r="AA856" s="53"/>
      <c r="AB856" s="53"/>
      <c r="AC856" s="53" t="s">
        <v>2152</v>
      </c>
      <c r="AD856" s="53" t="s">
        <v>1814</v>
      </c>
      <c r="AE856" s="85">
        <f>IFERROR(__xludf.DUMMYFUNCTION("INDEX(SPLIT(SUBSTITUTE(AF856,CHAR(10), """"),"",:""), MATCH(Z856, SPLIT(SUBSTITUTE(AF856,CHAR(10), """"),"",:""), 0) + 1)"),3.0)</f>
        <v>3</v>
      </c>
      <c r="AF856" s="85" t="s">
        <v>4307</v>
      </c>
      <c r="AG856" s="53" t="s">
        <v>4308</v>
      </c>
      <c r="AH856" s="53" t="s">
        <v>4317</v>
      </c>
      <c r="AI856" s="21">
        <v>1.0</v>
      </c>
      <c r="AJ856" s="84">
        <v>0.0</v>
      </c>
      <c r="AK856" s="105"/>
      <c r="AL856" s="98">
        <v>0.0</v>
      </c>
      <c r="AM856" s="104"/>
      <c r="AN856" s="35">
        <v>0.0</v>
      </c>
      <c r="AO856" s="110"/>
      <c r="AP856" s="35">
        <v>0.0</v>
      </c>
      <c r="AQ856" s="35">
        <v>0.0</v>
      </c>
      <c r="AR856" s="69"/>
      <c r="AS856" s="98">
        <v>0.0</v>
      </c>
      <c r="AT856" s="98">
        <v>0.0</v>
      </c>
      <c r="AU856" s="69"/>
      <c r="AV856" s="13"/>
      <c r="AW856" s="13"/>
      <c r="AX856" s="13"/>
      <c r="AY856" s="13"/>
      <c r="AZ856" s="6"/>
      <c r="BA856" s="6"/>
      <c r="BB856" s="6"/>
      <c r="BC856" s="6"/>
      <c r="BD856" s="6"/>
      <c r="BE856" s="6"/>
      <c r="BF856" s="6">
        <v>1.0E9</v>
      </c>
      <c r="BG856" s="13"/>
      <c r="BH856" s="13"/>
      <c r="BI856" s="13"/>
      <c r="BJ856" s="13"/>
      <c r="BK856" s="13"/>
      <c r="BL856" s="13"/>
      <c r="BM856" s="13"/>
      <c r="BN856" s="6"/>
      <c r="BO856" s="6">
        <v>3.0</v>
      </c>
      <c r="BP856" s="13"/>
      <c r="BQ856" s="13"/>
      <c r="BR856" s="6" t="s">
        <v>979</v>
      </c>
    </row>
    <row r="857">
      <c r="A857" s="35">
        <v>91.0</v>
      </c>
      <c r="B857" s="35" t="s">
        <v>976</v>
      </c>
      <c r="C857" s="53">
        <v>1.0</v>
      </c>
      <c r="D857" s="104" t="s">
        <v>976</v>
      </c>
      <c r="E857" s="7">
        <v>709.0</v>
      </c>
      <c r="F857" s="53"/>
      <c r="G857" s="6">
        <v>0.0</v>
      </c>
      <c r="H857" s="35">
        <v>1.0</v>
      </c>
      <c r="I857" s="35">
        <v>1.0</v>
      </c>
      <c r="J857" s="173" t="s">
        <v>834</v>
      </c>
      <c r="K857" s="99"/>
      <c r="L857" s="99"/>
      <c r="M857" s="39" t="str">
        <f t="shared" si="1"/>
        <v>[https://academic.oup.com/biomet/article-abstract/80/2/267/251605?redirectedFrom=fulltext Expectation conditional maximization (ECM) (1993)]</v>
      </c>
      <c r="N857" s="107" t="s">
        <v>4318</v>
      </c>
      <c r="O857" s="98">
        <v>1993.0</v>
      </c>
      <c r="P857" s="106" t="s">
        <v>5132</v>
      </c>
      <c r="Q857" s="13"/>
      <c r="R857" s="13"/>
      <c r="S857" s="13"/>
      <c r="T857" s="35">
        <v>0.0</v>
      </c>
      <c r="U857" s="35">
        <v>0.0</v>
      </c>
      <c r="V857" s="89">
        <f>IFERROR(__xludf.DUMMYFUNCTION("INDEX(SPLIT(SUBSTITUTE(W857,CHAR(10), """"),"",:""), MATCH(Z857, SPLIT(SUBSTITUTE(W857,CHAR(10), """"),"",:""), 0) + 1)"),6.0)</f>
        <v>6</v>
      </c>
      <c r="W857" s="102" t="s">
        <v>2008</v>
      </c>
      <c r="X857" s="173" t="s">
        <v>834</v>
      </c>
      <c r="Y857" s="53" t="s">
        <v>4306</v>
      </c>
      <c r="Z857" s="53" t="str">
        <f t="array" ref="Z857">INDEX(Problems!J:J, MATCH(1, (Problems!B:B=B857)*1, 0))</f>
        <v>n</v>
      </c>
      <c r="AA857" s="53"/>
      <c r="AB857" s="53"/>
      <c r="AC857" s="53" t="s">
        <v>2152</v>
      </c>
      <c r="AD857" s="53" t="s">
        <v>1814</v>
      </c>
      <c r="AE857" s="85">
        <f>IFERROR(__xludf.DUMMYFUNCTION("INDEX(SPLIT(SUBSTITUTE(AF857,CHAR(10), """"),"",:""), MATCH(Z857, SPLIT(SUBSTITUTE(AF857,CHAR(10), """"),"",:""), 0) + 1)"),3.0)</f>
        <v>3</v>
      </c>
      <c r="AF857" s="85" t="s">
        <v>4307</v>
      </c>
      <c r="AG857" s="53" t="s">
        <v>4308</v>
      </c>
      <c r="AH857" s="53" t="s">
        <v>4309</v>
      </c>
      <c r="AI857" s="21">
        <v>1.0</v>
      </c>
      <c r="AJ857" s="84">
        <v>0.0</v>
      </c>
      <c r="AK857" s="105"/>
      <c r="AL857" s="98">
        <v>0.0</v>
      </c>
      <c r="AM857" s="104"/>
      <c r="AN857" s="35">
        <v>0.0</v>
      </c>
      <c r="AO857" s="110"/>
      <c r="AP857" s="35">
        <v>0.0</v>
      </c>
      <c r="AQ857" s="35">
        <v>0.0</v>
      </c>
      <c r="AR857" s="69"/>
      <c r="AS857" s="98">
        <v>0.0</v>
      </c>
      <c r="AT857" s="98">
        <v>0.0</v>
      </c>
      <c r="AU857" s="69"/>
      <c r="AV857" s="13"/>
      <c r="AW857" s="13"/>
      <c r="AX857" s="13"/>
      <c r="AY857" s="13"/>
      <c r="AZ857" s="6"/>
      <c r="BA857" s="6"/>
      <c r="BB857" s="6"/>
      <c r="BC857" s="6"/>
      <c r="BD857" s="6"/>
      <c r="BE857" s="6"/>
      <c r="BF857" s="6">
        <v>1.0E9</v>
      </c>
      <c r="BG857" s="13"/>
      <c r="BH857" s="13"/>
      <c r="BI857" s="13"/>
      <c r="BJ857" s="13"/>
      <c r="BK857" s="13"/>
      <c r="BL857" s="13"/>
      <c r="BM857" s="13"/>
      <c r="BN857" s="6"/>
      <c r="BO857" s="6">
        <v>3.0</v>
      </c>
      <c r="BP857" s="13"/>
      <c r="BQ857" s="13"/>
      <c r="BR857" s="6" t="s">
        <v>979</v>
      </c>
    </row>
    <row r="858">
      <c r="A858" s="35">
        <v>91.0</v>
      </c>
      <c r="B858" s="35" t="s">
        <v>976</v>
      </c>
      <c r="C858" s="53">
        <v>1.0</v>
      </c>
      <c r="D858" s="104" t="s">
        <v>976</v>
      </c>
      <c r="E858" s="7">
        <v>710.0</v>
      </c>
      <c r="F858" s="53"/>
      <c r="G858" s="6">
        <v>0.0</v>
      </c>
      <c r="H858" s="35">
        <v>1.0</v>
      </c>
      <c r="I858" s="35">
        <v>1.0</v>
      </c>
      <c r="J858" s="173" t="s">
        <v>834</v>
      </c>
      <c r="K858" s="99"/>
      <c r="L858" s="99"/>
      <c r="M858" s="39" t="str">
        <f t="shared" si="1"/>
        <v>[https://www.jstor.org/stable/2337067 Expectation conditional maximization either (ECME) (Liu; Chuanhai; Rubin; Donald B) (1994)]</v>
      </c>
      <c r="N858" s="104" t="s">
        <v>5133</v>
      </c>
      <c r="O858" s="98">
        <v>1994.0</v>
      </c>
      <c r="P858" s="106" t="s">
        <v>5134</v>
      </c>
      <c r="Q858" s="13"/>
      <c r="R858" s="13"/>
      <c r="S858" s="13"/>
      <c r="T858" s="35">
        <v>0.0</v>
      </c>
      <c r="U858" s="35">
        <v>0.0</v>
      </c>
      <c r="V858" s="89">
        <f>IFERROR(__xludf.DUMMYFUNCTION("INDEX(SPLIT(SUBSTITUTE(W858,CHAR(10), """"),"",:""), MATCH(Z858, SPLIT(SUBSTITUTE(W858,CHAR(10), """"),"",:""), 0) + 1)"),6.0)</f>
        <v>6</v>
      </c>
      <c r="W858" s="102" t="s">
        <v>2008</v>
      </c>
      <c r="X858" s="173" t="s">
        <v>834</v>
      </c>
      <c r="Y858" s="53" t="s">
        <v>4306</v>
      </c>
      <c r="Z858" s="53" t="str">
        <f t="array" ref="Z858">INDEX(Problems!J:J, MATCH(1, (Problems!B:B=B858)*1, 0))</f>
        <v>n</v>
      </c>
      <c r="AA858" s="53"/>
      <c r="AB858" s="53"/>
      <c r="AC858" s="53" t="s">
        <v>2152</v>
      </c>
      <c r="AD858" s="53" t="s">
        <v>1814</v>
      </c>
      <c r="AE858" s="85">
        <f>IFERROR(__xludf.DUMMYFUNCTION("INDEX(SPLIT(SUBSTITUTE(AF858,CHAR(10), """"),"",:""), MATCH(Z858, SPLIT(SUBSTITUTE(AF858,CHAR(10), """"),"",:""), 0) + 1)"),3.0)</f>
        <v>3</v>
      </c>
      <c r="AF858" s="85" t="s">
        <v>4307</v>
      </c>
      <c r="AG858" s="53" t="s">
        <v>4308</v>
      </c>
      <c r="AH858" s="53" t="s">
        <v>4309</v>
      </c>
      <c r="AI858" s="21">
        <v>1.0</v>
      </c>
      <c r="AJ858" s="84">
        <v>0.0</v>
      </c>
      <c r="AK858" s="105"/>
      <c r="AL858" s="98">
        <v>0.0</v>
      </c>
      <c r="AM858" s="104"/>
      <c r="AN858" s="35">
        <v>0.0</v>
      </c>
      <c r="AO858" s="110"/>
      <c r="AP858" s="35">
        <v>0.0</v>
      </c>
      <c r="AQ858" s="35">
        <v>0.0</v>
      </c>
      <c r="AR858" s="69"/>
      <c r="AS858" s="98">
        <v>0.0</v>
      </c>
      <c r="AT858" s="98">
        <v>0.0</v>
      </c>
      <c r="AU858" s="69"/>
      <c r="AV858" s="13"/>
      <c r="AW858" s="13"/>
      <c r="AX858" s="13"/>
      <c r="AY858" s="13"/>
      <c r="AZ858" s="6"/>
      <c r="BA858" s="6"/>
      <c r="BB858" s="6"/>
      <c r="BC858" s="6"/>
      <c r="BD858" s="6"/>
      <c r="BE858" s="6"/>
      <c r="BF858" s="6">
        <v>1.0E9</v>
      </c>
      <c r="BG858" s="13"/>
      <c r="BH858" s="13"/>
      <c r="BI858" s="13"/>
      <c r="BJ858" s="13"/>
      <c r="BK858" s="13"/>
      <c r="BL858" s="13"/>
      <c r="BM858" s="13"/>
      <c r="BN858" s="6"/>
      <c r="BO858" s="6">
        <v>3.0</v>
      </c>
      <c r="BP858" s="13"/>
      <c r="BQ858" s="13">
        <f>LOG(POW(1000000,3)/(POW(1000000*LOG(1000000,2),2)),2)</f>
        <v>11.29760188</v>
      </c>
      <c r="BR858" s="6" t="s">
        <v>979</v>
      </c>
    </row>
    <row r="859">
      <c r="A859" s="35">
        <v>91.0</v>
      </c>
      <c r="B859" s="35" t="s">
        <v>976</v>
      </c>
      <c r="C859" s="53">
        <v>1.0</v>
      </c>
      <c r="D859" s="104" t="s">
        <v>976</v>
      </c>
      <c r="E859" s="7">
        <v>711.0</v>
      </c>
      <c r="F859" s="53"/>
      <c r="G859" s="6">
        <v>0.0</v>
      </c>
      <c r="H859" s="35">
        <v>1.0</v>
      </c>
      <c r="I859" s="35">
        <v>1.0</v>
      </c>
      <c r="J859" s="173" t="s">
        <v>834</v>
      </c>
      <c r="K859" s="99"/>
      <c r="L859" s="99"/>
      <c r="M859" s="39" t="str">
        <f t="shared" si="1"/>
        <v>[https://waseda.pure.elsevier.com/en/publications/the-%CE%B1-em-algorithm-surrogate-likelihood-maximization-using-%CE%B1-loga α-EM Algorithm (2003)]</v>
      </c>
      <c r="N859" s="35" t="s">
        <v>5135</v>
      </c>
      <c r="O859" s="98">
        <v>2003.0</v>
      </c>
      <c r="P859" s="106" t="s">
        <v>5136</v>
      </c>
      <c r="Q859" s="13"/>
      <c r="R859" s="13"/>
      <c r="S859" s="13"/>
      <c r="T859" s="35">
        <v>0.0</v>
      </c>
      <c r="U859" s="35">
        <v>0.0</v>
      </c>
      <c r="V859" s="89">
        <f>IFERROR(__xludf.DUMMYFUNCTION("INDEX(SPLIT(SUBSTITUTE(W859,CHAR(10), """"),"",:""), MATCH(Z859, SPLIT(SUBSTITUTE(W859,CHAR(10), """"),"",:""), 0) + 1)"),6.0)</f>
        <v>6</v>
      </c>
      <c r="W859" s="102" t="s">
        <v>2008</v>
      </c>
      <c r="X859" s="173" t="s">
        <v>834</v>
      </c>
      <c r="Y859" s="53" t="s">
        <v>4306</v>
      </c>
      <c r="Z859" s="53" t="str">
        <f t="array" ref="Z859">INDEX(Problems!J:J, MATCH(1, (Problems!B:B=B859)*1, 0))</f>
        <v>n</v>
      </c>
      <c r="AA859" s="53"/>
      <c r="AB859" s="53"/>
      <c r="AC859" s="53" t="s">
        <v>2152</v>
      </c>
      <c r="AD859" s="53" t="s">
        <v>1814</v>
      </c>
      <c r="AE859" s="85">
        <f>IFERROR(__xludf.DUMMYFUNCTION("INDEX(SPLIT(SUBSTITUTE(AF859,CHAR(10), """"),"",:""), MATCH(Z859, SPLIT(SUBSTITUTE(AF859,CHAR(10), """"),"",:""), 0) + 1)"),3.0)</f>
        <v>3</v>
      </c>
      <c r="AF859" s="85" t="s">
        <v>4307</v>
      </c>
      <c r="AG859" s="53" t="s">
        <v>4308</v>
      </c>
      <c r="AH859" s="53" t="s">
        <v>4326</v>
      </c>
      <c r="AI859" s="21">
        <v>1.0</v>
      </c>
      <c r="AJ859" s="84">
        <v>0.0</v>
      </c>
      <c r="AK859" s="105"/>
      <c r="AL859" s="98">
        <v>0.0</v>
      </c>
      <c r="AM859" s="104"/>
      <c r="AN859" s="35">
        <v>0.0</v>
      </c>
      <c r="AO859" s="110"/>
      <c r="AP859" s="35">
        <v>0.0</v>
      </c>
      <c r="AQ859" s="35">
        <v>0.0</v>
      </c>
      <c r="AR859" s="69"/>
      <c r="AS859" s="98">
        <v>0.0</v>
      </c>
      <c r="AT859" s="98">
        <v>0.0</v>
      </c>
      <c r="AU859" s="69"/>
      <c r="AV859" s="13"/>
      <c r="AW859" s="13"/>
      <c r="AX859" s="13"/>
      <c r="AY859" s="13"/>
      <c r="AZ859" s="6"/>
      <c r="BA859" s="6"/>
      <c r="BB859" s="6"/>
      <c r="BC859" s="6"/>
      <c r="BD859" s="6"/>
      <c r="BE859" s="6"/>
      <c r="BF859" s="6">
        <v>1.0E9</v>
      </c>
      <c r="BG859" s="13"/>
      <c r="BH859" s="13"/>
      <c r="BI859" s="13"/>
      <c r="BJ859" s="13"/>
      <c r="BK859" s="13"/>
      <c r="BL859" s="13"/>
      <c r="BM859" s="13"/>
      <c r="BN859" s="6"/>
      <c r="BO859" s="6">
        <v>3.0</v>
      </c>
      <c r="BP859" s="13"/>
      <c r="BQ859" s="13"/>
      <c r="BR859" s="6" t="s">
        <v>979</v>
      </c>
    </row>
    <row r="860">
      <c r="A860" s="35">
        <v>91.0</v>
      </c>
      <c r="B860" s="35" t="s">
        <v>976</v>
      </c>
      <c r="C860" s="53">
        <v>1.0</v>
      </c>
      <c r="D860" s="104" t="s">
        <v>5137</v>
      </c>
      <c r="E860" s="7">
        <v>712.0</v>
      </c>
      <c r="F860" s="53"/>
      <c r="G860" s="6">
        <v>0.0</v>
      </c>
      <c r="H860" s="35">
        <v>1.0</v>
      </c>
      <c r="I860" s="35">
        <v>1.0</v>
      </c>
      <c r="J860" s="173" t="s">
        <v>3459</v>
      </c>
      <c r="K860" s="99"/>
      <c r="L860" s="99"/>
      <c r="M860" s="39" t="str">
        <f t="shared" si="1"/>
        <v>[https://faculty.cc.gatech.edu/~bboots3/files/SpectralExteriorPoint-NIPSWorkshop.pdf Shaban; Amirreza; Mehrdad; Farajtabar (2015)]</v>
      </c>
      <c r="N860" s="35" t="s">
        <v>5138</v>
      </c>
      <c r="O860" s="98">
        <v>2015.0</v>
      </c>
      <c r="P860" s="112" t="s">
        <v>5139</v>
      </c>
      <c r="Q860" s="13"/>
      <c r="R860" s="13"/>
      <c r="S860" s="13"/>
      <c r="T860" s="35">
        <v>0.0</v>
      </c>
      <c r="U860" s="35">
        <v>0.0</v>
      </c>
      <c r="V860" s="89">
        <f>IFERROR(__xludf.DUMMYFUNCTION("INDEX(SPLIT(SUBSTITUTE(W860,CHAR(10), """"),"",:""), MATCH(Z860, SPLIT(SUBSTITUTE(W860,CHAR(10), """"),"",:""), 0) + 1)"),5.02)</f>
        <v>5.02</v>
      </c>
      <c r="W860" s="102" t="s">
        <v>3461</v>
      </c>
      <c r="X860" s="61" t="s">
        <v>3462</v>
      </c>
      <c r="Y860" s="53" t="s">
        <v>5140</v>
      </c>
      <c r="Z860" s="53" t="str">
        <f t="array" ref="Z860">INDEX(Problems!J:J, MATCH(1, (Problems!B:B=B860)*1, 0))</f>
        <v>n</v>
      </c>
      <c r="AA860" s="53"/>
      <c r="AB860" s="53"/>
      <c r="AC860" s="53" t="s">
        <v>2152</v>
      </c>
      <c r="AD860" s="53" t="s">
        <v>1814</v>
      </c>
      <c r="AE860" s="85">
        <f>IFERROR(__xludf.DUMMYFUNCTION("INDEX(SPLIT(SUBSTITUTE(AF860,CHAR(10), """"),"",:""), MATCH(Z860, SPLIT(SUBSTITUTE(AF860,CHAR(10), """"),"",:""), 0) + 1)"),1.0)</f>
        <v>1</v>
      </c>
      <c r="AF860" s="102" t="s">
        <v>5141</v>
      </c>
      <c r="AG860" s="41" t="s">
        <v>5142</v>
      </c>
      <c r="AH860" s="41" t="s">
        <v>5143</v>
      </c>
      <c r="AI860" s="108">
        <v>1.0</v>
      </c>
      <c r="AJ860" s="84">
        <v>0.0</v>
      </c>
      <c r="AK860" s="105"/>
      <c r="AL860" s="98">
        <v>0.0</v>
      </c>
      <c r="AM860" s="104"/>
      <c r="AN860" s="35">
        <v>0.0</v>
      </c>
      <c r="AO860" s="110"/>
      <c r="AP860" s="35">
        <v>0.0</v>
      </c>
      <c r="AQ860" s="35">
        <v>0.0</v>
      </c>
      <c r="AR860" s="69"/>
      <c r="AS860" s="98">
        <v>0.0</v>
      </c>
      <c r="AT860" s="98">
        <v>0.0</v>
      </c>
      <c r="AU860" s="69"/>
      <c r="AV860" s="13"/>
      <c r="AW860" s="13"/>
      <c r="AX860" s="13"/>
      <c r="AY860" s="13"/>
      <c r="AZ860" s="6">
        <v>1.0</v>
      </c>
      <c r="BA860" s="6">
        <f>POW(AZ854/AZ860,1/($O860-$O854)) - 1</f>
        <v>0.1993539462</v>
      </c>
      <c r="BB860" s="6">
        <v>1.0</v>
      </c>
      <c r="BC860" s="6">
        <f>POW(BB854/BB860,1/($O860-$O854)) - 1</f>
        <v>0.4384498883</v>
      </c>
      <c r="BD860" s="6">
        <v>1.0</v>
      </c>
      <c r="BE860" s="6">
        <f>POW(BD854/BD860,1/($O860-$O854)) - 1</f>
        <v>0.7252105499</v>
      </c>
      <c r="BF860" s="6">
        <v>9931685.0</v>
      </c>
      <c r="BG860" s="13"/>
      <c r="BH860" s="13"/>
      <c r="BI860" s="13"/>
      <c r="BJ860" s="13"/>
      <c r="BK860" s="13"/>
      <c r="BL860" s="13"/>
      <c r="BM860" s="13"/>
      <c r="BN860" s="6"/>
      <c r="BO860" s="6">
        <v>3.0</v>
      </c>
      <c r="BP860" s="13"/>
      <c r="BQ860" s="13"/>
      <c r="BR860" s="6" t="s">
        <v>979</v>
      </c>
    </row>
    <row r="861">
      <c r="A861" s="35">
        <v>91.0</v>
      </c>
      <c r="B861" s="35" t="s">
        <v>976</v>
      </c>
      <c r="C861" s="53">
        <v>0.0</v>
      </c>
      <c r="D861" s="104" t="s">
        <v>5144</v>
      </c>
      <c r="E861" s="7">
        <v>713.0</v>
      </c>
      <c r="F861" s="53"/>
      <c r="G861" s="6">
        <v>0.0</v>
      </c>
      <c r="H861" s="35">
        <v>1.0</v>
      </c>
      <c r="I861" s="35">
        <v>1.0</v>
      </c>
      <c r="J861" s="173" t="s">
        <v>3459</v>
      </c>
      <c r="K861" s="99"/>
      <c r="L861" s="99"/>
      <c r="M861" s="39" t="str">
        <f t="shared" si="1"/>
        <v>[https://ieeexplore.ieee.org/abstract/document/7895145 alpha-HMM (Matsuyama, Yasuo) (2011)]</v>
      </c>
      <c r="N861" s="104" t="s">
        <v>5145</v>
      </c>
      <c r="O861" s="98">
        <v>2011.0</v>
      </c>
      <c r="P861" s="112" t="s">
        <v>5146</v>
      </c>
      <c r="Q861" s="13"/>
      <c r="R861" s="13"/>
      <c r="S861" s="13"/>
      <c r="T861" s="35">
        <v>1.0</v>
      </c>
      <c r="U861" s="35">
        <v>0.0</v>
      </c>
      <c r="V861" s="89">
        <f>IFERROR(__xludf.DUMMYFUNCTION("INDEX(SPLIT(SUBSTITUTE(W861,CHAR(10), """"),"",:""), MATCH(Z861, SPLIT(SUBSTITUTE(W861,CHAR(10), """"),"",:""), 0) + 1)"),5.02)</f>
        <v>5.02</v>
      </c>
      <c r="W861" s="102" t="s">
        <v>3461</v>
      </c>
      <c r="X861" s="61" t="s">
        <v>3462</v>
      </c>
      <c r="Y861" s="53"/>
      <c r="Z861" s="53" t="str">
        <f t="array" ref="Z861">INDEX(Problems!J:J, MATCH(1, (Problems!B:B=B861)*1, 0))</f>
        <v>n</v>
      </c>
      <c r="AA861" s="53"/>
      <c r="AB861" s="53"/>
      <c r="AC861" s="53" t="s">
        <v>2152</v>
      </c>
      <c r="AD861" s="53" t="s">
        <v>1814</v>
      </c>
      <c r="AE861" s="85" t="str">
        <f>IFERROR(__xludf.DUMMYFUNCTION("INDEX(SPLIT(SUBSTITUTE(AF861,CHAR(10), """"),"",:""), MATCH(Z861, SPLIT(SUBSTITUTE(AF861,CHAR(10), """"),"",:""), 0) + 1)"),"#VALUE!")</f>
        <v>#VALUE!</v>
      </c>
      <c r="AF861" s="150"/>
      <c r="AG861" s="41"/>
      <c r="AH861" s="41"/>
      <c r="AI861" s="105"/>
      <c r="AJ861" s="84" t="s">
        <v>2520</v>
      </c>
      <c r="AK861" s="105"/>
      <c r="AL861" s="98">
        <v>0.0</v>
      </c>
      <c r="AM861" s="104"/>
      <c r="AN861" s="35">
        <v>0.0</v>
      </c>
      <c r="AO861" s="110"/>
      <c r="AP861" s="35">
        <v>0.0</v>
      </c>
      <c r="AQ861" s="35">
        <v>0.0</v>
      </c>
      <c r="AR861" s="69"/>
      <c r="AS861" s="98">
        <v>0.0</v>
      </c>
      <c r="AT861" s="98">
        <v>0.0</v>
      </c>
      <c r="AU861" s="69"/>
      <c r="AV861" s="13"/>
      <c r="AW861" s="13"/>
      <c r="AX861" s="13"/>
      <c r="AY861" s="13"/>
      <c r="AZ861" s="122"/>
      <c r="BA861" s="122"/>
      <c r="BB861" s="122"/>
      <c r="BC861" s="122"/>
      <c r="BD861" s="122"/>
      <c r="BE861" s="122"/>
      <c r="BF861" s="122">
        <f>POW(1000,2)*pow(LOG(1000,2),2)</f>
        <v>99316856.41</v>
      </c>
      <c r="BG861" s="13">
        <f>BF854/BF861</f>
        <v>10.06878425</v>
      </c>
      <c r="BH861" s="13">
        <f>POW(BG861,1/($O861-$O$854)) - 1</f>
        <v>0.07028471836</v>
      </c>
      <c r="BI861" s="13">
        <f>POW(1000000,2)*pow(LOG(1000000,2),2)</f>
        <v>397267425633671</v>
      </c>
      <c r="BJ861" s="13">
        <f>BI854/BI861</f>
        <v>2517.196064</v>
      </c>
      <c r="BK861" s="13">
        <f>POW(BJ861,1/($O861-$O$854)) - 1</f>
        <v>0.2590035998</v>
      </c>
      <c r="BL861" s="13">
        <f>POW(1000000000,2)*pow(LOG(1000000000,2),2)</f>
        <v>8.93852E+20</v>
      </c>
      <c r="BM861" s="13">
        <f>BL854/BL861</f>
        <v>1118753.806</v>
      </c>
      <c r="BN861" s="13">
        <f>POW(BM861,1/($O861-$O$854)) - 1</f>
        <v>0.5062739199</v>
      </c>
      <c r="BO861" s="6">
        <v>3.0</v>
      </c>
      <c r="BP861" s="13"/>
      <c r="BQ861" s="13"/>
      <c r="BR861" s="6" t="s">
        <v>979</v>
      </c>
    </row>
    <row r="862">
      <c r="A862" s="35">
        <v>92.0</v>
      </c>
      <c r="B862" s="35" t="s">
        <v>980</v>
      </c>
      <c r="C862" s="53">
        <v>2.0</v>
      </c>
      <c r="D862" s="53" t="s">
        <v>981</v>
      </c>
      <c r="E862" s="7">
        <v>714.0</v>
      </c>
      <c r="F862" s="53"/>
      <c r="G862" s="13"/>
      <c r="H862" s="35">
        <v>1.0</v>
      </c>
      <c r="I862" s="35">
        <v>1.0</v>
      </c>
      <c r="J862" s="69" t="s">
        <v>834</v>
      </c>
      <c r="K862" s="41" t="s">
        <v>4151</v>
      </c>
      <c r="L862" s="41" t="s">
        <v>5147</v>
      </c>
      <c r="M862" s="39" t="str">
        <f t="shared" si="1"/>
        <v>[ LU Matrix Decomposition (1945)]</v>
      </c>
      <c r="N862" s="69" t="s">
        <v>5148</v>
      </c>
      <c r="O862" s="98">
        <v>1945.0</v>
      </c>
      <c r="P862" s="69"/>
      <c r="Q862" s="13"/>
      <c r="R862" s="13"/>
      <c r="S862" s="13"/>
      <c r="T862" s="35">
        <v>1.0</v>
      </c>
      <c r="U862" s="35">
        <v>0.0</v>
      </c>
      <c r="V862" s="89">
        <f>IFERROR(__xludf.DUMMYFUNCTION("INDEX(SPLIT(SUBSTITUTE(W862,CHAR(10), """"),"",:""), MATCH(Z862, SPLIT(SUBSTITUTE(W862,CHAR(10), """"),"",:""), 0) + 1)"),4.5)</f>
        <v>4.5</v>
      </c>
      <c r="W862" s="102" t="s">
        <v>2049</v>
      </c>
      <c r="X862" s="69" t="s">
        <v>834</v>
      </c>
      <c r="Y862" s="41" t="s">
        <v>3393</v>
      </c>
      <c r="Z862" s="53" t="str">
        <f t="array" ref="Z862">INDEX(Problems!J:J, MATCH(1, (Problems!B:B=B862)*1, 0))</f>
        <v>n^2</v>
      </c>
      <c r="AA862" s="41"/>
      <c r="AB862" s="41"/>
      <c r="AC862" s="41" t="s">
        <v>2312</v>
      </c>
      <c r="AD862" s="41" t="s">
        <v>1814</v>
      </c>
      <c r="AE862" s="85">
        <f>IFERROR(__xludf.DUMMYFUNCTION("INDEX(SPLIT(SUBSTITUTE(AF862,CHAR(10), """"),"",:""), MATCH(Z862, SPLIT(SUBSTITUTE(AF862,CHAR(10), """"),"",:""), 0) + 1)"),3.0)</f>
        <v>3</v>
      </c>
      <c r="AF862" s="102" t="s">
        <v>2059</v>
      </c>
      <c r="AG862" s="41" t="s">
        <v>115</v>
      </c>
      <c r="AH862" s="41" t="s">
        <v>5149</v>
      </c>
      <c r="AI862" s="108">
        <v>1.0</v>
      </c>
      <c r="AJ862" s="84">
        <v>0.0</v>
      </c>
      <c r="AK862" s="105"/>
      <c r="AL862" s="98">
        <v>0.0</v>
      </c>
      <c r="AM862" s="104"/>
      <c r="AN862" s="35">
        <v>0.0</v>
      </c>
      <c r="AO862" s="110"/>
      <c r="AP862" s="35">
        <v>0.0</v>
      </c>
      <c r="AQ862" s="35">
        <v>0.0</v>
      </c>
      <c r="AR862" s="69"/>
      <c r="AS862" s="98">
        <v>0.0</v>
      </c>
      <c r="AT862" s="98">
        <v>0.0</v>
      </c>
      <c r="AU862" s="69"/>
      <c r="AV862" s="13"/>
      <c r="AW862" s="13"/>
      <c r="AX862" s="13"/>
      <c r="AY862" s="13"/>
      <c r="AZ862" s="6"/>
      <c r="BA862" s="6"/>
      <c r="BB862" s="6"/>
      <c r="BC862" s="6"/>
      <c r="BD862" s="6"/>
      <c r="BE862" s="6"/>
      <c r="BF862" s="6">
        <v>1.0E9</v>
      </c>
      <c r="BG862" s="6">
        <v>1.0</v>
      </c>
      <c r="BH862" s="13"/>
      <c r="BI862" s="13">
        <f>POW(1000000,3)</f>
        <v>1E+18</v>
      </c>
      <c r="BJ862" s="6">
        <v>1.0</v>
      </c>
      <c r="BK862" s="13"/>
      <c r="BL862" s="13">
        <f>POW(1000000000,3)</f>
        <v>1E+27</v>
      </c>
      <c r="BM862" s="6">
        <v>1.0</v>
      </c>
      <c r="BN862" s="6"/>
      <c r="BO862" s="6">
        <v>3.0</v>
      </c>
      <c r="BP862" s="13"/>
      <c r="BQ862" s="13"/>
      <c r="BR862" s="41" t="s">
        <v>979</v>
      </c>
    </row>
    <row r="863">
      <c r="A863" s="35">
        <v>92.0</v>
      </c>
      <c r="B863" s="35" t="s">
        <v>980</v>
      </c>
      <c r="C863" s="53">
        <v>2.0</v>
      </c>
      <c r="D863" s="53" t="s">
        <v>981</v>
      </c>
      <c r="E863" s="7">
        <v>715.0</v>
      </c>
      <c r="F863" s="53"/>
      <c r="G863" s="13"/>
      <c r="H863" s="35">
        <v>1.0</v>
      </c>
      <c r="I863" s="35">
        <v>1.0</v>
      </c>
      <c r="J863" s="69" t="s">
        <v>115</v>
      </c>
      <c r="K863" s="41" t="s">
        <v>4151</v>
      </c>
      <c r="L863" s="41" t="s">
        <v>5147</v>
      </c>
      <c r="M863" s="39" t="str">
        <f t="shared" si="1"/>
        <v>[ QR Matrix Decomposition (1955)]</v>
      </c>
      <c r="N863" s="69" t="s">
        <v>5150</v>
      </c>
      <c r="O863" s="98">
        <v>1955.0</v>
      </c>
      <c r="P863" s="69"/>
      <c r="Q863" s="13"/>
      <c r="R863" s="13"/>
      <c r="S863" s="13"/>
      <c r="T863" s="35">
        <v>1.0</v>
      </c>
      <c r="U863" s="35" t="s">
        <v>2425</v>
      </c>
      <c r="V863" s="89">
        <f>IFERROR(__xludf.DUMMYFUNCTION("INDEX(SPLIT(SUBSTITUTE(W863,CHAR(10), """"),"",:""), MATCH(Z863, SPLIT(SUBSTITUTE(W863,CHAR(10), """"),"",:""), 0) + 1)"),3.0)</f>
        <v>3</v>
      </c>
      <c r="W863" s="102" t="s">
        <v>2059</v>
      </c>
      <c r="X863" s="69" t="s">
        <v>115</v>
      </c>
      <c r="Y863" s="41" t="s">
        <v>3393</v>
      </c>
      <c r="Z863" s="53" t="str">
        <f t="array" ref="Z863">INDEX(Problems!J:J, MATCH(1, (Problems!B:B=B863)*1, 0))</f>
        <v>n^2</v>
      </c>
      <c r="AA863" s="41"/>
      <c r="AB863" s="41"/>
      <c r="AC863" s="41" t="s">
        <v>2312</v>
      </c>
      <c r="AD863" s="41" t="s">
        <v>1814</v>
      </c>
      <c r="AE863" s="85">
        <f>IFERROR(__xludf.DUMMYFUNCTION("INDEX(SPLIT(SUBSTITUTE(AF863,CHAR(10), """"),"",:""), MATCH(Z863, SPLIT(SUBSTITUTE(AF863,CHAR(10), """"),"",:""), 0) + 1)"),3.0)</f>
        <v>3</v>
      </c>
      <c r="AF863" s="102" t="s">
        <v>2059</v>
      </c>
      <c r="AG863" s="41" t="s">
        <v>115</v>
      </c>
      <c r="AH863" s="41" t="s">
        <v>5149</v>
      </c>
      <c r="AI863" s="108">
        <v>1.0</v>
      </c>
      <c r="AJ863" s="84">
        <v>0.0</v>
      </c>
      <c r="AK863" s="105"/>
      <c r="AL863" s="98">
        <v>0.0</v>
      </c>
      <c r="AM863" s="104"/>
      <c r="AN863" s="35">
        <v>0.0</v>
      </c>
      <c r="AO863" s="110"/>
      <c r="AP863" s="35">
        <v>0.0</v>
      </c>
      <c r="AQ863" s="35">
        <v>0.0</v>
      </c>
      <c r="AR863" s="69"/>
      <c r="AS863" s="98">
        <v>0.0</v>
      </c>
      <c r="AT863" s="98">
        <v>0.0</v>
      </c>
      <c r="AU863" s="69"/>
      <c r="AV863" s="13"/>
      <c r="AW863" s="13"/>
      <c r="AX863" s="13"/>
      <c r="AY863" s="13"/>
      <c r="AZ863" s="6"/>
      <c r="BA863" s="6"/>
      <c r="BB863" s="6"/>
      <c r="BC863" s="6"/>
      <c r="BD863" s="6"/>
      <c r="BE863" s="6"/>
      <c r="BF863" s="6">
        <v>1000000.0</v>
      </c>
      <c r="BG863" s="6">
        <v>1000.0</v>
      </c>
      <c r="BH863" s="13">
        <f>POW(BG863,1/($O863-$O$862)) - 1</f>
        <v>0.995262315</v>
      </c>
      <c r="BI863" s="13">
        <f>POW(1000000,2)</f>
        <v>1000000000000</v>
      </c>
      <c r="BJ863" s="6">
        <v>1000000.0</v>
      </c>
      <c r="BK863" s="13">
        <f>POW(BJ863,1/($O863-$O$862)) - 1</f>
        <v>2.981071706</v>
      </c>
      <c r="BL863" s="13">
        <f>POW(1000000000,2)</f>
        <v>1E+18</v>
      </c>
      <c r="BM863" s="6">
        <v>1.0E9</v>
      </c>
      <c r="BN863" s="13">
        <f>POW(BM863,1/($O863-$O$862)) - 1</f>
        <v>6.943282347</v>
      </c>
      <c r="BO863" s="6">
        <v>3.0</v>
      </c>
      <c r="BP863" s="13"/>
      <c r="BQ863" s="13"/>
      <c r="BR863" s="41" t="s">
        <v>979</v>
      </c>
    </row>
    <row r="864">
      <c r="A864" s="35">
        <v>92.0</v>
      </c>
      <c r="B864" s="35" t="s">
        <v>980</v>
      </c>
      <c r="C864" s="53">
        <v>2.0</v>
      </c>
      <c r="D864" s="53" t="s">
        <v>981</v>
      </c>
      <c r="E864" s="7">
        <v>716.0</v>
      </c>
      <c r="F864" s="53"/>
      <c r="G864" s="13"/>
      <c r="H864" s="35">
        <v>1.0</v>
      </c>
      <c r="I864" s="35">
        <v>1.0</v>
      </c>
      <c r="J864" s="69" t="s">
        <v>115</v>
      </c>
      <c r="K864" s="41" t="s">
        <v>4151</v>
      </c>
      <c r="L864" s="41" t="s">
        <v>5147</v>
      </c>
      <c r="M864" s="39" t="str">
        <f t="shared" si="1"/>
        <v>[ Cholesky Decomposition (1983)]</v>
      </c>
      <c r="N864" s="69" t="s">
        <v>5151</v>
      </c>
      <c r="O864" s="98">
        <v>1983.0</v>
      </c>
      <c r="P864" s="69"/>
      <c r="Q864" s="13"/>
      <c r="R864" s="13"/>
      <c r="S864" s="13"/>
      <c r="T864" s="35">
        <v>0.0</v>
      </c>
      <c r="U864" s="35">
        <v>0.0</v>
      </c>
      <c r="V864" s="89">
        <f>IFERROR(__xludf.DUMMYFUNCTION("INDEX(SPLIT(SUBSTITUTE(W864,CHAR(10), """"),"",:""), MATCH(Z864, SPLIT(SUBSTITUTE(W864,CHAR(10), """"),"",:""), 0) + 1)"),3.0)</f>
        <v>3</v>
      </c>
      <c r="W864" s="102" t="s">
        <v>2059</v>
      </c>
      <c r="X864" s="69" t="s">
        <v>115</v>
      </c>
      <c r="Y864" s="41" t="s">
        <v>3393</v>
      </c>
      <c r="Z864" s="53" t="str">
        <f t="array" ref="Z864">INDEX(Problems!J:J, MATCH(1, (Problems!B:B=B864)*1, 0))</f>
        <v>n^2</v>
      </c>
      <c r="AA864" s="41"/>
      <c r="AB864" s="41"/>
      <c r="AC864" s="41" t="s">
        <v>2312</v>
      </c>
      <c r="AD864" s="41" t="s">
        <v>1814</v>
      </c>
      <c r="AE864" s="85">
        <f>IFERROR(__xludf.DUMMYFUNCTION("INDEX(SPLIT(SUBSTITUTE(AF864,CHAR(10), """"),"",:""), MATCH(Z864, SPLIT(SUBSTITUTE(AF864,CHAR(10), """"),"",:""), 0) + 1)"),3.0)</f>
        <v>3</v>
      </c>
      <c r="AF864" s="102" t="s">
        <v>2059</v>
      </c>
      <c r="AG864" s="41" t="s">
        <v>115</v>
      </c>
      <c r="AH864" s="41" t="s">
        <v>5149</v>
      </c>
      <c r="AI864" s="108">
        <v>1.0</v>
      </c>
      <c r="AJ864" s="84">
        <v>0.0</v>
      </c>
      <c r="AK864" s="105"/>
      <c r="AL864" s="98">
        <v>0.0</v>
      </c>
      <c r="AM864" s="104"/>
      <c r="AN864" s="35">
        <v>0.0</v>
      </c>
      <c r="AO864" s="110"/>
      <c r="AP864" s="35">
        <v>0.0</v>
      </c>
      <c r="AQ864" s="35">
        <v>0.0</v>
      </c>
      <c r="AR864" s="69"/>
      <c r="AS864" s="98">
        <v>0.0</v>
      </c>
      <c r="AT864" s="98">
        <v>0.0</v>
      </c>
      <c r="AU864" s="69"/>
      <c r="AV864" s="13"/>
      <c r="AW864" s="13"/>
      <c r="AX864" s="13"/>
      <c r="AY864" s="13"/>
      <c r="AZ864" s="6"/>
      <c r="BA864" s="6"/>
      <c r="BB864" s="6"/>
      <c r="BC864" s="6"/>
      <c r="BD864" s="6"/>
      <c r="BE864" s="6"/>
      <c r="BF864" s="6">
        <v>1000000.0</v>
      </c>
      <c r="BG864" s="13"/>
      <c r="BH864" s="13"/>
      <c r="BI864" s="13"/>
      <c r="BJ864" s="13"/>
      <c r="BK864" s="13"/>
      <c r="BL864" s="13"/>
      <c r="BM864" s="13"/>
      <c r="BN864" s="6"/>
      <c r="BO864" s="6">
        <v>3.0</v>
      </c>
      <c r="BP864" s="13"/>
      <c r="BQ864" s="13"/>
      <c r="BR864" s="41" t="s">
        <v>979</v>
      </c>
    </row>
    <row r="865">
      <c r="A865" s="35">
        <v>96.0</v>
      </c>
      <c r="B865" s="35" t="s">
        <v>994</v>
      </c>
      <c r="C865" s="53">
        <v>1.0</v>
      </c>
      <c r="D865" s="53" t="s">
        <v>994</v>
      </c>
      <c r="E865" s="7">
        <v>753.0</v>
      </c>
      <c r="F865" s="53"/>
      <c r="G865" s="6">
        <v>0.0</v>
      </c>
      <c r="H865" s="35">
        <v>1.0</v>
      </c>
      <c r="I865" s="35">
        <v>1.0</v>
      </c>
      <c r="J865" s="69" t="s">
        <v>834</v>
      </c>
      <c r="K865" s="99"/>
      <c r="L865" s="99"/>
      <c r="M865" s="39" t="str">
        <f t="shared" si="1"/>
        <v>[ Kalman Filter (1960)]</v>
      </c>
      <c r="N865" s="35" t="s">
        <v>5152</v>
      </c>
      <c r="O865" s="98">
        <v>1960.0</v>
      </c>
      <c r="P865" s="69"/>
      <c r="Q865" s="13"/>
      <c r="R865" s="13"/>
      <c r="S865" s="13"/>
      <c r="T865" s="35">
        <v>1.0</v>
      </c>
      <c r="U865" s="35">
        <v>0.0</v>
      </c>
      <c r="V865" s="89">
        <f>IFERROR(__xludf.DUMMYFUNCTION("INDEX(SPLIT(SUBSTITUTE(W865,CHAR(10), """"),"",:""), MATCH(Z865, SPLIT(SUBSTITUTE(W865,CHAR(10), """"),"",:""), 0) + 1)"),6.0)</f>
        <v>6</v>
      </c>
      <c r="W865" s="102" t="s">
        <v>2008</v>
      </c>
      <c r="X865" s="69" t="s">
        <v>834</v>
      </c>
      <c r="Y865" s="41" t="s">
        <v>2613</v>
      </c>
      <c r="Z865" s="53" t="str">
        <f t="array" ref="Z865">INDEX(Problems!J:J, MATCH(1, (Problems!B:B=B865)*1, 0))</f>
        <v>n</v>
      </c>
      <c r="AA865" s="41"/>
      <c r="AB865" s="41"/>
      <c r="AC865" s="41" t="s">
        <v>2312</v>
      </c>
      <c r="AD865" s="41" t="s">
        <v>1814</v>
      </c>
      <c r="AE865" s="85">
        <f>IFERROR(__xludf.DUMMYFUNCTION("INDEX(SPLIT(SUBSTITUTE(AF865,CHAR(10), """"),"",:""), MATCH(Z865, SPLIT(SUBSTITUTE(AF865,CHAR(10), """"),"",:""), 0) + 1)"),5.0)</f>
        <v>5</v>
      </c>
      <c r="AF865" s="102" t="s">
        <v>1938</v>
      </c>
      <c r="AG865" s="41" t="s">
        <v>2615</v>
      </c>
      <c r="AH865" s="41" t="s">
        <v>5153</v>
      </c>
      <c r="AI865" s="104">
        <v>1.0</v>
      </c>
      <c r="AJ865" s="84">
        <v>0.0</v>
      </c>
      <c r="AK865" s="104"/>
      <c r="AL865" s="35">
        <v>0.0</v>
      </c>
      <c r="AM865" s="104"/>
      <c r="AN865" s="35">
        <v>0.0</v>
      </c>
      <c r="AO865" s="110"/>
      <c r="AP865" s="35">
        <v>0.0</v>
      </c>
      <c r="AQ865" s="35">
        <v>0.0</v>
      </c>
      <c r="AR865" s="69"/>
      <c r="AS865" s="98">
        <v>0.0</v>
      </c>
      <c r="AT865" s="98">
        <v>0.0</v>
      </c>
      <c r="AU865" s="69"/>
      <c r="AV865" s="13"/>
      <c r="AW865" s="13"/>
      <c r="AX865" s="13"/>
      <c r="AY865" s="13"/>
      <c r="AZ865" s="6">
        <f>POW(1000, 2)</f>
        <v>1000000</v>
      </c>
      <c r="BA865" s="6"/>
      <c r="BB865" s="6">
        <f>POW(1000000,2)</f>
        <v>1000000000000</v>
      </c>
      <c r="BC865" s="6"/>
      <c r="BD865" s="6">
        <f>POW(1000000000,2)</f>
        <v>1E+18</v>
      </c>
      <c r="BE865" s="6"/>
      <c r="BF865" s="6">
        <v>1.0E9</v>
      </c>
      <c r="BG865" s="6">
        <v>1.0</v>
      </c>
      <c r="BH865" s="13"/>
      <c r="BI865" s="13">
        <f>POW(1000000,3)</f>
        <v>1E+18</v>
      </c>
      <c r="BJ865" s="6">
        <v>1.0</v>
      </c>
      <c r="BK865" s="13"/>
      <c r="BL865" s="13">
        <f>POW(1000000000,3)</f>
        <v>1E+27</v>
      </c>
      <c r="BM865" s="6">
        <v>1.0</v>
      </c>
      <c r="BN865" s="6"/>
      <c r="BO865" s="6">
        <v>3.0</v>
      </c>
      <c r="BP865" s="13"/>
      <c r="BQ865" s="13"/>
      <c r="BR865" s="6" t="s">
        <v>979</v>
      </c>
    </row>
    <row r="866">
      <c r="A866" s="35">
        <v>96.0</v>
      </c>
      <c r="B866" s="35" t="s">
        <v>994</v>
      </c>
      <c r="C866" s="53">
        <v>1.0</v>
      </c>
      <c r="D866" s="53" t="s">
        <v>994</v>
      </c>
      <c r="E866" s="7">
        <v>754.0</v>
      </c>
      <c r="F866" s="53"/>
      <c r="G866" s="6">
        <v>0.0</v>
      </c>
      <c r="H866" s="35">
        <v>1.0</v>
      </c>
      <c r="I866" s="35">
        <v>1.0</v>
      </c>
      <c r="J866" s="173" t="s">
        <v>834</v>
      </c>
      <c r="K866" s="99"/>
      <c r="L866" s="99"/>
      <c r="M866" s="39" t="str">
        <f t="shared" si="1"/>
        <v>[ Particle filter Del Moral (1996)]</v>
      </c>
      <c r="N866" s="35" t="s">
        <v>5154</v>
      </c>
      <c r="O866" s="98">
        <v>1996.0</v>
      </c>
      <c r="P866" s="69"/>
      <c r="Q866" s="13"/>
      <c r="R866" s="13"/>
      <c r="S866" s="13"/>
      <c r="T866" s="35">
        <v>0.0</v>
      </c>
      <c r="U866" s="35">
        <v>0.0</v>
      </c>
      <c r="V866" s="89">
        <f>IFERROR(__xludf.DUMMYFUNCTION("INDEX(SPLIT(SUBSTITUTE(W866,CHAR(10), """"),"",:""), MATCH(Z866, SPLIT(SUBSTITUTE(W866,CHAR(10), """"),"",:""), 0) + 1)"),6.0)</f>
        <v>6</v>
      </c>
      <c r="W866" s="102" t="s">
        <v>2008</v>
      </c>
      <c r="X866" s="173" t="s">
        <v>834</v>
      </c>
      <c r="Y866" s="41" t="s">
        <v>5155</v>
      </c>
      <c r="Z866" s="53" t="str">
        <f t="array" ref="Z866">INDEX(Problems!J:J, MATCH(1, (Problems!B:B=B866)*1, 0))</f>
        <v>n</v>
      </c>
      <c r="AA866" s="41"/>
      <c r="AB866" s="41"/>
      <c r="AC866" s="41" t="s">
        <v>2312</v>
      </c>
      <c r="AD866" s="41" t="s">
        <v>1814</v>
      </c>
      <c r="AE866" s="85">
        <f>IFERROR(__xludf.DUMMYFUNCTION("INDEX(SPLIT(SUBSTITUTE(AF866,CHAR(10), """"),"",:""), MATCH(Z866, SPLIT(SUBSTITUTE(AF866,CHAR(10), """"),"",:""), 0) + 1)"),3.0)</f>
        <v>3</v>
      </c>
      <c r="AF866" s="102" t="s">
        <v>1896</v>
      </c>
      <c r="AG866" s="41" t="s">
        <v>5156</v>
      </c>
      <c r="AH866" s="41" t="s">
        <v>5157</v>
      </c>
      <c r="AI866" s="104">
        <v>1.0</v>
      </c>
      <c r="AJ866" s="84">
        <v>0.0</v>
      </c>
      <c r="AK866" s="104"/>
      <c r="AL866" s="35">
        <v>0.0</v>
      </c>
      <c r="AM866" s="104"/>
      <c r="AN866" s="35">
        <v>0.0</v>
      </c>
      <c r="AO866" s="110"/>
      <c r="AP866" s="35">
        <v>0.0</v>
      </c>
      <c r="AQ866" s="35">
        <v>0.0</v>
      </c>
      <c r="AR866" s="69"/>
      <c r="AS866" s="98">
        <v>0.0</v>
      </c>
      <c r="AT866" s="98">
        <v>0.0</v>
      </c>
      <c r="AU866" s="69"/>
      <c r="AV866" s="13"/>
      <c r="AW866" s="13"/>
      <c r="AX866" s="13"/>
      <c r="AY866" s="13"/>
      <c r="AZ866" s="6">
        <f> 1000</f>
        <v>1000</v>
      </c>
      <c r="BA866" s="6">
        <f>POW(AZ865/AZ866,1/($O866-$O865)) - 1</f>
        <v>0.2115276586</v>
      </c>
      <c r="BB866" s="6">
        <f> 1000000</f>
        <v>1000000</v>
      </c>
      <c r="BC866" s="6">
        <f>POW(BB865/BB866,1/($O866-$O865)) - 1</f>
        <v>0.4677992676</v>
      </c>
      <c r="BD866" s="6">
        <f> 1000000000</f>
        <v>1000000000</v>
      </c>
      <c r="BE866" s="6">
        <f>POW(BD865/BD866,1/($O866-$O865)) - 1</f>
        <v>0.77827941</v>
      </c>
      <c r="BF866" s="6">
        <v>1.0E9</v>
      </c>
      <c r="BG866" s="13"/>
      <c r="BH866" s="13"/>
      <c r="BI866" s="13"/>
      <c r="BJ866" s="13"/>
      <c r="BK866" s="13"/>
      <c r="BL866" s="13"/>
      <c r="BM866" s="13"/>
      <c r="BN866" s="6"/>
      <c r="BO866" s="6">
        <v>3.0</v>
      </c>
      <c r="BP866" s="13"/>
      <c r="BQ866" s="13"/>
      <c r="BR866" s="6" t="s">
        <v>979</v>
      </c>
    </row>
    <row r="867">
      <c r="A867" s="35">
        <v>96.0</v>
      </c>
      <c r="B867" s="35" t="s">
        <v>994</v>
      </c>
      <c r="C867" s="53">
        <v>0.001</v>
      </c>
      <c r="D867" s="53" t="s">
        <v>994</v>
      </c>
      <c r="E867" s="7">
        <v>755.0</v>
      </c>
      <c r="F867" s="53"/>
      <c r="G867" s="6">
        <v>0.0</v>
      </c>
      <c r="H867" s="35">
        <v>1.0</v>
      </c>
      <c r="I867" s="35">
        <v>1.0</v>
      </c>
      <c r="J867" s="173" t="s">
        <v>834</v>
      </c>
      <c r="K867" s="99"/>
      <c r="L867" s="99"/>
      <c r="M867" s="39" t="str">
        <f t="shared" si="1"/>
        <v>[ Stratonovich (1959)]</v>
      </c>
      <c r="N867" s="35" t="s">
        <v>5158</v>
      </c>
      <c r="O867" s="98">
        <v>1959.0</v>
      </c>
      <c r="P867" s="69"/>
      <c r="Q867" s="13"/>
      <c r="R867" s="13"/>
      <c r="S867" s="13"/>
      <c r="T867" s="35">
        <v>0.0</v>
      </c>
      <c r="U867" s="35">
        <v>0.0</v>
      </c>
      <c r="V867" s="89">
        <f>IFERROR(__xludf.DUMMYFUNCTION("INDEX(SPLIT(SUBSTITUTE(W867,CHAR(10), """"),"",:""), MATCH(Z867, SPLIT(SUBSTITUTE(W867,CHAR(10), """"),"",:""), 0) + 1)"),6.0)</f>
        <v>6</v>
      </c>
      <c r="W867" s="102" t="s">
        <v>2008</v>
      </c>
      <c r="X867" s="173" t="s">
        <v>834</v>
      </c>
      <c r="Y867" s="41" t="s">
        <v>2613</v>
      </c>
      <c r="Z867" s="53" t="str">
        <f t="array" ref="Z867">INDEX(Problems!J:J, MATCH(1, (Problems!B:B=B867)*1, 0))</f>
        <v>n</v>
      </c>
      <c r="AA867" s="41"/>
      <c r="AB867" s="41"/>
      <c r="AC867" s="41"/>
      <c r="AD867" s="41"/>
      <c r="AE867" s="85" t="str">
        <f>IFERROR(__xludf.DUMMYFUNCTION("INDEX(SPLIT(SUBSTITUTE(AF867,CHAR(10), """"),"",:""), MATCH(Z867, SPLIT(SUBSTITUTE(AF867,CHAR(10), """"),"",:""), 0) + 1)"),"#VALUE!")</f>
        <v>#VALUE!</v>
      </c>
      <c r="AF867" s="102"/>
      <c r="AG867" s="41"/>
      <c r="AH867" s="41"/>
      <c r="AI867" s="104"/>
      <c r="AJ867" s="84" t="s">
        <v>2520</v>
      </c>
      <c r="AK867" s="104"/>
      <c r="AL867" s="35">
        <v>0.0</v>
      </c>
      <c r="AM867" s="104"/>
      <c r="AN867" s="35">
        <v>0.0</v>
      </c>
      <c r="AO867" s="110"/>
      <c r="AP867" s="35">
        <v>0.0</v>
      </c>
      <c r="AQ867" s="35">
        <v>0.0</v>
      </c>
      <c r="AR867" s="69"/>
      <c r="AS867" s="98">
        <v>0.0</v>
      </c>
      <c r="AT867" s="98">
        <v>0.0</v>
      </c>
      <c r="AU867" s="69"/>
      <c r="AV867" s="13"/>
      <c r="AW867" s="13"/>
      <c r="AX867" s="13"/>
      <c r="AY867" s="13"/>
      <c r="AZ867" s="6"/>
      <c r="BA867" s="6"/>
      <c r="BB867" s="6"/>
      <c r="BC867" s="6"/>
      <c r="BD867" s="6"/>
      <c r="BE867" s="6"/>
      <c r="BF867" s="6">
        <v>1.0E9</v>
      </c>
      <c r="BG867" s="13"/>
      <c r="BH867" s="13"/>
      <c r="BI867" s="13"/>
      <c r="BJ867" s="13"/>
      <c r="BK867" s="13"/>
      <c r="BL867" s="13"/>
      <c r="BM867" s="13"/>
      <c r="BN867" s="6"/>
      <c r="BO867" s="6">
        <v>3.0</v>
      </c>
      <c r="BP867" s="13"/>
      <c r="BQ867" s="13"/>
      <c r="BR867" s="6" t="s">
        <v>979</v>
      </c>
    </row>
    <row r="868">
      <c r="A868" s="35">
        <v>96.0</v>
      </c>
      <c r="B868" s="35" t="s">
        <v>994</v>
      </c>
      <c r="C868" s="53">
        <v>0.001</v>
      </c>
      <c r="D868" s="53" t="s">
        <v>994</v>
      </c>
      <c r="E868" s="7">
        <v>756.0</v>
      </c>
      <c r="F868" s="53"/>
      <c r="G868" s="6">
        <v>0.0</v>
      </c>
      <c r="H868" s="35">
        <v>1.0</v>
      </c>
      <c r="I868" s="35">
        <v>1.0</v>
      </c>
      <c r="J868" s="173" t="s">
        <v>834</v>
      </c>
      <c r="K868" s="99"/>
      <c r="L868" s="99"/>
      <c r="M868" s="39" t="str">
        <f t="shared" si="1"/>
        <v>[ Stratonovich (1960)]</v>
      </c>
      <c r="N868" s="35" t="s">
        <v>5158</v>
      </c>
      <c r="O868" s="98">
        <v>1960.0</v>
      </c>
      <c r="P868" s="69"/>
      <c r="Q868" s="13"/>
      <c r="R868" s="13"/>
      <c r="S868" s="13"/>
      <c r="T868" s="35">
        <v>0.0</v>
      </c>
      <c r="U868" s="35">
        <v>0.0</v>
      </c>
      <c r="V868" s="89">
        <f>IFERROR(__xludf.DUMMYFUNCTION("INDEX(SPLIT(SUBSTITUTE(W868,CHAR(10), """"),"",:""), MATCH(Z868, SPLIT(SUBSTITUTE(W868,CHAR(10), """"),"",:""), 0) + 1)"),6.0)</f>
        <v>6</v>
      </c>
      <c r="W868" s="102" t="s">
        <v>2008</v>
      </c>
      <c r="X868" s="173" t="s">
        <v>834</v>
      </c>
      <c r="Y868" s="41" t="s">
        <v>2613</v>
      </c>
      <c r="Z868" s="53" t="str">
        <f t="array" ref="Z868">INDEX(Problems!J:J, MATCH(1, (Problems!B:B=B868)*1, 0))</f>
        <v>n</v>
      </c>
      <c r="AA868" s="41"/>
      <c r="AB868" s="41"/>
      <c r="AC868" s="41"/>
      <c r="AD868" s="41"/>
      <c r="AE868" s="85" t="str">
        <f>IFERROR(__xludf.DUMMYFUNCTION("INDEX(SPLIT(SUBSTITUTE(AF868,CHAR(10), """"),"",:""), MATCH(Z868, SPLIT(SUBSTITUTE(AF868,CHAR(10), """"),"",:""), 0) + 1)"),"#VALUE!")</f>
        <v>#VALUE!</v>
      </c>
      <c r="AF868" s="102"/>
      <c r="AG868" s="41"/>
      <c r="AH868" s="41"/>
      <c r="AI868" s="104"/>
      <c r="AJ868" s="84" t="s">
        <v>2520</v>
      </c>
      <c r="AK868" s="104"/>
      <c r="AL868" s="35">
        <v>0.0</v>
      </c>
      <c r="AM868" s="104"/>
      <c r="AN868" s="35">
        <v>0.0</v>
      </c>
      <c r="AO868" s="110"/>
      <c r="AP868" s="35">
        <v>0.0</v>
      </c>
      <c r="AQ868" s="35">
        <v>0.0</v>
      </c>
      <c r="AR868" s="69"/>
      <c r="AS868" s="98">
        <v>0.0</v>
      </c>
      <c r="AT868" s="98">
        <v>0.0</v>
      </c>
      <c r="AU868" s="69"/>
      <c r="AV868" s="13"/>
      <c r="AW868" s="13"/>
      <c r="AX868" s="13"/>
      <c r="AY868" s="13"/>
      <c r="AZ868" s="6"/>
      <c r="BA868" s="6"/>
      <c r="BB868" s="6"/>
      <c r="BC868" s="6"/>
      <c r="BD868" s="6"/>
      <c r="BE868" s="6"/>
      <c r="BF868" s="6">
        <v>1.0E9</v>
      </c>
      <c r="BG868" s="13"/>
      <c r="BH868" s="13"/>
      <c r="BI868" s="13"/>
      <c r="BJ868" s="13"/>
      <c r="BK868" s="13"/>
      <c r="BL868" s="13"/>
      <c r="BM868" s="13"/>
      <c r="BN868" s="6"/>
      <c r="BO868" s="6">
        <v>3.0</v>
      </c>
      <c r="BP868" s="13"/>
      <c r="BQ868" s="13"/>
      <c r="BR868" s="6" t="s">
        <v>979</v>
      </c>
    </row>
    <row r="869">
      <c r="A869" s="35">
        <v>96.0</v>
      </c>
      <c r="B869" s="35" t="s">
        <v>994</v>
      </c>
      <c r="C869" s="53">
        <v>1.0</v>
      </c>
      <c r="D869" s="53" t="s">
        <v>994</v>
      </c>
      <c r="E869" s="7">
        <v>757.0</v>
      </c>
      <c r="F869" s="53"/>
      <c r="G869" s="6">
        <v>0.0</v>
      </c>
      <c r="H869" s="35">
        <v>1.0</v>
      </c>
      <c r="I869" s="35">
        <v>1.0</v>
      </c>
      <c r="J869" s="173" t="s">
        <v>834</v>
      </c>
      <c r="K869" s="99"/>
      <c r="L869" s="99"/>
      <c r="M869" s="39" t="str">
        <f t="shared" si="1"/>
        <v>[https://ieeexplore.ieee.org/document/1098671 Kushner non-linear filter (1967)]</v>
      </c>
      <c r="N869" s="35" t="s">
        <v>5159</v>
      </c>
      <c r="O869" s="98">
        <v>1967.0</v>
      </c>
      <c r="P869" s="112" t="s">
        <v>5160</v>
      </c>
      <c r="Q869" s="13"/>
      <c r="R869" s="13"/>
      <c r="S869" s="13"/>
      <c r="T869" s="35">
        <v>0.0</v>
      </c>
      <c r="U869" s="35">
        <v>0.0</v>
      </c>
      <c r="V869" s="89">
        <f>IFERROR(__xludf.DUMMYFUNCTION("INDEX(SPLIT(SUBSTITUTE(W869,CHAR(10), """"),"",:""), MATCH(Z869, SPLIT(SUBSTITUTE(W869,CHAR(10), """"),"",:""), 0) + 1)"),6.0)</f>
        <v>6</v>
      </c>
      <c r="W869" s="102" t="s">
        <v>2008</v>
      </c>
      <c r="X869" s="173" t="s">
        <v>834</v>
      </c>
      <c r="Y869" s="41" t="s">
        <v>2613</v>
      </c>
      <c r="Z869" s="53" t="str">
        <f t="array" ref="Z869">INDEX(Problems!J:J, MATCH(1, (Problems!B:B=B869)*1, 0))</f>
        <v>n</v>
      </c>
      <c r="AA869" s="41"/>
      <c r="AB869" s="41"/>
      <c r="AC869" s="41" t="s">
        <v>2312</v>
      </c>
      <c r="AD869" s="41" t="s">
        <v>1814</v>
      </c>
      <c r="AE869" s="85">
        <f>IFERROR(__xludf.DUMMYFUNCTION("INDEX(SPLIT(SUBSTITUTE(AF869,CHAR(10), """"),"",:""), MATCH(Z869, SPLIT(SUBSTITUTE(AF869,CHAR(10), """"),"",:""), 0) + 1)"),5.0)</f>
        <v>5</v>
      </c>
      <c r="AF869" s="102" t="s">
        <v>1938</v>
      </c>
      <c r="AG869" s="41" t="s">
        <v>4247</v>
      </c>
      <c r="AH869" s="41" t="s">
        <v>5161</v>
      </c>
      <c r="AI869" s="104">
        <v>1.0</v>
      </c>
      <c r="AJ869" s="84">
        <v>0.0</v>
      </c>
      <c r="AK869" s="104"/>
      <c r="AL869" s="35">
        <v>0.0</v>
      </c>
      <c r="AM869" s="104"/>
      <c r="AN869" s="35">
        <v>0.0</v>
      </c>
      <c r="AO869" s="110"/>
      <c r="AP869" s="35">
        <v>0.0</v>
      </c>
      <c r="AQ869" s="35">
        <v>0.0</v>
      </c>
      <c r="AR869" s="69"/>
      <c r="AS869" s="98">
        <v>0.0</v>
      </c>
      <c r="AT869" s="98">
        <v>0.0</v>
      </c>
      <c r="AU869" s="69"/>
      <c r="AV869" s="13"/>
      <c r="AW869" s="13"/>
      <c r="AX869" s="13"/>
      <c r="AY869" s="13"/>
      <c r="AZ869" s="6"/>
      <c r="BA869" s="6"/>
      <c r="BB869" s="6"/>
      <c r="BC869" s="6"/>
      <c r="BD869" s="6"/>
      <c r="BE869" s="6"/>
      <c r="BF869" s="6">
        <v>1.0E9</v>
      </c>
      <c r="BG869" s="13"/>
      <c r="BH869" s="13"/>
      <c r="BI869" s="13"/>
      <c r="BJ869" s="13"/>
      <c r="BK869" s="13"/>
      <c r="BL869" s="13"/>
      <c r="BM869" s="13"/>
      <c r="BN869" s="6"/>
      <c r="BO869" s="6">
        <v>3.0</v>
      </c>
      <c r="BP869" s="13"/>
      <c r="BQ869" s="13"/>
      <c r="BR869" s="6" t="s">
        <v>979</v>
      </c>
    </row>
    <row r="870">
      <c r="A870" s="35">
        <v>96.0</v>
      </c>
      <c r="B870" s="35" t="s">
        <v>994</v>
      </c>
      <c r="C870" s="53">
        <v>0.001</v>
      </c>
      <c r="D870" s="53" t="s">
        <v>994</v>
      </c>
      <c r="E870" s="7">
        <v>758.0</v>
      </c>
      <c r="F870" s="53"/>
      <c r="G870" s="6">
        <v>0.0</v>
      </c>
      <c r="H870" s="35">
        <v>1.0</v>
      </c>
      <c r="I870" s="35">
        <v>1.0</v>
      </c>
      <c r="J870" s="173" t="s">
        <v>834</v>
      </c>
      <c r="K870" s="99"/>
      <c r="L870" s="99"/>
      <c r="M870" s="39" t="str">
        <f t="shared" si="1"/>
        <v>[https://link.springer.com/article/10.1007/BF00536382 Zakai (1969)]</v>
      </c>
      <c r="N870" s="35" t="s">
        <v>5162</v>
      </c>
      <c r="O870" s="98">
        <v>1969.0</v>
      </c>
      <c r="P870" s="112" t="s">
        <v>5163</v>
      </c>
      <c r="Q870" s="13"/>
      <c r="R870" s="13"/>
      <c r="S870" s="13"/>
      <c r="T870" s="35">
        <v>0.0</v>
      </c>
      <c r="U870" s="35">
        <v>0.0</v>
      </c>
      <c r="V870" s="89">
        <f>IFERROR(__xludf.DUMMYFUNCTION("INDEX(SPLIT(SUBSTITUTE(W870,CHAR(10), """"),"",:""), MATCH(Z870, SPLIT(SUBSTITUTE(W870,CHAR(10), """"),"",:""), 0) + 1)"),6.0)</f>
        <v>6</v>
      </c>
      <c r="W870" s="102" t="s">
        <v>2008</v>
      </c>
      <c r="X870" s="173" t="s">
        <v>834</v>
      </c>
      <c r="Y870" s="41" t="s">
        <v>2613</v>
      </c>
      <c r="Z870" s="53" t="str">
        <f t="array" ref="Z870">INDEX(Problems!J:J, MATCH(1, (Problems!B:B=B870)*1, 0))</f>
        <v>n</v>
      </c>
      <c r="AA870" s="41"/>
      <c r="AB870" s="41"/>
      <c r="AC870" s="41"/>
      <c r="AD870" s="41"/>
      <c r="AE870" s="85" t="str">
        <f>IFERROR(__xludf.DUMMYFUNCTION("INDEX(SPLIT(SUBSTITUTE(AF870,CHAR(10), """"),"",:""), MATCH(Z870, SPLIT(SUBSTITUTE(AF870,CHAR(10), """"),"",:""), 0) + 1)"),"#VALUE!")</f>
        <v>#VALUE!</v>
      </c>
      <c r="AF870" s="102"/>
      <c r="AG870" s="41"/>
      <c r="AH870" s="41"/>
      <c r="AI870" s="104"/>
      <c r="AJ870" s="84" t="s">
        <v>2520</v>
      </c>
      <c r="AK870" s="104"/>
      <c r="AL870" s="35">
        <v>0.0</v>
      </c>
      <c r="AM870" s="104"/>
      <c r="AN870" s="35">
        <v>0.0</v>
      </c>
      <c r="AO870" s="110"/>
      <c r="AP870" s="35">
        <v>0.0</v>
      </c>
      <c r="AQ870" s="35">
        <v>0.0</v>
      </c>
      <c r="AR870" s="69"/>
      <c r="AS870" s="98">
        <v>0.0</v>
      </c>
      <c r="AT870" s="98">
        <v>0.0</v>
      </c>
      <c r="AU870" s="69"/>
      <c r="AV870" s="13"/>
      <c r="AW870" s="13"/>
      <c r="AX870" s="13"/>
      <c r="AY870" s="13"/>
      <c r="AZ870" s="6"/>
      <c r="BA870" s="6"/>
      <c r="BB870" s="6"/>
      <c r="BC870" s="6"/>
      <c r="BD870" s="6"/>
      <c r="BE870" s="6"/>
      <c r="BF870" s="6">
        <v>1.0E9</v>
      </c>
      <c r="BG870" s="13"/>
      <c r="BH870" s="13"/>
      <c r="BI870" s="13"/>
      <c r="BJ870" s="13"/>
      <c r="BK870" s="13"/>
      <c r="BL870" s="13"/>
      <c r="BM870" s="13"/>
      <c r="BN870" s="6"/>
      <c r="BO870" s="6">
        <v>3.0</v>
      </c>
      <c r="BP870" s="13"/>
      <c r="BQ870" s="13"/>
      <c r="BR870" s="6" t="s">
        <v>979</v>
      </c>
    </row>
    <row r="871">
      <c r="A871" s="35">
        <v>96.0</v>
      </c>
      <c r="B871" s="35" t="s">
        <v>994</v>
      </c>
      <c r="C871" s="53">
        <v>1.0</v>
      </c>
      <c r="D871" s="53" t="s">
        <v>994</v>
      </c>
      <c r="E871" s="7">
        <v>759.0</v>
      </c>
      <c r="F871" s="53"/>
      <c r="G871" s="6">
        <v>0.0</v>
      </c>
      <c r="H871" s="35">
        <v>1.0</v>
      </c>
      <c r="I871" s="35">
        <v>1.0</v>
      </c>
      <c r="J871" s="173" t="s">
        <v>3459</v>
      </c>
      <c r="K871" s="99"/>
      <c r="L871" s="99"/>
      <c r="M871" s="39" t="str">
        <f t="shared" si="1"/>
        <v>[ Maybeck; Peter S Extended Kalman Filter (1979)]</v>
      </c>
      <c r="N871" s="35" t="s">
        <v>5164</v>
      </c>
      <c r="O871" s="98">
        <v>1979.0</v>
      </c>
      <c r="P871" s="173"/>
      <c r="Q871" s="13"/>
      <c r="R871" s="13"/>
      <c r="S871" s="13"/>
      <c r="T871" s="35">
        <v>1.0</v>
      </c>
      <c r="U871" s="35">
        <v>0.0</v>
      </c>
      <c r="V871" s="89">
        <f>IFERROR(__xludf.DUMMYFUNCTION("INDEX(SPLIT(SUBSTITUTE(W871,CHAR(10), """"),"",:""), MATCH(Z871, SPLIT(SUBSTITUTE(W871,CHAR(10), """"),"",:""), 0) + 1)"),5.02)</f>
        <v>5.02</v>
      </c>
      <c r="W871" s="102" t="s">
        <v>3461</v>
      </c>
      <c r="X871" s="61" t="s">
        <v>3462</v>
      </c>
      <c r="Y871" s="41" t="s">
        <v>2613</v>
      </c>
      <c r="Z871" s="53" t="str">
        <f t="array" ref="Z871">INDEX(Problems!J:J, MATCH(1, (Problems!B:B=B871)*1, 0))</f>
        <v>n</v>
      </c>
      <c r="AA871" s="41"/>
      <c r="AB871" s="41"/>
      <c r="AC871" s="41" t="s">
        <v>2312</v>
      </c>
      <c r="AD871" s="41" t="s">
        <v>1814</v>
      </c>
      <c r="AE871" s="85">
        <f>IFERROR(__xludf.DUMMYFUNCTION("INDEX(SPLIT(SUBSTITUTE(AF871,CHAR(10), """"),"",:""), MATCH(Z871, SPLIT(SUBSTITUTE(AF871,CHAR(10), """"),"",:""), 0) + 1)"),5.0)</f>
        <v>5</v>
      </c>
      <c r="AF871" s="102" t="s">
        <v>1938</v>
      </c>
      <c r="AG871" s="41" t="s">
        <v>2615</v>
      </c>
      <c r="AH871" s="41" t="s">
        <v>5153</v>
      </c>
      <c r="AI871" s="104">
        <v>1.0</v>
      </c>
      <c r="AJ871" s="84">
        <v>0.0</v>
      </c>
      <c r="AK871" s="104"/>
      <c r="AL871" s="35">
        <v>0.0</v>
      </c>
      <c r="AM871" s="104"/>
      <c r="AN871" s="35">
        <v>0.0</v>
      </c>
      <c r="AO871" s="110"/>
      <c r="AP871" s="35">
        <v>0.0</v>
      </c>
      <c r="AQ871" s="35">
        <v>0.0</v>
      </c>
      <c r="AR871" s="69"/>
      <c r="AS871" s="98">
        <v>0.0</v>
      </c>
      <c r="AT871" s="98">
        <v>0.0</v>
      </c>
      <c r="AU871" s="69"/>
      <c r="AV871" s="13"/>
      <c r="AW871" s="13"/>
      <c r="AX871" s="13"/>
      <c r="AY871" s="13"/>
      <c r="AZ871" s="122"/>
      <c r="BA871" s="122"/>
      <c r="BB871" s="122"/>
      <c r="BC871" s="122"/>
      <c r="BD871" s="122"/>
      <c r="BE871" s="122"/>
      <c r="BF871" s="122">
        <v>9931685.0</v>
      </c>
      <c r="BG871" s="13"/>
      <c r="BH871" s="13"/>
      <c r="BI871" s="13"/>
      <c r="BJ871" s="13"/>
      <c r="BK871" s="13"/>
      <c r="BL871" s="13"/>
      <c r="BM871" s="13"/>
      <c r="BN871" s="6"/>
      <c r="BO871" s="6">
        <v>3.0</v>
      </c>
      <c r="BP871" s="13"/>
      <c r="BQ871" s="13"/>
      <c r="BR871" s="6" t="s">
        <v>979</v>
      </c>
    </row>
    <row r="872">
      <c r="A872" s="35">
        <v>96.0</v>
      </c>
      <c r="B872" s="35" t="s">
        <v>994</v>
      </c>
      <c r="C872" s="53">
        <v>0.0</v>
      </c>
      <c r="D872" s="53" t="s">
        <v>994</v>
      </c>
      <c r="E872" s="7">
        <v>760.0</v>
      </c>
      <c r="F872" s="53"/>
      <c r="G872" s="6">
        <v>0.0</v>
      </c>
      <c r="H872" s="35">
        <v>1.0</v>
      </c>
      <c r="I872" s="35">
        <v>1.0</v>
      </c>
      <c r="J872" s="61" t="s">
        <v>5165</v>
      </c>
      <c r="K872" s="99"/>
      <c r="L872" s="99"/>
      <c r="M872" s="39" t="str">
        <f t="shared" si="1"/>
        <v>[https://ieeexplore.ieee.org/abstract/document/661075 Damiano Brigo; Bernard Hanzon and François LeGland (1998)]</v>
      </c>
      <c r="N872" s="35" t="s">
        <v>5166</v>
      </c>
      <c r="O872" s="98">
        <v>1998.0</v>
      </c>
      <c r="P872" s="112" t="s">
        <v>5167</v>
      </c>
      <c r="Q872" s="13"/>
      <c r="R872" s="13"/>
      <c r="S872" s="13"/>
      <c r="T872" s="35">
        <v>0.0</v>
      </c>
      <c r="U872" s="35">
        <v>0.0</v>
      </c>
      <c r="V872" s="89">
        <f>IFERROR(__xludf.DUMMYFUNCTION("INDEX(SPLIT(SUBSTITUTE(W872,CHAR(10), """"),"",:""), MATCH(Z872, SPLIT(SUBSTITUTE(W872,CHAR(10), """"),"",:""), 0) + 1)"),5.46)</f>
        <v>5.46</v>
      </c>
      <c r="W872" s="102" t="s">
        <v>5168</v>
      </c>
      <c r="X872" s="61" t="s">
        <v>5169</v>
      </c>
      <c r="Y872" s="41" t="s">
        <v>2613</v>
      </c>
      <c r="Z872" s="53" t="str">
        <f t="array" ref="Z872">INDEX(Problems!J:J, MATCH(1, (Problems!B:B=B872)*1, 0))</f>
        <v>n</v>
      </c>
      <c r="AA872" s="41"/>
      <c r="AB872" s="41"/>
      <c r="AC872" s="41" t="s">
        <v>2312</v>
      </c>
      <c r="AD872" s="41" t="s">
        <v>1814</v>
      </c>
      <c r="AE872" s="85" t="str">
        <f>IFERROR(__xludf.DUMMYFUNCTION("INDEX(SPLIT(SUBSTITUTE(AF872,CHAR(10), """"),"",:""), MATCH(Z872, SPLIT(SUBSTITUTE(AF872,CHAR(10), """"),"",:""), 0) + 1)"),"#VALUE!")</f>
        <v>#VALUE!</v>
      </c>
      <c r="AF872" s="102"/>
      <c r="AG872" s="41"/>
      <c r="AH872" s="41"/>
      <c r="AI872" s="104"/>
      <c r="AJ872" s="84" t="s">
        <v>2520</v>
      </c>
      <c r="AK872" s="104"/>
      <c r="AL872" s="35">
        <v>0.0</v>
      </c>
      <c r="AM872" s="104"/>
      <c r="AN872" s="35">
        <v>0.0</v>
      </c>
      <c r="AO872" s="110"/>
      <c r="AP872" s="35">
        <v>0.0</v>
      </c>
      <c r="AQ872" s="35">
        <v>0.0</v>
      </c>
      <c r="AR872" s="69"/>
      <c r="AS872" s="98">
        <v>0.0</v>
      </c>
      <c r="AT872" s="98">
        <v>0.0</v>
      </c>
      <c r="AU872" s="69"/>
      <c r="AV872" s="13"/>
      <c r="AW872" s="13"/>
      <c r="AX872" s="13"/>
      <c r="AY872" s="13"/>
      <c r="AZ872" s="13"/>
      <c r="BA872" s="13"/>
      <c r="BB872" s="13"/>
      <c r="BC872" s="13"/>
      <c r="BD872" s="13"/>
      <c r="BE872" s="13"/>
      <c r="BF872" s="13"/>
      <c r="BG872" s="13"/>
      <c r="BH872" s="13"/>
      <c r="BI872" s="13"/>
      <c r="BJ872" s="13"/>
      <c r="BK872" s="13"/>
      <c r="BL872" s="13"/>
      <c r="BM872" s="13"/>
      <c r="BN872" s="6"/>
      <c r="BO872" s="6">
        <v>3.0</v>
      </c>
      <c r="BP872" s="13"/>
      <c r="BQ872" s="13"/>
      <c r="BR872" s="6" t="s">
        <v>979</v>
      </c>
    </row>
    <row r="873">
      <c r="A873" s="35">
        <v>96.0</v>
      </c>
      <c r="B873" s="35" t="s">
        <v>994</v>
      </c>
      <c r="C873" s="53">
        <v>0.0</v>
      </c>
      <c r="D873" s="53" t="s">
        <v>994</v>
      </c>
      <c r="E873" s="7">
        <v>761.0</v>
      </c>
      <c r="F873" s="53"/>
      <c r="G873" s="6">
        <v>0.0</v>
      </c>
      <c r="H873" s="35">
        <v>1.0</v>
      </c>
      <c r="I873" s="35">
        <v>1.0</v>
      </c>
      <c r="J873" s="173" t="s">
        <v>115</v>
      </c>
      <c r="K873" s="99"/>
      <c r="L873" s="99"/>
      <c r="M873" s="39" t="str">
        <f t="shared" si="1"/>
        <v>[https://projecteuclid.org/journals/annals-of-applied-probability/volume-8/issue-2/Measure-valued-processes-and-interacting-particle-systems-Application-to-nonlinear/10.1214/aoap/1028903535.full Del Moral; Pierre (1998)]</v>
      </c>
      <c r="N873" s="35" t="s">
        <v>5170</v>
      </c>
      <c r="O873" s="98">
        <v>1998.0</v>
      </c>
      <c r="P873" s="174" t="s">
        <v>5171</v>
      </c>
      <c r="Q873" s="13"/>
      <c r="R873" s="13"/>
      <c r="S873" s="13"/>
      <c r="T873" s="35">
        <v>1.0</v>
      </c>
      <c r="U873" s="35" t="s">
        <v>2425</v>
      </c>
      <c r="V873" s="89">
        <f>IFERROR(__xludf.DUMMYFUNCTION("INDEX(SPLIT(SUBSTITUTE(W873,CHAR(10), """"),"",:""), MATCH(Z873, SPLIT(SUBSTITUTE(W873,CHAR(10), """"),"",:""), 0) + 1)"),5.0)</f>
        <v>5</v>
      </c>
      <c r="W873" s="102" t="s">
        <v>1938</v>
      </c>
      <c r="X873" s="173" t="s">
        <v>115</v>
      </c>
      <c r="Y873" s="41" t="s">
        <v>2613</v>
      </c>
      <c r="Z873" s="53" t="str">
        <f t="array" ref="Z873">INDEX(Problems!J:J, MATCH(1, (Problems!B:B=B873)*1, 0))</f>
        <v>n</v>
      </c>
      <c r="AA873" s="41"/>
      <c r="AB873" s="41"/>
      <c r="AC873" s="41" t="s">
        <v>2312</v>
      </c>
      <c r="AD873" s="41" t="s">
        <v>1814</v>
      </c>
      <c r="AE873" s="85" t="str">
        <f>IFERROR(__xludf.DUMMYFUNCTION("INDEX(SPLIT(SUBSTITUTE(AF873,CHAR(10), """"),"",:""), MATCH(Z873, SPLIT(SUBSTITUTE(AF873,CHAR(10), """"),"",:""), 0) + 1)"),"#VALUE!")</f>
        <v>#VALUE!</v>
      </c>
      <c r="AF873" s="102"/>
      <c r="AG873" s="41"/>
      <c r="AH873" s="41"/>
      <c r="AI873" s="104"/>
      <c r="AJ873" s="84" t="s">
        <v>2520</v>
      </c>
      <c r="AK873" s="104"/>
      <c r="AL873" s="35">
        <v>0.0</v>
      </c>
      <c r="AM873" s="104"/>
      <c r="AN873" s="35">
        <v>0.0</v>
      </c>
      <c r="AO873" s="110"/>
      <c r="AP873" s="35">
        <v>0.0</v>
      </c>
      <c r="AQ873" s="35">
        <v>0.0</v>
      </c>
      <c r="AR873" s="69"/>
      <c r="AS873" s="98">
        <v>0.0</v>
      </c>
      <c r="AT873" s="98">
        <v>0.0</v>
      </c>
      <c r="AU873" s="69"/>
      <c r="AV873" s="13"/>
      <c r="AW873" s="13"/>
      <c r="AX873" s="13"/>
      <c r="AY873" s="13"/>
      <c r="AZ873" s="6"/>
      <c r="BA873" s="6"/>
      <c r="BB873" s="6"/>
      <c r="BC873" s="6"/>
      <c r="BD873" s="6"/>
      <c r="BE873" s="6"/>
      <c r="BF873" s="6">
        <v>1000000.0</v>
      </c>
      <c r="BG873" s="6">
        <v>1000.0</v>
      </c>
      <c r="BH873" s="13">
        <f>POW(BG873,1/($O873-$O865)) - 1</f>
        <v>0.1993539462</v>
      </c>
      <c r="BI873" s="13">
        <f>POW(1000000,2)</f>
        <v>1000000000000</v>
      </c>
      <c r="BJ873" s="6">
        <v>1000000.0</v>
      </c>
      <c r="BK873" s="13">
        <f>POW(BJ873,1/($O873-$O865)) - 1</f>
        <v>0.4384498883</v>
      </c>
      <c r="BL873" s="13">
        <f>POW(1000000000,2)</f>
        <v>1E+18</v>
      </c>
      <c r="BM873" s="6">
        <v>1.0E9</v>
      </c>
      <c r="BN873" s="13">
        <f>POW(BM873,1/($O873-$O865)) - 1</f>
        <v>0.7252105499</v>
      </c>
      <c r="BO873" s="6">
        <v>3.0</v>
      </c>
      <c r="BP873" s="13"/>
      <c r="BQ873" s="13"/>
      <c r="BR873" s="6" t="s">
        <v>979</v>
      </c>
    </row>
    <row r="874">
      <c r="A874" s="35">
        <v>96.0</v>
      </c>
      <c r="B874" s="35" t="s">
        <v>994</v>
      </c>
      <c r="C874" s="53">
        <v>0.001</v>
      </c>
      <c r="D874" s="53" t="s">
        <v>994</v>
      </c>
      <c r="E874" s="7">
        <v>762.0</v>
      </c>
      <c r="F874" s="53"/>
      <c r="G874" s="6">
        <v>0.0</v>
      </c>
      <c r="H874" s="35">
        <v>1.0</v>
      </c>
      <c r="I874" s="35">
        <v>1.0</v>
      </c>
      <c r="J874" s="173" t="s">
        <v>115</v>
      </c>
      <c r="K874" s="99"/>
      <c r="L874" s="99"/>
      <c r="M874" s="39" t="str">
        <f t="shared" si="1"/>
        <v>[https://link.springer.com/chapter/10.1007/978-1-4612-1784-8_28 Ocone (1999)]</v>
      </c>
      <c r="N874" s="35" t="s">
        <v>5172</v>
      </c>
      <c r="O874" s="98">
        <v>1999.0</v>
      </c>
      <c r="P874" s="174" t="s">
        <v>5173</v>
      </c>
      <c r="Q874" s="13"/>
      <c r="R874" s="13"/>
      <c r="S874" s="13"/>
      <c r="T874" s="35">
        <v>0.0</v>
      </c>
      <c r="U874" s="35">
        <v>0.0</v>
      </c>
      <c r="V874" s="89">
        <f>IFERROR(__xludf.DUMMYFUNCTION("INDEX(SPLIT(SUBSTITUTE(W874,CHAR(10), """"),"",:""), MATCH(Z874, SPLIT(SUBSTITUTE(W874,CHAR(10), """"),"",:""), 0) + 1)"),5.0)</f>
        <v>5</v>
      </c>
      <c r="W874" s="102" t="s">
        <v>1938</v>
      </c>
      <c r="X874" s="173" t="s">
        <v>115</v>
      </c>
      <c r="Y874" s="41" t="s">
        <v>2613</v>
      </c>
      <c r="Z874" s="53" t="str">
        <f t="array" ref="Z874">INDEX(Problems!J:J, MATCH(1, (Problems!B:B=B874)*1, 0))</f>
        <v>n</v>
      </c>
      <c r="AA874" s="41"/>
      <c r="AB874" s="41"/>
      <c r="AC874" s="41"/>
      <c r="AD874" s="41"/>
      <c r="AE874" s="85" t="str">
        <f>IFERROR(__xludf.DUMMYFUNCTION("INDEX(SPLIT(SUBSTITUTE(AF874,CHAR(10), """"),"",:""), MATCH(Z874, SPLIT(SUBSTITUTE(AF874,CHAR(10), """"),"",:""), 0) + 1)"),"#VALUE!")</f>
        <v>#VALUE!</v>
      </c>
      <c r="AF874" s="102"/>
      <c r="AG874" s="41"/>
      <c r="AH874" s="41"/>
      <c r="AI874" s="104"/>
      <c r="AJ874" s="84" t="s">
        <v>2520</v>
      </c>
      <c r="AK874" s="104"/>
      <c r="AL874" s="35">
        <v>0.0</v>
      </c>
      <c r="AM874" s="104"/>
      <c r="AN874" s="35">
        <v>0.0</v>
      </c>
      <c r="AO874" s="110"/>
      <c r="AP874" s="35">
        <v>0.0</v>
      </c>
      <c r="AQ874" s="35">
        <v>0.0</v>
      </c>
      <c r="AR874" s="69"/>
      <c r="AS874" s="98">
        <v>0.0</v>
      </c>
      <c r="AT874" s="98">
        <v>0.0</v>
      </c>
      <c r="AU874" s="69"/>
      <c r="AV874" s="13"/>
      <c r="AW874" s="13"/>
      <c r="AX874" s="13"/>
      <c r="AY874" s="13"/>
      <c r="AZ874" s="6"/>
      <c r="BA874" s="6"/>
      <c r="BB874" s="6"/>
      <c r="BC874" s="6"/>
      <c r="BD874" s="6"/>
      <c r="BE874" s="6"/>
      <c r="BF874" s="6">
        <v>1000000.0</v>
      </c>
      <c r="BG874" s="13"/>
      <c r="BH874" s="13"/>
      <c r="BI874" s="13"/>
      <c r="BJ874" s="13"/>
      <c r="BK874" s="13"/>
      <c r="BL874" s="13"/>
      <c r="BM874" s="13"/>
      <c r="BN874" s="6"/>
      <c r="BO874" s="6">
        <v>3.0</v>
      </c>
      <c r="BP874" s="13"/>
      <c r="BQ874" s="13"/>
      <c r="BR874" s="6" t="s">
        <v>979</v>
      </c>
    </row>
    <row r="875">
      <c r="A875" s="35">
        <v>97.0</v>
      </c>
      <c r="B875" s="35" t="s">
        <v>998</v>
      </c>
      <c r="C875" s="53">
        <v>2.0</v>
      </c>
      <c r="D875" s="53" t="s">
        <v>998</v>
      </c>
      <c r="E875" s="7">
        <v>763.0</v>
      </c>
      <c r="F875" s="53"/>
      <c r="G875" s="6"/>
      <c r="H875" s="35">
        <v>1.0</v>
      </c>
      <c r="I875" s="35">
        <v>1.0</v>
      </c>
      <c r="J875" s="173" t="s">
        <v>789</v>
      </c>
      <c r="K875" s="41" t="s">
        <v>4151</v>
      </c>
      <c r="L875" s="41" t="s">
        <v>5147</v>
      </c>
      <c r="M875" s="39" t="str">
        <f t="shared" si="1"/>
        <v>[https://www.jstor.org/stable/24900506 Bellman Value Iteration (VI) (1957)]</v>
      </c>
      <c r="N875" s="35" t="s">
        <v>5174</v>
      </c>
      <c r="O875" s="98">
        <v>1957.0</v>
      </c>
      <c r="P875" s="112" t="s">
        <v>5175</v>
      </c>
      <c r="Q875" s="13"/>
      <c r="R875" s="13"/>
      <c r="S875" s="13"/>
      <c r="T875" s="98">
        <v>1.0</v>
      </c>
      <c r="U875" s="35">
        <v>0.0</v>
      </c>
      <c r="V875" s="89">
        <f>IFERROR(__xludf.DUMMYFUNCTION("INDEX(SPLIT(SUBSTITUTE(W875,CHAR(10), """"),"",:""), MATCH(Z875, SPLIT(SUBSTITUTE(W875,CHAR(10), """"),"",:""), 0) + 1)"),8.0)</f>
        <v>8</v>
      </c>
      <c r="W875" s="102" t="s">
        <v>2001</v>
      </c>
      <c r="X875" s="173" t="s">
        <v>789</v>
      </c>
      <c r="Y875" s="41" t="s">
        <v>2329</v>
      </c>
      <c r="Z875" s="53" t="str">
        <f t="array" ref="Z875">INDEX(Problems!J:J, MATCH(1, (Problems!B:B=B875)*1, 0))</f>
        <v>n</v>
      </c>
      <c r="AA875" s="41"/>
      <c r="AB875" s="41"/>
      <c r="AC875" s="41" t="s">
        <v>2312</v>
      </c>
      <c r="AD875" s="41" t="s">
        <v>1814</v>
      </c>
      <c r="AE875" s="85">
        <f>IFERROR(__xludf.DUMMYFUNCTION("INDEX(SPLIT(SUBSTITUTE(AF875,CHAR(10), """"),"",:""), MATCH(Z875, SPLIT(SUBSTITUTE(AF875,CHAR(10), """"),"",:""), 0) + 1)"),3.0)</f>
        <v>3</v>
      </c>
      <c r="AF875" s="102" t="s">
        <v>1763</v>
      </c>
      <c r="AG875" s="41" t="s">
        <v>35</v>
      </c>
      <c r="AH875" s="41" t="s">
        <v>5176</v>
      </c>
      <c r="AI875" s="104">
        <v>1.0</v>
      </c>
      <c r="AJ875" s="84">
        <v>0.0</v>
      </c>
      <c r="AK875" s="104"/>
      <c r="AL875" s="35">
        <v>0.0</v>
      </c>
      <c r="AM875" s="104"/>
      <c r="AN875" s="35">
        <v>0.0</v>
      </c>
      <c r="AO875" s="110"/>
      <c r="AP875" s="35">
        <v>0.0</v>
      </c>
      <c r="AQ875" s="35">
        <v>0.0</v>
      </c>
      <c r="AR875" s="69"/>
      <c r="AS875" s="98">
        <v>0.0</v>
      </c>
      <c r="AT875" s="98">
        <v>0.0</v>
      </c>
      <c r="AU875" s="69"/>
      <c r="AV875" s="13"/>
      <c r="AW875" s="13"/>
      <c r="AX875" s="13"/>
      <c r="AY875" s="13"/>
      <c r="AZ875" s="6"/>
      <c r="BA875" s="6"/>
      <c r="BB875" s="6"/>
      <c r="BC875" s="6"/>
      <c r="BD875" s="6"/>
      <c r="BE875" s="6"/>
      <c r="BF875" s="6" t="s">
        <v>1781</v>
      </c>
      <c r="BG875" s="6">
        <v>1.0</v>
      </c>
      <c r="BH875" s="6"/>
      <c r="BI875" s="6" t="s">
        <v>1781</v>
      </c>
      <c r="BJ875" s="6">
        <v>1.0</v>
      </c>
      <c r="BK875" s="6"/>
      <c r="BL875" s="6" t="s">
        <v>1781</v>
      </c>
      <c r="BM875" s="6">
        <v>1.0</v>
      </c>
      <c r="BN875" s="6"/>
      <c r="BO875" s="6">
        <v>1.0</v>
      </c>
      <c r="BP875" s="13"/>
      <c r="BQ875" s="13"/>
      <c r="BR875" s="6" t="s">
        <v>411</v>
      </c>
    </row>
    <row r="876">
      <c r="A876" s="35">
        <v>97.0</v>
      </c>
      <c r="B876" s="35" t="s">
        <v>998</v>
      </c>
      <c r="C876" s="53">
        <v>2.0</v>
      </c>
      <c r="D876" s="53" t="s">
        <v>998</v>
      </c>
      <c r="E876" s="7">
        <v>764.0</v>
      </c>
      <c r="F876" s="53"/>
      <c r="G876" s="6"/>
      <c r="H876" s="35">
        <v>1.0</v>
      </c>
      <c r="I876" s="35">
        <v>1.0</v>
      </c>
      <c r="J876" s="173" t="s">
        <v>834</v>
      </c>
      <c r="K876" s="41" t="s">
        <v>4151</v>
      </c>
      <c r="L876" s="41" t="s">
        <v>5147</v>
      </c>
      <c r="M876" s="39" t="str">
        <f t="shared" si="1"/>
        <v>[http://web.mit.edu/dimitrib/www/dpchapter.pdf Howard Policy Iteration (PI) (1960)]</v>
      </c>
      <c r="N876" s="35" t="s">
        <v>5177</v>
      </c>
      <c r="O876" s="98">
        <v>1960.0</v>
      </c>
      <c r="P876" s="112" t="s">
        <v>5178</v>
      </c>
      <c r="Q876" s="13"/>
      <c r="R876" s="13"/>
      <c r="S876" s="13"/>
      <c r="T876" s="98">
        <v>1.0</v>
      </c>
      <c r="U876" s="35" t="s">
        <v>2007</v>
      </c>
      <c r="V876" s="89">
        <f>IFERROR(__xludf.DUMMYFUNCTION("INDEX(SPLIT(SUBSTITUTE(W876,CHAR(10), """"),"",:""), MATCH(Z876, SPLIT(SUBSTITUTE(W876,CHAR(10), """"),"",:""), 0) + 1)"),6.0)</f>
        <v>6</v>
      </c>
      <c r="W876" s="102" t="s">
        <v>2008</v>
      </c>
      <c r="X876" s="173" t="s">
        <v>834</v>
      </c>
      <c r="Y876" s="41" t="s">
        <v>2329</v>
      </c>
      <c r="Z876" s="53" t="str">
        <f t="array" ref="Z876">INDEX(Problems!J:J, MATCH(1, (Problems!B:B=B876)*1, 0))</f>
        <v>n</v>
      </c>
      <c r="AA876" s="41"/>
      <c r="AB876" s="41"/>
      <c r="AC876" s="41" t="s">
        <v>2312</v>
      </c>
      <c r="AD876" s="41" t="s">
        <v>1814</v>
      </c>
      <c r="AE876" s="85">
        <f>IFERROR(__xludf.DUMMYFUNCTION("INDEX(SPLIT(SUBSTITUTE(AF876,CHAR(10), """"),"",:""), MATCH(Z876, SPLIT(SUBSTITUTE(AF876,CHAR(10), """"),"",:""), 0) + 1)"),3.0)</f>
        <v>3</v>
      </c>
      <c r="AF876" s="102" t="s">
        <v>1763</v>
      </c>
      <c r="AG876" s="41" t="s">
        <v>35</v>
      </c>
      <c r="AH876" s="41" t="s">
        <v>5176</v>
      </c>
      <c r="AI876" s="104">
        <v>1.0</v>
      </c>
      <c r="AJ876" s="84">
        <v>0.0</v>
      </c>
      <c r="AK876" s="104"/>
      <c r="AL876" s="35">
        <v>0.0</v>
      </c>
      <c r="AM876" s="104"/>
      <c r="AN876" s="35">
        <v>0.0</v>
      </c>
      <c r="AO876" s="110"/>
      <c r="AP876" s="35">
        <v>0.0</v>
      </c>
      <c r="AQ876" s="35">
        <v>0.0</v>
      </c>
      <c r="AR876" s="69"/>
      <c r="AS876" s="98">
        <v>0.0</v>
      </c>
      <c r="AT876" s="98">
        <v>0.0</v>
      </c>
      <c r="AU876" s="69"/>
      <c r="AV876" s="13"/>
      <c r="AW876" s="13"/>
      <c r="AX876" s="13"/>
      <c r="AY876" s="13"/>
      <c r="AZ876" s="6"/>
      <c r="BA876" s="6"/>
      <c r="BB876" s="6"/>
      <c r="BC876" s="6"/>
      <c r="BD876" s="6"/>
      <c r="BE876" s="6"/>
      <c r="BF876" s="6">
        <v>1.0E9</v>
      </c>
      <c r="BG876" s="6" t="s">
        <v>1781</v>
      </c>
      <c r="BH876" s="6" t="s">
        <v>1781</v>
      </c>
      <c r="BI876" s="13">
        <f>POW(1000000,3)</f>
        <v>1E+18</v>
      </c>
      <c r="BJ876" s="6" t="s">
        <v>1781</v>
      </c>
      <c r="BK876" s="6" t="s">
        <v>1781</v>
      </c>
      <c r="BL876" s="13">
        <f>POW(1000000000,3)</f>
        <v>1E+27</v>
      </c>
      <c r="BM876" s="6" t="s">
        <v>1781</v>
      </c>
      <c r="BN876" s="6" t="s">
        <v>1781</v>
      </c>
      <c r="BO876" s="6">
        <v>1.0</v>
      </c>
      <c r="BP876" s="13"/>
      <c r="BQ876" s="13"/>
      <c r="BR876" s="6" t="s">
        <v>411</v>
      </c>
    </row>
    <row r="877">
      <c r="A877" s="35">
        <v>97.0</v>
      </c>
      <c r="B877" s="35" t="s">
        <v>998</v>
      </c>
      <c r="C877" s="53">
        <v>2.0</v>
      </c>
      <c r="D877" s="53" t="s">
        <v>998</v>
      </c>
      <c r="E877" s="7">
        <v>765.0</v>
      </c>
      <c r="F877" s="53"/>
      <c r="G877" s="6"/>
      <c r="H877" s="35">
        <v>1.0</v>
      </c>
      <c r="I877" s="35">
        <v>1.0</v>
      </c>
      <c r="J877" s="173" t="s">
        <v>834</v>
      </c>
      <c r="K877" s="41" t="s">
        <v>4151</v>
      </c>
      <c r="L877" s="41" t="s">
        <v>5147</v>
      </c>
      <c r="M877" s="39" t="str">
        <f t="shared" si="1"/>
        <v>[ Puterman Modified Policy Iteration (MPI) (1974)]</v>
      </c>
      <c r="N877" s="35" t="s">
        <v>5179</v>
      </c>
      <c r="O877" s="98">
        <v>1974.0</v>
      </c>
      <c r="P877" s="69"/>
      <c r="Q877" s="13"/>
      <c r="R877" s="13"/>
      <c r="S877" s="13"/>
      <c r="T877" s="98">
        <v>0.0</v>
      </c>
      <c r="U877" s="35">
        <v>0.0</v>
      </c>
      <c r="V877" s="89">
        <f>IFERROR(__xludf.DUMMYFUNCTION("INDEX(SPLIT(SUBSTITUTE(W877,CHAR(10), """"),"",:""), MATCH(Z877, SPLIT(SUBSTITUTE(W877,CHAR(10), """"),"",:""), 0) + 1)"),6.0)</f>
        <v>6</v>
      </c>
      <c r="W877" s="102" t="s">
        <v>2008</v>
      </c>
      <c r="X877" s="173" t="s">
        <v>834</v>
      </c>
      <c r="Y877" s="41" t="s">
        <v>2329</v>
      </c>
      <c r="Z877" s="53" t="str">
        <f t="array" ref="Z877">INDEX(Problems!J:J, MATCH(1, (Problems!B:B=B877)*1, 0))</f>
        <v>n</v>
      </c>
      <c r="AA877" s="41"/>
      <c r="AB877" s="41"/>
      <c r="AC877" s="41" t="s">
        <v>2312</v>
      </c>
      <c r="AD877" s="41" t="s">
        <v>1814</v>
      </c>
      <c r="AE877" s="85">
        <f>IFERROR(__xludf.DUMMYFUNCTION("INDEX(SPLIT(SUBSTITUTE(AF877,CHAR(10), """"),"",:""), MATCH(Z877, SPLIT(SUBSTITUTE(AF877,CHAR(10), """"),"",:""), 0) + 1)"),3.0)</f>
        <v>3</v>
      </c>
      <c r="AF877" s="102" t="s">
        <v>1763</v>
      </c>
      <c r="AG877" s="41" t="s">
        <v>35</v>
      </c>
      <c r="AH877" s="41" t="s">
        <v>5176</v>
      </c>
      <c r="AI877" s="104">
        <v>1.0</v>
      </c>
      <c r="AJ877" s="84">
        <v>0.0</v>
      </c>
      <c r="AK877" s="104"/>
      <c r="AL877" s="35">
        <v>0.0</v>
      </c>
      <c r="AM877" s="104"/>
      <c r="AN877" s="35">
        <v>0.0</v>
      </c>
      <c r="AO877" s="110"/>
      <c r="AP877" s="35">
        <v>0.0</v>
      </c>
      <c r="AQ877" s="35">
        <v>0.0</v>
      </c>
      <c r="AR877" s="69"/>
      <c r="AS877" s="35">
        <v>0.0</v>
      </c>
      <c r="AT877" s="35">
        <v>0.0</v>
      </c>
      <c r="AU877" s="69"/>
      <c r="AV877" s="13"/>
      <c r="AW877" s="13"/>
      <c r="AX877" s="13"/>
      <c r="AY877" s="13"/>
      <c r="AZ877" s="6"/>
      <c r="BA877" s="6"/>
      <c r="BB877" s="6"/>
      <c r="BC877" s="6"/>
      <c r="BD877" s="6"/>
      <c r="BE877" s="6"/>
      <c r="BF877" s="6">
        <v>1.0E9</v>
      </c>
      <c r="BG877" s="13"/>
      <c r="BH877" s="13"/>
      <c r="BI877" s="13"/>
      <c r="BJ877" s="13"/>
      <c r="BK877" s="13"/>
      <c r="BL877" s="13"/>
      <c r="BM877" s="13"/>
      <c r="BN877" s="6"/>
      <c r="BO877" s="6">
        <v>1.0</v>
      </c>
      <c r="BP877" s="13"/>
      <c r="BQ877" s="13"/>
      <c r="BR877" s="6" t="s">
        <v>411</v>
      </c>
    </row>
    <row r="878">
      <c r="A878" s="35">
        <v>98.0</v>
      </c>
      <c r="B878" s="35" t="s">
        <v>1002</v>
      </c>
      <c r="C878" s="53">
        <v>1.0</v>
      </c>
      <c r="D878" s="53" t="s">
        <v>5180</v>
      </c>
      <c r="E878" s="7">
        <v>766.0</v>
      </c>
      <c r="F878" s="53" t="s">
        <v>179</v>
      </c>
      <c r="G878" s="6"/>
      <c r="H878" s="35">
        <v>1.0</v>
      </c>
      <c r="I878" s="175">
        <v>0.0</v>
      </c>
      <c r="J878" s="69" t="s">
        <v>115</v>
      </c>
      <c r="K878" s="99"/>
      <c r="L878" s="99"/>
      <c r="M878" s="39" t="str">
        <f t="shared" si="1"/>
        <v>[https://link.springer.com/chapter/10.1007/978-3-662-04565-7_13 Integer linear program Vazirani (2001)]</v>
      </c>
      <c r="N878" s="61" t="s">
        <v>5181</v>
      </c>
      <c r="O878" s="98">
        <v>2001.0</v>
      </c>
      <c r="P878" s="106" t="s">
        <v>5182</v>
      </c>
      <c r="Q878" s="13"/>
      <c r="R878" s="13"/>
      <c r="S878" s="13"/>
      <c r="T878" s="35">
        <v>1.0</v>
      </c>
      <c r="U878" s="35" t="s">
        <v>2472</v>
      </c>
      <c r="V878" s="89">
        <f>IFERROR(__xludf.DUMMYFUNCTION("INDEX(SPLIT(SUBSTITUTE(W878,CHAR(10), """"),"",:""), MATCH(Z878, SPLIT(SUBSTITUTE(W878,CHAR(10), """"),"",:""), 0) + 1)"),5.0)</f>
        <v>5</v>
      </c>
      <c r="W878" s="102" t="s">
        <v>1938</v>
      </c>
      <c r="X878" s="69" t="s">
        <v>115</v>
      </c>
      <c r="Y878" s="41" t="s">
        <v>5183</v>
      </c>
      <c r="Z878" s="53" t="str">
        <f t="array" ref="Z878">INDEX(Problems!J:J, MATCH(1, (Problems!B:B=B878)*1, 0))</f>
        <v>n</v>
      </c>
      <c r="AA878" s="41"/>
      <c r="AB878" s="41"/>
      <c r="AC878" s="41" t="s">
        <v>1813</v>
      </c>
      <c r="AD878" s="41" t="s">
        <v>1814</v>
      </c>
      <c r="AE878" s="85">
        <f>IFERROR(__xludf.DUMMYFUNCTION("INDEX(SPLIT(SUBSTITUTE(AF878,CHAR(10), """"),"",:""), MATCH(Z878, SPLIT(SUBSTITUTE(AF878,CHAR(10), """"),"",:""), 0) + 1)"),1.0)</f>
        <v>1</v>
      </c>
      <c r="AF878" s="102" t="s">
        <v>5184</v>
      </c>
      <c r="AG878" s="102" t="s">
        <v>5185</v>
      </c>
      <c r="AH878" s="41"/>
      <c r="AI878" s="104"/>
      <c r="AJ878" s="84" t="s">
        <v>2520</v>
      </c>
      <c r="AK878" s="104"/>
      <c r="AL878" s="35">
        <v>0.0</v>
      </c>
      <c r="AM878" s="104"/>
      <c r="AN878" s="175">
        <v>1.0</v>
      </c>
      <c r="AO878" s="104" t="s">
        <v>5186</v>
      </c>
      <c r="AP878" s="35">
        <v>0.0</v>
      </c>
      <c r="AQ878" s="35">
        <v>0.0</v>
      </c>
      <c r="AR878" s="69"/>
      <c r="AS878" s="98">
        <v>0.0</v>
      </c>
      <c r="AT878" s="98">
        <v>0.0</v>
      </c>
      <c r="AU878" s="69"/>
      <c r="AV878" s="13"/>
      <c r="AW878" s="13"/>
      <c r="AX878" s="13"/>
      <c r="AY878" s="13"/>
      <c r="AZ878" s="6"/>
      <c r="BA878" s="6"/>
      <c r="BB878" s="6"/>
      <c r="BC878" s="6"/>
      <c r="BD878" s="6"/>
      <c r="BE878" s="6"/>
      <c r="BF878" s="6">
        <v>1000000.0</v>
      </c>
      <c r="BG878" s="6" t="s">
        <v>1781</v>
      </c>
      <c r="BH878" s="13"/>
      <c r="BI878" s="13">
        <f>POW(1000000,2)</f>
        <v>1000000000000</v>
      </c>
      <c r="BJ878" s="6" t="s">
        <v>1781</v>
      </c>
      <c r="BK878" s="13"/>
      <c r="BL878" s="13">
        <f>POW(1000000000,2)</f>
        <v>1E+18</v>
      </c>
      <c r="BM878" s="6" t="s">
        <v>1781</v>
      </c>
      <c r="BN878" s="6"/>
      <c r="BO878" s="6">
        <v>1.0</v>
      </c>
      <c r="BP878" s="13"/>
      <c r="BQ878" s="13"/>
      <c r="BR878" s="6" t="s">
        <v>23</v>
      </c>
    </row>
    <row r="879">
      <c r="A879" s="35">
        <v>98.0</v>
      </c>
      <c r="B879" s="35" t="s">
        <v>1002</v>
      </c>
      <c r="C879" s="53">
        <v>1.0</v>
      </c>
      <c r="D879" s="53"/>
      <c r="E879" s="7">
        <v>768.0</v>
      </c>
      <c r="F879" s="53"/>
      <c r="G879" s="6"/>
      <c r="H879" s="35">
        <v>1.0</v>
      </c>
      <c r="I879" s="35">
        <v>1.0</v>
      </c>
      <c r="J879" s="173" t="s">
        <v>4140</v>
      </c>
      <c r="K879" s="99"/>
      <c r="L879" s="99"/>
      <c r="M879" s="39" t="str">
        <f t="shared" si="1"/>
        <v>[https://dl.acm.org/doi/10.1145/237814.237991 Greedy Algorithm (1996)]</v>
      </c>
      <c r="N879" s="104" t="s">
        <v>5187</v>
      </c>
      <c r="O879" s="98">
        <v>1996.0</v>
      </c>
      <c r="P879" s="106" t="s">
        <v>5188</v>
      </c>
      <c r="Q879" s="13"/>
      <c r="R879" s="13"/>
      <c r="S879" s="13"/>
      <c r="T879" s="35">
        <v>1.0</v>
      </c>
      <c r="U879" s="35">
        <v>0.0</v>
      </c>
      <c r="V879" s="89">
        <f>IFERROR(__xludf.DUMMYFUNCTION("INDEX(SPLIT(SUBSTITUTE(W879,CHAR(10), """"),"",:""), MATCH(Z879, SPLIT(SUBSTITUTE(W879,CHAR(10), """"),"",:""), 0) + 1)"),6.01)</f>
        <v>6.01</v>
      </c>
      <c r="W879" s="102" t="s">
        <v>4142</v>
      </c>
      <c r="X879" s="35" t="s">
        <v>4143</v>
      </c>
      <c r="Y879" s="41" t="s">
        <v>5183</v>
      </c>
      <c r="Z879" s="53" t="str">
        <f t="array" ref="Z879">INDEX(Problems!J:J, MATCH(1, (Problems!B:B=B879)*1, 0))</f>
        <v>n</v>
      </c>
      <c r="AA879" s="41"/>
      <c r="AB879" s="41"/>
      <c r="AC879" s="41" t="s">
        <v>1813</v>
      </c>
      <c r="AD879" s="41" t="s">
        <v>1814</v>
      </c>
      <c r="AE879" s="85">
        <f>IFERROR(__xludf.DUMMYFUNCTION("INDEX(SPLIT(SUBSTITUTE(AF879,CHAR(10), """"),"",:""), MATCH(Z879, SPLIT(SUBSTITUTE(AF879,CHAR(10), """"),"",:""), 0) + 1)"),1.0)</f>
        <v>1</v>
      </c>
      <c r="AF879" s="102" t="s">
        <v>5184</v>
      </c>
      <c r="AG879" s="102" t="s">
        <v>5185</v>
      </c>
      <c r="AH879" s="41"/>
      <c r="AI879" s="104">
        <v>1.0</v>
      </c>
      <c r="AJ879" s="84">
        <v>0.0</v>
      </c>
      <c r="AK879" s="104"/>
      <c r="AL879" s="35">
        <v>0.0</v>
      </c>
      <c r="AM879" s="104"/>
      <c r="AN879" s="175">
        <v>1.0</v>
      </c>
      <c r="AO879" s="104" t="s">
        <v>5189</v>
      </c>
      <c r="AP879" s="35">
        <v>0.0</v>
      </c>
      <c r="AQ879" s="35">
        <v>0.0</v>
      </c>
      <c r="AR879" s="69"/>
      <c r="AS879" s="98">
        <v>0.0</v>
      </c>
      <c r="AT879" s="98">
        <v>0.0</v>
      </c>
      <c r="AU879" s="69"/>
      <c r="AV879" s="13"/>
      <c r="AW879" s="13"/>
      <c r="AX879" s="13"/>
      <c r="AY879" s="13"/>
      <c r="AZ879" s="13"/>
      <c r="BA879" s="13"/>
      <c r="BB879" s="13"/>
      <c r="BC879" s="13"/>
      <c r="BD879" s="13"/>
      <c r="BE879" s="13"/>
      <c r="BF879" s="13"/>
      <c r="BG879" s="13"/>
      <c r="BH879" s="13"/>
      <c r="BI879" s="13"/>
      <c r="BJ879" s="13"/>
      <c r="BK879" s="13"/>
      <c r="BL879" s="13"/>
      <c r="BM879" s="13"/>
      <c r="BN879" s="6"/>
      <c r="BO879" s="6">
        <v>1.0</v>
      </c>
      <c r="BP879" s="13"/>
      <c r="BQ879" s="13"/>
      <c r="BR879" s="6" t="s">
        <v>23</v>
      </c>
    </row>
    <row r="880">
      <c r="A880" s="35">
        <v>98.0</v>
      </c>
      <c r="B880" s="61" t="s">
        <v>1002</v>
      </c>
      <c r="C880" s="53">
        <v>0.001</v>
      </c>
      <c r="D880" s="53"/>
      <c r="E880" s="7">
        <v>769.0</v>
      </c>
      <c r="F880" s="53"/>
      <c r="G880" s="6"/>
      <c r="H880" s="35">
        <v>1.0</v>
      </c>
      <c r="I880" s="35">
        <v>1.0</v>
      </c>
      <c r="J880" s="69" t="s">
        <v>789</v>
      </c>
      <c r="K880" s="99"/>
      <c r="L880" s="99"/>
      <c r="M880" s="39" t="str">
        <f t="shared" si="1"/>
        <v>[https://doi.org/10.1145%2F185675.306789 Lund &amp; Yannakakis (1994)]</v>
      </c>
      <c r="N880" s="35" t="s">
        <v>5190</v>
      </c>
      <c r="O880" s="98">
        <v>1994.0</v>
      </c>
      <c r="P880" s="106" t="s">
        <v>5191</v>
      </c>
      <c r="Q880" s="13"/>
      <c r="R880" s="13"/>
      <c r="S880" s="13"/>
      <c r="T880" s="35">
        <v>0.0</v>
      </c>
      <c r="U880" s="35">
        <v>0.0</v>
      </c>
      <c r="V880" s="89">
        <f>IFERROR(__xludf.DUMMYFUNCTION("INDEX(SPLIT(SUBSTITUTE(W880,CHAR(10), """"),"",:""), MATCH(Z880, SPLIT(SUBSTITUTE(W880,CHAR(10), """"),"",:""), 0) + 1)"),8.0)</f>
        <v>8</v>
      </c>
      <c r="W880" s="102" t="s">
        <v>2001</v>
      </c>
      <c r="X880" s="69" t="s">
        <v>789</v>
      </c>
      <c r="Y880" s="41"/>
      <c r="Z880" s="53" t="str">
        <f t="array" ref="Z880">INDEX(Problems!J:J, MATCH(1, (Problems!B:B=B880)*1, 0))</f>
        <v>n</v>
      </c>
      <c r="AA880" s="41"/>
      <c r="AB880" s="41"/>
      <c r="AC880" s="41"/>
      <c r="AD880" s="41"/>
      <c r="AE880" s="85" t="str">
        <f>IFERROR(__xludf.DUMMYFUNCTION("INDEX(SPLIT(SUBSTITUTE(AF880,CHAR(10), """"),"",:""), MATCH(Z880, SPLIT(SUBSTITUTE(AF880,CHAR(10), """"),"",:""), 0) + 1)"),"#VALUE!")</f>
        <v>#VALUE!</v>
      </c>
      <c r="AF880" s="102"/>
      <c r="AG880" s="41"/>
      <c r="AH880" s="41"/>
      <c r="AI880" s="104"/>
      <c r="AJ880" s="84" t="s">
        <v>2520</v>
      </c>
      <c r="AK880" s="104"/>
      <c r="AL880" s="35">
        <v>0.0</v>
      </c>
      <c r="AM880" s="104"/>
      <c r="AN880" s="35">
        <v>0.0</v>
      </c>
      <c r="AO880" s="110"/>
      <c r="AP880" s="35">
        <v>0.0</v>
      </c>
      <c r="AQ880" s="35">
        <v>0.0</v>
      </c>
      <c r="AR880" s="69"/>
      <c r="AS880" s="98">
        <v>0.0</v>
      </c>
      <c r="AT880" s="98">
        <v>0.0</v>
      </c>
      <c r="AU880" s="69"/>
      <c r="AV880" s="13"/>
      <c r="AW880" s="13"/>
      <c r="AX880" s="13"/>
      <c r="AY880" s="13"/>
      <c r="AZ880" s="6"/>
      <c r="BA880" s="6"/>
      <c r="BB880" s="6"/>
      <c r="BC880" s="6"/>
      <c r="BD880" s="6"/>
      <c r="BE880" s="6"/>
      <c r="BF880" s="6"/>
      <c r="BG880" s="13"/>
      <c r="BH880" s="13"/>
      <c r="BI880" s="13"/>
      <c r="BJ880" s="13"/>
      <c r="BK880" s="13"/>
      <c r="BL880" s="13"/>
      <c r="BM880" s="13"/>
      <c r="BN880" s="6"/>
      <c r="BO880" s="6">
        <v>1.0</v>
      </c>
      <c r="BP880" s="13"/>
      <c r="BQ880" s="13"/>
      <c r="BR880" s="6" t="s">
        <v>23</v>
      </c>
    </row>
    <row r="881">
      <c r="A881" s="35">
        <v>98.0</v>
      </c>
      <c r="B881" s="61" t="s">
        <v>1002</v>
      </c>
      <c r="C881" s="53">
        <v>0.001</v>
      </c>
      <c r="D881" s="53"/>
      <c r="E881" s="7">
        <v>770.0</v>
      </c>
      <c r="F881" s="53"/>
      <c r="G881" s="6"/>
      <c r="H881" s="35">
        <v>1.0</v>
      </c>
      <c r="I881" s="35">
        <v>1.0</v>
      </c>
      <c r="J881" s="69" t="s">
        <v>789</v>
      </c>
      <c r="K881" s="99"/>
      <c r="L881" s="99"/>
      <c r="M881" s="39" t="str">
        <f t="shared" si="1"/>
        <v>[https://courses.cs.duke.edu/spring07/cps296.2/papers/p634-feige.pdf Feige (1998)]</v>
      </c>
      <c r="N881" s="35" t="s">
        <v>5192</v>
      </c>
      <c r="O881" s="98">
        <v>1998.0</v>
      </c>
      <c r="P881" s="106" t="s">
        <v>5193</v>
      </c>
      <c r="Q881" s="13"/>
      <c r="R881" s="13"/>
      <c r="S881" s="13"/>
      <c r="T881" s="35">
        <v>0.0</v>
      </c>
      <c r="U881" s="35">
        <v>0.0</v>
      </c>
      <c r="V881" s="89">
        <f>IFERROR(__xludf.DUMMYFUNCTION("INDEX(SPLIT(SUBSTITUTE(W881,CHAR(10), """"),"",:""), MATCH(Z881, SPLIT(SUBSTITUTE(W881,CHAR(10), """"),"",:""), 0) + 1)"),8.0)</f>
        <v>8</v>
      </c>
      <c r="W881" s="102" t="s">
        <v>2001</v>
      </c>
      <c r="X881" s="69" t="s">
        <v>789</v>
      </c>
      <c r="Y881" s="41"/>
      <c r="Z881" s="53" t="str">
        <f t="array" ref="Z881">INDEX(Problems!J:J, MATCH(1, (Problems!B:B=B881)*1, 0))</f>
        <v>n</v>
      </c>
      <c r="AA881" s="41"/>
      <c r="AB881" s="41"/>
      <c r="AC881" s="41"/>
      <c r="AD881" s="41"/>
      <c r="AE881" s="85" t="str">
        <f>IFERROR(__xludf.DUMMYFUNCTION("INDEX(SPLIT(SUBSTITUTE(AF881,CHAR(10), """"),"",:""), MATCH(Z881, SPLIT(SUBSTITUTE(AF881,CHAR(10), """"),"",:""), 0) + 1)"),"#VALUE!")</f>
        <v>#VALUE!</v>
      </c>
      <c r="AF881" s="102"/>
      <c r="AG881" s="41"/>
      <c r="AH881" s="41"/>
      <c r="AI881" s="104"/>
      <c r="AJ881" s="84" t="s">
        <v>2520</v>
      </c>
      <c r="AK881" s="104"/>
      <c r="AL881" s="35">
        <v>0.0</v>
      </c>
      <c r="AM881" s="104"/>
      <c r="AN881" s="35">
        <v>0.0</v>
      </c>
      <c r="AO881" s="110"/>
      <c r="AP881" s="35">
        <v>0.0</v>
      </c>
      <c r="AQ881" s="35">
        <v>0.0</v>
      </c>
      <c r="AR881" s="69"/>
      <c r="AS881" s="98">
        <v>0.0</v>
      </c>
      <c r="AT881" s="98">
        <v>0.0</v>
      </c>
      <c r="AU881" s="69"/>
      <c r="AV881" s="13"/>
      <c r="AW881" s="13"/>
      <c r="AX881" s="13"/>
      <c r="AY881" s="13"/>
      <c r="AZ881" s="6"/>
      <c r="BA881" s="6"/>
      <c r="BB881" s="6"/>
      <c r="BC881" s="6"/>
      <c r="BD881" s="6"/>
      <c r="BE881" s="6"/>
      <c r="BF881" s="6"/>
      <c r="BG881" s="13"/>
      <c r="BH881" s="13"/>
      <c r="BI881" s="13"/>
      <c r="BJ881" s="13"/>
      <c r="BK881" s="13"/>
      <c r="BL881" s="13"/>
      <c r="BM881" s="13"/>
      <c r="BN881" s="6"/>
      <c r="BO881" s="6">
        <v>1.0</v>
      </c>
      <c r="BP881" s="13"/>
      <c r="BQ881" s="13"/>
      <c r="BR881" s="6" t="s">
        <v>23</v>
      </c>
    </row>
    <row r="882">
      <c r="A882" s="35">
        <v>98.0</v>
      </c>
      <c r="B882" s="61" t="s">
        <v>1002</v>
      </c>
      <c r="C882" s="53">
        <v>0.001</v>
      </c>
      <c r="D882" s="53"/>
      <c r="E882" s="7">
        <v>771.0</v>
      </c>
      <c r="F882" s="53"/>
      <c r="G882" s="6"/>
      <c r="H882" s="35">
        <v>1.0</v>
      </c>
      <c r="I882" s="35">
        <v>1.0</v>
      </c>
      <c r="J882" s="69" t="s">
        <v>5194</v>
      </c>
      <c r="K882" s="99"/>
      <c r="L882" s="99"/>
      <c r="M882" s="39" t="str">
        <f t="shared" si="1"/>
        <v>[https://dl.acm.org/doi/10.1145/258533.258641 Raz &amp; Safra (1997)]</v>
      </c>
      <c r="N882" s="35" t="s">
        <v>5195</v>
      </c>
      <c r="O882" s="98">
        <v>1997.0</v>
      </c>
      <c r="P882" s="106" t="s">
        <v>5196</v>
      </c>
      <c r="Q882" s="13"/>
      <c r="R882" s="13"/>
      <c r="S882" s="13"/>
      <c r="T882" s="35">
        <v>0.0</v>
      </c>
      <c r="U882" s="35">
        <v>0.0</v>
      </c>
      <c r="V882" s="89">
        <f>IFERROR(__xludf.DUMMYFUNCTION("INDEX(SPLIT(SUBSTITUTE(W882,CHAR(10), """"),"",:""), MATCH(Z882, SPLIT(SUBSTITUTE(W882,CHAR(10), """"),"",:""), 0) + 1)"),6.03)</f>
        <v>6.03</v>
      </c>
      <c r="W882" s="102" t="s">
        <v>5197</v>
      </c>
      <c r="X882" s="35" t="s">
        <v>5198</v>
      </c>
      <c r="Y882" s="41"/>
      <c r="Z882" s="53" t="str">
        <f t="array" ref="Z882">INDEX(Problems!J:J, MATCH(1, (Problems!B:B=B882)*1, 0))</f>
        <v>n</v>
      </c>
      <c r="AA882" s="41"/>
      <c r="AB882" s="41"/>
      <c r="AC882" s="41"/>
      <c r="AD882" s="41"/>
      <c r="AE882" s="85" t="str">
        <f>IFERROR(__xludf.DUMMYFUNCTION("INDEX(SPLIT(SUBSTITUTE(AF882,CHAR(10), """"),"",:""), MATCH(Z882, SPLIT(SUBSTITUTE(AF882,CHAR(10), """"),"",:""), 0) + 1)"),"#VALUE!")</f>
        <v>#VALUE!</v>
      </c>
      <c r="AF882" s="102"/>
      <c r="AG882" s="41"/>
      <c r="AH882" s="41"/>
      <c r="AI882" s="104"/>
      <c r="AJ882" s="84" t="s">
        <v>2520</v>
      </c>
      <c r="AK882" s="104"/>
      <c r="AL882" s="35">
        <v>0.0</v>
      </c>
      <c r="AM882" s="104"/>
      <c r="AN882" s="35">
        <v>0.0</v>
      </c>
      <c r="AO882" s="110"/>
      <c r="AP882" s="35">
        <v>0.0</v>
      </c>
      <c r="AQ882" s="35">
        <v>0.0</v>
      </c>
      <c r="AR882" s="69"/>
      <c r="AS882" s="98">
        <v>0.0</v>
      </c>
      <c r="AT882" s="98">
        <v>0.0</v>
      </c>
      <c r="AU882" s="69"/>
      <c r="AV882" s="13"/>
      <c r="AW882" s="13"/>
      <c r="AX882" s="13"/>
      <c r="AY882" s="13"/>
      <c r="AZ882" s="13"/>
      <c r="BA882" s="13"/>
      <c r="BB882" s="13"/>
      <c r="BC882" s="13"/>
      <c r="BD882" s="13"/>
      <c r="BE882" s="13"/>
      <c r="BF882" s="13"/>
      <c r="BG882" s="13"/>
      <c r="BH882" s="13"/>
      <c r="BI882" s="13"/>
      <c r="BJ882" s="13"/>
      <c r="BK882" s="13"/>
      <c r="BL882" s="13"/>
      <c r="BM882" s="13"/>
      <c r="BN882" s="6"/>
      <c r="BO882" s="6">
        <v>1.0</v>
      </c>
      <c r="BP882" s="13"/>
      <c r="BQ882" s="13"/>
      <c r="BR882" s="6" t="s">
        <v>23</v>
      </c>
    </row>
    <row r="883">
      <c r="A883" s="35">
        <v>98.0</v>
      </c>
      <c r="B883" s="61" t="s">
        <v>1002</v>
      </c>
      <c r="C883" s="53">
        <v>0.001</v>
      </c>
      <c r="D883" s="53"/>
      <c r="E883" s="7">
        <v>773.0</v>
      </c>
      <c r="F883" s="53"/>
      <c r="G883" s="6"/>
      <c r="H883" s="35">
        <v>1.0</v>
      </c>
      <c r="I883" s="35">
        <v>1.0</v>
      </c>
      <c r="J883" s="69" t="s">
        <v>5199</v>
      </c>
      <c r="K883" s="99"/>
      <c r="L883" s="99"/>
      <c r="M883" s="39" t="str">
        <f t="shared" si="1"/>
        <v>[https://www.dsteurer.org/paper/productgames.pdf Dinur &amp; Steurer (2013)]</v>
      </c>
      <c r="N883" s="35" t="s">
        <v>5200</v>
      </c>
      <c r="O883" s="98">
        <v>2013.0</v>
      </c>
      <c r="P883" s="106" t="s">
        <v>5201</v>
      </c>
      <c r="Q883" s="13"/>
      <c r="R883" s="13"/>
      <c r="S883" s="13"/>
      <c r="T883" s="35">
        <v>0.0</v>
      </c>
      <c r="U883" s="35">
        <v>0.0</v>
      </c>
      <c r="V883" s="89">
        <f>IFERROR(__xludf.DUMMYFUNCTION("INDEX(SPLIT(SUBSTITUTE(W883,CHAR(10), """"),"",:""), MATCH(Z883, SPLIT(SUBSTITUTE(W883,CHAR(10), """"),"",:""), 0) + 1)"),5.01)</f>
        <v>5.01</v>
      </c>
      <c r="W883" s="102" t="s">
        <v>1890</v>
      </c>
      <c r="X883" s="35" t="s">
        <v>1564</v>
      </c>
      <c r="Y883" s="41"/>
      <c r="Z883" s="53" t="str">
        <f t="array" ref="Z883">INDEX(Problems!J:J, MATCH(1, (Problems!B:B=B883)*1, 0))</f>
        <v>n</v>
      </c>
      <c r="AA883" s="41"/>
      <c r="AB883" s="41"/>
      <c r="AC883" s="41"/>
      <c r="AD883" s="41"/>
      <c r="AE883" s="85" t="str">
        <f>IFERROR(__xludf.DUMMYFUNCTION("INDEX(SPLIT(SUBSTITUTE(AF883,CHAR(10), """"),"",:""), MATCH(Z883, SPLIT(SUBSTITUTE(AF883,CHAR(10), """"),"",:""), 0) + 1)"),"#VALUE!")</f>
        <v>#VALUE!</v>
      </c>
      <c r="AF883" s="102"/>
      <c r="AG883" s="41"/>
      <c r="AH883" s="41"/>
      <c r="AI883" s="104"/>
      <c r="AJ883" s="84" t="s">
        <v>2520</v>
      </c>
      <c r="AK883" s="104"/>
      <c r="AL883" s="35">
        <v>0.0</v>
      </c>
      <c r="AM883" s="104"/>
      <c r="AN883" s="35">
        <v>0.0</v>
      </c>
      <c r="AO883" s="110"/>
      <c r="AP883" s="35">
        <v>0.0</v>
      </c>
      <c r="AQ883" s="35">
        <v>0.0</v>
      </c>
      <c r="AR883" s="69"/>
      <c r="AS883" s="98">
        <v>0.0</v>
      </c>
      <c r="AT883" s="98">
        <v>0.0</v>
      </c>
      <c r="AU883" s="69"/>
      <c r="AV883" s="13"/>
      <c r="AW883" s="13"/>
      <c r="AX883" s="13"/>
      <c r="AY883" s="13"/>
      <c r="AZ883" s="6"/>
      <c r="BA883" s="6"/>
      <c r="BB883" s="6"/>
      <c r="BC883" s="6"/>
      <c r="BD883" s="6"/>
      <c r="BE883" s="6"/>
      <c r="BF883" s="6"/>
      <c r="BG883" s="13"/>
      <c r="BH883" s="13"/>
      <c r="BI883" s="13"/>
      <c r="BJ883" s="13"/>
      <c r="BK883" s="13"/>
      <c r="BL883" s="13"/>
      <c r="BM883" s="13"/>
      <c r="BN883" s="6"/>
      <c r="BO883" s="6">
        <v>1.0</v>
      </c>
      <c r="BP883" s="13"/>
      <c r="BQ883" s="13"/>
      <c r="BR883" s="6" t="s">
        <v>23</v>
      </c>
    </row>
    <row r="884">
      <c r="A884" s="35">
        <v>98.0</v>
      </c>
      <c r="B884" s="61" t="s">
        <v>1002</v>
      </c>
      <c r="C884" s="53">
        <v>1.0</v>
      </c>
      <c r="D884" s="53"/>
      <c r="E884" s="7">
        <v>774.0</v>
      </c>
      <c r="F884" s="53"/>
      <c r="G884" s="6"/>
      <c r="H884" s="35">
        <v>1.0</v>
      </c>
      <c r="I884" s="35">
        <v>1.0</v>
      </c>
      <c r="J884" s="69" t="s">
        <v>115</v>
      </c>
      <c r="K884" s="99"/>
      <c r="L884" s="99"/>
      <c r="M884" s="39" t="str">
        <f t="shared" si="1"/>
        <v>[https://www.semanticscholar.org/paper/An-efficient-distributed-algorithm-for-computing-Cardoso-Abreu/ce32696c1176800c5b90fab026bf93f282e2b161 Cardoso; Nuno; Abreu; Rui (2014)]</v>
      </c>
      <c r="N884" s="35" t="s">
        <v>5202</v>
      </c>
      <c r="O884" s="98">
        <v>2014.0</v>
      </c>
      <c r="P884" s="106" t="s">
        <v>5203</v>
      </c>
      <c r="Q884" s="13"/>
      <c r="R884" s="13"/>
      <c r="S884" s="13"/>
      <c r="T884" s="35">
        <v>0.0</v>
      </c>
      <c r="U884" s="35">
        <v>0.0</v>
      </c>
      <c r="V884" s="89">
        <f>IFERROR(__xludf.DUMMYFUNCTION("INDEX(SPLIT(SUBSTITUTE(W884,CHAR(10), """"),"",:""), MATCH(Z884, SPLIT(SUBSTITUTE(W884,CHAR(10), """"),"",:""), 0) + 1)"),5.0)</f>
        <v>5</v>
      </c>
      <c r="W884" s="102" t="s">
        <v>1938</v>
      </c>
      <c r="X884" s="69" t="s">
        <v>115</v>
      </c>
      <c r="Y884" s="41"/>
      <c r="Z884" s="53" t="str">
        <f t="array" ref="Z884">INDEX(Problems!J:J, MATCH(1, (Problems!B:B=B884)*1, 0))</f>
        <v>n</v>
      </c>
      <c r="AA884" s="41"/>
      <c r="AB884" s="41"/>
      <c r="AC884" s="41"/>
      <c r="AD884" s="41"/>
      <c r="AE884" s="85" t="str">
        <f>IFERROR(__xludf.DUMMYFUNCTION("INDEX(SPLIT(SUBSTITUTE(AF884,CHAR(10), """"),"",:""), MATCH(Z884, SPLIT(SUBSTITUTE(AF884,CHAR(10), """"),"",:""), 0) + 1)"),"#VALUE!")</f>
        <v>#VALUE!</v>
      </c>
      <c r="AF884" s="102"/>
      <c r="AG884" s="41"/>
      <c r="AH884" s="41"/>
      <c r="AI884" s="104"/>
      <c r="AJ884" s="84" t="s">
        <v>2520</v>
      </c>
      <c r="AK884" s="104"/>
      <c r="AL884" s="35">
        <v>0.0</v>
      </c>
      <c r="AM884" s="104"/>
      <c r="AN884" s="35">
        <v>0.0</v>
      </c>
      <c r="AO884" s="110"/>
      <c r="AP884" s="61">
        <v>1.0</v>
      </c>
      <c r="AQ884" s="61">
        <v>1.0</v>
      </c>
      <c r="AR884" s="69"/>
      <c r="AS884" s="98">
        <v>0.0</v>
      </c>
      <c r="AT884" s="98">
        <v>0.0</v>
      </c>
      <c r="AU884" s="69"/>
      <c r="AV884" s="13"/>
      <c r="AW884" s="13"/>
      <c r="AX884" s="13"/>
      <c r="AY884" s="13"/>
      <c r="AZ884" s="6"/>
      <c r="BA884" s="6"/>
      <c r="BB884" s="6"/>
      <c r="BC884" s="6"/>
      <c r="BD884" s="6"/>
      <c r="BE884" s="6"/>
      <c r="BF884" s="6"/>
      <c r="BG884" s="13"/>
      <c r="BH884" s="13"/>
      <c r="BI884" s="13"/>
      <c r="BJ884" s="13"/>
      <c r="BK884" s="13"/>
      <c r="BL884" s="13"/>
      <c r="BM884" s="13"/>
      <c r="BN884" s="6"/>
      <c r="BO884" s="6">
        <v>1.0</v>
      </c>
      <c r="BP884" s="13"/>
      <c r="BQ884" s="13"/>
      <c r="BR884" s="6" t="s">
        <v>23</v>
      </c>
    </row>
    <row r="885">
      <c r="A885" s="35">
        <v>98.0</v>
      </c>
      <c r="B885" s="35" t="s">
        <v>1002</v>
      </c>
      <c r="C885" s="53">
        <v>1.0</v>
      </c>
      <c r="D885" s="53"/>
      <c r="E885" s="7"/>
      <c r="F885" s="53"/>
      <c r="G885" s="6"/>
      <c r="H885" s="35">
        <v>1.0</v>
      </c>
      <c r="I885" s="35">
        <v>1.0</v>
      </c>
      <c r="J885" s="50" t="s">
        <v>5204</v>
      </c>
      <c r="K885" s="99"/>
      <c r="L885" s="99"/>
      <c r="M885" s="39" t="str">
        <f t="shared" si="1"/>
        <v>[ Brute force (1972)]</v>
      </c>
      <c r="N885" s="35" t="s">
        <v>2106</v>
      </c>
      <c r="O885" s="111">
        <v>1972.0</v>
      </c>
      <c r="P885" s="69"/>
      <c r="Q885" s="13"/>
      <c r="R885" s="13"/>
      <c r="S885" s="13"/>
      <c r="T885" s="35">
        <v>1.0</v>
      </c>
      <c r="U885" s="35">
        <v>0.0</v>
      </c>
      <c r="V885" s="89">
        <f>IFERROR(__xludf.DUMMYFUNCTION("INDEX(SPLIT(SUBSTITUTE(W885,CHAR(10), """"),"",:""), MATCH(Z885, SPLIT(SUBSTITUTE(W885,CHAR(10), """"),"",:""), 0) + 1)"),8.0)</f>
        <v>8</v>
      </c>
      <c r="W885" s="102" t="s">
        <v>5205</v>
      </c>
      <c r="X885" s="35" t="s">
        <v>5204</v>
      </c>
      <c r="Y885" s="41" t="s">
        <v>5206</v>
      </c>
      <c r="Z885" s="53" t="str">
        <f t="array" ref="Z885">INDEX(Problems!J:J, MATCH(1, (Problems!B:B=B885)*1, 0))</f>
        <v>n</v>
      </c>
      <c r="AA885" s="41"/>
      <c r="AB885" s="41"/>
      <c r="AC885" s="41" t="s">
        <v>1813</v>
      </c>
      <c r="AD885" s="41" t="s">
        <v>1814</v>
      </c>
      <c r="AE885" s="85">
        <f>IFERROR(__xludf.DUMMYFUNCTION("INDEX(SPLIT(SUBSTITUTE(AF885,CHAR(10), """"),"",:""), MATCH(Z885, SPLIT(SUBSTITUTE(AF885,CHAR(10), """"),"",:""), 0) + 1)"),1.0)</f>
        <v>1</v>
      </c>
      <c r="AF885" s="102" t="s">
        <v>5184</v>
      </c>
      <c r="AG885" s="41" t="s">
        <v>5185</v>
      </c>
      <c r="AH885" s="41"/>
      <c r="AI885" s="104">
        <v>1.0</v>
      </c>
      <c r="AJ885" s="84">
        <v>0.0</v>
      </c>
      <c r="AK885" s="104"/>
      <c r="AL885" s="35">
        <v>0.0</v>
      </c>
      <c r="AM885" s="104"/>
      <c r="AN885" s="35">
        <v>0.0</v>
      </c>
      <c r="AO885" s="101"/>
      <c r="AP885" s="35">
        <v>0.0</v>
      </c>
      <c r="AQ885" s="35">
        <v>0.0</v>
      </c>
      <c r="AR885" s="69"/>
      <c r="AS885" s="111">
        <v>0.0</v>
      </c>
      <c r="AT885" s="111">
        <v>0.0</v>
      </c>
      <c r="AU885" s="69"/>
      <c r="AV885" s="13"/>
      <c r="AW885" s="13"/>
      <c r="AX885" s="13"/>
      <c r="AY885" s="13"/>
      <c r="AZ885" s="6"/>
      <c r="BA885" s="6"/>
      <c r="BB885" s="6"/>
      <c r="BC885" s="6"/>
      <c r="BD885" s="6"/>
      <c r="BE885" s="6"/>
      <c r="BF885" s="6" t="s">
        <v>1781</v>
      </c>
      <c r="BG885" s="6">
        <v>1.0</v>
      </c>
      <c r="BH885" s="6"/>
      <c r="BI885" s="6" t="s">
        <v>1781</v>
      </c>
      <c r="BJ885" s="6">
        <v>1.0</v>
      </c>
      <c r="BK885" s="6"/>
      <c r="BL885" s="6" t="s">
        <v>1781</v>
      </c>
      <c r="BM885" s="6">
        <v>1.0</v>
      </c>
      <c r="BN885" s="6"/>
      <c r="BO885" s="6">
        <v>1.0</v>
      </c>
      <c r="BP885" s="13"/>
      <c r="BQ885" s="13"/>
      <c r="BR885" s="6" t="s">
        <v>23</v>
      </c>
    </row>
    <row r="886">
      <c r="A886" s="35">
        <v>99.0</v>
      </c>
      <c r="B886" s="35" t="s">
        <v>1012</v>
      </c>
      <c r="C886" s="53">
        <v>1.0</v>
      </c>
      <c r="D886" s="53" t="s">
        <v>1012</v>
      </c>
      <c r="E886" s="7">
        <v>775.0</v>
      </c>
      <c r="F886" s="53" t="s">
        <v>5207</v>
      </c>
      <c r="G886" s="6"/>
      <c r="H886" s="35">
        <v>1.0</v>
      </c>
      <c r="I886" s="35">
        <v>1.0</v>
      </c>
      <c r="J886" s="69" t="s">
        <v>1873</v>
      </c>
      <c r="K886" s="99"/>
      <c r="L886" s="99"/>
      <c r="M886" s="39" t="str">
        <f t="shared" si="1"/>
        <v>[https://www.ncbi.nlm.nih.gov/pubmed/9719638 Helden Oligo-Analysis (1998)]</v>
      </c>
      <c r="N886" s="69" t="s">
        <v>5208</v>
      </c>
      <c r="O886" s="98">
        <v>1998.0</v>
      </c>
      <c r="P886" s="135" t="s">
        <v>5209</v>
      </c>
      <c r="Q886" s="13"/>
      <c r="R886" s="13"/>
      <c r="S886" s="13"/>
      <c r="T886" s="35">
        <v>0.0</v>
      </c>
      <c r="U886" s="35">
        <v>0.0</v>
      </c>
      <c r="V886" s="89">
        <f>IFERROR(__xludf.DUMMYFUNCTION("INDEX(SPLIT(SUBSTITUTE(W886,CHAR(10), """"),"",:""), MATCH(Z886, SPLIT(SUBSTITUTE(W886,CHAR(10), """"),"",:""), 0) + 1)"),3.0)</f>
        <v>3</v>
      </c>
      <c r="W886" s="102" t="s">
        <v>1876</v>
      </c>
      <c r="X886" s="35" t="s">
        <v>399</v>
      </c>
      <c r="Y886" s="41" t="s">
        <v>1877</v>
      </c>
      <c r="Z886" s="53" t="str">
        <f t="array" ref="Z886">INDEX(Problems!J:J, MATCH(1, (Problems!B:B=B886)*1, 0))</f>
        <v>mn</v>
      </c>
      <c r="AA886" s="41"/>
      <c r="AB886" s="41"/>
      <c r="AC886" s="53" t="s">
        <v>1813</v>
      </c>
      <c r="AD886" s="53" t="s">
        <v>1814</v>
      </c>
      <c r="AE886" s="85">
        <f>IFERROR(__xludf.DUMMYFUNCTION("INDEX(SPLIT(SUBSTITUTE(AF886,CHAR(10), """"),"",:""), MATCH(Z886, SPLIT(SUBSTITUTE(AF886,CHAR(10), """"),"",:""), 0) + 1)"),2.5)</f>
        <v>2.5</v>
      </c>
      <c r="AF886" s="102" t="s">
        <v>5210</v>
      </c>
      <c r="AG886" s="41" t="s">
        <v>148</v>
      </c>
      <c r="AH886" s="41" t="s">
        <v>5211</v>
      </c>
      <c r="AI886" s="104">
        <v>1.0</v>
      </c>
      <c r="AJ886" s="84">
        <v>0.0</v>
      </c>
      <c r="AK886" s="104"/>
      <c r="AL886" s="35">
        <v>0.0</v>
      </c>
      <c r="AM886" s="104"/>
      <c r="AN886" s="35">
        <v>0.0</v>
      </c>
      <c r="AO886" s="110"/>
      <c r="AP886" s="35">
        <v>0.0</v>
      </c>
      <c r="AQ886" s="35">
        <v>0.0</v>
      </c>
      <c r="AR886" s="69"/>
      <c r="AS886" s="98">
        <v>0.0</v>
      </c>
      <c r="AT886" s="98">
        <v>0.0</v>
      </c>
      <c r="AU886" s="69" t="s">
        <v>5212</v>
      </c>
      <c r="AV886" s="13"/>
      <c r="AW886" s="13"/>
      <c r="AX886" s="13"/>
      <c r="AY886" s="13"/>
      <c r="AZ886" s="13">
        <f>1000/2</f>
        <v>500</v>
      </c>
      <c r="BA886" s="13">
        <f>POW(AZ890/AZ886,1/($O886-$O890)) - 1</f>
        <v>6.93700526</v>
      </c>
      <c r="BB886" s="13">
        <f>1000000/2</f>
        <v>500000</v>
      </c>
      <c r="BC886" s="13">
        <f>POW(BB890/BB886,1/($O886-$O890)) - 1</f>
        <v>78.3700526</v>
      </c>
      <c r="BD886" s="13">
        <f>1000000000/2</f>
        <v>500000000</v>
      </c>
      <c r="BE886" s="13">
        <f>POW(BD890/BD886,1/($O886-$O890)) - 1</f>
        <v>792.700526</v>
      </c>
      <c r="BF886" s="13"/>
      <c r="BG886" s="13"/>
      <c r="BH886" s="13"/>
      <c r="BI886" s="13"/>
      <c r="BJ886" s="13"/>
      <c r="BK886" s="13"/>
      <c r="BL886" s="13"/>
      <c r="BM886" s="13"/>
      <c r="BN886" s="6"/>
      <c r="BO886" s="6">
        <v>4.0</v>
      </c>
      <c r="BP886" s="13"/>
      <c r="BQ886" s="13"/>
      <c r="BR886" s="6" t="s">
        <v>433</v>
      </c>
    </row>
    <row r="887">
      <c r="A887" s="35">
        <v>99.0</v>
      </c>
      <c r="B887" s="35" t="s">
        <v>1012</v>
      </c>
      <c r="C887" s="53">
        <v>1.0</v>
      </c>
      <c r="D887" s="53" t="s">
        <v>1012</v>
      </c>
      <c r="E887" s="7">
        <v>776.0</v>
      </c>
      <c r="F887" s="53" t="s">
        <v>5213</v>
      </c>
      <c r="G887" s="6"/>
      <c r="H887" s="35">
        <v>1.0</v>
      </c>
      <c r="I887" s="35">
        <v>1.0</v>
      </c>
      <c r="J887" s="69" t="s">
        <v>1873</v>
      </c>
      <c r="K887" s="99"/>
      <c r="L887" s="99"/>
      <c r="M887" s="39" t="str">
        <f t="shared" si="1"/>
        <v>[https://www.ncbi.nlm.nih.gov/pmc/articles/PMC102821/ van Helden J; Rios AF; Collado-Vides J (2000)]</v>
      </c>
      <c r="N887" s="69" t="s">
        <v>5214</v>
      </c>
      <c r="O887" s="98">
        <v>2000.0</v>
      </c>
      <c r="P887" s="100" t="s">
        <v>5215</v>
      </c>
      <c r="Q887" s="13"/>
      <c r="R887" s="13"/>
      <c r="S887" s="13"/>
      <c r="T887" s="35">
        <v>0.0</v>
      </c>
      <c r="U887" s="35">
        <v>0.0</v>
      </c>
      <c r="V887" s="89">
        <f>IFERROR(__xludf.DUMMYFUNCTION("INDEX(SPLIT(SUBSTITUTE(W887,CHAR(10), """"),"",:""), MATCH(Z887, SPLIT(SUBSTITUTE(W887,CHAR(10), """"),"",:""), 0) + 1)"),3.0)</f>
        <v>3</v>
      </c>
      <c r="W887" s="102" t="s">
        <v>1876</v>
      </c>
      <c r="X887" s="35" t="s">
        <v>399</v>
      </c>
      <c r="Y887" s="41" t="s">
        <v>1877</v>
      </c>
      <c r="Z887" s="53" t="str">
        <f t="array" ref="Z887">INDEX(Problems!J:J, MATCH(1, (Problems!B:B=B887)*1, 0))</f>
        <v>mn</v>
      </c>
      <c r="AA887" s="41"/>
      <c r="AB887" s="41"/>
      <c r="AC887" s="53" t="s">
        <v>1813</v>
      </c>
      <c r="AD887" s="53" t="s">
        <v>1814</v>
      </c>
      <c r="AE887" s="85">
        <f>IFERROR(__xludf.DUMMYFUNCTION("INDEX(SPLIT(SUBSTITUTE(AF887,CHAR(10), """"),"",:""), MATCH(Z887, SPLIT(SUBSTITUTE(AF887,CHAR(10), """"),"",:""), 0) + 1)"),2.5)</f>
        <v>2.5</v>
      </c>
      <c r="AF887" s="102" t="s">
        <v>5210</v>
      </c>
      <c r="AG887" s="41" t="s">
        <v>148</v>
      </c>
      <c r="AH887" s="41" t="s">
        <v>5211</v>
      </c>
      <c r="AI887" s="104">
        <v>1.0</v>
      </c>
      <c r="AJ887" s="84">
        <v>0.0</v>
      </c>
      <c r="AK887" s="104"/>
      <c r="AL887" s="35">
        <v>0.0</v>
      </c>
      <c r="AM887" s="104"/>
      <c r="AN887" s="35">
        <v>0.0</v>
      </c>
      <c r="AO887" s="110"/>
      <c r="AP887" s="35">
        <v>0.0</v>
      </c>
      <c r="AQ887" s="35">
        <v>0.0</v>
      </c>
      <c r="AR887" s="69"/>
      <c r="AS887" s="98">
        <v>0.0</v>
      </c>
      <c r="AT887" s="98">
        <v>0.0</v>
      </c>
      <c r="AU887" s="69" t="s">
        <v>5216</v>
      </c>
      <c r="AV887" s="13"/>
      <c r="AW887" s="13"/>
      <c r="AX887" s="13"/>
      <c r="AY887" s="13"/>
      <c r="AZ887" s="13"/>
      <c r="BA887" s="13"/>
      <c r="BB887" s="13"/>
      <c r="BC887" s="13"/>
      <c r="BD887" s="13"/>
      <c r="BE887" s="13"/>
      <c r="BF887" s="13"/>
      <c r="BG887" s="13"/>
      <c r="BH887" s="13"/>
      <c r="BI887" s="13"/>
      <c r="BJ887" s="13"/>
      <c r="BK887" s="13"/>
      <c r="BL887" s="13"/>
      <c r="BM887" s="13"/>
      <c r="BN887" s="6"/>
      <c r="BO887" s="6">
        <v>4.0</v>
      </c>
      <c r="BP887" s="13"/>
      <c r="BQ887" s="13"/>
      <c r="BR887" s="6" t="s">
        <v>433</v>
      </c>
    </row>
    <row r="888">
      <c r="A888" s="35">
        <v>99.0</v>
      </c>
      <c r="B888" s="35" t="s">
        <v>1012</v>
      </c>
      <c r="C888" s="53">
        <v>1.0</v>
      </c>
      <c r="D888" s="53" t="s">
        <v>1012</v>
      </c>
      <c r="E888" s="7">
        <v>777.0</v>
      </c>
      <c r="F888" s="53"/>
      <c r="G888" s="6"/>
      <c r="H888" s="35">
        <v>1.0</v>
      </c>
      <c r="I888" s="35">
        <v>1.0</v>
      </c>
      <c r="J888" s="173" t="s">
        <v>1873</v>
      </c>
      <c r="K888" s="99"/>
      <c r="L888" s="99"/>
      <c r="M888" s="39" t="str">
        <f t="shared" si="1"/>
        <v>[https://www.aaai.org/Papers/ISMB/1999/ISMB99-030.pdf Tompa M (1999)]</v>
      </c>
      <c r="N888" s="35" t="s">
        <v>5217</v>
      </c>
      <c r="O888" s="98">
        <v>1999.0</v>
      </c>
      <c r="P888" s="100" t="s">
        <v>5218</v>
      </c>
      <c r="Q888" s="13"/>
      <c r="R888" s="13"/>
      <c r="S888" s="13"/>
      <c r="T888" s="35">
        <v>0.0</v>
      </c>
      <c r="U888" s="35">
        <v>0.0</v>
      </c>
      <c r="V888" s="89">
        <f>IFERROR(__xludf.DUMMYFUNCTION("INDEX(SPLIT(SUBSTITUTE(W888,CHAR(10), """"),"",:""), MATCH(Z888, SPLIT(SUBSTITUTE(W888,CHAR(10), """"),"",:""), 0) + 1)"),3.0)</f>
        <v>3</v>
      </c>
      <c r="W888" s="102" t="s">
        <v>1876</v>
      </c>
      <c r="X888" s="61" t="s">
        <v>399</v>
      </c>
      <c r="Y888" s="41" t="s">
        <v>1877</v>
      </c>
      <c r="Z888" s="53" t="str">
        <f t="array" ref="Z888">INDEX(Problems!J:J, MATCH(1, (Problems!B:B=B888)*1, 0))</f>
        <v>mn</v>
      </c>
      <c r="AA888" s="41"/>
      <c r="AB888" s="41"/>
      <c r="AC888" s="53" t="s">
        <v>1813</v>
      </c>
      <c r="AD888" s="53" t="s">
        <v>1814</v>
      </c>
      <c r="AE888" s="85">
        <f>IFERROR(__xludf.DUMMYFUNCTION("INDEX(SPLIT(SUBSTITUTE(AF888,CHAR(10), """"),"",:""), MATCH(Z888, SPLIT(SUBSTITUTE(AF888,CHAR(10), """"),"",:""), 0) + 1)"),3.0)</f>
        <v>3</v>
      </c>
      <c r="AF888" s="102" t="s">
        <v>5219</v>
      </c>
      <c r="AG888" s="41" t="s">
        <v>5220</v>
      </c>
      <c r="AH888" s="41" t="s">
        <v>5221</v>
      </c>
      <c r="AI888" s="104">
        <v>1.0</v>
      </c>
      <c r="AJ888" s="84">
        <v>0.0</v>
      </c>
      <c r="AK888" s="104"/>
      <c r="AL888" s="35">
        <v>0.0</v>
      </c>
      <c r="AM888" s="104"/>
      <c r="AN888" s="35">
        <v>0.0</v>
      </c>
      <c r="AO888" s="110"/>
      <c r="AP888" s="35">
        <v>0.0</v>
      </c>
      <c r="AQ888" s="35">
        <v>0.0</v>
      </c>
      <c r="AR888" s="69"/>
      <c r="AS888" s="98">
        <v>0.0</v>
      </c>
      <c r="AT888" s="98">
        <v>0.0</v>
      </c>
      <c r="AU888" s="69" t="s">
        <v>5222</v>
      </c>
      <c r="AV888" s="13"/>
      <c r="AW888" s="13"/>
      <c r="AX888" s="13"/>
      <c r="AY888" s="13"/>
      <c r="AZ888" s="13"/>
      <c r="BA888" s="13"/>
      <c r="BB888" s="13"/>
      <c r="BC888" s="13"/>
      <c r="BD888" s="13"/>
      <c r="BE888" s="13"/>
      <c r="BF888" s="13"/>
      <c r="BG888" s="13"/>
      <c r="BH888" s="13"/>
      <c r="BI888" s="13"/>
      <c r="BJ888" s="13"/>
      <c r="BK888" s="13"/>
      <c r="BL888" s="13"/>
      <c r="BM888" s="13"/>
      <c r="BN888" s="6"/>
      <c r="BO888" s="6">
        <v>4.0</v>
      </c>
      <c r="BP888" s="13"/>
      <c r="BQ888" s="13"/>
      <c r="BR888" s="6" t="s">
        <v>433</v>
      </c>
    </row>
    <row r="889">
      <c r="A889" s="35">
        <v>99.0</v>
      </c>
      <c r="B889" s="35" t="s">
        <v>1012</v>
      </c>
      <c r="C889" s="53">
        <v>1.0</v>
      </c>
      <c r="D889" s="53" t="s">
        <v>1012</v>
      </c>
      <c r="E889" s="7">
        <v>778.0</v>
      </c>
      <c r="F889" s="53"/>
      <c r="G889" s="6"/>
      <c r="H889" s="35">
        <v>1.0</v>
      </c>
      <c r="I889" s="35">
        <v>1.0</v>
      </c>
      <c r="J889" s="35" t="s">
        <v>5223</v>
      </c>
      <c r="K889" s="99"/>
      <c r="L889" s="99"/>
      <c r="M889" s="39" t="str">
        <f t="shared" si="1"/>
        <v>[https://www.ncbi.nlm.nih.gov/pubmed/10977095 Sinha S; Tompa M YMF (Yeast Motif Finder) (2000)]</v>
      </c>
      <c r="N889" s="69" t="s">
        <v>5224</v>
      </c>
      <c r="O889" s="98">
        <v>2000.0</v>
      </c>
      <c r="P889" s="100" t="s">
        <v>5225</v>
      </c>
      <c r="Q889" s="13"/>
      <c r="R889" s="13"/>
      <c r="S889" s="13"/>
      <c r="T889" s="35">
        <v>1.0</v>
      </c>
      <c r="U889" s="35">
        <v>0.0</v>
      </c>
      <c r="V889" s="89">
        <f>IFERROR(__xludf.DUMMYFUNCTION("INDEX(SPLIT(SUBSTITUTE(W889,CHAR(10), """"),"",:""), MATCH(Z889, SPLIT(SUBSTITUTE(W889,CHAR(10), """"),"",:""), 0) + 1)"),2.83)</f>
        <v>2.83</v>
      </c>
      <c r="W889" s="102" t="s">
        <v>5226</v>
      </c>
      <c r="X889" s="35" t="s">
        <v>5223</v>
      </c>
      <c r="Y889" s="41" t="s">
        <v>1877</v>
      </c>
      <c r="Z889" s="53" t="str">
        <f t="array" ref="Z889">INDEX(Problems!J:J, MATCH(1, (Problems!B:B=B889)*1, 0))</f>
        <v>mn</v>
      </c>
      <c r="AA889" s="41"/>
      <c r="AB889" s="41"/>
      <c r="AC889" s="41" t="s">
        <v>1813</v>
      </c>
      <c r="AD889" s="41" t="s">
        <v>1814</v>
      </c>
      <c r="AE889" s="85">
        <f>IFERROR(__xludf.DUMMYFUNCTION("INDEX(SPLIT(SUBSTITUTE(AF889,CHAR(10), """"),"",:""), MATCH(Z889, SPLIT(SUBSTITUTE(AF889,CHAR(10), """"),"",:""), 0) + 1)"),2.5)</f>
        <v>2.5</v>
      </c>
      <c r="AF889" s="102" t="s">
        <v>5210</v>
      </c>
      <c r="AG889" s="41" t="s">
        <v>148</v>
      </c>
      <c r="AH889" s="41" t="s">
        <v>5211</v>
      </c>
      <c r="AI889" s="104">
        <v>1.0</v>
      </c>
      <c r="AJ889" s="84">
        <v>0.0</v>
      </c>
      <c r="AK889" s="104"/>
      <c r="AL889" s="35">
        <v>0.0</v>
      </c>
      <c r="AM889" s="104"/>
      <c r="AN889" s="35">
        <v>0.0</v>
      </c>
      <c r="AO889" s="110"/>
      <c r="AP889" s="35">
        <v>0.0</v>
      </c>
      <c r="AQ889" s="35">
        <v>0.0</v>
      </c>
      <c r="AR889" s="69"/>
      <c r="AS889" s="98">
        <v>0.0</v>
      </c>
      <c r="AT889" s="98">
        <v>0.0</v>
      </c>
      <c r="AU889" s="69" t="s">
        <v>5227</v>
      </c>
      <c r="AV889" s="13"/>
      <c r="AW889" s="13"/>
      <c r="AX889" s="13"/>
      <c r="AY889" s="13"/>
      <c r="AZ889" s="13"/>
      <c r="BA889" s="13"/>
      <c r="BB889" s="13"/>
      <c r="BC889" s="13"/>
      <c r="BD889" s="13"/>
      <c r="BE889" s="13"/>
      <c r="BF889" s="13">
        <f>POW(500,0.66)*500</f>
        <v>30219.70407</v>
      </c>
      <c r="BG889" s="13">
        <f>BF891/BF889</f>
        <v>1215.55493</v>
      </c>
      <c r="BH889" s="13">
        <f>POW(BG889,1/($O889-$O$891)) - 1</f>
        <v>0.8074427458</v>
      </c>
      <c r="BI889" s="13">
        <f>POW(500000,0.66)*500000</f>
        <v>2885959334</v>
      </c>
      <c r="BJ889" s="13">
        <f>BI891/BI889</f>
        <v>601690.1504</v>
      </c>
      <c r="BK889" s="13">
        <f>POW(BJ889,1/($O889-$O$891)) - 1</f>
        <v>2.031198718</v>
      </c>
      <c r="BL889" s="13">
        <f>POW(500000000,0.66)*500000000</f>
        <v>275606976773734</v>
      </c>
      <c r="BM889" s="13">
        <f>BL891/BL889</f>
        <v>215300165.9</v>
      </c>
      <c r="BN889" s="13">
        <f>POW(BM889,1/($O889-$O$891)) - 1</f>
        <v>3.947893734</v>
      </c>
      <c r="BO889" s="6">
        <v>4.0</v>
      </c>
      <c r="BP889" s="13"/>
      <c r="BQ889" s="13"/>
      <c r="BR889" s="6" t="s">
        <v>433</v>
      </c>
    </row>
    <row r="890">
      <c r="A890" s="35">
        <v>99.0</v>
      </c>
      <c r="B890" s="35" t="s">
        <v>1012</v>
      </c>
      <c r="C890" s="53">
        <v>1.0</v>
      </c>
      <c r="D890" s="53" t="s">
        <v>1012</v>
      </c>
      <c r="E890" s="7">
        <v>780.0</v>
      </c>
      <c r="F890" s="53"/>
      <c r="G890" s="6"/>
      <c r="H890" s="35">
        <v>1.0</v>
      </c>
      <c r="I890" s="35">
        <v>1.0</v>
      </c>
      <c r="J890" s="104" t="s">
        <v>5228</v>
      </c>
      <c r="K890" s="99"/>
      <c r="L890" s="99"/>
      <c r="M890" s="39" t="str">
        <f t="shared" si="1"/>
        <v>[https://link.springer.com/article/10.1007/BF00993379 Bailey TL; Elkan C MEME (1995)]</v>
      </c>
      <c r="N890" s="69" t="s">
        <v>5229</v>
      </c>
      <c r="O890" s="98">
        <v>1995.0</v>
      </c>
      <c r="P890" s="100" t="s">
        <v>5230</v>
      </c>
      <c r="Q890" s="13"/>
      <c r="R890" s="13"/>
      <c r="S890" s="13"/>
      <c r="T890" s="35">
        <v>1.0</v>
      </c>
      <c r="U890" s="61">
        <v>0.0</v>
      </c>
      <c r="V890" s="89">
        <f>IFERROR(__xludf.DUMMYFUNCTION("INDEX(SPLIT(SUBSTITUTE(W890,CHAR(10), """"),"",:""), MATCH(Z890, SPLIT(SUBSTITUTE(W890,CHAR(10), """"),"",:""), 0) + 1)"),5.0)</f>
        <v>5</v>
      </c>
      <c r="W890" s="176" t="s">
        <v>5231</v>
      </c>
      <c r="X890" s="104" t="s">
        <v>5228</v>
      </c>
      <c r="Y890" s="41" t="s">
        <v>1877</v>
      </c>
      <c r="Z890" s="53" t="str">
        <f t="array" ref="Z890">INDEX(Problems!J:J, MATCH(1, (Problems!B:B=B890)*1, 0))</f>
        <v>mn</v>
      </c>
      <c r="AA890" s="103" t="s">
        <v>5230</v>
      </c>
      <c r="AB890" s="41">
        <v>0.0</v>
      </c>
      <c r="AC890" s="53" t="s">
        <v>1813</v>
      </c>
      <c r="AD890" s="53" t="s">
        <v>1814</v>
      </c>
      <c r="AE890" s="85">
        <f>IFERROR(__xludf.DUMMYFUNCTION("INDEX(SPLIT(SUBSTITUTE(AF890,CHAR(10), """"),"",:""), MATCH(Z890, SPLIT(SUBSTITUTE(AF890,CHAR(10), """"),"",:""), 0) + 1)"),3.0)</f>
        <v>3</v>
      </c>
      <c r="AF890" s="102" t="s">
        <v>1876</v>
      </c>
      <c r="AG890" s="41" t="s">
        <v>399</v>
      </c>
      <c r="AH890" s="41" t="s">
        <v>5232</v>
      </c>
      <c r="AI890" s="104">
        <v>1.0</v>
      </c>
      <c r="AJ890" s="84">
        <v>0.0</v>
      </c>
      <c r="AK890" s="104"/>
      <c r="AL890" s="35">
        <v>0.0</v>
      </c>
      <c r="AM890" s="104"/>
      <c r="AN890" s="35">
        <v>0.0</v>
      </c>
      <c r="AO890" s="110"/>
      <c r="AP890" s="35">
        <v>0.0</v>
      </c>
      <c r="AQ890" s="35">
        <v>0.0</v>
      </c>
      <c r="AR890" s="69"/>
      <c r="AS890" s="98">
        <v>0.0</v>
      </c>
      <c r="AT890" s="98">
        <v>0.0</v>
      </c>
      <c r="AU890" s="69" t="s">
        <v>1014</v>
      </c>
      <c r="AV890" s="13"/>
      <c r="AW890" s="13"/>
      <c r="AX890" s="13"/>
      <c r="AY890" s="13"/>
      <c r="AZ890" s="13">
        <f>Pow((1000/2),2)</f>
        <v>250000</v>
      </c>
      <c r="BA890" s="13"/>
      <c r="BB890" s="13">
        <f>Pow((1000000/2),2)</f>
        <v>250000000000</v>
      </c>
      <c r="BC890" s="13"/>
      <c r="BD890" s="13">
        <f>Pow((1000000000/2),2)</f>
        <v>2.5E+17</v>
      </c>
      <c r="BE890" s="13"/>
      <c r="BF890" s="13"/>
      <c r="BG890" s="13"/>
      <c r="BH890" s="13"/>
      <c r="BI890" s="13"/>
      <c r="BJ890" s="13"/>
      <c r="BK890" s="13"/>
      <c r="BL890" s="13"/>
      <c r="BM890" s="13"/>
      <c r="BN890" s="6"/>
      <c r="BO890" s="6">
        <v>4.0</v>
      </c>
      <c r="BP890" s="13"/>
      <c r="BQ890" s="13"/>
      <c r="BR890" s="6" t="s">
        <v>433</v>
      </c>
    </row>
    <row r="891">
      <c r="A891" s="35">
        <v>99.0</v>
      </c>
      <c r="B891" s="35" t="s">
        <v>1012</v>
      </c>
      <c r="C891" s="53">
        <v>0.001</v>
      </c>
      <c r="D891" s="53" t="s">
        <v>1012</v>
      </c>
      <c r="E891" s="7">
        <v>781.0</v>
      </c>
      <c r="F891" s="53"/>
      <c r="G891" s="6"/>
      <c r="H891" s="35">
        <v>1.0</v>
      </c>
      <c r="I891" s="35">
        <v>1.0</v>
      </c>
      <c r="J891" s="61" t="s">
        <v>5233</v>
      </c>
      <c r="K891" s="99"/>
      <c r="L891" s="99"/>
      <c r="M891" s="39" t="str">
        <f t="shared" si="1"/>
        <v>[https://link.springer.com/chapter/10.1007/BFb0054337 Sagot M (1988)]</v>
      </c>
      <c r="N891" s="35" t="s">
        <v>5234</v>
      </c>
      <c r="O891" s="98">
        <v>1988.0</v>
      </c>
      <c r="P891" s="174" t="s">
        <v>2441</v>
      </c>
      <c r="Q891" s="13"/>
      <c r="R891" s="13"/>
      <c r="S891" s="13"/>
      <c r="T891" s="35">
        <v>1.0</v>
      </c>
      <c r="U891" s="35">
        <v>0.0</v>
      </c>
      <c r="V891" s="89">
        <f>IFERROR(__xludf.DUMMYFUNCTION("INDEX(SPLIT(SUBSTITUTE(W891,CHAR(10), """"),"",:""), MATCH(Z891, SPLIT(SUBSTITUTE(W891,CHAR(10), """"),"",:""), 0) + 1)"),4.225)</f>
        <v>4.225</v>
      </c>
      <c r="W891" s="102" t="s">
        <v>5235</v>
      </c>
      <c r="X891" s="61" t="s">
        <v>5236</v>
      </c>
      <c r="Y891" s="41" t="s">
        <v>5237</v>
      </c>
      <c r="Z891" s="53" t="str">
        <f t="array" ref="Z891">INDEX(Problems!J:J, MATCH(1, (Problems!B:B=B891)*1, 0))</f>
        <v>mn</v>
      </c>
      <c r="AA891" s="41"/>
      <c r="AB891" s="41"/>
      <c r="AC891" s="41" t="s">
        <v>1813</v>
      </c>
      <c r="AD891" s="41" t="s">
        <v>1814</v>
      </c>
      <c r="AE891" s="85">
        <f>IFERROR(__xludf.DUMMYFUNCTION("INDEX(SPLIT(SUBSTITUTE(AF891,CHAR(10), """"),"",:""), MATCH(Z891, SPLIT(SUBSTITUTE(AF891,CHAR(10), """"),"",:""), 0) + 1)"),4.5)</f>
        <v>4.5</v>
      </c>
      <c r="AF891" s="102" t="s">
        <v>5238</v>
      </c>
      <c r="AG891" s="41" t="s">
        <v>2446</v>
      </c>
      <c r="AH891" s="112" t="s">
        <v>2441</v>
      </c>
      <c r="AI891" s="104">
        <v>0.0</v>
      </c>
      <c r="AJ891" s="84">
        <v>1.0</v>
      </c>
      <c r="AK891" s="104"/>
      <c r="AL891" s="35">
        <v>0.0</v>
      </c>
      <c r="AM891" s="104"/>
      <c r="AN891" s="35">
        <v>0.0</v>
      </c>
      <c r="AO891" s="110"/>
      <c r="AP891" s="35">
        <v>0.0</v>
      </c>
      <c r="AQ891" s="35">
        <v>0.0</v>
      </c>
      <c r="AR891" s="69"/>
      <c r="AS891" s="98">
        <v>0.0</v>
      </c>
      <c r="AT891" s="98">
        <v>0.0</v>
      </c>
      <c r="AU891" s="69" t="s">
        <v>5239</v>
      </c>
      <c r="AV891" s="13"/>
      <c r="AW891" s="13"/>
      <c r="AX891" s="13"/>
      <c r="AY891" s="13"/>
      <c r="AZ891" s="13"/>
      <c r="BA891" s="13"/>
      <c r="BB891" s="13"/>
      <c r="BC891" s="13"/>
      <c r="BD891" s="13"/>
      <c r="BE891" s="13"/>
      <c r="BF891" s="13">
        <f>500*LOG(500,2)*POW(500,1.45)</f>
        <v>36733710.27</v>
      </c>
      <c r="BG891" s="6">
        <v>1.0</v>
      </c>
      <c r="BH891" s="13"/>
      <c r="BI891" s="13">
        <f>500000*LOG(500000,2)*POW(500000,1.45)</f>
        <v>1.73645E+15</v>
      </c>
      <c r="BJ891" s="6">
        <v>1.0</v>
      </c>
      <c r="BK891" s="13"/>
      <c r="BL891" s="13">
        <f>500000000*LOG(500000000,2)*POW(500000000,1.45)</f>
        <v>5.93382E+22</v>
      </c>
      <c r="BM891" s="6">
        <v>1.0</v>
      </c>
      <c r="BN891" s="6"/>
      <c r="BO891" s="6">
        <v>4.0</v>
      </c>
      <c r="BP891" s="13"/>
      <c r="BQ891" s="13"/>
      <c r="BR891" s="6" t="s">
        <v>433</v>
      </c>
    </row>
    <row r="892">
      <c r="A892" s="35">
        <v>99.0</v>
      </c>
      <c r="B892" s="35" t="s">
        <v>1012</v>
      </c>
      <c r="C892" s="53">
        <v>1.0</v>
      </c>
      <c r="D892" s="53" t="s">
        <v>1012</v>
      </c>
      <c r="E892" s="7">
        <v>783.0</v>
      </c>
      <c r="F892" s="53"/>
      <c r="G892" s="6"/>
      <c r="H892" s="35">
        <v>1.0</v>
      </c>
      <c r="I892" s="35">
        <v>1.0</v>
      </c>
      <c r="J892" s="61" t="s">
        <v>5240</v>
      </c>
      <c r="K892" s="99"/>
      <c r="L892" s="99"/>
      <c r="M892" s="39" t="str">
        <f t="shared" si="1"/>
        <v>[https://www.worldscientific.com/doi/10.1142/S0219720004000466 Liang Cwinnower (2003)]</v>
      </c>
      <c r="N892" s="69" t="s">
        <v>5241</v>
      </c>
      <c r="O892" s="98">
        <v>2003.0</v>
      </c>
      <c r="P892" s="177" t="s">
        <v>5242</v>
      </c>
      <c r="Q892" s="13"/>
      <c r="R892" s="13"/>
      <c r="S892" s="13"/>
      <c r="T892" s="35">
        <v>1.0</v>
      </c>
      <c r="U892" s="35">
        <v>0.0</v>
      </c>
      <c r="V892" s="89">
        <f>IFERROR(__xludf.DUMMYFUNCTION("INDEX(SPLIT(SUBSTITUTE(W892,CHAR(10), """"),"",:""), MATCH(Z892, SPLIT(SUBSTITUTE(W892,CHAR(10), """"),"",:""), 0) + 1)"),2.75)</f>
        <v>2.75</v>
      </c>
      <c r="W892" s="102" t="s">
        <v>5243</v>
      </c>
      <c r="X892" s="61" t="s">
        <v>5240</v>
      </c>
      <c r="Y892" s="41" t="s">
        <v>1877</v>
      </c>
      <c r="Z892" s="53" t="str">
        <f t="array" ref="Z892">INDEX(Problems!J:J, MATCH(1, (Problems!B:B=B892)*1, 0))</f>
        <v>mn</v>
      </c>
      <c r="AA892" s="41"/>
      <c r="AB892" s="41"/>
      <c r="AC892" s="53" t="s">
        <v>1813</v>
      </c>
      <c r="AD892" s="53" t="s">
        <v>1814</v>
      </c>
      <c r="AE892" s="85">
        <f>IFERROR(__xludf.DUMMYFUNCTION("INDEX(SPLIT(SUBSTITUTE(AF892,CHAR(10), """"),"",:""), MATCH(Z892, SPLIT(SUBSTITUTE(AF892,CHAR(10), """"),"",:""), 0) + 1)"),3.0)</f>
        <v>3</v>
      </c>
      <c r="AF892" s="102" t="s">
        <v>5219</v>
      </c>
      <c r="AG892" s="41" t="s">
        <v>5220</v>
      </c>
      <c r="AH892" s="41" t="s">
        <v>5244</v>
      </c>
      <c r="AI892" s="104">
        <v>1.0</v>
      </c>
      <c r="AJ892" s="84">
        <v>0.0</v>
      </c>
      <c r="AK892" s="104"/>
      <c r="AL892" s="35">
        <v>0.0</v>
      </c>
      <c r="AM892" s="104"/>
      <c r="AN892" s="35">
        <v>0.0</v>
      </c>
      <c r="AO892" s="110"/>
      <c r="AP892" s="35">
        <v>0.0</v>
      </c>
      <c r="AQ892" s="35">
        <v>0.0</v>
      </c>
      <c r="AR892" s="69"/>
      <c r="AS892" s="98">
        <v>0.0</v>
      </c>
      <c r="AT892" s="98">
        <v>0.0</v>
      </c>
      <c r="AU892" s="69" t="s">
        <v>5245</v>
      </c>
      <c r="AV892" s="13"/>
      <c r="AW892" s="13"/>
      <c r="AX892" s="13"/>
      <c r="AY892" s="13"/>
      <c r="AZ892" s="13"/>
      <c r="BA892" s="13"/>
      <c r="BB892" s="13"/>
      <c r="BC892" s="13"/>
      <c r="BD892" s="13"/>
      <c r="BE892" s="13"/>
      <c r="BF892" s="13">
        <f>pow(500,1.5)</f>
        <v>11180.33989</v>
      </c>
      <c r="BG892" s="13">
        <f>BF891/BF892</f>
        <v>3285.562929</v>
      </c>
      <c r="BH892" s="13">
        <f>POW(BG892,1/($O892-$O$891)) - 1</f>
        <v>0.7156972401</v>
      </c>
      <c r="BI892" s="13">
        <f>pow(500000,1.5)</f>
        <v>353553390.6</v>
      </c>
      <c r="BJ892" s="13">
        <f>BI891/BI892</f>
        <v>4911431.631</v>
      </c>
      <c r="BK892" s="13">
        <f>POW(BJ892,1/($O892-$O$891)) - 1</f>
        <v>1.793061768</v>
      </c>
      <c r="BL892" s="13">
        <f>pow(500000000,1.5)</f>
        <v>11180339887499</v>
      </c>
      <c r="BM892" s="13">
        <f>BL891/BL892</f>
        <v>5307372442</v>
      </c>
      <c r="BN892" s="13">
        <f>POW(BM892,1/($O892-$O$891)) - 1</f>
        <v>3.449644392</v>
      </c>
      <c r="BO892" s="6">
        <v>4.0</v>
      </c>
      <c r="BP892" s="13"/>
      <c r="BQ892" s="13"/>
      <c r="BR892" s="6" t="s">
        <v>433</v>
      </c>
    </row>
    <row r="893">
      <c r="A893" s="35">
        <v>99.0</v>
      </c>
      <c r="B893" s="35" t="s">
        <v>1012</v>
      </c>
      <c r="C893" s="53">
        <v>1.0</v>
      </c>
      <c r="D893" s="53" t="s">
        <v>1012</v>
      </c>
      <c r="E893" s="7">
        <v>789.0</v>
      </c>
      <c r="F893" s="53" t="s">
        <v>2537</v>
      </c>
      <c r="G893" s="6"/>
      <c r="H893" s="35">
        <v>1.0</v>
      </c>
      <c r="I893" s="35">
        <v>1.0</v>
      </c>
      <c r="J893" s="61" t="s">
        <v>399</v>
      </c>
      <c r="K893" s="99"/>
      <c r="L893" s="99"/>
      <c r="M893" s="39" t="str">
        <f t="shared" si="1"/>
        <v>[https://link.springer.com/chapter/10.1007/11780441_22 Kingsford (2006)]</v>
      </c>
      <c r="N893" s="69" t="s">
        <v>5246</v>
      </c>
      <c r="O893" s="98">
        <v>2006.0</v>
      </c>
      <c r="P893" s="100" t="s">
        <v>5247</v>
      </c>
      <c r="Q893" s="13"/>
      <c r="R893" s="13"/>
      <c r="S893" s="13"/>
      <c r="T893" s="35">
        <v>0.0</v>
      </c>
      <c r="U893" s="35">
        <v>0.0</v>
      </c>
      <c r="V893" s="89">
        <f>IFERROR(__xludf.DUMMYFUNCTION("INDEX(SPLIT(SUBSTITUTE(W893,CHAR(10), """"),"",:""), MATCH(Z893, SPLIT(SUBSTITUTE(W893,CHAR(10), """"),"",:""), 0) + 1)"),3.0)</f>
        <v>3</v>
      </c>
      <c r="W893" s="102" t="s">
        <v>5248</v>
      </c>
      <c r="X893" s="61" t="s">
        <v>399</v>
      </c>
      <c r="Y893" s="41" t="s">
        <v>1877</v>
      </c>
      <c r="Z893" s="53" t="str">
        <f t="array" ref="Z893">INDEX(Problems!J:J, MATCH(1, (Problems!B:B=B893)*1, 0))</f>
        <v>mn</v>
      </c>
      <c r="AA893" s="41"/>
      <c r="AB893" s="41"/>
      <c r="AC893" s="53" t="s">
        <v>1813</v>
      </c>
      <c r="AD893" s="53" t="s">
        <v>1814</v>
      </c>
      <c r="AE893" s="85">
        <f>IFERROR(__xludf.DUMMYFUNCTION("INDEX(SPLIT(SUBSTITUTE(AF893,CHAR(10), """"),"",:""), MATCH(Z893, SPLIT(SUBSTITUTE(AF893,CHAR(10), """"),"",:""), 0) + 1)"),5.0)</f>
        <v>5</v>
      </c>
      <c r="AF893" s="102" t="s">
        <v>5249</v>
      </c>
      <c r="AG893" s="41" t="s">
        <v>5250</v>
      </c>
      <c r="AH893" s="41" t="s">
        <v>5251</v>
      </c>
      <c r="AI893" s="104">
        <v>1.0</v>
      </c>
      <c r="AJ893" s="84">
        <v>0.0</v>
      </c>
      <c r="AK893" s="104"/>
      <c r="AL893" s="35">
        <v>0.0</v>
      </c>
      <c r="AM893" s="104"/>
      <c r="AN893" s="35">
        <v>0.0</v>
      </c>
      <c r="AO893" s="104"/>
      <c r="AP893" s="35">
        <v>0.0</v>
      </c>
      <c r="AQ893" s="35">
        <v>0.0</v>
      </c>
      <c r="AR893" s="69"/>
      <c r="AS893" s="35">
        <v>0.0</v>
      </c>
      <c r="AT893" s="35">
        <v>0.0</v>
      </c>
      <c r="AU893" s="69"/>
      <c r="AV893" s="13"/>
      <c r="AW893" s="13"/>
      <c r="AX893" s="13"/>
      <c r="AY893" s="13"/>
      <c r="AZ893" s="13"/>
      <c r="BA893" s="13"/>
      <c r="BB893" s="13"/>
      <c r="BC893" s="13"/>
      <c r="BD893" s="13"/>
      <c r="BE893" s="13"/>
      <c r="BF893" s="13"/>
      <c r="BG893" s="13"/>
      <c r="BH893" s="13"/>
      <c r="BI893" s="13"/>
      <c r="BJ893" s="13"/>
      <c r="BK893" s="13"/>
      <c r="BL893" s="13"/>
      <c r="BM893" s="13"/>
      <c r="BN893" s="6"/>
      <c r="BO893" s="6">
        <v>4.0</v>
      </c>
      <c r="BP893" s="13"/>
      <c r="BQ893" s="13"/>
      <c r="BR893" s="6" t="s">
        <v>433</v>
      </c>
    </row>
    <row r="894">
      <c r="A894" s="35">
        <v>100.0</v>
      </c>
      <c r="B894" s="35" t="s">
        <v>1018</v>
      </c>
      <c r="C894" s="53">
        <v>1.0</v>
      </c>
      <c r="D894" s="53" t="s">
        <v>1018</v>
      </c>
      <c r="E894" s="7">
        <v>791.0</v>
      </c>
      <c r="F894" s="53"/>
      <c r="G894" s="6">
        <v>0.0</v>
      </c>
      <c r="H894" s="35">
        <v>1.0</v>
      </c>
      <c r="I894" s="98">
        <v>1.0</v>
      </c>
      <c r="J894" s="104" t="s">
        <v>148</v>
      </c>
      <c r="K894" s="53" t="s">
        <v>3618</v>
      </c>
      <c r="L894" s="41" t="s">
        <v>4152</v>
      </c>
      <c r="M894" s="39" t="str">
        <f t="shared" si="1"/>
        <v>[http://rosalind.info/problems/ba3m/ Naive (1940)]</v>
      </c>
      <c r="N894" s="69" t="s">
        <v>2150</v>
      </c>
      <c r="O894" s="98">
        <v>1940.0</v>
      </c>
      <c r="P894" s="100" t="s">
        <v>5252</v>
      </c>
      <c r="Q894" s="13"/>
      <c r="R894" s="13"/>
      <c r="S894" s="13"/>
      <c r="T894" s="98">
        <v>1.0</v>
      </c>
      <c r="U894" s="35">
        <v>0.0</v>
      </c>
      <c r="V894" s="89">
        <f>IFERROR(__xludf.DUMMYFUNCTION("INDEX(SPLIT(SUBSTITUTE(W894,CHAR(10), """"),"",:""), MATCH(Z894, SPLIT(SUBSTITUTE(W894,CHAR(10), """"),"",:""), 0) + 1)"),5.0)</f>
        <v>5</v>
      </c>
      <c r="W894" s="102" t="s">
        <v>4526</v>
      </c>
      <c r="X894" s="104" t="s">
        <v>148</v>
      </c>
      <c r="Y894" s="41" t="s">
        <v>2102</v>
      </c>
      <c r="Z894" s="53" t="str">
        <f t="array" ref="Z894">INDEX(Problems!J:J, MATCH(1, (Problems!B:B=B894)*1, 0))</f>
        <v>n</v>
      </c>
      <c r="AA894" s="41"/>
      <c r="AB894" s="41"/>
      <c r="AC894" s="41" t="s">
        <v>1813</v>
      </c>
      <c r="AD894" s="41" t="s">
        <v>1814</v>
      </c>
      <c r="AE894" s="85">
        <f>IFERROR(__xludf.DUMMYFUNCTION("INDEX(SPLIT(SUBSTITUTE(AF894,CHAR(10), """"),"",:""), MATCH(Z894, SPLIT(SUBSTITUTE(AF894,CHAR(10), """"),"",:""), 0) + 1)"),3.0)</f>
        <v>3</v>
      </c>
      <c r="AF894" s="102" t="s">
        <v>1763</v>
      </c>
      <c r="AG894" s="41" t="s">
        <v>2625</v>
      </c>
      <c r="AH894" s="41" t="s">
        <v>5253</v>
      </c>
      <c r="AI894" s="104">
        <v>1.0</v>
      </c>
      <c r="AJ894" s="84">
        <v>0.0</v>
      </c>
      <c r="AK894" s="104"/>
      <c r="AL894" s="35">
        <v>0.0</v>
      </c>
      <c r="AM894" s="105"/>
      <c r="AN894" s="98">
        <v>0.0</v>
      </c>
      <c r="AO894" s="110"/>
      <c r="AP894" s="98">
        <v>0.0</v>
      </c>
      <c r="AQ894" s="98">
        <v>0.0</v>
      </c>
      <c r="AR894" s="69"/>
      <c r="AS894" s="98">
        <v>0.0</v>
      </c>
      <c r="AT894" s="35">
        <v>0.0</v>
      </c>
      <c r="AU894" s="69"/>
      <c r="AV894" s="13"/>
      <c r="AW894" s="13"/>
      <c r="AX894" s="13"/>
      <c r="AY894" s="13"/>
      <c r="AZ894" s="6"/>
      <c r="BA894" s="6"/>
      <c r="BB894" s="6"/>
      <c r="BC894" s="6"/>
      <c r="BD894" s="6"/>
      <c r="BE894" s="6"/>
      <c r="BF894" s="6">
        <v>1000000.0</v>
      </c>
      <c r="BG894" s="6">
        <v>1.0</v>
      </c>
      <c r="BH894" s="6"/>
      <c r="BI894" s="6">
        <v>1.0E12</v>
      </c>
      <c r="BJ894" s="6">
        <v>1.0</v>
      </c>
      <c r="BK894" s="6"/>
      <c r="BL894" s="6">
        <v>1.0E18</v>
      </c>
      <c r="BM894" s="6">
        <v>1.0</v>
      </c>
      <c r="BN894" s="6"/>
      <c r="BO894" s="6">
        <v>4.0</v>
      </c>
      <c r="BP894" s="13"/>
      <c r="BQ894" s="13"/>
      <c r="BR894" s="6" t="s">
        <v>433</v>
      </c>
    </row>
    <row r="895">
      <c r="A895" s="35">
        <v>101.0</v>
      </c>
      <c r="B895" s="35" t="s">
        <v>1021</v>
      </c>
      <c r="C895" s="53">
        <v>1.0</v>
      </c>
      <c r="D895" s="104" t="s">
        <v>1022</v>
      </c>
      <c r="E895" s="7">
        <v>792.0</v>
      </c>
      <c r="F895" s="53"/>
      <c r="G895" s="6"/>
      <c r="H895" s="35">
        <v>1.0</v>
      </c>
      <c r="I895" s="35">
        <v>1.0</v>
      </c>
      <c r="J895" s="69" t="s">
        <v>5254</v>
      </c>
      <c r="K895" s="99"/>
      <c r="L895" s="99"/>
      <c r="M895" s="39" t="str">
        <f t="shared" si="1"/>
        <v>[https://www.w3.org/People/Massimo/papers/quest_hypersearch.pdf The INDEGREE Algorithm (1997)]</v>
      </c>
      <c r="N895" s="69" t="s">
        <v>5255</v>
      </c>
      <c r="O895" s="98">
        <v>1997.0</v>
      </c>
      <c r="P895" s="106" t="s">
        <v>5256</v>
      </c>
      <c r="Q895" s="13"/>
      <c r="R895" s="13"/>
      <c r="S895" s="13"/>
      <c r="T895" s="35">
        <v>1.0</v>
      </c>
      <c r="U895" s="35">
        <v>0.0</v>
      </c>
      <c r="V895" s="89">
        <f>IFERROR(__xludf.DUMMYFUNCTION("INDEX(SPLIT(SUBSTITUTE(W895,CHAR(10), """"),"",:""), MATCH(Z895, SPLIT(SUBSTITUTE(W895,CHAR(10), """"),"",:""), 0) + 1)"),6.0)</f>
        <v>6</v>
      </c>
      <c r="W895" s="102" t="s">
        <v>5257</v>
      </c>
      <c r="X895" s="61" t="s">
        <v>399</v>
      </c>
      <c r="Y895" s="41" t="s">
        <v>5258</v>
      </c>
      <c r="Z895" s="53" t="str">
        <f t="array" ref="Z895">INDEX(Problems!J:J, MATCH(1, (Problems!B:B=B895)*1, 0))</f>
        <v>n</v>
      </c>
      <c r="AA895" s="41"/>
      <c r="AB895" s="41"/>
      <c r="AC895" s="41" t="s">
        <v>1813</v>
      </c>
      <c r="AD895" s="41" t="s">
        <v>1814</v>
      </c>
      <c r="AE895" s="85">
        <f>IFERROR(__xludf.DUMMYFUNCTION("INDEX(SPLIT(SUBSTITUTE(AF895,CHAR(10), """"),"",:""), MATCH(Z895, SPLIT(SUBSTITUTE(AF895,CHAR(10), """"),"",:""), 0) + 1)"),3.0)</f>
        <v>3</v>
      </c>
      <c r="AF895" s="102" t="s">
        <v>1763</v>
      </c>
      <c r="AG895" s="41" t="s">
        <v>35</v>
      </c>
      <c r="AH895" s="41" t="s">
        <v>5259</v>
      </c>
      <c r="AI895" s="104">
        <v>1.0</v>
      </c>
      <c r="AJ895" s="84">
        <v>0.0</v>
      </c>
      <c r="AK895" s="104"/>
      <c r="AL895" s="35">
        <v>0.0</v>
      </c>
      <c r="AM895" s="104"/>
      <c r="AN895" s="35">
        <v>0.0</v>
      </c>
      <c r="AO895" s="110"/>
      <c r="AP895" s="35">
        <v>0.0</v>
      </c>
      <c r="AQ895" s="35">
        <v>0.0</v>
      </c>
      <c r="AR895" s="69"/>
      <c r="AS895" s="98">
        <v>0.0</v>
      </c>
      <c r="AT895" s="98">
        <v>0.0</v>
      </c>
      <c r="AU895" s="106" t="s">
        <v>1024</v>
      </c>
      <c r="AV895" s="13"/>
      <c r="AW895" s="13"/>
      <c r="AX895" s="13"/>
      <c r="AY895" s="13"/>
      <c r="AZ895" s="13"/>
      <c r="BA895" s="13"/>
      <c r="BB895" s="13"/>
      <c r="BC895" s="13"/>
      <c r="BD895" s="13"/>
      <c r="BE895" s="13"/>
      <c r="BF895" s="13">
        <f>POW(1000/2,3)</f>
        <v>125000000</v>
      </c>
      <c r="BG895" s="6">
        <v>1.0</v>
      </c>
      <c r="BH895" s="13"/>
      <c r="BI895" s="13">
        <f>POW((1000000/2),3)</f>
        <v>1.25E+17</v>
      </c>
      <c r="BJ895" s="6">
        <v>1.0</v>
      </c>
      <c r="BK895" s="13"/>
      <c r="BL895" s="13">
        <f>POW((1000000000/2),3)</f>
        <v>1.25E+26</v>
      </c>
      <c r="BM895" s="6">
        <v>1.0</v>
      </c>
      <c r="BN895" s="6"/>
      <c r="BO895" s="6">
        <v>3.0</v>
      </c>
      <c r="BP895" s="13"/>
      <c r="BQ895" s="13"/>
      <c r="BR895" s="6" t="s">
        <v>23</v>
      </c>
    </row>
    <row r="896">
      <c r="A896" s="35">
        <v>153.0</v>
      </c>
      <c r="B896" s="35" t="s">
        <v>1021</v>
      </c>
      <c r="C896" s="53">
        <v>1.0</v>
      </c>
      <c r="D896" s="53" t="s">
        <v>1021</v>
      </c>
      <c r="E896" s="7">
        <v>793.0</v>
      </c>
      <c r="F896" s="53"/>
      <c r="G896" s="6"/>
      <c r="H896" s="35">
        <v>1.0</v>
      </c>
      <c r="I896" s="35">
        <v>1.0</v>
      </c>
      <c r="J896" s="69" t="s">
        <v>5260</v>
      </c>
      <c r="K896" s="99"/>
      <c r="L896" s="99"/>
      <c r="M896" s="39" t="str">
        <f t="shared" si="1"/>
        <v>[http://ilpubs.stanford.edu:8090/422/1/1999-66.pdf The PAGERANK Algorithm (1998)]</v>
      </c>
      <c r="N896" s="69" t="s">
        <v>5261</v>
      </c>
      <c r="O896" s="98">
        <v>1998.0</v>
      </c>
      <c r="P896" s="135" t="s">
        <v>1260</v>
      </c>
      <c r="Q896" s="13"/>
      <c r="R896" s="13"/>
      <c r="S896" s="13"/>
      <c r="T896" s="35">
        <v>1.0</v>
      </c>
      <c r="U896" s="35" t="s">
        <v>2425</v>
      </c>
      <c r="V896" s="89">
        <f>IFERROR(__xludf.DUMMYFUNCTION("INDEX(SPLIT(SUBSTITUTE(W896,CHAR(10), """"),"",:""), MATCH(Z896, SPLIT(SUBSTITUTE(W896,CHAR(10), """"),"",:""), 0) + 1)"),6.0)</f>
        <v>6</v>
      </c>
      <c r="W896" s="102" t="s">
        <v>5257</v>
      </c>
      <c r="X896" s="178" t="s">
        <v>5260</v>
      </c>
      <c r="Y896" s="41" t="s">
        <v>5258</v>
      </c>
      <c r="Z896" s="53" t="str">
        <f t="array" ref="Z896">INDEX(Problems!J:J, MATCH(1, (Problems!B:B=B896)*1, 0))</f>
        <v>n</v>
      </c>
      <c r="AA896" s="41"/>
      <c r="AB896" s="41"/>
      <c r="AC896" s="41" t="s">
        <v>1813</v>
      </c>
      <c r="AD896" s="41" t="s">
        <v>1814</v>
      </c>
      <c r="AE896" s="85">
        <f>IFERROR(__xludf.DUMMYFUNCTION("INDEX(SPLIT(SUBSTITUTE(AF896,CHAR(10), """"),"",:""), MATCH(Z896, SPLIT(SUBSTITUTE(AF896,CHAR(10), """"),"",:""), 0) + 1)"),3.0)</f>
        <v>3</v>
      </c>
      <c r="AF896" s="102" t="s">
        <v>1763</v>
      </c>
      <c r="AG896" s="41" t="s">
        <v>35</v>
      </c>
      <c r="AH896" s="41" t="s">
        <v>5262</v>
      </c>
      <c r="AI896" s="104">
        <v>1.0</v>
      </c>
      <c r="AJ896" s="84">
        <v>0.0</v>
      </c>
      <c r="AK896" s="104"/>
      <c r="AL896" s="35">
        <v>0.0</v>
      </c>
      <c r="AM896" s="104"/>
      <c r="AN896" s="35">
        <v>0.0</v>
      </c>
      <c r="AO896" s="110"/>
      <c r="AP896" s="35">
        <v>0.0</v>
      </c>
      <c r="AQ896" s="35">
        <v>0.0</v>
      </c>
      <c r="AR896" s="69"/>
      <c r="AS896" s="98">
        <v>0.0</v>
      </c>
      <c r="AT896" s="98">
        <v>0.0</v>
      </c>
      <c r="AU896" s="69"/>
      <c r="AV896" s="13"/>
      <c r="AW896" s="13"/>
      <c r="AX896" s="13"/>
      <c r="AY896" s="13"/>
      <c r="AZ896" s="152"/>
      <c r="BA896" s="152"/>
      <c r="BB896" s="152"/>
      <c r="BC896" s="152"/>
      <c r="BD896" s="152"/>
      <c r="BE896" s="152"/>
      <c r="BF896" s="152">
        <f>POW(1000/2,2)</f>
        <v>250000</v>
      </c>
      <c r="BG896" s="13">
        <f>BF895/BF896</f>
        <v>500</v>
      </c>
      <c r="BH896" s="13">
        <f>POW(BG896, 1)-1</f>
        <v>499</v>
      </c>
      <c r="BI896" s="13">
        <f>POW(1000000/2,2)</f>
        <v>250000000000</v>
      </c>
      <c r="BJ896" s="13">
        <f>BI895/BI896</f>
        <v>500000</v>
      </c>
      <c r="BK896" s="13">
        <f>POW(BJ896, 1)-1</f>
        <v>499999</v>
      </c>
      <c r="BL896" s="13">
        <f>POW(1000000000/2,2)</f>
        <v>2.5E+17</v>
      </c>
      <c r="BM896" s="13">
        <f>BL895/BL896</f>
        <v>500000000</v>
      </c>
      <c r="BN896" s="13">
        <f>POW(BM896, 1)-1</f>
        <v>499999999</v>
      </c>
      <c r="BO896" s="6">
        <v>3.0</v>
      </c>
      <c r="BP896" s="13"/>
      <c r="BQ896" s="13"/>
      <c r="BR896" s="6" t="s">
        <v>23</v>
      </c>
    </row>
    <row r="897">
      <c r="A897" s="35">
        <v>153.0</v>
      </c>
      <c r="B897" s="35" t="s">
        <v>1021</v>
      </c>
      <c r="C897" s="53">
        <v>1.0</v>
      </c>
      <c r="D897" s="53" t="s">
        <v>1021</v>
      </c>
      <c r="E897" s="7">
        <v>794.0</v>
      </c>
      <c r="F897" s="53"/>
      <c r="G897" s="6"/>
      <c r="H897" s="35">
        <v>1.0</v>
      </c>
      <c r="I897" s="35">
        <v>1.0</v>
      </c>
      <c r="J897" s="104" t="s">
        <v>4426</v>
      </c>
      <c r="K897" s="99"/>
      <c r="L897" s="99"/>
      <c r="M897" s="39" t="str">
        <f t="shared" si="1"/>
        <v>[https://dl.acm.org/doi/pdf/10.1145/324133.324140 The (Hyperlink-Induced Topic Search) HITS Algorithm (1998)]</v>
      </c>
      <c r="N897" s="35" t="s">
        <v>5263</v>
      </c>
      <c r="O897" s="98">
        <v>1998.0</v>
      </c>
      <c r="P897" s="106" t="s">
        <v>5264</v>
      </c>
      <c r="Q897" s="13"/>
      <c r="R897" s="13"/>
      <c r="S897" s="13"/>
      <c r="T897" s="35">
        <v>1.0</v>
      </c>
      <c r="U897" s="35">
        <v>0.0</v>
      </c>
      <c r="V897" s="89">
        <f>IFERROR(__xludf.DUMMYFUNCTION("INDEX(SPLIT(SUBSTITUTE(W897,CHAR(10), """"),"",:""), MATCH(Z897, SPLIT(SUBSTITUTE(W897,CHAR(10), """"),"",:""), 0) + 1)"),5.0)</f>
        <v>5</v>
      </c>
      <c r="W897" s="102" t="s">
        <v>1938</v>
      </c>
      <c r="X897" s="104" t="s">
        <v>4426</v>
      </c>
      <c r="Y897" s="41" t="s">
        <v>5265</v>
      </c>
      <c r="Z897" s="53" t="str">
        <f t="array" ref="Z897">INDEX(Problems!J:J, MATCH(1, (Problems!B:B=B897)*1, 0))</f>
        <v>n</v>
      </c>
      <c r="AA897" s="41"/>
      <c r="AB897" s="41"/>
      <c r="AC897" s="41" t="s">
        <v>1813</v>
      </c>
      <c r="AD897" s="41" t="s">
        <v>1814</v>
      </c>
      <c r="AE897" s="85">
        <f>IFERROR(__xludf.DUMMYFUNCTION("INDEX(SPLIT(SUBSTITUTE(AF897,CHAR(10), """"),"",:""), MATCH(Z897, SPLIT(SUBSTITUTE(AF897,CHAR(10), """"),"",:""), 0) + 1)"),3.0)</f>
        <v>3</v>
      </c>
      <c r="AF897" s="102" t="s">
        <v>1763</v>
      </c>
      <c r="AG897" s="41" t="s">
        <v>35</v>
      </c>
      <c r="AH897" s="41" t="s">
        <v>5266</v>
      </c>
      <c r="AI897" s="104">
        <v>1.0</v>
      </c>
      <c r="AJ897" s="84">
        <v>0.0</v>
      </c>
      <c r="AK897" s="104"/>
      <c r="AL897" s="35">
        <v>0.0</v>
      </c>
      <c r="AM897" s="104"/>
      <c r="AN897" s="35">
        <v>0.0</v>
      </c>
      <c r="AO897" s="110"/>
      <c r="AP897" s="35">
        <v>0.0</v>
      </c>
      <c r="AQ897" s="35">
        <v>0.0</v>
      </c>
      <c r="AR897" s="69"/>
      <c r="AS897" s="98">
        <v>0.0</v>
      </c>
      <c r="AT897" s="98">
        <v>0.0</v>
      </c>
      <c r="AU897" s="106" t="s">
        <v>5267</v>
      </c>
      <c r="AV897" s="13"/>
      <c r="AW897" s="13"/>
      <c r="AX897" s="13"/>
      <c r="AY897" s="13"/>
      <c r="AZ897" s="13"/>
      <c r="BA897" s="13"/>
      <c r="BB897" s="13"/>
      <c r="BC897" s="13"/>
      <c r="BD897" s="13"/>
      <c r="BE897" s="13"/>
      <c r="BF897" s="13">
        <f>POW(1000/2,3)</f>
        <v>125000000</v>
      </c>
      <c r="BG897" s="6">
        <v>1.0</v>
      </c>
      <c r="BH897" s="13"/>
      <c r="BI897" s="13">
        <f>POW((1000000/2),3)</f>
        <v>1.25E+17</v>
      </c>
      <c r="BJ897" s="6">
        <v>1.0</v>
      </c>
      <c r="BK897" s="13"/>
      <c r="BL897" s="13">
        <f>POW((1000000000/2),3)</f>
        <v>1.25E+26</v>
      </c>
      <c r="BM897" s="6">
        <v>1.0</v>
      </c>
      <c r="BN897" s="6"/>
      <c r="BO897" s="6">
        <v>3.0</v>
      </c>
      <c r="BP897" s="13"/>
      <c r="BQ897" s="13"/>
      <c r="BR897" s="6" t="s">
        <v>23</v>
      </c>
    </row>
    <row r="898">
      <c r="A898" s="35">
        <v>153.0</v>
      </c>
      <c r="B898" s="35" t="s">
        <v>1021</v>
      </c>
      <c r="C898" s="53">
        <v>0.001</v>
      </c>
      <c r="D898" s="53" t="s">
        <v>1021</v>
      </c>
      <c r="E898" s="7">
        <v>795.0</v>
      </c>
      <c r="F898" s="53"/>
      <c r="G898" s="6"/>
      <c r="H898" s="35">
        <v>1.0</v>
      </c>
      <c r="I898" s="35">
        <v>1.0</v>
      </c>
      <c r="J898" s="69" t="s">
        <v>5254</v>
      </c>
      <c r="K898" s="99"/>
      <c r="L898" s="99"/>
      <c r="M898" s="39" t="str">
        <f t="shared" si="1"/>
        <v>[https://citeseerx.ist.psu.edu/viewdoc/download?doi=10.1.1.585.7341&amp;rep=rep1&amp;type=pdf Kleinberg (1998)]</v>
      </c>
      <c r="N898" s="69" t="s">
        <v>5268</v>
      </c>
      <c r="O898" s="98">
        <v>1998.0</v>
      </c>
      <c r="P898" s="106" t="s">
        <v>5269</v>
      </c>
      <c r="Q898" s="13"/>
      <c r="R898" s="13"/>
      <c r="S898" s="13"/>
      <c r="T898" s="35">
        <v>0.0</v>
      </c>
      <c r="U898" s="35">
        <v>0.0</v>
      </c>
      <c r="V898" s="89">
        <f>IFERROR(__xludf.DUMMYFUNCTION("INDEX(SPLIT(SUBSTITUTE(W898,CHAR(10), """"),"",:""), MATCH(Z898, SPLIT(SUBSTITUTE(W898,CHAR(10), """"),"",:""), 0) + 1)"),7.0)</f>
        <v>7</v>
      </c>
      <c r="W898" s="102" t="s">
        <v>5270</v>
      </c>
      <c r="X898" s="69" t="s">
        <v>5254</v>
      </c>
      <c r="Y898" s="41" t="s">
        <v>5258</v>
      </c>
      <c r="Z898" s="53" t="str">
        <f t="array" ref="Z898">INDEX(Problems!J:J, MATCH(1, (Problems!B:B=B898)*1, 0))</f>
        <v>n</v>
      </c>
      <c r="AA898" s="41"/>
      <c r="AB898" s="41"/>
      <c r="AC898" s="41" t="s">
        <v>1813</v>
      </c>
      <c r="AD898" s="41" t="s">
        <v>1814</v>
      </c>
      <c r="AE898" s="85" t="str">
        <f>IFERROR(__xludf.DUMMYFUNCTION("INDEX(SPLIT(SUBSTITUTE(AF898,CHAR(10), """"),"",:""), MATCH(Z898, SPLIT(SUBSTITUTE(AF898,CHAR(10), """"),"",:""), 0) + 1)"),"#VALUE!")</f>
        <v>#VALUE!</v>
      </c>
      <c r="AF898" s="102"/>
      <c r="AG898" s="41"/>
      <c r="AH898" s="41"/>
      <c r="AI898" s="104"/>
      <c r="AJ898" s="84" t="s">
        <v>2520</v>
      </c>
      <c r="AK898" s="104"/>
      <c r="AL898" s="35">
        <v>0.0</v>
      </c>
      <c r="AM898" s="104"/>
      <c r="AN898" s="35">
        <v>0.0</v>
      </c>
      <c r="AO898" s="110"/>
      <c r="AP898" s="35">
        <v>0.0</v>
      </c>
      <c r="AQ898" s="35">
        <v>0.0</v>
      </c>
      <c r="AR898" s="69"/>
      <c r="AS898" s="98">
        <v>0.0</v>
      </c>
      <c r="AT898" s="98">
        <v>0.0</v>
      </c>
      <c r="AU898" s="69"/>
      <c r="AV898" s="13"/>
      <c r="AW898" s="13"/>
      <c r="AX898" s="13"/>
      <c r="AY898" s="13"/>
      <c r="AZ898" s="13"/>
      <c r="BA898" s="13"/>
      <c r="BB898" s="13"/>
      <c r="BC898" s="13"/>
      <c r="BD898" s="13"/>
      <c r="BE898" s="13"/>
      <c r="BF898" s="13"/>
      <c r="BG898" s="13"/>
      <c r="BH898" s="13"/>
      <c r="BI898" s="13"/>
      <c r="BJ898" s="13"/>
      <c r="BK898" s="13"/>
      <c r="BL898" s="13"/>
      <c r="BM898" s="13"/>
      <c r="BN898" s="6"/>
      <c r="BO898" s="6">
        <v>3.0</v>
      </c>
      <c r="BP898" s="13"/>
      <c r="BQ898" s="13"/>
      <c r="BR898" s="6" t="s">
        <v>23</v>
      </c>
    </row>
    <row r="899">
      <c r="A899" s="35">
        <v>153.0</v>
      </c>
      <c r="B899" s="35" t="s">
        <v>1021</v>
      </c>
      <c r="C899" s="53">
        <v>1.0</v>
      </c>
      <c r="D899" s="53" t="s">
        <v>1021</v>
      </c>
      <c r="E899" s="7">
        <v>796.0</v>
      </c>
      <c r="F899" s="53"/>
      <c r="G899" s="6"/>
      <c r="H899" s="35">
        <v>1.0</v>
      </c>
      <c r="I899" s="35">
        <v>1.0</v>
      </c>
      <c r="J899" s="69" t="s">
        <v>5254</v>
      </c>
      <c r="K899" s="99"/>
      <c r="L899" s="99"/>
      <c r="M899" s="39" t="str">
        <f t="shared" si="1"/>
        <v>[https://dl.acm.org/doi/abs/10.1145/382979.383041 The (Stochastic Approach for Link Structure Analysis) SALSA Algorithm (2000)]</v>
      </c>
      <c r="N899" s="35" t="s">
        <v>5271</v>
      </c>
      <c r="O899" s="98">
        <v>2000.0</v>
      </c>
      <c r="P899" s="106" t="s">
        <v>5272</v>
      </c>
      <c r="Q899" s="13"/>
      <c r="R899" s="13"/>
      <c r="S899" s="13"/>
      <c r="T899" s="35">
        <v>0.0</v>
      </c>
      <c r="U899" s="35">
        <v>0.0</v>
      </c>
      <c r="V899" s="89">
        <f>IFERROR(__xludf.DUMMYFUNCTION("INDEX(SPLIT(SUBSTITUTE(W899,CHAR(10), """"),"",:""), MATCH(Z899, SPLIT(SUBSTITUTE(W899,CHAR(10), """"),"",:""), 0) + 1)"),7.0)</f>
        <v>7</v>
      </c>
      <c r="W899" s="102" t="s">
        <v>5270</v>
      </c>
      <c r="X899" s="69" t="s">
        <v>5254</v>
      </c>
      <c r="Y899" s="41" t="s">
        <v>5258</v>
      </c>
      <c r="Z899" s="53" t="str">
        <f t="array" ref="Z899">INDEX(Problems!J:J, MATCH(1, (Problems!B:B=B899)*1, 0))</f>
        <v>n</v>
      </c>
      <c r="AA899" s="41"/>
      <c r="AB899" s="41"/>
      <c r="AC899" s="41" t="s">
        <v>1813</v>
      </c>
      <c r="AD899" s="41" t="s">
        <v>1814</v>
      </c>
      <c r="AE899" s="85">
        <f>IFERROR(__xludf.DUMMYFUNCTION("INDEX(SPLIT(SUBSTITUTE(AF899,CHAR(10), """"),"",:""), MATCH(Z899, SPLIT(SUBSTITUTE(AF899,CHAR(10), """"),"",:""), 0) + 1)"),3.0)</f>
        <v>3</v>
      </c>
      <c r="AF899" s="102" t="s">
        <v>1763</v>
      </c>
      <c r="AG899" s="41" t="s">
        <v>2625</v>
      </c>
      <c r="AH899" s="41" t="s">
        <v>5273</v>
      </c>
      <c r="AI899" s="104">
        <v>1.0</v>
      </c>
      <c r="AJ899" s="84">
        <v>0.0</v>
      </c>
      <c r="AK899" s="104"/>
      <c r="AL899" s="35">
        <v>0.0</v>
      </c>
      <c r="AM899" s="104"/>
      <c r="AN899" s="35">
        <v>0.0</v>
      </c>
      <c r="AO899" s="110"/>
      <c r="AP899" s="35">
        <v>0.0</v>
      </c>
      <c r="AQ899" s="35">
        <v>0.0</v>
      </c>
      <c r="AR899" s="69"/>
      <c r="AS899" s="98">
        <v>0.0</v>
      </c>
      <c r="AT899" s="98">
        <v>0.0</v>
      </c>
      <c r="AU899" s="69"/>
      <c r="AV899" s="13"/>
      <c r="AW899" s="13"/>
      <c r="AX899" s="13"/>
      <c r="AY899" s="13"/>
      <c r="AZ899" s="13"/>
      <c r="BA899" s="13"/>
      <c r="BB899" s="13"/>
      <c r="BC899" s="13"/>
      <c r="BD899" s="13"/>
      <c r="BE899" s="13"/>
      <c r="BF899" s="13"/>
      <c r="BG899" s="13"/>
      <c r="BH899" s="13"/>
      <c r="BI899" s="13"/>
      <c r="BJ899" s="13"/>
      <c r="BK899" s="13"/>
      <c r="BL899" s="13"/>
      <c r="BM899" s="13"/>
      <c r="BN899" s="6"/>
      <c r="BO899" s="6">
        <v>3.0</v>
      </c>
      <c r="BP899" s="13"/>
      <c r="BQ899" s="13"/>
      <c r="BR899" s="6" t="s">
        <v>23</v>
      </c>
    </row>
    <row r="900">
      <c r="A900" s="35">
        <v>153.0</v>
      </c>
      <c r="B900" s="35" t="s">
        <v>1021</v>
      </c>
      <c r="C900" s="53">
        <v>1.0</v>
      </c>
      <c r="D900" s="53" t="s">
        <v>1021</v>
      </c>
      <c r="E900" s="7">
        <v>797.0</v>
      </c>
      <c r="F900" s="53"/>
      <c r="G900" s="6"/>
      <c r="H900" s="35">
        <v>1.0</v>
      </c>
      <c r="I900" s="35">
        <v>1.0</v>
      </c>
      <c r="J900" s="69" t="s">
        <v>5274</v>
      </c>
      <c r="K900" s="99"/>
      <c r="L900" s="99"/>
      <c r="M900" s="39" t="str">
        <f t="shared" si="1"/>
        <v>[https://dl.acm.org/doi/pdf/10.1145/383952.384003 Randomized HITS (2001)]</v>
      </c>
      <c r="N900" s="69" t="s">
        <v>5275</v>
      </c>
      <c r="O900" s="98">
        <v>2001.0</v>
      </c>
      <c r="P900" s="177" t="s">
        <v>5276</v>
      </c>
      <c r="Q900" s="13"/>
      <c r="R900" s="13"/>
      <c r="S900" s="13"/>
      <c r="T900" s="35">
        <v>0.0</v>
      </c>
      <c r="U900" s="35">
        <v>0.0</v>
      </c>
      <c r="V900" s="89">
        <f>IFERROR(__xludf.DUMMYFUNCTION("INDEX(SPLIT(SUBSTITUTE(W900,CHAR(10), """"),"",:""), MATCH(Z900, SPLIT(SUBSTITUTE(W900,CHAR(10), """"),"",:""), 0) + 1)"),6.01)</f>
        <v>6.01</v>
      </c>
      <c r="W900" s="102" t="s">
        <v>5277</v>
      </c>
      <c r="X900" s="35" t="s">
        <v>5278</v>
      </c>
      <c r="Y900" s="41" t="s">
        <v>5258</v>
      </c>
      <c r="Z900" s="53" t="str">
        <f t="array" ref="Z900">INDEX(Problems!J:J, MATCH(1, (Problems!B:B=B900)*1, 0))</f>
        <v>n</v>
      </c>
      <c r="AA900" s="41"/>
      <c r="AB900" s="41"/>
      <c r="AC900" s="41" t="s">
        <v>1813</v>
      </c>
      <c r="AD900" s="41" t="s">
        <v>1814</v>
      </c>
      <c r="AE900" s="85">
        <f>IFERROR(__xludf.DUMMYFUNCTION("INDEX(SPLIT(SUBSTITUTE(AF900,CHAR(10), """"),"",:""), MATCH(Z900, SPLIT(SUBSTITUTE(AF900,CHAR(10), """"),"",:""), 0) + 1)"),3.0)</f>
        <v>3</v>
      </c>
      <c r="AF900" s="102" t="s">
        <v>1763</v>
      </c>
      <c r="AG900" s="41" t="s">
        <v>35</v>
      </c>
      <c r="AH900" s="41" t="s">
        <v>5266</v>
      </c>
      <c r="AI900" s="104">
        <v>1.0</v>
      </c>
      <c r="AJ900" s="84">
        <v>0.0</v>
      </c>
      <c r="AK900" s="104"/>
      <c r="AL900" s="35">
        <v>0.0</v>
      </c>
      <c r="AM900" s="104"/>
      <c r="AN900" s="35">
        <v>0.0</v>
      </c>
      <c r="AO900" s="110"/>
      <c r="AP900" s="35">
        <v>0.0</v>
      </c>
      <c r="AQ900" s="35">
        <v>0.0</v>
      </c>
      <c r="AR900" s="69"/>
      <c r="AS900" s="98">
        <v>0.0</v>
      </c>
      <c r="AT900" s="98">
        <v>0.0</v>
      </c>
      <c r="AU900" s="69"/>
      <c r="AV900" s="13"/>
      <c r="AW900" s="13"/>
      <c r="AX900" s="13"/>
      <c r="AY900" s="13"/>
      <c r="AZ900" s="13"/>
      <c r="BA900" s="13"/>
      <c r="BB900" s="13"/>
      <c r="BC900" s="13"/>
      <c r="BD900" s="13"/>
      <c r="BE900" s="13"/>
      <c r="BF900" s="13"/>
      <c r="BG900" s="13"/>
      <c r="BH900" s="13"/>
      <c r="BI900" s="13"/>
      <c r="BJ900" s="13"/>
      <c r="BK900" s="13"/>
      <c r="BL900" s="13"/>
      <c r="BM900" s="13"/>
      <c r="BN900" s="6"/>
      <c r="BO900" s="6">
        <v>3.0</v>
      </c>
      <c r="BP900" s="13"/>
      <c r="BQ900" s="13"/>
      <c r="BR900" s="6" t="s">
        <v>23</v>
      </c>
    </row>
    <row r="901">
      <c r="A901" s="35">
        <v>153.0</v>
      </c>
      <c r="B901" s="35" t="s">
        <v>1021</v>
      </c>
      <c r="C901" s="53">
        <v>1.0</v>
      </c>
      <c r="D901" s="53" t="s">
        <v>1021</v>
      </c>
      <c r="E901" s="7">
        <v>798.0</v>
      </c>
      <c r="F901" s="53"/>
      <c r="G901" s="6"/>
      <c r="H901" s="35">
        <v>1.0</v>
      </c>
      <c r="I901" s="35">
        <v>1.0</v>
      </c>
      <c r="J901" s="173" t="s">
        <v>5260</v>
      </c>
      <c r="K901" s="99"/>
      <c r="L901" s="99"/>
      <c r="M901" s="39" t="str">
        <f t="shared" si="1"/>
        <v>[http://web.cse.msu.edu/~cse960/Papers/LinkAnalysis/phits.pdf PHITS Coheng Chan (2000)]</v>
      </c>
      <c r="N901" s="69" t="s">
        <v>5279</v>
      </c>
      <c r="O901" s="98">
        <v>2000.0</v>
      </c>
      <c r="P901" s="112" t="s">
        <v>5280</v>
      </c>
      <c r="Q901" s="13"/>
      <c r="R901" s="13"/>
      <c r="S901" s="13"/>
      <c r="T901" s="35">
        <v>0.0</v>
      </c>
      <c r="U901" s="35">
        <v>0.0</v>
      </c>
      <c r="V901" s="89">
        <f>IFERROR(__xludf.DUMMYFUNCTION("INDEX(SPLIT(SUBSTITUTE(W901,CHAR(10), """"),"",:""), MATCH(Z901, SPLIT(SUBSTITUTE(W901,CHAR(10), """"),"",:""), 0) + 1)"),6.0)</f>
        <v>6</v>
      </c>
      <c r="W901" s="102" t="s">
        <v>5257</v>
      </c>
      <c r="X901" s="173" t="s">
        <v>5260</v>
      </c>
      <c r="Y901" s="41" t="s">
        <v>5281</v>
      </c>
      <c r="Z901" s="53" t="str">
        <f t="array" ref="Z901">INDEX(Problems!J:J, MATCH(1, (Problems!B:B=B901)*1, 0))</f>
        <v>n</v>
      </c>
      <c r="AA901" s="41"/>
      <c r="AB901" s="41"/>
      <c r="AC901" s="41" t="s">
        <v>1813</v>
      </c>
      <c r="AD901" s="41" t="s">
        <v>1814</v>
      </c>
      <c r="AE901" s="85">
        <f>IFERROR(__xludf.DUMMYFUNCTION("INDEX(SPLIT(SUBSTITUTE(AF901,CHAR(10), """"),"",:""), MATCH(Z901, SPLIT(SUBSTITUTE(AF901,CHAR(10), """"),"",:""), 0) + 1)"),3.0)</f>
        <v>3</v>
      </c>
      <c r="AF901" s="102" t="s">
        <v>5282</v>
      </c>
      <c r="AG901" s="41" t="s">
        <v>5283</v>
      </c>
      <c r="AH901" s="41" t="s">
        <v>5284</v>
      </c>
      <c r="AI901" s="104">
        <v>1.0</v>
      </c>
      <c r="AJ901" s="84">
        <v>0.0</v>
      </c>
      <c r="AK901" s="104"/>
      <c r="AL901" s="35">
        <v>0.0</v>
      </c>
      <c r="AM901" s="104"/>
      <c r="AN901" s="35">
        <v>0.0</v>
      </c>
      <c r="AO901" s="110"/>
      <c r="AP901" s="35">
        <v>0.0</v>
      </c>
      <c r="AQ901" s="35">
        <v>0.0</v>
      </c>
      <c r="AR901" s="69"/>
      <c r="AS901" s="98">
        <v>0.0</v>
      </c>
      <c r="AT901" s="98">
        <v>0.0</v>
      </c>
      <c r="AU901" s="69"/>
      <c r="AV901" s="13"/>
      <c r="AW901" s="13"/>
      <c r="AX901" s="13"/>
      <c r="AY901" s="13"/>
      <c r="AZ901" s="13"/>
      <c r="BA901" s="13"/>
      <c r="BB901" s="13"/>
      <c r="BC901" s="13"/>
      <c r="BD901" s="13"/>
      <c r="BE901" s="13"/>
      <c r="BF901" s="13"/>
      <c r="BG901" s="13"/>
      <c r="BH901" s="13"/>
      <c r="BI901" s="13"/>
      <c r="BJ901" s="13"/>
      <c r="BK901" s="13"/>
      <c r="BL901" s="13"/>
      <c r="BM901" s="13"/>
      <c r="BN901" s="6"/>
      <c r="BO901" s="6">
        <v>3.0</v>
      </c>
      <c r="BP901" s="13"/>
      <c r="BQ901" s="13"/>
      <c r="BR901" s="6" t="s">
        <v>23</v>
      </c>
    </row>
    <row r="902">
      <c r="A902" s="35">
        <v>153.0</v>
      </c>
      <c r="B902" s="35" t="s">
        <v>1021</v>
      </c>
      <c r="C902" s="53">
        <v>1.0</v>
      </c>
      <c r="D902" s="53" t="s">
        <v>1021</v>
      </c>
      <c r="E902" s="7">
        <v>799.0</v>
      </c>
      <c r="F902" s="53" t="s">
        <v>5285</v>
      </c>
      <c r="G902" s="6"/>
      <c r="H902" s="35">
        <v>1.0</v>
      </c>
      <c r="I902" s="35">
        <v>1.0</v>
      </c>
      <c r="J902" s="173" t="s">
        <v>5260</v>
      </c>
      <c r="K902" s="99"/>
      <c r="L902" s="99"/>
      <c r="M902" s="39" t="str">
        <f t="shared" si="1"/>
        <v>[http://www-cs-students.stanford.edu/~taherh/papers/topic-sensitive-pagerank.pdf Haveliwala (2002)]</v>
      </c>
      <c r="N902" s="35" t="s">
        <v>5286</v>
      </c>
      <c r="O902" s="98">
        <v>2002.0</v>
      </c>
      <c r="P902" s="112" t="s">
        <v>5287</v>
      </c>
      <c r="Q902" s="13"/>
      <c r="R902" s="13"/>
      <c r="S902" s="13"/>
      <c r="T902" s="35">
        <v>0.0</v>
      </c>
      <c r="U902" s="35">
        <v>0.0</v>
      </c>
      <c r="V902" s="89">
        <f>IFERROR(__xludf.DUMMYFUNCTION("INDEX(SPLIT(SUBSTITUTE(W902,CHAR(10), """"),"",:""), MATCH(Z902, SPLIT(SUBSTITUTE(W902,CHAR(10), """"),"",:""), 0) + 1)"),6.0)</f>
        <v>6</v>
      </c>
      <c r="W902" s="102" t="s">
        <v>5257</v>
      </c>
      <c r="X902" s="173" t="s">
        <v>5260</v>
      </c>
      <c r="Y902" s="41" t="s">
        <v>5281</v>
      </c>
      <c r="Z902" s="53" t="str">
        <f t="array" ref="Z902">INDEX(Problems!J:J, MATCH(1, (Problems!B:B=B902)*1, 0))</f>
        <v>n</v>
      </c>
      <c r="AA902" s="41"/>
      <c r="AB902" s="41"/>
      <c r="AC902" s="41" t="s">
        <v>1813</v>
      </c>
      <c r="AD902" s="41" t="s">
        <v>1814</v>
      </c>
      <c r="AE902" s="85">
        <f>IFERROR(__xludf.DUMMYFUNCTION("INDEX(SPLIT(SUBSTITUTE(AF902,CHAR(10), """"),"",:""), MATCH(Z902, SPLIT(SUBSTITUTE(AF902,CHAR(10), """"),"",:""), 0) + 1)"),3.0)</f>
        <v>3</v>
      </c>
      <c r="AF902" s="102" t="s">
        <v>5282</v>
      </c>
      <c r="AG902" s="41" t="s">
        <v>5283</v>
      </c>
      <c r="AH902" s="41" t="s">
        <v>5288</v>
      </c>
      <c r="AI902" s="104">
        <v>1.0</v>
      </c>
      <c r="AJ902" s="84">
        <v>0.0</v>
      </c>
      <c r="AK902" s="104"/>
      <c r="AL902" s="35">
        <v>0.0</v>
      </c>
      <c r="AM902" s="104"/>
      <c r="AN902" s="35">
        <v>0.0</v>
      </c>
      <c r="AO902" s="110"/>
      <c r="AP902" s="35">
        <v>0.0</v>
      </c>
      <c r="AQ902" s="35">
        <v>0.0</v>
      </c>
      <c r="AR902" s="69"/>
      <c r="AS902" s="98">
        <v>0.0</v>
      </c>
      <c r="AT902" s="98">
        <v>0.0</v>
      </c>
      <c r="AU902" s="69"/>
      <c r="AV902" s="13"/>
      <c r="AW902" s="13"/>
      <c r="AX902" s="13"/>
      <c r="AY902" s="13"/>
      <c r="AZ902" s="13"/>
      <c r="BA902" s="13"/>
      <c r="BB902" s="13"/>
      <c r="BC902" s="13"/>
      <c r="BD902" s="13"/>
      <c r="BE902" s="13"/>
      <c r="BF902" s="13"/>
      <c r="BG902" s="13"/>
      <c r="BH902" s="13"/>
      <c r="BI902" s="13"/>
      <c r="BJ902" s="13"/>
      <c r="BK902" s="13"/>
      <c r="BL902" s="13"/>
      <c r="BM902" s="13"/>
      <c r="BN902" s="6"/>
      <c r="BO902" s="6">
        <v>3.0</v>
      </c>
      <c r="BP902" s="13"/>
      <c r="BQ902" s="13"/>
      <c r="BR902" s="6" t="s">
        <v>23</v>
      </c>
    </row>
    <row r="903">
      <c r="A903" s="35">
        <v>153.0</v>
      </c>
      <c r="B903" s="35" t="s">
        <v>1021</v>
      </c>
      <c r="C903" s="53">
        <v>1.0</v>
      </c>
      <c r="D903" s="53" t="s">
        <v>1021</v>
      </c>
      <c r="E903" s="7">
        <v>800.0</v>
      </c>
      <c r="F903" s="53" t="s">
        <v>5289</v>
      </c>
      <c r="G903" s="6"/>
      <c r="H903" s="35">
        <v>1.0</v>
      </c>
      <c r="I903" s="35">
        <v>1.0</v>
      </c>
      <c r="J903" s="173" t="s">
        <v>5260</v>
      </c>
      <c r="K903" s="99"/>
      <c r="L903" s="99"/>
      <c r="M903" s="39" t="str">
        <f t="shared" si="1"/>
        <v>[http://infolab.stanford.edu/~glenj/spws.pdf Jeh and Widom (2003)]</v>
      </c>
      <c r="N903" s="35" t="s">
        <v>5290</v>
      </c>
      <c r="O903" s="98">
        <v>2003.0</v>
      </c>
      <c r="P903" s="112" t="s">
        <v>5291</v>
      </c>
      <c r="Q903" s="13"/>
      <c r="R903" s="13"/>
      <c r="S903" s="13"/>
      <c r="T903" s="35">
        <v>0.0</v>
      </c>
      <c r="U903" s="35">
        <v>0.0</v>
      </c>
      <c r="V903" s="89">
        <f>IFERROR(__xludf.DUMMYFUNCTION("INDEX(SPLIT(SUBSTITUTE(W903,CHAR(10), """"),"",:""), MATCH(Z903, SPLIT(SUBSTITUTE(W903,CHAR(10), """"),"",:""), 0) + 1)"),6.0)</f>
        <v>6</v>
      </c>
      <c r="W903" s="102" t="s">
        <v>5257</v>
      </c>
      <c r="X903" s="173" t="s">
        <v>5260</v>
      </c>
      <c r="Y903" s="41" t="s">
        <v>5292</v>
      </c>
      <c r="Z903" s="53" t="str">
        <f t="array" ref="Z903">INDEX(Problems!J:J, MATCH(1, (Problems!B:B=B903)*1, 0))</f>
        <v>n</v>
      </c>
      <c r="AA903" s="41"/>
      <c r="AB903" s="41"/>
      <c r="AC903" s="41" t="s">
        <v>1813</v>
      </c>
      <c r="AD903" s="41" t="s">
        <v>1814</v>
      </c>
      <c r="AE903" s="85">
        <f>IFERROR(__xludf.DUMMYFUNCTION("INDEX(SPLIT(SUBSTITUTE(AF903,CHAR(10), """"),"",:""), MATCH(Z903, SPLIT(SUBSTITUTE(AF903,CHAR(10), """"),"",:""), 0) + 1)"),3.0)</f>
        <v>3</v>
      </c>
      <c r="AF903" s="102" t="s">
        <v>2169</v>
      </c>
      <c r="AG903" s="41" t="s">
        <v>2166</v>
      </c>
      <c r="AH903" s="41" t="s">
        <v>5293</v>
      </c>
      <c r="AI903" s="104">
        <v>1.0</v>
      </c>
      <c r="AJ903" s="84">
        <v>0.0</v>
      </c>
      <c r="AK903" s="104"/>
      <c r="AL903" s="35">
        <v>0.0</v>
      </c>
      <c r="AM903" s="104"/>
      <c r="AN903" s="35">
        <v>0.0</v>
      </c>
      <c r="AO903" s="110"/>
      <c r="AP903" s="35">
        <v>0.0</v>
      </c>
      <c r="AQ903" s="35">
        <v>0.0</v>
      </c>
      <c r="AR903" s="69"/>
      <c r="AS903" s="98">
        <v>0.0</v>
      </c>
      <c r="AT903" s="98">
        <v>0.0</v>
      </c>
      <c r="AU903" s="69"/>
      <c r="AV903" s="13"/>
      <c r="AW903" s="13"/>
      <c r="AX903" s="13"/>
      <c r="AY903" s="13"/>
      <c r="AZ903" s="13"/>
      <c r="BA903" s="13"/>
      <c r="BB903" s="13"/>
      <c r="BC903" s="13"/>
      <c r="BD903" s="13"/>
      <c r="BE903" s="13"/>
      <c r="BF903" s="13"/>
      <c r="BG903" s="13"/>
      <c r="BH903" s="13"/>
      <c r="BI903" s="13"/>
      <c r="BJ903" s="13"/>
      <c r="BK903" s="13"/>
      <c r="BL903" s="13"/>
      <c r="BM903" s="13"/>
      <c r="BN903" s="6"/>
      <c r="BO903" s="6">
        <v>3.0</v>
      </c>
      <c r="BP903" s="13"/>
      <c r="BQ903" s="13"/>
      <c r="BR903" s="6" t="s">
        <v>23</v>
      </c>
    </row>
    <row r="904">
      <c r="A904" s="35">
        <v>153.0</v>
      </c>
      <c r="B904" s="35" t="s">
        <v>1021</v>
      </c>
      <c r="C904" s="53">
        <v>1.0</v>
      </c>
      <c r="D904" s="53" t="s">
        <v>1021</v>
      </c>
      <c r="E904" s="7">
        <v>801.0</v>
      </c>
      <c r="F904" s="53" t="s">
        <v>5294</v>
      </c>
      <c r="G904" s="6"/>
      <c r="H904" s="35">
        <v>1.0</v>
      </c>
      <c r="I904" s="35">
        <v>1.0</v>
      </c>
      <c r="J904" s="173" t="s">
        <v>5260</v>
      </c>
      <c r="K904" s="99"/>
      <c r="L904" s="99"/>
      <c r="M904" s="39" t="str">
        <f t="shared" si="1"/>
        <v>[https://homes.cs.washington.edu/~pedrod/papers/nips01b.pdf  Richardson and Domingos (2002)]</v>
      </c>
      <c r="N904" s="35" t="s">
        <v>5295</v>
      </c>
      <c r="O904" s="98">
        <v>2002.0</v>
      </c>
      <c r="P904" s="112" t="s">
        <v>5296</v>
      </c>
      <c r="Q904" s="13"/>
      <c r="R904" s="13"/>
      <c r="S904" s="13"/>
      <c r="T904" s="35">
        <v>0.0</v>
      </c>
      <c r="U904" s="35">
        <v>0.0</v>
      </c>
      <c r="V904" s="89">
        <f>IFERROR(__xludf.DUMMYFUNCTION("INDEX(SPLIT(SUBSTITUTE(W904,CHAR(10), """"),"",:""), MATCH(Z904, SPLIT(SUBSTITUTE(W904,CHAR(10), """"),"",:""), 0) + 1)"),6.0)</f>
        <v>6</v>
      </c>
      <c r="W904" s="102" t="s">
        <v>5257</v>
      </c>
      <c r="X904" s="173" t="s">
        <v>5260</v>
      </c>
      <c r="Y904" s="41" t="s">
        <v>5297</v>
      </c>
      <c r="Z904" s="53" t="str">
        <f t="array" ref="Z904">INDEX(Problems!J:J, MATCH(1, (Problems!B:B=B904)*1, 0))</f>
        <v>n</v>
      </c>
      <c r="AA904" s="41"/>
      <c r="AB904" s="41"/>
      <c r="AC904" s="41" t="s">
        <v>1813</v>
      </c>
      <c r="AD904" s="41" t="s">
        <v>1814</v>
      </c>
      <c r="AE904" s="85">
        <f>IFERROR(__xludf.DUMMYFUNCTION("INDEX(SPLIT(SUBSTITUTE(AF904,CHAR(10), """"),"",:""), MATCH(Z904, SPLIT(SUBSTITUTE(AF904,CHAR(10), """"),"",:""), 0) + 1)"),3.0)</f>
        <v>3</v>
      </c>
      <c r="AF904" s="102" t="s">
        <v>5298</v>
      </c>
      <c r="AG904" s="41" t="s">
        <v>5299</v>
      </c>
      <c r="AH904" s="41" t="s">
        <v>5300</v>
      </c>
      <c r="AI904" s="104">
        <v>0.0</v>
      </c>
      <c r="AJ904" s="84">
        <v>1.0</v>
      </c>
      <c r="AK904" s="104"/>
      <c r="AL904" s="35">
        <v>0.0</v>
      </c>
      <c r="AM904" s="104"/>
      <c r="AN904" s="35">
        <v>0.0</v>
      </c>
      <c r="AO904" s="110"/>
      <c r="AP904" s="35">
        <v>0.0</v>
      </c>
      <c r="AQ904" s="35">
        <v>0.0</v>
      </c>
      <c r="AR904" s="69"/>
      <c r="AS904" s="98">
        <v>0.0</v>
      </c>
      <c r="AT904" s="98">
        <v>0.0</v>
      </c>
      <c r="AU904" s="69"/>
      <c r="AV904" s="13"/>
      <c r="AW904" s="13"/>
      <c r="AX904" s="13"/>
      <c r="AY904" s="13"/>
      <c r="AZ904" s="13"/>
      <c r="BA904" s="13"/>
      <c r="BB904" s="13"/>
      <c r="BC904" s="13"/>
      <c r="BD904" s="13"/>
      <c r="BE904" s="13"/>
      <c r="BF904" s="13"/>
      <c r="BG904" s="13"/>
      <c r="BH904" s="13"/>
      <c r="BI904" s="13"/>
      <c r="BJ904" s="13"/>
      <c r="BK904" s="13"/>
      <c r="BL904" s="13"/>
      <c r="BM904" s="13"/>
      <c r="BN904" s="6"/>
      <c r="BO904" s="6">
        <v>3.0</v>
      </c>
      <c r="BP904" s="13"/>
      <c r="BQ904" s="13"/>
      <c r="BR904" s="6" t="s">
        <v>23</v>
      </c>
    </row>
    <row r="905">
      <c r="A905" s="35">
        <v>153.0</v>
      </c>
      <c r="B905" s="35" t="s">
        <v>1021</v>
      </c>
      <c r="C905" s="53">
        <v>1.0</v>
      </c>
      <c r="D905" s="53" t="s">
        <v>1021</v>
      </c>
      <c r="E905" s="7">
        <v>802.0</v>
      </c>
      <c r="F905" s="53"/>
      <c r="G905" s="6"/>
      <c r="H905" s="35">
        <v>1.0</v>
      </c>
      <c r="I905" s="35">
        <v>1.0</v>
      </c>
      <c r="J905" s="173" t="s">
        <v>5260</v>
      </c>
      <c r="K905" s="99"/>
      <c r="L905" s="99"/>
      <c r="M905" s="39" t="str">
        <f t="shared" si="1"/>
        <v>[https://dl.acm.org/doi/10.1145/775152.775202 Tomlin (2003)]</v>
      </c>
      <c r="N905" s="35" t="s">
        <v>5301</v>
      </c>
      <c r="O905" s="98">
        <v>2003.0</v>
      </c>
      <c r="P905" s="112" t="s">
        <v>5302</v>
      </c>
      <c r="Q905" s="13"/>
      <c r="R905" s="13"/>
      <c r="S905" s="13"/>
      <c r="T905" s="35">
        <v>0.0</v>
      </c>
      <c r="U905" s="35">
        <v>0.0</v>
      </c>
      <c r="V905" s="89">
        <f>IFERROR(__xludf.DUMMYFUNCTION("INDEX(SPLIT(SUBSTITUTE(W905,CHAR(10), """"),"",:""), MATCH(Z905, SPLIT(SUBSTITUTE(W905,CHAR(10), """"),"",:""), 0) + 1)"),6.0)</f>
        <v>6</v>
      </c>
      <c r="W905" s="102" t="s">
        <v>5257</v>
      </c>
      <c r="X905" s="173" t="s">
        <v>5260</v>
      </c>
      <c r="Y905" s="41" t="s">
        <v>5303</v>
      </c>
      <c r="Z905" s="53" t="str">
        <f t="array" ref="Z905">INDEX(Problems!J:J, MATCH(1, (Problems!B:B=B905)*1, 0))</f>
        <v>n</v>
      </c>
      <c r="AA905" s="41"/>
      <c r="AB905" s="41"/>
      <c r="AC905" s="41" t="s">
        <v>1813</v>
      </c>
      <c r="AD905" s="41" t="s">
        <v>1814</v>
      </c>
      <c r="AE905" s="85">
        <f>IFERROR(__xludf.DUMMYFUNCTION("INDEX(SPLIT(SUBSTITUTE(AF905,CHAR(10), """"),"",:""), MATCH(Z905, SPLIT(SUBSTITUTE(AF905,CHAR(10), """"),"",:""), 0) + 1)"),3.0)</f>
        <v>3</v>
      </c>
      <c r="AF905" s="102" t="s">
        <v>1763</v>
      </c>
      <c r="AG905" s="41" t="s">
        <v>2625</v>
      </c>
      <c r="AH905" s="41" t="s">
        <v>5304</v>
      </c>
      <c r="AI905" s="104">
        <v>1.0</v>
      </c>
      <c r="AJ905" s="84">
        <v>0.0</v>
      </c>
      <c r="AK905" s="104"/>
      <c r="AL905" s="35">
        <v>0.0</v>
      </c>
      <c r="AM905" s="104"/>
      <c r="AN905" s="35">
        <v>0.0</v>
      </c>
      <c r="AO905" s="110"/>
      <c r="AP905" s="35">
        <v>0.0</v>
      </c>
      <c r="AQ905" s="35">
        <v>0.0</v>
      </c>
      <c r="AR905" s="69"/>
      <c r="AS905" s="98">
        <v>0.0</v>
      </c>
      <c r="AT905" s="98">
        <v>0.0</v>
      </c>
      <c r="AU905" s="69"/>
      <c r="AV905" s="13"/>
      <c r="AW905" s="13"/>
      <c r="AX905" s="13"/>
      <c r="AY905" s="13"/>
      <c r="AZ905" s="13"/>
      <c r="BA905" s="13"/>
      <c r="BB905" s="13"/>
      <c r="BC905" s="13"/>
      <c r="BD905" s="13"/>
      <c r="BE905" s="13"/>
      <c r="BF905" s="13"/>
      <c r="BG905" s="13"/>
      <c r="BH905" s="13"/>
      <c r="BI905" s="13"/>
      <c r="BJ905" s="13"/>
      <c r="BK905" s="13"/>
      <c r="BL905" s="13"/>
      <c r="BM905" s="13"/>
      <c r="BN905" s="6"/>
      <c r="BO905" s="6">
        <v>3.0</v>
      </c>
      <c r="BP905" s="13"/>
      <c r="BQ905" s="13"/>
      <c r="BR905" s="6" t="s">
        <v>23</v>
      </c>
    </row>
    <row r="906">
      <c r="A906" s="35">
        <v>153.0</v>
      </c>
      <c r="B906" s="35" t="s">
        <v>1021</v>
      </c>
      <c r="C906" s="53">
        <v>1.0</v>
      </c>
      <c r="D906" s="53" t="s">
        <v>1021</v>
      </c>
      <c r="E906" s="7">
        <v>803.0</v>
      </c>
      <c r="F906" s="53"/>
      <c r="G906" s="6"/>
      <c r="H906" s="35">
        <v>1.0</v>
      </c>
      <c r="I906" s="35">
        <v>1.0</v>
      </c>
      <c r="J906" s="173" t="s">
        <v>5305</v>
      </c>
      <c r="K906" s="99"/>
      <c r="L906" s="99"/>
      <c r="M906" s="39" t="str">
        <f t="shared" si="1"/>
        <v>[https://homes.cs.washington.edu/~karlin/papers/web-search.pdf Achlioptas (2001)]</v>
      </c>
      <c r="N906" s="35" t="s">
        <v>5306</v>
      </c>
      <c r="O906" s="98">
        <v>2001.0</v>
      </c>
      <c r="P906" s="112" t="s">
        <v>5307</v>
      </c>
      <c r="Q906" s="13"/>
      <c r="R906" s="13"/>
      <c r="S906" s="13"/>
      <c r="T906" s="35">
        <v>0.0</v>
      </c>
      <c r="U906" s="35">
        <v>0.0</v>
      </c>
      <c r="V906" s="89">
        <f>IFERROR(__xludf.DUMMYFUNCTION("INDEX(SPLIT(SUBSTITUTE(W906,CHAR(10), """"),"",:""), MATCH(Z906, SPLIT(SUBSTITUTE(W906,CHAR(10), """"),"",:""), 0) + 1)"),6.0)</f>
        <v>6</v>
      </c>
      <c r="W906" s="102" t="s">
        <v>5257</v>
      </c>
      <c r="X906" s="173" t="s">
        <v>5305</v>
      </c>
      <c r="Y906" s="41" t="s">
        <v>5308</v>
      </c>
      <c r="Z906" s="53" t="str">
        <f t="array" ref="Z906">INDEX(Problems!J:J, MATCH(1, (Problems!B:B=B906)*1, 0))</f>
        <v>n</v>
      </c>
      <c r="AA906" s="41"/>
      <c r="AB906" s="41"/>
      <c r="AC906" s="41" t="s">
        <v>1813</v>
      </c>
      <c r="AD906" s="41" t="s">
        <v>1814</v>
      </c>
      <c r="AE906" s="85">
        <f>IFERROR(__xludf.DUMMYFUNCTION("INDEX(SPLIT(SUBSTITUTE(AF906,CHAR(10), """"),"",:""), MATCH(Z906, SPLIT(SUBSTITUTE(AF906,CHAR(10), """"),"",:""), 0) + 1)"),5.0)</f>
        <v>5</v>
      </c>
      <c r="AF906" s="102" t="s">
        <v>5309</v>
      </c>
      <c r="AG906" s="41" t="s">
        <v>5310</v>
      </c>
      <c r="AH906" s="41" t="s">
        <v>5311</v>
      </c>
      <c r="AI906" s="104">
        <v>1.0</v>
      </c>
      <c r="AJ906" s="84">
        <v>0.0</v>
      </c>
      <c r="AK906" s="104"/>
      <c r="AL906" s="35">
        <v>0.0</v>
      </c>
      <c r="AM906" s="104"/>
      <c r="AN906" s="35">
        <v>0.0</v>
      </c>
      <c r="AO906" s="110"/>
      <c r="AP906" s="35">
        <v>0.0</v>
      </c>
      <c r="AQ906" s="35">
        <v>0.0</v>
      </c>
      <c r="AR906" s="69"/>
      <c r="AS906" s="98">
        <v>0.0</v>
      </c>
      <c r="AT906" s="98">
        <v>0.0</v>
      </c>
      <c r="AU906" s="69"/>
      <c r="AV906" s="13"/>
      <c r="AW906" s="13"/>
      <c r="AX906" s="13"/>
      <c r="AY906" s="13"/>
      <c r="AZ906" s="13"/>
      <c r="BA906" s="13"/>
      <c r="BB906" s="13"/>
      <c r="BC906" s="13"/>
      <c r="BD906" s="13"/>
      <c r="BE906" s="13"/>
      <c r="BF906" s="13"/>
      <c r="BG906" s="13"/>
      <c r="BH906" s="13"/>
      <c r="BI906" s="13"/>
      <c r="BJ906" s="13"/>
      <c r="BK906" s="13"/>
      <c r="BL906" s="13"/>
      <c r="BM906" s="13"/>
      <c r="BN906" s="6"/>
      <c r="BO906" s="6">
        <v>3.0</v>
      </c>
      <c r="BP906" s="13"/>
      <c r="BQ906" s="13"/>
      <c r="BR906" s="6" t="s">
        <v>23</v>
      </c>
    </row>
    <row r="907">
      <c r="A907" s="35">
        <v>103.0</v>
      </c>
      <c r="B907" s="35" t="s">
        <v>1035</v>
      </c>
      <c r="C907" s="53">
        <v>1.0</v>
      </c>
      <c r="D907" s="53" t="s">
        <v>1035</v>
      </c>
      <c r="E907" s="7">
        <v>805.0</v>
      </c>
      <c r="F907" s="53"/>
      <c r="G907" s="6">
        <v>0.0</v>
      </c>
      <c r="H907" s="35">
        <v>1.0</v>
      </c>
      <c r="I907" s="98">
        <v>1.0</v>
      </c>
      <c r="J907" s="173" t="s">
        <v>35</v>
      </c>
      <c r="K907" s="99"/>
      <c r="L907" s="99"/>
      <c r="M907" s="39" t="str">
        <f t="shared" si="1"/>
        <v>[https://web.stanford.edu/class/cs240/readings/89-leases.pdf Leases (Cary G Gray and David R Cheriton) (1989)]</v>
      </c>
      <c r="N907" s="35" t="s">
        <v>5312</v>
      </c>
      <c r="O907" s="98">
        <v>1989.0</v>
      </c>
      <c r="P907" s="100" t="s">
        <v>5313</v>
      </c>
      <c r="Q907" s="6">
        <v>2.0</v>
      </c>
      <c r="R907" s="6">
        <v>0.0</v>
      </c>
      <c r="S907" s="18" t="s">
        <v>5313</v>
      </c>
      <c r="T907" s="98">
        <v>1.0</v>
      </c>
      <c r="U907" s="111">
        <v>0.0</v>
      </c>
      <c r="V907" s="89">
        <f>IFERROR(__xludf.DUMMYFUNCTION("INDEX(SPLIT(SUBSTITUTE(W907,CHAR(10), """"),"",:""), MATCH(Z907, SPLIT(SUBSTITUTE(W907,CHAR(10), """"),"",:""), 0) + 1)"),3.0)</f>
        <v>3</v>
      </c>
      <c r="W907" s="102" t="s">
        <v>1763</v>
      </c>
      <c r="X907" s="173" t="s">
        <v>35</v>
      </c>
      <c r="Y907" s="41" t="s">
        <v>5314</v>
      </c>
      <c r="Z907" s="53" t="str">
        <f t="array" ref="Z907">INDEX(Problems!J:J, MATCH(1, (Problems!B:B=B907)*1, 0))</f>
        <v>n</v>
      </c>
      <c r="AA907" s="41"/>
      <c r="AB907" s="41"/>
      <c r="AC907" s="41"/>
      <c r="AD907" s="41" t="s">
        <v>1814</v>
      </c>
      <c r="AE907" s="85">
        <f>IFERROR(__xludf.DUMMYFUNCTION("INDEX(SPLIT(SUBSTITUTE(AF907,CHAR(10), """"),"",:""), MATCH(Z907, SPLIT(SUBSTITUTE(AF907,CHAR(10), """"),"",:""), 0) + 1)"),1.0)</f>
        <v>1</v>
      </c>
      <c r="AF907" s="102" t="s">
        <v>5315</v>
      </c>
      <c r="AG907" s="41" t="s">
        <v>5316</v>
      </c>
      <c r="AH907" s="41" t="s">
        <v>5317</v>
      </c>
      <c r="AI907" s="108">
        <v>1.0</v>
      </c>
      <c r="AJ907" s="84">
        <v>0.0</v>
      </c>
      <c r="AK907" s="105"/>
      <c r="AL907" s="98">
        <v>0.0</v>
      </c>
      <c r="AM907" s="105"/>
      <c r="AN907" s="98">
        <v>0.0</v>
      </c>
      <c r="AO907" s="110"/>
      <c r="AP907" s="98">
        <v>0.0</v>
      </c>
      <c r="AQ907" s="98">
        <v>0.0</v>
      </c>
      <c r="AR907" s="69"/>
      <c r="AS907" s="98">
        <v>0.0</v>
      </c>
      <c r="AT907" s="98">
        <v>0.0</v>
      </c>
      <c r="AU907" s="179" t="s">
        <v>5318</v>
      </c>
      <c r="AV907" s="13"/>
      <c r="AW907" s="13"/>
      <c r="AX907" s="13"/>
      <c r="AY907" s="13"/>
      <c r="AZ907" s="6"/>
      <c r="BA907" s="6"/>
      <c r="BB907" s="6"/>
      <c r="BC907" s="6"/>
      <c r="BD907" s="6"/>
      <c r="BE907" s="6"/>
      <c r="BF907" s="6">
        <v>1000.0</v>
      </c>
      <c r="BG907" s="6">
        <v>1.0</v>
      </c>
      <c r="BH907" s="6"/>
      <c r="BI907" s="6">
        <v>1000000.0</v>
      </c>
      <c r="BJ907" s="6">
        <v>1.0</v>
      </c>
      <c r="BK907" s="6"/>
      <c r="BL907" s="6">
        <v>1.0E9</v>
      </c>
      <c r="BM907" s="6">
        <v>1.0</v>
      </c>
      <c r="BN907" s="6"/>
      <c r="BO907" s="6">
        <v>6.0</v>
      </c>
      <c r="BP907" s="13"/>
      <c r="BQ907" s="13"/>
      <c r="BR907" s="6" t="s">
        <v>490</v>
      </c>
    </row>
    <row r="908">
      <c r="A908" s="35">
        <v>103.0</v>
      </c>
      <c r="B908" s="35" t="s">
        <v>1035</v>
      </c>
      <c r="C908" s="53">
        <v>1.0</v>
      </c>
      <c r="D908" s="53" t="s">
        <v>1035</v>
      </c>
      <c r="E908" s="7">
        <v>806.0</v>
      </c>
      <c r="F908" s="53"/>
      <c r="G908" s="6">
        <v>0.0</v>
      </c>
      <c r="H908" s="35">
        <v>1.0</v>
      </c>
      <c r="I908" s="98">
        <v>1.0</v>
      </c>
      <c r="J908" s="173" t="s">
        <v>35</v>
      </c>
      <c r="K908" s="99"/>
      <c r="L908" s="99"/>
      <c r="M908" s="39" t="str">
        <f t="shared" si="1"/>
        <v>[https://dl.acm.org/doi/10.5555/1298455.1298487 Chubby (Mike Burrows) (2006)]</v>
      </c>
      <c r="N908" s="35" t="s">
        <v>5319</v>
      </c>
      <c r="O908" s="98">
        <v>2006.0</v>
      </c>
      <c r="P908" s="100" t="s">
        <v>5320</v>
      </c>
      <c r="Q908" s="13"/>
      <c r="R908" s="13"/>
      <c r="S908" s="13"/>
      <c r="T908" s="98">
        <v>0.0</v>
      </c>
      <c r="U908" s="111">
        <v>0.0</v>
      </c>
      <c r="V908" s="89">
        <f>IFERROR(__xludf.DUMMYFUNCTION("INDEX(SPLIT(SUBSTITUTE(W908,CHAR(10), """"),"",:""), MATCH(Z908, SPLIT(SUBSTITUTE(W908,CHAR(10), """"),"",:""), 0) + 1)"),3.0)</f>
        <v>3</v>
      </c>
      <c r="W908" s="102" t="s">
        <v>1763</v>
      </c>
      <c r="X908" s="173" t="s">
        <v>35</v>
      </c>
      <c r="Y908" s="41" t="s">
        <v>5314</v>
      </c>
      <c r="Z908" s="53" t="str">
        <f t="array" ref="Z908">INDEX(Problems!J:J, MATCH(1, (Problems!B:B=B908)*1, 0))</f>
        <v>n</v>
      </c>
      <c r="AA908" s="41"/>
      <c r="AB908" s="41"/>
      <c r="AC908" s="41"/>
      <c r="AD908" s="41" t="s">
        <v>1814</v>
      </c>
      <c r="AE908" s="85">
        <f>IFERROR(__xludf.DUMMYFUNCTION("INDEX(SPLIT(SUBSTITUTE(AF908,CHAR(10), """"),"",:""), MATCH(Z908, SPLIT(SUBSTITUTE(AF908,CHAR(10), """"),"",:""), 0) + 1)"),1.0)</f>
        <v>1</v>
      </c>
      <c r="AF908" s="102" t="s">
        <v>5315</v>
      </c>
      <c r="AG908" s="41" t="s">
        <v>5316</v>
      </c>
      <c r="AH908" s="41" t="s">
        <v>5321</v>
      </c>
      <c r="AI908" s="108">
        <v>1.0</v>
      </c>
      <c r="AJ908" s="84">
        <v>0.0</v>
      </c>
      <c r="AK908" s="105"/>
      <c r="AL908" s="98">
        <v>0.0</v>
      </c>
      <c r="AM908" s="105"/>
      <c r="AN908" s="98">
        <v>0.0</v>
      </c>
      <c r="AO908" s="110"/>
      <c r="AP908" s="98">
        <v>0.0</v>
      </c>
      <c r="AQ908" s="98">
        <v>0.0</v>
      </c>
      <c r="AR908" s="69"/>
      <c r="AS908" s="98">
        <v>0.0</v>
      </c>
      <c r="AT908" s="98">
        <v>0.0</v>
      </c>
      <c r="AU908" s="180" t="s">
        <v>5322</v>
      </c>
      <c r="AV908" s="13"/>
      <c r="AW908" s="13"/>
      <c r="AX908" s="13"/>
      <c r="AY908" s="13"/>
      <c r="AZ908" s="6"/>
      <c r="BA908" s="6"/>
      <c r="BB908" s="6"/>
      <c r="BC908" s="6"/>
      <c r="BD908" s="6"/>
      <c r="BE908" s="6"/>
      <c r="BF908" s="6">
        <v>1000.0</v>
      </c>
      <c r="BG908" s="13"/>
      <c r="BH908" s="13"/>
      <c r="BI908" s="13"/>
      <c r="BJ908" s="13"/>
      <c r="BK908" s="13"/>
      <c r="BL908" s="13"/>
      <c r="BM908" s="13"/>
      <c r="BN908" s="6"/>
      <c r="BO908" s="6">
        <v>6.0</v>
      </c>
      <c r="BP908" s="13"/>
      <c r="BQ908" s="13"/>
      <c r="BR908" s="6" t="s">
        <v>490</v>
      </c>
    </row>
    <row r="909">
      <c r="A909" s="35">
        <v>103.0</v>
      </c>
      <c r="B909" s="35" t="s">
        <v>1035</v>
      </c>
      <c r="C909" s="53">
        <v>0.001</v>
      </c>
      <c r="D909" s="53" t="s">
        <v>1035</v>
      </c>
      <c r="E909" s="7">
        <v>807.0</v>
      </c>
      <c r="F909" s="53"/>
      <c r="G909" s="6">
        <v>0.0</v>
      </c>
      <c r="H909" s="35">
        <v>1.0</v>
      </c>
      <c r="I909" s="98">
        <v>1.0</v>
      </c>
      <c r="J909" s="69" t="s">
        <v>35</v>
      </c>
      <c r="K909" s="99"/>
      <c r="L909" s="99"/>
      <c r="M909" s="39" t="str">
        <f t="shared" si="1"/>
        <v>[https://www.cs.utexas.edu/~lorenzo/corsi/cs380d/papers/p225-chandra.pdf Tushar Deepak Chandra and Sam Toueg (1996)]</v>
      </c>
      <c r="N909" s="35" t="s">
        <v>5323</v>
      </c>
      <c r="O909" s="98">
        <v>1996.0</v>
      </c>
      <c r="P909" s="100" t="s">
        <v>5324</v>
      </c>
      <c r="Q909" s="13"/>
      <c r="R909" s="13"/>
      <c r="S909" s="13"/>
      <c r="T909" s="98">
        <v>0.0</v>
      </c>
      <c r="U909" s="111">
        <v>0.0</v>
      </c>
      <c r="V909" s="89">
        <f>IFERROR(__xludf.DUMMYFUNCTION("INDEX(SPLIT(SUBSTITUTE(W909,CHAR(10), """"),"",:""), MATCH(Z909, SPLIT(SUBSTITUTE(W909,CHAR(10), """"),"",:""), 0) + 1)"),3.0)</f>
        <v>3</v>
      </c>
      <c r="W909" s="102" t="s">
        <v>1763</v>
      </c>
      <c r="X909" s="69" t="s">
        <v>35</v>
      </c>
      <c r="Y909" s="41"/>
      <c r="Z909" s="53" t="str">
        <f t="array" ref="Z909">INDEX(Problems!J:J, MATCH(1, (Problems!B:B=B909)*1, 0))</f>
        <v>n</v>
      </c>
      <c r="AA909" s="41"/>
      <c r="AB909" s="41"/>
      <c r="AC909" s="41"/>
      <c r="AD909" s="41"/>
      <c r="AE909" s="85" t="str">
        <f>IFERROR(__xludf.DUMMYFUNCTION("INDEX(SPLIT(SUBSTITUTE(AF909,CHAR(10), """"),"",:""), MATCH(Z909, SPLIT(SUBSTITUTE(AF909,CHAR(10), """"),"",:""), 0) + 1)"),"#VALUE!")</f>
        <v>#VALUE!</v>
      </c>
      <c r="AF909" s="150"/>
      <c r="AG909" s="41"/>
      <c r="AH909" s="41"/>
      <c r="AI909" s="105"/>
      <c r="AJ909" s="84" t="s">
        <v>2520</v>
      </c>
      <c r="AK909" s="105"/>
      <c r="AL909" s="98">
        <v>0.0</v>
      </c>
      <c r="AM909" s="105"/>
      <c r="AN909" s="98">
        <v>0.0</v>
      </c>
      <c r="AO909" s="110"/>
      <c r="AP909" s="98">
        <v>0.0</v>
      </c>
      <c r="AQ909" s="98">
        <v>0.0</v>
      </c>
      <c r="AR909" s="69"/>
      <c r="AS909" s="98">
        <v>0.0</v>
      </c>
      <c r="AT909" s="98">
        <v>0.0</v>
      </c>
      <c r="AU909" s="104" t="s">
        <v>2620</v>
      </c>
      <c r="AV909" s="13"/>
      <c r="AW909" s="13"/>
      <c r="AX909" s="13"/>
      <c r="AY909" s="13"/>
      <c r="AZ909" s="6"/>
      <c r="BA909" s="6"/>
      <c r="BB909" s="6"/>
      <c r="BC909" s="6"/>
      <c r="BD909" s="6"/>
      <c r="BE909" s="6"/>
      <c r="BF909" s="6">
        <v>1000.0</v>
      </c>
      <c r="BG909" s="13"/>
      <c r="BH909" s="13"/>
      <c r="BI909" s="13"/>
      <c r="BJ909" s="13"/>
      <c r="BK909" s="13"/>
      <c r="BL909" s="13"/>
      <c r="BM909" s="13"/>
      <c r="BN909" s="6"/>
      <c r="BO909" s="6">
        <v>6.0</v>
      </c>
      <c r="BP909" s="13"/>
      <c r="BQ909" s="13"/>
      <c r="BR909" s="6" t="s">
        <v>490</v>
      </c>
    </row>
    <row r="910">
      <c r="A910" s="35">
        <v>104.0</v>
      </c>
      <c r="B910" s="35" t="s">
        <v>1039</v>
      </c>
      <c r="C910" s="53">
        <v>2.0</v>
      </c>
      <c r="D910" s="53" t="s">
        <v>1039</v>
      </c>
      <c r="E910" s="7">
        <v>816.0</v>
      </c>
      <c r="F910" s="53"/>
      <c r="G910" s="6"/>
      <c r="H910" s="35">
        <v>1.0</v>
      </c>
      <c r="I910" s="35">
        <v>1.0</v>
      </c>
      <c r="J910" s="104" t="s">
        <v>5325</v>
      </c>
      <c r="K910" s="99"/>
      <c r="L910" s="99"/>
      <c r="M910" s="39" t="str">
        <f t="shared" si="1"/>
        <v>[ Brute force (1987)]</v>
      </c>
      <c r="N910" s="69" t="s">
        <v>2106</v>
      </c>
      <c r="O910" s="98">
        <v>1987.0</v>
      </c>
      <c r="P910" s="69"/>
      <c r="Q910" s="6">
        <v>1.0</v>
      </c>
      <c r="R910" s="6">
        <v>1.0</v>
      </c>
      <c r="S910" s="13"/>
      <c r="T910" s="35">
        <v>1.0</v>
      </c>
      <c r="U910" s="35">
        <v>0.0</v>
      </c>
      <c r="V910" s="89">
        <f>IFERROR(__xludf.DUMMYFUNCTION("INDEX(SPLIT(SUBSTITUTE(W910,CHAR(10), """"),"",:""), MATCH(Z910, SPLIT(SUBSTITUTE(W910,CHAR(10), """"),"",:""), 0) + 1)"),8.0)</f>
        <v>8</v>
      </c>
      <c r="W910" s="176" t="s">
        <v>2001</v>
      </c>
      <c r="X910" s="104" t="s">
        <v>5326</v>
      </c>
      <c r="Y910" s="41" t="s">
        <v>5327</v>
      </c>
      <c r="Z910" s="53" t="str">
        <f t="array" ref="Z910">INDEX(Problems!J:J, MATCH(1, (Problems!B:B=B910)*1, 0))</f>
        <v>n</v>
      </c>
      <c r="AA910" s="41"/>
      <c r="AB910" s="41"/>
      <c r="AC910" s="41" t="s">
        <v>2312</v>
      </c>
      <c r="AD910" s="41" t="s">
        <v>1814</v>
      </c>
      <c r="AE910" s="85">
        <f>IFERROR(__xludf.DUMMYFUNCTION("INDEX(SPLIT(SUBSTITUTE(AF910,CHAR(10), """"),"",:""), MATCH(Z910, SPLIT(SUBSTITUTE(AF910,CHAR(10), """"),"",:""), 0) + 1)"),3.0)</f>
        <v>3</v>
      </c>
      <c r="AF910" s="102" t="s">
        <v>1763</v>
      </c>
      <c r="AG910" s="41" t="s">
        <v>35</v>
      </c>
      <c r="AH910" s="41" t="s">
        <v>5328</v>
      </c>
      <c r="AI910" s="104">
        <v>1.0</v>
      </c>
      <c r="AJ910" s="84">
        <v>0.0</v>
      </c>
      <c r="AK910" s="104"/>
      <c r="AL910" s="35">
        <v>0.0</v>
      </c>
      <c r="AM910" s="104"/>
      <c r="AN910" s="35">
        <v>0.0</v>
      </c>
      <c r="AO910" s="110"/>
      <c r="AP910" s="35">
        <v>0.0</v>
      </c>
      <c r="AQ910" s="35">
        <v>0.0</v>
      </c>
      <c r="AR910" s="69"/>
      <c r="AS910" s="98">
        <v>0.0</v>
      </c>
      <c r="AT910" s="98">
        <v>0.0</v>
      </c>
      <c r="AU910" s="112" t="s">
        <v>5329</v>
      </c>
      <c r="AV910" s="13"/>
      <c r="AW910" s="13"/>
      <c r="AX910" s="13"/>
      <c r="AY910" s="13"/>
      <c r="AZ910" s="6"/>
      <c r="BA910" s="6"/>
      <c r="BB910" s="6"/>
      <c r="BC910" s="6"/>
      <c r="BD910" s="6"/>
      <c r="BE910" s="6"/>
      <c r="BF910" s="6">
        <v>1000000.0</v>
      </c>
      <c r="BG910" s="6">
        <v>1.0</v>
      </c>
      <c r="BH910" s="6"/>
      <c r="BI910" s="6">
        <v>1.0E12</v>
      </c>
      <c r="BJ910" s="6">
        <v>1.0</v>
      </c>
      <c r="BK910" s="6"/>
      <c r="BL910" s="6">
        <v>1.0E18</v>
      </c>
      <c r="BM910" s="6">
        <v>1.0</v>
      </c>
      <c r="BN910" s="6"/>
      <c r="BO910" s="6">
        <v>4.0</v>
      </c>
      <c r="BP910" s="13"/>
      <c r="BQ910" s="13"/>
      <c r="BR910" s="6" t="s">
        <v>433</v>
      </c>
    </row>
    <row r="911">
      <c r="A911" s="35">
        <v>104.0</v>
      </c>
      <c r="B911" s="35" t="s">
        <v>1039</v>
      </c>
      <c r="C911" s="53">
        <v>2.0</v>
      </c>
      <c r="D911" s="53" t="s">
        <v>1039</v>
      </c>
      <c r="E911" s="7">
        <v>817.0</v>
      </c>
      <c r="F911" s="53" t="s">
        <v>5330</v>
      </c>
      <c r="G911" s="6"/>
      <c r="H911" s="35">
        <v>1.0</v>
      </c>
      <c r="I911" s="35">
        <v>1.0</v>
      </c>
      <c r="J911" s="104" t="s">
        <v>5325</v>
      </c>
      <c r="K911" s="99"/>
      <c r="L911" s="99"/>
      <c r="M911" s="39" t="str">
        <f t="shared" si="1"/>
        <v>[ Branch and bound (1993)]</v>
      </c>
      <c r="N911" s="69" t="s">
        <v>5331</v>
      </c>
      <c r="O911" s="98">
        <v>1993.0</v>
      </c>
      <c r="P911" s="69"/>
      <c r="Q911" s="6">
        <v>1.0</v>
      </c>
      <c r="R911" s="6">
        <v>1.0</v>
      </c>
      <c r="S911" s="13"/>
      <c r="T911" s="35">
        <v>1.0</v>
      </c>
      <c r="U911" s="61" t="s">
        <v>1952</v>
      </c>
      <c r="V911" s="89">
        <f>IFERROR(__xludf.DUMMYFUNCTION("INDEX(SPLIT(SUBSTITUTE(W911,CHAR(10), """"),"",:""), MATCH(Z911, SPLIT(SUBSTITUTE(W911,CHAR(10), """"),"",:""), 0) + 1)"),8.0)</f>
        <v>8</v>
      </c>
      <c r="W911" s="176" t="s">
        <v>2001</v>
      </c>
      <c r="X911" s="104" t="s">
        <v>5326</v>
      </c>
      <c r="Y911" s="41" t="s">
        <v>5327</v>
      </c>
      <c r="Z911" s="53" t="str">
        <f t="array" ref="Z911">INDEX(Problems!J:J, MATCH(1, (Problems!B:B=B911)*1, 0))</f>
        <v>n</v>
      </c>
      <c r="AA911" s="41"/>
      <c r="AB911" s="41"/>
      <c r="AC911" s="41" t="s">
        <v>2312</v>
      </c>
      <c r="AD911" s="41" t="s">
        <v>1814</v>
      </c>
      <c r="AE911" s="85">
        <f>IFERROR(__xludf.DUMMYFUNCTION("INDEX(SPLIT(SUBSTITUTE(AF911,CHAR(10), """"),"",:""), MATCH(Z911, SPLIT(SUBSTITUTE(AF911,CHAR(10), """"),"",:""), 0) + 1)"),8.0)</f>
        <v>8</v>
      </c>
      <c r="AF911" s="102" t="s">
        <v>2001</v>
      </c>
      <c r="AG911" s="41" t="s">
        <v>5332</v>
      </c>
      <c r="AH911" s="41" t="s">
        <v>5333</v>
      </c>
      <c r="AI911" s="104">
        <v>1.0</v>
      </c>
      <c r="AJ911" s="84">
        <v>0.0</v>
      </c>
      <c r="AK911" s="104"/>
      <c r="AL911" s="35">
        <v>0.0</v>
      </c>
      <c r="AM911" s="104"/>
      <c r="AN911" s="35">
        <v>0.0</v>
      </c>
      <c r="AO911" s="110"/>
      <c r="AP911" s="35">
        <v>0.0</v>
      </c>
      <c r="AQ911" s="35">
        <v>0.0</v>
      </c>
      <c r="AR911" s="69"/>
      <c r="AS911" s="98">
        <v>0.0</v>
      </c>
      <c r="AT911" s="98">
        <v>0.0</v>
      </c>
      <c r="AU911" s="112" t="s">
        <v>5334</v>
      </c>
      <c r="AV911" s="13"/>
      <c r="AW911" s="13"/>
      <c r="AX911" s="13"/>
      <c r="AY911" s="13"/>
      <c r="AZ911" s="6"/>
      <c r="BA911" s="6"/>
      <c r="BB911" s="6"/>
      <c r="BC911" s="6"/>
      <c r="BD911" s="6"/>
      <c r="BE911" s="6"/>
      <c r="BF911" s="6">
        <v>9965.0</v>
      </c>
      <c r="BG911" s="13">
        <f>BF910/BF911</f>
        <v>100.3512293</v>
      </c>
      <c r="BH911" s="13"/>
      <c r="BI911" s="13">
        <f>1000000*LOG(1000000,2)</f>
        <v>19931568.57</v>
      </c>
      <c r="BJ911" s="13">
        <f>BI910/BI911</f>
        <v>50171.66594</v>
      </c>
      <c r="BK911" s="13"/>
      <c r="BL911" s="13">
        <f>1000000000*LOG(1000000000,2)</f>
        <v>29897352854</v>
      </c>
      <c r="BM911" s="13">
        <f>BL910/BL911</f>
        <v>33447777.3</v>
      </c>
      <c r="BN911" s="6"/>
      <c r="BO911" s="6">
        <v>4.0</v>
      </c>
      <c r="BP911" s="13"/>
      <c r="BQ911" s="13"/>
      <c r="BR911" s="6" t="s">
        <v>433</v>
      </c>
    </row>
    <row r="912">
      <c r="A912" s="35">
        <v>107.0</v>
      </c>
      <c r="B912" s="35" t="s">
        <v>1050</v>
      </c>
      <c r="C912" s="53">
        <v>2.0</v>
      </c>
      <c r="D912" s="53" t="s">
        <v>1050</v>
      </c>
      <c r="E912" s="7">
        <v>830.0</v>
      </c>
      <c r="F912" s="53"/>
      <c r="G912" s="6"/>
      <c r="H912" s="35">
        <v>1.0</v>
      </c>
      <c r="I912" s="35">
        <v>1.0</v>
      </c>
      <c r="J912" s="69" t="s">
        <v>35</v>
      </c>
      <c r="K912" s="99"/>
      <c r="L912" s="41"/>
      <c r="M912" s="39" t="str">
        <f t="shared" si="1"/>
        <v>[https://dl.acm.org/doi/pdf/10.1145/368637.368653 Ray casting algorithm Shimrat; M (1962)]</v>
      </c>
      <c r="N912" s="69" t="s">
        <v>5335</v>
      </c>
      <c r="O912" s="98">
        <v>1962.0</v>
      </c>
      <c r="P912" s="106" t="s">
        <v>5336</v>
      </c>
      <c r="Q912" s="6">
        <v>7.0</v>
      </c>
      <c r="R912" s="6">
        <v>0.0</v>
      </c>
      <c r="S912" s="13"/>
      <c r="T912" s="35">
        <v>1.0</v>
      </c>
      <c r="U912" s="35">
        <v>0.0</v>
      </c>
      <c r="V912" s="89">
        <f>IFERROR(__xludf.DUMMYFUNCTION("INDEX(SPLIT(SUBSTITUTE(W912,CHAR(10), """"),"",:""), MATCH(Z912, SPLIT(SUBSTITUTE(W912,CHAR(10), """"),"",:""), 0) + 1)"),3.0)</f>
        <v>3</v>
      </c>
      <c r="W912" s="102" t="s">
        <v>1763</v>
      </c>
      <c r="X912" s="69" t="s">
        <v>35</v>
      </c>
      <c r="Y912" s="41" t="s">
        <v>5337</v>
      </c>
      <c r="Z912" s="53" t="str">
        <f t="array" ref="Z912">INDEX(Problems!J:J, MATCH(1, (Problems!B:B=B912)*1, 0))</f>
        <v>n</v>
      </c>
      <c r="AA912" s="41"/>
      <c r="AB912" s="41"/>
      <c r="AC912" s="41" t="s">
        <v>2152</v>
      </c>
      <c r="AD912" s="41" t="s">
        <v>1814</v>
      </c>
      <c r="AE912" s="85">
        <f>IFERROR(__xludf.DUMMYFUNCTION("INDEX(SPLIT(SUBSTITUTE(AF912,CHAR(10), """"),"",:""), MATCH(Z912, SPLIT(SUBSTITUTE(AF912,CHAR(10), """"),"",:""), 0) + 1)"),1.0)</f>
        <v>1</v>
      </c>
      <c r="AF912" s="102" t="s">
        <v>1774</v>
      </c>
      <c r="AG912" s="41" t="s">
        <v>34</v>
      </c>
      <c r="AH912" s="41" t="s">
        <v>5338</v>
      </c>
      <c r="AI912" s="104">
        <v>1.0</v>
      </c>
      <c r="AJ912" s="84">
        <v>0.0</v>
      </c>
      <c r="AK912" s="104"/>
      <c r="AL912" s="35">
        <v>0.0</v>
      </c>
      <c r="AM912" s="104"/>
      <c r="AN912" s="35">
        <v>0.0</v>
      </c>
      <c r="AO912" s="110"/>
      <c r="AP912" s="35">
        <v>0.0</v>
      </c>
      <c r="AQ912" s="35">
        <v>0.0</v>
      </c>
      <c r="AR912" s="69"/>
      <c r="AS912" s="98">
        <v>0.0</v>
      </c>
      <c r="AT912" s="98">
        <v>0.0</v>
      </c>
      <c r="AU912" s="69"/>
      <c r="AV912" s="13"/>
      <c r="AW912" s="13"/>
      <c r="AX912" s="13"/>
      <c r="AY912" s="13"/>
      <c r="AZ912" s="6"/>
      <c r="BA912" s="6"/>
      <c r="BB912" s="6"/>
      <c r="BC912" s="6"/>
      <c r="BD912" s="6"/>
      <c r="BE912" s="6"/>
      <c r="BF912" s="6">
        <v>1000.0</v>
      </c>
      <c r="BG912" s="6">
        <v>1.0</v>
      </c>
      <c r="BH912" s="6"/>
      <c r="BI912" s="6">
        <v>1000000.0</v>
      </c>
      <c r="BJ912" s="6">
        <v>1.0</v>
      </c>
      <c r="BK912" s="6"/>
      <c r="BL912" s="6">
        <v>1.0E9</v>
      </c>
      <c r="BM912" s="6">
        <v>1.0</v>
      </c>
      <c r="BN912" s="6"/>
      <c r="BO912" s="6">
        <v>6.0</v>
      </c>
      <c r="BP912" s="13"/>
      <c r="BQ912" s="13"/>
      <c r="BR912" s="6" t="s">
        <v>196</v>
      </c>
    </row>
    <row r="913">
      <c r="A913" s="35">
        <v>107.0</v>
      </c>
      <c r="B913" s="35" t="s">
        <v>1050</v>
      </c>
      <c r="C913" s="53">
        <v>2.0</v>
      </c>
      <c r="D913" s="53" t="s">
        <v>1050</v>
      </c>
      <c r="E913" s="7">
        <v>831.0</v>
      </c>
      <c r="F913" s="53"/>
      <c r="G913" s="6"/>
      <c r="H913" s="35">
        <v>1.0</v>
      </c>
      <c r="I913" s="35">
        <v>1.0</v>
      </c>
      <c r="J913" s="104" t="s">
        <v>5339</v>
      </c>
      <c r="K913" s="99"/>
      <c r="L913" s="99"/>
      <c r="M913" s="39" t="str">
        <f t="shared" si="1"/>
        <v>[https://doi.org/10.1007/BF01934125 Nordbeck and Rystedt (Grid Method) (1967)]</v>
      </c>
      <c r="N913" s="35" t="s">
        <v>5340</v>
      </c>
      <c r="O913" s="98">
        <v>1967.0</v>
      </c>
      <c r="P913" s="106" t="s">
        <v>5341</v>
      </c>
      <c r="Q913" s="13"/>
      <c r="R913" s="13"/>
      <c r="S913" s="13"/>
      <c r="T913" s="35">
        <v>0.0</v>
      </c>
      <c r="U913" s="35">
        <v>0.0</v>
      </c>
      <c r="V913" s="89">
        <f>IFERROR(__xludf.DUMMYFUNCTION("INDEX(SPLIT(SUBSTITUTE(W913,CHAR(10), """"),"",:""), MATCH(Z913, SPLIT(SUBSTITUTE(W913,CHAR(10), """"),"",:""), 0) + 1)"),3.0)</f>
        <v>3</v>
      </c>
      <c r="W913" s="102" t="s">
        <v>1763</v>
      </c>
      <c r="X913" s="104" t="s">
        <v>35</v>
      </c>
      <c r="Y913" s="41" t="s">
        <v>5337</v>
      </c>
      <c r="Z913" s="53" t="str">
        <f t="array" ref="Z913">INDEX(Problems!J:J, MATCH(1, (Problems!B:B=B913)*1, 0))</f>
        <v>n</v>
      </c>
      <c r="AA913" s="109" t="s">
        <v>1052</v>
      </c>
      <c r="AB913" s="41">
        <v>0.0</v>
      </c>
      <c r="AC913" s="41" t="s">
        <v>2152</v>
      </c>
      <c r="AD913" s="41" t="s">
        <v>1814</v>
      </c>
      <c r="AE913" s="85">
        <f>IFERROR(__xludf.DUMMYFUNCTION("INDEX(SPLIT(SUBSTITUTE(AF913,CHAR(10), """"),"",:""), MATCH(Z913, SPLIT(SUBSTITUTE(AF913,CHAR(10), """"),"",:""), 0) + 1)"),3.0)</f>
        <v>3</v>
      </c>
      <c r="AF913" s="102" t="s">
        <v>1763</v>
      </c>
      <c r="AG913" s="41" t="s">
        <v>35</v>
      </c>
      <c r="AH913" s="109" t="s">
        <v>1052</v>
      </c>
      <c r="AI913" s="104">
        <v>0.0</v>
      </c>
      <c r="AJ913" s="84">
        <v>0.0</v>
      </c>
      <c r="AK913" s="104"/>
      <c r="AL913" s="35">
        <v>0.0</v>
      </c>
      <c r="AM913" s="104"/>
      <c r="AN913" s="35">
        <v>0.0</v>
      </c>
      <c r="AO913" s="110"/>
      <c r="AP913" s="35">
        <v>0.0</v>
      </c>
      <c r="AQ913" s="35">
        <v>0.0</v>
      </c>
      <c r="AR913" s="69"/>
      <c r="AS913" s="35">
        <v>0.0</v>
      </c>
      <c r="AT913" s="35">
        <v>0.0</v>
      </c>
      <c r="AU913" s="106" t="s">
        <v>1052</v>
      </c>
      <c r="AV913" s="13"/>
      <c r="AW913" s="13"/>
      <c r="AX913" s="13"/>
      <c r="AY913" s="13"/>
      <c r="AZ913" s="6"/>
      <c r="BA913" s="6"/>
      <c r="BB913" s="6"/>
      <c r="BC913" s="6"/>
      <c r="BD913" s="6"/>
      <c r="BE913" s="6"/>
      <c r="BF913" s="6">
        <v>1000.0</v>
      </c>
      <c r="BG913" s="13"/>
      <c r="BH913" s="13"/>
      <c r="BI913" s="13"/>
      <c r="BJ913" s="13"/>
      <c r="BK913" s="13"/>
      <c r="BL913" s="13"/>
      <c r="BM913" s="13"/>
      <c r="BN913" s="6"/>
      <c r="BO913" s="6">
        <v>6.0</v>
      </c>
      <c r="BP913" s="13"/>
      <c r="BQ913" s="13"/>
      <c r="BR913" s="6" t="s">
        <v>196</v>
      </c>
    </row>
    <row r="914">
      <c r="A914" s="35">
        <v>107.0</v>
      </c>
      <c r="B914" s="35" t="s">
        <v>1050</v>
      </c>
      <c r="C914" s="53">
        <v>2.0</v>
      </c>
      <c r="D914" s="53" t="s">
        <v>1050</v>
      </c>
      <c r="E914" s="7">
        <v>832.0</v>
      </c>
      <c r="F914" s="53"/>
      <c r="G914" s="6"/>
      <c r="H914" s="35">
        <v>1.0</v>
      </c>
      <c r="I914" s="35">
        <v>1.0</v>
      </c>
      <c r="J914" s="69" t="s">
        <v>1788</v>
      </c>
      <c r="K914" s="99"/>
      <c r="L914" s="99"/>
      <c r="M914" s="39" t="str">
        <f t="shared" si="1"/>
        <v>[https://doi.org/10.1016/0098-3004(78)90085-7 Salomon (Swath Method) (1978)]</v>
      </c>
      <c r="N914" s="104" t="s">
        <v>5342</v>
      </c>
      <c r="O914" s="98">
        <v>1978.0</v>
      </c>
      <c r="P914" s="106" t="s">
        <v>5343</v>
      </c>
      <c r="Q914" s="13"/>
      <c r="R914" s="13"/>
      <c r="S914" s="13"/>
      <c r="T914" s="35">
        <v>0.0</v>
      </c>
      <c r="U914" s="35">
        <v>0.0</v>
      </c>
      <c r="V914" s="89">
        <f>IFERROR(__xludf.DUMMYFUNCTION("INDEX(SPLIT(SUBSTITUTE(W914,CHAR(10), """"),"",:""), MATCH(Z914, SPLIT(SUBSTITUTE(W914,CHAR(10), """"),"",:""), 0) + 1)"),4.0)</f>
        <v>4</v>
      </c>
      <c r="W914" s="102" t="s">
        <v>1791</v>
      </c>
      <c r="X914" s="35" t="s">
        <v>5344</v>
      </c>
      <c r="Y914" s="41" t="s">
        <v>5337</v>
      </c>
      <c r="Z914" s="53" t="str">
        <f t="array" ref="Z914">INDEX(Problems!J:J, MATCH(1, (Problems!B:B=B914)*1, 0))</f>
        <v>n</v>
      </c>
      <c r="AA914" s="41"/>
      <c r="AB914" s="41"/>
      <c r="AC914" s="41" t="s">
        <v>2152</v>
      </c>
      <c r="AD914" s="41" t="s">
        <v>1814</v>
      </c>
      <c r="AE914" s="85">
        <f>IFERROR(__xludf.DUMMYFUNCTION("INDEX(SPLIT(SUBSTITUTE(AF914,CHAR(10), """"),"",:""), MATCH(Z914, SPLIT(SUBSTITUTE(AF914,CHAR(10), """"),"",:""), 0) + 1)"),5.0)</f>
        <v>5</v>
      </c>
      <c r="AF914" s="102" t="s">
        <v>1938</v>
      </c>
      <c r="AG914" s="41" t="s">
        <v>115</v>
      </c>
      <c r="AH914" s="109" t="s">
        <v>1052</v>
      </c>
      <c r="AI914" s="104">
        <v>0.0</v>
      </c>
      <c r="AJ914" s="84">
        <v>0.0</v>
      </c>
      <c r="AK914" s="104"/>
      <c r="AL914" s="35">
        <v>0.0</v>
      </c>
      <c r="AM914" s="104"/>
      <c r="AN914" s="35">
        <v>0.0</v>
      </c>
      <c r="AO914" s="110"/>
      <c r="AP914" s="35">
        <v>0.0</v>
      </c>
      <c r="AQ914" s="35">
        <v>0.0</v>
      </c>
      <c r="AR914" s="69"/>
      <c r="AS914" s="35">
        <v>0.0</v>
      </c>
      <c r="AT914" s="35">
        <v>0.0</v>
      </c>
      <c r="AU914" s="106" t="s">
        <v>1052</v>
      </c>
      <c r="AV914" s="13"/>
      <c r="AW914" s="13"/>
      <c r="AX914" s="13"/>
      <c r="AY914" s="13"/>
      <c r="AZ914" s="13"/>
      <c r="BA914" s="13"/>
      <c r="BB914" s="13"/>
      <c r="BC914" s="13"/>
      <c r="BD914" s="13"/>
      <c r="BE914" s="13"/>
      <c r="BF914" s="13"/>
      <c r="BG914" s="13"/>
      <c r="BH914" s="13"/>
      <c r="BI914" s="13"/>
      <c r="BJ914" s="13"/>
      <c r="BK914" s="13"/>
      <c r="BL914" s="13"/>
      <c r="BM914" s="13"/>
      <c r="BN914" s="6"/>
      <c r="BO914" s="6">
        <v>6.0</v>
      </c>
      <c r="BP914" s="13"/>
      <c r="BQ914" s="13"/>
      <c r="BR914" s="6" t="s">
        <v>196</v>
      </c>
    </row>
    <row r="915">
      <c r="A915" s="35">
        <v>107.0</v>
      </c>
      <c r="B915" s="35" t="s">
        <v>1050</v>
      </c>
      <c r="C915" s="53">
        <v>2.0</v>
      </c>
      <c r="D915" s="53" t="s">
        <v>1050</v>
      </c>
      <c r="E915" s="7">
        <v>833.0</v>
      </c>
      <c r="F915" s="53"/>
      <c r="G915" s="6"/>
      <c r="H915" s="35">
        <v>1.0</v>
      </c>
      <c r="I915" s="35">
        <v>1.0</v>
      </c>
      <c r="J915" s="69" t="s">
        <v>35</v>
      </c>
      <c r="K915" s="99"/>
      <c r="L915" s="99"/>
      <c r="M915" s="39" t="str">
        <f t="shared" si="1"/>
        <v>[https://doi.org/10.1007/BF01934125 Nordbeck and Rystedt (Sum of area) (1967)]</v>
      </c>
      <c r="N915" s="104" t="s">
        <v>5345</v>
      </c>
      <c r="O915" s="104">
        <v>1967.0</v>
      </c>
      <c r="P915" s="106" t="s">
        <v>5341</v>
      </c>
      <c r="Q915" s="13"/>
      <c r="R915" s="13"/>
      <c r="S915" s="13"/>
      <c r="T915" s="35">
        <v>0.0</v>
      </c>
      <c r="U915" s="35">
        <v>0.0</v>
      </c>
      <c r="V915" s="89">
        <f>IFERROR(__xludf.DUMMYFUNCTION("INDEX(SPLIT(SUBSTITUTE(W915,CHAR(10), """"),"",:""), MATCH(Z915, SPLIT(SUBSTITUTE(W915,CHAR(10), """"),"",:""), 0) + 1)"),3.0)</f>
        <v>3</v>
      </c>
      <c r="W915" s="102" t="s">
        <v>1763</v>
      </c>
      <c r="X915" s="69" t="s">
        <v>35</v>
      </c>
      <c r="Y915" s="41" t="s">
        <v>5337</v>
      </c>
      <c r="Z915" s="53" t="str">
        <f t="array" ref="Z915">INDEX(Problems!J:J, MATCH(1, (Problems!B:B=B915)*1, 0))</f>
        <v>n</v>
      </c>
      <c r="AA915" s="41"/>
      <c r="AB915" s="41"/>
      <c r="AC915" s="41" t="s">
        <v>2152</v>
      </c>
      <c r="AD915" s="41" t="s">
        <v>1814</v>
      </c>
      <c r="AE915" s="85">
        <f>IFERROR(__xludf.DUMMYFUNCTION("INDEX(SPLIT(SUBSTITUTE(AF915,CHAR(10), """"),"",:""), MATCH(Z915, SPLIT(SUBSTITUTE(AF915,CHAR(10), """"),"",:""), 0) + 1)"),1.0)</f>
        <v>1</v>
      </c>
      <c r="AF915" s="102" t="s">
        <v>1774</v>
      </c>
      <c r="AG915" s="41" t="s">
        <v>34</v>
      </c>
      <c r="AH915" s="41" t="s">
        <v>5346</v>
      </c>
      <c r="AI915" s="104">
        <v>1.0</v>
      </c>
      <c r="AJ915" s="84">
        <v>0.0</v>
      </c>
      <c r="AK915" s="104"/>
      <c r="AL915" s="35">
        <v>0.0</v>
      </c>
      <c r="AM915" s="104"/>
      <c r="AN915" s="35">
        <v>0.0</v>
      </c>
      <c r="AO915" s="110"/>
      <c r="AP915" s="35">
        <v>0.0</v>
      </c>
      <c r="AQ915" s="35">
        <v>0.0</v>
      </c>
      <c r="AR915" s="69"/>
      <c r="AS915" s="35">
        <v>0.0</v>
      </c>
      <c r="AT915" s="35">
        <v>0.0</v>
      </c>
      <c r="AU915" s="106" t="s">
        <v>1052</v>
      </c>
      <c r="AV915" s="13"/>
      <c r="AW915" s="13"/>
      <c r="AX915" s="13"/>
      <c r="AY915" s="13"/>
      <c r="AZ915" s="6"/>
      <c r="BA915" s="6"/>
      <c r="BB915" s="6"/>
      <c r="BC915" s="6"/>
      <c r="BD915" s="6"/>
      <c r="BE915" s="6"/>
      <c r="BF915" s="6">
        <v>1000.0</v>
      </c>
      <c r="BG915" s="13"/>
      <c r="BH915" s="13"/>
      <c r="BI915" s="13"/>
      <c r="BJ915" s="13"/>
      <c r="BK915" s="13"/>
      <c r="BL915" s="13"/>
      <c r="BM915" s="13"/>
      <c r="BN915" s="6"/>
      <c r="BO915" s="6">
        <v>6.0</v>
      </c>
      <c r="BP915" s="13"/>
      <c r="BQ915" s="13"/>
      <c r="BR915" s="6" t="s">
        <v>196</v>
      </c>
    </row>
    <row r="916">
      <c r="A916" s="35">
        <v>107.0</v>
      </c>
      <c r="B916" s="35" t="s">
        <v>1050</v>
      </c>
      <c r="C916" s="53">
        <v>2.0</v>
      </c>
      <c r="D916" s="53" t="s">
        <v>1050</v>
      </c>
      <c r="E916" s="7">
        <v>834.0</v>
      </c>
      <c r="F916" s="53"/>
      <c r="G916" s="6"/>
      <c r="H916" s="35">
        <v>1.0</v>
      </c>
      <c r="I916" s="35">
        <v>1.0</v>
      </c>
      <c r="J916" s="69" t="s">
        <v>35</v>
      </c>
      <c r="K916" s="99"/>
      <c r="L916" s="99"/>
      <c r="M916" s="39" t="str">
        <f t="shared" si="1"/>
        <v>[http://www.cs.kent.edu/~dragan/CG/CG-Book.pdf Preparata and Shamos (Wedge) (1985)]</v>
      </c>
      <c r="N916" s="104" t="s">
        <v>5347</v>
      </c>
      <c r="O916" s="98">
        <v>1985.0</v>
      </c>
      <c r="P916" s="106" t="s">
        <v>5348</v>
      </c>
      <c r="Q916" s="13"/>
      <c r="R916" s="13"/>
      <c r="S916" s="13"/>
      <c r="T916" s="35">
        <v>0.0</v>
      </c>
      <c r="U916" s="35">
        <v>0.0</v>
      </c>
      <c r="V916" s="89">
        <f>IFERROR(__xludf.DUMMYFUNCTION("INDEX(SPLIT(SUBSTITUTE(W916,CHAR(10), """"),"",:""), MATCH(Z916, SPLIT(SUBSTITUTE(W916,CHAR(10), """"),"",:""), 0) + 1)"),3.0)</f>
        <v>3</v>
      </c>
      <c r="W916" s="102" t="s">
        <v>1763</v>
      </c>
      <c r="X916" s="69" t="s">
        <v>35</v>
      </c>
      <c r="Y916" s="41" t="s">
        <v>5337</v>
      </c>
      <c r="Z916" s="53" t="str">
        <f t="array" ref="Z916">INDEX(Problems!J:J, MATCH(1, (Problems!B:B=B916)*1, 0))</f>
        <v>n</v>
      </c>
      <c r="AA916" s="41"/>
      <c r="AB916" s="41"/>
      <c r="AC916" s="41" t="s">
        <v>2152</v>
      </c>
      <c r="AD916" s="41" t="s">
        <v>1814</v>
      </c>
      <c r="AE916" s="85">
        <f>IFERROR(__xludf.DUMMYFUNCTION("INDEX(SPLIT(SUBSTITUTE(AF916,CHAR(10), """"),"",:""), MATCH(Z916, SPLIT(SUBSTITUTE(AF916,CHAR(10), """"),"",:""), 0) + 1)"),3.0)</f>
        <v>3</v>
      </c>
      <c r="AF916" s="102" t="s">
        <v>1763</v>
      </c>
      <c r="AG916" s="41" t="s">
        <v>35</v>
      </c>
      <c r="AH916" s="133" t="s">
        <v>1052</v>
      </c>
      <c r="AI916" s="104">
        <v>0.0</v>
      </c>
      <c r="AJ916" s="84">
        <v>0.0</v>
      </c>
      <c r="AK916" s="104"/>
      <c r="AL916" s="35">
        <v>0.0</v>
      </c>
      <c r="AM916" s="104"/>
      <c r="AN916" s="35">
        <v>0.0</v>
      </c>
      <c r="AO916" s="110"/>
      <c r="AP916" s="35">
        <v>0.0</v>
      </c>
      <c r="AQ916" s="35">
        <v>0.0</v>
      </c>
      <c r="AR916" s="69"/>
      <c r="AS916" s="35">
        <v>0.0</v>
      </c>
      <c r="AT916" s="35">
        <v>0.0</v>
      </c>
      <c r="AU916" s="106" t="s">
        <v>1052</v>
      </c>
      <c r="AV916" s="13"/>
      <c r="AW916" s="13"/>
      <c r="AX916" s="13"/>
      <c r="AY916" s="13"/>
      <c r="AZ916" s="6"/>
      <c r="BA916" s="6"/>
      <c r="BB916" s="6"/>
      <c r="BC916" s="6"/>
      <c r="BD916" s="6"/>
      <c r="BE916" s="6"/>
      <c r="BF916" s="6">
        <v>1000.0</v>
      </c>
      <c r="BG916" s="13"/>
      <c r="BH916" s="13"/>
      <c r="BI916" s="13"/>
      <c r="BJ916" s="13"/>
      <c r="BK916" s="13"/>
      <c r="BL916" s="13"/>
      <c r="BM916" s="13"/>
      <c r="BN916" s="6"/>
      <c r="BO916" s="6">
        <v>6.0</v>
      </c>
      <c r="BP916" s="13"/>
      <c r="BQ916" s="13"/>
      <c r="BR916" s="6" t="s">
        <v>196</v>
      </c>
    </row>
    <row r="917">
      <c r="A917" s="35">
        <v>107.0</v>
      </c>
      <c r="B917" s="35" t="s">
        <v>1050</v>
      </c>
      <c r="C917" s="53">
        <v>2.0</v>
      </c>
      <c r="D917" s="53" t="s">
        <v>1050</v>
      </c>
      <c r="E917" s="7">
        <v>835.0</v>
      </c>
      <c r="F917" s="53"/>
      <c r="G917" s="6"/>
      <c r="H917" s="35">
        <v>1.0</v>
      </c>
      <c r="I917" s="35">
        <v>1.0</v>
      </c>
      <c r="J917" s="69" t="s">
        <v>35</v>
      </c>
      <c r="K917" s="99"/>
      <c r="L917" s="99"/>
      <c r="M917" s="39" t="str">
        <f t="shared" si="1"/>
        <v>[https://doi.org/10.1080/02693798708927823 Saalfeld (Sign of offset) (1987)]</v>
      </c>
      <c r="N917" s="104" t="s">
        <v>5349</v>
      </c>
      <c r="O917" s="98">
        <v>1987.0</v>
      </c>
      <c r="P917" s="106" t="s">
        <v>5350</v>
      </c>
      <c r="Q917" s="13"/>
      <c r="R917" s="13"/>
      <c r="S917" s="13"/>
      <c r="T917" s="35">
        <v>0.0</v>
      </c>
      <c r="U917" s="35">
        <v>0.0</v>
      </c>
      <c r="V917" s="89">
        <f>IFERROR(__xludf.DUMMYFUNCTION("INDEX(SPLIT(SUBSTITUTE(W917,CHAR(10), """"),"",:""), MATCH(Z917, SPLIT(SUBSTITUTE(W917,CHAR(10), """"),"",:""), 0) + 1)"),3.0)</f>
        <v>3</v>
      </c>
      <c r="W917" s="102" t="s">
        <v>1763</v>
      </c>
      <c r="X917" s="69" t="s">
        <v>35</v>
      </c>
      <c r="Y917" s="41" t="s">
        <v>5337</v>
      </c>
      <c r="Z917" s="53" t="str">
        <f t="array" ref="Z917">INDEX(Problems!J:J, MATCH(1, (Problems!B:B=B917)*1, 0))</f>
        <v>n</v>
      </c>
      <c r="AA917" s="41"/>
      <c r="AB917" s="41"/>
      <c r="AC917" s="41" t="s">
        <v>2152</v>
      </c>
      <c r="AD917" s="41" t="s">
        <v>1814</v>
      </c>
      <c r="AE917" s="85">
        <f>IFERROR(__xludf.DUMMYFUNCTION("INDEX(SPLIT(SUBSTITUTE(AF917,CHAR(10), """"),"",:""), MATCH(Z917, SPLIT(SUBSTITUTE(AF917,CHAR(10), """"),"",:""), 0) + 1)"),1.0)</f>
        <v>1</v>
      </c>
      <c r="AF917" s="102" t="s">
        <v>1774</v>
      </c>
      <c r="AG917" s="41" t="s">
        <v>34</v>
      </c>
      <c r="AH917" s="41" t="s">
        <v>5351</v>
      </c>
      <c r="AI917" s="104">
        <v>1.0</v>
      </c>
      <c r="AJ917" s="84">
        <v>0.0</v>
      </c>
      <c r="AK917" s="104"/>
      <c r="AL917" s="35">
        <v>0.0</v>
      </c>
      <c r="AM917" s="104"/>
      <c r="AN917" s="35">
        <v>0.0</v>
      </c>
      <c r="AO917" s="110"/>
      <c r="AP917" s="35">
        <v>0.0</v>
      </c>
      <c r="AQ917" s="35">
        <v>0.0</v>
      </c>
      <c r="AR917" s="69"/>
      <c r="AS917" s="35">
        <v>0.0</v>
      </c>
      <c r="AT917" s="35">
        <v>0.0</v>
      </c>
      <c r="AU917" s="106" t="s">
        <v>1052</v>
      </c>
      <c r="AV917" s="13"/>
      <c r="AW917" s="13"/>
      <c r="AX917" s="13"/>
      <c r="AY917" s="13"/>
      <c r="AZ917" s="6"/>
      <c r="BA917" s="6"/>
      <c r="BB917" s="6"/>
      <c r="BC917" s="6"/>
      <c r="BD917" s="6"/>
      <c r="BE917" s="6"/>
      <c r="BF917" s="6">
        <v>1000.0</v>
      </c>
      <c r="BG917" s="13"/>
      <c r="BH917" s="13"/>
      <c r="BI917" s="13"/>
      <c r="BJ917" s="13"/>
      <c r="BK917" s="13"/>
      <c r="BL917" s="13"/>
      <c r="BM917" s="13"/>
      <c r="BN917" s="6"/>
      <c r="BO917" s="6">
        <v>6.0</v>
      </c>
      <c r="BP917" s="13"/>
      <c r="BQ917" s="13"/>
      <c r="BR917" s="6" t="s">
        <v>196</v>
      </c>
    </row>
    <row r="918">
      <c r="A918" s="35">
        <v>107.0</v>
      </c>
      <c r="B918" s="35" t="s">
        <v>1050</v>
      </c>
      <c r="C918" s="53">
        <v>2.0</v>
      </c>
      <c r="D918" s="53" t="s">
        <v>1050</v>
      </c>
      <c r="E918" s="7">
        <v>836.0</v>
      </c>
      <c r="F918" s="53"/>
      <c r="G918" s="6"/>
      <c r="H918" s="35">
        <v>1.0</v>
      </c>
      <c r="I918" s="35">
        <v>1.0</v>
      </c>
      <c r="J918" s="69" t="s">
        <v>35</v>
      </c>
      <c r="K918" s="99"/>
      <c r="L918" s="99"/>
      <c r="M918" s="39" t="str">
        <f t="shared" si="1"/>
        <v>[http://www.cs.kent.edu/~dragan/CG/CG-Book.pdf Preparata and Shamos (Intersection sum of angle) (1985)]</v>
      </c>
      <c r="N918" s="104" t="s">
        <v>5352</v>
      </c>
      <c r="O918" s="98">
        <v>1985.0</v>
      </c>
      <c r="P918" s="106" t="s">
        <v>5348</v>
      </c>
      <c r="Q918" s="13"/>
      <c r="R918" s="13"/>
      <c r="S918" s="13"/>
      <c r="T918" s="35">
        <v>0.0</v>
      </c>
      <c r="U918" s="35">
        <v>0.0</v>
      </c>
      <c r="V918" s="89">
        <f>IFERROR(__xludf.DUMMYFUNCTION("INDEX(SPLIT(SUBSTITUTE(W918,CHAR(10), """"),"",:""), MATCH(Z918, SPLIT(SUBSTITUTE(W918,CHAR(10), """"),"",:""), 0) + 1)"),3.0)</f>
        <v>3</v>
      </c>
      <c r="W918" s="102" t="s">
        <v>1763</v>
      </c>
      <c r="X918" s="69" t="s">
        <v>35</v>
      </c>
      <c r="Y918" s="41" t="s">
        <v>5337</v>
      </c>
      <c r="Z918" s="53" t="str">
        <f t="array" ref="Z918">INDEX(Problems!J:J, MATCH(1, (Problems!B:B=B918)*1, 0))</f>
        <v>n</v>
      </c>
      <c r="AA918" s="41"/>
      <c r="AB918" s="41"/>
      <c r="AC918" s="41" t="s">
        <v>2152</v>
      </c>
      <c r="AD918" s="41" t="s">
        <v>1814</v>
      </c>
      <c r="AE918" s="85">
        <f>IFERROR(__xludf.DUMMYFUNCTION("INDEX(SPLIT(SUBSTITUTE(AF918,CHAR(10), """"),"",:""), MATCH(Z918, SPLIT(SUBSTITUTE(AF918,CHAR(10), """"),"",:""), 0) + 1)"),1.0)</f>
        <v>1</v>
      </c>
      <c r="AF918" s="102" t="s">
        <v>1774</v>
      </c>
      <c r="AG918" s="41" t="s">
        <v>34</v>
      </c>
      <c r="AH918" s="41" t="s">
        <v>5353</v>
      </c>
      <c r="AI918" s="104">
        <v>1.0</v>
      </c>
      <c r="AJ918" s="84">
        <v>0.0</v>
      </c>
      <c r="AK918" s="104"/>
      <c r="AL918" s="35">
        <v>0.0</v>
      </c>
      <c r="AM918" s="104"/>
      <c r="AN918" s="35">
        <v>0.0</v>
      </c>
      <c r="AO918" s="110"/>
      <c r="AP918" s="35">
        <v>0.0</v>
      </c>
      <c r="AQ918" s="35">
        <v>0.0</v>
      </c>
      <c r="AR918" s="69"/>
      <c r="AS918" s="35">
        <v>0.0</v>
      </c>
      <c r="AT918" s="35">
        <v>0.0</v>
      </c>
      <c r="AU918" s="106" t="s">
        <v>1052</v>
      </c>
      <c r="AV918" s="13"/>
      <c r="AW918" s="13"/>
      <c r="AX918" s="13"/>
      <c r="AY918" s="13"/>
      <c r="AZ918" s="6"/>
      <c r="BA918" s="6"/>
      <c r="BB918" s="6"/>
      <c r="BC918" s="6"/>
      <c r="BD918" s="6"/>
      <c r="BE918" s="6"/>
      <c r="BF918" s="6">
        <v>1000.0</v>
      </c>
      <c r="BG918" s="13"/>
      <c r="BH918" s="13"/>
      <c r="BI918" s="13"/>
      <c r="BJ918" s="13"/>
      <c r="BK918" s="13"/>
      <c r="BL918" s="13"/>
      <c r="BM918" s="13"/>
      <c r="BN918" s="6"/>
      <c r="BO918" s="6">
        <v>6.0</v>
      </c>
      <c r="BP918" s="13"/>
      <c r="BQ918" s="13"/>
      <c r="BR918" s="6" t="s">
        <v>196</v>
      </c>
    </row>
    <row r="919">
      <c r="A919" s="35">
        <v>107.0</v>
      </c>
      <c r="B919" s="35" t="s">
        <v>1050</v>
      </c>
      <c r="C919" s="53">
        <v>2.0</v>
      </c>
      <c r="D919" s="53" t="s">
        <v>1050</v>
      </c>
      <c r="E919" s="7">
        <v>837.0</v>
      </c>
      <c r="F919" s="53"/>
      <c r="G919" s="6"/>
      <c r="H919" s="35">
        <v>1.0</v>
      </c>
      <c r="I919" s="35">
        <v>1.0</v>
      </c>
      <c r="J919" s="69" t="s">
        <v>35</v>
      </c>
      <c r="K919" s="99"/>
      <c r="L919" s="99"/>
      <c r="M919" s="39" t="str">
        <f t="shared" si="1"/>
        <v>[https://doi.org/10.1007/BF01934125 Nordbeck and Rystedt (Orientation) (1967)]</v>
      </c>
      <c r="N919" s="104" t="s">
        <v>5354</v>
      </c>
      <c r="O919" s="104">
        <v>1967.0</v>
      </c>
      <c r="P919" s="106" t="s">
        <v>5341</v>
      </c>
      <c r="Q919" s="13"/>
      <c r="R919" s="13"/>
      <c r="S919" s="13"/>
      <c r="T919" s="35">
        <v>0.0</v>
      </c>
      <c r="U919" s="35">
        <v>0.0</v>
      </c>
      <c r="V919" s="89">
        <f>IFERROR(__xludf.DUMMYFUNCTION("INDEX(SPLIT(SUBSTITUTE(W919,CHAR(10), """"),"",:""), MATCH(Z919, SPLIT(SUBSTITUTE(W919,CHAR(10), """"),"",:""), 0) + 1)"),3.0)</f>
        <v>3</v>
      </c>
      <c r="W919" s="102" t="s">
        <v>1763</v>
      </c>
      <c r="X919" s="69" t="s">
        <v>35</v>
      </c>
      <c r="Y919" s="41" t="s">
        <v>5337</v>
      </c>
      <c r="Z919" s="53" t="str">
        <f t="array" ref="Z919">INDEX(Problems!J:J, MATCH(1, (Problems!B:B=B919)*1, 0))</f>
        <v>n</v>
      </c>
      <c r="AA919" s="41"/>
      <c r="AB919" s="41"/>
      <c r="AC919" s="41" t="s">
        <v>2152</v>
      </c>
      <c r="AD919" s="41" t="s">
        <v>1814</v>
      </c>
      <c r="AE919" s="85">
        <f>IFERROR(__xludf.DUMMYFUNCTION("INDEX(SPLIT(SUBSTITUTE(AF919,CHAR(10), """"),"",:""), MATCH(Z919, SPLIT(SUBSTITUTE(AF919,CHAR(10), """"),"",:""), 0) + 1)"),1.0)</f>
        <v>1</v>
      </c>
      <c r="AF919" s="102" t="s">
        <v>1774</v>
      </c>
      <c r="AG919" s="41" t="s">
        <v>34</v>
      </c>
      <c r="AH919" s="41" t="s">
        <v>5355</v>
      </c>
      <c r="AI919" s="104">
        <v>1.0</v>
      </c>
      <c r="AJ919" s="84">
        <v>0.0</v>
      </c>
      <c r="AK919" s="104"/>
      <c r="AL919" s="35">
        <v>0.0</v>
      </c>
      <c r="AM919" s="104"/>
      <c r="AN919" s="35">
        <v>0.0</v>
      </c>
      <c r="AO919" s="110"/>
      <c r="AP919" s="35">
        <v>0.0</v>
      </c>
      <c r="AQ919" s="35">
        <v>0.0</v>
      </c>
      <c r="AR919" s="69"/>
      <c r="AS919" s="35">
        <v>0.0</v>
      </c>
      <c r="AT919" s="35">
        <v>0.0</v>
      </c>
      <c r="AU919" s="106" t="s">
        <v>1052</v>
      </c>
      <c r="AV919" s="13"/>
      <c r="AW919" s="13"/>
      <c r="AX919" s="13"/>
      <c r="AY919" s="13"/>
      <c r="AZ919" s="6"/>
      <c r="BA919" s="6"/>
      <c r="BB919" s="6"/>
      <c r="BC919" s="6"/>
      <c r="BD919" s="6"/>
      <c r="BE919" s="6"/>
      <c r="BF919" s="6">
        <v>1000.0</v>
      </c>
      <c r="BG919" s="13"/>
      <c r="BH919" s="13"/>
      <c r="BI919" s="13"/>
      <c r="BJ919" s="13"/>
      <c r="BK919" s="13"/>
      <c r="BL919" s="13"/>
      <c r="BM919" s="13"/>
      <c r="BN919" s="6"/>
      <c r="BO919" s="6">
        <v>6.0</v>
      </c>
      <c r="BP919" s="13"/>
      <c r="BQ919" s="13"/>
      <c r="BR919" s="6" t="s">
        <v>196</v>
      </c>
    </row>
    <row r="920">
      <c r="A920" s="35">
        <v>110.0</v>
      </c>
      <c r="B920" s="35" t="s">
        <v>1060</v>
      </c>
      <c r="C920" s="53">
        <v>2.0</v>
      </c>
      <c r="D920" s="53" t="s">
        <v>1060</v>
      </c>
      <c r="E920" s="7">
        <v>879.0</v>
      </c>
      <c r="F920" s="53"/>
      <c r="G920" s="6">
        <v>0.0</v>
      </c>
      <c r="H920" s="35">
        <v>1.0</v>
      </c>
      <c r="I920" s="98">
        <v>1.0</v>
      </c>
      <c r="J920" s="137" t="s">
        <v>35</v>
      </c>
      <c r="K920" s="99"/>
      <c r="L920" s="99"/>
      <c r="M920" s="39" t="str">
        <f t="shared" si="1"/>
        <v>[https://ieeexplore.ieee.org/document/1281624 ASP (2005)]</v>
      </c>
      <c r="N920" s="69" t="s">
        <v>5356</v>
      </c>
      <c r="O920" s="98">
        <v>2005.0</v>
      </c>
      <c r="P920" s="100" t="s">
        <v>5357</v>
      </c>
      <c r="Q920" s="6">
        <v>1.0</v>
      </c>
      <c r="R920" s="6">
        <v>1.0</v>
      </c>
      <c r="S920" s="13"/>
      <c r="T920" s="98">
        <v>1.0</v>
      </c>
      <c r="U920" s="35">
        <v>0.0</v>
      </c>
      <c r="V920" s="89">
        <f>IFERROR(__xludf.DUMMYFUNCTION("INDEX(SPLIT(SUBSTITUTE(W920,CHAR(10), """"),"",:""), MATCH(Z920, SPLIT(SUBSTITUTE(W920,CHAR(10), """"),"",:""), 0) + 1)"),3.0)</f>
        <v>3</v>
      </c>
      <c r="W920" s="102" t="s">
        <v>1763</v>
      </c>
      <c r="X920" s="137" t="s">
        <v>35</v>
      </c>
      <c r="Y920" s="41" t="s">
        <v>5358</v>
      </c>
      <c r="Z920" s="53" t="str">
        <f t="array" ref="Z920">INDEX(Problems!J:J, MATCH(1, (Problems!B:B=B920)*1, 0))</f>
        <v>n</v>
      </c>
      <c r="AA920" s="41"/>
      <c r="AB920" s="41"/>
      <c r="AC920" s="41" t="s">
        <v>5359</v>
      </c>
      <c r="AD920" s="41" t="s">
        <v>1814</v>
      </c>
      <c r="AE920" s="85">
        <f>IFERROR(__xludf.DUMMYFUNCTION("INDEX(SPLIT(SUBSTITUTE(AF920,CHAR(10), """"),"",:""), MATCH(Z920, SPLIT(SUBSTITUTE(AF920,CHAR(10), """"),"",:""), 0) + 1)"),3.0)</f>
        <v>3</v>
      </c>
      <c r="AF920" s="102" t="s">
        <v>1763</v>
      </c>
      <c r="AG920" s="41" t="s">
        <v>5360</v>
      </c>
      <c r="AH920" s="41" t="s">
        <v>5361</v>
      </c>
      <c r="AI920" s="108">
        <v>1.0</v>
      </c>
      <c r="AJ920" s="84">
        <v>0.0</v>
      </c>
      <c r="AK920" s="105"/>
      <c r="AL920" s="98">
        <v>0.0</v>
      </c>
      <c r="AM920" s="105"/>
      <c r="AN920" s="98">
        <v>0.0</v>
      </c>
      <c r="AO920" s="110"/>
      <c r="AP920" s="98">
        <v>0.0</v>
      </c>
      <c r="AQ920" s="98">
        <v>0.0</v>
      </c>
      <c r="AR920" s="69"/>
      <c r="AS920" s="98">
        <v>0.0</v>
      </c>
      <c r="AT920" s="98">
        <v>0.0</v>
      </c>
      <c r="AU920" s="69"/>
      <c r="AV920" s="13"/>
      <c r="AW920" s="13"/>
      <c r="AX920" s="13"/>
      <c r="AY920" s="13"/>
      <c r="AZ920" s="6"/>
      <c r="BA920" s="6"/>
      <c r="BB920" s="6"/>
      <c r="BC920" s="6"/>
      <c r="BD920" s="6"/>
      <c r="BE920" s="6"/>
      <c r="BF920" s="6">
        <v>1000.0</v>
      </c>
      <c r="BG920" s="6">
        <v>1.0</v>
      </c>
      <c r="BH920" s="6"/>
      <c r="BI920" s="6">
        <v>1000000.0</v>
      </c>
      <c r="BJ920" s="6">
        <v>1.0</v>
      </c>
      <c r="BK920" s="6"/>
      <c r="BL920" s="6">
        <v>1.0E9</v>
      </c>
      <c r="BM920" s="6">
        <v>1.0</v>
      </c>
      <c r="BN920" s="6"/>
      <c r="BO920" s="6">
        <v>6.0</v>
      </c>
      <c r="BP920" s="13"/>
      <c r="BQ920" s="13"/>
      <c r="BR920" s="6" t="s">
        <v>490</v>
      </c>
    </row>
    <row r="921">
      <c r="A921" s="35">
        <v>110.0</v>
      </c>
      <c r="B921" s="35" t="s">
        <v>1060</v>
      </c>
      <c r="C921" s="53">
        <v>1.0</v>
      </c>
      <c r="D921" s="53" t="s">
        <v>1060</v>
      </c>
      <c r="E921" s="7">
        <v>880.0</v>
      </c>
      <c r="F921" s="53"/>
      <c r="G921" s="6">
        <v>0.0</v>
      </c>
      <c r="H921" s="35">
        <v>1.0</v>
      </c>
      <c r="I921" s="98">
        <v>1.0</v>
      </c>
      <c r="J921" s="137" t="s">
        <v>35</v>
      </c>
      <c r="K921" s="99"/>
      <c r="L921" s="99"/>
      <c r="M921" s="39" t="str">
        <f t="shared" si="1"/>
        <v>[https://www.researchgate.net/publication/224306349_Clock-Sampling_Mutual_Network_Synchronization_for_Mobile_Multi-hop_Wireless_Ad_Hoc_Networks Clock-sampling mutual network synchronization (2007)]</v>
      </c>
      <c r="N921" s="69" t="s">
        <v>5362</v>
      </c>
      <c r="O921" s="98">
        <v>2007.0</v>
      </c>
      <c r="P921" s="100" t="s">
        <v>5363</v>
      </c>
      <c r="Q921" s="13"/>
      <c r="R921" s="13"/>
      <c r="S921" s="13"/>
      <c r="T921" s="98">
        <v>0.0</v>
      </c>
      <c r="U921" s="35">
        <v>0.0</v>
      </c>
      <c r="V921" s="89">
        <f>IFERROR(__xludf.DUMMYFUNCTION("INDEX(SPLIT(SUBSTITUTE(W921,CHAR(10), """"),"",:""), MATCH(Z921, SPLIT(SUBSTITUTE(W921,CHAR(10), """"),"",:""), 0) + 1)"),3.0)</f>
        <v>3</v>
      </c>
      <c r="W921" s="102" t="s">
        <v>1763</v>
      </c>
      <c r="X921" s="137" t="s">
        <v>35</v>
      </c>
      <c r="Y921" s="41" t="s">
        <v>5358</v>
      </c>
      <c r="Z921" s="53" t="str">
        <f t="array" ref="Z921">INDEX(Problems!J:J, MATCH(1, (Problems!B:B=B921)*1, 0))</f>
        <v>n</v>
      </c>
      <c r="AA921" s="41"/>
      <c r="AB921" s="41"/>
      <c r="AC921" s="41" t="s">
        <v>5359</v>
      </c>
      <c r="AD921" s="41" t="s">
        <v>1814</v>
      </c>
      <c r="AE921" s="85">
        <f>IFERROR(__xludf.DUMMYFUNCTION("INDEX(SPLIT(SUBSTITUTE(AF921,CHAR(10), """"),"",:""), MATCH(Z921, SPLIT(SUBSTITUTE(AF921,CHAR(10), """"),"",:""), 0) + 1)"),1.0)</f>
        <v>1</v>
      </c>
      <c r="AF921" s="102" t="s">
        <v>1774</v>
      </c>
      <c r="AG921" s="41" t="s">
        <v>5364</v>
      </c>
      <c r="AH921" s="41" t="s">
        <v>5365</v>
      </c>
      <c r="AI921" s="108">
        <v>1.0</v>
      </c>
      <c r="AJ921" s="84">
        <v>0.0</v>
      </c>
      <c r="AK921" s="105"/>
      <c r="AL921" s="98">
        <v>0.0</v>
      </c>
      <c r="AM921" s="105"/>
      <c r="AN921" s="98">
        <v>0.0</v>
      </c>
      <c r="AO921" s="110"/>
      <c r="AP921" s="98">
        <v>0.0</v>
      </c>
      <c r="AQ921" s="98">
        <v>0.0</v>
      </c>
      <c r="AR921" s="69"/>
      <c r="AS921" s="98">
        <v>0.0</v>
      </c>
      <c r="AT921" s="98">
        <v>0.0</v>
      </c>
      <c r="AU921" s="69"/>
      <c r="AV921" s="13"/>
      <c r="AW921" s="13"/>
      <c r="AX921" s="13"/>
      <c r="AY921" s="13"/>
      <c r="AZ921" s="6">
        <f>1</f>
        <v>1</v>
      </c>
      <c r="BA921" s="6">
        <f>POW(AZ922/AZ921,1/($O921-$O922)) - 1</f>
        <v>9</v>
      </c>
      <c r="BB921" s="6">
        <v>1.0</v>
      </c>
      <c r="BC921" s="6">
        <f>POW(BB922/BB921,1/($O921-$O922)) - 1</f>
        <v>99</v>
      </c>
      <c r="BD921" s="6">
        <v>1.0</v>
      </c>
      <c r="BE921" s="6">
        <f>POW(BD922/BD921,1/($O921-$O922)) - 1</f>
        <v>999</v>
      </c>
      <c r="BF921" s="6">
        <v>1000.0</v>
      </c>
      <c r="BG921" s="13"/>
      <c r="BH921" s="13"/>
      <c r="BI921" s="13"/>
      <c r="BJ921" s="13"/>
      <c r="BK921" s="13"/>
      <c r="BL921" s="13"/>
      <c r="BM921" s="13"/>
      <c r="BN921" s="6"/>
      <c r="BO921" s="6">
        <v>6.0</v>
      </c>
      <c r="BP921" s="13"/>
      <c r="BQ921" s="13"/>
      <c r="BR921" s="6" t="s">
        <v>490</v>
      </c>
    </row>
    <row r="922">
      <c r="A922" s="35">
        <v>110.0</v>
      </c>
      <c r="B922" s="35" t="s">
        <v>1060</v>
      </c>
      <c r="C922" s="53">
        <v>1.0</v>
      </c>
      <c r="D922" s="53" t="s">
        <v>1060</v>
      </c>
      <c r="E922" s="7">
        <v>881.0</v>
      </c>
      <c r="F922" s="53"/>
      <c r="G922" s="6">
        <v>0.0</v>
      </c>
      <c r="H922" s="35">
        <v>1.0</v>
      </c>
      <c r="I922" s="98">
        <v>1.0</v>
      </c>
      <c r="J922" s="137" t="s">
        <v>35</v>
      </c>
      <c r="K922" s="99"/>
      <c r="L922" s="99"/>
      <c r="M922" s="39" t="str">
        <f t="shared" si="1"/>
        <v>[https://ieeexplore.ieee.org/document/4359404 MATSF (2004)]</v>
      </c>
      <c r="N922" s="69" t="s">
        <v>5366</v>
      </c>
      <c r="O922" s="98">
        <v>2004.0</v>
      </c>
      <c r="P922" s="100" t="s">
        <v>5367</v>
      </c>
      <c r="Q922" s="13"/>
      <c r="R922" s="13"/>
      <c r="S922" s="13"/>
      <c r="T922" s="98">
        <v>0.0</v>
      </c>
      <c r="U922" s="35">
        <v>0.0</v>
      </c>
      <c r="V922" s="89">
        <f>IFERROR(__xludf.DUMMYFUNCTION("INDEX(SPLIT(SUBSTITUTE(W922,CHAR(10), """"),"",:""), MATCH(Z922, SPLIT(SUBSTITUTE(W922,CHAR(10), """"),"",:""), 0) + 1)"),3.0)</f>
        <v>3</v>
      </c>
      <c r="W922" s="102" t="s">
        <v>1763</v>
      </c>
      <c r="X922" s="137" t="s">
        <v>35</v>
      </c>
      <c r="Y922" s="41" t="s">
        <v>5358</v>
      </c>
      <c r="Z922" s="53" t="str">
        <f t="array" ref="Z922">INDEX(Problems!J:J, MATCH(1, (Problems!B:B=B922)*1, 0))</f>
        <v>n</v>
      </c>
      <c r="AA922" s="41"/>
      <c r="AB922" s="41"/>
      <c r="AC922" s="41" t="s">
        <v>5359</v>
      </c>
      <c r="AD922" s="41" t="s">
        <v>1814</v>
      </c>
      <c r="AE922" s="85">
        <f>IFERROR(__xludf.DUMMYFUNCTION("INDEX(SPLIT(SUBSTITUTE(AF922,CHAR(10), """"),"",:""), MATCH(Z922, SPLIT(SUBSTITUTE(AF922,CHAR(10), """"),"",:""), 0) + 1)"),3.0)</f>
        <v>3</v>
      </c>
      <c r="AF922" s="102" t="s">
        <v>1763</v>
      </c>
      <c r="AG922" s="41" t="s">
        <v>5368</v>
      </c>
      <c r="AH922" s="41" t="s">
        <v>5361</v>
      </c>
      <c r="AI922" s="108">
        <v>1.0</v>
      </c>
      <c r="AJ922" s="84">
        <v>0.0</v>
      </c>
      <c r="AK922" s="105"/>
      <c r="AL922" s="98">
        <v>0.0</v>
      </c>
      <c r="AM922" s="105"/>
      <c r="AN922" s="98">
        <v>0.0</v>
      </c>
      <c r="AO922" s="110"/>
      <c r="AP922" s="98">
        <v>0.0</v>
      </c>
      <c r="AQ922" s="98">
        <v>0.0</v>
      </c>
      <c r="AR922" s="69"/>
      <c r="AS922" s="98">
        <v>0.0</v>
      </c>
      <c r="AT922" s="98">
        <v>0.0</v>
      </c>
      <c r="AU922" s="69"/>
      <c r="AV922" s="13"/>
      <c r="AW922" s="13"/>
      <c r="AX922" s="13"/>
      <c r="AY922" s="13"/>
      <c r="AZ922" s="6">
        <f> 1000</f>
        <v>1000</v>
      </c>
      <c r="BA922" s="6"/>
      <c r="BB922" s="6">
        <f> 1000000</f>
        <v>1000000</v>
      </c>
      <c r="BC922" s="6"/>
      <c r="BD922" s="6">
        <f> 1000000000</f>
        <v>1000000000</v>
      </c>
      <c r="BE922" s="6"/>
      <c r="BF922" s="6">
        <v>1000.0</v>
      </c>
      <c r="BG922" s="13"/>
      <c r="BH922" s="13"/>
      <c r="BI922" s="13"/>
      <c r="BJ922" s="13"/>
      <c r="BK922" s="13"/>
      <c r="BL922" s="13"/>
      <c r="BM922" s="13"/>
      <c r="BN922" s="6"/>
      <c r="BO922" s="6">
        <v>6.0</v>
      </c>
      <c r="BP922" s="13"/>
      <c r="BQ922" s="13"/>
      <c r="BR922" s="6" t="s">
        <v>490</v>
      </c>
    </row>
    <row r="923">
      <c r="A923" s="35">
        <v>116.0</v>
      </c>
      <c r="B923" s="35" t="s">
        <v>1082</v>
      </c>
      <c r="C923" s="53">
        <v>2.0</v>
      </c>
      <c r="D923" s="53" t="s">
        <v>1082</v>
      </c>
      <c r="E923" s="7">
        <v>911.0</v>
      </c>
      <c r="F923" s="53"/>
      <c r="G923" s="6">
        <v>0.0</v>
      </c>
      <c r="H923" s="35">
        <v>1.0</v>
      </c>
      <c r="I923" s="98">
        <v>1.0</v>
      </c>
      <c r="J923" s="41" t="s">
        <v>5369</v>
      </c>
      <c r="K923" s="41" t="s">
        <v>3618</v>
      </c>
      <c r="L923" s="41" t="s">
        <v>5370</v>
      </c>
      <c r="M923" s="39" t="str">
        <f t="shared" si="1"/>
        <v>[http://rosalind.info/problems/ba1n/ Iterative naive (1940)]</v>
      </c>
      <c r="N923" s="69" t="s">
        <v>5371</v>
      </c>
      <c r="O923" s="98">
        <v>1940.0</v>
      </c>
      <c r="P923" s="100" t="s">
        <v>5372</v>
      </c>
      <c r="Q923" s="6">
        <v>1.0</v>
      </c>
      <c r="R923" s="6">
        <v>1.0</v>
      </c>
      <c r="S923" s="13"/>
      <c r="T923" s="98">
        <v>1.0</v>
      </c>
      <c r="U923" s="35">
        <v>0.0</v>
      </c>
      <c r="V923" s="89">
        <f>IFERROR(__xludf.DUMMYFUNCTION("INDEX(SPLIT(SUBSTITUTE(W923,CHAR(10), """"),"",:""), MATCH(Z923, SPLIT(SUBSTITUTE(W923,CHAR(10), """"),"",:""), 0) + 1)"),8.0)</f>
        <v>8</v>
      </c>
      <c r="W923" s="181" t="s">
        <v>2001</v>
      </c>
      <c r="X923" s="41" t="s">
        <v>5373</v>
      </c>
      <c r="Y923" s="41" t="s">
        <v>5374</v>
      </c>
      <c r="Z923" s="53" t="str">
        <f t="array" ref="Z923">INDEX(Problems!J:J, MATCH(1, (Problems!B:B=B923)*1, 0))</f>
        <v>n</v>
      </c>
      <c r="AA923" s="41"/>
      <c r="AB923" s="41"/>
      <c r="AC923" s="41" t="s">
        <v>1813</v>
      </c>
      <c r="AD923" s="41" t="s">
        <v>1814</v>
      </c>
      <c r="AE923" s="85">
        <f>IFERROR(__xludf.DUMMYFUNCTION("INDEX(SPLIT(SUBSTITUTE(AF923,CHAR(10), """"),"",:""), MATCH(Z923, SPLIT(SUBSTITUTE(AF923,CHAR(10), """"),"",:""), 0) + 1)"),3.0)</f>
        <v>3</v>
      </c>
      <c r="AF923" s="102" t="s">
        <v>1763</v>
      </c>
      <c r="AG923" s="41" t="s">
        <v>35</v>
      </c>
      <c r="AH923" s="41" t="s">
        <v>5375</v>
      </c>
      <c r="AI923" s="108">
        <v>1.0</v>
      </c>
      <c r="AJ923" s="84">
        <v>0.0</v>
      </c>
      <c r="AK923" s="105"/>
      <c r="AL923" s="98">
        <v>0.0</v>
      </c>
      <c r="AM923" s="105"/>
      <c r="AN923" s="98">
        <v>0.0</v>
      </c>
      <c r="AO923" s="110"/>
      <c r="AP923" s="98">
        <v>0.0</v>
      </c>
      <c r="AQ923" s="98">
        <v>0.0</v>
      </c>
      <c r="AR923" s="69"/>
      <c r="AS923" s="98">
        <v>0.0</v>
      </c>
      <c r="AT923" s="98">
        <v>0.0</v>
      </c>
      <c r="AU923" s="100" t="s">
        <v>5372</v>
      </c>
      <c r="AV923" s="13"/>
      <c r="AW923" s="13"/>
      <c r="AX923" s="13"/>
      <c r="AY923" s="13"/>
      <c r="AZ923" s="6"/>
      <c r="BA923" s="6"/>
      <c r="BB923" s="6"/>
      <c r="BC923" s="6"/>
      <c r="BD923" s="6"/>
      <c r="BE923" s="6"/>
      <c r="BF923" s="6">
        <v>1000000.0</v>
      </c>
      <c r="BG923" s="6">
        <v>1.0</v>
      </c>
      <c r="BH923" s="6"/>
      <c r="BI923" s="6">
        <v>1.0E12</v>
      </c>
      <c r="BJ923" s="6">
        <v>1.0</v>
      </c>
      <c r="BK923" s="6"/>
      <c r="BL923" s="6">
        <v>1.0E18</v>
      </c>
      <c r="BM923" s="6">
        <v>1.0</v>
      </c>
      <c r="BN923" s="6"/>
      <c r="BO923" s="6">
        <v>4.0</v>
      </c>
      <c r="BP923" s="13"/>
      <c r="BQ923" s="13"/>
      <c r="BR923" s="6" t="s">
        <v>433</v>
      </c>
    </row>
    <row r="924">
      <c r="A924" s="35">
        <v>117.0</v>
      </c>
      <c r="B924" s="35" t="s">
        <v>1086</v>
      </c>
      <c r="C924" s="53">
        <v>0.001</v>
      </c>
      <c r="D924" s="53" t="s">
        <v>1086</v>
      </c>
      <c r="E924" s="7">
        <v>912.0</v>
      </c>
      <c r="F924" s="53"/>
      <c r="G924" s="6"/>
      <c r="H924" s="35">
        <v>1.0</v>
      </c>
      <c r="I924" s="35">
        <v>1.0</v>
      </c>
      <c r="J924" s="69" t="s">
        <v>2552</v>
      </c>
      <c r="K924" s="41"/>
      <c r="L924" s="41"/>
      <c r="M924" s="39" t="str">
        <f t="shared" si="1"/>
        <v>[ Hadlock (1975)]</v>
      </c>
      <c r="N924" s="35" t="s">
        <v>5376</v>
      </c>
      <c r="O924" s="98">
        <v>1975.0</v>
      </c>
      <c r="P924" s="69"/>
      <c r="Q924" s="6">
        <v>1.0</v>
      </c>
      <c r="R924" s="6">
        <v>1.0</v>
      </c>
      <c r="S924" s="13"/>
      <c r="T924" s="35">
        <v>1.0</v>
      </c>
      <c r="U924" s="35">
        <v>0.0</v>
      </c>
      <c r="V924" s="89">
        <f>IFERROR(__xludf.DUMMYFUNCTION("INDEX(SPLIT(SUBSTITUTE(W924,CHAR(10), """"),"",:""), MATCH(Z924, SPLIT(SUBSTITUTE(W924,CHAR(10), """"),"",:""), 0) + 1)"),8.0)</f>
        <v>8</v>
      </c>
      <c r="W924" s="102" t="s">
        <v>2001</v>
      </c>
      <c r="X924" s="35" t="s">
        <v>789</v>
      </c>
      <c r="Y924" s="41" t="s">
        <v>2102</v>
      </c>
      <c r="Z924" s="53" t="str">
        <f t="array" ref="Z924">INDEX(Problems!J:J, MATCH(1, (Problems!B:B=B924)*1, 0))</f>
        <v>n</v>
      </c>
      <c r="AA924" s="41"/>
      <c r="AB924" s="41"/>
      <c r="AC924" s="41" t="s">
        <v>1813</v>
      </c>
      <c r="AD924" s="41" t="s">
        <v>1814</v>
      </c>
      <c r="AE924" s="85" t="str">
        <f>IFERROR(__xludf.DUMMYFUNCTION("INDEX(SPLIT(SUBSTITUTE(AF924,CHAR(10), """"),"",:""), MATCH(Z924, SPLIT(SUBSTITUTE(AF924,CHAR(10), """"),"",:""), 0) + 1)"),"#VALUE!")</f>
        <v>#VALUE!</v>
      </c>
      <c r="AF924" s="102"/>
      <c r="AG924" s="41"/>
      <c r="AH924" s="41"/>
      <c r="AI924" s="104"/>
      <c r="AJ924" s="84" t="s">
        <v>2520</v>
      </c>
      <c r="AK924" s="104"/>
      <c r="AL924" s="35">
        <v>0.0</v>
      </c>
      <c r="AM924" s="104"/>
      <c r="AN924" s="35">
        <v>0.0</v>
      </c>
      <c r="AO924" s="110"/>
      <c r="AP924" s="35">
        <v>0.0</v>
      </c>
      <c r="AQ924" s="35">
        <v>0.0</v>
      </c>
      <c r="AR924" s="69"/>
      <c r="AS924" s="98">
        <v>0.0</v>
      </c>
      <c r="AT924" s="98">
        <v>0.0</v>
      </c>
      <c r="AU924" s="69"/>
      <c r="AV924" s="13"/>
      <c r="AW924" s="13"/>
      <c r="AX924" s="13"/>
      <c r="AY924" s="6" t="s">
        <v>2972</v>
      </c>
      <c r="AZ924" s="6"/>
      <c r="BA924" s="6"/>
      <c r="BB924" s="6"/>
      <c r="BC924" s="6"/>
      <c r="BD924" s="6"/>
      <c r="BE924" s="6"/>
      <c r="BF924" s="6" t="s">
        <v>1781</v>
      </c>
      <c r="BG924" s="6">
        <v>1.0</v>
      </c>
      <c r="BH924" s="6"/>
      <c r="BI924" s="6" t="s">
        <v>1781</v>
      </c>
      <c r="BJ924" s="6">
        <v>1.0</v>
      </c>
      <c r="BK924" s="6"/>
      <c r="BL924" s="6" t="s">
        <v>1781</v>
      </c>
      <c r="BM924" s="6">
        <v>1.0</v>
      </c>
      <c r="BN924" s="6"/>
      <c r="BO924" s="6">
        <v>1.0</v>
      </c>
      <c r="BP924" s="13"/>
      <c r="BQ924" s="13"/>
      <c r="BR924" s="6" t="s">
        <v>23</v>
      </c>
    </row>
    <row r="925">
      <c r="A925" s="35">
        <v>117.0</v>
      </c>
      <c r="B925" s="35" t="s">
        <v>1086</v>
      </c>
      <c r="C925" s="53">
        <v>2.0</v>
      </c>
      <c r="D925" s="53" t="s">
        <v>5377</v>
      </c>
      <c r="E925" s="7">
        <v>913.0</v>
      </c>
      <c r="F925" s="53"/>
      <c r="G925" s="6"/>
      <c r="H925" s="35">
        <v>1.0</v>
      </c>
      <c r="I925" s="35">
        <v>1.0</v>
      </c>
      <c r="J925" s="104" t="s">
        <v>2562</v>
      </c>
      <c r="K925" s="99"/>
      <c r="L925" s="99"/>
      <c r="M925" s="39" t="str">
        <f t="shared" si="1"/>
        <v>[https://rajsain.files.wordpress.com/2013/11/randomized-algorithms-motwani-and-raghavan.pdf Motwani &amp; Raghavan (1995)]</v>
      </c>
      <c r="N925" s="35" t="s">
        <v>5378</v>
      </c>
      <c r="O925" s="98">
        <v>1995.0</v>
      </c>
      <c r="P925" s="106" t="s">
        <v>5379</v>
      </c>
      <c r="Q925" s="13"/>
      <c r="R925" s="13"/>
      <c r="S925" s="13"/>
      <c r="T925" s="35">
        <v>0.0</v>
      </c>
      <c r="U925" s="35">
        <v>0.0</v>
      </c>
      <c r="V925" s="89">
        <f>IFERROR(__xludf.DUMMYFUNCTION("INDEX(SPLIT(SUBSTITUTE(W925,CHAR(10), """"),"",:""), MATCH(Z925, SPLIT(SUBSTITUTE(W925,CHAR(10), """"),"",:""), 0) + 1)"),3.0)</f>
        <v>3</v>
      </c>
      <c r="W925" s="102" t="s">
        <v>1763</v>
      </c>
      <c r="X925" s="104" t="s">
        <v>2625</v>
      </c>
      <c r="Y925" s="41" t="s">
        <v>2102</v>
      </c>
      <c r="Z925" s="53" t="str">
        <f t="array" ref="Z925">INDEX(Problems!J:J, MATCH(1, (Problems!B:B=B925)*1, 0))</f>
        <v>n</v>
      </c>
      <c r="AA925" s="41"/>
      <c r="AB925" s="41"/>
      <c r="AC925" s="41" t="s">
        <v>1813</v>
      </c>
      <c r="AD925" s="41" t="s">
        <v>1814</v>
      </c>
      <c r="AE925" s="85">
        <f>IFERROR(__xludf.DUMMYFUNCTION("INDEX(SPLIT(SUBSTITUTE(AF925,CHAR(10), """"),"",:""), MATCH(Z925, SPLIT(SUBSTITUTE(AF925,CHAR(10), """"),"",:""), 0) + 1)"),3.0)</f>
        <v>3</v>
      </c>
      <c r="AF925" s="102" t="s">
        <v>1763</v>
      </c>
      <c r="AG925" s="41" t="s">
        <v>35</v>
      </c>
      <c r="AH925" s="41" t="s">
        <v>5380</v>
      </c>
      <c r="AI925" s="104">
        <v>1.0</v>
      </c>
      <c r="AJ925" s="84">
        <v>0.0</v>
      </c>
      <c r="AK925" s="104"/>
      <c r="AL925" s="104">
        <v>1.0</v>
      </c>
      <c r="AM925" s="104" t="s">
        <v>1907</v>
      </c>
      <c r="AN925" s="104">
        <v>1.0</v>
      </c>
      <c r="AO925" s="104">
        <v>0.5</v>
      </c>
      <c r="AP925" s="35">
        <v>0.0</v>
      </c>
      <c r="AQ925" s="35">
        <v>0.0</v>
      </c>
      <c r="AR925" s="69"/>
      <c r="AS925" s="98">
        <v>0.0</v>
      </c>
      <c r="AT925" s="98">
        <v>0.0</v>
      </c>
      <c r="AU925" s="69"/>
      <c r="AV925" s="13"/>
      <c r="AW925" s="13"/>
      <c r="AX925" s="13"/>
      <c r="AY925" s="13"/>
      <c r="AZ925" s="6"/>
      <c r="BA925" s="6"/>
      <c r="BB925" s="6"/>
      <c r="BC925" s="6"/>
      <c r="BD925" s="6"/>
      <c r="BE925" s="6"/>
      <c r="BF925" s="6" t="s">
        <v>1781</v>
      </c>
      <c r="BG925" s="13"/>
      <c r="BH925" s="13"/>
      <c r="BI925" s="13"/>
      <c r="BJ925" s="13"/>
      <c r="BK925" s="13"/>
      <c r="BL925" s="13"/>
      <c r="BM925" s="13"/>
      <c r="BN925" s="6"/>
      <c r="BO925" s="6">
        <v>1.0</v>
      </c>
      <c r="BP925" s="13"/>
      <c r="BQ925" s="13"/>
      <c r="BR925" s="6" t="s">
        <v>23</v>
      </c>
    </row>
    <row r="926">
      <c r="A926" s="35">
        <v>117.0</v>
      </c>
      <c r="B926" s="35" t="s">
        <v>1086</v>
      </c>
      <c r="C926" s="53">
        <v>2.0</v>
      </c>
      <c r="D926" s="53" t="s">
        <v>5377</v>
      </c>
      <c r="E926" s="7">
        <v>914.0</v>
      </c>
      <c r="F926" s="53"/>
      <c r="G926" s="6"/>
      <c r="H926" s="35">
        <v>1.0</v>
      </c>
      <c r="I926" s="35">
        <v>1.0</v>
      </c>
      <c r="J926" s="104" t="s">
        <v>2755</v>
      </c>
      <c r="K926" s="99"/>
      <c r="L926" s="99"/>
      <c r="M926" s="39" t="str">
        <f t="shared" si="1"/>
        <v>[http://lib.ysu.am/open_books/413311.pdf Mitzenmacher &amp; Upfal (2005)]</v>
      </c>
      <c r="N926" s="35" t="s">
        <v>5381</v>
      </c>
      <c r="O926" s="98">
        <v>2005.0</v>
      </c>
      <c r="P926" s="106" t="s">
        <v>5382</v>
      </c>
      <c r="Q926" s="13"/>
      <c r="R926" s="13"/>
      <c r="S926" s="13"/>
      <c r="T926" s="35">
        <v>0.0</v>
      </c>
      <c r="U926" s="35">
        <v>0.0</v>
      </c>
      <c r="V926" s="89">
        <f>IFERROR(__xludf.DUMMYFUNCTION("INDEX(SPLIT(SUBSTITUTE(W926,CHAR(10), """"),"",:""), MATCH(Z926, SPLIT(SUBSTITUTE(W926,CHAR(10), """"),"",:""), 0) + 1)"),6.0)</f>
        <v>6</v>
      </c>
      <c r="W926" s="102" t="s">
        <v>5257</v>
      </c>
      <c r="X926" s="104" t="s">
        <v>3296</v>
      </c>
      <c r="Y926" s="41" t="s">
        <v>2102</v>
      </c>
      <c r="Z926" s="53" t="str">
        <f t="array" ref="Z926">INDEX(Problems!J:J, MATCH(1, (Problems!B:B=B926)*1, 0))</f>
        <v>n</v>
      </c>
      <c r="AA926" s="41"/>
      <c r="AB926" s="41"/>
      <c r="AC926" s="41" t="s">
        <v>1813</v>
      </c>
      <c r="AD926" s="41" t="s">
        <v>1814</v>
      </c>
      <c r="AE926" s="85">
        <f>IFERROR(__xludf.DUMMYFUNCTION("INDEX(SPLIT(SUBSTITUTE(AF926,CHAR(10), """"),"",:""), MATCH(Z926, SPLIT(SUBSTITUTE(AF926,CHAR(10), """"),"",:""), 0) + 1)"),3.0)</f>
        <v>3</v>
      </c>
      <c r="AF926" s="102" t="s">
        <v>1763</v>
      </c>
      <c r="AG926" s="41" t="s">
        <v>35</v>
      </c>
      <c r="AH926" s="41" t="s">
        <v>5383</v>
      </c>
      <c r="AI926" s="104">
        <v>1.0</v>
      </c>
      <c r="AJ926" s="84">
        <v>0.0</v>
      </c>
      <c r="AK926" s="104"/>
      <c r="AL926" s="35">
        <v>0.0</v>
      </c>
      <c r="AM926" s="104"/>
      <c r="AN926" s="104">
        <v>1.0</v>
      </c>
      <c r="AO926" s="104">
        <v>0.5</v>
      </c>
      <c r="AP926" s="35">
        <v>0.0</v>
      </c>
      <c r="AQ926" s="35">
        <v>0.0</v>
      </c>
      <c r="AR926" s="69"/>
      <c r="AS926" s="98">
        <v>0.0</v>
      </c>
      <c r="AT926" s="98">
        <v>0.0</v>
      </c>
      <c r="AU926" s="69"/>
      <c r="AV926" s="13"/>
      <c r="AW926" s="13"/>
      <c r="AX926" s="13"/>
      <c r="AY926" s="13"/>
      <c r="AZ926" s="13"/>
      <c r="BA926" s="13"/>
      <c r="BB926" s="13"/>
      <c r="BC926" s="13"/>
      <c r="BD926" s="13"/>
      <c r="BE926" s="13"/>
      <c r="BF926" s="13"/>
      <c r="BG926" s="13"/>
      <c r="BH926" s="13"/>
      <c r="BI926" s="13"/>
      <c r="BJ926" s="13"/>
      <c r="BK926" s="13"/>
      <c r="BL926" s="13"/>
      <c r="BM926" s="13"/>
      <c r="BN926" s="6"/>
      <c r="BO926" s="6">
        <v>1.0</v>
      </c>
      <c r="BP926" s="13"/>
      <c r="BQ926" s="13"/>
      <c r="BR926" s="6" t="s">
        <v>23</v>
      </c>
    </row>
    <row r="927">
      <c r="A927" s="35">
        <v>117.0</v>
      </c>
      <c r="B927" s="35" t="s">
        <v>1086</v>
      </c>
      <c r="C927" s="53">
        <v>2.0</v>
      </c>
      <c r="D927" s="53" t="s">
        <v>5377</v>
      </c>
      <c r="E927" s="7">
        <v>915.0</v>
      </c>
      <c r="F927" s="53"/>
      <c r="G927" s="6"/>
      <c r="H927" s="35">
        <v>1.0</v>
      </c>
      <c r="I927" s="35">
        <v>1.0</v>
      </c>
      <c r="J927" s="104" t="s">
        <v>4496</v>
      </c>
      <c r="K927" s="99"/>
      <c r="L927" s="99"/>
      <c r="M927" s="39" t="str">
        <f t="shared" si="1"/>
        <v>[https://doc.lagout.org/science/0_Computer%20Science/2_Algorithms/Handbook%20of%20Approximation%20Algorithms%20and%20Metaheuristics%20%5BGonzalez%202007-01-05%5D.pdf Khuller; Raghavachari &amp; Young, "Greedy Methods" (2007)]</v>
      </c>
      <c r="N927" s="35" t="s">
        <v>5384</v>
      </c>
      <c r="O927" s="98">
        <v>2007.0</v>
      </c>
      <c r="P927" s="106" t="s">
        <v>5385</v>
      </c>
      <c r="Q927" s="13"/>
      <c r="R927" s="13"/>
      <c r="S927" s="13"/>
      <c r="T927" s="35">
        <v>1.0</v>
      </c>
      <c r="U927" s="35" t="s">
        <v>2019</v>
      </c>
      <c r="V927" s="89">
        <f>IFERROR(__xludf.DUMMYFUNCTION("INDEX(SPLIT(SUBSTITUTE(W927,CHAR(10), """"),"",:""), MATCH(Z927, SPLIT(SUBSTITUTE(W927,CHAR(10), """"),"",:""), 0) + 1)"),5.0)</f>
        <v>5</v>
      </c>
      <c r="W927" s="102" t="s">
        <v>1938</v>
      </c>
      <c r="X927" s="104" t="s">
        <v>2615</v>
      </c>
      <c r="Y927" s="41" t="s">
        <v>2102</v>
      </c>
      <c r="Z927" s="53" t="str">
        <f t="array" ref="Z927">INDEX(Problems!J:J, MATCH(1, (Problems!B:B=B927)*1, 0))</f>
        <v>n</v>
      </c>
      <c r="AA927" s="41"/>
      <c r="AB927" s="41"/>
      <c r="AC927" s="41" t="s">
        <v>1813</v>
      </c>
      <c r="AD927" s="41" t="s">
        <v>1814</v>
      </c>
      <c r="AE927" s="85">
        <f>IFERROR(__xludf.DUMMYFUNCTION("INDEX(SPLIT(SUBSTITUTE(AF927,CHAR(10), """"),"",:""), MATCH(Z927, SPLIT(SUBSTITUTE(AF927,CHAR(10), """"),"",:""), 0) + 1)"),3.0)</f>
        <v>3</v>
      </c>
      <c r="AF927" s="102" t="s">
        <v>1763</v>
      </c>
      <c r="AG927" s="41" t="s">
        <v>35</v>
      </c>
      <c r="AH927" s="41" t="s">
        <v>5383</v>
      </c>
      <c r="AI927" s="104">
        <v>1.0</v>
      </c>
      <c r="AJ927" s="84">
        <v>0.0</v>
      </c>
      <c r="AK927" s="104"/>
      <c r="AL927" s="35">
        <v>0.0</v>
      </c>
      <c r="AM927" s="104"/>
      <c r="AN927" s="104">
        <v>1.0</v>
      </c>
      <c r="AO927" s="104">
        <v>0.5</v>
      </c>
      <c r="AP927" s="35">
        <v>0.0</v>
      </c>
      <c r="AQ927" s="35">
        <v>0.0</v>
      </c>
      <c r="AR927" s="69"/>
      <c r="AS927" s="98">
        <v>0.0</v>
      </c>
      <c r="AT927" s="98">
        <v>0.0</v>
      </c>
      <c r="AU927" s="69"/>
      <c r="AV927" s="13"/>
      <c r="AW927" s="13"/>
      <c r="AX927" s="13"/>
      <c r="AY927" s="13"/>
      <c r="AZ927" s="13"/>
      <c r="BA927" s="13"/>
      <c r="BB927" s="13"/>
      <c r="BC927" s="13"/>
      <c r="BD927" s="13"/>
      <c r="BE927" s="13"/>
      <c r="BF927" s="13"/>
      <c r="BG927" s="13"/>
      <c r="BH927" s="13"/>
      <c r="BI927" s="13"/>
      <c r="BJ927" s="13"/>
      <c r="BK927" s="13"/>
      <c r="BL927" s="13"/>
      <c r="BM927" s="13"/>
      <c r="BN927" s="6"/>
      <c r="BO927" s="6">
        <v>1.0</v>
      </c>
      <c r="BP927" s="13"/>
      <c r="BQ927" s="13"/>
      <c r="BR927" s="6" t="s">
        <v>23</v>
      </c>
    </row>
    <row r="928">
      <c r="A928" s="35">
        <v>117.0</v>
      </c>
      <c r="B928" s="35" t="s">
        <v>1086</v>
      </c>
      <c r="C928" s="53">
        <v>1.0</v>
      </c>
      <c r="D928" s="53" t="s">
        <v>5377</v>
      </c>
      <c r="E928" s="7">
        <v>916.0</v>
      </c>
      <c r="F928" s="53"/>
      <c r="G928" s="6"/>
      <c r="H928" s="35">
        <v>1.0</v>
      </c>
      <c r="I928" s="35">
        <v>1.0</v>
      </c>
      <c r="J928" s="173" t="s">
        <v>5386</v>
      </c>
      <c r="K928" s="99"/>
      <c r="L928" s="99"/>
      <c r="M928" s="39" t="str">
        <f t="shared" si="1"/>
        <v>[https://link.springer.com/content/pdf/10.1007/978-3-642-58412-1.pdf?pdf=button Ausiello et al. (2003)]</v>
      </c>
      <c r="N928" s="35" t="s">
        <v>5387</v>
      </c>
      <c r="O928" s="98">
        <v>2003.0</v>
      </c>
      <c r="P928" s="106" t="s">
        <v>5388</v>
      </c>
      <c r="Q928" s="13"/>
      <c r="R928" s="13"/>
      <c r="S928" s="13"/>
      <c r="T928" s="35">
        <v>1.0</v>
      </c>
      <c r="U928" s="35" t="s">
        <v>2143</v>
      </c>
      <c r="V928" s="89">
        <f>IFERROR(__xludf.DUMMYFUNCTION("INDEX(SPLIT(SUBSTITUTE(W928,CHAR(10), """"),"",:""), MATCH(Z928, SPLIT(SUBSTITUTE(W928,CHAR(10), """"),"",:""), 0) + 1)"),6.01)</f>
        <v>6.01</v>
      </c>
      <c r="W928" s="102" t="s">
        <v>4142</v>
      </c>
      <c r="X928" s="61" t="s">
        <v>5389</v>
      </c>
      <c r="Y928" s="41" t="s">
        <v>2102</v>
      </c>
      <c r="Z928" s="53" t="str">
        <f t="array" ref="Z928">INDEX(Problems!J:J, MATCH(1, (Problems!B:B=B928)*1, 0))</f>
        <v>n</v>
      </c>
      <c r="AA928" s="41"/>
      <c r="AB928" s="41"/>
      <c r="AC928" s="41" t="s">
        <v>1813</v>
      </c>
      <c r="AD928" s="41" t="s">
        <v>1814</v>
      </c>
      <c r="AE928" s="85">
        <f>IFERROR(__xludf.DUMMYFUNCTION("INDEX(SPLIT(SUBSTITUTE(AF928,CHAR(10), """"),"",:""), MATCH(Z928, SPLIT(SUBSTITUTE(AF928,CHAR(10), """"),"",:""), 0) + 1)"),5.0)</f>
        <v>5</v>
      </c>
      <c r="AF928" s="102" t="s">
        <v>1938</v>
      </c>
      <c r="AG928" s="41" t="s">
        <v>2615</v>
      </c>
      <c r="AH928" s="41" t="s">
        <v>5390</v>
      </c>
      <c r="AI928" s="104">
        <v>1.0</v>
      </c>
      <c r="AJ928" s="84">
        <v>0.0</v>
      </c>
      <c r="AK928" s="104"/>
      <c r="AL928" s="35">
        <v>0.0</v>
      </c>
      <c r="AM928" s="104"/>
      <c r="AN928" s="104">
        <v>1.0</v>
      </c>
      <c r="AO928" s="104" t="s">
        <v>5391</v>
      </c>
      <c r="AP928" s="35">
        <v>0.0</v>
      </c>
      <c r="AQ928" s="35">
        <v>0.0</v>
      </c>
      <c r="AR928" s="69"/>
      <c r="AS928" s="98">
        <v>0.0</v>
      </c>
      <c r="AT928" s="98">
        <v>0.0</v>
      </c>
      <c r="AU928" s="69"/>
      <c r="AV928" s="13"/>
      <c r="AW928" s="13"/>
      <c r="AX928" s="13"/>
      <c r="AY928" s="13"/>
      <c r="AZ928" s="13"/>
      <c r="BA928" s="13"/>
      <c r="BB928" s="13"/>
      <c r="BC928" s="13"/>
      <c r="BD928" s="13"/>
      <c r="BE928" s="13"/>
      <c r="BF928" s="13"/>
      <c r="BG928" s="13"/>
      <c r="BH928" s="13"/>
      <c r="BI928" s="13"/>
      <c r="BJ928" s="13"/>
      <c r="BK928" s="13"/>
      <c r="BL928" s="13"/>
      <c r="BM928" s="13"/>
      <c r="BN928" s="6"/>
      <c r="BO928" s="6">
        <v>1.0</v>
      </c>
      <c r="BP928" s="13"/>
      <c r="BQ928" s="13"/>
      <c r="BR928" s="6" t="s">
        <v>23</v>
      </c>
    </row>
    <row r="929">
      <c r="A929" s="35">
        <v>117.0</v>
      </c>
      <c r="B929" s="35" t="s">
        <v>1086</v>
      </c>
      <c r="C929" s="53">
        <v>0.001</v>
      </c>
      <c r="D929" s="53" t="s">
        <v>5377</v>
      </c>
      <c r="E929" s="7">
        <v>917.0</v>
      </c>
      <c r="F929" s="53"/>
      <c r="G929" s="6"/>
      <c r="H929" s="35">
        <v>1.0</v>
      </c>
      <c r="I929" s="35">
        <v>1.0</v>
      </c>
      <c r="J929" s="173" t="s">
        <v>2825</v>
      </c>
      <c r="K929" s="99"/>
      <c r="L929" s="99"/>
      <c r="M929" s="39" t="str">
        <f t="shared" si="1"/>
        <v>[https://pubsonline.informs.org/doi/epdf/10.1287/ijoc.2017.0798 Dunning; Gupta &amp; Silberholz (2018)]</v>
      </c>
      <c r="N929" s="35" t="s">
        <v>5392</v>
      </c>
      <c r="O929" s="98">
        <v>2018.0</v>
      </c>
      <c r="P929" s="106" t="s">
        <v>5393</v>
      </c>
      <c r="Q929" s="6">
        <v>1.0</v>
      </c>
      <c r="R929" s="6">
        <v>1.0</v>
      </c>
      <c r="S929" s="18" t="s">
        <v>5394</v>
      </c>
      <c r="T929" s="35">
        <v>1.0</v>
      </c>
      <c r="U929" s="35" t="s">
        <v>2425</v>
      </c>
      <c r="V929" s="89">
        <f>IFERROR(__xludf.DUMMYFUNCTION("INDEX(SPLIT(SUBSTITUTE(W929,CHAR(10), """"),"",:""), MATCH(Z929, SPLIT(SUBSTITUTE(W929,CHAR(10), """"),"",:""), 0) + 1)"),6.0)</f>
        <v>6</v>
      </c>
      <c r="W929" s="102" t="s">
        <v>5257</v>
      </c>
      <c r="X929" s="61" t="s">
        <v>399</v>
      </c>
      <c r="Y929" s="41" t="s">
        <v>2102</v>
      </c>
      <c r="Z929" s="53" t="str">
        <f t="array" ref="Z929">INDEX(Problems!J:J, MATCH(1, (Problems!B:B=B929)*1, 0))</f>
        <v>n</v>
      </c>
      <c r="AA929" s="41"/>
      <c r="AB929" s="41"/>
      <c r="AC929" s="41" t="s">
        <v>1813</v>
      </c>
      <c r="AD929" s="41" t="s">
        <v>1814</v>
      </c>
      <c r="AE929" s="85" t="str">
        <f>IFERROR(__xludf.DUMMYFUNCTION("INDEX(SPLIT(SUBSTITUTE(AF929,CHAR(10), """"),"",:""), MATCH(Z929, SPLIT(SUBSTITUTE(AF929,CHAR(10), """"),"",:""), 0) + 1)"),"#VALUE!")</f>
        <v>#VALUE!</v>
      </c>
      <c r="AF929" s="102"/>
      <c r="AG929" s="41"/>
      <c r="AH929" s="41"/>
      <c r="AI929" s="104"/>
      <c r="AJ929" s="84" t="s">
        <v>2520</v>
      </c>
      <c r="AK929" s="104"/>
      <c r="AL929" s="35">
        <v>0.0</v>
      </c>
      <c r="AM929" s="104"/>
      <c r="AN929" s="35">
        <v>0.0</v>
      </c>
      <c r="AO929" s="110"/>
      <c r="AP929" s="35">
        <v>0.0</v>
      </c>
      <c r="AQ929" s="35">
        <v>0.0</v>
      </c>
      <c r="AR929" s="69"/>
      <c r="AS929" s="98">
        <v>0.0</v>
      </c>
      <c r="AT929" s="98">
        <v>0.0</v>
      </c>
      <c r="AU929" s="69"/>
      <c r="AV929" s="13"/>
      <c r="AW929" s="13"/>
      <c r="AX929" s="13"/>
      <c r="AY929" s="13"/>
      <c r="AZ929" s="13"/>
      <c r="BA929" s="13"/>
      <c r="BB929" s="13"/>
      <c r="BC929" s="13"/>
      <c r="BD929" s="13"/>
      <c r="BE929" s="13"/>
      <c r="BF929" s="13">
        <f>(3/7)*1000*(4/7)*1000</f>
        <v>244897.9592</v>
      </c>
      <c r="BG929" s="6" t="s">
        <v>1781</v>
      </c>
      <c r="BH929" s="13"/>
      <c r="BI929" s="13">
        <f>(3/7)*1000000*(4/7)*1000000</f>
        <v>244897959184</v>
      </c>
      <c r="BJ929" s="6" t="s">
        <v>1781</v>
      </c>
      <c r="BK929" s="13"/>
      <c r="BL929" s="13">
        <f>(3/7)*1000000000*(4/7)*1000000000</f>
        <v>2.44898E+17</v>
      </c>
      <c r="BM929" s="6" t="s">
        <v>1781</v>
      </c>
      <c r="BN929" s="6"/>
      <c r="BO929" s="6">
        <v>1.0</v>
      </c>
      <c r="BP929" s="13"/>
      <c r="BQ929" s="13"/>
      <c r="BR929" s="6" t="s">
        <v>23</v>
      </c>
    </row>
    <row r="930">
      <c r="A930" s="35">
        <v>118.0</v>
      </c>
      <c r="B930" s="35" t="s">
        <v>1090</v>
      </c>
      <c r="C930" s="53">
        <v>1.0</v>
      </c>
      <c r="D930" s="53" t="s">
        <v>5395</v>
      </c>
      <c r="E930" s="7">
        <v>918.0</v>
      </c>
      <c r="F930" s="53"/>
      <c r="G930" s="6"/>
      <c r="H930" s="35">
        <v>1.0</v>
      </c>
      <c r="I930" s="98">
        <v>1.0</v>
      </c>
      <c r="J930" s="104" t="s">
        <v>5396</v>
      </c>
      <c r="K930" s="99"/>
      <c r="L930" s="99"/>
      <c r="M930" s="39" t="str">
        <f t="shared" si="1"/>
        <v>[https://arxiv.org/abs/1504.00513 Ruchansky (2015)]</v>
      </c>
      <c r="N930" s="35" t="s">
        <v>5397</v>
      </c>
      <c r="O930" s="98">
        <v>2015.0</v>
      </c>
      <c r="P930" s="135" t="s">
        <v>5398</v>
      </c>
      <c r="Q930" s="6">
        <v>1.0</v>
      </c>
      <c r="R930" s="6">
        <v>1.0</v>
      </c>
      <c r="S930" s="18" t="s">
        <v>5399</v>
      </c>
      <c r="T930" s="98">
        <v>1.0</v>
      </c>
      <c r="U930" s="35">
        <v>0.0</v>
      </c>
      <c r="V930" s="89">
        <f>IFERROR(__xludf.DUMMYFUNCTION("INDEX(SPLIT(SUBSTITUTE(W930,CHAR(10), """"),"",:""), MATCH(Z930, SPLIT(SUBSTITUTE(W930,CHAR(10), """"),"",:""), 0) + 1)"),5.01)</f>
        <v>5.01</v>
      </c>
      <c r="W930" s="102" t="s">
        <v>1890</v>
      </c>
      <c r="X930" s="104" t="s">
        <v>5396</v>
      </c>
      <c r="Y930" s="41" t="s">
        <v>5400</v>
      </c>
      <c r="Z930" s="53" t="str">
        <f t="array" ref="Z930">INDEX(Problems!J:J, MATCH(1, (Problems!B:B=B930)*1, 0))</f>
        <v>n</v>
      </c>
      <c r="AA930" s="41"/>
      <c r="AB930" s="41"/>
      <c r="AC930" s="41" t="s">
        <v>1813</v>
      </c>
      <c r="AD930" s="41" t="s">
        <v>1814</v>
      </c>
      <c r="AE930" s="85">
        <f>IFERROR(__xludf.DUMMYFUNCTION("INDEX(SPLIT(SUBSTITUTE(AF930,CHAR(10), """"),"",:""), MATCH(Z930, SPLIT(SUBSTITUTE(AF930,CHAR(10), """"),"",:""), 0) + 1)"),5.0)</f>
        <v>5</v>
      </c>
      <c r="AF930" s="102" t="s">
        <v>5401</v>
      </c>
      <c r="AG930" s="41" t="s">
        <v>5402</v>
      </c>
      <c r="AH930" s="41" t="s">
        <v>5403</v>
      </c>
      <c r="AI930" s="108">
        <v>1.0</v>
      </c>
      <c r="AJ930" s="84">
        <v>0.0</v>
      </c>
      <c r="AK930" s="105"/>
      <c r="AL930" s="98">
        <v>0.0</v>
      </c>
      <c r="AM930" s="105"/>
      <c r="AN930" s="108">
        <v>1.0</v>
      </c>
      <c r="AO930" s="104" t="s">
        <v>34</v>
      </c>
      <c r="AP930" s="98">
        <v>0.0</v>
      </c>
      <c r="AQ930" s="98">
        <v>0.0</v>
      </c>
      <c r="AR930" s="69"/>
      <c r="AS930" s="98">
        <v>0.0</v>
      </c>
      <c r="AT930" s="98">
        <v>0.0</v>
      </c>
      <c r="AU930" s="100" t="s">
        <v>5404</v>
      </c>
      <c r="AV930" s="13"/>
      <c r="AW930" s="13"/>
      <c r="AX930" s="13"/>
      <c r="AY930" s="13"/>
      <c r="AZ930" s="6"/>
      <c r="BA930" s="6"/>
      <c r="BB930" s="6"/>
      <c r="BC930" s="6"/>
      <c r="BD930" s="6"/>
      <c r="BE930" s="6"/>
      <c r="BF930" s="6" t="s">
        <v>1781</v>
      </c>
      <c r="BG930" s="6">
        <v>1.0</v>
      </c>
      <c r="BH930" s="6"/>
      <c r="BI930" s="6" t="s">
        <v>1781</v>
      </c>
      <c r="BJ930" s="6">
        <v>1.0</v>
      </c>
      <c r="BK930" s="6"/>
      <c r="BL930" s="6" t="s">
        <v>1781</v>
      </c>
      <c r="BM930" s="6">
        <v>1.0</v>
      </c>
      <c r="BN930" s="6"/>
      <c r="BO930" s="6">
        <v>1.0</v>
      </c>
      <c r="BP930" s="13"/>
      <c r="BQ930" s="13"/>
      <c r="BR930" s="6" t="s">
        <v>23</v>
      </c>
    </row>
    <row r="931">
      <c r="A931" s="35">
        <v>119.0</v>
      </c>
      <c r="B931" s="35" t="s">
        <v>1101</v>
      </c>
      <c r="C931" s="53">
        <v>2.0</v>
      </c>
      <c r="D931" s="53" t="s">
        <v>1101</v>
      </c>
      <c r="E931" s="7">
        <v>919.0</v>
      </c>
      <c r="F931" s="53"/>
      <c r="G931" s="6"/>
      <c r="H931" s="35">
        <v>1.0</v>
      </c>
      <c r="I931" s="98">
        <v>1.0</v>
      </c>
      <c r="J931" s="69" t="s">
        <v>5405</v>
      </c>
      <c r="K931" s="53" t="s">
        <v>4330</v>
      </c>
      <c r="L931" s="53" t="s">
        <v>4955</v>
      </c>
      <c r="M931" s="39" t="str">
        <f t="shared" si="1"/>
        <v>[https://www.ams.org/journals/mcom/1968-22-103/S0025-5718-1968-0226829-0/S0025-5718-1968-0226829-0.pdf Bareiss algorithm (1968)]</v>
      </c>
      <c r="N931" s="69" t="s">
        <v>5406</v>
      </c>
      <c r="O931" s="98">
        <v>1968.0</v>
      </c>
      <c r="P931" s="135" t="s">
        <v>1103</v>
      </c>
      <c r="Q931" s="13"/>
      <c r="R931" s="13"/>
      <c r="S931" s="13"/>
      <c r="T931" s="111">
        <v>1.0</v>
      </c>
      <c r="U931" s="35">
        <v>0.0</v>
      </c>
      <c r="V931" s="89">
        <f>IFERROR(__xludf.DUMMYFUNCTION("INDEX(SPLIT(SUBSTITUTE(W931,CHAR(10), """"),"",:""), MATCH(Z931, SPLIT(SUBSTITUTE(W931,CHAR(10), """"),"",:""), 0) + 1)"),5.52)</f>
        <v>5.52</v>
      </c>
      <c r="W931" s="102" t="s">
        <v>5407</v>
      </c>
      <c r="X931" s="35" t="s">
        <v>5408</v>
      </c>
      <c r="Y931" s="41" t="s">
        <v>5409</v>
      </c>
      <c r="Z931" s="53" t="str">
        <f t="array" ref="Z931">INDEX(Problems!J:J, MATCH(1, (Problems!B:B=B931)*1, 0))</f>
        <v>n^2</v>
      </c>
      <c r="AA931" s="41"/>
      <c r="AB931" s="41"/>
      <c r="AC931" s="41" t="s">
        <v>5410</v>
      </c>
      <c r="AD931" s="41" t="s">
        <v>2338</v>
      </c>
      <c r="AE931" s="85">
        <f>IFERROR(__xludf.DUMMYFUNCTION("INDEX(SPLIT(SUBSTITUTE(AF931,CHAR(10), """"),"",:""), MATCH(Z931, SPLIT(SUBSTITUTE(AF931,CHAR(10), """"),"",:""), 0) + 1)"),4.51)</f>
        <v>4.51</v>
      </c>
      <c r="AF931" s="102" t="s">
        <v>5411</v>
      </c>
      <c r="AG931" s="41" t="s">
        <v>5412</v>
      </c>
      <c r="AH931" s="41" t="s">
        <v>5413</v>
      </c>
      <c r="AI931" s="108">
        <v>1.0</v>
      </c>
      <c r="AJ931" s="84">
        <v>0.0</v>
      </c>
      <c r="AK931" s="105"/>
      <c r="AL931" s="98">
        <v>0.0</v>
      </c>
      <c r="AM931" s="105"/>
      <c r="AN931" s="98">
        <v>0.0</v>
      </c>
      <c r="AO931" s="110"/>
      <c r="AP931" s="98">
        <v>0.0</v>
      </c>
      <c r="AQ931" s="98">
        <v>0.0</v>
      </c>
      <c r="AR931" s="69"/>
      <c r="AS931" s="98">
        <v>0.0</v>
      </c>
      <c r="AT931" s="98">
        <v>0.0</v>
      </c>
      <c r="AU931" s="100" t="s">
        <v>5414</v>
      </c>
      <c r="AV931" s="13"/>
      <c r="AW931" s="13"/>
      <c r="AX931" s="13"/>
      <c r="AY931" s="13"/>
      <c r="AZ931" s="13"/>
      <c r="BA931" s="13"/>
      <c r="BB931" s="13"/>
      <c r="BC931" s="13"/>
      <c r="BD931" s="13"/>
      <c r="BE931" s="13"/>
      <c r="BF931" s="13">
        <f>POW(500,5)*POW(500,2)*POW(LOG(500,2),2) + POW(500,2)</f>
        <v>6.2801E+20</v>
      </c>
      <c r="BG931" s="6">
        <v>1.0</v>
      </c>
      <c r="BH931" s="13"/>
      <c r="BI931" s="13">
        <f>POW(500000,5)*POW(500000,2)*POW(LOG(500000,2),2) + POW(500000,2)</f>
        <v>2.80003E+42</v>
      </c>
      <c r="BJ931" s="6">
        <v>1.0</v>
      </c>
      <c r="BK931" s="13"/>
      <c r="BL931" s="13">
        <f>POW(500000000,5)*POW(500000000,2)*POW(LOG(500000000,2),2) + POW(500000000,2)</f>
        <v>6.52388E+63</v>
      </c>
      <c r="BM931" s="6">
        <v>1.0</v>
      </c>
      <c r="BN931" s="6"/>
      <c r="BO931" s="6">
        <v>2.0</v>
      </c>
      <c r="BP931" s="13"/>
      <c r="BQ931" s="13"/>
      <c r="BR931" s="6" t="s">
        <v>144</v>
      </c>
    </row>
    <row r="932">
      <c r="A932" s="35">
        <v>119.0</v>
      </c>
      <c r="B932" s="35" t="s">
        <v>1101</v>
      </c>
      <c r="C932" s="53">
        <v>2.0</v>
      </c>
      <c r="D932" s="53" t="s">
        <v>1101</v>
      </c>
      <c r="E932" s="7">
        <v>920.0</v>
      </c>
      <c r="F932" s="53"/>
      <c r="G932" s="6"/>
      <c r="H932" s="35">
        <v>1.0</v>
      </c>
      <c r="I932" s="98">
        <v>1.0</v>
      </c>
      <c r="J932" s="35" t="s">
        <v>5415</v>
      </c>
      <c r="K932" s="53" t="s">
        <v>4330</v>
      </c>
      <c r="L932" s="53" t="s">
        <v>4955</v>
      </c>
      <c r="M932" s="39" t="str">
        <f t="shared" si="1"/>
        <v>[- Bareiss algorithm with fast multiplication (1968)]</v>
      </c>
      <c r="N932" s="69" t="s">
        <v>5416</v>
      </c>
      <c r="O932" s="98">
        <v>1968.0</v>
      </c>
      <c r="P932" s="69" t="s">
        <v>1937</v>
      </c>
      <c r="Q932" s="13"/>
      <c r="R932" s="13"/>
      <c r="S932" s="13"/>
      <c r="T932" s="98">
        <v>1.0</v>
      </c>
      <c r="U932" s="35">
        <v>0.0</v>
      </c>
      <c r="V932" s="89">
        <f>IFERROR(__xludf.DUMMYFUNCTION("INDEX(SPLIT(SUBSTITUTE(W932,CHAR(10), """"),"",:""), MATCH(Z932, SPLIT(SUBSTITUTE(W932,CHAR(10), """"),"",:""), 0) + 1)"),5.011)</f>
        <v>5.011</v>
      </c>
      <c r="W932" s="102" t="s">
        <v>5417</v>
      </c>
      <c r="X932" s="35" t="s">
        <v>5418</v>
      </c>
      <c r="Y932" s="41" t="s">
        <v>5409</v>
      </c>
      <c r="Z932" s="53" t="str">
        <f t="array" ref="Z932">INDEX(Problems!J:J, MATCH(1, (Problems!B:B=B932)*1, 0))</f>
        <v>n^2</v>
      </c>
      <c r="AA932" s="41"/>
      <c r="AB932" s="41"/>
      <c r="AC932" s="41" t="s">
        <v>5410</v>
      </c>
      <c r="AD932" s="41" t="s">
        <v>2338</v>
      </c>
      <c r="AE932" s="85">
        <f>IFERROR(__xludf.DUMMYFUNCTION("INDEX(SPLIT(SUBSTITUTE(AF932,CHAR(10), """"),"",:""), MATCH(Z932, SPLIT(SUBSTITUTE(AF932,CHAR(10), """"),"",:""), 0) + 1)"),4.51)</f>
        <v>4.51</v>
      </c>
      <c r="AF932" s="102" t="s">
        <v>5411</v>
      </c>
      <c r="AG932" s="41" t="s">
        <v>5412</v>
      </c>
      <c r="AH932" s="41" t="s">
        <v>5413</v>
      </c>
      <c r="AI932" s="108">
        <v>1.0</v>
      </c>
      <c r="AJ932" s="84">
        <v>0.0</v>
      </c>
      <c r="AK932" s="105"/>
      <c r="AL932" s="98">
        <v>0.0</v>
      </c>
      <c r="AM932" s="105"/>
      <c r="AN932" s="98">
        <v>0.0</v>
      </c>
      <c r="AO932" s="104"/>
      <c r="AP932" s="98">
        <v>0.0</v>
      </c>
      <c r="AQ932" s="98">
        <v>0.0</v>
      </c>
      <c r="AR932" s="69"/>
      <c r="AS932" s="98">
        <v>0.0</v>
      </c>
      <c r="AT932" s="98">
        <v>0.0</v>
      </c>
      <c r="AU932" s="100" t="s">
        <v>5414</v>
      </c>
      <c r="AV932" s="13"/>
      <c r="AW932" s="13"/>
      <c r="AX932" s="13"/>
      <c r="AY932" s="13"/>
      <c r="AZ932" s="13"/>
      <c r="BA932" s="13"/>
      <c r="BB932" s="13"/>
      <c r="BC932" s="13"/>
      <c r="BD932" s="13"/>
      <c r="BE932" s="13"/>
      <c r="BF932" s="13">
        <f>POW(500,4)*(LOG(500,2)+500)*LOG(LOG(500,2),2) + 500</f>
        <v>100661655579702</v>
      </c>
      <c r="BG932" s="13">
        <f>BF931/BF932</f>
        <v>6238821.104</v>
      </c>
      <c r="BH932" s="13"/>
      <c r="BI932" s="13">
        <f>POW(500000,4)*(LOG(500000,2)+500000)*LOG(LOG(500000,2),2) + 500000</f>
        <v>1.3259E+29</v>
      </c>
      <c r="BJ932" s="13">
        <f>BI931/BI932</f>
        <v>21117970662591</v>
      </c>
      <c r="BK932" s="13"/>
      <c r="BL932" s="13">
        <f>POW(500000000,4)*(LOG(500000000,2)+500000000)*LOG(LOG(500000000,2),2) + 500000000</f>
        <v>1.51652E+44</v>
      </c>
      <c r="BM932" s="13">
        <f>BL931/BL932</f>
        <v>4.30188E+19</v>
      </c>
      <c r="BN932" s="6"/>
      <c r="BO932" s="6">
        <v>2.0</v>
      </c>
      <c r="BP932" s="13"/>
      <c r="BQ932" s="13"/>
      <c r="BR932" s="6" t="s">
        <v>144</v>
      </c>
    </row>
    <row r="933">
      <c r="A933" s="35">
        <v>120.0</v>
      </c>
      <c r="B933" s="6" t="s">
        <v>1104</v>
      </c>
      <c r="C933" s="53">
        <v>2.0</v>
      </c>
      <c r="D933" s="53" t="s">
        <v>1104</v>
      </c>
      <c r="E933" s="7">
        <v>921.0</v>
      </c>
      <c r="F933" s="53"/>
      <c r="G933" s="6"/>
      <c r="H933" s="35">
        <v>1.0</v>
      </c>
      <c r="I933" s="98">
        <v>1.0</v>
      </c>
      <c r="J933" s="69" t="s">
        <v>834</v>
      </c>
      <c r="K933" s="99"/>
      <c r="L933" s="99"/>
      <c r="M933" s="39" t="str">
        <f t="shared" si="1"/>
        <v>[https://www.ams.org/journals/bull/1979-01-06/S0273-0979-1979-14691-3/S0273-0979-1979-14691-3.pdf Ferguson–Forcade algorithm (1979)]</v>
      </c>
      <c r="N933" s="69" t="s">
        <v>5419</v>
      </c>
      <c r="O933" s="98">
        <v>1979.0</v>
      </c>
      <c r="P933" s="112" t="s">
        <v>5420</v>
      </c>
      <c r="Q933" s="13"/>
      <c r="R933" s="13"/>
      <c r="S933" s="13"/>
      <c r="T933" s="98">
        <v>1.0</v>
      </c>
      <c r="U933" s="35">
        <v>0.0</v>
      </c>
      <c r="V933" s="89">
        <f>IFERROR(__xludf.DUMMYFUNCTION("INDEX(SPLIT(SUBSTITUTE(W933,CHAR(10), """"),"",:""), MATCH(Z933, SPLIT(SUBSTITUTE(W933,CHAR(10), """"),"",:""), 0) + 1)"),6.0)</f>
        <v>6</v>
      </c>
      <c r="W933" s="102" t="s">
        <v>2008</v>
      </c>
      <c r="X933" s="69" t="s">
        <v>834</v>
      </c>
      <c r="Y933" s="41" t="s">
        <v>5421</v>
      </c>
      <c r="Z933" s="53" t="str">
        <f t="array" ref="Z933">INDEX(Problems!J:J, MATCH(1, (Problems!B:B=B933)*1, 0))</f>
        <v>n</v>
      </c>
      <c r="AA933" s="41"/>
      <c r="AB933" s="41"/>
      <c r="AC933" s="41" t="s">
        <v>1813</v>
      </c>
      <c r="AD933" s="41" t="s">
        <v>1814</v>
      </c>
      <c r="AE933" s="85">
        <f>IFERROR(__xludf.DUMMYFUNCTION("INDEX(SPLIT(SUBSTITUTE(AF933,CHAR(10), """"),"",:""), MATCH(Z933, SPLIT(SUBSTITUTE(AF933,CHAR(10), """"),"",:""), 0) + 1)"),5.0)</f>
        <v>5</v>
      </c>
      <c r="AF933" s="102" t="s">
        <v>1938</v>
      </c>
      <c r="AG933" s="41" t="s">
        <v>115</v>
      </c>
      <c r="AH933" s="41" t="s">
        <v>5422</v>
      </c>
      <c r="AI933" s="108">
        <v>1.0</v>
      </c>
      <c r="AJ933" s="84">
        <v>0.0</v>
      </c>
      <c r="AK933" s="105"/>
      <c r="AL933" s="98">
        <v>0.0</v>
      </c>
      <c r="AM933" s="105"/>
      <c r="AN933" s="98">
        <v>0.0</v>
      </c>
      <c r="AO933" s="110"/>
      <c r="AP933" s="98">
        <v>0.0</v>
      </c>
      <c r="AQ933" s="98">
        <v>0.0</v>
      </c>
      <c r="AR933" s="69"/>
      <c r="AS933" s="98">
        <v>0.0</v>
      </c>
      <c r="AT933" s="98">
        <v>0.0</v>
      </c>
      <c r="AU933" s="69"/>
      <c r="AV933" s="13"/>
      <c r="AW933" s="13"/>
      <c r="AX933" s="13"/>
      <c r="AY933" s="13"/>
      <c r="AZ933" s="6"/>
      <c r="BA933" s="6"/>
      <c r="BB933" s="6"/>
      <c r="BC933" s="6"/>
      <c r="BD933" s="6"/>
      <c r="BE933" s="6"/>
      <c r="BF933" s="6">
        <v>1.0E9</v>
      </c>
      <c r="BG933" s="6">
        <v>1.0</v>
      </c>
      <c r="BH933" s="13"/>
      <c r="BI933" s="13">
        <f>POW(1000000,3)</f>
        <v>1E+18</v>
      </c>
      <c r="BJ933" s="6">
        <v>1.0</v>
      </c>
      <c r="BK933" s="13"/>
      <c r="BL933" s="13">
        <f>POW(1000000000,3)</f>
        <v>1E+27</v>
      </c>
      <c r="BM933" s="6">
        <v>1.0</v>
      </c>
      <c r="BN933" s="6"/>
      <c r="BO933" s="6">
        <v>3.0</v>
      </c>
      <c r="BP933" s="13"/>
      <c r="BQ933" s="13"/>
      <c r="BR933" s="6" t="s">
        <v>144</v>
      </c>
    </row>
    <row r="934">
      <c r="A934" s="35">
        <v>120.0</v>
      </c>
      <c r="B934" s="6" t="s">
        <v>1104</v>
      </c>
      <c r="C934" s="53">
        <v>2.0</v>
      </c>
      <c r="D934" s="53" t="s">
        <v>1104</v>
      </c>
      <c r="E934" s="7">
        <v>922.0</v>
      </c>
      <c r="F934" s="53" t="s">
        <v>5423</v>
      </c>
      <c r="G934" s="6"/>
      <c r="H934" s="35">
        <v>1.0</v>
      </c>
      <c r="I934" s="98">
        <v>1.0</v>
      </c>
      <c r="J934" s="175" t="s">
        <v>3153</v>
      </c>
      <c r="K934" s="99"/>
      <c r="L934" s="99"/>
      <c r="M934" s="39" t="str">
        <f t="shared" si="1"/>
        <v>[https://www.math.leidenuniv.nl/~hwl/PUBLICATIONS/1982f/art.pdf LLL algorithm (1982)]</v>
      </c>
      <c r="N934" s="69" t="s">
        <v>5424</v>
      </c>
      <c r="O934" s="98">
        <v>1982.0</v>
      </c>
      <c r="P934" s="177" t="s">
        <v>5425</v>
      </c>
      <c r="Q934" s="13"/>
      <c r="R934" s="13"/>
      <c r="S934" s="13"/>
      <c r="T934" s="98">
        <v>0.0</v>
      </c>
      <c r="U934" s="35">
        <v>0.0</v>
      </c>
      <c r="V934" s="89">
        <f>IFERROR(__xludf.DUMMYFUNCTION("INDEX(SPLIT(SUBSTITUTE(W934,CHAR(10), """"),"",:""), MATCH(Z934, SPLIT(SUBSTITUTE(W934,CHAR(10), """"),"",:""), 0) + 1)"),7.0)</f>
        <v>7</v>
      </c>
      <c r="W934" s="102" t="s">
        <v>2517</v>
      </c>
      <c r="X934" s="175" t="s">
        <v>3153</v>
      </c>
      <c r="Y934" s="41" t="s">
        <v>5421</v>
      </c>
      <c r="Z934" s="53" t="str">
        <f t="array" ref="Z934">INDEX(Problems!J:J, MATCH(1, (Problems!B:B=B934)*1, 0))</f>
        <v>n</v>
      </c>
      <c r="AA934" s="109" t="s">
        <v>5425</v>
      </c>
      <c r="AB934" s="41">
        <v>0.0</v>
      </c>
      <c r="AC934" s="41" t="s">
        <v>1813</v>
      </c>
      <c r="AD934" s="41" t="s">
        <v>1814</v>
      </c>
      <c r="AE934" s="85">
        <f>IFERROR(__xludf.DUMMYFUNCTION("INDEX(SPLIT(SUBSTITUTE(AF934,CHAR(10), """"),"",:""), MATCH(Z934, SPLIT(SUBSTITUTE(AF934,CHAR(10), """"),"",:""), 0) + 1)"),5.0)</f>
        <v>5</v>
      </c>
      <c r="AF934" s="102" t="s">
        <v>1938</v>
      </c>
      <c r="AG934" s="41" t="s">
        <v>115</v>
      </c>
      <c r="AH934" s="41" t="s">
        <v>5426</v>
      </c>
      <c r="AI934" s="108">
        <v>1.0</v>
      </c>
      <c r="AJ934" s="84">
        <v>0.0</v>
      </c>
      <c r="AK934" s="105"/>
      <c r="AL934" s="98">
        <v>0.0</v>
      </c>
      <c r="AM934" s="105"/>
      <c r="AN934" s="98">
        <v>0.0</v>
      </c>
      <c r="AO934" s="110"/>
      <c r="AP934" s="98">
        <v>0.0</v>
      </c>
      <c r="AQ934" s="98">
        <v>0.0</v>
      </c>
      <c r="AR934" s="69"/>
      <c r="AS934" s="98">
        <v>0.0</v>
      </c>
      <c r="AT934" s="98">
        <v>0.0</v>
      </c>
      <c r="AU934" s="69"/>
      <c r="AV934" s="13"/>
      <c r="AW934" s="13"/>
      <c r="AX934" s="13"/>
      <c r="AY934" s="13"/>
      <c r="AZ934" s="6"/>
      <c r="BA934" s="6"/>
      <c r="BB934" s="6"/>
      <c r="BC934" s="6"/>
      <c r="BD934" s="6"/>
      <c r="BE934" s="6"/>
      <c r="BF934" s="6">
        <v>1.0E9</v>
      </c>
      <c r="BG934" s="13"/>
      <c r="BH934" s="13"/>
      <c r="BI934" s="13"/>
      <c r="BJ934" s="13"/>
      <c r="BK934" s="13"/>
      <c r="BL934" s="13"/>
      <c r="BM934" s="13"/>
      <c r="BN934" s="6"/>
      <c r="BO934" s="6">
        <v>3.0</v>
      </c>
      <c r="BP934" s="13"/>
      <c r="BQ934" s="13"/>
      <c r="BR934" s="6" t="s">
        <v>144</v>
      </c>
    </row>
    <row r="935">
      <c r="A935" s="35">
        <v>120.0</v>
      </c>
      <c r="B935" s="6" t="s">
        <v>1104</v>
      </c>
      <c r="C935" s="53">
        <v>2.0</v>
      </c>
      <c r="D935" s="53" t="s">
        <v>1104</v>
      </c>
      <c r="E935" s="7">
        <v>924.0</v>
      </c>
      <c r="F935" s="53" t="s">
        <v>5427</v>
      </c>
      <c r="G935" s="6"/>
      <c r="H935" s="35">
        <v>1.0</v>
      </c>
      <c r="I935" s="98">
        <v>1.0</v>
      </c>
      <c r="J935" s="69" t="s">
        <v>834</v>
      </c>
      <c r="K935" s="99"/>
      <c r="L935" s="99"/>
      <c r="M935" s="39" t="str">
        <f t="shared" si="1"/>
        <v>[https://www.ams.org/journals/mcom/1989-53-188/S0025-5718-1989-0979934-9/S0025-5718-1989-0979934-9.pdf PSOS algorithm (1988)]</v>
      </c>
      <c r="N935" s="182" t="s">
        <v>5428</v>
      </c>
      <c r="O935" s="98">
        <v>1988.0</v>
      </c>
      <c r="P935" s="106" t="s">
        <v>5429</v>
      </c>
      <c r="Q935" s="13"/>
      <c r="R935" s="13"/>
      <c r="S935" s="13"/>
      <c r="T935" s="98">
        <v>0.0</v>
      </c>
      <c r="U935" s="35">
        <v>0.0</v>
      </c>
      <c r="V935" s="89">
        <f>IFERROR(__xludf.DUMMYFUNCTION("INDEX(SPLIT(SUBSTITUTE(W935,CHAR(10), """"),"",:""), MATCH(Z935, SPLIT(SUBSTITUTE(W935,CHAR(10), """"),"",:""), 0) + 1)"),6.0)</f>
        <v>6</v>
      </c>
      <c r="W935" s="102" t="s">
        <v>2008</v>
      </c>
      <c r="X935" s="69" t="s">
        <v>834</v>
      </c>
      <c r="Y935" s="41" t="s">
        <v>5421</v>
      </c>
      <c r="Z935" s="53" t="str">
        <f t="array" ref="Z935">INDEX(Problems!J:J, MATCH(1, (Problems!B:B=B935)*1, 0))</f>
        <v>n</v>
      </c>
      <c r="AA935" s="41"/>
      <c r="AB935" s="41"/>
      <c r="AC935" s="41" t="s">
        <v>1813</v>
      </c>
      <c r="AD935" s="41" t="s">
        <v>1814</v>
      </c>
      <c r="AE935" s="85">
        <f>IFERROR(__xludf.DUMMYFUNCTION("INDEX(SPLIT(SUBSTITUTE(AF935,CHAR(10), """"),"",:""), MATCH(Z935, SPLIT(SUBSTITUTE(AF935,CHAR(10), """"),"",:""), 0) + 1)"),5.0)</f>
        <v>5</v>
      </c>
      <c r="AF935" s="102" t="s">
        <v>1938</v>
      </c>
      <c r="AG935" s="41" t="s">
        <v>115</v>
      </c>
      <c r="AH935" s="41" t="s">
        <v>5430</v>
      </c>
      <c r="AI935" s="108">
        <v>1.0</v>
      </c>
      <c r="AJ935" s="84">
        <v>0.0</v>
      </c>
      <c r="AK935" s="105"/>
      <c r="AL935" s="98">
        <v>0.0</v>
      </c>
      <c r="AM935" s="105"/>
      <c r="AN935" s="98">
        <v>0.0</v>
      </c>
      <c r="AO935" s="110"/>
      <c r="AP935" s="98">
        <v>0.0</v>
      </c>
      <c r="AQ935" s="98">
        <v>0.0</v>
      </c>
      <c r="AR935" s="69"/>
      <c r="AS935" s="98">
        <v>0.0</v>
      </c>
      <c r="AT935" s="98">
        <v>0.0</v>
      </c>
      <c r="AU935" s="69"/>
      <c r="AV935" s="13"/>
      <c r="AW935" s="13"/>
      <c r="AX935" s="13"/>
      <c r="AY935" s="13"/>
      <c r="AZ935" s="6"/>
      <c r="BA935" s="6"/>
      <c r="BB935" s="6"/>
      <c r="BC935" s="6"/>
      <c r="BD935" s="6"/>
      <c r="BE935" s="6"/>
      <c r="BF935" s="6">
        <v>1.0E9</v>
      </c>
      <c r="BG935" s="13"/>
      <c r="BH935" s="13"/>
      <c r="BI935" s="13"/>
      <c r="BJ935" s="13"/>
      <c r="BK935" s="13"/>
      <c r="BL935" s="13"/>
      <c r="BM935" s="13"/>
      <c r="BN935" s="6"/>
      <c r="BO935" s="6">
        <v>3.0</v>
      </c>
      <c r="BP935" s="13"/>
      <c r="BQ935" s="13"/>
      <c r="BR935" s="6" t="s">
        <v>144</v>
      </c>
    </row>
    <row r="936">
      <c r="A936" s="35">
        <v>120.0</v>
      </c>
      <c r="B936" s="6" t="s">
        <v>1104</v>
      </c>
      <c r="C936" s="53">
        <v>2.0</v>
      </c>
      <c r="D936" s="53" t="s">
        <v>1104</v>
      </c>
      <c r="E936" s="7">
        <v>925.0</v>
      </c>
      <c r="F936" s="53" t="s">
        <v>5431</v>
      </c>
      <c r="G936" s="6"/>
      <c r="H936" s="35">
        <v>1.0</v>
      </c>
      <c r="I936" s="98">
        <v>1.0</v>
      </c>
      <c r="J936" s="69" t="s">
        <v>834</v>
      </c>
      <c r="K936" s="99"/>
      <c r="L936" s="99"/>
      <c r="M936" s="39" t="str">
        <f t="shared" si="1"/>
        <v>[https://www.ams.org/journals/mcom/1999-68-225/S0025-5718-99-00995-3/S0025-5718-99-00995-3.pdf PSLQ algorithm (1992)]</v>
      </c>
      <c r="N936" s="182" t="s">
        <v>5432</v>
      </c>
      <c r="O936" s="98">
        <v>1992.0</v>
      </c>
      <c r="P936" s="100" t="s">
        <v>5433</v>
      </c>
      <c r="Q936" s="13"/>
      <c r="R936" s="13"/>
      <c r="S936" s="13"/>
      <c r="T936" s="98">
        <v>0.0</v>
      </c>
      <c r="U936" s="35">
        <v>0.0</v>
      </c>
      <c r="V936" s="89">
        <f>IFERROR(__xludf.DUMMYFUNCTION("INDEX(SPLIT(SUBSTITUTE(W936,CHAR(10), """"),"",:""), MATCH(Z936, SPLIT(SUBSTITUTE(W936,CHAR(10), """"),"",:""), 0) + 1)"),6.0)</f>
        <v>6</v>
      </c>
      <c r="W936" s="102" t="s">
        <v>2008</v>
      </c>
      <c r="X936" s="69" t="s">
        <v>834</v>
      </c>
      <c r="Y936" s="41" t="s">
        <v>5421</v>
      </c>
      <c r="Z936" s="53" t="str">
        <f t="array" ref="Z936">INDEX(Problems!J:J, MATCH(1, (Problems!B:B=B936)*1, 0))</f>
        <v>n</v>
      </c>
      <c r="AA936" s="41"/>
      <c r="AB936" s="41"/>
      <c r="AC936" s="41" t="s">
        <v>1813</v>
      </c>
      <c r="AD936" s="41" t="s">
        <v>1814</v>
      </c>
      <c r="AE936" s="85">
        <f>IFERROR(__xludf.DUMMYFUNCTION("INDEX(SPLIT(SUBSTITUTE(AF936,CHAR(10), """"),"",:""), MATCH(Z936, SPLIT(SUBSTITUTE(AF936,CHAR(10), """"),"",:""), 0) + 1)"),5.0)</f>
        <v>5</v>
      </c>
      <c r="AF936" s="102" t="s">
        <v>1938</v>
      </c>
      <c r="AG936" s="41" t="s">
        <v>115</v>
      </c>
      <c r="AH936" s="41" t="s">
        <v>5430</v>
      </c>
      <c r="AI936" s="108">
        <v>1.0</v>
      </c>
      <c r="AJ936" s="84">
        <v>0.0</v>
      </c>
      <c r="AK936" s="105"/>
      <c r="AL936" s="98">
        <v>0.0</v>
      </c>
      <c r="AM936" s="105"/>
      <c r="AN936" s="98">
        <v>0.0</v>
      </c>
      <c r="AO936" s="110"/>
      <c r="AP936" s="98">
        <v>0.0</v>
      </c>
      <c r="AQ936" s="98">
        <v>0.0</v>
      </c>
      <c r="AR936" s="69"/>
      <c r="AS936" s="98">
        <v>0.0</v>
      </c>
      <c r="AT936" s="98">
        <v>0.0</v>
      </c>
      <c r="AU936" s="69"/>
      <c r="AV936" s="13"/>
      <c r="AW936" s="13"/>
      <c r="AX936" s="13"/>
      <c r="AY936" s="13"/>
      <c r="AZ936" s="6"/>
      <c r="BA936" s="6"/>
      <c r="BB936" s="6"/>
      <c r="BC936" s="6"/>
      <c r="BD936" s="6"/>
      <c r="BE936" s="6"/>
      <c r="BF936" s="6">
        <v>1.0E9</v>
      </c>
      <c r="BG936" s="13"/>
      <c r="BH936" s="13"/>
      <c r="BI936" s="13"/>
      <c r="BJ936" s="13"/>
      <c r="BK936" s="13"/>
      <c r="BL936" s="13"/>
      <c r="BM936" s="13"/>
      <c r="BN936" s="6"/>
      <c r="BO936" s="6">
        <v>3.0</v>
      </c>
      <c r="BP936" s="13"/>
      <c r="BQ936" s="13"/>
      <c r="BR936" s="6" t="s">
        <v>144</v>
      </c>
    </row>
    <row r="937">
      <c r="A937" s="59">
        <v>122.0</v>
      </c>
      <c r="B937" s="59" t="s">
        <v>1112</v>
      </c>
      <c r="C937" s="53">
        <v>1.0</v>
      </c>
      <c r="D937" s="53" t="s">
        <v>1112</v>
      </c>
      <c r="E937" s="7">
        <v>932.0</v>
      </c>
      <c r="F937" s="53"/>
      <c r="G937" s="6"/>
      <c r="H937" s="35">
        <v>1.0</v>
      </c>
      <c r="I937" s="98">
        <v>1.0</v>
      </c>
      <c r="J937" s="69" t="s">
        <v>5434</v>
      </c>
      <c r="K937" s="41"/>
      <c r="L937" s="41"/>
      <c r="M937" s="39" t="str">
        <f t="shared" si="1"/>
        <v>[https://link.springer.com/chapter/10.1007/3-540-63307-3_56 Amir et al. (1997)]</v>
      </c>
      <c r="N937" s="69" t="s">
        <v>5435</v>
      </c>
      <c r="O937" s="108">
        <v>1997.0</v>
      </c>
      <c r="P937" s="183" t="s">
        <v>5436</v>
      </c>
      <c r="Q937" s="6">
        <v>1.0</v>
      </c>
      <c r="R937" s="6">
        <v>0.0</v>
      </c>
      <c r="S937" s="18" t="s">
        <v>5437</v>
      </c>
      <c r="T937" s="98">
        <v>1.0</v>
      </c>
      <c r="U937" s="35">
        <v>0.0</v>
      </c>
      <c r="V937" s="89">
        <f>IFERROR(__xludf.DUMMYFUNCTION("INDEX(SPLIT(SUBSTITUTE(W937,CHAR(10), """"),"",:""), MATCH(Z937, SPLIT(SUBSTITUTE(W937,CHAR(10), """"),"",:""), 0) + 1)"),6.0)</f>
        <v>6</v>
      </c>
      <c r="W937" s="102" t="s">
        <v>5438</v>
      </c>
      <c r="X937" s="104" t="s">
        <v>5439</v>
      </c>
      <c r="Y937" s="41" t="s">
        <v>5440</v>
      </c>
      <c r="Z937" s="53" t="str">
        <f t="array" ref="Z937">INDEX(Problems!J:J, MATCH(1, (Problems!B:B=B937)*1, 0))</f>
        <v>N</v>
      </c>
      <c r="AA937" s="41"/>
      <c r="AB937" s="41"/>
      <c r="AC937" s="41" t="s">
        <v>1813</v>
      </c>
      <c r="AD937" s="41" t="s">
        <v>1814</v>
      </c>
      <c r="AE937" s="85">
        <f>IFERROR(__xludf.DUMMYFUNCTION("INDEX(SPLIT(SUBSTITUTE(AF937,CHAR(10), """"),"",:""), MATCH(Z937, SPLIT(SUBSTITUTE(AF937,CHAR(10), """"),"",:""), 0) + 1)"),6.0)</f>
        <v>6</v>
      </c>
      <c r="AF937" s="102" t="s">
        <v>5441</v>
      </c>
      <c r="AG937" s="41" t="s">
        <v>399</v>
      </c>
      <c r="AH937" s="109" t="s">
        <v>5442</v>
      </c>
      <c r="AI937" s="104">
        <v>0.0</v>
      </c>
      <c r="AJ937" s="84">
        <v>0.0</v>
      </c>
      <c r="AK937" s="104"/>
      <c r="AL937" s="35">
        <v>0.0</v>
      </c>
      <c r="AM937" s="104"/>
      <c r="AN937" s="35">
        <v>0.0</v>
      </c>
      <c r="AO937" s="110"/>
      <c r="AP937" s="98">
        <v>0.0</v>
      </c>
      <c r="AQ937" s="98">
        <v>0.0</v>
      </c>
      <c r="AR937" s="69"/>
      <c r="AS937" s="184">
        <v>0.0</v>
      </c>
      <c r="AT937" s="184">
        <v>0.0</v>
      </c>
      <c r="AU937" s="183" t="s">
        <v>5443</v>
      </c>
      <c r="AV937" s="13"/>
      <c r="AW937" s="13"/>
      <c r="AX937" s="13"/>
      <c r="AY937" s="6" t="s">
        <v>5444</v>
      </c>
      <c r="AZ937" s="13">
        <f>1000*2/5*300</f>
        <v>120000</v>
      </c>
      <c r="BA937" s="13"/>
      <c r="BB937" s="13">
        <f>1000000*2/5*300</f>
        <v>120000000</v>
      </c>
      <c r="BC937" s="13"/>
      <c r="BD937" s="13">
        <f>1000000000*2/5*300</f>
        <v>120000000000</v>
      </c>
      <c r="BE937" s="13"/>
      <c r="BF937" s="13">
        <f>300*((2/5)*1000*LOG((2/5)*1000,2)+(3/5)*1000)</f>
        <v>1217262.743</v>
      </c>
      <c r="BG937" s="6">
        <v>1.0</v>
      </c>
      <c r="BH937" s="13"/>
      <c r="BI937" s="13">
        <f>300*((2/5)*1000000*LOG((2/5)*1000000,2)+(3/5)*1000000)</f>
        <v>2413156857</v>
      </c>
      <c r="BJ937" s="6">
        <v>1.0</v>
      </c>
      <c r="BK937" s="13"/>
      <c r="BL937" s="13">
        <f>300*((2/5)*1000000000*LOG((2/5)*1000000000,2)+(3/5)*1000000000)</f>
        <v>3609050971092</v>
      </c>
      <c r="BM937" s="6">
        <v>1.0</v>
      </c>
      <c r="BN937" s="6"/>
      <c r="BO937" s="6">
        <v>3.0</v>
      </c>
      <c r="BP937" s="13"/>
      <c r="BQ937" s="13"/>
      <c r="BR937" s="6" t="s">
        <v>23</v>
      </c>
    </row>
    <row r="938">
      <c r="A938" s="59">
        <v>122.0</v>
      </c>
      <c r="B938" s="59" t="s">
        <v>1112</v>
      </c>
      <c r="C938" s="53">
        <v>1.0</v>
      </c>
      <c r="D938" s="53" t="s">
        <v>1112</v>
      </c>
      <c r="E938" s="7">
        <v>933.0</v>
      </c>
      <c r="F938" s="53"/>
      <c r="G938" s="6"/>
      <c r="H938" s="35">
        <v>1.0</v>
      </c>
      <c r="I938" s="98">
        <v>1.0</v>
      </c>
      <c r="J938" s="69" t="s">
        <v>5445</v>
      </c>
      <c r="K938" s="99"/>
      <c r="L938" s="99"/>
      <c r="M938" s="39" t="str">
        <f t="shared" si="1"/>
        <v>[https://www.sciencedirect.com/science/article/pii/S0304397599003333 Navarro (2000)]</v>
      </c>
      <c r="N938" s="69" t="s">
        <v>5446</v>
      </c>
      <c r="O938" s="98">
        <v>2000.0</v>
      </c>
      <c r="P938" s="135" t="s">
        <v>5442</v>
      </c>
      <c r="Q938" s="6">
        <v>3.0</v>
      </c>
      <c r="R938" s="6">
        <v>1.0</v>
      </c>
      <c r="S938" s="18" t="s">
        <v>5447</v>
      </c>
      <c r="T938" s="98">
        <v>1.0</v>
      </c>
      <c r="U938" s="35" t="s">
        <v>2425</v>
      </c>
      <c r="V938" s="89">
        <f>IFERROR(__xludf.DUMMYFUNCTION("INDEX(SPLIT(SUBSTITUTE(W938,CHAR(10), """"),"",:""), MATCH(Z938, SPLIT(SUBSTITUTE(W938,CHAR(10), """"),"",:""), 0) + 1)"),5.0)</f>
        <v>5</v>
      </c>
      <c r="W938" s="102" t="s">
        <v>5448</v>
      </c>
      <c r="X938" s="104" t="s">
        <v>5449</v>
      </c>
      <c r="Y938" s="41" t="s">
        <v>5450</v>
      </c>
      <c r="Z938" s="53" t="str">
        <f t="array" ref="Z938">INDEX(Problems!J:J, MATCH(1, (Problems!B:B=B938)*1, 0))</f>
        <v>N</v>
      </c>
      <c r="AA938" s="41"/>
      <c r="AB938" s="41"/>
      <c r="AC938" s="41" t="s">
        <v>1813</v>
      </c>
      <c r="AD938" s="41" t="s">
        <v>1814</v>
      </c>
      <c r="AE938" s="85">
        <f>IFERROR(__xludf.DUMMYFUNCTION("INDEX(SPLIT(SUBSTITUTE(AF938,CHAR(10), """"),"",:""), MATCH(Z938, SPLIT(SUBSTITUTE(AF938,CHAR(10), """"),"",:""), 0) + 1)"),3.0)</f>
        <v>3</v>
      </c>
      <c r="AF938" s="102" t="s">
        <v>5451</v>
      </c>
      <c r="AG938" s="41" t="s">
        <v>268</v>
      </c>
      <c r="AH938" s="109" t="s">
        <v>5442</v>
      </c>
      <c r="AI938" s="108">
        <v>0.0</v>
      </c>
      <c r="AJ938" s="84">
        <v>1.0</v>
      </c>
      <c r="AK938" s="105"/>
      <c r="AL938" s="98">
        <v>0.0</v>
      </c>
      <c r="AM938" s="105"/>
      <c r="AN938" s="98">
        <v>0.0</v>
      </c>
      <c r="AO938" s="110"/>
      <c r="AP938" s="98">
        <v>0.0</v>
      </c>
      <c r="AQ938" s="98">
        <v>0.0</v>
      </c>
      <c r="AR938" s="69"/>
      <c r="AS938" s="184">
        <v>0.0</v>
      </c>
      <c r="AT938" s="184">
        <v>0.0</v>
      </c>
      <c r="AU938" s="183" t="s">
        <v>5443</v>
      </c>
      <c r="AV938" s="13"/>
      <c r="AW938" s="13"/>
      <c r="AX938" s="13"/>
      <c r="AY938" s="13"/>
      <c r="AZ938" s="13">
        <f>1000*2/5</f>
        <v>400</v>
      </c>
      <c r="BA938" s="13">
        <f>POW(AZ937/AZ938,1/($O938-$O937)) - 1</f>
        <v>5.694329501</v>
      </c>
      <c r="BB938" s="13">
        <f>1000000*2/5</f>
        <v>400000</v>
      </c>
      <c r="BC938" s="13">
        <f>POW(BB937/BB938,1/($O938-$O937)) - 1</f>
        <v>5.694329501</v>
      </c>
      <c r="BD938" s="13">
        <f>1000000000*2/5</f>
        <v>400000000</v>
      </c>
      <c r="BE938" s="13">
        <f>POW(BD937/BD938,1/($O938-$O937)) - 1</f>
        <v>5.694329501</v>
      </c>
      <c r="BF938" s="13">
        <f>300*1000</f>
        <v>300000</v>
      </c>
      <c r="BG938" s="13">
        <f>BF937/BF938</f>
        <v>4.057542476</v>
      </c>
      <c r="BH938" s="13">
        <f>POW(BG938,1/($O938-$O937)) - 1</f>
        <v>0.5949767558</v>
      </c>
      <c r="BI938" s="13">
        <f>300*1000000</f>
        <v>300000000</v>
      </c>
      <c r="BJ938" s="13">
        <f>BI937/BI938</f>
        <v>8.04385619</v>
      </c>
      <c r="BK938" s="13">
        <f>POW(BJ938,1/($O938-$O937)) - 1</f>
        <v>1.003648024</v>
      </c>
      <c r="BL938" s="13">
        <f>300*1000000000</f>
        <v>300000000000</v>
      </c>
      <c r="BM938" s="13">
        <f>BL937/BL938</f>
        <v>12.0301699</v>
      </c>
      <c r="BN938" s="13">
        <f>POW(BM938,1/($O938-$O937)) - 1</f>
        <v>1.291345542</v>
      </c>
      <c r="BO938" s="6">
        <v>3.0</v>
      </c>
      <c r="BP938" s="13"/>
      <c r="BQ938" s="13"/>
      <c r="BR938" s="6" t="s">
        <v>23</v>
      </c>
    </row>
    <row r="939">
      <c r="A939" s="59">
        <v>122.0</v>
      </c>
      <c r="B939" s="59" t="s">
        <v>1112</v>
      </c>
      <c r="C939" s="53">
        <v>2.0</v>
      </c>
      <c r="D939" s="53" t="s">
        <v>1112</v>
      </c>
      <c r="E939" s="7">
        <v>934.0</v>
      </c>
      <c r="F939" s="53"/>
      <c r="G939" s="6"/>
      <c r="H939" s="35">
        <v>1.0</v>
      </c>
      <c r="I939" s="98">
        <v>1.0</v>
      </c>
      <c r="J939" s="69" t="s">
        <v>5452</v>
      </c>
      <c r="K939" s="99"/>
      <c r="L939" s="99"/>
      <c r="M939" s="39" t="str">
        <f t="shared" si="1"/>
        <v>[https://www.ncbi.nlm.nih.gov/pubmed/26589280 HybridSpades (2015)]</v>
      </c>
      <c r="N939" s="69" t="s">
        <v>5453</v>
      </c>
      <c r="O939" s="98">
        <v>2015.0</v>
      </c>
      <c r="P939" s="183" t="s">
        <v>5454</v>
      </c>
      <c r="Q939" s="13"/>
      <c r="R939" s="13"/>
      <c r="S939" s="13"/>
      <c r="T939" s="98">
        <v>0.0</v>
      </c>
      <c r="U939" s="35">
        <v>0.0</v>
      </c>
      <c r="V939" s="89">
        <f>IFERROR(__xludf.DUMMYFUNCTION("INDEX(SPLIT(SUBSTITUTE(W939,CHAR(10), """"),"",:""), MATCH(Z939, SPLIT(SUBSTITUTE(W939,CHAR(10), """"),"",:""), 0) + 1)"),7.0)</f>
        <v>7</v>
      </c>
      <c r="W939" s="102" t="s">
        <v>5455</v>
      </c>
      <c r="X939" s="35" t="s">
        <v>5456</v>
      </c>
      <c r="Y939" s="41" t="s">
        <v>5457</v>
      </c>
      <c r="Z939" s="53" t="str">
        <f t="array" ref="Z939">INDEX(Problems!J:J, MATCH(1, (Problems!B:B=B939)*1, 0))</f>
        <v>N</v>
      </c>
      <c r="AA939" s="41"/>
      <c r="AB939" s="41"/>
      <c r="AC939" s="41" t="s">
        <v>1813</v>
      </c>
      <c r="AD939" s="41" t="s">
        <v>1814</v>
      </c>
      <c r="AE939" s="85">
        <f>IFERROR(__xludf.DUMMYFUNCTION("INDEX(SPLIT(SUBSTITUTE(AF939,CHAR(10), """"),"",:""), MATCH(Z939, SPLIT(SUBSTITUTE(AF939,CHAR(10), """"),"",:""), 0) + 1)"),7.0)</f>
        <v>7</v>
      </c>
      <c r="AF939" s="102" t="s">
        <v>5458</v>
      </c>
      <c r="AG939" s="41" t="s">
        <v>5459</v>
      </c>
      <c r="AH939" s="41"/>
      <c r="AI939" s="108">
        <v>1.0</v>
      </c>
      <c r="AJ939" s="84">
        <v>0.0</v>
      </c>
      <c r="AK939" s="105"/>
      <c r="AL939" s="98">
        <v>0.0</v>
      </c>
      <c r="AM939" s="105"/>
      <c r="AN939" s="98">
        <v>0.0</v>
      </c>
      <c r="AO939" s="110"/>
      <c r="AP939" s="98">
        <v>0.0</v>
      </c>
      <c r="AQ939" s="98">
        <v>0.0</v>
      </c>
      <c r="AR939" s="69"/>
      <c r="AS939" s="184">
        <v>0.0</v>
      </c>
      <c r="AT939" s="184">
        <v>0.0</v>
      </c>
      <c r="AU939" s="183" t="s">
        <v>5443</v>
      </c>
      <c r="AV939" s="13"/>
      <c r="AW939" s="13"/>
      <c r="AX939" s="13"/>
      <c r="AY939" s="13"/>
      <c r="AZ939" s="13"/>
      <c r="BA939" s="13"/>
      <c r="BB939" s="13"/>
      <c r="BC939" s="13"/>
      <c r="BD939" s="13"/>
      <c r="BE939" s="13"/>
      <c r="BF939" s="13"/>
      <c r="BG939" s="13"/>
      <c r="BH939" s="13"/>
      <c r="BI939" s="13"/>
      <c r="BJ939" s="13"/>
      <c r="BK939" s="13"/>
      <c r="BL939" s="13"/>
      <c r="BM939" s="13"/>
      <c r="BN939" s="6"/>
      <c r="BO939" s="6">
        <v>3.0</v>
      </c>
      <c r="BP939" s="13"/>
      <c r="BQ939" s="13"/>
      <c r="BR939" s="6" t="s">
        <v>23</v>
      </c>
    </row>
    <row r="940">
      <c r="A940" s="59">
        <v>122.0</v>
      </c>
      <c r="B940" s="59" t="s">
        <v>1112</v>
      </c>
      <c r="C940" s="53">
        <v>2.0</v>
      </c>
      <c r="D940" s="53" t="s">
        <v>1112</v>
      </c>
      <c r="E940" s="7">
        <v>935.0</v>
      </c>
      <c r="F940" s="53" t="s">
        <v>1835</v>
      </c>
      <c r="G940" s="6"/>
      <c r="H940" s="35">
        <v>1.0</v>
      </c>
      <c r="I940" s="98">
        <v>1.0</v>
      </c>
      <c r="J940" s="35" t="s">
        <v>5460</v>
      </c>
      <c r="K940" s="99"/>
      <c r="L940" s="99"/>
      <c r="M940" s="39" t="str">
        <f t="shared" si="1"/>
        <v>[https://www.biorxiv.org/content/10.1101/124941v1.full V-ALIGN (2018)]</v>
      </c>
      <c r="N940" s="69" t="s">
        <v>5461</v>
      </c>
      <c r="O940" s="98">
        <v>2018.0</v>
      </c>
      <c r="P940" s="183" t="s">
        <v>5462</v>
      </c>
      <c r="Q940" s="13"/>
      <c r="R940" s="13"/>
      <c r="S940" s="13"/>
      <c r="T940" s="98">
        <v>0.0</v>
      </c>
      <c r="U940" s="35">
        <v>0.0</v>
      </c>
      <c r="V940" s="89">
        <f>IFERROR(__xludf.DUMMYFUNCTION("INDEX(SPLIT(SUBSTITUTE(W940,CHAR(10), """"),"",:""), MATCH(Z940, SPLIT(SUBSTITUTE(W940,CHAR(10), """"),"",:""), 0) + 1)"),6.0)</f>
        <v>6</v>
      </c>
      <c r="W940" s="102" t="s">
        <v>5438</v>
      </c>
      <c r="X940" s="35" t="s">
        <v>5460</v>
      </c>
      <c r="Y940" s="41" t="s">
        <v>5463</v>
      </c>
      <c r="Z940" s="53" t="str">
        <f t="array" ref="Z940">INDEX(Problems!J:J, MATCH(1, (Problems!B:B=B940)*1, 0))</f>
        <v>N</v>
      </c>
      <c r="AA940" s="109" t="s">
        <v>5462</v>
      </c>
      <c r="AB940" s="41">
        <v>0.0</v>
      </c>
      <c r="AC940" s="41" t="s">
        <v>1813</v>
      </c>
      <c r="AD940" s="41" t="s">
        <v>1814</v>
      </c>
      <c r="AE940" s="85">
        <f>IFERROR(__xludf.DUMMYFUNCTION("INDEX(SPLIT(SUBSTITUTE(AF940,CHAR(10), """"),"",:""), MATCH(Z940, SPLIT(SUBSTITUTE(AF940,CHAR(10), """"),"",:""), 0) + 1)"),3.0)</f>
        <v>3</v>
      </c>
      <c r="AF940" s="102" t="s">
        <v>5464</v>
      </c>
      <c r="AG940" s="41" t="s">
        <v>5465</v>
      </c>
      <c r="AH940" s="109" t="s">
        <v>5462</v>
      </c>
      <c r="AI940" s="108">
        <v>0.0</v>
      </c>
      <c r="AJ940" s="84">
        <v>1.0</v>
      </c>
      <c r="AK940" s="105"/>
      <c r="AL940" s="98">
        <v>0.0</v>
      </c>
      <c r="AM940" s="105"/>
      <c r="AN940" s="98">
        <v>0.0</v>
      </c>
      <c r="AO940" s="110"/>
      <c r="AP940" s="98">
        <v>0.0</v>
      </c>
      <c r="AQ940" s="98">
        <v>0.0</v>
      </c>
      <c r="AR940" s="69"/>
      <c r="AS940" s="184">
        <v>0.0</v>
      </c>
      <c r="AT940" s="184">
        <v>0.0</v>
      </c>
      <c r="AU940" s="183" t="s">
        <v>5443</v>
      </c>
      <c r="AV940" s="13"/>
      <c r="AW940" s="13"/>
      <c r="AX940" s="13"/>
      <c r="AY940" s="13"/>
      <c r="AZ940" s="13"/>
      <c r="BA940" s="13"/>
      <c r="BB940" s="13"/>
      <c r="BC940" s="13"/>
      <c r="BD940" s="13"/>
      <c r="BE940" s="13"/>
      <c r="BF940" s="13"/>
      <c r="BG940" s="13"/>
      <c r="BH940" s="13"/>
      <c r="BI940" s="13"/>
      <c r="BJ940" s="13"/>
      <c r="BK940" s="13"/>
      <c r="BL940" s="13"/>
      <c r="BM940" s="13"/>
      <c r="BN940" s="6"/>
      <c r="BO940" s="6">
        <v>3.0</v>
      </c>
      <c r="BP940" s="13"/>
      <c r="BQ940" s="13"/>
      <c r="BR940" s="6" t="s">
        <v>23</v>
      </c>
    </row>
    <row r="941">
      <c r="A941" s="59">
        <v>122.0</v>
      </c>
      <c r="B941" s="59" t="s">
        <v>1112</v>
      </c>
      <c r="C941" s="53">
        <v>2.0</v>
      </c>
      <c r="D941" s="53" t="s">
        <v>1112</v>
      </c>
      <c r="E941" s="7">
        <v>936.0</v>
      </c>
      <c r="F941" s="53"/>
      <c r="G941" s="6"/>
      <c r="H941" s="35">
        <v>1.0</v>
      </c>
      <c r="I941" s="98">
        <v>1.0</v>
      </c>
      <c r="J941" s="35" t="s">
        <v>5466</v>
      </c>
      <c r="K941" s="99"/>
      <c r="L941" s="99"/>
      <c r="M941" s="39" t="str">
        <f t="shared" si="1"/>
        <v>[https://www.biorxiv.org/content/10.1101/216127v1 Rautiainen and Marschall (2017)]</v>
      </c>
      <c r="N941" s="69" t="s">
        <v>5467</v>
      </c>
      <c r="O941" s="98">
        <v>2017.0</v>
      </c>
      <c r="P941" s="135" t="s">
        <v>5468</v>
      </c>
      <c r="Q941" s="13"/>
      <c r="R941" s="13"/>
      <c r="S941" s="13"/>
      <c r="T941" s="98">
        <v>0.0</v>
      </c>
      <c r="U941" s="35">
        <v>0.0</v>
      </c>
      <c r="V941" s="89">
        <f>IFERROR(__xludf.DUMMYFUNCTION("INDEX(SPLIT(SUBSTITUTE(W941,CHAR(10), """"),"",:""), MATCH(Z941, SPLIT(SUBSTITUTE(W941,CHAR(10), """"),"",:""), 0) + 1)"),5.0)</f>
        <v>5</v>
      </c>
      <c r="W941" s="102" t="s">
        <v>5448</v>
      </c>
      <c r="X941" s="35" t="s">
        <v>5466</v>
      </c>
      <c r="Y941" s="41" t="s">
        <v>5463</v>
      </c>
      <c r="Z941" s="53" t="str">
        <f t="array" ref="Z941">INDEX(Problems!J:J, MATCH(1, (Problems!B:B=B941)*1, 0))</f>
        <v>N</v>
      </c>
      <c r="AA941" s="133" t="s">
        <v>5468</v>
      </c>
      <c r="AB941" s="41">
        <v>0.0</v>
      </c>
      <c r="AC941" s="41" t="s">
        <v>1813</v>
      </c>
      <c r="AD941" s="41" t="s">
        <v>1814</v>
      </c>
      <c r="AE941" s="85">
        <f>IFERROR(__xludf.DUMMYFUNCTION("INDEX(SPLIT(SUBSTITUTE(AF941,CHAR(10), """"),"",:""), MATCH(Z941, SPLIT(SUBSTITUTE(AF941,CHAR(10), """"),"",:""), 0) + 1)"),3.0)</f>
        <v>3</v>
      </c>
      <c r="AF941" s="102" t="s">
        <v>5469</v>
      </c>
      <c r="AG941" s="41" t="s">
        <v>5470</v>
      </c>
      <c r="AH941" s="109" t="s">
        <v>5468</v>
      </c>
      <c r="AI941" s="108">
        <v>0.0</v>
      </c>
      <c r="AJ941" s="84">
        <v>1.0</v>
      </c>
      <c r="AK941" s="105"/>
      <c r="AL941" s="98">
        <v>0.0</v>
      </c>
      <c r="AM941" s="105"/>
      <c r="AN941" s="98">
        <v>0.0</v>
      </c>
      <c r="AO941" s="110"/>
      <c r="AP941" s="98">
        <v>0.0</v>
      </c>
      <c r="AQ941" s="98">
        <v>0.0</v>
      </c>
      <c r="AR941" s="69"/>
      <c r="AS941" s="184">
        <v>0.0</v>
      </c>
      <c r="AT941" s="184">
        <v>0.0</v>
      </c>
      <c r="AU941" s="183" t="s">
        <v>5443</v>
      </c>
      <c r="AV941" s="13"/>
      <c r="AW941" s="13"/>
      <c r="AX941" s="13"/>
      <c r="AY941" s="13"/>
      <c r="AZ941" s="13"/>
      <c r="BA941" s="13"/>
      <c r="BB941" s="13"/>
      <c r="BC941" s="13"/>
      <c r="BD941" s="13"/>
      <c r="BE941" s="13"/>
      <c r="BF941" s="13"/>
      <c r="BG941" s="13"/>
      <c r="BH941" s="13"/>
      <c r="BI941" s="13"/>
      <c r="BJ941" s="13"/>
      <c r="BK941" s="13"/>
      <c r="BL941" s="13"/>
      <c r="BM941" s="13"/>
      <c r="BN941" s="6"/>
      <c r="BO941" s="6">
        <v>3.0</v>
      </c>
      <c r="BP941" s="13"/>
      <c r="BQ941" s="13"/>
      <c r="BR941" s="6" t="s">
        <v>23</v>
      </c>
    </row>
    <row r="942">
      <c r="A942" s="59">
        <v>122.0</v>
      </c>
      <c r="B942" s="59" t="s">
        <v>1112</v>
      </c>
      <c r="C942" s="53">
        <v>2.0</v>
      </c>
      <c r="D942" s="53" t="s">
        <v>1112</v>
      </c>
      <c r="E942" s="7">
        <v>937.0</v>
      </c>
      <c r="F942" s="53"/>
      <c r="G942" s="6"/>
      <c r="H942" s="35">
        <v>1.0</v>
      </c>
      <c r="I942" s="98">
        <v>1.0</v>
      </c>
      <c r="J942" s="35" t="s">
        <v>5466</v>
      </c>
      <c r="K942" s="99"/>
      <c r="L942" s="99"/>
      <c r="M942" s="39" t="str">
        <f t="shared" si="1"/>
        <v>[https://www.biorxiv.org/content/10.1101/522912v1.full.pdf Jain, Chang (2019)]</v>
      </c>
      <c r="N942" s="69" t="s">
        <v>5471</v>
      </c>
      <c r="O942" s="98">
        <v>2019.0</v>
      </c>
      <c r="P942" s="183" t="s">
        <v>5443</v>
      </c>
      <c r="Q942" s="13"/>
      <c r="R942" s="13"/>
      <c r="S942" s="13"/>
      <c r="T942" s="98">
        <v>0.0</v>
      </c>
      <c r="U942" s="35">
        <v>0.0</v>
      </c>
      <c r="V942" s="89">
        <f>IFERROR(__xludf.DUMMYFUNCTION("INDEX(SPLIT(SUBSTITUTE(W942,CHAR(10), """"),"",:""), MATCH(Z942, SPLIT(SUBSTITUTE(W942,CHAR(10), """"),"",:""), 0) + 1)"),5.0)</f>
        <v>5</v>
      </c>
      <c r="W942" s="102" t="s">
        <v>5448</v>
      </c>
      <c r="X942" s="35" t="s">
        <v>5466</v>
      </c>
      <c r="Y942" s="41" t="s">
        <v>5463</v>
      </c>
      <c r="Z942" s="53" t="str">
        <f t="array" ref="Z942">INDEX(Problems!J:J, MATCH(1, (Problems!B:B=B942)*1, 0))</f>
        <v>N</v>
      </c>
      <c r="AA942" s="109" t="s">
        <v>5443</v>
      </c>
      <c r="AB942" s="41">
        <v>0.0</v>
      </c>
      <c r="AC942" s="41" t="s">
        <v>1813</v>
      </c>
      <c r="AD942" s="41" t="s">
        <v>1814</v>
      </c>
      <c r="AE942" s="85">
        <f>IFERROR(__xludf.DUMMYFUNCTION("INDEX(SPLIT(SUBSTITUTE(AF942,CHAR(10), """"),"",:""), MATCH(Z942, SPLIT(SUBSTITUTE(AF942,CHAR(10), """"),"",:""), 0) + 1)"),3.0)</f>
        <v>3</v>
      </c>
      <c r="AF942" s="102" t="s">
        <v>5451</v>
      </c>
      <c r="AG942" s="41" t="s">
        <v>268</v>
      </c>
      <c r="AH942" s="109" t="s">
        <v>5443</v>
      </c>
      <c r="AI942" s="108">
        <v>0.0</v>
      </c>
      <c r="AJ942" s="84">
        <v>1.0</v>
      </c>
      <c r="AK942" s="105"/>
      <c r="AL942" s="98">
        <v>0.0</v>
      </c>
      <c r="AM942" s="105"/>
      <c r="AN942" s="98">
        <v>0.0</v>
      </c>
      <c r="AO942" s="110"/>
      <c r="AP942" s="98">
        <v>0.0</v>
      </c>
      <c r="AQ942" s="98">
        <v>0.0</v>
      </c>
      <c r="AR942" s="69"/>
      <c r="AS942" s="184">
        <v>0.0</v>
      </c>
      <c r="AT942" s="184">
        <v>0.0</v>
      </c>
      <c r="AU942" s="183" t="s">
        <v>5443</v>
      </c>
      <c r="AV942" s="13"/>
      <c r="AW942" s="13"/>
      <c r="AX942" s="13"/>
      <c r="AY942" s="13"/>
      <c r="AZ942" s="13"/>
      <c r="BA942" s="13"/>
      <c r="BB942" s="13"/>
      <c r="BC942" s="13"/>
      <c r="BD942" s="13"/>
      <c r="BE942" s="13"/>
      <c r="BF942" s="13"/>
      <c r="BG942" s="13"/>
      <c r="BH942" s="13"/>
      <c r="BI942" s="13"/>
      <c r="BJ942" s="13"/>
      <c r="BK942" s="13"/>
      <c r="BL942" s="13"/>
      <c r="BM942" s="13"/>
      <c r="BN942" s="6"/>
      <c r="BO942" s="6">
        <v>3.0</v>
      </c>
      <c r="BP942" s="13"/>
      <c r="BQ942" s="13"/>
      <c r="BR942" s="6" t="s">
        <v>23</v>
      </c>
    </row>
    <row r="943">
      <c r="A943" s="59">
        <v>122.0</v>
      </c>
      <c r="B943" s="59" t="s">
        <v>1112</v>
      </c>
      <c r="C943" s="53">
        <v>2.0</v>
      </c>
      <c r="D943" s="53" t="s">
        <v>1112</v>
      </c>
      <c r="E943" s="7">
        <v>938.0</v>
      </c>
      <c r="F943" s="53"/>
      <c r="G943" s="185"/>
      <c r="H943" s="35">
        <v>1.0</v>
      </c>
      <c r="I943" s="98">
        <v>1.0</v>
      </c>
      <c r="J943" s="35" t="s">
        <v>5472</v>
      </c>
      <c r="K943" s="99"/>
      <c r="L943" s="99"/>
      <c r="M943" s="39" t="str">
        <f t="shared" si="1"/>
        <v>[https://www.ncbi.nlm.nih.gov/pubmed/30851095 Rautiainen, Marschall (2019)]</v>
      </c>
      <c r="N943" s="69" t="s">
        <v>5473</v>
      </c>
      <c r="O943" s="98">
        <v>2019.0</v>
      </c>
      <c r="P943" s="183" t="s">
        <v>5474</v>
      </c>
      <c r="Q943" s="13"/>
      <c r="R943" s="13"/>
      <c r="S943" s="13"/>
      <c r="T943" s="98">
        <v>0.0</v>
      </c>
      <c r="U943" s="35">
        <v>0.0</v>
      </c>
      <c r="V943" s="89">
        <f>IFERROR(__xludf.DUMMYFUNCTION("INDEX(SPLIT(SUBSTITUTE(W943,CHAR(10), """"),"",:""), MATCH(Z943, SPLIT(SUBSTITUTE(W943,CHAR(10), """"),"",:""), 0) + 1)"),5.0)</f>
        <v>5</v>
      </c>
      <c r="W943" s="102" t="s">
        <v>5448</v>
      </c>
      <c r="X943" s="35" t="s">
        <v>5472</v>
      </c>
      <c r="Y943" s="41" t="s">
        <v>5463</v>
      </c>
      <c r="Z943" s="53" t="str">
        <f t="array" ref="Z943">INDEX(Problems!J:J, MATCH(1, (Problems!B:B=B943)*1, 0))</f>
        <v>N</v>
      </c>
      <c r="AA943" s="186" t="s">
        <v>5474</v>
      </c>
      <c r="AB943" s="187">
        <v>0.0</v>
      </c>
      <c r="AC943" s="41" t="s">
        <v>1813</v>
      </c>
      <c r="AD943" s="41" t="s">
        <v>1814</v>
      </c>
      <c r="AE943" s="85">
        <f>IFERROR(__xludf.DUMMYFUNCTION("INDEX(SPLIT(SUBSTITUTE(AF943,CHAR(10), """"),"",:""), MATCH(Z943, SPLIT(SUBSTITUTE(AF943,CHAR(10), """"),"",:""), 0) + 1)"),3.0)</f>
        <v>3</v>
      </c>
      <c r="AF943" s="102" t="s">
        <v>5464</v>
      </c>
      <c r="AG943" s="187" t="s">
        <v>5465</v>
      </c>
      <c r="AH943" s="188" t="s">
        <v>5475</v>
      </c>
      <c r="AI943" s="108">
        <v>1.0</v>
      </c>
      <c r="AJ943" s="84">
        <v>0.0</v>
      </c>
      <c r="AK943" s="105"/>
      <c r="AL943" s="98">
        <v>0.0</v>
      </c>
      <c r="AM943" s="105"/>
      <c r="AN943" s="98">
        <v>0.0</v>
      </c>
      <c r="AO943" s="110"/>
      <c r="AP943" s="98">
        <v>0.0</v>
      </c>
      <c r="AQ943" s="98">
        <v>1.0</v>
      </c>
      <c r="AR943" s="69"/>
      <c r="AS943" s="184">
        <v>0.0</v>
      </c>
      <c r="AT943" s="184">
        <v>0.0</v>
      </c>
      <c r="AU943" s="69"/>
      <c r="AV943" s="13"/>
      <c r="AW943" s="13"/>
      <c r="AX943" s="13"/>
      <c r="AY943" s="13"/>
      <c r="AZ943" s="13"/>
      <c r="BA943" s="13"/>
      <c r="BB943" s="13"/>
      <c r="BC943" s="13"/>
      <c r="BD943" s="13"/>
      <c r="BE943" s="13"/>
      <c r="BF943" s="13"/>
      <c r="BG943" s="13"/>
      <c r="BH943" s="13"/>
      <c r="BI943" s="13"/>
      <c r="BJ943" s="13"/>
      <c r="BK943" s="13"/>
      <c r="BL943" s="13"/>
      <c r="BM943" s="13"/>
      <c r="BN943" s="6"/>
      <c r="BO943" s="6">
        <v>3.0</v>
      </c>
      <c r="BP943" s="13"/>
      <c r="BQ943" s="13"/>
      <c r="BR943" s="185" t="s">
        <v>23</v>
      </c>
    </row>
    <row r="944">
      <c r="A944" s="35">
        <v>123.0</v>
      </c>
      <c r="B944" s="6" t="s">
        <v>1120</v>
      </c>
      <c r="C944" s="53">
        <v>2.0</v>
      </c>
      <c r="D944" s="53" t="s">
        <v>1121</v>
      </c>
      <c r="E944" s="7">
        <v>939.0</v>
      </c>
      <c r="F944" s="53"/>
      <c r="G944" s="6"/>
      <c r="H944" s="35">
        <v>1.0</v>
      </c>
      <c r="I944" s="111">
        <v>1.0</v>
      </c>
      <c r="J944" s="35" t="s">
        <v>789</v>
      </c>
      <c r="K944" s="99"/>
      <c r="L944" s="99"/>
      <c r="M944" s="39" t="str">
        <f t="shared" si="1"/>
        <v>[NA Trial Multiplication (1940)]</v>
      </c>
      <c r="N944" s="107" t="s">
        <v>5476</v>
      </c>
      <c r="O944" s="111">
        <v>1940.0</v>
      </c>
      <c r="P944" s="129" t="s">
        <v>1944</v>
      </c>
      <c r="Q944" s="13"/>
      <c r="R944" s="13"/>
      <c r="S944" s="13"/>
      <c r="T944" s="111">
        <v>0.0</v>
      </c>
      <c r="U944" s="35">
        <v>0.0</v>
      </c>
      <c r="V944" s="89">
        <f>IFERROR(__xludf.DUMMYFUNCTION("INDEX(SPLIT(SUBSTITUTE(W944,CHAR(10), """"),"",:""), MATCH(Z944, SPLIT(SUBSTITUTE(W944,CHAR(10), """"),"",:""), 0) + 1)"),8.0)</f>
        <v>8</v>
      </c>
      <c r="W944" s="102" t="s">
        <v>2001</v>
      </c>
      <c r="X944" s="35" t="s">
        <v>789</v>
      </c>
      <c r="Y944" s="41" t="s">
        <v>5477</v>
      </c>
      <c r="Z944" s="53" t="str">
        <f t="array" ref="Z944">INDEX(Problems!J:J, MATCH(1, (Problems!B:B=B944)*1, 0))</f>
        <v>n</v>
      </c>
      <c r="AA944" s="41"/>
      <c r="AB944" s="41"/>
      <c r="AC944" s="41" t="s">
        <v>1813</v>
      </c>
      <c r="AD944" s="41" t="s">
        <v>1814</v>
      </c>
      <c r="AE944" s="85">
        <f>IFERROR(__xludf.DUMMYFUNCTION("INDEX(SPLIT(SUBSTITUTE(AF944,CHAR(10), """"),"",:""), MATCH(Z944, SPLIT(SUBSTITUTE(AF944,CHAR(10), """"),"",:""), 0) + 1)"),1.0)</f>
        <v>1</v>
      </c>
      <c r="AF944" s="102" t="s">
        <v>1774</v>
      </c>
      <c r="AG944" s="41" t="s">
        <v>939</v>
      </c>
      <c r="AH944" s="41" t="s">
        <v>5478</v>
      </c>
      <c r="AI944" s="108">
        <v>1.0</v>
      </c>
      <c r="AJ944" s="84">
        <v>0.0</v>
      </c>
      <c r="AK944" s="108"/>
      <c r="AL944" s="111">
        <v>0.0</v>
      </c>
      <c r="AM944" s="108"/>
      <c r="AN944" s="111">
        <v>0.0</v>
      </c>
      <c r="AO944" s="104"/>
      <c r="AP944" s="111">
        <v>0.0</v>
      </c>
      <c r="AQ944" s="111">
        <v>0.0</v>
      </c>
      <c r="AR944" s="69"/>
      <c r="AS944" s="111">
        <v>0.0</v>
      </c>
      <c r="AT944" s="111">
        <v>0.0</v>
      </c>
      <c r="AU944" s="106" t="s">
        <v>5479</v>
      </c>
      <c r="AV944" s="13"/>
      <c r="AW944" s="13"/>
      <c r="AX944" s="13"/>
      <c r="AY944" s="13"/>
      <c r="AZ944" s="189">
        <v>1.0</v>
      </c>
      <c r="BA944" s="189"/>
      <c r="BB944" s="189">
        <v>1.0</v>
      </c>
      <c r="BC944" s="189"/>
      <c r="BD944" s="189">
        <v>1.0</v>
      </c>
      <c r="BE944" s="189"/>
      <c r="BF944" s="189" t="s">
        <v>1781</v>
      </c>
      <c r="BG944" s="13"/>
      <c r="BH944" s="13"/>
      <c r="BI944" s="13"/>
      <c r="BJ944" s="13"/>
      <c r="BK944" s="13"/>
      <c r="BL944" s="13"/>
      <c r="BM944" s="13"/>
      <c r="BN944" s="6"/>
      <c r="BO944" s="6">
        <v>1.0</v>
      </c>
      <c r="BP944" s="13"/>
      <c r="BQ944" s="13"/>
      <c r="BR944" s="6" t="s">
        <v>979</v>
      </c>
    </row>
    <row r="945">
      <c r="A945" s="35">
        <v>123.0</v>
      </c>
      <c r="B945" s="6" t="s">
        <v>1120</v>
      </c>
      <c r="C945" s="53">
        <v>2.0</v>
      </c>
      <c r="D945" s="53" t="s">
        <v>1121</v>
      </c>
      <c r="E945" s="7">
        <v>940.0</v>
      </c>
      <c r="F945" s="53"/>
      <c r="G945" s="6"/>
      <c r="H945" s="35">
        <v>1.0</v>
      </c>
      <c r="I945" s="111">
        <v>1.0</v>
      </c>
      <c r="J945" s="104" t="s">
        <v>5480</v>
      </c>
      <c r="K945" s="99"/>
      <c r="L945" s="99"/>
      <c r="M945" s="39" t="str">
        <f t="shared" si="1"/>
        <v>[https://doi.org/10.1090/pspum/020 Baby-step Giant-step (1971)]</v>
      </c>
      <c r="N945" s="107" t="s">
        <v>5481</v>
      </c>
      <c r="O945" s="111">
        <v>1971.0</v>
      </c>
      <c r="P945" s="180" t="s">
        <v>5482</v>
      </c>
      <c r="Q945" s="13"/>
      <c r="R945" s="13"/>
      <c r="S945" s="13"/>
      <c r="T945" s="111">
        <v>0.0</v>
      </c>
      <c r="U945" s="35">
        <v>0.0</v>
      </c>
      <c r="V945" s="89">
        <f>IFERROR(__xludf.DUMMYFUNCTION("INDEX(SPLIT(SUBSTITUTE(W945,CHAR(10), """"),"",:""), MATCH(Z945, SPLIT(SUBSTITUTE(W945,CHAR(10), """"),"",:""), 0) + 1)"),8.0)</f>
        <v>8</v>
      </c>
      <c r="W945" s="102" t="s">
        <v>2001</v>
      </c>
      <c r="X945" s="104" t="s">
        <v>5480</v>
      </c>
      <c r="Y945" s="41" t="s">
        <v>5477</v>
      </c>
      <c r="Z945" s="53" t="str">
        <f t="array" ref="Z945">INDEX(Problems!J:J, MATCH(1, (Problems!B:B=B945)*1, 0))</f>
        <v>n</v>
      </c>
      <c r="AA945" s="41"/>
      <c r="AB945" s="41"/>
      <c r="AC945" s="41" t="s">
        <v>1813</v>
      </c>
      <c r="AD945" s="41" t="s">
        <v>1814</v>
      </c>
      <c r="AE945" s="85">
        <f>IFERROR(__xludf.DUMMYFUNCTION("INDEX(SPLIT(SUBSTITUTE(AF945,CHAR(10), """"),"",:""), MATCH(Z945, SPLIT(SUBSTITUTE(AF945,CHAR(10), """"),"",:""), 0) + 1)"),8.0)</f>
        <v>8</v>
      </c>
      <c r="AF945" s="102" t="s">
        <v>2001</v>
      </c>
      <c r="AG945" s="104" t="s">
        <v>5483</v>
      </c>
      <c r="AH945" s="41" t="s">
        <v>5484</v>
      </c>
      <c r="AI945" s="108">
        <v>1.0</v>
      </c>
      <c r="AJ945" s="84">
        <v>0.0</v>
      </c>
      <c r="AK945" s="108"/>
      <c r="AL945" s="111">
        <v>0.0</v>
      </c>
      <c r="AM945" s="108"/>
      <c r="AN945" s="111">
        <v>0.0</v>
      </c>
      <c r="AO945" s="104"/>
      <c r="AP945" s="111">
        <v>0.0</v>
      </c>
      <c r="AQ945" s="111">
        <v>0.0</v>
      </c>
      <c r="AR945" s="69"/>
      <c r="AS945" s="111">
        <v>0.0</v>
      </c>
      <c r="AT945" s="111">
        <v>0.0</v>
      </c>
      <c r="AU945" s="106" t="s">
        <v>5485</v>
      </c>
      <c r="AV945" s="13"/>
      <c r="AW945" s="13"/>
      <c r="AX945" s="13"/>
      <c r="AY945" s="13"/>
      <c r="AZ945" s="189"/>
      <c r="BA945" s="189"/>
      <c r="BB945" s="189"/>
      <c r="BC945" s="189"/>
      <c r="BD945" s="189"/>
      <c r="BE945" s="189"/>
      <c r="BF945" s="189" t="s">
        <v>1781</v>
      </c>
      <c r="BG945" s="13"/>
      <c r="BH945" s="13"/>
      <c r="BI945" s="13"/>
      <c r="BJ945" s="13"/>
      <c r="BK945" s="13"/>
      <c r="BL945" s="13"/>
      <c r="BM945" s="13"/>
      <c r="BN945" s="6"/>
      <c r="BO945" s="6">
        <v>1.0</v>
      </c>
      <c r="BP945" s="13"/>
      <c r="BQ945" s="13"/>
      <c r="BR945" s="6" t="s">
        <v>979</v>
      </c>
    </row>
    <row r="946">
      <c r="A946" s="35">
        <v>123.0</v>
      </c>
      <c r="B946" s="6" t="s">
        <v>1120</v>
      </c>
      <c r="C946" s="53">
        <v>1.0</v>
      </c>
      <c r="D946" s="53" t="s">
        <v>1121</v>
      </c>
      <c r="E946" s="7">
        <v>941.0</v>
      </c>
      <c r="F946" s="53"/>
      <c r="G946" s="6"/>
      <c r="H946" s="35">
        <v>1.0</v>
      </c>
      <c r="I946" s="111">
        <v>1.0</v>
      </c>
      <c r="J946" s="35" t="s">
        <v>789</v>
      </c>
      <c r="K946" s="99"/>
      <c r="L946" s="99"/>
      <c r="M946" s="39" t="str">
        <f t="shared" si="1"/>
        <v>[https://www.sciencedirect.com/science/article/pii/S0890540198927614 Function Field Sieve (FFS) (1999)]</v>
      </c>
      <c r="N946" s="107" t="s">
        <v>5486</v>
      </c>
      <c r="O946" s="111">
        <v>1999.0</v>
      </c>
      <c r="P946" s="106" t="s">
        <v>5487</v>
      </c>
      <c r="Q946" s="13"/>
      <c r="R946" s="13"/>
      <c r="S946" s="13"/>
      <c r="T946" s="111">
        <v>0.0</v>
      </c>
      <c r="U946" s="35">
        <v>0.0</v>
      </c>
      <c r="V946" s="89">
        <f>IFERROR(__xludf.DUMMYFUNCTION("INDEX(SPLIT(SUBSTITUTE(W946,CHAR(10), """"),"",:""), MATCH(Z946, SPLIT(SUBSTITUTE(W946,CHAR(10), """"),"",:""), 0) + 1)"),8.0)</f>
        <v>8</v>
      </c>
      <c r="W946" s="102" t="s">
        <v>2001</v>
      </c>
      <c r="X946" s="35" t="s">
        <v>789</v>
      </c>
      <c r="Y946" s="41" t="s">
        <v>5477</v>
      </c>
      <c r="Z946" s="53" t="str">
        <f t="array" ref="Z946">INDEX(Problems!J:J, MATCH(1, (Problems!B:B=B946)*1, 0))</f>
        <v>n</v>
      </c>
      <c r="AA946" s="41"/>
      <c r="AB946" s="41"/>
      <c r="AC946" s="41"/>
      <c r="AD946" s="53" t="s">
        <v>2338</v>
      </c>
      <c r="AE946" s="85">
        <f>IFERROR(__xludf.DUMMYFUNCTION("INDEX(SPLIT(SUBSTITUTE(AF946,CHAR(10), """"),"",:""), MATCH(Z946, SPLIT(SUBSTITUTE(AF946,CHAR(10), """"),"",:""), 0) + 1)"),3.0)</f>
        <v>3</v>
      </c>
      <c r="AF946" s="85" t="s">
        <v>1763</v>
      </c>
      <c r="AG946" s="53" t="s">
        <v>5488</v>
      </c>
      <c r="AH946" s="139" t="s">
        <v>5489</v>
      </c>
      <c r="AI946" s="108">
        <v>0.0</v>
      </c>
      <c r="AJ946" s="84">
        <v>1.0</v>
      </c>
      <c r="AK946" s="108"/>
      <c r="AL946" s="111">
        <v>0.0</v>
      </c>
      <c r="AM946" s="108"/>
      <c r="AN946" s="111">
        <v>0.0</v>
      </c>
      <c r="AO946" s="104"/>
      <c r="AP946" s="111">
        <v>0.0</v>
      </c>
      <c r="AQ946" s="111">
        <v>0.0</v>
      </c>
      <c r="AR946" s="69"/>
      <c r="AS946" s="111">
        <v>0.0</v>
      </c>
      <c r="AT946" s="111">
        <v>0.0</v>
      </c>
      <c r="AU946" s="69"/>
      <c r="AV946" s="13"/>
      <c r="AW946" s="13"/>
      <c r="AX946" s="13"/>
      <c r="AY946" s="13"/>
      <c r="AZ946" s="6"/>
      <c r="BA946" s="6"/>
      <c r="BB946" s="6"/>
      <c r="BC946" s="6"/>
      <c r="BD946" s="6"/>
      <c r="BE946" s="6"/>
      <c r="BF946" s="6" t="s">
        <v>1781</v>
      </c>
      <c r="BG946" s="13"/>
      <c r="BH946" s="13"/>
      <c r="BI946" s="13"/>
      <c r="BJ946" s="13"/>
      <c r="BK946" s="13"/>
      <c r="BL946" s="13"/>
      <c r="BM946" s="13"/>
      <c r="BN946" s="6"/>
      <c r="BO946" s="6">
        <v>1.0</v>
      </c>
      <c r="BP946" s="13"/>
      <c r="BQ946" s="13"/>
      <c r="BR946" s="6" t="s">
        <v>979</v>
      </c>
    </row>
    <row r="947">
      <c r="A947" s="35">
        <v>123.0</v>
      </c>
      <c r="B947" s="6" t="s">
        <v>1120</v>
      </c>
      <c r="C947" s="53">
        <v>1.0</v>
      </c>
      <c r="D947" s="53" t="s">
        <v>5490</v>
      </c>
      <c r="E947" s="7">
        <v>942.0</v>
      </c>
      <c r="F947" s="53"/>
      <c r="G947" s="6"/>
      <c r="H947" s="35">
        <v>1.0</v>
      </c>
      <c r="I947" s="111">
        <v>1.0</v>
      </c>
      <c r="J947" s="21" t="s">
        <v>5491</v>
      </c>
      <c r="K947" s="99"/>
      <c r="L947" s="99"/>
      <c r="M947" s="39" t="str">
        <f t="shared" si="1"/>
        <v>[NA Index calculus algorithm (1922)]</v>
      </c>
      <c r="N947" s="107" t="s">
        <v>5492</v>
      </c>
      <c r="O947" s="111">
        <v>1922.0</v>
      </c>
      <c r="P947" s="129" t="s">
        <v>1944</v>
      </c>
      <c r="Q947" s="13"/>
      <c r="R947" s="13"/>
      <c r="S947" s="13"/>
      <c r="T947" s="111">
        <v>1.0</v>
      </c>
      <c r="U947" s="35">
        <v>0.0</v>
      </c>
      <c r="V947" s="89">
        <f>IFERROR(__xludf.DUMMYFUNCTION("INDEX(SPLIT(SUBSTITUTE(W947,CHAR(10), """"),"",:""), MATCH(Z947, SPLIT(SUBSTITUTE(W947,CHAR(10), """"),"",:""), 0) + 1)"),8.0)</f>
        <v>8</v>
      </c>
      <c r="W947" s="102" t="s">
        <v>2001</v>
      </c>
      <c r="X947" s="21" t="s">
        <v>5493</v>
      </c>
      <c r="Y947" s="53" t="s">
        <v>5494</v>
      </c>
      <c r="Z947" s="53" t="str">
        <f t="array" ref="Z947">INDEX(Problems!J:J, MATCH(1, (Problems!B:B=B947)*1, 0))</f>
        <v>n</v>
      </c>
      <c r="AA947" s="53"/>
      <c r="AB947" s="53"/>
      <c r="AC947" s="53" t="s">
        <v>5495</v>
      </c>
      <c r="AD947" s="53" t="s">
        <v>2338</v>
      </c>
      <c r="AE947" s="85">
        <f>IFERROR(__xludf.DUMMYFUNCTION("INDEX(SPLIT(SUBSTITUTE(AF947,CHAR(10), """"),"",:""), MATCH(Z947, SPLIT(SUBSTITUTE(AF947,CHAR(10), """"),"",:""), 0) + 1)"),3.0)</f>
        <v>3</v>
      </c>
      <c r="AF947" s="85" t="s">
        <v>4311</v>
      </c>
      <c r="AG947" s="53" t="s">
        <v>4312</v>
      </c>
      <c r="AH947" s="149" t="s">
        <v>5496</v>
      </c>
      <c r="AI947" s="84">
        <v>1.0</v>
      </c>
      <c r="AJ947" s="84">
        <v>0.0</v>
      </c>
      <c r="AK947" s="108"/>
      <c r="AL947" s="111">
        <v>0.0</v>
      </c>
      <c r="AM947" s="108"/>
      <c r="AN947" s="111">
        <v>0.0</v>
      </c>
      <c r="AO947" s="104"/>
      <c r="AP947" s="111">
        <v>0.0</v>
      </c>
      <c r="AQ947" s="111">
        <v>0.0</v>
      </c>
      <c r="AR947" s="69"/>
      <c r="AS947" s="111">
        <v>0.0</v>
      </c>
      <c r="AT947" s="111">
        <v>0.0</v>
      </c>
      <c r="AU947" s="106" t="s">
        <v>5497</v>
      </c>
      <c r="AV947" s="13"/>
      <c r="AW947" s="13"/>
      <c r="AX947" s="13"/>
      <c r="AY947" s="13"/>
      <c r="AZ947" s="6">
        <f> 1000</f>
        <v>1000</v>
      </c>
      <c r="BA947" s="6"/>
      <c r="BB947" s="6">
        <f> 1000000</f>
        <v>1000000</v>
      </c>
      <c r="BC947" s="6"/>
      <c r="BD947" s="6">
        <f> 1000000000</f>
        <v>1000000000</v>
      </c>
      <c r="BE947" s="6"/>
      <c r="BF947" s="6" t="s">
        <v>1781</v>
      </c>
      <c r="BG947" s="6">
        <v>1.0</v>
      </c>
      <c r="BH947" s="6"/>
      <c r="BI947" s="6" t="s">
        <v>1781</v>
      </c>
      <c r="BJ947" s="6">
        <v>1.0</v>
      </c>
      <c r="BK947" s="6"/>
      <c r="BL947" s="6" t="s">
        <v>1781</v>
      </c>
      <c r="BM947" s="6">
        <v>1.0</v>
      </c>
      <c r="BN947" s="6"/>
      <c r="BO947" s="6">
        <v>1.0</v>
      </c>
      <c r="BP947" s="13"/>
      <c r="BQ947" s="13"/>
      <c r="BR947" s="6" t="s">
        <v>979</v>
      </c>
    </row>
    <row r="948">
      <c r="A948" s="35">
        <v>123.0</v>
      </c>
      <c r="B948" s="6" t="s">
        <v>1120</v>
      </c>
      <c r="C948" s="53">
        <v>2.0</v>
      </c>
      <c r="D948" s="53" t="s">
        <v>1121</v>
      </c>
      <c r="E948" s="7">
        <v>943.0</v>
      </c>
      <c r="F948" s="53"/>
      <c r="G948" s="6"/>
      <c r="H948" s="35">
        <v>1.0</v>
      </c>
      <c r="I948" s="111">
        <v>1.0</v>
      </c>
      <c r="J948" s="35" t="s">
        <v>789</v>
      </c>
      <c r="K948" s="99"/>
      <c r="L948" s="99"/>
      <c r="M948" s="39" t="str">
        <f t="shared" si="1"/>
        <v>[http://www.ams.org/notices/199612/pomerance.pdf Number Field Sieve (NFS) (1990)]</v>
      </c>
      <c r="N948" s="107" t="s">
        <v>5498</v>
      </c>
      <c r="O948" s="111">
        <v>1990.0</v>
      </c>
      <c r="P948" s="106" t="s">
        <v>3740</v>
      </c>
      <c r="Q948" s="13"/>
      <c r="R948" s="13"/>
      <c r="S948" s="13"/>
      <c r="T948" s="111">
        <v>0.0</v>
      </c>
      <c r="U948" s="35">
        <v>0.0</v>
      </c>
      <c r="V948" s="89">
        <f>IFERROR(__xludf.DUMMYFUNCTION("INDEX(SPLIT(SUBSTITUTE(W948,CHAR(10), """"),"",:""), MATCH(Z948, SPLIT(SUBSTITUTE(W948,CHAR(10), """"),"",:""), 0) + 1)"),8.0)</f>
        <v>8</v>
      </c>
      <c r="W948" s="102" t="s">
        <v>2001</v>
      </c>
      <c r="X948" s="35" t="s">
        <v>3221</v>
      </c>
      <c r="Y948" s="41" t="s">
        <v>5477</v>
      </c>
      <c r="Z948" s="53" t="str">
        <f t="array" ref="Z948">INDEX(Problems!J:J, MATCH(1, (Problems!B:B=B948)*1, 0))</f>
        <v>n</v>
      </c>
      <c r="AA948" s="41"/>
      <c r="AB948" s="41"/>
      <c r="AC948" s="41"/>
      <c r="AD948" s="53" t="s">
        <v>2338</v>
      </c>
      <c r="AE948" s="85">
        <f>IFERROR(__xludf.DUMMYFUNCTION("INDEX(SPLIT(SUBSTITUTE(AF948,CHAR(10), """"),"",:""), MATCH(Z948, SPLIT(SUBSTITUTE(AF948,CHAR(10), """"),"",:""), 0) + 1)"),3.0)</f>
        <v>3</v>
      </c>
      <c r="AF948" s="85" t="s">
        <v>1763</v>
      </c>
      <c r="AG948" s="53" t="s">
        <v>3745</v>
      </c>
      <c r="AH948" s="91" t="s">
        <v>3740</v>
      </c>
      <c r="AI948" s="108">
        <v>0.0</v>
      </c>
      <c r="AJ948" s="84">
        <v>1.0</v>
      </c>
      <c r="AK948" s="108"/>
      <c r="AL948" s="111">
        <v>0.0</v>
      </c>
      <c r="AM948" s="108"/>
      <c r="AN948" s="111">
        <v>0.0</v>
      </c>
      <c r="AO948" s="104"/>
      <c r="AP948" s="111">
        <v>0.0</v>
      </c>
      <c r="AQ948" s="111">
        <v>0.0</v>
      </c>
      <c r="AR948" s="69"/>
      <c r="AS948" s="111">
        <v>0.0</v>
      </c>
      <c r="AT948" s="111">
        <v>0.0</v>
      </c>
      <c r="AU948" s="106" t="s">
        <v>5499</v>
      </c>
      <c r="AV948" s="13"/>
      <c r="AW948" s="13"/>
      <c r="AX948" s="13"/>
      <c r="AY948" s="13"/>
      <c r="AZ948" s="6"/>
      <c r="BA948" s="6"/>
      <c r="BB948" s="6"/>
      <c r="BC948" s="6"/>
      <c r="BD948" s="6"/>
      <c r="BE948" s="6"/>
      <c r="BF948" s="6" t="s">
        <v>1781</v>
      </c>
      <c r="BG948" s="13"/>
      <c r="BH948" s="13"/>
      <c r="BI948" s="13"/>
      <c r="BJ948" s="13"/>
      <c r="BK948" s="13"/>
      <c r="BL948" s="13"/>
      <c r="BM948" s="13"/>
      <c r="BN948" s="6"/>
      <c r="BO948" s="6">
        <v>1.0</v>
      </c>
      <c r="BP948" s="13"/>
      <c r="BQ948" s="13"/>
      <c r="BR948" s="6" t="s">
        <v>979</v>
      </c>
    </row>
    <row r="949">
      <c r="A949" s="35">
        <v>123.0</v>
      </c>
      <c r="B949" s="6" t="s">
        <v>1120</v>
      </c>
      <c r="C949" s="53">
        <v>1.0</v>
      </c>
      <c r="D949" s="53" t="s">
        <v>1121</v>
      </c>
      <c r="E949" s="7">
        <v>944.0</v>
      </c>
      <c r="F949" s="53"/>
      <c r="G949" s="6"/>
      <c r="H949" s="35">
        <v>1.0</v>
      </c>
      <c r="I949" s="111">
        <v>1.0</v>
      </c>
      <c r="J949" s="104" t="s">
        <v>5500</v>
      </c>
      <c r="K949" s="99"/>
      <c r="L949" s="99"/>
      <c r="M949" s="39" t="str">
        <f t="shared" si="1"/>
        <v>[https://dl.acm.org/citation.cfm?id=2269283 Pohlig-Hellman (1978)]</v>
      </c>
      <c r="N949" s="107" t="s">
        <v>5501</v>
      </c>
      <c r="O949" s="111">
        <v>1978.0</v>
      </c>
      <c r="P949" s="106" t="s">
        <v>5502</v>
      </c>
      <c r="Q949" s="13"/>
      <c r="R949" s="13"/>
      <c r="S949" s="13"/>
      <c r="T949" s="111">
        <v>0.0</v>
      </c>
      <c r="U949" s="35">
        <v>0.0</v>
      </c>
      <c r="V949" s="89">
        <f>IFERROR(__xludf.DUMMYFUNCTION("INDEX(SPLIT(SUBSTITUTE(W949,CHAR(10), """"),"",:""), MATCH(Z949, SPLIT(SUBSTITUTE(W949,CHAR(10), """"),"",:""), 0) + 1)"),8.0)</f>
        <v>8</v>
      </c>
      <c r="W949" s="102" t="s">
        <v>2001</v>
      </c>
      <c r="X949" s="104" t="s">
        <v>5500</v>
      </c>
      <c r="Y949" s="41" t="s">
        <v>5477</v>
      </c>
      <c r="Z949" s="53" t="str">
        <f t="array" ref="Z949">INDEX(Problems!J:J, MATCH(1, (Problems!B:B=B949)*1, 0))</f>
        <v>n</v>
      </c>
      <c r="AA949" s="41"/>
      <c r="AB949" s="41"/>
      <c r="AC949" s="41" t="s">
        <v>1813</v>
      </c>
      <c r="AD949" s="41" t="s">
        <v>1814</v>
      </c>
      <c r="AE949" s="85">
        <f>IFERROR(__xludf.DUMMYFUNCTION("INDEX(SPLIT(SUBSTITUTE(AF949,CHAR(10), """"),"",:""), MATCH(Z949, SPLIT(SUBSTITUTE(AF949,CHAR(10), """"),"",:""), 0) + 1)"),8.0)</f>
        <v>8</v>
      </c>
      <c r="AF949" s="102" t="s">
        <v>2001</v>
      </c>
      <c r="AG949" s="104" t="s">
        <v>5503</v>
      </c>
      <c r="AH949" s="41" t="s">
        <v>5504</v>
      </c>
      <c r="AI949" s="108">
        <v>1.0</v>
      </c>
      <c r="AJ949" s="84">
        <v>0.0</v>
      </c>
      <c r="AK949" s="108"/>
      <c r="AL949" s="111">
        <v>0.0</v>
      </c>
      <c r="AM949" s="108"/>
      <c r="AN949" s="111">
        <v>0.0</v>
      </c>
      <c r="AO949" s="104"/>
      <c r="AP949" s="111">
        <v>0.0</v>
      </c>
      <c r="AQ949" s="111">
        <v>0.0</v>
      </c>
      <c r="AR949" s="69"/>
      <c r="AS949" s="111">
        <v>0.0</v>
      </c>
      <c r="AT949" s="111">
        <v>0.0</v>
      </c>
      <c r="AU949" s="69"/>
      <c r="AV949" s="13"/>
      <c r="AW949" s="13"/>
      <c r="AX949" s="13"/>
      <c r="AY949" s="13"/>
      <c r="AZ949" s="6"/>
      <c r="BA949" s="6"/>
      <c r="BB949" s="6"/>
      <c r="BC949" s="6"/>
      <c r="BD949" s="6"/>
      <c r="BE949" s="6"/>
      <c r="BF949" s="6" t="s">
        <v>1781</v>
      </c>
      <c r="BG949" s="13"/>
      <c r="BH949" s="13"/>
      <c r="BI949" s="13"/>
      <c r="BJ949" s="13"/>
      <c r="BK949" s="13"/>
      <c r="BL949" s="13"/>
      <c r="BM949" s="13"/>
      <c r="BN949" s="6"/>
      <c r="BO949" s="6">
        <v>1.0</v>
      </c>
      <c r="BP949" s="13"/>
      <c r="BQ949" s="13"/>
      <c r="BR949" s="6" t="s">
        <v>979</v>
      </c>
    </row>
    <row r="950">
      <c r="A950" s="35">
        <v>123.0</v>
      </c>
      <c r="B950" s="6" t="s">
        <v>1120</v>
      </c>
      <c r="C950" s="53">
        <v>1.0</v>
      </c>
      <c r="D950" s="53" t="s">
        <v>1121</v>
      </c>
      <c r="E950" s="7">
        <v>945.0</v>
      </c>
      <c r="F950" s="53"/>
      <c r="G950" s="6"/>
      <c r="H950" s="35">
        <v>1.0</v>
      </c>
      <c r="I950" s="111">
        <v>1.0</v>
      </c>
      <c r="J950" s="104" t="s">
        <v>2384</v>
      </c>
      <c r="K950" s="99"/>
      <c r="L950" s="99"/>
      <c r="M950" s="39" t="str">
        <f t="shared" si="1"/>
        <v>[https://www.ams.org/mcom/1978-32-143/S0025-5718-1978-0491431-9/S0025-5718-1978-0491431-9.pdf Pollard's rho algorithm (1978)]</v>
      </c>
      <c r="N950" s="107" t="s">
        <v>3208</v>
      </c>
      <c r="O950" s="111">
        <v>1978.0</v>
      </c>
      <c r="P950" s="106" t="s">
        <v>5505</v>
      </c>
      <c r="Q950" s="13"/>
      <c r="R950" s="13"/>
      <c r="S950" s="13"/>
      <c r="T950" s="111">
        <v>0.0</v>
      </c>
      <c r="U950" s="35">
        <v>0.0</v>
      </c>
      <c r="V950" s="89">
        <f>IFERROR(__xludf.DUMMYFUNCTION("INDEX(SPLIT(SUBSTITUTE(W950,CHAR(10), """"),"",:""), MATCH(Z950, SPLIT(SUBSTITUTE(W950,CHAR(10), """"),"",:""), 0) + 1)"),8.0)</f>
        <v>8</v>
      </c>
      <c r="W950" s="102" t="s">
        <v>2001</v>
      </c>
      <c r="X950" s="104" t="s">
        <v>2387</v>
      </c>
      <c r="Y950" s="41" t="s">
        <v>5477</v>
      </c>
      <c r="Z950" s="53" t="str">
        <f t="array" ref="Z950">INDEX(Problems!J:J, MATCH(1, (Problems!B:B=B950)*1, 0))</f>
        <v>n</v>
      </c>
      <c r="AA950" s="41"/>
      <c r="AB950" s="41"/>
      <c r="AC950" s="41" t="s">
        <v>1813</v>
      </c>
      <c r="AD950" s="41" t="s">
        <v>1814</v>
      </c>
      <c r="AE950" s="85">
        <f>IFERROR(__xludf.DUMMYFUNCTION("INDEX(SPLIT(SUBSTITUTE(AF950,CHAR(10), """"),"",:""), MATCH(Z950, SPLIT(SUBSTITUTE(AF950,CHAR(10), """"),"",:""), 0) + 1)"),1.0)</f>
        <v>1</v>
      </c>
      <c r="AF950" s="102" t="s">
        <v>1774</v>
      </c>
      <c r="AG950" s="41" t="s">
        <v>34</v>
      </c>
      <c r="AH950" s="41" t="s">
        <v>5506</v>
      </c>
      <c r="AI950" s="108">
        <v>1.0</v>
      </c>
      <c r="AJ950" s="84">
        <v>0.0</v>
      </c>
      <c r="AK950" s="108"/>
      <c r="AL950" s="111">
        <v>0.0</v>
      </c>
      <c r="AM950" s="108"/>
      <c r="AN950" s="111">
        <v>0.0</v>
      </c>
      <c r="AO950" s="104"/>
      <c r="AP950" s="111">
        <v>0.0</v>
      </c>
      <c r="AQ950" s="111">
        <v>0.0</v>
      </c>
      <c r="AR950" s="69"/>
      <c r="AS950" s="111">
        <v>0.0</v>
      </c>
      <c r="AT950" s="111">
        <v>0.0</v>
      </c>
      <c r="AU950" s="69"/>
      <c r="AV950" s="13"/>
      <c r="AW950" s="13"/>
      <c r="AX950" s="13"/>
      <c r="AY950" s="13"/>
      <c r="AZ950" s="6"/>
      <c r="BA950" s="6"/>
      <c r="BB950" s="6"/>
      <c r="BC950" s="6"/>
      <c r="BD950" s="6"/>
      <c r="BE950" s="6"/>
      <c r="BF950" s="6" t="s">
        <v>1781</v>
      </c>
      <c r="BG950" s="13"/>
      <c r="BH950" s="13"/>
      <c r="BI950" s="13"/>
      <c r="BJ950" s="13"/>
      <c r="BK950" s="13"/>
      <c r="BL950" s="13"/>
      <c r="BM950" s="13"/>
      <c r="BN950" s="6"/>
      <c r="BO950" s="6">
        <v>1.0</v>
      </c>
      <c r="BP950" s="13"/>
      <c r="BQ950" s="13"/>
      <c r="BR950" s="6" t="s">
        <v>979</v>
      </c>
    </row>
    <row r="951">
      <c r="A951" s="35">
        <v>123.0</v>
      </c>
      <c r="B951" s="6" t="s">
        <v>1120</v>
      </c>
      <c r="C951" s="53">
        <v>1.0</v>
      </c>
      <c r="D951" s="53" t="s">
        <v>1121</v>
      </c>
      <c r="E951" s="7">
        <v>946.0</v>
      </c>
      <c r="F951" s="53"/>
      <c r="G951" s="6"/>
      <c r="H951" s="35">
        <v>1.0</v>
      </c>
      <c r="I951" s="111">
        <v>1.0</v>
      </c>
      <c r="J951" s="61" t="s">
        <v>789</v>
      </c>
      <c r="K951" s="99"/>
      <c r="L951" s="99"/>
      <c r="M951" s="39" t="str">
        <f t="shared" si="1"/>
        <v>[https://www.ams.org/mcom/1978-32-143/S0025-5718-1978-0491431-9/S0025-5718-1978-0491431-9.pdf Pollard's kangaroo algorithm (1978)]</v>
      </c>
      <c r="N951" s="107" t="s">
        <v>5507</v>
      </c>
      <c r="O951" s="111">
        <v>1978.0</v>
      </c>
      <c r="P951" s="106" t="s">
        <v>5505</v>
      </c>
      <c r="Q951" s="13"/>
      <c r="R951" s="13"/>
      <c r="S951" s="13"/>
      <c r="T951" s="111">
        <v>0.0</v>
      </c>
      <c r="U951" s="35">
        <v>0.0</v>
      </c>
      <c r="V951" s="89">
        <f>IFERROR(__xludf.DUMMYFUNCTION("INDEX(SPLIT(SUBSTITUTE(W951,CHAR(10), """"),"",:""), MATCH(Z951, SPLIT(SUBSTITUTE(W951,CHAR(10), """"),"",:""), 0) + 1)"),8.0)</f>
        <v>8</v>
      </c>
      <c r="W951" s="102" t="s">
        <v>2001</v>
      </c>
      <c r="X951" s="61" t="s">
        <v>789</v>
      </c>
      <c r="Y951" s="41" t="s">
        <v>5477</v>
      </c>
      <c r="Z951" s="53" t="str">
        <f t="array" ref="Z951">INDEX(Problems!J:J, MATCH(1, (Problems!B:B=B951)*1, 0))</f>
        <v>n</v>
      </c>
      <c r="AA951" s="41"/>
      <c r="AB951" s="41"/>
      <c r="AC951" s="41" t="s">
        <v>1813</v>
      </c>
      <c r="AD951" s="41" t="s">
        <v>1814</v>
      </c>
      <c r="AE951" s="85">
        <f>IFERROR(__xludf.DUMMYFUNCTION("INDEX(SPLIT(SUBSTITUTE(AF951,CHAR(10), """"),"",:""), MATCH(Z951, SPLIT(SUBSTITUTE(AF951,CHAR(10), """"),"",:""), 0) + 1)"),1.0)</f>
        <v>1</v>
      </c>
      <c r="AF951" s="102" t="s">
        <v>1774</v>
      </c>
      <c r="AG951" s="41" t="s">
        <v>34</v>
      </c>
      <c r="AH951" s="41" t="s">
        <v>5508</v>
      </c>
      <c r="AI951" s="108">
        <v>1.0</v>
      </c>
      <c r="AJ951" s="84">
        <v>0.0</v>
      </c>
      <c r="AK951" s="108"/>
      <c r="AL951" s="111">
        <v>0.0</v>
      </c>
      <c r="AM951" s="108"/>
      <c r="AN951" s="111">
        <v>0.0</v>
      </c>
      <c r="AO951" s="104"/>
      <c r="AP951" s="111">
        <v>0.0</v>
      </c>
      <c r="AQ951" s="111">
        <v>0.0</v>
      </c>
      <c r="AR951" s="69"/>
      <c r="AS951" s="111">
        <v>0.0</v>
      </c>
      <c r="AT951" s="111">
        <v>0.0</v>
      </c>
      <c r="AU951" s="112" t="s">
        <v>5509</v>
      </c>
      <c r="AV951" s="13"/>
      <c r="AW951" s="13"/>
      <c r="AX951" s="13"/>
      <c r="AY951" s="13"/>
      <c r="AZ951" s="6"/>
      <c r="BA951" s="6"/>
      <c r="BB951" s="6"/>
      <c r="BC951" s="6"/>
      <c r="BD951" s="6"/>
      <c r="BE951" s="6"/>
      <c r="BF951" s="6" t="s">
        <v>1781</v>
      </c>
      <c r="BG951" s="13"/>
      <c r="BH951" s="13"/>
      <c r="BI951" s="13"/>
      <c r="BJ951" s="13"/>
      <c r="BK951" s="13"/>
      <c r="BL951" s="13"/>
      <c r="BM951" s="13"/>
      <c r="BN951" s="6"/>
      <c r="BO951" s="6">
        <v>1.0</v>
      </c>
      <c r="BP951" s="13"/>
      <c r="BQ951" s="13"/>
      <c r="BR951" s="6" t="s">
        <v>979</v>
      </c>
    </row>
    <row r="952">
      <c r="A952" s="190">
        <v>125.0</v>
      </c>
      <c r="B952" s="50" t="s">
        <v>1130</v>
      </c>
      <c r="C952" s="53">
        <v>1.0</v>
      </c>
      <c r="D952" s="53"/>
      <c r="E952" s="7">
        <v>1401.0</v>
      </c>
      <c r="F952" s="53"/>
      <c r="G952" s="6"/>
      <c r="H952" s="35">
        <v>1.0</v>
      </c>
      <c r="I952" s="111">
        <v>1.0</v>
      </c>
      <c r="J952" s="35" t="s">
        <v>1788</v>
      </c>
      <c r="K952" s="99"/>
      <c r="L952" s="99"/>
      <c r="M952" s="39" t="str">
        <f t="shared" si="1"/>
        <v>[ AVL Tree (1962)]</v>
      </c>
      <c r="N952" s="107" t="s">
        <v>5510</v>
      </c>
      <c r="O952" s="111">
        <v>1962.0</v>
      </c>
      <c r="P952" s="191"/>
      <c r="Q952" s="13"/>
      <c r="R952" s="13"/>
      <c r="S952" s="13"/>
      <c r="T952" s="111">
        <v>1.0</v>
      </c>
      <c r="U952" s="35">
        <v>0.0</v>
      </c>
      <c r="V952" s="89">
        <f>IFERROR(__xludf.DUMMYFUNCTION("INDEX(SPLIT(SUBSTITUTE(W952,CHAR(10), """"),"",:""), MATCH(Z952, SPLIT(SUBSTITUTE(W952,CHAR(10), """"),"",:""), 0) + 1)"),4.0)</f>
        <v>4</v>
      </c>
      <c r="W952" s="102" t="s">
        <v>1791</v>
      </c>
      <c r="X952" s="35" t="s">
        <v>1953</v>
      </c>
      <c r="Y952" s="41" t="s">
        <v>5511</v>
      </c>
      <c r="Z952" s="53" t="str">
        <f t="array" ref="Z952">INDEX(Problems!J:J, MATCH(1, (Problems!B:B=B952)*1, 0))</f>
        <v>n</v>
      </c>
      <c r="AA952" s="41"/>
      <c r="AB952" s="41"/>
      <c r="AC952" s="41" t="s">
        <v>1813</v>
      </c>
      <c r="AD952" s="41" t="s">
        <v>1814</v>
      </c>
      <c r="AE952" s="85">
        <f>IFERROR(__xludf.DUMMYFUNCTION("INDEX(SPLIT(SUBSTITUTE(AF952,CHAR(10), """"),"",:""), MATCH(Z952, SPLIT(SUBSTITUTE(AF952,CHAR(10), """"),"",:""), 0) + 1)"),3.0)</f>
        <v>3</v>
      </c>
      <c r="AF952" s="102" t="s">
        <v>1763</v>
      </c>
      <c r="AG952" s="41" t="s">
        <v>35</v>
      </c>
      <c r="AH952" s="41" t="s">
        <v>5512</v>
      </c>
      <c r="AI952" s="108">
        <v>1.0</v>
      </c>
      <c r="AJ952" s="84">
        <v>0.0</v>
      </c>
      <c r="AK952" s="108"/>
      <c r="AL952" s="111">
        <v>0.0</v>
      </c>
      <c r="AM952" s="108"/>
      <c r="AN952" s="111">
        <v>0.0</v>
      </c>
      <c r="AO952" s="104"/>
      <c r="AP952" s="111">
        <v>0.0</v>
      </c>
      <c r="AQ952" s="111">
        <v>0.0</v>
      </c>
      <c r="AR952" s="69"/>
      <c r="AS952" s="111">
        <v>0.0</v>
      </c>
      <c r="AT952" s="111">
        <v>0.0</v>
      </c>
      <c r="AU952" s="35"/>
      <c r="AV952" s="13"/>
      <c r="AW952" s="13"/>
      <c r="AX952" s="13"/>
      <c r="AY952" s="13"/>
      <c r="AZ952" s="6"/>
      <c r="BA952" s="6"/>
      <c r="BB952" s="6"/>
      <c r="BC952" s="6"/>
      <c r="BD952" s="6"/>
      <c r="BE952" s="6"/>
      <c r="BF952" s="6">
        <f>1000*LOG(1000,2)</f>
        <v>9965.784285</v>
      </c>
      <c r="BG952" s="6">
        <v>1.0</v>
      </c>
      <c r="BH952" s="13"/>
      <c r="BI952" s="13">
        <f>1000000*LOG(1000000,2)</f>
        <v>19931568.57</v>
      </c>
      <c r="BJ952" s="6">
        <v>1.0</v>
      </c>
      <c r="BK952" s="13"/>
      <c r="BL952" s="13">
        <f>1000000000*LOG(1000000000,2)</f>
        <v>29897352854</v>
      </c>
      <c r="BM952" s="6">
        <v>1.0</v>
      </c>
      <c r="BN952" s="6"/>
      <c r="BO952" s="6">
        <v>5.0</v>
      </c>
      <c r="BP952" s="13"/>
      <c r="BQ952" s="13"/>
      <c r="BR952" s="6" t="s">
        <v>23</v>
      </c>
    </row>
    <row r="953">
      <c r="A953" s="190">
        <v>125.0</v>
      </c>
      <c r="B953" s="50" t="s">
        <v>1130</v>
      </c>
      <c r="C953" s="53">
        <v>1.0</v>
      </c>
      <c r="D953" s="53"/>
      <c r="E953" s="7">
        <v>1031.0</v>
      </c>
      <c r="F953" s="53"/>
      <c r="G953" s="6"/>
      <c r="H953" s="35">
        <v>1.0</v>
      </c>
      <c r="I953" s="111">
        <v>1.0</v>
      </c>
      <c r="J953" s="35" t="s">
        <v>1788</v>
      </c>
      <c r="K953" s="99"/>
      <c r="L953" s="99"/>
      <c r="M953" s="39" t="str">
        <f t="shared" si="1"/>
        <v>[https://ieeexplore.ieee.org/document/4567957 Guibas, Sedgewick Red-Black Tree (1972)]</v>
      </c>
      <c r="N953" s="107" t="s">
        <v>5513</v>
      </c>
      <c r="O953" s="111">
        <v>1972.0</v>
      </c>
      <c r="P953" s="192" t="s">
        <v>5514</v>
      </c>
      <c r="Q953" s="13"/>
      <c r="R953" s="13"/>
      <c r="S953" s="13"/>
      <c r="T953" s="111">
        <v>0.0</v>
      </c>
      <c r="U953" s="35">
        <v>0.0</v>
      </c>
      <c r="V953" s="89">
        <f>IFERROR(__xludf.DUMMYFUNCTION("INDEX(SPLIT(SUBSTITUTE(W953,CHAR(10), """"),"",:""), MATCH(Z953, SPLIT(SUBSTITUTE(W953,CHAR(10), """"),"",:""), 0) + 1)"),4.0)</f>
        <v>4</v>
      </c>
      <c r="W953" s="102" t="s">
        <v>1791</v>
      </c>
      <c r="X953" s="35" t="s">
        <v>1953</v>
      </c>
      <c r="Y953" s="41" t="s">
        <v>5511</v>
      </c>
      <c r="Z953" s="53" t="str">
        <f t="array" ref="Z953">INDEX(Problems!J:J, MATCH(1, (Problems!B:B=B953)*1, 0))</f>
        <v>n</v>
      </c>
      <c r="AA953" s="41"/>
      <c r="AB953" s="41"/>
      <c r="AC953" s="41" t="s">
        <v>1813</v>
      </c>
      <c r="AD953" s="41" t="s">
        <v>1814</v>
      </c>
      <c r="AE953" s="85">
        <f>IFERROR(__xludf.DUMMYFUNCTION("INDEX(SPLIT(SUBSTITUTE(AF953,CHAR(10), """"),"",:""), MATCH(Z953, SPLIT(SUBSTITUTE(AF953,CHAR(10), """"),"",:""), 0) + 1)"),3.0)</f>
        <v>3</v>
      </c>
      <c r="AF953" s="102" t="s">
        <v>1763</v>
      </c>
      <c r="AG953" s="41" t="s">
        <v>35</v>
      </c>
      <c r="AH953" s="41" t="s">
        <v>5512</v>
      </c>
      <c r="AI953" s="108">
        <v>1.0</v>
      </c>
      <c r="AJ953" s="84">
        <v>0.0</v>
      </c>
      <c r="AK953" s="108"/>
      <c r="AL953" s="111">
        <v>0.0</v>
      </c>
      <c r="AM953" s="108"/>
      <c r="AN953" s="111">
        <v>0.0</v>
      </c>
      <c r="AO953" s="104"/>
      <c r="AP953" s="111">
        <v>0.0</v>
      </c>
      <c r="AQ953" s="111">
        <v>0.0</v>
      </c>
      <c r="AR953" s="69"/>
      <c r="AS953" s="111">
        <v>0.0</v>
      </c>
      <c r="AT953" s="111">
        <v>0.0</v>
      </c>
      <c r="AU953" s="35"/>
      <c r="AV953" s="13"/>
      <c r="AW953" s="13"/>
      <c r="AX953" s="13"/>
      <c r="AY953" s="13"/>
      <c r="AZ953" s="6"/>
      <c r="BA953" s="6"/>
      <c r="BB953" s="6"/>
      <c r="BC953" s="6"/>
      <c r="BD953" s="6"/>
      <c r="BE953" s="6"/>
      <c r="BF953" s="6"/>
      <c r="BG953" s="13"/>
      <c r="BH953" s="13"/>
      <c r="BI953" s="13"/>
      <c r="BJ953" s="13"/>
      <c r="BK953" s="13"/>
      <c r="BL953" s="13"/>
      <c r="BM953" s="13"/>
      <c r="BN953" s="6"/>
      <c r="BO953" s="6">
        <v>5.0</v>
      </c>
      <c r="BP953" s="13"/>
      <c r="BQ953" s="13"/>
      <c r="BR953" s="6" t="s">
        <v>23</v>
      </c>
    </row>
    <row r="954">
      <c r="A954" s="190">
        <v>125.0</v>
      </c>
      <c r="B954" s="50" t="s">
        <v>1130</v>
      </c>
      <c r="C954" s="53">
        <v>1.0</v>
      </c>
      <c r="D954" s="53"/>
      <c r="E954" s="7">
        <v>1032.0</v>
      </c>
      <c r="F954" s="53"/>
      <c r="G954" s="6"/>
      <c r="H954" s="35">
        <v>1.0</v>
      </c>
      <c r="I954" s="111">
        <v>1.0</v>
      </c>
      <c r="J954" s="35" t="s">
        <v>1788</v>
      </c>
      <c r="K954" s="99"/>
      <c r="L954" s="99"/>
      <c r="M954" s="39" t="str">
        <f t="shared" si="1"/>
        <v>[ Hopcroft 2-3 Tree (1970)]</v>
      </c>
      <c r="N954" s="193" t="s">
        <v>5515</v>
      </c>
      <c r="O954" s="111">
        <v>1970.0</v>
      </c>
      <c r="P954" s="191"/>
      <c r="Q954" s="6">
        <v>1.0</v>
      </c>
      <c r="R954" s="6">
        <v>1.0</v>
      </c>
      <c r="S954" s="18" t="s">
        <v>5516</v>
      </c>
      <c r="T954" s="111">
        <v>0.0</v>
      </c>
      <c r="U954" s="35">
        <v>0.0</v>
      </c>
      <c r="V954" s="89">
        <f>IFERROR(__xludf.DUMMYFUNCTION("INDEX(SPLIT(SUBSTITUTE(W954,CHAR(10), """"),"",:""), MATCH(Z954, SPLIT(SUBSTITUTE(W954,CHAR(10), """"),"",:""), 0) + 1)"),4.0)</f>
        <v>4</v>
      </c>
      <c r="W954" s="102" t="s">
        <v>1791</v>
      </c>
      <c r="X954" s="35" t="s">
        <v>1953</v>
      </c>
      <c r="Y954" s="41" t="s">
        <v>5511</v>
      </c>
      <c r="Z954" s="53" t="str">
        <f t="array" ref="Z954">INDEX(Problems!J:J, MATCH(1, (Problems!B:B=B954)*1, 0))</f>
        <v>n</v>
      </c>
      <c r="AA954" s="41"/>
      <c r="AB954" s="41"/>
      <c r="AC954" s="41" t="s">
        <v>1813</v>
      </c>
      <c r="AD954" s="41" t="s">
        <v>1814</v>
      </c>
      <c r="AE954" s="85">
        <f>IFERROR(__xludf.DUMMYFUNCTION("INDEX(SPLIT(SUBSTITUTE(AF954,CHAR(10), """"),"",:""), MATCH(Z954, SPLIT(SUBSTITUTE(AF954,CHAR(10), """"),"",:""), 0) + 1)"),3.0)</f>
        <v>3</v>
      </c>
      <c r="AF954" s="102" t="s">
        <v>1763</v>
      </c>
      <c r="AG954" s="41" t="s">
        <v>35</v>
      </c>
      <c r="AH954" s="41" t="s">
        <v>5512</v>
      </c>
      <c r="AI954" s="108">
        <v>1.0</v>
      </c>
      <c r="AJ954" s="84">
        <v>0.0</v>
      </c>
      <c r="AK954" s="108"/>
      <c r="AL954" s="111">
        <v>0.0</v>
      </c>
      <c r="AM954" s="108"/>
      <c r="AN954" s="111">
        <v>0.0</v>
      </c>
      <c r="AO954" s="104"/>
      <c r="AP954" s="111">
        <v>0.0</v>
      </c>
      <c r="AQ954" s="111">
        <v>0.0</v>
      </c>
      <c r="AR954" s="69"/>
      <c r="AS954" s="111">
        <v>0.0</v>
      </c>
      <c r="AT954" s="111">
        <v>0.0</v>
      </c>
      <c r="AU954" s="35"/>
      <c r="AV954" s="13"/>
      <c r="AW954" s="13"/>
      <c r="AX954" s="13"/>
      <c r="AY954" s="13"/>
      <c r="AZ954" s="6"/>
      <c r="BA954" s="6"/>
      <c r="BB954" s="6"/>
      <c r="BC954" s="6"/>
      <c r="BD954" s="6"/>
      <c r="BE954" s="6"/>
      <c r="BF954" s="6">
        <f>1000*LOG(1000,2)</f>
        <v>9965.784285</v>
      </c>
      <c r="BG954" s="6">
        <v>1.0</v>
      </c>
      <c r="BH954" s="13"/>
      <c r="BI954" s="13">
        <f>1000000*LOG(1000000,2)</f>
        <v>19931568.57</v>
      </c>
      <c r="BJ954" s="6">
        <v>1.0</v>
      </c>
      <c r="BK954" s="13"/>
      <c r="BL954" s="13">
        <f>1000000000*LOG(1000000000,2)</f>
        <v>29897352854</v>
      </c>
      <c r="BM954" s="6">
        <v>1.0</v>
      </c>
      <c r="BN954" s="6"/>
      <c r="BO954" s="6">
        <v>5.0</v>
      </c>
      <c r="BP954" s="13"/>
      <c r="BQ954" s="13"/>
      <c r="BR954" s="6" t="s">
        <v>23</v>
      </c>
    </row>
    <row r="955">
      <c r="A955" s="190">
        <v>125.0</v>
      </c>
      <c r="B955" s="50" t="s">
        <v>1130</v>
      </c>
      <c r="C955" s="53">
        <v>1.0</v>
      </c>
      <c r="D955" s="53"/>
      <c r="E955" s="7">
        <v>1033.0</v>
      </c>
      <c r="F955" s="53"/>
      <c r="G955" s="6"/>
      <c r="H955" s="35">
        <v>1.0</v>
      </c>
      <c r="I955" s="111">
        <v>1.0</v>
      </c>
      <c r="J955" s="35" t="s">
        <v>1788</v>
      </c>
      <c r="K955" s="99"/>
      <c r="L955" s="99"/>
      <c r="M955" s="39" t="str">
        <f t="shared" si="1"/>
        <v>[ Tarjan Splay Tree (1985)]</v>
      </c>
      <c r="N955" s="107" t="s">
        <v>5517</v>
      </c>
      <c r="O955" s="111">
        <v>1985.0</v>
      </c>
      <c r="P955" s="191"/>
      <c r="Q955" s="13"/>
      <c r="R955" s="13"/>
      <c r="S955" s="13"/>
      <c r="T955" s="111">
        <v>0.0</v>
      </c>
      <c r="U955" s="35">
        <v>0.0</v>
      </c>
      <c r="V955" s="89">
        <f>IFERROR(__xludf.DUMMYFUNCTION("INDEX(SPLIT(SUBSTITUTE(W955,CHAR(10), """"),"",:""), MATCH(Z955, SPLIT(SUBSTITUTE(W955,CHAR(10), """"),"",:""), 0) + 1)"),4.0)</f>
        <v>4</v>
      </c>
      <c r="W955" s="102" t="s">
        <v>1791</v>
      </c>
      <c r="X955" s="35" t="s">
        <v>1953</v>
      </c>
      <c r="Y955" s="41" t="s">
        <v>5511</v>
      </c>
      <c r="Z955" s="53" t="str">
        <f t="array" ref="Z955">INDEX(Problems!J:J, MATCH(1, (Problems!B:B=B955)*1, 0))</f>
        <v>n</v>
      </c>
      <c r="AA955" s="41"/>
      <c r="AB955" s="41"/>
      <c r="AC955" s="41" t="s">
        <v>1813</v>
      </c>
      <c r="AD955" s="41" t="s">
        <v>1814</v>
      </c>
      <c r="AE955" s="85">
        <f>IFERROR(__xludf.DUMMYFUNCTION("INDEX(SPLIT(SUBSTITUTE(AF955,CHAR(10), """"),"",:""), MATCH(Z955, SPLIT(SUBSTITUTE(AF955,CHAR(10), """"),"",:""), 0) + 1)"),3.0)</f>
        <v>3</v>
      </c>
      <c r="AF955" s="102" t="s">
        <v>1763</v>
      </c>
      <c r="AG955" s="41" t="s">
        <v>35</v>
      </c>
      <c r="AH955" s="41" t="s">
        <v>5512</v>
      </c>
      <c r="AI955" s="108">
        <v>1.0</v>
      </c>
      <c r="AJ955" s="84">
        <v>0.0</v>
      </c>
      <c r="AK955" s="108"/>
      <c r="AL955" s="111">
        <v>0.0</v>
      </c>
      <c r="AM955" s="108"/>
      <c r="AN955" s="111">
        <v>0.0</v>
      </c>
      <c r="AO955" s="104"/>
      <c r="AP955" s="111">
        <v>0.0</v>
      </c>
      <c r="AQ955" s="111">
        <v>0.0</v>
      </c>
      <c r="AR955" s="69"/>
      <c r="AS955" s="111">
        <v>0.0</v>
      </c>
      <c r="AT955" s="111">
        <v>0.0</v>
      </c>
      <c r="AU955" s="35"/>
      <c r="AV955" s="13"/>
      <c r="AW955" s="13"/>
      <c r="AX955" s="13"/>
      <c r="AY955" s="13"/>
      <c r="AZ955" s="6"/>
      <c r="BA955" s="6"/>
      <c r="BB955" s="6"/>
      <c r="BC955" s="6"/>
      <c r="BD955" s="6"/>
      <c r="BE955" s="6"/>
      <c r="BF955" s="6"/>
      <c r="BG955" s="13"/>
      <c r="BH955" s="13"/>
      <c r="BI955" s="13"/>
      <c r="BJ955" s="13"/>
      <c r="BK955" s="13"/>
      <c r="BL955" s="13"/>
      <c r="BM955" s="13"/>
      <c r="BN955" s="6"/>
      <c r="BO955" s="6">
        <v>5.0</v>
      </c>
      <c r="BP955" s="13"/>
      <c r="BQ955" s="13"/>
      <c r="BR955" s="6" t="s">
        <v>23</v>
      </c>
    </row>
    <row r="956">
      <c r="A956" s="190">
        <v>125.0</v>
      </c>
      <c r="B956" s="50" t="s">
        <v>1130</v>
      </c>
      <c r="C956" s="53">
        <v>1.0</v>
      </c>
      <c r="D956" s="53"/>
      <c r="E956" s="7">
        <v>1034.0</v>
      </c>
      <c r="F956" s="53"/>
      <c r="G956" s="6"/>
      <c r="H956" s="35">
        <v>1.0</v>
      </c>
      <c r="I956" s="111">
        <v>1.0</v>
      </c>
      <c r="J956" s="138" t="s">
        <v>5518</v>
      </c>
      <c r="K956" s="99"/>
      <c r="L956" s="99"/>
      <c r="M956" s="39" t="str">
        <f t="shared" si="1"/>
        <v>[ Bayer, McCreight B-Tree (1970)]</v>
      </c>
      <c r="N956" s="107" t="s">
        <v>5519</v>
      </c>
      <c r="O956" s="111">
        <v>1970.0</v>
      </c>
      <c r="P956" s="191"/>
      <c r="Q956" s="13"/>
      <c r="R956" s="13"/>
      <c r="S956" s="13"/>
      <c r="T956" s="111">
        <v>0.0</v>
      </c>
      <c r="U956" s="35">
        <v>0.0</v>
      </c>
      <c r="V956" s="89">
        <f>IFERROR(__xludf.DUMMYFUNCTION("INDEX(SPLIT(SUBSTITUTE(W956,CHAR(10), """"),"",:""), MATCH(Z956, SPLIT(SUBSTITUTE(W956,CHAR(10), """"),"",:""), 0) + 1)"),4.0)</f>
        <v>4</v>
      </c>
      <c r="W956" s="102" t="s">
        <v>1791</v>
      </c>
      <c r="X956" s="138" t="s">
        <v>5520</v>
      </c>
      <c r="Y956" s="41" t="s">
        <v>5521</v>
      </c>
      <c r="Z956" s="53" t="str">
        <f t="array" ref="Z956">INDEX(Problems!J:J, MATCH(1, (Problems!B:B=B956)*1, 0))</f>
        <v>n</v>
      </c>
      <c r="AA956" s="41"/>
      <c r="AB956" s="41"/>
      <c r="AC956" s="41" t="s">
        <v>1813</v>
      </c>
      <c r="AD956" s="41" t="s">
        <v>1814</v>
      </c>
      <c r="AE956" s="85">
        <f>IFERROR(__xludf.DUMMYFUNCTION("INDEX(SPLIT(SUBSTITUTE(AF956,CHAR(10), """"),"",:""), MATCH(Z956, SPLIT(SUBSTITUTE(AF956,CHAR(10), """"),"",:""), 0) + 1)"),3.0)</f>
        <v>3</v>
      </c>
      <c r="AF956" s="102" t="s">
        <v>1763</v>
      </c>
      <c r="AG956" s="41" t="s">
        <v>35</v>
      </c>
      <c r="AH956" s="41" t="s">
        <v>5512</v>
      </c>
      <c r="AI956" s="108">
        <v>1.0</v>
      </c>
      <c r="AJ956" s="84">
        <v>0.0</v>
      </c>
      <c r="AK956" s="108"/>
      <c r="AL956" s="111">
        <v>0.0</v>
      </c>
      <c r="AM956" s="108"/>
      <c r="AN956" s="111">
        <v>0.0</v>
      </c>
      <c r="AO956" s="104"/>
      <c r="AP956" s="111">
        <v>0.0</v>
      </c>
      <c r="AQ956" s="111">
        <v>0.0</v>
      </c>
      <c r="AR956" s="69"/>
      <c r="AS956" s="111">
        <v>0.0</v>
      </c>
      <c r="AT956" s="111">
        <v>0.0</v>
      </c>
      <c r="AU956" s="35"/>
      <c r="AV956" s="13"/>
      <c r="AW956" s="13"/>
      <c r="AX956" s="13"/>
      <c r="AY956" s="13"/>
      <c r="AZ956" s="6"/>
      <c r="BA956" s="6"/>
      <c r="BB956" s="6"/>
      <c r="BC956" s="6"/>
      <c r="BD956" s="6"/>
      <c r="BE956" s="6"/>
      <c r="BF956" s="6"/>
      <c r="BG956" s="13"/>
      <c r="BH956" s="13"/>
      <c r="BI956" s="13"/>
      <c r="BJ956" s="13"/>
      <c r="BK956" s="13"/>
      <c r="BL956" s="13"/>
      <c r="BM956" s="13"/>
      <c r="BN956" s="6"/>
      <c r="BO956" s="6">
        <v>5.0</v>
      </c>
      <c r="BP956" s="13"/>
      <c r="BQ956" s="13"/>
      <c r="BR956" s="6" t="s">
        <v>23</v>
      </c>
    </row>
    <row r="957">
      <c r="A957" s="35">
        <v>126.0</v>
      </c>
      <c r="B957" s="35" t="s">
        <v>1134</v>
      </c>
      <c r="C957" s="53">
        <v>1.0</v>
      </c>
      <c r="D957" s="53"/>
      <c r="E957" s="7">
        <v>1059.0</v>
      </c>
      <c r="F957" s="53"/>
      <c r="G957" s="6"/>
      <c r="H957" s="35">
        <v>1.0</v>
      </c>
      <c r="I957" s="111">
        <v>1.0</v>
      </c>
      <c r="J957" s="35" t="s">
        <v>1963</v>
      </c>
      <c r="K957" s="99"/>
      <c r="L957" s="99"/>
      <c r="M957" s="39" t="str">
        <f t="shared" si="1"/>
        <v>[ Hopcroft 2-3 Tree (1970)]</v>
      </c>
      <c r="N957" s="193" t="s">
        <v>5515</v>
      </c>
      <c r="O957" s="111">
        <v>1970.0</v>
      </c>
      <c r="P957" s="191"/>
      <c r="Q957" s="6">
        <v>1.0</v>
      </c>
      <c r="R957" s="6">
        <v>1.0</v>
      </c>
      <c r="S957" s="18" t="s">
        <v>5516</v>
      </c>
      <c r="T957" s="111">
        <v>1.0</v>
      </c>
      <c r="U957" s="35">
        <v>0.0</v>
      </c>
      <c r="V957" s="89">
        <f>IFERROR(__xludf.DUMMYFUNCTION("INDEX(SPLIT(SUBSTITUTE(W957,CHAR(10), """"),"",:""), MATCH(Z957, SPLIT(SUBSTITUTE(W957,CHAR(10), """"),"",:""), 0) + 1)"),2.0)</f>
        <v>2</v>
      </c>
      <c r="W957" s="102" t="s">
        <v>1962</v>
      </c>
      <c r="X957" s="104" t="s">
        <v>2430</v>
      </c>
      <c r="Y957" s="41" t="s">
        <v>5511</v>
      </c>
      <c r="Z957" s="53" t="str">
        <f t="array" ref="Z957">INDEX(Problems!J:J, MATCH(1, (Problems!B:B=B957)*1, 0))</f>
        <v>n</v>
      </c>
      <c r="AA957" s="41"/>
      <c r="AB957" s="41"/>
      <c r="AC957" s="41" t="s">
        <v>1813</v>
      </c>
      <c r="AD957" s="41" t="s">
        <v>1814</v>
      </c>
      <c r="AE957" s="85">
        <f>IFERROR(__xludf.DUMMYFUNCTION("INDEX(SPLIT(SUBSTITUTE(AF957,CHAR(10), """"),"",:""), MATCH(Z957, SPLIT(SUBSTITUTE(AF957,CHAR(10), """"),"",:""), 0) + 1)"),1.0)</f>
        <v>1</v>
      </c>
      <c r="AF957" s="102" t="s">
        <v>1774</v>
      </c>
      <c r="AG957" s="41" t="s">
        <v>34</v>
      </c>
      <c r="AH957" s="41" t="s">
        <v>5522</v>
      </c>
      <c r="AI957" s="108">
        <v>1.0</v>
      </c>
      <c r="AJ957" s="84">
        <v>0.0</v>
      </c>
      <c r="AK957" s="108"/>
      <c r="AL957" s="111">
        <v>0.0</v>
      </c>
      <c r="AM957" s="108"/>
      <c r="AN957" s="111">
        <v>0.0</v>
      </c>
      <c r="AO957" s="104"/>
      <c r="AP957" s="111">
        <v>0.0</v>
      </c>
      <c r="AQ957" s="111">
        <v>0.0</v>
      </c>
      <c r="AR957" s="69"/>
      <c r="AS957" s="111">
        <v>0.0</v>
      </c>
      <c r="AT957" s="111">
        <v>0.0</v>
      </c>
      <c r="AU957" s="35"/>
      <c r="AV957" s="13"/>
      <c r="AW957" s="13"/>
      <c r="AX957" s="13"/>
      <c r="AY957" s="13"/>
      <c r="AZ957" s="6"/>
      <c r="BA957" s="6"/>
      <c r="BB957" s="6"/>
      <c r="BC957" s="6"/>
      <c r="BD957" s="6"/>
      <c r="BE957" s="6"/>
      <c r="BF957" s="6">
        <f t="shared" ref="BF957:BF962" si="71">LOG(1000,2)</f>
        <v>9.965784285</v>
      </c>
      <c r="BG957" s="6">
        <v>1.0</v>
      </c>
      <c r="BH957" s="13"/>
      <c r="BI957" s="13">
        <f t="shared" ref="BI957:BI962" si="72">LOG(1000000,2)</f>
        <v>19.93156857</v>
      </c>
      <c r="BJ957" s="6">
        <v>1.0</v>
      </c>
      <c r="BK957" s="13"/>
      <c r="BL957" s="13">
        <f t="shared" ref="BL957:BL962" si="73">LOG(1000000000,2)</f>
        <v>29.89735285</v>
      </c>
      <c r="BM957" s="6">
        <v>1.0</v>
      </c>
      <c r="BN957" s="6"/>
      <c r="BO957" s="6">
        <v>7.0</v>
      </c>
      <c r="BP957" s="13"/>
      <c r="BQ957" s="13"/>
      <c r="BR957" s="6" t="s">
        <v>23</v>
      </c>
    </row>
    <row r="958">
      <c r="A958" s="35">
        <v>126.0</v>
      </c>
      <c r="B958" s="35" t="s">
        <v>1134</v>
      </c>
      <c r="C958" s="53">
        <v>1.0</v>
      </c>
      <c r="D958" s="53"/>
      <c r="E958" s="7">
        <v>1035.0</v>
      </c>
      <c r="F958" s="53"/>
      <c r="G958" s="6"/>
      <c r="H958" s="35">
        <v>1.0</v>
      </c>
      <c r="I958" s="111">
        <v>1.0</v>
      </c>
      <c r="J958" s="104" t="s">
        <v>5523</v>
      </c>
      <c r="K958" s="99"/>
      <c r="L958" s="99"/>
      <c r="M958" s="39" t="str">
        <f t="shared" si="1"/>
        <v>[https://ieeexplore.ieee.org/document/4567957 Guibas, Sedgewick Red-Black Tree (1972)]</v>
      </c>
      <c r="N958" s="107" t="s">
        <v>5513</v>
      </c>
      <c r="O958" s="111">
        <v>1972.0</v>
      </c>
      <c r="P958" s="192" t="s">
        <v>5514</v>
      </c>
      <c r="Q958" s="6"/>
      <c r="R958" s="6"/>
      <c r="S958" s="6"/>
      <c r="T958" s="111">
        <v>0.0</v>
      </c>
      <c r="U958" s="35">
        <v>0.0</v>
      </c>
      <c r="V958" s="89">
        <f>IFERROR(__xludf.DUMMYFUNCTION("INDEX(SPLIT(SUBSTITUTE(W958,CHAR(10), """"),"",:""), MATCH(Z958, SPLIT(SUBSTITUTE(W958,CHAR(10), """"),"",:""), 0) + 1)"),2.0)</f>
        <v>2</v>
      </c>
      <c r="W958" s="102" t="s">
        <v>1962</v>
      </c>
      <c r="X958" s="104" t="s">
        <v>2430</v>
      </c>
      <c r="Y958" s="41" t="s">
        <v>5511</v>
      </c>
      <c r="Z958" s="53" t="str">
        <f t="array" ref="Z958">INDEX(Problems!J:J, MATCH(1, (Problems!B:B=B958)*1, 0))</f>
        <v>n</v>
      </c>
      <c r="AA958" s="41"/>
      <c r="AB958" s="41"/>
      <c r="AC958" s="41" t="s">
        <v>1813</v>
      </c>
      <c r="AD958" s="41" t="s">
        <v>1814</v>
      </c>
      <c r="AE958" s="85">
        <f>IFERROR(__xludf.DUMMYFUNCTION("INDEX(SPLIT(SUBSTITUTE(AF958,CHAR(10), """"),"",:""), MATCH(Z958, SPLIT(SUBSTITUTE(AF958,CHAR(10), """"),"",:""), 0) + 1)"),1.0)</f>
        <v>1</v>
      </c>
      <c r="AF958" s="102" t="s">
        <v>1774</v>
      </c>
      <c r="AG958" s="41" t="s">
        <v>34</v>
      </c>
      <c r="AH958" s="41" t="s">
        <v>2117</v>
      </c>
      <c r="AI958" s="108">
        <v>1.0</v>
      </c>
      <c r="AJ958" s="84">
        <v>0.0</v>
      </c>
      <c r="AK958" s="108"/>
      <c r="AL958" s="111">
        <v>0.0</v>
      </c>
      <c r="AM958" s="108"/>
      <c r="AN958" s="111">
        <v>0.0</v>
      </c>
      <c r="AO958" s="104"/>
      <c r="AP958" s="111">
        <v>0.0</v>
      </c>
      <c r="AQ958" s="111">
        <v>0.0</v>
      </c>
      <c r="AR958" s="69"/>
      <c r="AS958" s="111">
        <v>0.0</v>
      </c>
      <c r="AT958" s="111">
        <v>0.0</v>
      </c>
      <c r="AU958" s="35"/>
      <c r="AV958" s="13"/>
      <c r="AW958" s="13"/>
      <c r="AX958" s="13"/>
      <c r="AY958" s="13"/>
      <c r="AZ958" s="6"/>
      <c r="BA958" s="6"/>
      <c r="BB958" s="6"/>
      <c r="BC958" s="6"/>
      <c r="BD958" s="6"/>
      <c r="BE958" s="6"/>
      <c r="BF958" s="6">
        <f t="shared" si="71"/>
        <v>9.965784285</v>
      </c>
      <c r="BG958" s="6">
        <v>1.0</v>
      </c>
      <c r="BH958" s="13"/>
      <c r="BI958" s="13">
        <f t="shared" si="72"/>
        <v>19.93156857</v>
      </c>
      <c r="BJ958" s="6">
        <v>1.0</v>
      </c>
      <c r="BK958" s="13"/>
      <c r="BL958" s="13">
        <f t="shared" si="73"/>
        <v>29.89735285</v>
      </c>
      <c r="BM958" s="6">
        <v>1.0</v>
      </c>
      <c r="BN958" s="6"/>
      <c r="BO958" s="6">
        <v>7.0</v>
      </c>
      <c r="BP958" s="13"/>
      <c r="BQ958" s="13"/>
      <c r="BR958" s="6" t="s">
        <v>23</v>
      </c>
    </row>
    <row r="959">
      <c r="A959" s="35">
        <v>127.0</v>
      </c>
      <c r="B959" s="35" t="s">
        <v>1136</v>
      </c>
      <c r="C959" s="53">
        <v>1.0</v>
      </c>
      <c r="D959" s="53"/>
      <c r="E959" s="7">
        <v>1060.0</v>
      </c>
      <c r="F959" s="53"/>
      <c r="G959" s="6"/>
      <c r="H959" s="35">
        <v>1.0</v>
      </c>
      <c r="I959" s="111">
        <v>1.0</v>
      </c>
      <c r="J959" s="35" t="s">
        <v>1963</v>
      </c>
      <c r="K959" s="99"/>
      <c r="L959" s="99"/>
      <c r="M959" s="39" t="str">
        <f t="shared" si="1"/>
        <v>[ Hopcroft 2-3 Tree (1970)]</v>
      </c>
      <c r="N959" s="193" t="s">
        <v>5515</v>
      </c>
      <c r="O959" s="111">
        <v>1970.0</v>
      </c>
      <c r="P959" s="191"/>
      <c r="Q959" s="6">
        <v>1.0</v>
      </c>
      <c r="R959" s="6">
        <v>1.0</v>
      </c>
      <c r="S959" s="18" t="s">
        <v>5516</v>
      </c>
      <c r="T959" s="111">
        <v>1.0</v>
      </c>
      <c r="U959" s="35">
        <v>0.0</v>
      </c>
      <c r="V959" s="89">
        <f>IFERROR(__xludf.DUMMYFUNCTION("INDEX(SPLIT(SUBSTITUTE(W959,CHAR(10), """"),"",:""), MATCH(Z959, SPLIT(SUBSTITUTE(W959,CHAR(10), """"),"",:""), 0) + 1)"),2.0)</f>
        <v>2</v>
      </c>
      <c r="W959" s="102" t="s">
        <v>1962</v>
      </c>
      <c r="X959" s="104" t="s">
        <v>2430</v>
      </c>
      <c r="Y959" s="41" t="s">
        <v>5511</v>
      </c>
      <c r="Z959" s="53" t="str">
        <f t="array" ref="Z959">INDEX(Problems!J:J, MATCH(1, (Problems!B:B=B959)*1, 0))</f>
        <v>n</v>
      </c>
      <c r="AA959" s="41"/>
      <c r="AB959" s="41"/>
      <c r="AC959" s="41" t="s">
        <v>1813</v>
      </c>
      <c r="AD959" s="41" t="s">
        <v>1814</v>
      </c>
      <c r="AE959" s="85">
        <f>IFERROR(__xludf.DUMMYFUNCTION("INDEX(SPLIT(SUBSTITUTE(AF959,CHAR(10), """"),"",:""), MATCH(Z959, SPLIT(SUBSTITUTE(AF959,CHAR(10), """"),"",:""), 0) + 1)"),1.0)</f>
        <v>1</v>
      </c>
      <c r="AF959" s="102" t="s">
        <v>1774</v>
      </c>
      <c r="AG959" s="41" t="s">
        <v>34</v>
      </c>
      <c r="AH959" s="41" t="s">
        <v>2117</v>
      </c>
      <c r="AI959" s="108">
        <v>1.0</v>
      </c>
      <c r="AJ959" s="84">
        <v>0.0</v>
      </c>
      <c r="AK959" s="108"/>
      <c r="AL959" s="111">
        <v>0.0</v>
      </c>
      <c r="AM959" s="108"/>
      <c r="AN959" s="111">
        <v>0.0</v>
      </c>
      <c r="AO959" s="104"/>
      <c r="AP959" s="111">
        <v>0.0</v>
      </c>
      <c r="AQ959" s="111">
        <v>0.0</v>
      </c>
      <c r="AR959" s="69"/>
      <c r="AS959" s="111">
        <v>0.0</v>
      </c>
      <c r="AT959" s="111">
        <v>0.0</v>
      </c>
      <c r="AU959" s="35"/>
      <c r="AV959" s="13"/>
      <c r="AW959" s="13"/>
      <c r="AX959" s="13"/>
      <c r="AY959" s="13"/>
      <c r="AZ959" s="6"/>
      <c r="BA959" s="6"/>
      <c r="BB959" s="6"/>
      <c r="BC959" s="6"/>
      <c r="BD959" s="6"/>
      <c r="BE959" s="6"/>
      <c r="BF959" s="6">
        <f t="shared" si="71"/>
        <v>9.965784285</v>
      </c>
      <c r="BG959" s="6">
        <v>1.0</v>
      </c>
      <c r="BH959" s="13"/>
      <c r="BI959" s="13">
        <f t="shared" si="72"/>
        <v>19.93156857</v>
      </c>
      <c r="BJ959" s="6">
        <v>1.0</v>
      </c>
      <c r="BK959" s="13"/>
      <c r="BL959" s="13">
        <f t="shared" si="73"/>
        <v>29.89735285</v>
      </c>
      <c r="BM959" s="6">
        <v>1.0</v>
      </c>
      <c r="BN959" s="6"/>
      <c r="BO959" s="6">
        <v>7.0</v>
      </c>
      <c r="BP959" s="13"/>
      <c r="BQ959" s="13"/>
      <c r="BR959" s="6" t="s">
        <v>23</v>
      </c>
    </row>
    <row r="960">
      <c r="A960" s="35">
        <v>127.0</v>
      </c>
      <c r="B960" s="35" t="s">
        <v>1136</v>
      </c>
      <c r="C960" s="53">
        <v>1.0</v>
      </c>
      <c r="D960" s="53"/>
      <c r="E960" s="7">
        <v>1036.0</v>
      </c>
      <c r="F960" s="53"/>
      <c r="G960" s="6"/>
      <c r="H960" s="35">
        <v>1.0</v>
      </c>
      <c r="I960" s="111">
        <v>1.0</v>
      </c>
      <c r="J960" s="104" t="s">
        <v>5523</v>
      </c>
      <c r="K960" s="99"/>
      <c r="L960" s="99"/>
      <c r="M960" s="39" t="str">
        <f t="shared" si="1"/>
        <v>[https://ieeexplore.ieee.org/document/4567957 Guibas, Sedgewick Red-Black Tree (1972)]</v>
      </c>
      <c r="N960" s="107" t="s">
        <v>5513</v>
      </c>
      <c r="O960" s="111">
        <v>1972.0</v>
      </c>
      <c r="P960" s="192" t="s">
        <v>5514</v>
      </c>
      <c r="Q960" s="6"/>
      <c r="R960" s="6"/>
      <c r="S960" s="6"/>
      <c r="T960" s="111">
        <v>1.0</v>
      </c>
      <c r="U960" s="35">
        <v>0.0</v>
      </c>
      <c r="V960" s="89">
        <f>IFERROR(__xludf.DUMMYFUNCTION("INDEX(SPLIT(SUBSTITUTE(W960,CHAR(10), """"),"",:""), MATCH(Z960, SPLIT(SUBSTITUTE(W960,CHAR(10), """"),"",:""), 0) + 1)"),2.0)</f>
        <v>2</v>
      </c>
      <c r="W960" s="102" t="s">
        <v>1962</v>
      </c>
      <c r="X960" s="35" t="s">
        <v>2430</v>
      </c>
      <c r="Y960" s="41" t="s">
        <v>5511</v>
      </c>
      <c r="Z960" s="53" t="str">
        <f t="array" ref="Z960">INDEX(Problems!J:J, MATCH(1, (Problems!B:B=B960)*1, 0))</f>
        <v>n</v>
      </c>
      <c r="AA960" s="41"/>
      <c r="AB960" s="41"/>
      <c r="AC960" s="41" t="s">
        <v>1813</v>
      </c>
      <c r="AD960" s="41" t="s">
        <v>1814</v>
      </c>
      <c r="AE960" s="85">
        <f>IFERROR(__xludf.DUMMYFUNCTION("INDEX(SPLIT(SUBSTITUTE(AF960,CHAR(10), """"),"",:""), MATCH(Z960, SPLIT(SUBSTITUTE(AF960,CHAR(10), """"),"",:""), 0) + 1)"),1.0)</f>
        <v>1</v>
      </c>
      <c r="AF960" s="102" t="s">
        <v>1774</v>
      </c>
      <c r="AG960" s="41" t="s">
        <v>34</v>
      </c>
      <c r="AH960" s="41" t="s">
        <v>2117</v>
      </c>
      <c r="AI960" s="108">
        <v>1.0</v>
      </c>
      <c r="AJ960" s="84">
        <v>0.0</v>
      </c>
      <c r="AK960" s="108"/>
      <c r="AL960" s="111">
        <v>0.0</v>
      </c>
      <c r="AM960" s="108"/>
      <c r="AN960" s="111">
        <v>0.0</v>
      </c>
      <c r="AO960" s="104"/>
      <c r="AP960" s="111">
        <v>0.0</v>
      </c>
      <c r="AQ960" s="111">
        <v>0.0</v>
      </c>
      <c r="AR960" s="69"/>
      <c r="AS960" s="111">
        <v>0.0</v>
      </c>
      <c r="AT960" s="111">
        <v>0.0</v>
      </c>
      <c r="AU960" s="35"/>
      <c r="AV960" s="13"/>
      <c r="AW960" s="13"/>
      <c r="AX960" s="13"/>
      <c r="AY960" s="13"/>
      <c r="AZ960" s="6"/>
      <c r="BA960" s="6"/>
      <c r="BB960" s="6"/>
      <c r="BC960" s="6"/>
      <c r="BD960" s="6"/>
      <c r="BE960" s="6"/>
      <c r="BF960" s="6">
        <f t="shared" si="71"/>
        <v>9.965784285</v>
      </c>
      <c r="BG960" s="6">
        <v>1.0</v>
      </c>
      <c r="BH960" s="13"/>
      <c r="BI960" s="13">
        <f t="shared" si="72"/>
        <v>19.93156857</v>
      </c>
      <c r="BJ960" s="6">
        <v>1.0</v>
      </c>
      <c r="BK960" s="13"/>
      <c r="BL960" s="13">
        <f t="shared" si="73"/>
        <v>29.89735285</v>
      </c>
      <c r="BM960" s="6">
        <v>1.0</v>
      </c>
      <c r="BN960" s="6"/>
      <c r="BO960" s="6">
        <v>7.0</v>
      </c>
      <c r="BP960" s="13"/>
      <c r="BQ960" s="13"/>
      <c r="BR960" s="6" t="s">
        <v>23</v>
      </c>
    </row>
    <row r="961">
      <c r="A961" s="35">
        <v>128.0</v>
      </c>
      <c r="B961" s="35" t="s">
        <v>1138</v>
      </c>
      <c r="C961" s="53">
        <v>1.0</v>
      </c>
      <c r="D961" s="53"/>
      <c r="E961" s="7">
        <v>1061.0</v>
      </c>
      <c r="F961" s="53"/>
      <c r="G961" s="6"/>
      <c r="H961" s="35">
        <v>1.0</v>
      </c>
      <c r="I961" s="111">
        <v>1.0</v>
      </c>
      <c r="J961" s="35" t="s">
        <v>1963</v>
      </c>
      <c r="K961" s="99"/>
      <c r="L961" s="99"/>
      <c r="M961" s="39" t="str">
        <f t="shared" si="1"/>
        <v>[ Hopcroft 2-3 Tree (1970)]</v>
      </c>
      <c r="N961" s="193" t="s">
        <v>5515</v>
      </c>
      <c r="O961" s="111">
        <v>1970.0</v>
      </c>
      <c r="P961" s="191"/>
      <c r="Q961" s="6">
        <v>1.0</v>
      </c>
      <c r="R961" s="6">
        <v>1.0</v>
      </c>
      <c r="S961" s="18" t="s">
        <v>5516</v>
      </c>
      <c r="T961" s="111">
        <v>1.0</v>
      </c>
      <c r="U961" s="35">
        <v>0.0</v>
      </c>
      <c r="V961" s="89">
        <f>IFERROR(__xludf.DUMMYFUNCTION("INDEX(SPLIT(SUBSTITUTE(W961,CHAR(10), """"),"",:""), MATCH(Z961, SPLIT(SUBSTITUTE(W961,CHAR(10), """"),"",:""), 0) + 1)"),2.0)</f>
        <v>2</v>
      </c>
      <c r="W961" s="102" t="s">
        <v>1962</v>
      </c>
      <c r="X961" s="104" t="s">
        <v>2430</v>
      </c>
      <c r="Y961" s="41" t="s">
        <v>5511</v>
      </c>
      <c r="Z961" s="53" t="str">
        <f t="array" ref="Z961">INDEX(Problems!J:J, MATCH(1, (Problems!B:B=B961)*1, 0))</f>
        <v>n</v>
      </c>
      <c r="AA961" s="41"/>
      <c r="AB961" s="41"/>
      <c r="AC961" s="41" t="s">
        <v>1813</v>
      </c>
      <c r="AD961" s="41" t="s">
        <v>1814</v>
      </c>
      <c r="AE961" s="85">
        <f>IFERROR(__xludf.DUMMYFUNCTION("INDEX(SPLIT(SUBSTITUTE(AF961,CHAR(10), """"),"",:""), MATCH(Z961, SPLIT(SUBSTITUTE(AF961,CHAR(10), """"),"",:""), 0) + 1)"),1.0)</f>
        <v>1</v>
      </c>
      <c r="AF961" s="102" t="s">
        <v>1774</v>
      </c>
      <c r="AG961" s="41" t="s">
        <v>34</v>
      </c>
      <c r="AH961" s="41" t="s">
        <v>5524</v>
      </c>
      <c r="AI961" s="108">
        <v>1.0</v>
      </c>
      <c r="AJ961" s="84">
        <v>0.0</v>
      </c>
      <c r="AK961" s="108"/>
      <c r="AL961" s="111">
        <v>0.0</v>
      </c>
      <c r="AM961" s="108"/>
      <c r="AN961" s="111">
        <v>0.0</v>
      </c>
      <c r="AO961" s="104"/>
      <c r="AP961" s="111">
        <v>0.0</v>
      </c>
      <c r="AQ961" s="111">
        <v>0.0</v>
      </c>
      <c r="AR961" s="69"/>
      <c r="AS961" s="111">
        <v>0.0</v>
      </c>
      <c r="AT961" s="111">
        <v>0.0</v>
      </c>
      <c r="AU961" s="35"/>
      <c r="AV961" s="13"/>
      <c r="AW961" s="13"/>
      <c r="AX961" s="13"/>
      <c r="AY961" s="13"/>
      <c r="AZ961" s="6"/>
      <c r="BA961" s="6"/>
      <c r="BB961" s="6"/>
      <c r="BC961" s="6"/>
      <c r="BD961" s="6"/>
      <c r="BE961" s="6"/>
      <c r="BF961" s="6">
        <f t="shared" si="71"/>
        <v>9.965784285</v>
      </c>
      <c r="BG961" s="6">
        <v>1.0</v>
      </c>
      <c r="BH961" s="13"/>
      <c r="BI961" s="13">
        <f t="shared" si="72"/>
        <v>19.93156857</v>
      </c>
      <c r="BJ961" s="6">
        <v>1.0</v>
      </c>
      <c r="BK961" s="13"/>
      <c r="BL961" s="13">
        <f t="shared" si="73"/>
        <v>29.89735285</v>
      </c>
      <c r="BM961" s="6">
        <v>1.0</v>
      </c>
      <c r="BN961" s="6"/>
      <c r="BO961" s="6">
        <v>7.0</v>
      </c>
      <c r="BP961" s="13"/>
      <c r="BQ961" s="13"/>
      <c r="BR961" s="6" t="s">
        <v>23</v>
      </c>
    </row>
    <row r="962">
      <c r="A962" s="35">
        <v>128.0</v>
      </c>
      <c r="B962" s="35" t="s">
        <v>1138</v>
      </c>
      <c r="C962" s="53">
        <v>1.0</v>
      </c>
      <c r="D962" s="53"/>
      <c r="E962" s="7">
        <v>1037.0</v>
      </c>
      <c r="F962" s="53"/>
      <c r="G962" s="6"/>
      <c r="H962" s="35">
        <v>1.0</v>
      </c>
      <c r="I962" s="111">
        <v>1.0</v>
      </c>
      <c r="J962" s="35" t="s">
        <v>1963</v>
      </c>
      <c r="K962" s="99"/>
      <c r="L962" s="99"/>
      <c r="M962" s="39" t="str">
        <f t="shared" si="1"/>
        <v>[https://ieeexplore.ieee.org/document/4567957 Guibas, Sedgewick Red-Black Tree (1972)]</v>
      </c>
      <c r="N962" s="107" t="s">
        <v>5513</v>
      </c>
      <c r="O962" s="111">
        <v>1972.0</v>
      </c>
      <c r="P962" s="192" t="s">
        <v>5514</v>
      </c>
      <c r="Q962" s="6"/>
      <c r="R962" s="6"/>
      <c r="S962" s="6"/>
      <c r="T962" s="111">
        <v>1.0</v>
      </c>
      <c r="U962" s="35">
        <v>0.0</v>
      </c>
      <c r="V962" s="89">
        <f>IFERROR(__xludf.DUMMYFUNCTION("INDEX(SPLIT(SUBSTITUTE(W962,CHAR(10), """"),"",:""), MATCH(Z962, SPLIT(SUBSTITUTE(W962,CHAR(10), """"),"",:""), 0) + 1)"),2.0)</f>
        <v>2</v>
      </c>
      <c r="W962" s="102" t="s">
        <v>1962</v>
      </c>
      <c r="X962" s="35" t="s">
        <v>2430</v>
      </c>
      <c r="Y962" s="41" t="s">
        <v>5511</v>
      </c>
      <c r="Z962" s="53" t="str">
        <f t="array" ref="Z962">INDEX(Problems!J:J, MATCH(1, (Problems!B:B=B962)*1, 0))</f>
        <v>n</v>
      </c>
      <c r="AA962" s="41"/>
      <c r="AB962" s="41"/>
      <c r="AC962" s="41" t="s">
        <v>1813</v>
      </c>
      <c r="AD962" s="41" t="s">
        <v>1814</v>
      </c>
      <c r="AE962" s="85">
        <f>IFERROR(__xludf.DUMMYFUNCTION("INDEX(SPLIT(SUBSTITUTE(AF962,CHAR(10), """"),"",:""), MATCH(Z962, SPLIT(SUBSTITUTE(AF962,CHAR(10), """"),"",:""), 0) + 1)"),1.0)</f>
        <v>1</v>
      </c>
      <c r="AF962" s="102" t="s">
        <v>1774</v>
      </c>
      <c r="AG962" s="41" t="s">
        <v>34</v>
      </c>
      <c r="AH962" s="41" t="s">
        <v>5524</v>
      </c>
      <c r="AI962" s="108">
        <v>1.0</v>
      </c>
      <c r="AJ962" s="84">
        <v>0.0</v>
      </c>
      <c r="AK962" s="108"/>
      <c r="AL962" s="111">
        <v>0.0</v>
      </c>
      <c r="AM962" s="108"/>
      <c r="AN962" s="111">
        <v>0.0</v>
      </c>
      <c r="AO962" s="104"/>
      <c r="AP962" s="111">
        <v>0.0</v>
      </c>
      <c r="AQ962" s="111">
        <v>0.0</v>
      </c>
      <c r="AR962" s="69"/>
      <c r="AS962" s="111">
        <v>0.0</v>
      </c>
      <c r="AT962" s="111">
        <v>0.0</v>
      </c>
      <c r="AU962" s="35"/>
      <c r="AV962" s="13"/>
      <c r="AW962" s="13"/>
      <c r="AX962" s="13"/>
      <c r="AY962" s="13"/>
      <c r="AZ962" s="6"/>
      <c r="BA962" s="6"/>
      <c r="BB962" s="6"/>
      <c r="BC962" s="6"/>
      <c r="BD962" s="6"/>
      <c r="BE962" s="6"/>
      <c r="BF962" s="6">
        <f t="shared" si="71"/>
        <v>9.965784285</v>
      </c>
      <c r="BG962" s="6">
        <v>1.0</v>
      </c>
      <c r="BH962" s="13"/>
      <c r="BI962" s="13">
        <f t="shared" si="72"/>
        <v>19.93156857</v>
      </c>
      <c r="BJ962" s="6">
        <v>1.0</v>
      </c>
      <c r="BK962" s="13"/>
      <c r="BL962" s="13">
        <f t="shared" si="73"/>
        <v>29.89735285</v>
      </c>
      <c r="BM962" s="6">
        <v>1.0</v>
      </c>
      <c r="BN962" s="6"/>
      <c r="BO962" s="6">
        <v>7.0</v>
      </c>
      <c r="BP962" s="13"/>
      <c r="BQ962" s="13"/>
      <c r="BR962" s="6" t="s">
        <v>23</v>
      </c>
    </row>
    <row r="963">
      <c r="A963" s="35">
        <v>129.0</v>
      </c>
      <c r="B963" s="35" t="s">
        <v>1140</v>
      </c>
      <c r="C963" s="53">
        <v>2.0</v>
      </c>
      <c r="D963" s="53" t="s">
        <v>1141</v>
      </c>
      <c r="E963" s="7">
        <v>958.5</v>
      </c>
      <c r="F963" s="53"/>
      <c r="G963" s="6"/>
      <c r="H963" s="35">
        <v>1.0</v>
      </c>
      <c r="I963" s="111">
        <v>1.0</v>
      </c>
      <c r="J963" s="104" t="s">
        <v>5525</v>
      </c>
      <c r="K963" s="53" t="s">
        <v>2068</v>
      </c>
      <c r="L963" s="91" t="s">
        <v>2069</v>
      </c>
      <c r="M963" s="39" t="str">
        <f t="shared" si="1"/>
        <v>[https://epubs.siam.org/doi/pdf/10.1137/0201008 Aho, Garey &amp; Ullman (1972)]</v>
      </c>
      <c r="N963" s="107" t="s">
        <v>5526</v>
      </c>
      <c r="O963" s="111">
        <v>1972.0</v>
      </c>
      <c r="P963" s="106" t="s">
        <v>1143</v>
      </c>
      <c r="Q963" s="13"/>
      <c r="R963" s="13"/>
      <c r="S963" s="13"/>
      <c r="T963" s="111">
        <v>1.0</v>
      </c>
      <c r="U963" s="35">
        <v>0.0</v>
      </c>
      <c r="V963" s="89">
        <f>IFERROR(__xludf.DUMMYFUNCTION("INDEX(SPLIT(SUBSTITUTE(W963,CHAR(10), """"),"",:""), MATCH(Z963, SPLIT(SUBSTITUTE(W963,CHAR(10), """"),"",:""), 0) + 1)"),5.3728596)</f>
        <v>5.3728596</v>
      </c>
      <c r="W963" s="102" t="s">
        <v>4541</v>
      </c>
      <c r="X963" s="104" t="s">
        <v>1144</v>
      </c>
      <c r="Y963" s="41" t="s">
        <v>2102</v>
      </c>
      <c r="Z963" s="53" t="str">
        <f t="array" ref="Z963">INDEX(Problems!J:J, MATCH(1, (Problems!B:B=B963)*1, 0))</f>
        <v>n</v>
      </c>
      <c r="AA963" s="41"/>
      <c r="AB963" s="41"/>
      <c r="AC963" s="41" t="s">
        <v>1813</v>
      </c>
      <c r="AD963" s="41" t="s">
        <v>1814</v>
      </c>
      <c r="AE963" s="85">
        <f>IFERROR(__xludf.DUMMYFUNCTION("INDEX(SPLIT(SUBSTITUTE(AF963,CHAR(10), """"),"",:""), MATCH(Z963, SPLIT(SUBSTITUTE(AF963,CHAR(10), """"),"",:""), 0) + 1)"),5.0)</f>
        <v>5</v>
      </c>
      <c r="AF963" s="102" t="s">
        <v>1938</v>
      </c>
      <c r="AG963" s="41" t="s">
        <v>115</v>
      </c>
      <c r="AH963" s="41" t="s">
        <v>5527</v>
      </c>
      <c r="AI963" s="108">
        <v>1.0</v>
      </c>
      <c r="AJ963" s="84">
        <v>0.0</v>
      </c>
      <c r="AK963" s="108"/>
      <c r="AL963" s="111">
        <v>0.0</v>
      </c>
      <c r="AM963" s="108"/>
      <c r="AN963" s="111">
        <v>0.0</v>
      </c>
      <c r="AO963" s="104"/>
      <c r="AP963" s="111">
        <v>0.0</v>
      </c>
      <c r="AQ963" s="111">
        <v>0.0</v>
      </c>
      <c r="AR963" s="69"/>
      <c r="AS963" s="111">
        <v>0.0</v>
      </c>
      <c r="AT963" s="111">
        <v>0.0</v>
      </c>
      <c r="AU963" s="69"/>
      <c r="AV963" s="13"/>
      <c r="AW963" s="13"/>
      <c r="AX963" s="13"/>
      <c r="AY963" s="13"/>
      <c r="AZ963" s="13"/>
      <c r="BA963" s="13"/>
      <c r="BB963" s="13"/>
      <c r="BC963" s="13"/>
      <c r="BD963" s="13"/>
      <c r="BE963" s="13"/>
      <c r="BF963" s="13">
        <f t="shared" ref="BF963:BF964" si="74">POW(1000,2.807)</f>
        <v>263633138.6</v>
      </c>
      <c r="BG963" s="6">
        <v>1.0</v>
      </c>
      <c r="BH963" s="13"/>
      <c r="BI963" s="13">
        <f t="shared" ref="BI963:BI964" si="75">POW(1000000,2.807)</f>
        <v>6.95024E+16</v>
      </c>
      <c r="BJ963" s="6">
        <v>1.0</v>
      </c>
      <c r="BK963" s="13"/>
      <c r="BL963" s="13">
        <f t="shared" ref="BL963:BL964" si="76">POW(1000000000,2.807)</f>
        <v>1.83231E+25</v>
      </c>
      <c r="BM963" s="6">
        <v>1.0</v>
      </c>
      <c r="BN963" s="6"/>
      <c r="BO963" s="6">
        <v>3.0</v>
      </c>
      <c r="BP963" s="13"/>
      <c r="BQ963" s="13"/>
      <c r="BR963" s="6" t="s">
        <v>23</v>
      </c>
    </row>
    <row r="964">
      <c r="A964" s="194">
        <v>129.0</v>
      </c>
      <c r="B964" s="195" t="s">
        <v>1140</v>
      </c>
      <c r="C964" s="196">
        <v>2.0</v>
      </c>
      <c r="D964" s="53" t="s">
        <v>1141</v>
      </c>
      <c r="E964" s="197">
        <v>949.0</v>
      </c>
      <c r="F964" s="120"/>
      <c r="G964" s="56"/>
      <c r="H964" s="197">
        <v>1.0</v>
      </c>
      <c r="I964" s="197">
        <v>1.0</v>
      </c>
      <c r="J964" s="35" t="s">
        <v>5528</v>
      </c>
      <c r="K964" s="130" t="s">
        <v>2117</v>
      </c>
      <c r="L964" s="130" t="s">
        <v>2117</v>
      </c>
      <c r="M964" s="69" t="str">
        <f t="shared" si="1"/>
        <v>[https://epubs.siam.org/doi/pdf/10.1137/0201008 Aho, Garey &amp; Ullman (1972)]</v>
      </c>
      <c r="N964" s="107" t="s">
        <v>5526</v>
      </c>
      <c r="O964" s="197">
        <v>1972.0</v>
      </c>
      <c r="P964" s="26" t="s">
        <v>1143</v>
      </c>
      <c r="Q964" s="198"/>
      <c r="R964" s="198"/>
      <c r="S964" s="198"/>
      <c r="T964" s="197">
        <v>1.0</v>
      </c>
      <c r="U964" s="197">
        <v>0.0</v>
      </c>
      <c r="V964" s="89">
        <f>IFERROR(__xludf.DUMMYFUNCTION("INDEX(SPLIT(SUBSTITUTE(W964,CHAR(10), """"),"",:""), MATCH(Z964, SPLIT(SUBSTITUTE(W964,CHAR(10), """"),"",:""), 0) + 1)"),5.807)</f>
        <v>5.807</v>
      </c>
      <c r="W964" s="102" t="s">
        <v>5529</v>
      </c>
      <c r="X964" s="34" t="s">
        <v>5530</v>
      </c>
      <c r="Y964" s="41" t="s">
        <v>2102</v>
      </c>
      <c r="Z964" s="53" t="str">
        <f t="array" ref="Z964">INDEX(Problems!J:J, MATCH(1, (Problems!B:B=B964)*1, 0))</f>
        <v>n</v>
      </c>
      <c r="AA964" s="41"/>
      <c r="AB964" s="41"/>
      <c r="AC964" s="41" t="s">
        <v>1813</v>
      </c>
      <c r="AD964" s="41" t="s">
        <v>1814</v>
      </c>
      <c r="AE964" s="85">
        <f>IFERROR(__xludf.DUMMYFUNCTION("INDEX(SPLIT(SUBSTITUTE(AF964,CHAR(10), """"),"",:""), MATCH(Z964, SPLIT(SUBSTITUTE(AF964,CHAR(10), """"),"",:""), 0) + 1)"),5.0)</f>
        <v>5</v>
      </c>
      <c r="AF964" s="102" t="s">
        <v>1938</v>
      </c>
      <c r="AG964" s="41" t="s">
        <v>115</v>
      </c>
      <c r="AH964" s="41" t="s">
        <v>5527</v>
      </c>
      <c r="AI964" s="108">
        <v>1.0</v>
      </c>
      <c r="AJ964" s="84">
        <v>0.0</v>
      </c>
      <c r="AK964" s="199"/>
      <c r="AL964" s="197">
        <v>0.0</v>
      </c>
      <c r="AM964" s="200"/>
      <c r="AN964" s="197">
        <v>0.0</v>
      </c>
      <c r="AO964" s="200"/>
      <c r="AP964" s="197">
        <v>0.0</v>
      </c>
      <c r="AQ964" s="197">
        <v>0.0</v>
      </c>
      <c r="AR964" s="198"/>
      <c r="AS964" s="197">
        <v>0.0</v>
      </c>
      <c r="AT964" s="197">
        <v>0.0</v>
      </c>
      <c r="AU964" s="198"/>
      <c r="AV964" s="198"/>
      <c r="AW964" s="198"/>
      <c r="AX964" s="198"/>
      <c r="AY964" s="198"/>
      <c r="AZ964" s="98"/>
      <c r="BA964" s="98"/>
      <c r="BB964" s="98"/>
      <c r="BC964" s="98"/>
      <c r="BD964" s="98"/>
      <c r="BE964" s="98"/>
      <c r="BF964" s="98">
        <f t="shared" si="74"/>
        <v>263633138.6</v>
      </c>
      <c r="BG964" s="197">
        <v>1.0</v>
      </c>
      <c r="BH964" s="98"/>
      <c r="BI964" s="98">
        <f t="shared" si="75"/>
        <v>6.95024E+16</v>
      </c>
      <c r="BJ964" s="197">
        <v>1.0</v>
      </c>
      <c r="BK964" s="98"/>
      <c r="BL964" s="98">
        <f t="shared" si="76"/>
        <v>1.83231E+25</v>
      </c>
      <c r="BM964" s="197">
        <v>1.0</v>
      </c>
      <c r="BN964" s="197"/>
      <c r="BO964" s="197">
        <v>3.0</v>
      </c>
      <c r="BP964" s="198"/>
      <c r="BQ964" s="198"/>
      <c r="BR964" s="56" t="s">
        <v>23</v>
      </c>
    </row>
    <row r="965">
      <c r="A965" s="61">
        <v>129.0</v>
      </c>
      <c r="B965" s="61" t="s">
        <v>1140</v>
      </c>
      <c r="C965" s="53">
        <v>2.0</v>
      </c>
      <c r="D965" s="53" t="s">
        <v>1141</v>
      </c>
      <c r="E965" s="7">
        <v>950.0</v>
      </c>
      <c r="F965" s="53"/>
      <c r="G965" s="6"/>
      <c r="H965" s="35">
        <v>1.0</v>
      </c>
      <c r="I965" s="111">
        <v>1.0</v>
      </c>
      <c r="J965" s="35" t="s">
        <v>5531</v>
      </c>
      <c r="K965" s="130" t="s">
        <v>2117</v>
      </c>
      <c r="L965" s="130" t="s">
        <v>2117</v>
      </c>
      <c r="M965" s="39" t="str">
        <f t="shared" si="1"/>
        <v>[https://epubs.siam.org/doi/pdf/10.1137/0201008 Aho, Garey &amp; Ullman (1978)]</v>
      </c>
      <c r="N965" s="107" t="s">
        <v>5526</v>
      </c>
      <c r="O965" s="197">
        <v>1978.0</v>
      </c>
      <c r="P965" s="106" t="s">
        <v>1143</v>
      </c>
      <c r="Q965" s="13"/>
      <c r="R965" s="13"/>
      <c r="S965" s="13"/>
      <c r="T965" s="111">
        <v>1.0</v>
      </c>
      <c r="U965" s="35">
        <v>0.0</v>
      </c>
      <c r="V965" s="89">
        <f>IFERROR(__xludf.DUMMYFUNCTION("INDEX(SPLIT(SUBSTITUTE(W965,CHAR(10), """"),"",:""), MATCH(Z965, SPLIT(SUBSTITUTE(W965,CHAR(10), """"),"",:""), 0) + 1)"),5.8)</f>
        <v>5.8</v>
      </c>
      <c r="W965" s="102" t="s">
        <v>5532</v>
      </c>
      <c r="X965" s="69" t="s">
        <v>5533</v>
      </c>
      <c r="Y965" s="41" t="s">
        <v>2102</v>
      </c>
      <c r="Z965" s="53" t="str">
        <f t="array" ref="Z965">INDEX(Problems!J:J, MATCH(1, (Problems!B:B=B965)*1, 0))</f>
        <v>n</v>
      </c>
      <c r="AA965" s="41"/>
      <c r="AB965" s="41"/>
      <c r="AC965" s="41" t="s">
        <v>1813</v>
      </c>
      <c r="AD965" s="41" t="s">
        <v>1814</v>
      </c>
      <c r="AE965" s="85">
        <f>IFERROR(__xludf.DUMMYFUNCTION("INDEX(SPLIT(SUBSTITUTE(AF965,CHAR(10), """"),"",:""), MATCH(Z965, SPLIT(SUBSTITUTE(AF965,CHAR(10), """"),"",:""), 0) + 1)"),5.0)</f>
        <v>5</v>
      </c>
      <c r="AF965" s="102" t="s">
        <v>1938</v>
      </c>
      <c r="AG965" s="41" t="s">
        <v>115</v>
      </c>
      <c r="AH965" s="41" t="s">
        <v>5527</v>
      </c>
      <c r="AI965" s="108">
        <v>1.0</v>
      </c>
      <c r="AJ965" s="84">
        <v>0.0</v>
      </c>
      <c r="AK965" s="108"/>
      <c r="AL965" s="111">
        <v>0.0</v>
      </c>
      <c r="AM965" s="108"/>
      <c r="AN965" s="111">
        <v>0.0</v>
      </c>
      <c r="AO965" s="110"/>
      <c r="AP965" s="111">
        <v>0.0</v>
      </c>
      <c r="AQ965" s="111">
        <v>0.0</v>
      </c>
      <c r="AR965" s="69"/>
      <c r="AS965" s="111">
        <v>0.0</v>
      </c>
      <c r="AT965" s="111">
        <v>0.0</v>
      </c>
      <c r="AU965" s="69"/>
      <c r="AV965" s="13"/>
      <c r="AW965" s="13"/>
      <c r="AX965" s="13"/>
      <c r="AY965" s="13"/>
      <c r="AZ965" s="13"/>
      <c r="BA965" s="13"/>
      <c r="BB965" s="13"/>
      <c r="BC965" s="13"/>
      <c r="BD965" s="13"/>
      <c r="BE965" s="13"/>
      <c r="BF965" s="13">
        <f>POW(1000,2.8)</f>
        <v>251188643.2</v>
      </c>
      <c r="BG965" s="13">
        <f>BF963/BF965</f>
        <v>1.049542429</v>
      </c>
      <c r="BH965" s="13"/>
      <c r="BI965" s="13">
        <f>POW(1000000,2.8)</f>
        <v>6.30957E+16</v>
      </c>
      <c r="BJ965" s="13">
        <f>BI963/BI965</f>
        <v>1.10153931</v>
      </c>
      <c r="BK965" s="13"/>
      <c r="BL965" s="13">
        <f>POW(1000000000,2.8)</f>
        <v>1.58489E+25</v>
      </c>
      <c r="BM965" s="13">
        <f>BL963/BL965</f>
        <v>1.156112242</v>
      </c>
      <c r="BN965" s="6"/>
      <c r="BO965" s="6">
        <v>3.0</v>
      </c>
      <c r="BP965" s="13"/>
      <c r="BQ965" s="13"/>
      <c r="BR965" s="6" t="s">
        <v>23</v>
      </c>
    </row>
    <row r="966">
      <c r="A966" s="61">
        <v>129.0</v>
      </c>
      <c r="B966" s="61" t="s">
        <v>1140</v>
      </c>
      <c r="C966" s="53">
        <v>2.0</v>
      </c>
      <c r="D966" s="53" t="s">
        <v>1141</v>
      </c>
      <c r="E966" s="7">
        <v>951.0</v>
      </c>
      <c r="F966" s="53"/>
      <c r="G966" s="6"/>
      <c r="H966" s="35">
        <v>1.0</v>
      </c>
      <c r="I966" s="111">
        <v>1.0</v>
      </c>
      <c r="J966" s="35" t="s">
        <v>5534</v>
      </c>
      <c r="K966" s="130" t="s">
        <v>2117</v>
      </c>
      <c r="L966" s="130" t="s">
        <v>2117</v>
      </c>
      <c r="M966" s="39" t="str">
        <f t="shared" si="1"/>
        <v>[https://epubs.siam.org/doi/pdf/10.1137/0201008 Aho, Garey &amp; Ullman (1979)]</v>
      </c>
      <c r="N966" s="107" t="s">
        <v>5526</v>
      </c>
      <c r="O966" s="197">
        <v>1979.0</v>
      </c>
      <c r="P966" s="106" t="s">
        <v>1143</v>
      </c>
      <c r="Q966" s="13"/>
      <c r="R966" s="13"/>
      <c r="S966" s="13"/>
      <c r="T966" s="111">
        <v>1.0</v>
      </c>
      <c r="U966" s="35">
        <v>0.0</v>
      </c>
      <c r="V966" s="89">
        <f>IFERROR(__xludf.DUMMYFUNCTION("INDEX(SPLIT(SUBSTITUTE(W966,CHAR(10), """"),"",:""), MATCH(Z966, SPLIT(SUBSTITUTE(W966,CHAR(10), """"),"",:""), 0) + 1)"),5.78)</f>
        <v>5.78</v>
      </c>
      <c r="W966" s="102" t="s">
        <v>5535</v>
      </c>
      <c r="X966" s="69" t="s">
        <v>5536</v>
      </c>
      <c r="Y966" s="41" t="s">
        <v>2102</v>
      </c>
      <c r="Z966" s="53" t="str">
        <f t="array" ref="Z966">INDEX(Problems!J:J, MATCH(1, (Problems!B:B=B966)*1, 0))</f>
        <v>n</v>
      </c>
      <c r="AA966" s="41"/>
      <c r="AB966" s="41"/>
      <c r="AC966" s="41" t="s">
        <v>1813</v>
      </c>
      <c r="AD966" s="41" t="s">
        <v>1814</v>
      </c>
      <c r="AE966" s="85">
        <f>IFERROR(__xludf.DUMMYFUNCTION("INDEX(SPLIT(SUBSTITUTE(AF966,CHAR(10), """"),"",:""), MATCH(Z966, SPLIT(SUBSTITUTE(AF966,CHAR(10), """"),"",:""), 0) + 1)"),5.0)</f>
        <v>5</v>
      </c>
      <c r="AF966" s="102" t="s">
        <v>1938</v>
      </c>
      <c r="AG966" s="41" t="s">
        <v>115</v>
      </c>
      <c r="AH966" s="41" t="s">
        <v>5527</v>
      </c>
      <c r="AI966" s="108">
        <v>1.0</v>
      </c>
      <c r="AJ966" s="84">
        <v>0.0</v>
      </c>
      <c r="AK966" s="108"/>
      <c r="AL966" s="111">
        <v>0.0</v>
      </c>
      <c r="AM966" s="108"/>
      <c r="AN966" s="111">
        <v>0.0</v>
      </c>
      <c r="AO966" s="110"/>
      <c r="AP966" s="111">
        <v>0.0</v>
      </c>
      <c r="AQ966" s="111">
        <v>0.0</v>
      </c>
      <c r="AR966" s="69"/>
      <c r="AS966" s="111">
        <v>0.0</v>
      </c>
      <c r="AT966" s="111">
        <v>0.0</v>
      </c>
      <c r="AU966" s="69"/>
      <c r="AV966" s="13"/>
      <c r="AW966" s="13"/>
      <c r="AX966" s="13"/>
      <c r="AY966" s="13"/>
      <c r="AZ966" s="7"/>
      <c r="BA966" s="7"/>
      <c r="BB966" s="7"/>
      <c r="BC966" s="7"/>
      <c r="BD966" s="7"/>
      <c r="BE966" s="7"/>
      <c r="BF966" s="7">
        <f>POW(1000,2.78)</f>
        <v>218776162.4</v>
      </c>
      <c r="BG966" s="82">
        <f>BF963/BF966</f>
        <v>1.20503594</v>
      </c>
      <c r="BH966" s="82"/>
      <c r="BI966" s="82">
        <f>POW(1000000,2.78)</f>
        <v>4.7863E+16</v>
      </c>
      <c r="BJ966" s="82">
        <f>BI963/BI966</f>
        <v>1.452111618</v>
      </c>
      <c r="BK966" s="82"/>
      <c r="BL966" s="82">
        <f>POW(1000000000,2.78)</f>
        <v>1.04713E+25</v>
      </c>
      <c r="BM966" s="82">
        <f>BL963/BL966</f>
        <v>1.749846689</v>
      </c>
      <c r="BN966" s="6"/>
      <c r="BO966" s="6">
        <v>3.0</v>
      </c>
      <c r="BP966" s="13"/>
      <c r="BQ966" s="13"/>
      <c r="BR966" s="6" t="s">
        <v>23</v>
      </c>
    </row>
    <row r="967">
      <c r="A967" s="61">
        <v>129.0</v>
      </c>
      <c r="B967" s="61" t="s">
        <v>1140</v>
      </c>
      <c r="C967" s="53">
        <v>2.0</v>
      </c>
      <c r="D967" s="53" t="s">
        <v>1141</v>
      </c>
      <c r="E967" s="7">
        <v>952.0</v>
      </c>
      <c r="F967" s="53"/>
      <c r="G967" s="6"/>
      <c r="H967" s="35">
        <v>1.0</v>
      </c>
      <c r="I967" s="111">
        <v>1.0</v>
      </c>
      <c r="J967" s="35" t="s">
        <v>5537</v>
      </c>
      <c r="K967" s="130" t="s">
        <v>2117</v>
      </c>
      <c r="L967" s="130" t="s">
        <v>2117</v>
      </c>
      <c r="M967" s="39" t="str">
        <f t="shared" si="1"/>
        <v>[https://epubs.siam.org/doi/pdf/10.1137/0201008 Aho, Garey &amp; Ullman (1980)]</v>
      </c>
      <c r="N967" s="107" t="s">
        <v>5526</v>
      </c>
      <c r="O967" s="197">
        <v>1980.0</v>
      </c>
      <c r="P967" s="106" t="s">
        <v>1143</v>
      </c>
      <c r="Q967" s="13"/>
      <c r="R967" s="13"/>
      <c r="S967" s="13"/>
      <c r="T967" s="111">
        <v>1.0</v>
      </c>
      <c r="U967" s="35">
        <v>0.0</v>
      </c>
      <c r="V967" s="89">
        <f>IFERROR(__xludf.DUMMYFUNCTION("INDEX(SPLIT(SUBSTITUTE(W967,CHAR(10), """"),"",:""), MATCH(Z967, SPLIT(SUBSTITUTE(W967,CHAR(10), """"),"",:""), 0) + 1)"),5.52)</f>
        <v>5.52</v>
      </c>
      <c r="W967" s="102" t="s">
        <v>5538</v>
      </c>
      <c r="X967" s="69" t="s">
        <v>5539</v>
      </c>
      <c r="Y967" s="41" t="s">
        <v>2102</v>
      </c>
      <c r="Z967" s="53" t="str">
        <f t="array" ref="Z967">INDEX(Problems!J:J, MATCH(1, (Problems!B:B=B967)*1, 0))</f>
        <v>n</v>
      </c>
      <c r="AA967" s="41"/>
      <c r="AB967" s="41"/>
      <c r="AC967" s="41" t="s">
        <v>1813</v>
      </c>
      <c r="AD967" s="41" t="s">
        <v>1814</v>
      </c>
      <c r="AE967" s="85">
        <f>IFERROR(__xludf.DUMMYFUNCTION("INDEX(SPLIT(SUBSTITUTE(AF967,CHAR(10), """"),"",:""), MATCH(Z967, SPLIT(SUBSTITUTE(AF967,CHAR(10), """"),"",:""), 0) + 1)"),5.0)</f>
        <v>5</v>
      </c>
      <c r="AF967" s="102" t="s">
        <v>1938</v>
      </c>
      <c r="AG967" s="41" t="s">
        <v>115</v>
      </c>
      <c r="AH967" s="41" t="s">
        <v>5527</v>
      </c>
      <c r="AI967" s="108">
        <v>1.0</v>
      </c>
      <c r="AJ967" s="84">
        <v>0.0</v>
      </c>
      <c r="AK967" s="108"/>
      <c r="AL967" s="111">
        <v>0.0</v>
      </c>
      <c r="AM967" s="108"/>
      <c r="AN967" s="111">
        <v>0.0</v>
      </c>
      <c r="AO967" s="110"/>
      <c r="AP967" s="111">
        <v>0.0</v>
      </c>
      <c r="AQ967" s="111">
        <v>0.0</v>
      </c>
      <c r="AR967" s="69"/>
      <c r="AS967" s="111">
        <v>0.0</v>
      </c>
      <c r="AT967" s="111">
        <v>0.0</v>
      </c>
      <c r="AU967" s="69"/>
      <c r="AV967" s="13"/>
      <c r="AW967" s="13"/>
      <c r="AX967" s="13"/>
      <c r="AY967" s="13"/>
      <c r="AZ967" s="7"/>
      <c r="BA967" s="7"/>
      <c r="BB967" s="7"/>
      <c r="BC967" s="7"/>
      <c r="BD967" s="7"/>
      <c r="BE967" s="7"/>
      <c r="BF967" s="7">
        <f>POW(1000,2.52)</f>
        <v>36307805.48</v>
      </c>
      <c r="BG967" s="82">
        <f>BF963/BF967</f>
        <v>7.261059574</v>
      </c>
      <c r="BH967" s="82"/>
      <c r="BI967" s="82">
        <f>POW(1000000,2.52)</f>
        <v>1.31826E+15</v>
      </c>
      <c r="BJ967" s="82">
        <f>BI963/BI967</f>
        <v>52.72298614</v>
      </c>
      <c r="BK967" s="82"/>
      <c r="BL967" s="82">
        <f>POW(1000000000,2.52)</f>
        <v>4.7863E+22</v>
      </c>
      <c r="BM967" s="82">
        <f>BL963/BL967</f>
        <v>382.8247433</v>
      </c>
      <c r="BN967" s="6"/>
      <c r="BO967" s="6">
        <v>3.0</v>
      </c>
      <c r="BP967" s="13"/>
      <c r="BQ967" s="13"/>
      <c r="BR967" s="6" t="s">
        <v>23</v>
      </c>
    </row>
    <row r="968">
      <c r="A968" s="61">
        <v>129.0</v>
      </c>
      <c r="B968" s="61" t="s">
        <v>1140</v>
      </c>
      <c r="C968" s="53">
        <v>2.0</v>
      </c>
      <c r="D968" s="53" t="s">
        <v>1141</v>
      </c>
      <c r="E968" s="7">
        <v>953.0</v>
      </c>
      <c r="F968" s="53"/>
      <c r="G968" s="6"/>
      <c r="H968" s="35">
        <v>1.0</v>
      </c>
      <c r="I968" s="111">
        <v>1.0</v>
      </c>
      <c r="J968" s="35" t="s">
        <v>5540</v>
      </c>
      <c r="K968" s="130" t="s">
        <v>2117</v>
      </c>
      <c r="L968" s="130" t="s">
        <v>2117</v>
      </c>
      <c r="M968" s="39" t="str">
        <f t="shared" si="1"/>
        <v>[https://epubs.siam.org/doi/pdf/10.1137/0201008 Aho, Garey &amp; Ullman (1980)]</v>
      </c>
      <c r="N968" s="107" t="s">
        <v>5526</v>
      </c>
      <c r="O968" s="197">
        <v>1980.0</v>
      </c>
      <c r="P968" s="106" t="s">
        <v>1143</v>
      </c>
      <c r="Q968" s="13"/>
      <c r="R968" s="13"/>
      <c r="S968" s="13"/>
      <c r="T968" s="111">
        <v>1.0</v>
      </c>
      <c r="U968" s="35">
        <v>0.0</v>
      </c>
      <c r="V968" s="89">
        <f>IFERROR(__xludf.DUMMYFUNCTION("INDEX(SPLIT(SUBSTITUTE(W968,CHAR(10), """"),"",:""), MATCH(Z968, SPLIT(SUBSTITUTE(W968,CHAR(10), """"),"",:""), 0) + 1)"),5.518)</f>
        <v>5.518</v>
      </c>
      <c r="W968" s="102" t="s">
        <v>5541</v>
      </c>
      <c r="X968" s="69" t="s">
        <v>5542</v>
      </c>
      <c r="Y968" s="41" t="s">
        <v>2102</v>
      </c>
      <c r="Z968" s="53" t="str">
        <f t="array" ref="Z968">INDEX(Problems!J:J, MATCH(1, (Problems!B:B=B968)*1, 0))</f>
        <v>n</v>
      </c>
      <c r="AA968" s="41"/>
      <c r="AB968" s="41"/>
      <c r="AC968" s="41" t="s">
        <v>1813</v>
      </c>
      <c r="AD968" s="41" t="s">
        <v>1814</v>
      </c>
      <c r="AE968" s="85">
        <f>IFERROR(__xludf.DUMMYFUNCTION("INDEX(SPLIT(SUBSTITUTE(AF968,CHAR(10), """"),"",:""), MATCH(Z968, SPLIT(SUBSTITUTE(AF968,CHAR(10), """"),"",:""), 0) + 1)"),5.0)</f>
        <v>5</v>
      </c>
      <c r="AF968" s="102" t="s">
        <v>1938</v>
      </c>
      <c r="AG968" s="41" t="s">
        <v>115</v>
      </c>
      <c r="AH968" s="41" t="s">
        <v>5527</v>
      </c>
      <c r="AI968" s="108">
        <v>1.0</v>
      </c>
      <c r="AJ968" s="84">
        <v>0.0</v>
      </c>
      <c r="AK968" s="108"/>
      <c r="AL968" s="111">
        <v>0.0</v>
      </c>
      <c r="AM968" s="108"/>
      <c r="AN968" s="111">
        <v>0.0</v>
      </c>
      <c r="AO968" s="110"/>
      <c r="AP968" s="111">
        <v>0.0</v>
      </c>
      <c r="AQ968" s="111">
        <v>0.0</v>
      </c>
      <c r="AR968" s="69"/>
      <c r="AS968" s="111">
        <v>0.0</v>
      </c>
      <c r="AT968" s="111">
        <v>0.0</v>
      </c>
      <c r="AU968" s="69"/>
      <c r="AV968" s="13"/>
      <c r="AW968" s="13"/>
      <c r="AX968" s="13"/>
      <c r="AY968" s="13"/>
      <c r="AZ968" s="7"/>
      <c r="BA968" s="7"/>
      <c r="BB968" s="7"/>
      <c r="BC968" s="7"/>
      <c r="BD968" s="7"/>
      <c r="BE968" s="7"/>
      <c r="BF968" s="7">
        <f>POW(1000,2.518)</f>
        <v>35809643.71</v>
      </c>
      <c r="BG968" s="82">
        <f>BF963/BF968</f>
        <v>7.362070975</v>
      </c>
      <c r="BH968" s="82"/>
      <c r="BI968" s="82">
        <f>POW(1000000,2.518)</f>
        <v>1.28233E+15</v>
      </c>
      <c r="BJ968" s="82">
        <f>BI963/BI968</f>
        <v>54.20008904</v>
      </c>
      <c r="BK968" s="82"/>
      <c r="BL968" s="82">
        <f>POW(1000000000,2.518)</f>
        <v>4.59198E+22</v>
      </c>
      <c r="BM968" s="82">
        <f>BL963/BL968</f>
        <v>399.0249024</v>
      </c>
      <c r="BN968" s="6"/>
      <c r="BO968" s="6">
        <v>3.0</v>
      </c>
      <c r="BP968" s="13"/>
      <c r="BQ968" s="13"/>
      <c r="BR968" s="6" t="s">
        <v>23</v>
      </c>
    </row>
    <row r="969">
      <c r="A969" s="61">
        <v>129.0</v>
      </c>
      <c r="B969" s="61" t="s">
        <v>1140</v>
      </c>
      <c r="C969" s="53">
        <v>2.0</v>
      </c>
      <c r="D969" s="53" t="s">
        <v>1141</v>
      </c>
      <c r="E969" s="7">
        <v>954.0</v>
      </c>
      <c r="F969" s="53"/>
      <c r="G969" s="6"/>
      <c r="H969" s="35">
        <v>1.0</v>
      </c>
      <c r="I969" s="111">
        <v>1.0</v>
      </c>
      <c r="J969" s="35" t="s">
        <v>5543</v>
      </c>
      <c r="K969" s="130" t="s">
        <v>2117</v>
      </c>
      <c r="L969" s="130" t="s">
        <v>2117</v>
      </c>
      <c r="M969" s="39" t="str">
        <f t="shared" si="1"/>
        <v>[https://epubs.siam.org/doi/pdf/10.1137/0201008 Aho, Garey &amp; Ullman (1981)]</v>
      </c>
      <c r="N969" s="107" t="s">
        <v>5526</v>
      </c>
      <c r="O969" s="197">
        <v>1981.0</v>
      </c>
      <c r="P969" s="106" t="s">
        <v>1143</v>
      </c>
      <c r="Q969" s="13"/>
      <c r="R969" s="13"/>
      <c r="S969" s="13"/>
      <c r="T969" s="111">
        <v>1.0</v>
      </c>
      <c r="U969" s="35">
        <v>0.0</v>
      </c>
      <c r="V969" s="89">
        <f>IFERROR(__xludf.DUMMYFUNCTION("INDEX(SPLIT(SUBSTITUTE(W969,CHAR(10), """"),"",:""), MATCH(Z969, SPLIT(SUBSTITUTE(W969,CHAR(10), """"),"",:""), 0) + 1)"),5.495)</f>
        <v>5.495</v>
      </c>
      <c r="W969" s="102" t="s">
        <v>5544</v>
      </c>
      <c r="X969" s="69" t="s">
        <v>5545</v>
      </c>
      <c r="Y969" s="41" t="s">
        <v>2102</v>
      </c>
      <c r="Z969" s="53" t="str">
        <f t="array" ref="Z969">INDEX(Problems!J:J, MATCH(1, (Problems!B:B=B969)*1, 0))</f>
        <v>n</v>
      </c>
      <c r="AA969" s="41"/>
      <c r="AB969" s="41"/>
      <c r="AC969" s="41" t="s">
        <v>1813</v>
      </c>
      <c r="AD969" s="41" t="s">
        <v>1814</v>
      </c>
      <c r="AE969" s="85">
        <f>IFERROR(__xludf.DUMMYFUNCTION("INDEX(SPLIT(SUBSTITUTE(AF969,CHAR(10), """"),"",:""), MATCH(Z969, SPLIT(SUBSTITUTE(AF969,CHAR(10), """"),"",:""), 0) + 1)"),5.0)</f>
        <v>5</v>
      </c>
      <c r="AF969" s="102" t="s">
        <v>1938</v>
      </c>
      <c r="AG969" s="41" t="s">
        <v>115</v>
      </c>
      <c r="AH969" s="41" t="s">
        <v>5527</v>
      </c>
      <c r="AI969" s="108">
        <v>1.0</v>
      </c>
      <c r="AJ969" s="84">
        <v>0.0</v>
      </c>
      <c r="AK969" s="108"/>
      <c r="AL969" s="111">
        <v>0.0</v>
      </c>
      <c r="AM969" s="108"/>
      <c r="AN969" s="111">
        <v>0.0</v>
      </c>
      <c r="AO969" s="110"/>
      <c r="AP969" s="111">
        <v>0.0</v>
      </c>
      <c r="AQ969" s="111">
        <v>0.0</v>
      </c>
      <c r="AR969" s="69"/>
      <c r="AS969" s="111">
        <v>0.0</v>
      </c>
      <c r="AT969" s="111">
        <v>0.0</v>
      </c>
      <c r="AU969" s="69"/>
      <c r="AV969" s="13"/>
      <c r="AW969" s="13"/>
      <c r="AX969" s="13"/>
      <c r="AY969" s="13"/>
      <c r="AZ969" s="7"/>
      <c r="BA969" s="7"/>
      <c r="BB969" s="7"/>
      <c r="BC969" s="7"/>
      <c r="BD969" s="7"/>
      <c r="BE969" s="7"/>
      <c r="BF969" s="7">
        <f>POW(1000,2.495)</f>
        <v>30549211.13</v>
      </c>
      <c r="BG969" s="82">
        <f>BF963/BF969</f>
        <v>8.629785478</v>
      </c>
      <c r="BH969" s="82"/>
      <c r="BI969" s="82">
        <f>POW(1000000,2.495)</f>
        <v>933254300796992</v>
      </c>
      <c r="BJ969" s="82">
        <f>BI963/BI969</f>
        <v>74.47319739</v>
      </c>
      <c r="BK969" s="82"/>
      <c r="BL969" s="82">
        <f>POW(1000000,2.495)</f>
        <v>933254300796992</v>
      </c>
      <c r="BM969" s="82">
        <f>BL963/BL969</f>
        <v>19633602768</v>
      </c>
      <c r="BN969" s="6"/>
      <c r="BO969" s="6">
        <v>3.0</v>
      </c>
      <c r="BP969" s="13"/>
      <c r="BQ969" s="13"/>
      <c r="BR969" s="6" t="s">
        <v>23</v>
      </c>
    </row>
    <row r="970">
      <c r="A970" s="61">
        <v>129.0</v>
      </c>
      <c r="B970" s="61" t="s">
        <v>1140</v>
      </c>
      <c r="C970" s="53">
        <v>2.0</v>
      </c>
      <c r="D970" s="53" t="s">
        <v>1141</v>
      </c>
      <c r="E970" s="7">
        <v>955.0</v>
      </c>
      <c r="F970" s="53"/>
      <c r="G970" s="6"/>
      <c r="H970" s="35">
        <v>1.0</v>
      </c>
      <c r="I970" s="111">
        <v>1.0</v>
      </c>
      <c r="J970" s="35" t="s">
        <v>5546</v>
      </c>
      <c r="K970" s="130" t="s">
        <v>2117</v>
      </c>
      <c r="L970" s="130" t="s">
        <v>2117</v>
      </c>
      <c r="M970" s="39" t="str">
        <f t="shared" si="1"/>
        <v>[https://epubs.siam.org/doi/pdf/10.1137/0201008 Aho, Garey &amp; Ullman (1986)]</v>
      </c>
      <c r="N970" s="107" t="s">
        <v>5526</v>
      </c>
      <c r="O970" s="197">
        <v>1986.0</v>
      </c>
      <c r="P970" s="106" t="s">
        <v>1143</v>
      </c>
      <c r="Q970" s="13"/>
      <c r="R970" s="13"/>
      <c r="S970" s="13"/>
      <c r="T970" s="111">
        <v>1.0</v>
      </c>
      <c r="U970" s="35">
        <v>0.0</v>
      </c>
      <c r="V970" s="89">
        <f>IFERROR(__xludf.DUMMYFUNCTION("INDEX(SPLIT(SUBSTITUTE(W970,CHAR(10), """"),"",:""), MATCH(Z970, SPLIT(SUBSTITUTE(W970,CHAR(10), """"),"",:""), 0) + 1)"),5.48)</f>
        <v>5.48</v>
      </c>
      <c r="W970" s="102" t="s">
        <v>5547</v>
      </c>
      <c r="X970" s="69" t="s">
        <v>5548</v>
      </c>
      <c r="Y970" s="41" t="s">
        <v>2102</v>
      </c>
      <c r="Z970" s="53" t="str">
        <f t="array" ref="Z970">INDEX(Problems!J:J, MATCH(1, (Problems!B:B=B970)*1, 0))</f>
        <v>n</v>
      </c>
      <c r="AA970" s="41"/>
      <c r="AB970" s="41"/>
      <c r="AC970" s="41" t="s">
        <v>1813</v>
      </c>
      <c r="AD970" s="41" t="s">
        <v>1814</v>
      </c>
      <c r="AE970" s="85">
        <f>IFERROR(__xludf.DUMMYFUNCTION("INDEX(SPLIT(SUBSTITUTE(AF970,CHAR(10), """"),"",:""), MATCH(Z970, SPLIT(SUBSTITUTE(AF970,CHAR(10), """"),"",:""), 0) + 1)"),5.0)</f>
        <v>5</v>
      </c>
      <c r="AF970" s="102" t="s">
        <v>1938</v>
      </c>
      <c r="AG970" s="41" t="s">
        <v>115</v>
      </c>
      <c r="AH970" s="41" t="s">
        <v>5527</v>
      </c>
      <c r="AI970" s="108">
        <v>1.0</v>
      </c>
      <c r="AJ970" s="84">
        <v>0.0</v>
      </c>
      <c r="AK970" s="108"/>
      <c r="AL970" s="111">
        <v>0.0</v>
      </c>
      <c r="AM970" s="108"/>
      <c r="AN970" s="111">
        <v>0.0</v>
      </c>
      <c r="AO970" s="110"/>
      <c r="AP970" s="111">
        <v>0.0</v>
      </c>
      <c r="AQ970" s="111">
        <v>0.0</v>
      </c>
      <c r="AR970" s="69"/>
      <c r="AS970" s="111">
        <v>0.0</v>
      </c>
      <c r="AT970" s="111">
        <v>0.0</v>
      </c>
      <c r="AU970" s="69"/>
      <c r="AV970" s="13"/>
      <c r="AW970" s="13"/>
      <c r="AX970" s="13"/>
      <c r="AY970" s="13"/>
      <c r="AZ970" s="7"/>
      <c r="BA970" s="7"/>
      <c r="BB970" s="7"/>
      <c r="BC970" s="7"/>
      <c r="BD970" s="7"/>
      <c r="BE970" s="7"/>
      <c r="BF970" s="7">
        <f>POW(1000,2.48)</f>
        <v>27542287.03</v>
      </c>
      <c r="BG970" s="82">
        <f>BF963/BF970</f>
        <v>9.571940713</v>
      </c>
      <c r="BH970" s="82"/>
      <c r="BI970" s="82">
        <f>POW(1000000,2.48)</f>
        <v>758577575029184</v>
      </c>
      <c r="BJ970" s="82">
        <f>BI963/BI970</f>
        <v>91.62204901</v>
      </c>
      <c r="BK970" s="82"/>
      <c r="BL970" s="82">
        <f>POW(1000000000,2.48)</f>
        <v>2.0893E+22</v>
      </c>
      <c r="BM970" s="82">
        <f>BL963/BL970</f>
        <v>877.0008211</v>
      </c>
      <c r="BN970" s="6"/>
      <c r="BO970" s="6">
        <v>3.0</v>
      </c>
      <c r="BP970" s="13"/>
      <c r="BQ970" s="13"/>
      <c r="BR970" s="6" t="s">
        <v>23</v>
      </c>
    </row>
    <row r="971">
      <c r="A971" s="61">
        <v>129.0</v>
      </c>
      <c r="B971" s="61" t="s">
        <v>1140</v>
      </c>
      <c r="C971" s="53">
        <v>2.0</v>
      </c>
      <c r="D971" s="53" t="s">
        <v>1141</v>
      </c>
      <c r="E971" s="7">
        <v>956.0</v>
      </c>
      <c r="F971" s="53"/>
      <c r="G971" s="6"/>
      <c r="H971" s="35">
        <v>1.0</v>
      </c>
      <c r="I971" s="111">
        <v>1.0</v>
      </c>
      <c r="J971" s="35" t="s">
        <v>5549</v>
      </c>
      <c r="K971" s="130" t="s">
        <v>2117</v>
      </c>
      <c r="L971" s="130" t="s">
        <v>2117</v>
      </c>
      <c r="M971" s="39" t="str">
        <f t="shared" si="1"/>
        <v>[https://epubs.siam.org/doi/pdf/10.1137/0201008 Aho, Garey &amp; Ullman (1990)]</v>
      </c>
      <c r="N971" s="107" t="s">
        <v>5526</v>
      </c>
      <c r="O971" s="197">
        <v>1990.0</v>
      </c>
      <c r="P971" s="106" t="s">
        <v>1143</v>
      </c>
      <c r="Q971" s="13"/>
      <c r="R971" s="13"/>
      <c r="S971" s="13"/>
      <c r="T971" s="111">
        <v>1.0</v>
      </c>
      <c r="U971" s="35">
        <v>0.0</v>
      </c>
      <c r="V971" s="89">
        <f>IFERROR(__xludf.DUMMYFUNCTION("INDEX(SPLIT(SUBSTITUTE(W971,CHAR(10), """"),"",:""), MATCH(Z971, SPLIT(SUBSTITUTE(W971,CHAR(10), """"),"",:""), 0) + 1)"),5.372)</f>
        <v>5.372</v>
      </c>
      <c r="W971" s="102" t="s">
        <v>5550</v>
      </c>
      <c r="X971" s="69" t="s">
        <v>5551</v>
      </c>
      <c r="Y971" s="41" t="s">
        <v>2102</v>
      </c>
      <c r="Z971" s="53" t="str">
        <f t="array" ref="Z971">INDEX(Problems!J:J, MATCH(1, (Problems!B:B=B971)*1, 0))</f>
        <v>n</v>
      </c>
      <c r="AA971" s="41"/>
      <c r="AB971" s="41"/>
      <c r="AC971" s="41" t="s">
        <v>1813</v>
      </c>
      <c r="AD971" s="41" t="s">
        <v>1814</v>
      </c>
      <c r="AE971" s="85">
        <f>IFERROR(__xludf.DUMMYFUNCTION("INDEX(SPLIT(SUBSTITUTE(AF971,CHAR(10), """"),"",:""), MATCH(Z971, SPLIT(SUBSTITUTE(AF971,CHAR(10), """"),"",:""), 0) + 1)"),5.0)</f>
        <v>5</v>
      </c>
      <c r="AF971" s="102" t="s">
        <v>1938</v>
      </c>
      <c r="AG971" s="41" t="s">
        <v>115</v>
      </c>
      <c r="AH971" s="41" t="s">
        <v>5527</v>
      </c>
      <c r="AI971" s="108">
        <v>1.0</v>
      </c>
      <c r="AJ971" s="84">
        <v>0.0</v>
      </c>
      <c r="AK971" s="108"/>
      <c r="AL971" s="111">
        <v>0.0</v>
      </c>
      <c r="AM971" s="108"/>
      <c r="AN971" s="111">
        <v>0.0</v>
      </c>
      <c r="AO971" s="110"/>
      <c r="AP971" s="111">
        <v>0.0</v>
      </c>
      <c r="AQ971" s="111">
        <v>0.0</v>
      </c>
      <c r="AR971" s="69"/>
      <c r="AS971" s="111">
        <v>0.0</v>
      </c>
      <c r="AT971" s="111">
        <v>0.0</v>
      </c>
      <c r="AU971" s="69"/>
      <c r="AV971" s="13"/>
      <c r="AW971" s="13"/>
      <c r="AX971" s="13"/>
      <c r="AY971" s="13"/>
      <c r="AZ971" s="7"/>
      <c r="BA971" s="7"/>
      <c r="BB971" s="7"/>
      <c r="BC971" s="7"/>
      <c r="BD971" s="7"/>
      <c r="BE971" s="7"/>
      <c r="BF971" s="7">
        <f>POW(1000,2.372)</f>
        <v>13061708.88</v>
      </c>
      <c r="BG971" s="82">
        <f>BF963/BF971</f>
        <v>20.18366364</v>
      </c>
      <c r="BH971" s="82"/>
      <c r="BI971" s="82">
        <f>POW(1000000,2.372)</f>
        <v>170608238900312</v>
      </c>
      <c r="BJ971" s="82">
        <f>BI963/BI971</f>
        <v>407.3802778</v>
      </c>
      <c r="BK971" s="82"/>
      <c r="BL971" s="82">
        <f>POW(1000000000,2.372)</f>
        <v>2.22844E+21</v>
      </c>
      <c r="BM971" s="82">
        <f>BL963/BL971</f>
        <v>8222.426499</v>
      </c>
      <c r="BN971" s="6"/>
      <c r="BO971" s="6">
        <v>3.0</v>
      </c>
      <c r="BP971" s="13"/>
      <c r="BQ971" s="13"/>
      <c r="BR971" s="6" t="s">
        <v>23</v>
      </c>
    </row>
    <row r="972">
      <c r="A972" s="61">
        <v>129.0</v>
      </c>
      <c r="B972" s="61" t="s">
        <v>1140</v>
      </c>
      <c r="C972" s="53">
        <v>2.0</v>
      </c>
      <c r="D972" s="53" t="s">
        <v>1141</v>
      </c>
      <c r="E972" s="7">
        <v>957.0</v>
      </c>
      <c r="F972" s="53"/>
      <c r="G972" s="6"/>
      <c r="H972" s="35">
        <v>1.0</v>
      </c>
      <c r="I972" s="111">
        <v>1.0</v>
      </c>
      <c r="J972" s="35" t="s">
        <v>5552</v>
      </c>
      <c r="K972" s="130" t="s">
        <v>2117</v>
      </c>
      <c r="L972" s="130" t="s">
        <v>2117</v>
      </c>
      <c r="M972" s="39" t="str">
        <f t="shared" si="1"/>
        <v>[https://epubs.siam.org/doi/pdf/10.1137/0201008 Aho, Garey &amp; Ullman (2014)]</v>
      </c>
      <c r="N972" s="107" t="s">
        <v>5526</v>
      </c>
      <c r="O972" s="197">
        <v>2014.0</v>
      </c>
      <c r="P972" s="106" t="s">
        <v>1143</v>
      </c>
      <c r="Q972" s="13"/>
      <c r="R972" s="13"/>
      <c r="S972" s="13"/>
      <c r="T972" s="111">
        <v>0.0</v>
      </c>
      <c r="U972" s="35">
        <v>0.0</v>
      </c>
      <c r="V972" s="89">
        <f>IFERROR(__xludf.DUMMYFUNCTION("INDEX(SPLIT(SUBSTITUTE(W972,CHAR(10), """"),"",:""), MATCH(Z972, SPLIT(SUBSTITUTE(W972,CHAR(10), """"),"",:""), 0) + 1)"),5.373)</f>
        <v>5.373</v>
      </c>
      <c r="W972" s="102" t="s">
        <v>3167</v>
      </c>
      <c r="X972" s="69" t="s">
        <v>5553</v>
      </c>
      <c r="Y972" s="41" t="s">
        <v>2102</v>
      </c>
      <c r="Z972" s="53" t="str">
        <f t="array" ref="Z972">INDEX(Problems!J:J, MATCH(1, (Problems!B:B=B972)*1, 0))</f>
        <v>n</v>
      </c>
      <c r="AA972" s="41"/>
      <c r="AB972" s="41"/>
      <c r="AC972" s="41" t="s">
        <v>1813</v>
      </c>
      <c r="AD972" s="41" t="s">
        <v>1814</v>
      </c>
      <c r="AE972" s="85">
        <f>IFERROR(__xludf.DUMMYFUNCTION("INDEX(SPLIT(SUBSTITUTE(AF972,CHAR(10), """"),"",:""), MATCH(Z972, SPLIT(SUBSTITUTE(AF972,CHAR(10), """"),"",:""), 0) + 1)"),5.0)</f>
        <v>5</v>
      </c>
      <c r="AF972" s="102" t="s">
        <v>1938</v>
      </c>
      <c r="AG972" s="41" t="s">
        <v>115</v>
      </c>
      <c r="AH972" s="41" t="s">
        <v>5527</v>
      </c>
      <c r="AI972" s="108">
        <v>1.0</v>
      </c>
      <c r="AJ972" s="84">
        <v>0.0</v>
      </c>
      <c r="AK972" s="108"/>
      <c r="AL972" s="111">
        <v>0.0</v>
      </c>
      <c r="AM972" s="108"/>
      <c r="AN972" s="111">
        <v>0.0</v>
      </c>
      <c r="AO972" s="110"/>
      <c r="AP972" s="111">
        <v>0.0</v>
      </c>
      <c r="AQ972" s="111">
        <v>0.0</v>
      </c>
      <c r="AR972" s="69"/>
      <c r="AS972" s="111">
        <v>0.0</v>
      </c>
      <c r="AT972" s="111">
        <v>0.0</v>
      </c>
      <c r="AU972" s="69"/>
      <c r="AV972" s="13"/>
      <c r="AW972" s="13"/>
      <c r="AX972" s="13"/>
      <c r="AY972" s="13"/>
      <c r="AZ972" s="13"/>
      <c r="BA972" s="13"/>
      <c r="BB972" s="13"/>
      <c r="BC972" s="13"/>
      <c r="BD972" s="13"/>
      <c r="BE972" s="13"/>
      <c r="BF972" s="13"/>
      <c r="BG972" s="13"/>
      <c r="BH972" s="13"/>
      <c r="BI972" s="13"/>
      <c r="BJ972" s="13"/>
      <c r="BK972" s="13"/>
      <c r="BL972" s="13"/>
      <c r="BM972" s="13"/>
      <c r="BN972" s="6"/>
      <c r="BO972" s="6">
        <v>3.0</v>
      </c>
      <c r="BP972" s="13"/>
      <c r="BQ972" s="13"/>
      <c r="BR972" s="6" t="s">
        <v>23</v>
      </c>
    </row>
    <row r="973">
      <c r="A973" s="61">
        <v>129.0</v>
      </c>
      <c r="B973" s="61" t="s">
        <v>1140</v>
      </c>
      <c r="C973" s="53">
        <v>2.0</v>
      </c>
      <c r="D973" s="53" t="s">
        <v>1141</v>
      </c>
      <c r="E973" s="7">
        <v>958.0</v>
      </c>
      <c r="F973" s="53"/>
      <c r="G973" s="6"/>
      <c r="H973" s="35">
        <v>1.0</v>
      </c>
      <c r="I973" s="111">
        <v>1.0</v>
      </c>
      <c r="J973" s="35" t="s">
        <v>5554</v>
      </c>
      <c r="K973" s="130" t="s">
        <v>2117</v>
      </c>
      <c r="L973" s="130" t="s">
        <v>2117</v>
      </c>
      <c r="M973" s="39" t="str">
        <f t="shared" si="1"/>
        <v>[https://epubs.siam.org/doi/pdf/10.1137/0201008 Aho, Garey &amp; Ullman (2014)]</v>
      </c>
      <c r="N973" s="107" t="s">
        <v>5526</v>
      </c>
      <c r="O973" s="197">
        <v>2014.0</v>
      </c>
      <c r="P973" s="106" t="s">
        <v>1143</v>
      </c>
      <c r="Q973" s="13"/>
      <c r="R973" s="13"/>
      <c r="S973" s="13"/>
      <c r="T973" s="111">
        <v>1.0</v>
      </c>
      <c r="U973" s="35">
        <v>0.0</v>
      </c>
      <c r="V973" s="89">
        <f>IFERROR(__xludf.DUMMYFUNCTION("INDEX(SPLIT(SUBSTITUTE(W973,CHAR(10), """"),"",:""), MATCH(Z973, SPLIT(SUBSTITUTE(W973,CHAR(10), """"),"",:""), 0) + 1)"),5.371)</f>
        <v>5.371</v>
      </c>
      <c r="W973" s="102" t="s">
        <v>5555</v>
      </c>
      <c r="X973" s="69" t="s">
        <v>5556</v>
      </c>
      <c r="Y973" s="41" t="s">
        <v>2102</v>
      </c>
      <c r="Z973" s="53" t="str">
        <f t="array" ref="Z973">INDEX(Problems!J:J, MATCH(1, (Problems!B:B=B973)*1, 0))</f>
        <v>n</v>
      </c>
      <c r="AA973" s="41"/>
      <c r="AB973" s="41"/>
      <c r="AC973" s="41" t="s">
        <v>1813</v>
      </c>
      <c r="AD973" s="41" t="s">
        <v>1814</v>
      </c>
      <c r="AE973" s="85">
        <f>IFERROR(__xludf.DUMMYFUNCTION("INDEX(SPLIT(SUBSTITUTE(AF973,CHAR(10), """"),"",:""), MATCH(Z973, SPLIT(SUBSTITUTE(AF973,CHAR(10), """"),"",:""), 0) + 1)"),5.0)</f>
        <v>5</v>
      </c>
      <c r="AF973" s="102" t="s">
        <v>1938</v>
      </c>
      <c r="AG973" s="41" t="s">
        <v>115</v>
      </c>
      <c r="AH973" s="41" t="s">
        <v>5527</v>
      </c>
      <c r="AI973" s="108">
        <v>1.0</v>
      </c>
      <c r="AJ973" s="84">
        <v>0.0</v>
      </c>
      <c r="AK973" s="108"/>
      <c r="AL973" s="111">
        <v>0.0</v>
      </c>
      <c r="AM973" s="108"/>
      <c r="AN973" s="111">
        <v>0.0</v>
      </c>
      <c r="AO973" s="110"/>
      <c r="AP973" s="111">
        <v>0.0</v>
      </c>
      <c r="AQ973" s="111">
        <v>0.0</v>
      </c>
      <c r="AR973" s="69"/>
      <c r="AS973" s="111">
        <v>0.0</v>
      </c>
      <c r="AT973" s="111">
        <v>0.0</v>
      </c>
      <c r="AU973" s="69"/>
      <c r="AV973" s="13"/>
      <c r="AW973" s="13"/>
      <c r="AX973" s="13"/>
      <c r="AY973" s="13"/>
      <c r="AZ973" s="13"/>
      <c r="BA973" s="13"/>
      <c r="BB973" s="13"/>
      <c r="BC973" s="13"/>
      <c r="BD973" s="13"/>
      <c r="BE973" s="13"/>
      <c r="BF973" s="13">
        <f>POW(1000,2.371)</f>
        <v>12971792.71</v>
      </c>
      <c r="BG973" s="13">
        <f>BF963/BF973</f>
        <v>20.32357011</v>
      </c>
      <c r="BH973" s="13"/>
      <c r="BI973" s="13">
        <f>POW(1000000,2.371)</f>
        <v>168267406107047</v>
      </c>
      <c r="BJ973" s="13">
        <f>BI963/BI973</f>
        <v>413.047502</v>
      </c>
      <c r="BK973" s="13"/>
      <c r="BL973" s="13">
        <f>POW(1000000000,2.371)</f>
        <v>2.18273E+21</v>
      </c>
      <c r="BM973" s="13">
        <f>BL963/BL973</f>
        <v>8394.599865</v>
      </c>
      <c r="BN973" s="6"/>
      <c r="BO973" s="6">
        <v>3.0</v>
      </c>
      <c r="BP973" s="13"/>
      <c r="BQ973" s="13"/>
      <c r="BR973" s="6" t="s">
        <v>23</v>
      </c>
    </row>
    <row r="974">
      <c r="A974" s="35">
        <v>129.0</v>
      </c>
      <c r="B974" s="35" t="s">
        <v>1140</v>
      </c>
      <c r="C974" s="53">
        <v>2.0</v>
      </c>
      <c r="D974" s="53" t="s">
        <v>1141</v>
      </c>
      <c r="E974" s="7">
        <v>959.0</v>
      </c>
      <c r="F974" s="53"/>
      <c r="G974" s="6"/>
      <c r="H974" s="35">
        <v>1.0</v>
      </c>
      <c r="I974" s="111">
        <v>1.0</v>
      </c>
      <c r="J974" s="35" t="s">
        <v>834</v>
      </c>
      <c r="K974" s="41" t="s">
        <v>5557</v>
      </c>
      <c r="L974" s="41" t="s">
        <v>2420</v>
      </c>
      <c r="M974" s="39" t="str">
        <f t="shared" si="1"/>
        <v>[https://www.sciencedirect.com/science/article/pii/0167642389900397 Gries, Martin (1989)]</v>
      </c>
      <c r="N974" s="107" t="s">
        <v>5558</v>
      </c>
      <c r="O974" s="111">
        <v>1989.0</v>
      </c>
      <c r="P974" s="106" t="s">
        <v>5559</v>
      </c>
      <c r="Q974" s="13"/>
      <c r="R974" s="13"/>
      <c r="S974" s="13"/>
      <c r="T974" s="111">
        <v>0.0</v>
      </c>
      <c r="U974" s="35">
        <v>0.0</v>
      </c>
      <c r="V974" s="89">
        <f>IFERROR(__xludf.DUMMYFUNCTION("INDEX(SPLIT(SUBSTITUTE(W974,CHAR(10), """"),"",:""), MATCH(Z974, SPLIT(SUBSTITUTE(W974,CHAR(10), """"),"",:""), 0) + 1)"),6.0)</f>
        <v>6</v>
      </c>
      <c r="W974" s="102" t="s">
        <v>2008</v>
      </c>
      <c r="X974" s="35" t="s">
        <v>834</v>
      </c>
      <c r="Y974" s="41" t="s">
        <v>2102</v>
      </c>
      <c r="Z974" s="53" t="str">
        <f t="array" ref="Z974">INDEX(Problems!J:J, MATCH(1, (Problems!B:B=B974)*1, 0))</f>
        <v>n</v>
      </c>
      <c r="AA974" s="41"/>
      <c r="AB974" s="41"/>
      <c r="AC974" s="41" t="s">
        <v>1813</v>
      </c>
      <c r="AD974" s="41" t="s">
        <v>1814</v>
      </c>
      <c r="AE974" s="85">
        <f>IFERROR(__xludf.DUMMYFUNCTION("INDEX(SPLIT(SUBSTITUTE(AF974,CHAR(10), """"),"",:""), MATCH(Z974, SPLIT(SUBSTITUTE(AF974,CHAR(10), """"),"",:""), 0) + 1)"),5.0)</f>
        <v>5</v>
      </c>
      <c r="AF974" s="102" t="s">
        <v>1938</v>
      </c>
      <c r="AG974" s="41" t="s">
        <v>115</v>
      </c>
      <c r="AH974" s="41" t="s">
        <v>5560</v>
      </c>
      <c r="AI974" s="108">
        <v>1.0</v>
      </c>
      <c r="AJ974" s="84">
        <v>0.0</v>
      </c>
      <c r="AK974" s="108"/>
      <c r="AL974" s="111">
        <v>0.0</v>
      </c>
      <c r="AM974" s="108"/>
      <c r="AN974" s="111">
        <v>0.0</v>
      </c>
      <c r="AO974" s="104"/>
      <c r="AP974" s="111">
        <v>0.0</v>
      </c>
      <c r="AQ974" s="111">
        <v>0.0</v>
      </c>
      <c r="AR974" s="69"/>
      <c r="AS974" s="111">
        <v>0.0</v>
      </c>
      <c r="AT974" s="111">
        <v>0.0</v>
      </c>
      <c r="AU974" s="69"/>
      <c r="AV974" s="13"/>
      <c r="AW974" s="13"/>
      <c r="AX974" s="13"/>
      <c r="AY974" s="13"/>
      <c r="AZ974" s="13"/>
      <c r="BA974" s="13"/>
      <c r="BB974" s="13"/>
      <c r="BC974" s="13"/>
      <c r="BD974" s="13"/>
      <c r="BE974" s="13"/>
      <c r="BF974" s="13"/>
      <c r="BG974" s="13"/>
      <c r="BH974" s="13"/>
      <c r="BI974" s="13"/>
      <c r="BJ974" s="13"/>
      <c r="BK974" s="13"/>
      <c r="BL974" s="13"/>
      <c r="BM974" s="13"/>
      <c r="BN974" s="6"/>
      <c r="BO974" s="6">
        <v>3.0</v>
      </c>
      <c r="BP974" s="13"/>
      <c r="BQ974" s="13"/>
      <c r="BR974" s="6" t="s">
        <v>23</v>
      </c>
    </row>
    <row r="975">
      <c r="A975" s="35">
        <v>131.0</v>
      </c>
      <c r="B975" s="35" t="s">
        <v>1151</v>
      </c>
      <c r="C975" s="53">
        <v>1.0</v>
      </c>
      <c r="D975" s="53" t="s">
        <v>1151</v>
      </c>
      <c r="E975" s="7">
        <v>963.0</v>
      </c>
      <c r="F975" s="53"/>
      <c r="G975" s="6"/>
      <c r="H975" s="35">
        <v>1.0</v>
      </c>
      <c r="I975" s="111">
        <v>1.0</v>
      </c>
      <c r="J975" s="35" t="s">
        <v>5561</v>
      </c>
      <c r="K975" s="99"/>
      <c r="L975" s="99"/>
      <c r="M975" s="39" t="str">
        <f t="shared" si="1"/>
        <v>[NA Outside-In algorithm (1991)]</v>
      </c>
      <c r="N975" s="107" t="s">
        <v>5562</v>
      </c>
      <c r="O975" s="111">
        <v>1991.0</v>
      </c>
      <c r="P975" s="129" t="s">
        <v>1944</v>
      </c>
      <c r="Q975" s="13"/>
      <c r="R975" s="13"/>
      <c r="S975" s="13"/>
      <c r="T975" s="111">
        <v>1.0</v>
      </c>
      <c r="U975" s="35">
        <v>0.0</v>
      </c>
      <c r="V975" s="89">
        <f>IFERROR(__xludf.DUMMYFUNCTION("INDEX(SPLIT(SUBSTITUTE(W975,CHAR(10), """"),"",:""), MATCH(Z975, SPLIT(SUBSTITUTE(W975,CHAR(10), """"),"",:""), 0) + 1)"),8.0)</f>
        <v>8</v>
      </c>
      <c r="W975" s="101" t="s">
        <v>2001</v>
      </c>
      <c r="X975" s="50" t="s">
        <v>5561</v>
      </c>
      <c r="Y975" s="41" t="s">
        <v>3096</v>
      </c>
      <c r="Z975" s="53" t="str">
        <f t="array" ref="Z975">INDEX(Problems!J:J, MATCH(1, (Problems!B:B=B975)*1, 0))</f>
        <v>n</v>
      </c>
      <c r="AA975" s="41"/>
      <c r="AB975" s="41"/>
      <c r="AC975" s="41" t="s">
        <v>1813</v>
      </c>
      <c r="AD975" s="41" t="s">
        <v>1814</v>
      </c>
      <c r="AE975" s="85">
        <f>IFERROR(__xludf.DUMMYFUNCTION("INDEX(SPLIT(SUBSTITUTE(AF975,CHAR(10), """"),"",:""), MATCH(Z975, SPLIT(SUBSTITUTE(AF975,CHAR(10), """"),"",:""), 0) + 1)"),3.0)</f>
        <v>3</v>
      </c>
      <c r="AF975" s="102" t="s">
        <v>1763</v>
      </c>
      <c r="AG975" s="41" t="s">
        <v>35</v>
      </c>
      <c r="AH975" s="41" t="s">
        <v>5563</v>
      </c>
      <c r="AI975" s="108">
        <v>1.0</v>
      </c>
      <c r="AJ975" s="84">
        <v>0.0</v>
      </c>
      <c r="AK975" s="108"/>
      <c r="AL975" s="111">
        <v>0.0</v>
      </c>
      <c r="AM975" s="108"/>
      <c r="AN975" s="111">
        <v>0.0</v>
      </c>
      <c r="AO975" s="104"/>
      <c r="AP975" s="111">
        <v>0.0</v>
      </c>
      <c r="AQ975" s="111">
        <v>0.0</v>
      </c>
      <c r="AR975" s="69"/>
      <c r="AS975" s="111">
        <v>0.0</v>
      </c>
      <c r="AT975" s="111">
        <v>0.0</v>
      </c>
      <c r="AU975" s="135" t="s">
        <v>1153</v>
      </c>
      <c r="AV975" s="13"/>
      <c r="AW975" s="13"/>
      <c r="AX975" s="13"/>
      <c r="AY975" s="13"/>
      <c r="AZ975" s="6"/>
      <c r="BA975" s="6"/>
      <c r="BB975" s="6"/>
      <c r="BC975" s="6"/>
      <c r="BD975" s="6"/>
      <c r="BE975" s="6"/>
      <c r="BF975" s="6" t="s">
        <v>1781</v>
      </c>
      <c r="BG975" s="6">
        <v>1.0</v>
      </c>
      <c r="BH975" s="6"/>
      <c r="BI975" s="6" t="s">
        <v>1781</v>
      </c>
      <c r="BJ975" s="6">
        <v>1.0</v>
      </c>
      <c r="BK975" s="6"/>
      <c r="BL975" s="6" t="s">
        <v>1781</v>
      </c>
      <c r="BM975" s="6">
        <v>1.0</v>
      </c>
      <c r="BN975" s="6"/>
      <c r="BO975" s="6">
        <v>1.0</v>
      </c>
      <c r="BP975" s="13"/>
      <c r="BQ975" s="13"/>
      <c r="BR975" s="6" t="s">
        <v>23</v>
      </c>
    </row>
    <row r="976">
      <c r="A976" s="35">
        <v>132.0</v>
      </c>
      <c r="B976" s="35" t="s">
        <v>1157</v>
      </c>
      <c r="C976" s="53">
        <v>2.0</v>
      </c>
      <c r="D976" s="53" t="s">
        <v>5564</v>
      </c>
      <c r="E976" s="7">
        <v>964.0</v>
      </c>
      <c r="F976" s="53"/>
      <c r="G976" s="6"/>
      <c r="H976" s="35">
        <v>1.0</v>
      </c>
      <c r="I976" s="111">
        <v>1.0</v>
      </c>
      <c r="J976" s="35" t="s">
        <v>5565</v>
      </c>
      <c r="K976" s="41" t="s">
        <v>5566</v>
      </c>
      <c r="L976" s="41" t="s">
        <v>484</v>
      </c>
      <c r="M976" s="39" t="str">
        <f t="shared" si="1"/>
        <v>[ Naive Algorithm (1848)]</v>
      </c>
      <c r="N976" s="107" t="s">
        <v>5567</v>
      </c>
      <c r="O976" s="111">
        <v>1848.0</v>
      </c>
      <c r="P976" s="128"/>
      <c r="Q976" s="6">
        <v>1.0</v>
      </c>
      <c r="R976" s="6">
        <v>1.0</v>
      </c>
      <c r="S976" s="13"/>
      <c r="T976" s="111">
        <v>1.0</v>
      </c>
      <c r="U976" s="35">
        <v>0.0</v>
      </c>
      <c r="V976" s="89">
        <f>IFERROR(__xludf.DUMMYFUNCTION("INDEX(SPLIT(SUBSTITUTE(W976,CHAR(10), """"),"",:""), MATCH(Z976, SPLIT(SUBSTITUTE(W976,CHAR(10), """"),"",:""), 0) + 1)"),8.0)</f>
        <v>8</v>
      </c>
      <c r="W976" s="102" t="s">
        <v>3985</v>
      </c>
      <c r="X976" s="35" t="s">
        <v>5565</v>
      </c>
      <c r="Y976" s="41" t="s">
        <v>5568</v>
      </c>
      <c r="Z976" s="53" t="str">
        <f t="array" ref="Z976">INDEX(Problems!J:J, MATCH(1, (Problems!B:B=B976)*1, 0))</f>
        <v>n^2</v>
      </c>
      <c r="AA976" s="41"/>
      <c r="AB976" s="41"/>
      <c r="AC976" s="41" t="s">
        <v>1813</v>
      </c>
      <c r="AD976" s="41" t="s">
        <v>1814</v>
      </c>
      <c r="AE976" s="85">
        <f>IFERROR(__xludf.DUMMYFUNCTION("INDEX(SPLIT(SUBSTITUTE(AF976,CHAR(10), """"),"",:""), MATCH(Z976, SPLIT(SUBSTITUTE(AF976,CHAR(10), """"),"",:""), 0) + 1)"),2.5)</f>
        <v>2.5</v>
      </c>
      <c r="AF976" s="102" t="s">
        <v>1903</v>
      </c>
      <c r="AG976" s="41" t="s">
        <v>35</v>
      </c>
      <c r="AH976" s="41" t="s">
        <v>5569</v>
      </c>
      <c r="AI976" s="108">
        <v>1.0</v>
      </c>
      <c r="AJ976" s="84">
        <v>0.0</v>
      </c>
      <c r="AK976" s="108"/>
      <c r="AL976" s="111">
        <v>0.0</v>
      </c>
      <c r="AM976" s="108"/>
      <c r="AN976" s="111">
        <v>0.0</v>
      </c>
      <c r="AO976" s="104"/>
      <c r="AP976" s="111">
        <v>0.0</v>
      </c>
      <c r="AQ976" s="111">
        <v>0.0</v>
      </c>
      <c r="AR976" s="69"/>
      <c r="AS976" s="111">
        <v>0.0</v>
      </c>
      <c r="AT976" s="111">
        <v>0.0</v>
      </c>
      <c r="AU976" s="106" t="s">
        <v>5570</v>
      </c>
      <c r="AV976" s="13"/>
      <c r="AW976" s="13"/>
      <c r="AX976" s="13"/>
      <c r="AY976" s="13"/>
      <c r="AZ976" s="6"/>
      <c r="BA976" s="6"/>
      <c r="BB976" s="6"/>
      <c r="BC976" s="6"/>
      <c r="BD976" s="6"/>
      <c r="BE976" s="6"/>
      <c r="BF976" s="6" t="s">
        <v>1781</v>
      </c>
      <c r="BG976" s="6">
        <v>1.0</v>
      </c>
      <c r="BH976" s="6"/>
      <c r="BI976" s="6" t="s">
        <v>1781</v>
      </c>
      <c r="BJ976" s="6">
        <v>1.0</v>
      </c>
      <c r="BK976" s="6"/>
      <c r="BL976" s="6" t="s">
        <v>1781</v>
      </c>
      <c r="BM976" s="6">
        <v>1.0</v>
      </c>
      <c r="BN976" s="6"/>
      <c r="BO976" s="6">
        <v>1.0</v>
      </c>
      <c r="BP976" s="13"/>
      <c r="BQ976" s="13"/>
      <c r="BR976" s="6" t="s">
        <v>23</v>
      </c>
    </row>
    <row r="977">
      <c r="A977" s="35">
        <v>132.0</v>
      </c>
      <c r="B977" s="35" t="s">
        <v>1157</v>
      </c>
      <c r="C977" s="53">
        <v>2.0</v>
      </c>
      <c r="D977" s="53" t="s">
        <v>5564</v>
      </c>
      <c r="E977" s="7">
        <v>965.0</v>
      </c>
      <c r="F977" s="53"/>
      <c r="G977" s="6"/>
      <c r="H977" s="35">
        <v>1.0</v>
      </c>
      <c r="I977" s="111">
        <v>1.0</v>
      </c>
      <c r="J977" s="35" t="s">
        <v>3984</v>
      </c>
      <c r="K977" s="41" t="s">
        <v>5566</v>
      </c>
      <c r="L977" s="41" t="s">
        <v>484</v>
      </c>
      <c r="M977" s="39" t="str">
        <f t="shared" si="1"/>
        <v>[ Naive + 1 queen per row restriction (1850)]</v>
      </c>
      <c r="N977" s="107" t="s">
        <v>5571</v>
      </c>
      <c r="O977" s="111">
        <v>1850.0</v>
      </c>
      <c r="P977" s="128"/>
      <c r="Q977" s="13"/>
      <c r="R977" s="13"/>
      <c r="S977" s="13"/>
      <c r="T977" s="111">
        <v>1.0</v>
      </c>
      <c r="U977" s="35">
        <v>0.0</v>
      </c>
      <c r="V977" s="89">
        <f>IFERROR(__xludf.DUMMYFUNCTION("INDEX(SPLIT(SUBSTITUTE(W977,CHAR(10), """"),"",:""), MATCH(Z977, SPLIT(SUBSTITUTE(W977,CHAR(10), """"),"",:""), 0) + 1)"),8.0)</f>
        <v>8</v>
      </c>
      <c r="W977" s="102" t="s">
        <v>3985</v>
      </c>
      <c r="X977" s="35" t="s">
        <v>3984</v>
      </c>
      <c r="Y977" s="41" t="s">
        <v>5568</v>
      </c>
      <c r="Z977" s="53" t="str">
        <f t="array" ref="Z977">INDEX(Problems!J:J, MATCH(1, (Problems!B:B=B977)*1, 0))</f>
        <v>n^2</v>
      </c>
      <c r="AA977" s="41"/>
      <c r="AB977" s="41"/>
      <c r="AC977" s="41" t="s">
        <v>1813</v>
      </c>
      <c r="AD977" s="41" t="s">
        <v>1814</v>
      </c>
      <c r="AE977" s="85">
        <f>IFERROR(__xludf.DUMMYFUNCTION("INDEX(SPLIT(SUBSTITUTE(AF977,CHAR(10), """"),"",:""), MATCH(Z977, SPLIT(SUBSTITUTE(AF977,CHAR(10), """"),"",:""), 0) + 1)"),2.5)</f>
        <v>2.5</v>
      </c>
      <c r="AF977" s="102" t="s">
        <v>1903</v>
      </c>
      <c r="AG977" s="41" t="s">
        <v>35</v>
      </c>
      <c r="AH977" s="41" t="s">
        <v>5569</v>
      </c>
      <c r="AI977" s="108">
        <v>1.0</v>
      </c>
      <c r="AJ977" s="84">
        <v>0.0</v>
      </c>
      <c r="AK977" s="108"/>
      <c r="AL977" s="111">
        <v>0.0</v>
      </c>
      <c r="AM977" s="108"/>
      <c r="AN977" s="111">
        <v>0.0</v>
      </c>
      <c r="AO977" s="104"/>
      <c r="AP977" s="111">
        <v>0.0</v>
      </c>
      <c r="AQ977" s="111">
        <v>0.0</v>
      </c>
      <c r="AR977" s="69"/>
      <c r="AS977" s="111">
        <v>0.0</v>
      </c>
      <c r="AT977" s="111">
        <v>0.0</v>
      </c>
      <c r="AU977" s="201" t="s">
        <v>5570</v>
      </c>
      <c r="AV977" s="13"/>
      <c r="AW977" s="13"/>
      <c r="AX977" s="13"/>
      <c r="AY977" s="13"/>
      <c r="AZ977" s="6"/>
      <c r="BA977" s="6"/>
      <c r="BB977" s="6"/>
      <c r="BC977" s="6"/>
      <c r="BD977" s="6"/>
      <c r="BE977" s="6"/>
      <c r="BF977" s="6" t="s">
        <v>1781</v>
      </c>
      <c r="BG977" s="6">
        <v>1.0</v>
      </c>
      <c r="BH977" s="6"/>
      <c r="BI977" s="6" t="s">
        <v>1781</v>
      </c>
      <c r="BJ977" s="6">
        <v>1.0</v>
      </c>
      <c r="BK977" s="6"/>
      <c r="BL977" s="6" t="s">
        <v>1781</v>
      </c>
      <c r="BM977" s="6">
        <v>1.0</v>
      </c>
      <c r="BN977" s="6"/>
      <c r="BO977" s="6">
        <v>1.0</v>
      </c>
      <c r="BP977" s="13"/>
      <c r="BQ977" s="13"/>
      <c r="BR977" s="6" t="s">
        <v>23</v>
      </c>
    </row>
    <row r="978">
      <c r="A978" s="35">
        <v>132.0</v>
      </c>
      <c r="B978" s="35" t="s">
        <v>1157</v>
      </c>
      <c r="C978" s="53">
        <v>2.0</v>
      </c>
      <c r="D978" s="53" t="s">
        <v>5564</v>
      </c>
      <c r="E978" s="7">
        <v>966.0</v>
      </c>
      <c r="F978" s="53"/>
      <c r="G978" s="6"/>
      <c r="H978" s="35">
        <v>1.0</v>
      </c>
      <c r="I978" s="111">
        <v>1.0</v>
      </c>
      <c r="J978" s="104" t="s">
        <v>3984</v>
      </c>
      <c r="K978" s="41" t="s">
        <v>5566</v>
      </c>
      <c r="L978" s="41" t="s">
        <v>484</v>
      </c>
      <c r="M978" s="39" t="str">
        <f t="shared" si="1"/>
        <v>[https://dl.acm.org/citation.cfm?id=1243380 Dijkstra (1972)]</v>
      </c>
      <c r="N978" s="107" t="s">
        <v>5572</v>
      </c>
      <c r="O978" s="111">
        <v>1972.0</v>
      </c>
      <c r="P978" s="135" t="s">
        <v>1162</v>
      </c>
      <c r="Q978" s="6">
        <v>1.0</v>
      </c>
      <c r="R978" s="6">
        <v>1.0</v>
      </c>
      <c r="S978" s="45" t="s">
        <v>5573</v>
      </c>
      <c r="T978" s="111">
        <v>1.0</v>
      </c>
      <c r="U978" s="35">
        <v>0.0</v>
      </c>
      <c r="V978" s="89">
        <f>IFERROR(__xludf.DUMMYFUNCTION("INDEX(SPLIT(SUBSTITUTE(W978,CHAR(10), """"),"",:""), MATCH(Z978, SPLIT(SUBSTITUTE(W978,CHAR(10), """"),"",:""), 0) + 1)"),8.0)</f>
        <v>8</v>
      </c>
      <c r="W978" s="102" t="s">
        <v>3985</v>
      </c>
      <c r="X978" s="104" t="s">
        <v>3984</v>
      </c>
      <c r="Y978" s="41" t="s">
        <v>5568</v>
      </c>
      <c r="Z978" s="53" t="str">
        <f t="array" ref="Z978">INDEX(Problems!J:J, MATCH(1, (Problems!B:B=B978)*1, 0))</f>
        <v>n^2</v>
      </c>
      <c r="AA978" s="41"/>
      <c r="AB978" s="41"/>
      <c r="AC978" s="41" t="s">
        <v>1813</v>
      </c>
      <c r="AD978" s="41" t="s">
        <v>1814</v>
      </c>
      <c r="AE978" s="85">
        <f>IFERROR(__xludf.DUMMYFUNCTION("INDEX(SPLIT(SUBSTITUTE(AF978,CHAR(10), """"),"",:""), MATCH(Z978, SPLIT(SUBSTITUTE(AF978,CHAR(10), """"),"",:""), 0) + 1)"),2.5)</f>
        <v>2.5</v>
      </c>
      <c r="AF978" s="102" t="s">
        <v>1903</v>
      </c>
      <c r="AG978" s="41" t="s">
        <v>35</v>
      </c>
      <c r="AH978" s="41" t="s">
        <v>5574</v>
      </c>
      <c r="AI978" s="108">
        <v>1.0</v>
      </c>
      <c r="AJ978" s="84">
        <v>0.0</v>
      </c>
      <c r="AK978" s="108"/>
      <c r="AL978" s="111">
        <v>0.0</v>
      </c>
      <c r="AM978" s="108"/>
      <c r="AN978" s="111">
        <v>0.0</v>
      </c>
      <c r="AO978" s="104"/>
      <c r="AP978" s="111">
        <v>0.0</v>
      </c>
      <c r="AQ978" s="111">
        <v>0.0</v>
      </c>
      <c r="AR978" s="69"/>
      <c r="AS978" s="111">
        <v>0.0</v>
      </c>
      <c r="AT978" s="111">
        <v>0.0</v>
      </c>
      <c r="AU978" s="69"/>
      <c r="AV978" s="13"/>
      <c r="AW978" s="13"/>
      <c r="AX978" s="13"/>
      <c r="AY978" s="13"/>
      <c r="AZ978" s="6"/>
      <c r="BA978" s="6"/>
      <c r="BB978" s="6"/>
      <c r="BC978" s="6"/>
      <c r="BD978" s="6"/>
      <c r="BE978" s="6"/>
      <c r="BF978" s="6" t="s">
        <v>1781</v>
      </c>
      <c r="BG978" s="6">
        <v>1.0</v>
      </c>
      <c r="BH978" s="6"/>
      <c r="BI978" s="6" t="s">
        <v>1781</v>
      </c>
      <c r="BJ978" s="6">
        <v>1.0</v>
      </c>
      <c r="BK978" s="6"/>
      <c r="BL978" s="6" t="s">
        <v>1781</v>
      </c>
      <c r="BM978" s="6">
        <v>1.0</v>
      </c>
      <c r="BN978" s="6"/>
      <c r="BO978" s="6">
        <v>1.0</v>
      </c>
      <c r="BP978" s="13"/>
      <c r="BQ978" s="13"/>
      <c r="BR978" s="6" t="s">
        <v>23</v>
      </c>
    </row>
    <row r="979">
      <c r="A979" s="61">
        <v>132.0</v>
      </c>
      <c r="B979" s="61" t="s">
        <v>1157</v>
      </c>
      <c r="C979" s="53">
        <v>0.001</v>
      </c>
      <c r="D979" s="53" t="s">
        <v>5564</v>
      </c>
      <c r="E979" s="7">
        <v>967.0</v>
      </c>
      <c r="F979" s="53"/>
      <c r="G979" s="6"/>
      <c r="H979" s="35">
        <v>1.0</v>
      </c>
      <c r="I979" s="111">
        <v>1.0</v>
      </c>
      <c r="J979" s="35" t="s">
        <v>3984</v>
      </c>
      <c r="K979" s="41" t="s">
        <v>5566</v>
      </c>
      <c r="L979" s="41" t="s">
        <v>484</v>
      </c>
      <c r="M979" s="39" t="str">
        <f t="shared" si="1"/>
        <v>[ Nauck (1850)]</v>
      </c>
      <c r="N979" s="107" t="s">
        <v>5575</v>
      </c>
      <c r="O979" s="111">
        <v>1850.0</v>
      </c>
      <c r="P979" s="128"/>
      <c r="Q979" s="13"/>
      <c r="R979" s="13"/>
      <c r="S979" s="13"/>
      <c r="T979" s="111">
        <v>0.0</v>
      </c>
      <c r="U979" s="35">
        <v>0.0</v>
      </c>
      <c r="V979" s="89">
        <f>IFERROR(__xludf.DUMMYFUNCTION("INDEX(SPLIT(SUBSTITUTE(W979,CHAR(10), """"),"",:""), MATCH(Z979, SPLIT(SUBSTITUTE(W979,CHAR(10), """"),"",:""), 0) + 1)"),8.0)</f>
        <v>8</v>
      </c>
      <c r="W979" s="102" t="s">
        <v>3985</v>
      </c>
      <c r="X979" s="50" t="s">
        <v>3984</v>
      </c>
      <c r="Y979" s="41" t="s">
        <v>5568</v>
      </c>
      <c r="Z979" s="53" t="str">
        <f t="array" ref="Z979">INDEX(Problems!J:J, MATCH(1, (Problems!B:B=B979)*1, 0))</f>
        <v>n^2</v>
      </c>
      <c r="AA979" s="41"/>
      <c r="AB979" s="41"/>
      <c r="AC979" s="41" t="s">
        <v>1813</v>
      </c>
      <c r="AD979" s="41" t="s">
        <v>1814</v>
      </c>
      <c r="AE979" s="85" t="str">
        <f>IFERROR(__xludf.DUMMYFUNCTION("INDEX(SPLIT(SUBSTITUTE(AF979,CHAR(10), """"),"",:""), MATCH(Z979, SPLIT(SUBSTITUTE(AF979,CHAR(10), """"),"",:""), 0) + 1)"),"#VALUE!")</f>
        <v>#VALUE!</v>
      </c>
      <c r="AF979" s="102"/>
      <c r="AG979" s="41"/>
      <c r="AH979" s="41"/>
      <c r="AI979" s="108"/>
      <c r="AJ979" s="84" t="s">
        <v>2520</v>
      </c>
      <c r="AK979" s="108"/>
      <c r="AL979" s="111">
        <v>0.0</v>
      </c>
      <c r="AM979" s="108"/>
      <c r="AN979" s="111">
        <v>0.0</v>
      </c>
      <c r="AO979" s="104"/>
      <c r="AP979" s="111">
        <v>0.0</v>
      </c>
      <c r="AQ979" s="111">
        <v>0.0</v>
      </c>
      <c r="AR979" s="69"/>
      <c r="AS979" s="111">
        <v>0.0</v>
      </c>
      <c r="AT979" s="111">
        <v>0.0</v>
      </c>
      <c r="AU979" s="201" t="s">
        <v>5570</v>
      </c>
      <c r="AV979" s="13"/>
      <c r="AW979" s="13"/>
      <c r="AX979" s="13"/>
      <c r="AY979" s="13"/>
      <c r="AZ979" s="6"/>
      <c r="BA979" s="6"/>
      <c r="BB979" s="6"/>
      <c r="BC979" s="6"/>
      <c r="BD979" s="6"/>
      <c r="BE979" s="6"/>
      <c r="BF979" s="6" t="s">
        <v>1781</v>
      </c>
      <c r="BG979" s="6"/>
      <c r="BH979" s="13"/>
      <c r="BI979" s="13"/>
      <c r="BJ979" s="13"/>
      <c r="BK979" s="13"/>
      <c r="BL979" s="13"/>
      <c r="BM979" s="13"/>
      <c r="BN979" s="6"/>
      <c r="BO979" s="6">
        <v>1.0</v>
      </c>
      <c r="BP979" s="13"/>
      <c r="BQ979" s="13"/>
      <c r="BR979" s="6" t="s">
        <v>23</v>
      </c>
    </row>
    <row r="980">
      <c r="A980" s="35">
        <v>132.0</v>
      </c>
      <c r="B980" s="35" t="s">
        <v>1157</v>
      </c>
      <c r="C980" s="53">
        <v>2.0</v>
      </c>
      <c r="D980" s="53" t="s">
        <v>5564</v>
      </c>
      <c r="E980" s="7">
        <v>968.0</v>
      </c>
      <c r="F980" s="53"/>
      <c r="G980" s="6"/>
      <c r="H980" s="35">
        <v>1.0</v>
      </c>
      <c r="I980" s="111">
        <v>1.0</v>
      </c>
      <c r="J980" s="35" t="s">
        <v>3984</v>
      </c>
      <c r="K980" s="41" t="s">
        <v>5566</v>
      </c>
      <c r="L980" s="41" t="s">
        <v>484</v>
      </c>
      <c r="M980" s="39" t="str">
        <f t="shared" si="1"/>
        <v>[ Gunther Determinants solution (1874)]</v>
      </c>
      <c r="N980" s="107" t="s">
        <v>5576</v>
      </c>
      <c r="O980" s="111">
        <v>1874.0</v>
      </c>
      <c r="P980" s="128"/>
      <c r="Q980" s="13"/>
      <c r="R980" s="13"/>
      <c r="S980" s="13"/>
      <c r="T980" s="111">
        <v>0.0</v>
      </c>
      <c r="U980" s="35">
        <v>0.0</v>
      </c>
      <c r="V980" s="89">
        <f>IFERROR(__xludf.DUMMYFUNCTION("INDEX(SPLIT(SUBSTITUTE(W980,CHAR(10), """"),"",:""), MATCH(Z980, SPLIT(SUBSTITUTE(W980,CHAR(10), """"),"",:""), 0) + 1)"),8.0)</f>
        <v>8</v>
      </c>
      <c r="W980" s="102" t="s">
        <v>3985</v>
      </c>
      <c r="X980" s="35" t="s">
        <v>3984</v>
      </c>
      <c r="Y980" s="41" t="s">
        <v>5568</v>
      </c>
      <c r="Z980" s="53" t="str">
        <f t="array" ref="Z980">INDEX(Problems!J:J, MATCH(1, (Problems!B:B=B980)*1, 0))</f>
        <v>n^2</v>
      </c>
      <c r="AA980" s="41"/>
      <c r="AB980" s="41"/>
      <c r="AC980" s="41" t="s">
        <v>1813</v>
      </c>
      <c r="AD980" s="41" t="s">
        <v>1814</v>
      </c>
      <c r="AE980" s="85">
        <f>IFERROR(__xludf.DUMMYFUNCTION("INDEX(SPLIT(SUBSTITUTE(AF980,CHAR(10), """"),"",:""), MATCH(Z980, SPLIT(SUBSTITUTE(AF980,CHAR(10), """"),"",:""), 0) + 1)"),8.0)</f>
        <v>8</v>
      </c>
      <c r="AF980" s="102" t="s">
        <v>3985</v>
      </c>
      <c r="AG980" s="41" t="s">
        <v>5577</v>
      </c>
      <c r="AH980" s="41" t="s">
        <v>5578</v>
      </c>
      <c r="AI980" s="108">
        <v>1.0</v>
      </c>
      <c r="AJ980" s="84">
        <v>0.0</v>
      </c>
      <c r="AK980" s="108"/>
      <c r="AL980" s="111">
        <v>0.0</v>
      </c>
      <c r="AM980" s="108"/>
      <c r="AN980" s="111">
        <v>0.0</v>
      </c>
      <c r="AO980" s="104"/>
      <c r="AP980" s="111">
        <v>0.0</v>
      </c>
      <c r="AQ980" s="111">
        <v>0.0</v>
      </c>
      <c r="AR980" s="69"/>
      <c r="AS980" s="111">
        <v>0.0</v>
      </c>
      <c r="AT980" s="111">
        <v>0.0</v>
      </c>
      <c r="AU980" s="201" t="s">
        <v>5570</v>
      </c>
      <c r="AV980" s="13"/>
      <c r="AW980" s="13"/>
      <c r="AX980" s="13"/>
      <c r="AY980" s="13"/>
      <c r="AZ980" s="6"/>
      <c r="BA980" s="6"/>
      <c r="BB980" s="6"/>
      <c r="BC980" s="6"/>
      <c r="BD980" s="6"/>
      <c r="BE980" s="6"/>
      <c r="BF980" s="6" t="s">
        <v>1781</v>
      </c>
      <c r="BG980" s="13"/>
      <c r="BH980" s="13"/>
      <c r="BI980" s="13"/>
      <c r="BJ980" s="13"/>
      <c r="BK980" s="13"/>
      <c r="BL980" s="13"/>
      <c r="BM980" s="13"/>
      <c r="BN980" s="6"/>
      <c r="BO980" s="6">
        <v>1.0</v>
      </c>
      <c r="BP980" s="13"/>
      <c r="BQ980" s="13"/>
      <c r="BR980" s="6" t="s">
        <v>23</v>
      </c>
    </row>
    <row r="981">
      <c r="A981" s="35">
        <v>132.0</v>
      </c>
      <c r="B981" s="35" t="s">
        <v>1157</v>
      </c>
      <c r="C981" s="53">
        <v>2.0</v>
      </c>
      <c r="D981" s="53" t="s">
        <v>1158</v>
      </c>
      <c r="E981" s="7">
        <v>969.0</v>
      </c>
      <c r="F981" s="53"/>
      <c r="G981" s="6"/>
      <c r="H981" s="35">
        <v>1.0</v>
      </c>
      <c r="I981" s="111">
        <v>1.0</v>
      </c>
      <c r="J981" s="104" t="s">
        <v>5579</v>
      </c>
      <c r="K981" s="41" t="s">
        <v>5566</v>
      </c>
      <c r="L981" s="41" t="s">
        <v>484</v>
      </c>
      <c r="M981" s="39" t="str">
        <f t="shared" si="1"/>
        <v>[http://www.cs.cornell.edu/~rdz/Papers/RZ-IPL92.pdf Rivin, Zabih (1992)]</v>
      </c>
      <c r="N981" s="107" t="s">
        <v>5580</v>
      </c>
      <c r="O981" s="111">
        <v>1992.0</v>
      </c>
      <c r="P981" s="106" t="s">
        <v>5581</v>
      </c>
      <c r="Q981" s="13"/>
      <c r="R981" s="13"/>
      <c r="S981" s="13"/>
      <c r="T981" s="111">
        <v>0.0</v>
      </c>
      <c r="U981" s="35">
        <v>0.0</v>
      </c>
      <c r="V981" s="89">
        <f>IFERROR(__xludf.DUMMYFUNCTION("INDEX(SPLIT(SUBSTITUTE(W981,CHAR(10), """"),"",:""), MATCH(Z981, SPLIT(SUBSTITUTE(W981,CHAR(10), """"),"",:""), 0) + 1)"),8.0)</f>
        <v>8</v>
      </c>
      <c r="W981" s="102" t="s">
        <v>3985</v>
      </c>
      <c r="X981" s="104" t="s">
        <v>5579</v>
      </c>
      <c r="Y981" s="41" t="s">
        <v>5568</v>
      </c>
      <c r="Z981" s="53" t="str">
        <f t="array" ref="Z981">INDEX(Problems!J:J, MATCH(1, (Problems!B:B=B981)*1, 0))</f>
        <v>n^2</v>
      </c>
      <c r="AA981" s="41"/>
      <c r="AB981" s="41"/>
      <c r="AC981" s="41" t="s">
        <v>1813</v>
      </c>
      <c r="AD981" s="41" t="s">
        <v>1814</v>
      </c>
      <c r="AE981" s="85">
        <f>IFERROR(__xludf.DUMMYFUNCTION("INDEX(SPLIT(SUBSTITUTE(AF981,CHAR(10), """"),"",:""), MATCH(Z981, SPLIT(SUBSTITUTE(AF981,CHAR(10), """"),"",:""), 0) + 1)"),8.0)</f>
        <v>8</v>
      </c>
      <c r="AF981" s="102" t="s">
        <v>3985</v>
      </c>
      <c r="AG981" s="41" t="s">
        <v>5582</v>
      </c>
      <c r="AH981" s="112" t="s">
        <v>5581</v>
      </c>
      <c r="AI981" s="108">
        <v>0.0</v>
      </c>
      <c r="AJ981" s="84">
        <v>1.0</v>
      </c>
      <c r="AK981" s="108"/>
      <c r="AL981" s="111">
        <v>0.0</v>
      </c>
      <c r="AM981" s="108"/>
      <c r="AN981" s="111">
        <v>0.0</v>
      </c>
      <c r="AO981" s="104"/>
      <c r="AP981" s="111">
        <v>0.0</v>
      </c>
      <c r="AQ981" s="111">
        <v>0.0</v>
      </c>
      <c r="AR981" s="69"/>
      <c r="AS981" s="111">
        <v>0.0</v>
      </c>
      <c r="AT981" s="111">
        <v>0.0</v>
      </c>
      <c r="AU981" s="69"/>
      <c r="AV981" s="13"/>
      <c r="AW981" s="13"/>
      <c r="AX981" s="13"/>
      <c r="AY981" s="13"/>
      <c r="AZ981" s="6"/>
      <c r="BA981" s="6"/>
      <c r="BB981" s="6"/>
      <c r="BC981" s="6"/>
      <c r="BD981" s="6"/>
      <c r="BE981" s="6"/>
      <c r="BF981" s="6" t="s">
        <v>1781</v>
      </c>
      <c r="BG981" s="13"/>
      <c r="BH981" s="13"/>
      <c r="BI981" s="13"/>
      <c r="BJ981" s="13"/>
      <c r="BK981" s="13"/>
      <c r="BL981" s="13"/>
      <c r="BM981" s="13"/>
      <c r="BN981" s="6"/>
      <c r="BO981" s="6">
        <v>1.0</v>
      </c>
      <c r="BP981" s="13"/>
      <c r="BQ981" s="13"/>
      <c r="BR981" s="6" t="s">
        <v>23</v>
      </c>
    </row>
    <row r="982">
      <c r="A982" s="35">
        <v>133.0</v>
      </c>
      <c r="B982" s="35" t="s">
        <v>1168</v>
      </c>
      <c r="C982" s="53">
        <v>2.0</v>
      </c>
      <c r="D982" s="53" t="s">
        <v>1169</v>
      </c>
      <c r="E982" s="7">
        <v>971.0</v>
      </c>
      <c r="F982" s="53"/>
      <c r="G982" s="6"/>
      <c r="H982" s="35">
        <v>1.0</v>
      </c>
      <c r="I982" s="111">
        <v>1.0</v>
      </c>
      <c r="J982" s="104" t="s">
        <v>1173</v>
      </c>
      <c r="K982" s="41" t="s">
        <v>5557</v>
      </c>
      <c r="L982" s="41" t="s">
        <v>2420</v>
      </c>
      <c r="M982" s="39" t="str">
        <f t="shared" si="1"/>
        <v>[ Naive Solution (1965)]</v>
      </c>
      <c r="N982" s="107" t="s">
        <v>5583</v>
      </c>
      <c r="O982" s="111">
        <v>1965.0</v>
      </c>
      <c r="P982" s="128"/>
      <c r="Q982" s="6">
        <v>1.5</v>
      </c>
      <c r="R982" s="6">
        <v>0.0</v>
      </c>
      <c r="S982" s="18" t="s">
        <v>5584</v>
      </c>
      <c r="T982" s="111">
        <v>1.0</v>
      </c>
      <c r="U982" s="35">
        <v>0.0</v>
      </c>
      <c r="V982" s="89">
        <f>IFERROR(__xludf.DUMMYFUNCTION("INDEX(SPLIT(SUBSTITUTE(W982,CHAR(10), """"),"",:""), MATCH(Z982, SPLIT(SUBSTITUTE(W982,CHAR(10), """"),"",:""), 0) + 1)"),8.0)</f>
        <v>8</v>
      </c>
      <c r="W982" s="102" t="s">
        <v>2001</v>
      </c>
      <c r="X982" s="104" t="s">
        <v>1173</v>
      </c>
      <c r="Y982" s="41" t="s">
        <v>5585</v>
      </c>
      <c r="Z982" s="53" t="str">
        <f t="array" ref="Z982">INDEX(Problems!J:J, MATCH(1, (Problems!B:B=B982)*1, 0))</f>
        <v>n</v>
      </c>
      <c r="AA982" s="41"/>
      <c r="AB982" s="41"/>
      <c r="AC982" s="41" t="s">
        <v>1813</v>
      </c>
      <c r="AD982" s="41" t="s">
        <v>1814</v>
      </c>
      <c r="AE982" s="85">
        <f>IFERROR(__xludf.DUMMYFUNCTION("INDEX(SPLIT(SUBSTITUTE(AF982,CHAR(10), """"),"",:""), MATCH(Z982, SPLIT(SUBSTITUTE(AF982,CHAR(10), """"),"",:""), 0) + 1)"),3.0)</f>
        <v>3</v>
      </c>
      <c r="AF982" s="102" t="s">
        <v>5586</v>
      </c>
      <c r="AG982" s="41" t="s">
        <v>35</v>
      </c>
      <c r="AH982" s="41" t="s">
        <v>5587</v>
      </c>
      <c r="AI982" s="108">
        <v>1.0</v>
      </c>
      <c r="AJ982" s="84">
        <v>0.0</v>
      </c>
      <c r="AK982" s="108"/>
      <c r="AL982" s="111">
        <v>0.0</v>
      </c>
      <c r="AM982" s="108"/>
      <c r="AN982" s="111">
        <v>0.0</v>
      </c>
      <c r="AO982" s="104"/>
      <c r="AP982" s="111">
        <v>0.0</v>
      </c>
      <c r="AQ982" s="111">
        <v>0.0</v>
      </c>
      <c r="AR982" s="69"/>
      <c r="AS982" s="111">
        <v>0.0</v>
      </c>
      <c r="AT982" s="111">
        <v>0.0</v>
      </c>
      <c r="AU982" s="69"/>
      <c r="AV982" s="13"/>
      <c r="AW982" s="13"/>
      <c r="AX982" s="13"/>
      <c r="AY982" s="13"/>
      <c r="AZ982" s="6"/>
      <c r="BA982" s="6"/>
      <c r="BB982" s="6"/>
      <c r="BC982" s="6"/>
      <c r="BD982" s="6"/>
      <c r="BE982" s="6"/>
      <c r="BF982" s="6" t="s">
        <v>1781</v>
      </c>
      <c r="BG982" s="6">
        <v>1.0</v>
      </c>
      <c r="BH982" s="6"/>
      <c r="BI982" s="6" t="s">
        <v>1781</v>
      </c>
      <c r="BJ982" s="6">
        <v>1.0</v>
      </c>
      <c r="BK982" s="6"/>
      <c r="BL982" s="6" t="s">
        <v>1781</v>
      </c>
      <c r="BM982" s="6">
        <v>1.0</v>
      </c>
      <c r="BN982" s="6"/>
      <c r="BO982" s="6">
        <v>1.0</v>
      </c>
      <c r="BP982" s="13"/>
      <c r="BQ982" s="13"/>
      <c r="BR982" s="6" t="s">
        <v>23</v>
      </c>
    </row>
    <row r="983">
      <c r="A983" s="35">
        <v>134.0</v>
      </c>
      <c r="B983" s="35" t="s">
        <v>1178</v>
      </c>
      <c r="C983" s="53">
        <v>1.0</v>
      </c>
      <c r="D983" s="53"/>
      <c r="E983" s="7">
        <v>972.0</v>
      </c>
      <c r="F983" s="53"/>
      <c r="G983" s="6">
        <v>0.0</v>
      </c>
      <c r="H983" s="35">
        <v>1.0</v>
      </c>
      <c r="I983" s="111">
        <v>1.0</v>
      </c>
      <c r="J983" s="138" t="s">
        <v>5588</v>
      </c>
      <c r="K983" s="99"/>
      <c r="L983" s="99"/>
      <c r="M983" s="39" t="str">
        <f t="shared" si="1"/>
        <v>[ Naive solution (1940)]</v>
      </c>
      <c r="N983" s="107" t="s">
        <v>4327</v>
      </c>
      <c r="O983" s="111">
        <v>1940.0</v>
      </c>
      <c r="P983" s="128"/>
      <c r="Q983" s="13"/>
      <c r="R983" s="13"/>
      <c r="S983" s="13"/>
      <c r="T983" s="111">
        <v>1.0</v>
      </c>
      <c r="U983" s="35">
        <v>0.0</v>
      </c>
      <c r="V983" s="89">
        <f>IFERROR(__xludf.DUMMYFUNCTION("INDEX(SPLIT(SUBSTITUTE(W983,CHAR(10), """"),"",:""), MATCH(Z983, SPLIT(SUBSTITUTE(W983,CHAR(10), """"),"",:""), 0) + 1)"),8.0)</f>
        <v>8</v>
      </c>
      <c r="W983" s="102" t="s">
        <v>2001</v>
      </c>
      <c r="X983" s="138" t="s">
        <v>5589</v>
      </c>
      <c r="Y983" s="41" t="s">
        <v>5590</v>
      </c>
      <c r="Z983" s="53" t="str">
        <f t="array" ref="Z983">INDEX(Problems!J:J, MATCH(1, (Problems!B:B=B983)*1, 0))</f>
        <v>n</v>
      </c>
      <c r="AA983" s="41"/>
      <c r="AB983" s="41"/>
      <c r="AC983" s="41" t="s">
        <v>1813</v>
      </c>
      <c r="AD983" s="41" t="s">
        <v>1814</v>
      </c>
      <c r="AE983" s="85">
        <f>IFERROR(__xludf.DUMMYFUNCTION("INDEX(SPLIT(SUBSTITUTE(AF983,CHAR(10), """"),"",:""), MATCH(Z983, SPLIT(SUBSTITUTE(AF983,CHAR(10), """"),"",:""), 0) + 1)"),8.0)</f>
        <v>8</v>
      </c>
      <c r="AF983" s="102" t="s">
        <v>2001</v>
      </c>
      <c r="AG983" s="41" t="s">
        <v>5591</v>
      </c>
      <c r="AH983" s="41" t="s">
        <v>5592</v>
      </c>
      <c r="AI983" s="108">
        <v>1.0</v>
      </c>
      <c r="AJ983" s="84">
        <v>0.0</v>
      </c>
      <c r="AK983" s="108"/>
      <c r="AL983" s="111">
        <v>0.0</v>
      </c>
      <c r="AM983" s="108"/>
      <c r="AN983" s="111">
        <v>0.0</v>
      </c>
      <c r="AO983" s="104"/>
      <c r="AP983" s="111">
        <v>0.0</v>
      </c>
      <c r="AQ983" s="111">
        <v>0.0</v>
      </c>
      <c r="AR983" s="69"/>
      <c r="AS983" s="111">
        <v>0.0</v>
      </c>
      <c r="AT983" s="111">
        <v>0.0</v>
      </c>
      <c r="AU983" s="69"/>
      <c r="AV983" s="13"/>
      <c r="AW983" s="13"/>
      <c r="AX983" s="13"/>
      <c r="AY983" s="13"/>
      <c r="AZ983" s="6"/>
      <c r="BA983" s="6"/>
      <c r="BB983" s="6"/>
      <c r="BC983" s="6"/>
      <c r="BD983" s="6"/>
      <c r="BE983" s="6"/>
      <c r="BF983" s="6">
        <v>1000000.0</v>
      </c>
      <c r="BG983" s="6">
        <v>1.0</v>
      </c>
      <c r="BH983" s="6"/>
      <c r="BI983" s="6">
        <v>1.0E12</v>
      </c>
      <c r="BJ983" s="6">
        <v>1.0</v>
      </c>
      <c r="BK983" s="6"/>
      <c r="BL983" s="6">
        <v>1.0E18</v>
      </c>
      <c r="BM983" s="6">
        <v>1.0</v>
      </c>
      <c r="BN983" s="6"/>
      <c r="BO983" s="6">
        <v>4.0</v>
      </c>
      <c r="BP983" s="13"/>
      <c r="BQ983" s="13"/>
      <c r="BR983" s="6" t="s">
        <v>23</v>
      </c>
    </row>
    <row r="984">
      <c r="A984" s="35">
        <v>135.0</v>
      </c>
      <c r="B984" s="35" t="s">
        <v>1183</v>
      </c>
      <c r="C984" s="53">
        <v>2.0</v>
      </c>
      <c r="D984" s="53" t="s">
        <v>1183</v>
      </c>
      <c r="E984" s="7">
        <v>973.0</v>
      </c>
      <c r="F984" s="53"/>
      <c r="G984" s="6">
        <v>0.0</v>
      </c>
      <c r="H984" s="35">
        <v>1.0</v>
      </c>
      <c r="I984" s="111">
        <v>1.0</v>
      </c>
      <c r="J984" s="35" t="s">
        <v>789</v>
      </c>
      <c r="K984" s="41" t="s">
        <v>5566</v>
      </c>
      <c r="L984" s="41" t="s">
        <v>484</v>
      </c>
      <c r="M984" s="39" t="str">
        <f t="shared" si="1"/>
        <v>[NA Iteration based (1883)]</v>
      </c>
      <c r="N984" s="107" t="s">
        <v>5593</v>
      </c>
      <c r="O984" s="111">
        <v>1883.0</v>
      </c>
      <c r="P984" s="129" t="s">
        <v>1944</v>
      </c>
      <c r="Q984" s="6">
        <v>1.0</v>
      </c>
      <c r="R984" s="6">
        <v>1.0</v>
      </c>
      <c r="S984" s="18" t="s">
        <v>5594</v>
      </c>
      <c r="T984" s="111">
        <v>1.0</v>
      </c>
      <c r="U984" s="35">
        <v>0.0</v>
      </c>
      <c r="V984" s="89">
        <f>IFERROR(__xludf.DUMMYFUNCTION("INDEX(SPLIT(SUBSTITUTE(W984,CHAR(10), """"),"",:""), MATCH(Z984, SPLIT(SUBSTITUTE(W984,CHAR(10), """"),"",:""), 0) + 1)"),8.0)</f>
        <v>8</v>
      </c>
      <c r="W984" s="102" t="s">
        <v>2001</v>
      </c>
      <c r="X984" s="35" t="s">
        <v>789</v>
      </c>
      <c r="Y984" s="41" t="s">
        <v>5595</v>
      </c>
      <c r="Z984" s="53" t="str">
        <f t="array" ref="Z984">INDEX(Problems!J:J, MATCH(1, (Problems!B:B=B984)*1, 0))</f>
        <v>n</v>
      </c>
      <c r="AA984" s="41"/>
      <c r="AB984" s="41"/>
      <c r="AC984" s="41" t="s">
        <v>1813</v>
      </c>
      <c r="AD984" s="41" t="s">
        <v>2338</v>
      </c>
      <c r="AE984" s="85">
        <f>IFERROR(__xludf.DUMMYFUNCTION("INDEX(SPLIT(SUBSTITUTE(AF984,CHAR(10), """"),"",:""), MATCH(Z984, SPLIT(SUBSTITUTE(AF984,CHAR(10), """"),"",:""), 0) + 1)"),3.0)</f>
        <v>3</v>
      </c>
      <c r="AF984" s="102" t="s">
        <v>1763</v>
      </c>
      <c r="AG984" s="41" t="s">
        <v>35</v>
      </c>
      <c r="AH984" s="41" t="s">
        <v>5596</v>
      </c>
      <c r="AI984" s="108">
        <v>1.0</v>
      </c>
      <c r="AJ984" s="84">
        <v>0.0</v>
      </c>
      <c r="AK984" s="108"/>
      <c r="AL984" s="111">
        <v>0.0</v>
      </c>
      <c r="AM984" s="108"/>
      <c r="AN984" s="111">
        <v>0.0</v>
      </c>
      <c r="AO984" s="104"/>
      <c r="AP984" s="111">
        <v>0.0</v>
      </c>
      <c r="AQ984" s="111">
        <v>0.0</v>
      </c>
      <c r="AR984" s="69"/>
      <c r="AS984" s="111">
        <v>0.0</v>
      </c>
      <c r="AT984" s="111">
        <v>0.0</v>
      </c>
      <c r="AU984" s="106" t="s">
        <v>5597</v>
      </c>
      <c r="AV984" s="13"/>
      <c r="AW984" s="13"/>
      <c r="AX984" s="13"/>
      <c r="AY984" s="13"/>
      <c r="AZ984" s="6"/>
      <c r="BA984" s="6"/>
      <c r="BB984" s="6"/>
      <c r="BC984" s="6"/>
      <c r="BD984" s="6"/>
      <c r="BE984" s="6"/>
      <c r="BF984" s="6" t="s">
        <v>1781</v>
      </c>
      <c r="BG984" s="6">
        <v>1.0</v>
      </c>
      <c r="BH984" s="6"/>
      <c r="BI984" s="6" t="s">
        <v>1781</v>
      </c>
      <c r="BJ984" s="6">
        <v>1.0</v>
      </c>
      <c r="BK984" s="6"/>
      <c r="BL984" s="6" t="s">
        <v>1781</v>
      </c>
      <c r="BM984" s="6">
        <v>1.0</v>
      </c>
      <c r="BN984" s="6"/>
      <c r="BO984" s="6">
        <v>1.0</v>
      </c>
      <c r="BP984" s="13"/>
      <c r="BQ984" s="13"/>
      <c r="BR984" s="6" t="s">
        <v>23</v>
      </c>
    </row>
    <row r="985">
      <c r="A985" s="35">
        <v>135.0</v>
      </c>
      <c r="B985" s="35" t="s">
        <v>1183</v>
      </c>
      <c r="C985" s="53">
        <v>2.0</v>
      </c>
      <c r="D985" s="53" t="s">
        <v>1183</v>
      </c>
      <c r="E985" s="7">
        <v>974.0</v>
      </c>
      <c r="F985" s="53"/>
      <c r="G985" s="6">
        <v>0.0</v>
      </c>
      <c r="H985" s="35">
        <v>1.0</v>
      </c>
      <c r="I985" s="111">
        <v>1.0</v>
      </c>
      <c r="J985" s="35" t="s">
        <v>789</v>
      </c>
      <c r="K985" s="41" t="s">
        <v>5566</v>
      </c>
      <c r="L985" s="41" t="s">
        <v>484</v>
      </c>
      <c r="M985" s="39" t="str">
        <f t="shared" si="1"/>
        <v>[NA Recursion based (1940)]</v>
      </c>
      <c r="N985" s="107" t="s">
        <v>5598</v>
      </c>
      <c r="O985" s="111">
        <v>1940.0</v>
      </c>
      <c r="P985" s="129" t="s">
        <v>1944</v>
      </c>
      <c r="Q985" s="13"/>
      <c r="R985" s="13"/>
      <c r="S985" s="13"/>
      <c r="T985" s="111">
        <v>0.0</v>
      </c>
      <c r="U985" s="35">
        <v>0.0</v>
      </c>
      <c r="V985" s="89">
        <f>IFERROR(__xludf.DUMMYFUNCTION("INDEX(SPLIT(SUBSTITUTE(W985,CHAR(10), """"),"",:""), MATCH(Z985, SPLIT(SUBSTITUTE(W985,CHAR(10), """"),"",:""), 0) + 1)"),8.0)</f>
        <v>8</v>
      </c>
      <c r="W985" s="102" t="s">
        <v>2001</v>
      </c>
      <c r="X985" s="35" t="s">
        <v>789</v>
      </c>
      <c r="Y985" s="41" t="s">
        <v>5595</v>
      </c>
      <c r="Z985" s="53" t="str">
        <f t="array" ref="Z985">INDEX(Problems!J:J, MATCH(1, (Problems!B:B=B985)*1, 0))</f>
        <v>n</v>
      </c>
      <c r="AA985" s="41"/>
      <c r="AB985" s="41"/>
      <c r="AC985" s="41" t="s">
        <v>1813</v>
      </c>
      <c r="AD985" s="41" t="s">
        <v>2338</v>
      </c>
      <c r="AE985" s="85">
        <f>IFERROR(__xludf.DUMMYFUNCTION("INDEX(SPLIT(SUBSTITUTE(AF985,CHAR(10), """"),"",:""), MATCH(Z985, SPLIT(SUBSTITUTE(AF985,CHAR(10), """"),"",:""), 0) + 1)"),4.0)</f>
        <v>4</v>
      </c>
      <c r="AF985" s="102" t="s">
        <v>1791</v>
      </c>
      <c r="AG985" s="41" t="s">
        <v>1953</v>
      </c>
      <c r="AH985" s="41" t="s">
        <v>5599</v>
      </c>
      <c r="AI985" s="108">
        <v>1.0</v>
      </c>
      <c r="AJ985" s="84">
        <v>0.0</v>
      </c>
      <c r="AK985" s="108"/>
      <c r="AL985" s="111">
        <v>0.0</v>
      </c>
      <c r="AM985" s="108"/>
      <c r="AN985" s="111">
        <v>0.0</v>
      </c>
      <c r="AO985" s="104"/>
      <c r="AP985" s="111">
        <v>0.0</v>
      </c>
      <c r="AQ985" s="111">
        <v>0.0</v>
      </c>
      <c r="AR985" s="69"/>
      <c r="AS985" s="111">
        <v>0.0</v>
      </c>
      <c r="AT985" s="111">
        <v>0.0</v>
      </c>
      <c r="AU985" s="106" t="s">
        <v>5597</v>
      </c>
      <c r="AV985" s="13"/>
      <c r="AW985" s="13"/>
      <c r="AX985" s="13"/>
      <c r="AY985" s="13"/>
      <c r="AZ985" s="6"/>
      <c r="BA985" s="6"/>
      <c r="BB985" s="6"/>
      <c r="BC985" s="6"/>
      <c r="BD985" s="6"/>
      <c r="BE985" s="6"/>
      <c r="BF985" s="6" t="s">
        <v>1781</v>
      </c>
      <c r="BG985" s="13"/>
      <c r="BH985" s="13"/>
      <c r="BI985" s="13"/>
      <c r="BJ985" s="13"/>
      <c r="BK985" s="13"/>
      <c r="BL985" s="13"/>
      <c r="BM985" s="13"/>
      <c r="BN985" s="6"/>
      <c r="BO985" s="6">
        <v>1.0</v>
      </c>
      <c r="BP985" s="13"/>
      <c r="BQ985" s="13"/>
      <c r="BR985" s="6" t="s">
        <v>23</v>
      </c>
    </row>
    <row r="986">
      <c r="A986" s="61">
        <v>135.0</v>
      </c>
      <c r="B986" s="61" t="s">
        <v>1183</v>
      </c>
      <c r="C986" s="53">
        <v>2.0</v>
      </c>
      <c r="D986" s="53" t="s">
        <v>1183</v>
      </c>
      <c r="E986" s="7">
        <v>975.0</v>
      </c>
      <c r="F986" s="53"/>
      <c r="G986" s="6">
        <v>0.0</v>
      </c>
      <c r="H986" s="35">
        <v>1.0</v>
      </c>
      <c r="I986" s="111">
        <v>1.0</v>
      </c>
      <c r="J986" s="35" t="s">
        <v>789</v>
      </c>
      <c r="K986" s="41" t="s">
        <v>5566</v>
      </c>
      <c r="L986" s="41" t="s">
        <v>484</v>
      </c>
      <c r="M986" s="39" t="str">
        <f t="shared" si="1"/>
        <v>[NA Non-recursion based (1940)]</v>
      </c>
      <c r="N986" s="107" t="s">
        <v>5600</v>
      </c>
      <c r="O986" s="111">
        <v>1940.0</v>
      </c>
      <c r="P986" s="129" t="s">
        <v>1944</v>
      </c>
      <c r="Q986" s="13"/>
      <c r="R986" s="13"/>
      <c r="S986" s="13"/>
      <c r="T986" s="111">
        <v>0.0</v>
      </c>
      <c r="U986" s="35">
        <v>0.0</v>
      </c>
      <c r="V986" s="89">
        <f>IFERROR(__xludf.DUMMYFUNCTION("INDEX(SPLIT(SUBSTITUTE(W986,CHAR(10), """"),"",:""), MATCH(Z986, SPLIT(SUBSTITUTE(W986,CHAR(10), """"),"",:""), 0) + 1)"),8.0)</f>
        <v>8</v>
      </c>
      <c r="W986" s="102" t="s">
        <v>2001</v>
      </c>
      <c r="X986" s="35" t="s">
        <v>789</v>
      </c>
      <c r="Y986" s="41" t="s">
        <v>5595</v>
      </c>
      <c r="Z986" s="53" t="str">
        <f t="array" ref="Z986">INDEX(Problems!J:J, MATCH(1, (Problems!B:B=B986)*1, 0))</f>
        <v>n</v>
      </c>
      <c r="AA986" s="41"/>
      <c r="AB986" s="41"/>
      <c r="AC986" s="41" t="s">
        <v>1813</v>
      </c>
      <c r="AD986" s="41" t="s">
        <v>2338</v>
      </c>
      <c r="AE986" s="85">
        <f>IFERROR(__xludf.DUMMYFUNCTION("INDEX(SPLIT(SUBSTITUTE(AF986,CHAR(10), """"),"",:""), MATCH(Z986, SPLIT(SUBSTITUTE(AF986,CHAR(10), """"),"",:""), 0) + 1)"),3.0)</f>
        <v>3</v>
      </c>
      <c r="AF986" s="102" t="s">
        <v>1763</v>
      </c>
      <c r="AG986" s="41" t="s">
        <v>35</v>
      </c>
      <c r="AH986" s="41" t="s">
        <v>5596</v>
      </c>
      <c r="AI986" s="108">
        <v>1.0</v>
      </c>
      <c r="AJ986" s="84">
        <v>0.0</v>
      </c>
      <c r="AK986" s="108"/>
      <c r="AL986" s="111">
        <v>0.0</v>
      </c>
      <c r="AM986" s="108"/>
      <c r="AN986" s="111">
        <v>0.0</v>
      </c>
      <c r="AO986" s="104"/>
      <c r="AP986" s="111">
        <v>0.0</v>
      </c>
      <c r="AQ986" s="111">
        <v>0.0</v>
      </c>
      <c r="AR986" s="69"/>
      <c r="AS986" s="111">
        <v>0.0</v>
      </c>
      <c r="AT986" s="111">
        <v>0.0</v>
      </c>
      <c r="AU986" s="106" t="s">
        <v>5597</v>
      </c>
      <c r="AV986" s="13"/>
      <c r="AW986" s="13"/>
      <c r="AX986" s="13"/>
      <c r="AY986" s="13"/>
      <c r="AZ986" s="6"/>
      <c r="BA986" s="6"/>
      <c r="BB986" s="6"/>
      <c r="BC986" s="6"/>
      <c r="BD986" s="6"/>
      <c r="BE986" s="6"/>
      <c r="BF986" s="6" t="s">
        <v>1781</v>
      </c>
      <c r="BG986" s="13"/>
      <c r="BH986" s="13"/>
      <c r="BI986" s="13"/>
      <c r="BJ986" s="13"/>
      <c r="BK986" s="13"/>
      <c r="BL986" s="13"/>
      <c r="BM986" s="13"/>
      <c r="BN986" s="6"/>
      <c r="BO986" s="6">
        <v>1.0</v>
      </c>
      <c r="BP986" s="13"/>
      <c r="BQ986" s="13"/>
      <c r="BR986" s="6" t="s">
        <v>23</v>
      </c>
    </row>
    <row r="987">
      <c r="A987" s="35">
        <v>135.0</v>
      </c>
      <c r="B987" s="35" t="s">
        <v>1183</v>
      </c>
      <c r="C987" s="53">
        <v>2.0</v>
      </c>
      <c r="D987" s="53" t="s">
        <v>1183</v>
      </c>
      <c r="E987" s="7">
        <v>976.0</v>
      </c>
      <c r="F987" s="53"/>
      <c r="G987" s="6">
        <v>0.0</v>
      </c>
      <c r="H987" s="35">
        <v>1.0</v>
      </c>
      <c r="I987" s="111">
        <v>1.0</v>
      </c>
      <c r="J987" s="35" t="s">
        <v>789</v>
      </c>
      <c r="K987" s="41" t="s">
        <v>5566</v>
      </c>
      <c r="L987" s="41" t="s">
        <v>484</v>
      </c>
      <c r="M987" s="39" t="str">
        <f t="shared" si="1"/>
        <v>[NA Gray-code based (1940)]</v>
      </c>
      <c r="N987" s="107" t="s">
        <v>5601</v>
      </c>
      <c r="O987" s="111">
        <v>1940.0</v>
      </c>
      <c r="P987" s="129" t="s">
        <v>1944</v>
      </c>
      <c r="Q987" s="13"/>
      <c r="R987" s="13"/>
      <c r="S987" s="13"/>
      <c r="T987" s="111">
        <v>0.0</v>
      </c>
      <c r="U987" s="35">
        <v>0.0</v>
      </c>
      <c r="V987" s="89">
        <f>IFERROR(__xludf.DUMMYFUNCTION("INDEX(SPLIT(SUBSTITUTE(W987,CHAR(10), """"),"",:""), MATCH(Z987, SPLIT(SUBSTITUTE(W987,CHAR(10), """"),"",:""), 0) + 1)"),8.0)</f>
        <v>8</v>
      </c>
      <c r="W987" s="102" t="s">
        <v>2001</v>
      </c>
      <c r="X987" s="35" t="s">
        <v>789</v>
      </c>
      <c r="Y987" s="41" t="s">
        <v>5595</v>
      </c>
      <c r="Z987" s="53" t="str">
        <f t="array" ref="Z987">INDEX(Problems!J:J, MATCH(1, (Problems!B:B=B987)*1, 0))</f>
        <v>n</v>
      </c>
      <c r="AA987" s="41"/>
      <c r="AB987" s="41"/>
      <c r="AC987" s="41" t="s">
        <v>1813</v>
      </c>
      <c r="AD987" s="41" t="s">
        <v>2338</v>
      </c>
      <c r="AE987" s="85">
        <f>IFERROR(__xludf.DUMMYFUNCTION("INDEX(SPLIT(SUBSTITUTE(AF987,CHAR(10), """"),"",:""), MATCH(Z987, SPLIT(SUBSTITUTE(AF987,CHAR(10), """"),"",:""), 0) + 1)"),3.0)</f>
        <v>3</v>
      </c>
      <c r="AF987" s="102" t="s">
        <v>1763</v>
      </c>
      <c r="AG987" s="41" t="s">
        <v>35</v>
      </c>
      <c r="AH987" s="41" t="s">
        <v>5602</v>
      </c>
      <c r="AI987" s="108">
        <v>1.0</v>
      </c>
      <c r="AJ987" s="84">
        <v>0.0</v>
      </c>
      <c r="AK987" s="108"/>
      <c r="AL987" s="111">
        <v>0.0</v>
      </c>
      <c r="AM987" s="108"/>
      <c r="AN987" s="111">
        <v>0.0</v>
      </c>
      <c r="AO987" s="104"/>
      <c r="AP987" s="111">
        <v>0.0</v>
      </c>
      <c r="AQ987" s="111">
        <v>0.0</v>
      </c>
      <c r="AR987" s="69"/>
      <c r="AS987" s="111">
        <v>0.0</v>
      </c>
      <c r="AT987" s="111">
        <v>0.0</v>
      </c>
      <c r="AU987" s="106" t="s">
        <v>5597</v>
      </c>
      <c r="AV987" s="13"/>
      <c r="AW987" s="13"/>
      <c r="AX987" s="13"/>
      <c r="AY987" s="13"/>
      <c r="AZ987" s="6"/>
      <c r="BA987" s="6"/>
      <c r="BB987" s="6"/>
      <c r="BC987" s="6"/>
      <c r="BD987" s="6"/>
      <c r="BE987" s="6"/>
      <c r="BF987" s="6" t="s">
        <v>1781</v>
      </c>
      <c r="BG987" s="13"/>
      <c r="BH987" s="13"/>
      <c r="BI987" s="13"/>
      <c r="BJ987" s="13"/>
      <c r="BK987" s="13"/>
      <c r="BL987" s="13"/>
      <c r="BM987" s="13"/>
      <c r="BN987" s="6"/>
      <c r="BO987" s="6">
        <v>1.0</v>
      </c>
      <c r="BP987" s="13"/>
      <c r="BQ987" s="13"/>
      <c r="BR987" s="6" t="s">
        <v>23</v>
      </c>
    </row>
    <row r="988">
      <c r="A988" s="61">
        <v>135.0</v>
      </c>
      <c r="B988" s="61" t="s">
        <v>1183</v>
      </c>
      <c r="C988" s="53">
        <v>0.001</v>
      </c>
      <c r="D988" s="53" t="s">
        <v>1183</v>
      </c>
      <c r="E988" s="7">
        <v>977.0</v>
      </c>
      <c r="F988" s="53"/>
      <c r="G988" s="6">
        <v>0.0</v>
      </c>
      <c r="H988" s="35">
        <v>1.0</v>
      </c>
      <c r="I988" s="111">
        <v>1.0</v>
      </c>
      <c r="J988" s="35" t="s">
        <v>789</v>
      </c>
      <c r="K988" s="41" t="s">
        <v>5566</v>
      </c>
      <c r="L988" s="41" t="s">
        <v>484</v>
      </c>
      <c r="M988" s="39" t="str">
        <f t="shared" si="1"/>
        <v>[https://books.google.com/books/about/Topics_in_Graph_Theory.html?id=pSv3XotPCQgC Hanoi graph (2008)]</v>
      </c>
      <c r="N988" s="107" t="s">
        <v>5603</v>
      </c>
      <c r="O988" s="111">
        <v>2008.0</v>
      </c>
      <c r="P988" s="106" t="s">
        <v>5604</v>
      </c>
      <c r="Q988" s="13"/>
      <c r="R988" s="13"/>
      <c r="S988" s="13"/>
      <c r="T988" s="111">
        <v>0.0</v>
      </c>
      <c r="U988" s="35">
        <v>0.0</v>
      </c>
      <c r="V988" s="89">
        <f>IFERROR(__xludf.DUMMYFUNCTION("INDEX(SPLIT(SUBSTITUTE(W988,CHAR(10), """"),"",:""), MATCH(Z988, SPLIT(SUBSTITUTE(W988,CHAR(10), """"),"",:""), 0) + 1)"),8.0)</f>
        <v>8</v>
      </c>
      <c r="W988" s="102" t="s">
        <v>2001</v>
      </c>
      <c r="X988" s="35" t="s">
        <v>789</v>
      </c>
      <c r="Y988" s="41" t="s">
        <v>5595</v>
      </c>
      <c r="Z988" s="53" t="str">
        <f t="array" ref="Z988">INDEX(Problems!J:J, MATCH(1, (Problems!B:B=B988)*1, 0))</f>
        <v>n</v>
      </c>
      <c r="AA988" s="41"/>
      <c r="AB988" s="41"/>
      <c r="AC988" s="41" t="s">
        <v>1813</v>
      </c>
      <c r="AD988" s="41" t="s">
        <v>2338</v>
      </c>
      <c r="AE988" s="85" t="str">
        <f>IFERROR(__xludf.DUMMYFUNCTION("INDEX(SPLIT(SUBSTITUTE(AF988,CHAR(10), """"),"",:""), MATCH(Z988, SPLIT(SUBSTITUTE(AF988,CHAR(10), """"),"",:""), 0) + 1)"),"#VALUE!")</f>
        <v>#VALUE!</v>
      </c>
      <c r="AF988" s="102"/>
      <c r="AG988" s="41"/>
      <c r="AH988" s="41"/>
      <c r="AI988" s="108"/>
      <c r="AJ988" s="84" t="s">
        <v>2520</v>
      </c>
      <c r="AK988" s="108"/>
      <c r="AL988" s="111">
        <v>0.0</v>
      </c>
      <c r="AM988" s="108"/>
      <c r="AN988" s="111">
        <v>0.0</v>
      </c>
      <c r="AO988" s="104"/>
      <c r="AP988" s="111">
        <v>0.0</v>
      </c>
      <c r="AQ988" s="111">
        <v>0.0</v>
      </c>
      <c r="AR988" s="69"/>
      <c r="AS988" s="111">
        <v>0.0</v>
      </c>
      <c r="AT988" s="111">
        <v>0.0</v>
      </c>
      <c r="AU988" s="69"/>
      <c r="AV988" s="13"/>
      <c r="AW988" s="13"/>
      <c r="AX988" s="13"/>
      <c r="AY988" s="13"/>
      <c r="AZ988" s="6"/>
      <c r="BA988" s="6"/>
      <c r="BB988" s="6"/>
      <c r="BC988" s="6"/>
      <c r="BD988" s="6"/>
      <c r="BE988" s="6"/>
      <c r="BF988" s="6" t="s">
        <v>1781</v>
      </c>
      <c r="BG988" s="13"/>
      <c r="BH988" s="13"/>
      <c r="BI988" s="13"/>
      <c r="BJ988" s="13"/>
      <c r="BK988" s="13"/>
      <c r="BL988" s="13"/>
      <c r="BM988" s="13"/>
      <c r="BN988" s="6"/>
      <c r="BO988" s="6">
        <v>1.0</v>
      </c>
      <c r="BP988" s="13"/>
      <c r="BQ988" s="13"/>
      <c r="BR988" s="6" t="s">
        <v>23</v>
      </c>
    </row>
    <row r="989">
      <c r="A989" s="35">
        <v>136.0</v>
      </c>
      <c r="B989" s="35" t="s">
        <v>1187</v>
      </c>
      <c r="C989" s="53">
        <v>2.0</v>
      </c>
      <c r="D989" s="53" t="s">
        <v>1187</v>
      </c>
      <c r="E989" s="7">
        <v>978.0</v>
      </c>
      <c r="F989" s="53"/>
      <c r="G989" s="6"/>
      <c r="H989" s="35">
        <v>1.0</v>
      </c>
      <c r="I989" s="111">
        <v>1.0</v>
      </c>
      <c r="J989" s="35" t="s">
        <v>35</v>
      </c>
      <c r="K989" s="41" t="s">
        <v>5605</v>
      </c>
      <c r="L989" s="41" t="s">
        <v>5606</v>
      </c>
      <c r="M989" s="39" t="str">
        <f t="shared" si="1"/>
        <v>[ Naive solution (1940)]</v>
      </c>
      <c r="N989" s="107" t="s">
        <v>4327</v>
      </c>
      <c r="O989" s="111">
        <v>1940.0</v>
      </c>
      <c r="P989" s="128"/>
      <c r="Q989" s="6">
        <v>2.0</v>
      </c>
      <c r="R989" s="6">
        <v>1.0</v>
      </c>
      <c r="S989" s="18" t="s">
        <v>1192</v>
      </c>
      <c r="T989" s="111">
        <v>1.0</v>
      </c>
      <c r="U989" s="35">
        <v>0.0</v>
      </c>
      <c r="V989" s="89">
        <f>IFERROR(__xludf.DUMMYFUNCTION("INDEX(SPLIT(SUBSTITUTE(W989,CHAR(10), """"),"",:""), MATCH(Z989, SPLIT(SUBSTITUTE(W989,CHAR(10), """"),"",:""), 0) + 1)"),3.0)</f>
        <v>3</v>
      </c>
      <c r="W989" s="102" t="s">
        <v>1763</v>
      </c>
      <c r="X989" s="35" t="s">
        <v>35</v>
      </c>
      <c r="Y989" s="41" t="s">
        <v>5607</v>
      </c>
      <c r="Z989" s="53" t="str">
        <f t="array" ref="Z989">INDEX(Problems!J:J, MATCH(1, (Problems!B:B=B989)*1, 0))</f>
        <v>n</v>
      </c>
      <c r="AA989" s="41"/>
      <c r="AB989" s="41"/>
      <c r="AC989" s="41" t="s">
        <v>1813</v>
      </c>
      <c r="AD989" s="41" t="s">
        <v>1814</v>
      </c>
      <c r="AE989" s="85">
        <f>IFERROR(__xludf.DUMMYFUNCTION("INDEX(SPLIT(SUBSTITUTE(AF989,CHAR(10), """"),"",:""), MATCH(Z989, SPLIT(SUBSTITUTE(AF989,CHAR(10), """"),"",:""), 0) + 1)"),3.0)</f>
        <v>3</v>
      </c>
      <c r="AF989" s="102" t="s">
        <v>1763</v>
      </c>
      <c r="AG989" s="41" t="s">
        <v>5608</v>
      </c>
      <c r="AH989" s="41" t="s">
        <v>5609</v>
      </c>
      <c r="AI989" s="108">
        <v>1.0</v>
      </c>
      <c r="AJ989" s="84">
        <v>0.0</v>
      </c>
      <c r="AK989" s="108"/>
      <c r="AL989" s="111">
        <v>0.0</v>
      </c>
      <c r="AM989" s="108"/>
      <c r="AN989" s="111">
        <v>0.0</v>
      </c>
      <c r="AO989" s="104"/>
      <c r="AP989" s="111">
        <v>0.0</v>
      </c>
      <c r="AQ989" s="111">
        <v>0.0</v>
      </c>
      <c r="AR989" s="69"/>
      <c r="AS989" s="111">
        <v>0.0</v>
      </c>
      <c r="AT989" s="111">
        <v>0.0</v>
      </c>
      <c r="AU989" s="69"/>
      <c r="AV989" s="13"/>
      <c r="AW989" s="13"/>
      <c r="AX989" s="13"/>
      <c r="AY989" s="6"/>
      <c r="AZ989" s="6"/>
      <c r="BA989" s="6"/>
      <c r="BB989" s="6"/>
      <c r="BC989" s="6"/>
      <c r="BD989" s="6"/>
      <c r="BE989" s="6"/>
      <c r="BF989" s="6">
        <v>1000.0</v>
      </c>
      <c r="BG989" s="6">
        <v>1.0</v>
      </c>
      <c r="BH989" s="6"/>
      <c r="BI989" s="6">
        <v>1000000.0</v>
      </c>
      <c r="BJ989" s="6">
        <v>1.0</v>
      </c>
      <c r="BK989" s="6"/>
      <c r="BL989" s="6">
        <v>1.0E9</v>
      </c>
      <c r="BM989" s="6">
        <v>1.0</v>
      </c>
      <c r="BN989" s="6"/>
      <c r="BO989" s="6">
        <v>6.0</v>
      </c>
      <c r="BP989" s="13"/>
      <c r="BQ989" s="13"/>
      <c r="BR989" s="6" t="s">
        <v>979</v>
      </c>
    </row>
    <row r="990">
      <c r="A990" s="61">
        <v>136.0</v>
      </c>
      <c r="B990" s="61" t="s">
        <v>1187</v>
      </c>
      <c r="C990" s="53">
        <v>1.0</v>
      </c>
      <c r="D990" s="53" t="s">
        <v>1187</v>
      </c>
      <c r="E990" s="7">
        <v>1984.0</v>
      </c>
      <c r="F990" s="53"/>
      <c r="G990" s="6"/>
      <c r="H990" s="35">
        <v>1.0</v>
      </c>
      <c r="I990" s="111">
        <v>1.0</v>
      </c>
      <c r="J990" s="35" t="s">
        <v>35</v>
      </c>
      <c r="K990" s="41" t="s">
        <v>5605</v>
      </c>
      <c r="L990" s="41" t="s">
        <v>5606</v>
      </c>
      <c r="M990" s="39" t="str">
        <f t="shared" si="1"/>
        <v>[ Rabin Karp (1987)]</v>
      </c>
      <c r="N990" s="107" t="s">
        <v>5610</v>
      </c>
      <c r="O990" s="111">
        <v>1987.0</v>
      </c>
      <c r="P990" s="128"/>
      <c r="Q990" s="6"/>
      <c r="R990" s="6"/>
      <c r="S990" s="6"/>
      <c r="T990" s="111">
        <v>0.0</v>
      </c>
      <c r="U990" s="35">
        <v>0.0</v>
      </c>
      <c r="V990" s="89">
        <f>IFERROR(__xludf.DUMMYFUNCTION("INDEX(SPLIT(SUBSTITUTE(W990,CHAR(10), """"),"",:""), MATCH(Z990, SPLIT(SUBSTITUTE(W990,CHAR(10), """"),"",:""), 0) + 1)"),3.0)</f>
        <v>3</v>
      </c>
      <c r="W990" s="102" t="s">
        <v>1763</v>
      </c>
      <c r="X990" s="35" t="s">
        <v>35</v>
      </c>
      <c r="Y990" s="41" t="s">
        <v>5607</v>
      </c>
      <c r="Z990" s="53" t="str">
        <f t="array" ref="Z990">INDEX(Problems!J:J, MATCH(1, (Problems!B:B=B990)*1, 0))</f>
        <v>n</v>
      </c>
      <c r="AA990" s="41"/>
      <c r="AB990" s="41"/>
      <c r="AC990" s="41" t="s">
        <v>1813</v>
      </c>
      <c r="AD990" s="41" t="s">
        <v>1814</v>
      </c>
      <c r="AE990" s="85">
        <f>IFERROR(__xludf.DUMMYFUNCTION("INDEX(SPLIT(SUBSTITUTE(AF990,CHAR(10), """"),"",:""), MATCH(Z990, SPLIT(SUBSTITUTE(AF990,CHAR(10), """"),"",:""), 0) + 1)"),3.0)</f>
        <v>3</v>
      </c>
      <c r="AF990" s="102" t="s">
        <v>1763</v>
      </c>
      <c r="AG990" s="41" t="s">
        <v>5611</v>
      </c>
      <c r="AH990" s="41" t="s">
        <v>5609</v>
      </c>
      <c r="AI990" s="108">
        <v>1.0</v>
      </c>
      <c r="AJ990" s="84">
        <v>0.0</v>
      </c>
      <c r="AK990" s="108"/>
      <c r="AL990" s="111">
        <v>0.0</v>
      </c>
      <c r="AM990" s="108"/>
      <c r="AN990" s="111">
        <v>0.0</v>
      </c>
      <c r="AO990" s="104"/>
      <c r="AP990" s="111">
        <v>0.0</v>
      </c>
      <c r="AQ990" s="111">
        <v>0.0</v>
      </c>
      <c r="AR990" s="69"/>
      <c r="AS990" s="111">
        <v>0.0</v>
      </c>
      <c r="AT990" s="111">
        <v>0.0</v>
      </c>
      <c r="AU990" s="69"/>
      <c r="AV990" s="13"/>
      <c r="AW990" s="13"/>
      <c r="AX990" s="13"/>
      <c r="AY990" s="6"/>
      <c r="AZ990" s="6"/>
      <c r="BA990" s="6"/>
      <c r="BB990" s="6"/>
      <c r="BC990" s="6"/>
      <c r="BD990" s="6"/>
      <c r="BE990" s="6"/>
      <c r="BF990" s="6">
        <v>1000.0</v>
      </c>
      <c r="BG990" s="6">
        <v>1.0</v>
      </c>
      <c r="BH990" s="6"/>
      <c r="BI990" s="6">
        <v>1000000.0</v>
      </c>
      <c r="BJ990" s="6">
        <v>1.0</v>
      </c>
      <c r="BK990" s="6"/>
      <c r="BL990" s="6">
        <v>1.0E9</v>
      </c>
      <c r="BM990" s="6">
        <v>1.0</v>
      </c>
      <c r="BN990" s="6"/>
      <c r="BO990" s="6">
        <v>6.0</v>
      </c>
      <c r="BP990" s="13"/>
      <c r="BQ990" s="13"/>
      <c r="BR990" s="6" t="s">
        <v>979</v>
      </c>
    </row>
    <row r="991">
      <c r="A991" s="35">
        <v>137.0</v>
      </c>
      <c r="B991" s="35" t="s">
        <v>1193</v>
      </c>
      <c r="C991" s="53">
        <v>0.001</v>
      </c>
      <c r="D991" s="53"/>
      <c r="E991" s="7">
        <v>979.0</v>
      </c>
      <c r="F991" s="53"/>
      <c r="G991" s="6">
        <v>0.0</v>
      </c>
      <c r="H991" s="35">
        <v>1.0</v>
      </c>
      <c r="I991" s="111">
        <v>1.0</v>
      </c>
      <c r="J991" s="35" t="s">
        <v>789</v>
      </c>
      <c r="K991" s="99"/>
      <c r="L991" s="99"/>
      <c r="M991" s="39" t="str">
        <f t="shared" si="1"/>
        <v>[ Naive Implementation (1800)]</v>
      </c>
      <c r="N991" s="107" t="s">
        <v>2189</v>
      </c>
      <c r="O991" s="111">
        <v>1800.0</v>
      </c>
      <c r="P991" s="128"/>
      <c r="Q991" s="13"/>
      <c r="R991" s="13"/>
      <c r="S991" s="13"/>
      <c r="T991" s="111">
        <v>1.0</v>
      </c>
      <c r="U991" s="35">
        <v>0.0</v>
      </c>
      <c r="V991" s="89">
        <f>IFERROR(__xludf.DUMMYFUNCTION("INDEX(SPLIT(SUBSTITUTE(W991,CHAR(10), """"),"",:""), MATCH(Z991, SPLIT(SUBSTITUTE(W991,CHAR(10), """"),"",:""), 0) + 1)"),8.0)</f>
        <v>8</v>
      </c>
      <c r="W991" s="102" t="s">
        <v>2001</v>
      </c>
      <c r="X991" s="35" t="s">
        <v>789</v>
      </c>
      <c r="Y991" s="41"/>
      <c r="Z991" s="53" t="str">
        <f t="array" ref="Z991">INDEX(Problems!J:J, MATCH(1, (Problems!B:B=B991)*1, 0))</f>
        <v>n</v>
      </c>
      <c r="AA991" s="41"/>
      <c r="AB991" s="41"/>
      <c r="AC991" s="41"/>
      <c r="AD991" s="41"/>
      <c r="AE991" s="85" t="str">
        <f>IFERROR(__xludf.DUMMYFUNCTION("INDEX(SPLIT(SUBSTITUTE(AF991,CHAR(10), """"),"",:""), MATCH(Z991, SPLIT(SUBSTITUTE(AF991,CHAR(10), """"),"",:""), 0) + 1)"),"#VALUE!")</f>
        <v>#VALUE!</v>
      </c>
      <c r="AF991" s="102"/>
      <c r="AG991" s="41"/>
      <c r="AH991" s="41"/>
      <c r="AI991" s="108"/>
      <c r="AJ991" s="84" t="s">
        <v>2520</v>
      </c>
      <c r="AK991" s="108"/>
      <c r="AL991" s="111">
        <v>0.0</v>
      </c>
      <c r="AM991" s="108"/>
      <c r="AN991" s="111">
        <v>0.0</v>
      </c>
      <c r="AO991" s="104"/>
      <c r="AP991" s="111">
        <v>0.0</v>
      </c>
      <c r="AQ991" s="111">
        <v>0.0</v>
      </c>
      <c r="AR991" s="69"/>
      <c r="AS991" s="111">
        <v>0.0</v>
      </c>
      <c r="AT991" s="111">
        <v>0.0</v>
      </c>
      <c r="AU991" s="112" t="s">
        <v>5612</v>
      </c>
      <c r="AV991" s="13"/>
      <c r="AW991" s="13"/>
      <c r="AX991" s="13"/>
      <c r="AY991" s="13"/>
      <c r="AZ991" s="6"/>
      <c r="BA991" s="6"/>
      <c r="BB991" s="6"/>
      <c r="BC991" s="6"/>
      <c r="BD991" s="6"/>
      <c r="BE991" s="6"/>
      <c r="BF991" s="6" t="s">
        <v>1781</v>
      </c>
      <c r="BG991" s="6">
        <v>1.0</v>
      </c>
      <c r="BH991" s="6"/>
      <c r="BI991" s="6" t="s">
        <v>1781</v>
      </c>
      <c r="BJ991" s="6">
        <v>1.0</v>
      </c>
      <c r="BK991" s="6"/>
      <c r="BL991" s="6" t="s">
        <v>1781</v>
      </c>
      <c r="BM991" s="6">
        <v>1.0</v>
      </c>
      <c r="BN991" s="6"/>
      <c r="BO991" s="6">
        <v>1.0</v>
      </c>
      <c r="BP991" s="13"/>
      <c r="BQ991" s="13"/>
      <c r="BR991" s="6" t="s">
        <v>144</v>
      </c>
    </row>
    <row r="992">
      <c r="A992" s="35">
        <v>138.0</v>
      </c>
      <c r="B992" s="35" t="s">
        <v>1199</v>
      </c>
      <c r="C992" s="53">
        <v>1.0</v>
      </c>
      <c r="D992" s="53" t="s">
        <v>1204</v>
      </c>
      <c r="E992" s="7">
        <v>980.0</v>
      </c>
      <c r="F992" s="53"/>
      <c r="G992" s="35">
        <v>0.0</v>
      </c>
      <c r="H992" s="35">
        <v>0.0</v>
      </c>
      <c r="I992" s="111">
        <v>1.0</v>
      </c>
      <c r="J992" s="50" t="s">
        <v>35</v>
      </c>
      <c r="K992" s="41" t="s">
        <v>5605</v>
      </c>
      <c r="L992" s="41" t="s">
        <v>5606</v>
      </c>
      <c r="M992" s="39" t="str">
        <f t="shared" si="1"/>
        <v>[ MD5 (1991)]</v>
      </c>
      <c r="N992" s="107" t="s">
        <v>5613</v>
      </c>
      <c r="O992" s="111">
        <v>1991.0</v>
      </c>
      <c r="P992" s="128"/>
      <c r="Q992" s="13"/>
      <c r="R992" s="13"/>
      <c r="S992" s="13"/>
      <c r="T992" s="111">
        <v>1.0</v>
      </c>
      <c r="U992" s="35">
        <v>0.0</v>
      </c>
      <c r="V992" s="89">
        <f>IFERROR(__xludf.DUMMYFUNCTION("INDEX(SPLIT(SUBSTITUTE(W992,CHAR(10), """"),"",:""), MATCH(Z992, SPLIT(SUBSTITUTE(W992,CHAR(10), """"),"",:""), 0) + 1)"),3.0)</f>
        <v>3</v>
      </c>
      <c r="W992" s="101" t="s">
        <v>1763</v>
      </c>
      <c r="X992" s="50" t="s">
        <v>35</v>
      </c>
      <c r="Y992" s="41" t="s">
        <v>4900</v>
      </c>
      <c r="Z992" s="53" t="str">
        <f t="array" ref="Z992">INDEX(Problems!J:J, MATCH(1, (Problems!B:B=B992)*1, 0))</f>
        <v>n</v>
      </c>
      <c r="AA992" s="41"/>
      <c r="AB992" s="41"/>
      <c r="AC992" s="41" t="s">
        <v>1813</v>
      </c>
      <c r="AD992" s="41" t="s">
        <v>2338</v>
      </c>
      <c r="AE992" s="85">
        <f>IFERROR(__xludf.DUMMYFUNCTION("INDEX(SPLIT(SUBSTITUTE(AF992,CHAR(10), """"),"",:""), MATCH(Z992, SPLIT(SUBSTITUTE(AF992,CHAR(10), """"),"",:""), 0) + 1)"),1.0)</f>
        <v>1</v>
      </c>
      <c r="AF992" s="102" t="s">
        <v>1774</v>
      </c>
      <c r="AG992" s="41" t="s">
        <v>3310</v>
      </c>
      <c r="AH992" s="41" t="s">
        <v>5614</v>
      </c>
      <c r="AI992" s="108">
        <v>1.0</v>
      </c>
      <c r="AJ992" s="84">
        <v>0.0</v>
      </c>
      <c r="AK992" s="108"/>
      <c r="AL992" s="111">
        <v>0.0</v>
      </c>
      <c r="AM992" s="108"/>
      <c r="AN992" s="111">
        <v>0.0</v>
      </c>
      <c r="AO992" s="101"/>
      <c r="AP992" s="111">
        <v>0.0</v>
      </c>
      <c r="AQ992" s="111">
        <v>0.0</v>
      </c>
      <c r="AR992" s="69"/>
      <c r="AS992" s="111">
        <v>0.0</v>
      </c>
      <c r="AT992" s="111">
        <v>0.0</v>
      </c>
      <c r="AU992" s="69"/>
      <c r="AV992" s="13"/>
      <c r="AW992" s="13"/>
      <c r="AX992" s="13"/>
      <c r="AY992" s="13"/>
      <c r="AZ992" s="6"/>
      <c r="BA992" s="6"/>
      <c r="BB992" s="6"/>
      <c r="BC992" s="6"/>
      <c r="BD992" s="6"/>
      <c r="BE992" s="6"/>
      <c r="BF992" s="6">
        <v>1000.0</v>
      </c>
      <c r="BG992" s="13"/>
      <c r="BH992" s="13"/>
      <c r="BI992" s="13"/>
      <c r="BJ992" s="13"/>
      <c r="BK992" s="13"/>
      <c r="BL992" s="13"/>
      <c r="BM992" s="13"/>
      <c r="BN992" s="6"/>
      <c r="BO992" s="6">
        <v>6.0</v>
      </c>
      <c r="BP992" s="13"/>
      <c r="BQ992" s="13"/>
      <c r="BR992" s="6" t="s">
        <v>485</v>
      </c>
    </row>
    <row r="993">
      <c r="A993" s="35">
        <v>138.0</v>
      </c>
      <c r="B993" s="35" t="s">
        <v>1199</v>
      </c>
      <c r="C993" s="53">
        <v>1.0</v>
      </c>
      <c r="D993" s="53" t="s">
        <v>1204</v>
      </c>
      <c r="E993" s="7">
        <v>981.0</v>
      </c>
      <c r="F993" s="53"/>
      <c r="G993" s="35">
        <v>0.0</v>
      </c>
      <c r="H993" s="35">
        <v>0.0</v>
      </c>
      <c r="I993" s="111">
        <v>1.0</v>
      </c>
      <c r="J993" s="50" t="s">
        <v>35</v>
      </c>
      <c r="K993" s="41" t="s">
        <v>5605</v>
      </c>
      <c r="L993" s="41" t="s">
        <v>5606</v>
      </c>
      <c r="M993" s="39" t="str">
        <f t="shared" si="1"/>
        <v>[ SHA-1 (1993)]</v>
      </c>
      <c r="N993" s="107" t="s">
        <v>5615</v>
      </c>
      <c r="O993" s="111">
        <v>1993.0</v>
      </c>
      <c r="P993" s="128"/>
      <c r="Q993" s="13"/>
      <c r="R993" s="13"/>
      <c r="S993" s="13"/>
      <c r="T993" s="111">
        <v>0.0</v>
      </c>
      <c r="U993" s="35">
        <v>0.0</v>
      </c>
      <c r="V993" s="89">
        <f>IFERROR(__xludf.DUMMYFUNCTION("INDEX(SPLIT(SUBSTITUTE(W993,CHAR(10), """"),"",:""), MATCH(Z993, SPLIT(SUBSTITUTE(W993,CHAR(10), """"),"",:""), 0) + 1)"),3.0)</f>
        <v>3</v>
      </c>
      <c r="W993" s="101" t="s">
        <v>1763</v>
      </c>
      <c r="X993" s="50" t="s">
        <v>35</v>
      </c>
      <c r="Y993" s="41" t="s">
        <v>4900</v>
      </c>
      <c r="Z993" s="53" t="str">
        <f t="array" ref="Z993">INDEX(Problems!J:J, MATCH(1, (Problems!B:B=B993)*1, 0))</f>
        <v>n</v>
      </c>
      <c r="AA993" s="41"/>
      <c r="AB993" s="41"/>
      <c r="AC993" s="41" t="s">
        <v>1813</v>
      </c>
      <c r="AD993" s="41" t="s">
        <v>2338</v>
      </c>
      <c r="AE993" s="85">
        <f>IFERROR(__xludf.DUMMYFUNCTION("INDEX(SPLIT(SUBSTITUTE(AF993,CHAR(10), """"),"",:""), MATCH(Z993, SPLIT(SUBSTITUTE(AF993,CHAR(10), """"),"",:""), 0) + 1)"),1.0)</f>
        <v>1</v>
      </c>
      <c r="AF993" s="102" t="s">
        <v>1774</v>
      </c>
      <c r="AG993" s="41" t="s">
        <v>3310</v>
      </c>
      <c r="AH993" s="41" t="s">
        <v>5616</v>
      </c>
      <c r="AI993" s="108">
        <v>1.0</v>
      </c>
      <c r="AJ993" s="84">
        <v>0.0</v>
      </c>
      <c r="AK993" s="108"/>
      <c r="AL993" s="111">
        <v>0.0</v>
      </c>
      <c r="AM993" s="108"/>
      <c r="AN993" s="111">
        <v>0.0</v>
      </c>
      <c r="AO993" s="101"/>
      <c r="AP993" s="111">
        <v>0.0</v>
      </c>
      <c r="AQ993" s="111">
        <v>0.0</v>
      </c>
      <c r="AR993" s="69"/>
      <c r="AS993" s="111">
        <v>0.0</v>
      </c>
      <c r="AT993" s="111">
        <v>0.0</v>
      </c>
      <c r="AU993" s="69"/>
      <c r="AV993" s="13"/>
      <c r="AW993" s="13"/>
      <c r="AX993" s="13"/>
      <c r="AY993" s="13"/>
      <c r="AZ993" s="6"/>
      <c r="BA993" s="6"/>
      <c r="BB993" s="6"/>
      <c r="BC993" s="6"/>
      <c r="BD993" s="6"/>
      <c r="BE993" s="6"/>
      <c r="BF993" s="6">
        <v>1000.0</v>
      </c>
      <c r="BG993" s="13"/>
      <c r="BH993" s="13"/>
      <c r="BI993" s="13"/>
      <c r="BJ993" s="13"/>
      <c r="BK993" s="13"/>
      <c r="BL993" s="13"/>
      <c r="BM993" s="13"/>
      <c r="BN993" s="6"/>
      <c r="BO993" s="6">
        <v>6.0</v>
      </c>
      <c r="BP993" s="13"/>
      <c r="BQ993" s="13"/>
      <c r="BR993" s="6" t="s">
        <v>485</v>
      </c>
    </row>
    <row r="994">
      <c r="A994" s="35">
        <v>138.0</v>
      </c>
      <c r="B994" s="35" t="s">
        <v>1199</v>
      </c>
      <c r="C994" s="53">
        <v>1.0</v>
      </c>
      <c r="D994" s="53" t="s">
        <v>1204</v>
      </c>
      <c r="E994" s="7">
        <v>982.0</v>
      </c>
      <c r="F994" s="53"/>
      <c r="G994" s="35">
        <v>0.0</v>
      </c>
      <c r="H994" s="35">
        <v>0.0</v>
      </c>
      <c r="I994" s="111">
        <v>1.0</v>
      </c>
      <c r="J994" s="50" t="s">
        <v>35</v>
      </c>
      <c r="K994" s="41" t="s">
        <v>5605</v>
      </c>
      <c r="L994" s="41" t="s">
        <v>5606</v>
      </c>
      <c r="M994" s="39" t="str">
        <f t="shared" si="1"/>
        <v>[ RIPEMD-160 (1996)]</v>
      </c>
      <c r="N994" s="107" t="s">
        <v>5617</v>
      </c>
      <c r="O994" s="111">
        <v>1996.0</v>
      </c>
      <c r="P994" s="128"/>
      <c r="Q994" s="13"/>
      <c r="R994" s="13"/>
      <c r="S994" s="13"/>
      <c r="T994" s="111">
        <v>0.0</v>
      </c>
      <c r="U994" s="35">
        <v>0.0</v>
      </c>
      <c r="V994" s="89">
        <f>IFERROR(__xludf.DUMMYFUNCTION("INDEX(SPLIT(SUBSTITUTE(W994,CHAR(10), """"),"",:""), MATCH(Z994, SPLIT(SUBSTITUTE(W994,CHAR(10), """"),"",:""), 0) + 1)"),3.0)</f>
        <v>3</v>
      </c>
      <c r="W994" s="101" t="s">
        <v>1763</v>
      </c>
      <c r="X994" s="50" t="s">
        <v>35</v>
      </c>
      <c r="Y994" s="41" t="s">
        <v>4900</v>
      </c>
      <c r="Z994" s="53" t="str">
        <f t="array" ref="Z994">INDEX(Problems!J:J, MATCH(1, (Problems!B:B=B994)*1, 0))</f>
        <v>n</v>
      </c>
      <c r="AA994" s="41"/>
      <c r="AB994" s="41"/>
      <c r="AC994" s="41" t="s">
        <v>1813</v>
      </c>
      <c r="AD994" s="41" t="s">
        <v>2338</v>
      </c>
      <c r="AE994" s="85">
        <f>IFERROR(__xludf.DUMMYFUNCTION("INDEX(SPLIT(SUBSTITUTE(AF994,CHAR(10), """"),"",:""), MATCH(Z994, SPLIT(SUBSTITUTE(AF994,CHAR(10), """"),"",:""), 0) + 1)"),1.0)</f>
        <v>1</v>
      </c>
      <c r="AF994" s="102" t="s">
        <v>1774</v>
      </c>
      <c r="AG994" s="41" t="s">
        <v>3310</v>
      </c>
      <c r="AH994" s="41" t="s">
        <v>5618</v>
      </c>
      <c r="AI994" s="108">
        <v>1.0</v>
      </c>
      <c r="AJ994" s="84">
        <v>0.0</v>
      </c>
      <c r="AK994" s="108"/>
      <c r="AL994" s="111">
        <v>0.0</v>
      </c>
      <c r="AM994" s="108"/>
      <c r="AN994" s="111">
        <v>0.0</v>
      </c>
      <c r="AO994" s="101"/>
      <c r="AP994" s="111">
        <v>0.0</v>
      </c>
      <c r="AQ994" s="111">
        <v>0.0</v>
      </c>
      <c r="AR994" s="69"/>
      <c r="AS994" s="111">
        <v>0.0</v>
      </c>
      <c r="AT994" s="111">
        <v>0.0</v>
      </c>
      <c r="AU994" s="69"/>
      <c r="AV994" s="13"/>
      <c r="AW994" s="13"/>
      <c r="AX994" s="13"/>
      <c r="AY994" s="13"/>
      <c r="AZ994" s="6"/>
      <c r="BA994" s="6"/>
      <c r="BB994" s="6"/>
      <c r="BC994" s="6"/>
      <c r="BD994" s="6"/>
      <c r="BE994" s="6"/>
      <c r="BF994" s="6">
        <v>1000.0</v>
      </c>
      <c r="BG994" s="13"/>
      <c r="BH994" s="13"/>
      <c r="BI994" s="13"/>
      <c r="BJ994" s="13"/>
      <c r="BK994" s="13"/>
      <c r="BL994" s="13"/>
      <c r="BM994" s="13"/>
      <c r="BN994" s="6"/>
      <c r="BO994" s="6">
        <v>6.0</v>
      </c>
      <c r="BP994" s="13"/>
      <c r="BQ994" s="13"/>
      <c r="BR994" s="6" t="s">
        <v>485</v>
      </c>
    </row>
    <row r="995">
      <c r="A995" s="35">
        <v>138.0</v>
      </c>
      <c r="B995" s="35" t="s">
        <v>1199</v>
      </c>
      <c r="C995" s="53">
        <v>1.0</v>
      </c>
      <c r="D995" s="53" t="s">
        <v>1204</v>
      </c>
      <c r="E995" s="7">
        <v>983.0</v>
      </c>
      <c r="F995" s="53"/>
      <c r="G995" s="35">
        <v>0.0</v>
      </c>
      <c r="H995" s="35">
        <v>0.0</v>
      </c>
      <c r="I995" s="111">
        <v>1.0</v>
      </c>
      <c r="J995" s="50" t="s">
        <v>35</v>
      </c>
      <c r="K995" s="41" t="s">
        <v>5605</v>
      </c>
      <c r="L995" s="41" t="s">
        <v>5606</v>
      </c>
      <c r="M995" s="39" t="str">
        <f t="shared" si="1"/>
        <v>[ bcrypt (1999)]</v>
      </c>
      <c r="N995" s="107" t="s">
        <v>5619</v>
      </c>
      <c r="O995" s="111">
        <v>1999.0</v>
      </c>
      <c r="P995" s="128"/>
      <c r="Q995" s="13"/>
      <c r="R995" s="13"/>
      <c r="S995" s="13"/>
      <c r="T995" s="111">
        <v>0.0</v>
      </c>
      <c r="U995" s="35">
        <v>0.0</v>
      </c>
      <c r="V995" s="89">
        <f>IFERROR(__xludf.DUMMYFUNCTION("INDEX(SPLIT(SUBSTITUTE(W995,CHAR(10), """"),"",:""), MATCH(Z995, SPLIT(SUBSTITUTE(W995,CHAR(10), """"),"",:""), 0) + 1)"),3.0)</f>
        <v>3</v>
      </c>
      <c r="W995" s="101" t="s">
        <v>1763</v>
      </c>
      <c r="X995" s="50" t="s">
        <v>35</v>
      </c>
      <c r="Y995" s="41" t="s">
        <v>4900</v>
      </c>
      <c r="Z995" s="53" t="str">
        <f t="array" ref="Z995">INDEX(Problems!J:J, MATCH(1, (Problems!B:B=B995)*1, 0))</f>
        <v>n</v>
      </c>
      <c r="AA995" s="41"/>
      <c r="AB995" s="41"/>
      <c r="AC995" s="41" t="s">
        <v>1813</v>
      </c>
      <c r="AD995" s="41" t="s">
        <v>2338</v>
      </c>
      <c r="AE995" s="85">
        <f>IFERROR(__xludf.DUMMYFUNCTION("INDEX(SPLIT(SUBSTITUTE(AF995,CHAR(10), """"),"",:""), MATCH(Z995, SPLIT(SUBSTITUTE(AF995,CHAR(10), """"),"",:""), 0) + 1)"),1.0)</f>
        <v>1</v>
      </c>
      <c r="AF995" s="102" t="s">
        <v>1774</v>
      </c>
      <c r="AG995" s="41" t="s">
        <v>3305</v>
      </c>
      <c r="AH995" s="41" t="s">
        <v>5620</v>
      </c>
      <c r="AI995" s="108">
        <v>1.0</v>
      </c>
      <c r="AJ995" s="84">
        <v>0.0</v>
      </c>
      <c r="AK995" s="108"/>
      <c r="AL995" s="111">
        <v>0.0</v>
      </c>
      <c r="AM995" s="108"/>
      <c r="AN995" s="111">
        <v>0.0</v>
      </c>
      <c r="AO995" s="101"/>
      <c r="AP995" s="111">
        <v>0.0</v>
      </c>
      <c r="AQ995" s="111">
        <v>0.0</v>
      </c>
      <c r="AR995" s="69"/>
      <c r="AS995" s="111">
        <v>0.0</v>
      </c>
      <c r="AT995" s="111">
        <v>0.0</v>
      </c>
      <c r="AU995" s="69"/>
      <c r="AV995" s="13"/>
      <c r="AW995" s="13"/>
      <c r="AX995" s="13"/>
      <c r="AY995" s="13"/>
      <c r="AZ995" s="6"/>
      <c r="BA995" s="6"/>
      <c r="BB995" s="6"/>
      <c r="BC995" s="6"/>
      <c r="BD995" s="6"/>
      <c r="BE995" s="6"/>
      <c r="BF995" s="6">
        <v>1000.0</v>
      </c>
      <c r="BG995" s="13"/>
      <c r="BH995" s="13"/>
      <c r="BI995" s="13"/>
      <c r="BJ995" s="13"/>
      <c r="BK995" s="13"/>
      <c r="BL995" s="13"/>
      <c r="BM995" s="13"/>
      <c r="BN995" s="6"/>
      <c r="BO995" s="6">
        <v>6.0</v>
      </c>
      <c r="BP995" s="13"/>
      <c r="BQ995" s="13"/>
      <c r="BR995" s="6" t="s">
        <v>485</v>
      </c>
    </row>
    <row r="996">
      <c r="A996" s="35">
        <v>138.0</v>
      </c>
      <c r="B996" s="35" t="s">
        <v>1199</v>
      </c>
      <c r="C996" s="53">
        <v>1.0</v>
      </c>
      <c r="D996" s="53"/>
      <c r="E996" s="7">
        <v>984.0</v>
      </c>
      <c r="F996" s="53"/>
      <c r="G996" s="35">
        <v>0.0</v>
      </c>
      <c r="H996" s="35">
        <v>0.0</v>
      </c>
      <c r="I996" s="111">
        <v>1.0</v>
      </c>
      <c r="J996" s="50" t="s">
        <v>35</v>
      </c>
      <c r="K996" s="41" t="s">
        <v>5605</v>
      </c>
      <c r="L996" s="41" t="s">
        <v>5606</v>
      </c>
      <c r="M996" s="39" t="str">
        <f t="shared" si="1"/>
        <v>[ Whirlpool (2000)]</v>
      </c>
      <c r="N996" s="107" t="s">
        <v>5621</v>
      </c>
      <c r="O996" s="111">
        <v>2000.0</v>
      </c>
      <c r="P996" s="128"/>
      <c r="Q996" s="13"/>
      <c r="R996" s="13"/>
      <c r="S996" s="13"/>
      <c r="T996" s="111">
        <v>0.0</v>
      </c>
      <c r="U996" s="35">
        <v>0.0</v>
      </c>
      <c r="V996" s="89">
        <f>IFERROR(__xludf.DUMMYFUNCTION("INDEX(SPLIT(SUBSTITUTE(W996,CHAR(10), """"),"",:""), MATCH(Z996, SPLIT(SUBSTITUTE(W996,CHAR(10), """"),"",:""), 0) + 1)"),3.0)</f>
        <v>3</v>
      </c>
      <c r="W996" s="101" t="s">
        <v>1763</v>
      </c>
      <c r="X996" s="50" t="s">
        <v>35</v>
      </c>
      <c r="Y996" s="41" t="s">
        <v>4900</v>
      </c>
      <c r="Z996" s="53" t="str">
        <f t="array" ref="Z996">INDEX(Problems!J:J, MATCH(1, (Problems!B:B=B996)*1, 0))</f>
        <v>n</v>
      </c>
      <c r="AA996" s="41"/>
      <c r="AB996" s="41"/>
      <c r="AC996" s="41" t="s">
        <v>1813</v>
      </c>
      <c r="AD996" s="41" t="s">
        <v>2338</v>
      </c>
      <c r="AE996" s="85">
        <f>IFERROR(__xludf.DUMMYFUNCTION("INDEX(SPLIT(SUBSTITUTE(AF996,CHAR(10), """"),"",:""), MATCH(Z996, SPLIT(SUBSTITUTE(AF996,CHAR(10), """"),"",:""), 0) + 1)"),1.0)</f>
        <v>1</v>
      </c>
      <c r="AF996" s="102" t="s">
        <v>1774</v>
      </c>
      <c r="AG996" s="41" t="s">
        <v>3310</v>
      </c>
      <c r="AH996" s="41" t="s">
        <v>5616</v>
      </c>
      <c r="AI996" s="108">
        <v>1.0</v>
      </c>
      <c r="AJ996" s="84">
        <v>0.0</v>
      </c>
      <c r="AK996" s="108"/>
      <c r="AL996" s="111">
        <v>0.0</v>
      </c>
      <c r="AM996" s="108"/>
      <c r="AN996" s="111">
        <v>0.0</v>
      </c>
      <c r="AO996" s="101"/>
      <c r="AP996" s="111">
        <v>0.0</v>
      </c>
      <c r="AQ996" s="111">
        <v>0.0</v>
      </c>
      <c r="AR996" s="69"/>
      <c r="AS996" s="111">
        <v>0.0</v>
      </c>
      <c r="AT996" s="111">
        <v>0.0</v>
      </c>
      <c r="AU996" s="69"/>
      <c r="AV996" s="13"/>
      <c r="AW996" s="13"/>
      <c r="AX996" s="13"/>
      <c r="AY996" s="13"/>
      <c r="AZ996" s="6"/>
      <c r="BA996" s="6"/>
      <c r="BB996" s="6"/>
      <c r="BC996" s="6"/>
      <c r="BD996" s="6"/>
      <c r="BE996" s="6"/>
      <c r="BF996" s="6">
        <v>1000.0</v>
      </c>
      <c r="BG996" s="13"/>
      <c r="BH996" s="13"/>
      <c r="BI996" s="13"/>
      <c r="BJ996" s="13"/>
      <c r="BK996" s="13"/>
      <c r="BL996" s="13"/>
      <c r="BM996" s="13"/>
      <c r="BN996" s="6"/>
      <c r="BO996" s="6">
        <v>6.0</v>
      </c>
      <c r="BP996" s="13"/>
      <c r="BQ996" s="13"/>
      <c r="BR996" s="6" t="s">
        <v>485</v>
      </c>
    </row>
    <row r="997">
      <c r="A997" s="35">
        <v>138.0</v>
      </c>
      <c r="B997" s="35" t="s">
        <v>1199</v>
      </c>
      <c r="C997" s="53">
        <v>1.0</v>
      </c>
      <c r="D997" s="53" t="s">
        <v>1204</v>
      </c>
      <c r="E997" s="7">
        <v>985.0</v>
      </c>
      <c r="F997" s="53"/>
      <c r="G997" s="35">
        <v>0.0</v>
      </c>
      <c r="H997" s="35">
        <v>0.0</v>
      </c>
      <c r="I997" s="111">
        <v>1.0</v>
      </c>
      <c r="J997" s="50" t="s">
        <v>35</v>
      </c>
      <c r="K997" s="41" t="s">
        <v>5605</v>
      </c>
      <c r="L997" s="41" t="s">
        <v>5606</v>
      </c>
      <c r="M997" s="39" t="str">
        <f t="shared" si="1"/>
        <v>[ SHA-2 (2001)]</v>
      </c>
      <c r="N997" s="107" t="s">
        <v>5622</v>
      </c>
      <c r="O997" s="111">
        <v>2001.0</v>
      </c>
      <c r="P997" s="128"/>
      <c r="Q997" s="13"/>
      <c r="R997" s="13"/>
      <c r="S997" s="13"/>
      <c r="T997" s="111">
        <v>0.0</v>
      </c>
      <c r="U997" s="35">
        <v>0.0</v>
      </c>
      <c r="V997" s="89">
        <f>IFERROR(__xludf.DUMMYFUNCTION("INDEX(SPLIT(SUBSTITUTE(W997,CHAR(10), """"),"",:""), MATCH(Z997, SPLIT(SUBSTITUTE(W997,CHAR(10), """"),"",:""), 0) + 1)"),3.0)</f>
        <v>3</v>
      </c>
      <c r="W997" s="101" t="s">
        <v>1763</v>
      </c>
      <c r="X997" s="50" t="s">
        <v>35</v>
      </c>
      <c r="Y997" s="41" t="s">
        <v>4900</v>
      </c>
      <c r="Z997" s="53" t="str">
        <f t="array" ref="Z997">INDEX(Problems!J:J, MATCH(1, (Problems!B:B=B997)*1, 0))</f>
        <v>n</v>
      </c>
      <c r="AA997" s="41"/>
      <c r="AB997" s="41"/>
      <c r="AC997" s="41" t="s">
        <v>1813</v>
      </c>
      <c r="AD997" s="41" t="s">
        <v>2338</v>
      </c>
      <c r="AE997" s="85">
        <f>IFERROR(__xludf.DUMMYFUNCTION("INDEX(SPLIT(SUBSTITUTE(AF997,CHAR(10), """"),"",:""), MATCH(Z997, SPLIT(SUBSTITUTE(AF997,CHAR(10), """"),"",:""), 0) + 1)"),1.0)</f>
        <v>1</v>
      </c>
      <c r="AF997" s="102" t="s">
        <v>1774</v>
      </c>
      <c r="AG997" s="41" t="s">
        <v>3310</v>
      </c>
      <c r="AH997" s="41" t="s">
        <v>5616</v>
      </c>
      <c r="AI997" s="108">
        <v>1.0</v>
      </c>
      <c r="AJ997" s="84">
        <v>0.0</v>
      </c>
      <c r="AK997" s="108"/>
      <c r="AL997" s="111">
        <v>0.0</v>
      </c>
      <c r="AM997" s="108"/>
      <c r="AN997" s="111">
        <v>0.0</v>
      </c>
      <c r="AO997" s="101"/>
      <c r="AP997" s="111">
        <v>0.0</v>
      </c>
      <c r="AQ997" s="111">
        <v>0.0</v>
      </c>
      <c r="AR997" s="69"/>
      <c r="AS997" s="111">
        <v>0.0</v>
      </c>
      <c r="AT997" s="111">
        <v>0.0</v>
      </c>
      <c r="AU997" s="69"/>
      <c r="AV997" s="13"/>
      <c r="AW997" s="13"/>
      <c r="AX997" s="13"/>
      <c r="AY997" s="13"/>
      <c r="AZ997" s="6"/>
      <c r="BA997" s="6"/>
      <c r="BB997" s="6"/>
      <c r="BC997" s="6"/>
      <c r="BD997" s="6"/>
      <c r="BE997" s="6"/>
      <c r="BF997" s="6">
        <v>1000.0</v>
      </c>
      <c r="BG997" s="13"/>
      <c r="BH997" s="13"/>
      <c r="BI997" s="13"/>
      <c r="BJ997" s="13"/>
      <c r="BK997" s="13"/>
      <c r="BL997" s="13"/>
      <c r="BM997" s="13"/>
      <c r="BN997" s="6"/>
      <c r="BO997" s="6">
        <v>6.0</v>
      </c>
      <c r="BP997" s="13"/>
      <c r="BQ997" s="13"/>
      <c r="BR997" s="6" t="s">
        <v>485</v>
      </c>
    </row>
    <row r="998">
      <c r="A998" s="35">
        <v>138.0</v>
      </c>
      <c r="B998" s="35" t="s">
        <v>1199</v>
      </c>
      <c r="C998" s="53">
        <v>1.0</v>
      </c>
      <c r="D998" s="53" t="s">
        <v>1204</v>
      </c>
      <c r="E998" s="7">
        <v>986.0</v>
      </c>
      <c r="F998" s="53"/>
      <c r="G998" s="35">
        <v>0.0</v>
      </c>
      <c r="H998" s="35">
        <v>0.0</v>
      </c>
      <c r="I998" s="111">
        <v>1.0</v>
      </c>
      <c r="J998" s="50" t="s">
        <v>35</v>
      </c>
      <c r="K998" s="41" t="s">
        <v>5605</v>
      </c>
      <c r="L998" s="41" t="s">
        <v>5606</v>
      </c>
      <c r="M998" s="39" t="str">
        <f t="shared" si="1"/>
        <v>[ SHA-3 (2015)]</v>
      </c>
      <c r="N998" s="107" t="s">
        <v>5623</v>
      </c>
      <c r="O998" s="111">
        <v>2015.0</v>
      </c>
      <c r="P998" s="128"/>
      <c r="Q998" s="13"/>
      <c r="R998" s="13"/>
      <c r="S998" s="13"/>
      <c r="T998" s="111">
        <v>0.0</v>
      </c>
      <c r="U998" s="35">
        <v>0.0</v>
      </c>
      <c r="V998" s="89">
        <f>IFERROR(__xludf.DUMMYFUNCTION("INDEX(SPLIT(SUBSTITUTE(W998,CHAR(10), """"),"",:""), MATCH(Z998, SPLIT(SUBSTITUTE(W998,CHAR(10), """"),"",:""), 0) + 1)"),3.0)</f>
        <v>3</v>
      </c>
      <c r="W998" s="101" t="s">
        <v>1763</v>
      </c>
      <c r="X998" s="50" t="s">
        <v>35</v>
      </c>
      <c r="Y998" s="41" t="s">
        <v>5624</v>
      </c>
      <c r="Z998" s="53" t="str">
        <f t="array" ref="Z998">INDEX(Problems!J:J, MATCH(1, (Problems!B:B=B998)*1, 0))</f>
        <v>n</v>
      </c>
      <c r="AA998" s="41"/>
      <c r="AB998" s="41"/>
      <c r="AC998" s="41" t="s">
        <v>1813</v>
      </c>
      <c r="AD998" s="41" t="s">
        <v>2338</v>
      </c>
      <c r="AE998" s="85">
        <f>IFERROR(__xludf.DUMMYFUNCTION("INDEX(SPLIT(SUBSTITUTE(AF998,CHAR(10), """"),"",:""), MATCH(Z998, SPLIT(SUBSTITUTE(AF998,CHAR(10), """"),"",:""), 0) + 1)"),1.0)</f>
        <v>1</v>
      </c>
      <c r="AF998" s="102" t="s">
        <v>5625</v>
      </c>
      <c r="AG998" s="41" t="s">
        <v>5626</v>
      </c>
      <c r="AH998" s="41" t="s">
        <v>5627</v>
      </c>
      <c r="AI998" s="108">
        <v>1.0</v>
      </c>
      <c r="AJ998" s="84">
        <v>0.0</v>
      </c>
      <c r="AK998" s="108"/>
      <c r="AL998" s="111">
        <v>0.0</v>
      </c>
      <c r="AM998" s="108"/>
      <c r="AN998" s="111">
        <v>0.0</v>
      </c>
      <c r="AO998" s="101"/>
      <c r="AP998" s="111">
        <v>0.0</v>
      </c>
      <c r="AQ998" s="111">
        <v>0.0</v>
      </c>
      <c r="AR998" s="69"/>
      <c r="AS998" s="111">
        <v>0.0</v>
      </c>
      <c r="AT998" s="111">
        <v>0.0</v>
      </c>
      <c r="AU998" s="69"/>
      <c r="AV998" s="13"/>
      <c r="AW998" s="13"/>
      <c r="AX998" s="13"/>
      <c r="AY998" s="13"/>
      <c r="AZ998" s="6"/>
      <c r="BA998" s="6"/>
      <c r="BB998" s="6"/>
      <c r="BC998" s="6"/>
      <c r="BD998" s="6"/>
      <c r="BE998" s="6"/>
      <c r="BF998" s="6">
        <v>1000.0</v>
      </c>
      <c r="BG998" s="13"/>
      <c r="BH998" s="13"/>
      <c r="BI998" s="13"/>
      <c r="BJ998" s="13"/>
      <c r="BK998" s="13"/>
      <c r="BL998" s="13"/>
      <c r="BM998" s="13"/>
      <c r="BN998" s="6"/>
      <c r="BO998" s="6">
        <v>6.0</v>
      </c>
      <c r="BP998" s="13"/>
      <c r="BQ998" s="13"/>
      <c r="BR998" s="6" t="s">
        <v>485</v>
      </c>
    </row>
    <row r="999">
      <c r="A999" s="35">
        <v>138.0</v>
      </c>
      <c r="B999" s="35" t="s">
        <v>1199</v>
      </c>
      <c r="C999" s="53">
        <v>1.0</v>
      </c>
      <c r="D999" s="53" t="s">
        <v>5628</v>
      </c>
      <c r="E999" s="7">
        <v>987.0</v>
      </c>
      <c r="F999" s="53"/>
      <c r="G999" s="35">
        <v>0.0</v>
      </c>
      <c r="H999" s="35">
        <v>0.0</v>
      </c>
      <c r="I999" s="111">
        <v>1.0</v>
      </c>
      <c r="J999" s="50" t="s">
        <v>35</v>
      </c>
      <c r="K999" s="41" t="s">
        <v>5605</v>
      </c>
      <c r="L999" s="41" t="s">
        <v>5606</v>
      </c>
      <c r="M999" s="39" t="str">
        <f t="shared" si="1"/>
        <v>[ BLAKE2 (2012)]</v>
      </c>
      <c r="N999" s="107" t="s">
        <v>5629</v>
      </c>
      <c r="O999" s="111">
        <v>2012.0</v>
      </c>
      <c r="P999" s="128"/>
      <c r="Q999" s="13"/>
      <c r="R999" s="13"/>
      <c r="S999" s="13"/>
      <c r="T999" s="111">
        <v>0.0</v>
      </c>
      <c r="U999" s="35">
        <v>0.0</v>
      </c>
      <c r="V999" s="89">
        <f>IFERROR(__xludf.DUMMYFUNCTION("INDEX(SPLIT(SUBSTITUTE(W999,CHAR(10), """"),"",:""), MATCH(Z999, SPLIT(SUBSTITUTE(W999,CHAR(10), """"),"",:""), 0) + 1)"),3.0)</f>
        <v>3</v>
      </c>
      <c r="W999" s="101" t="s">
        <v>1763</v>
      </c>
      <c r="X999" s="50" t="s">
        <v>35</v>
      </c>
      <c r="Y999" s="41" t="s">
        <v>4900</v>
      </c>
      <c r="Z999" s="53" t="str">
        <f t="array" ref="Z999">INDEX(Problems!J:J, MATCH(1, (Problems!B:B=B999)*1, 0))</f>
        <v>n</v>
      </c>
      <c r="AA999" s="41"/>
      <c r="AB999" s="41"/>
      <c r="AC999" s="41" t="s">
        <v>1813</v>
      </c>
      <c r="AD999" s="41" t="s">
        <v>2338</v>
      </c>
      <c r="AE999" s="85">
        <f>IFERROR(__xludf.DUMMYFUNCTION("INDEX(SPLIT(SUBSTITUTE(AF999,CHAR(10), """"),"",:""), MATCH(Z999, SPLIT(SUBSTITUTE(AF999,CHAR(10), """"),"",:""), 0) + 1)"),1.0)</f>
        <v>1</v>
      </c>
      <c r="AF999" s="102" t="s">
        <v>1774</v>
      </c>
      <c r="AG999" s="41" t="s">
        <v>3310</v>
      </c>
      <c r="AH999" s="41" t="s">
        <v>5630</v>
      </c>
      <c r="AI999" s="108">
        <v>1.0</v>
      </c>
      <c r="AJ999" s="84">
        <v>0.0</v>
      </c>
      <c r="AK999" s="108"/>
      <c r="AL999" s="111">
        <v>0.0</v>
      </c>
      <c r="AM999" s="108"/>
      <c r="AN999" s="111">
        <v>0.0</v>
      </c>
      <c r="AO999" s="101"/>
      <c r="AP999" s="111">
        <v>0.0</v>
      </c>
      <c r="AQ999" s="111">
        <v>0.0</v>
      </c>
      <c r="AR999" s="69"/>
      <c r="AS999" s="111">
        <v>0.0</v>
      </c>
      <c r="AT999" s="111">
        <v>0.0</v>
      </c>
      <c r="AU999" s="69"/>
      <c r="AV999" s="13"/>
      <c r="AW999" s="13"/>
      <c r="AX999" s="13"/>
      <c r="AY999" s="13"/>
      <c r="AZ999" s="6"/>
      <c r="BA999" s="6"/>
      <c r="BB999" s="6"/>
      <c r="BC999" s="6"/>
      <c r="BD999" s="6"/>
      <c r="BE999" s="6"/>
      <c r="BF999" s="6">
        <v>1000.0</v>
      </c>
      <c r="BG999" s="13"/>
      <c r="BH999" s="13"/>
      <c r="BI999" s="13"/>
      <c r="BJ999" s="13"/>
      <c r="BK999" s="13"/>
      <c r="BL999" s="13"/>
      <c r="BM999" s="13"/>
      <c r="BN999" s="6"/>
      <c r="BO999" s="6">
        <v>6.0</v>
      </c>
      <c r="BP999" s="13"/>
      <c r="BQ999" s="13"/>
      <c r="BR999" s="6" t="s">
        <v>485</v>
      </c>
    </row>
    <row r="1000">
      <c r="A1000" s="35">
        <v>139.0</v>
      </c>
      <c r="B1000" s="35" t="s">
        <v>1206</v>
      </c>
      <c r="C1000" s="53">
        <v>1.0</v>
      </c>
      <c r="D1000" s="53"/>
      <c r="E1000" s="7">
        <v>988.0</v>
      </c>
      <c r="F1000" s="53"/>
      <c r="G1000" s="6"/>
      <c r="H1000" s="35">
        <v>1.0</v>
      </c>
      <c r="I1000" s="111">
        <v>1.0</v>
      </c>
      <c r="J1000" s="104" t="s">
        <v>5631</v>
      </c>
      <c r="K1000" s="99"/>
      <c r="L1000" s="99"/>
      <c r="M1000" s="39" t="str">
        <f t="shared" si="1"/>
        <v>[ Shamir's scheme (1979)]</v>
      </c>
      <c r="N1000" s="107" t="s">
        <v>5632</v>
      </c>
      <c r="O1000" s="111">
        <v>1979.0</v>
      </c>
      <c r="P1000" s="128"/>
      <c r="Q1000" s="13"/>
      <c r="R1000" s="13"/>
      <c r="S1000" s="13"/>
      <c r="T1000" s="111">
        <v>1.0</v>
      </c>
      <c r="U1000" s="35">
        <v>0.0</v>
      </c>
      <c r="V1000" s="89">
        <f>IFERROR(__xludf.DUMMYFUNCTION("INDEX(SPLIT(SUBSTITUTE(W1000,CHAR(10), """"),"",:""), MATCH(Z1000, SPLIT(SUBSTITUTE(W1000,CHAR(10), """"),"",:""), 0) + 1)"),5.0)</f>
        <v>5</v>
      </c>
      <c r="W1000" s="102" t="s">
        <v>5633</v>
      </c>
      <c r="X1000" s="104" t="s">
        <v>5634</v>
      </c>
      <c r="Y1000" s="41" t="s">
        <v>5635</v>
      </c>
      <c r="Z1000" s="53" t="str">
        <f t="array" ref="Z1000">INDEX(Problems!J:J, MATCH(1, (Problems!B:B=B1000)*1, 0))</f>
        <v>n</v>
      </c>
      <c r="AA1000" s="41"/>
      <c r="AB1000" s="41"/>
      <c r="AC1000" s="41" t="s">
        <v>1813</v>
      </c>
      <c r="AD1000" s="41" t="s">
        <v>1814</v>
      </c>
      <c r="AE1000" s="85">
        <f>IFERROR(__xludf.DUMMYFUNCTION("INDEX(SPLIT(SUBSTITUTE(AF1000,CHAR(10), """"),"",:""), MATCH(Z1000, SPLIT(SUBSTITUTE(AF1000,CHAR(10), """"),"",:""), 0) + 1)"),5.0)</f>
        <v>5</v>
      </c>
      <c r="AF1000" s="102" t="s">
        <v>5633</v>
      </c>
      <c r="AG1000" s="41" t="s">
        <v>5636</v>
      </c>
      <c r="AH1000" s="41" t="s">
        <v>5637</v>
      </c>
      <c r="AI1000" s="108">
        <v>1.0</v>
      </c>
      <c r="AJ1000" s="84">
        <v>0.0</v>
      </c>
      <c r="AK1000" s="108"/>
      <c r="AL1000" s="111">
        <v>0.0</v>
      </c>
      <c r="AM1000" s="108"/>
      <c r="AN1000" s="111">
        <v>0.0</v>
      </c>
      <c r="AO1000" s="104"/>
      <c r="AP1000" s="111">
        <v>0.0</v>
      </c>
      <c r="AQ1000" s="111">
        <v>0.0</v>
      </c>
      <c r="AR1000" s="69"/>
      <c r="AS1000" s="111">
        <v>0.0</v>
      </c>
      <c r="AT1000" s="111">
        <v>0.0</v>
      </c>
      <c r="AU1000" s="69"/>
      <c r="AV1000" s="13"/>
      <c r="AW1000" s="13"/>
      <c r="AX1000" s="13"/>
      <c r="AY1000" s="13"/>
      <c r="AZ1000" s="13"/>
      <c r="BA1000" s="13"/>
      <c r="BB1000" s="13"/>
      <c r="BC1000" s="13"/>
      <c r="BD1000" s="13"/>
      <c r="BE1000" s="13"/>
      <c r="BF1000" s="13"/>
      <c r="BG1000" s="6">
        <v>1.0</v>
      </c>
      <c r="BH1000" s="13"/>
      <c r="BI1000" s="13"/>
      <c r="BJ1000" s="6">
        <v>1.0</v>
      </c>
      <c r="BK1000" s="13"/>
      <c r="BL1000" s="13"/>
      <c r="BM1000" s="6">
        <v>1.0</v>
      </c>
      <c r="BN1000" s="6"/>
      <c r="BO1000" s="6">
        <v>4.0</v>
      </c>
      <c r="BP1000" s="13"/>
      <c r="BQ1000" s="13"/>
      <c r="BR1000" s="6" t="s">
        <v>485</v>
      </c>
    </row>
    <row r="1001">
      <c r="A1001" s="35">
        <v>139.0</v>
      </c>
      <c r="B1001" s="35" t="s">
        <v>1206</v>
      </c>
      <c r="C1001" s="53">
        <v>1.0</v>
      </c>
      <c r="D1001" s="53"/>
      <c r="E1001" s="7">
        <v>989.0</v>
      </c>
      <c r="F1001" s="53"/>
      <c r="G1001" s="6"/>
      <c r="H1001" s="35">
        <v>1.0</v>
      </c>
      <c r="I1001" s="111">
        <v>1.0</v>
      </c>
      <c r="J1001" s="104" t="s">
        <v>5638</v>
      </c>
      <c r="K1001" s="99"/>
      <c r="L1001" s="99"/>
      <c r="M1001" s="39" t="str">
        <f t="shared" si="1"/>
        <v>[ Blakley's scheme (1979)]</v>
      </c>
      <c r="N1001" s="107" t="s">
        <v>5639</v>
      </c>
      <c r="O1001" s="111">
        <v>1979.0</v>
      </c>
      <c r="P1001" s="128"/>
      <c r="Q1001" s="13"/>
      <c r="R1001" s="13"/>
      <c r="S1001" s="13"/>
      <c r="T1001" s="111">
        <v>0.0</v>
      </c>
      <c r="U1001" s="35">
        <v>0.0</v>
      </c>
      <c r="V1001" s="89">
        <f>IFERROR(__xludf.DUMMYFUNCTION("INDEX(SPLIT(SUBSTITUTE(W1001,CHAR(10), """"),"",:""), MATCH(Z1001, SPLIT(SUBSTITUTE(W1001,CHAR(10), """"),"",:""), 0) + 1)"),6.0)</f>
        <v>6</v>
      </c>
      <c r="W1001" s="102" t="s">
        <v>5640</v>
      </c>
      <c r="X1001" s="104" t="s">
        <v>5641</v>
      </c>
      <c r="Y1001" s="41" t="s">
        <v>5635</v>
      </c>
      <c r="Z1001" s="53" t="str">
        <f t="array" ref="Z1001">INDEX(Problems!J:J, MATCH(1, (Problems!B:B=B1001)*1, 0))</f>
        <v>n</v>
      </c>
      <c r="AA1001" s="41"/>
      <c r="AB1001" s="41"/>
      <c r="AC1001" s="41" t="s">
        <v>1813</v>
      </c>
      <c r="AD1001" s="41" t="s">
        <v>1814</v>
      </c>
      <c r="AE1001" s="85">
        <f>IFERROR(__xludf.DUMMYFUNCTION("INDEX(SPLIT(SUBSTITUTE(AF1001,CHAR(10), """"),"",:""), MATCH(Z1001, SPLIT(SUBSTITUTE(AF1001,CHAR(10), """"),"",:""), 0) + 1)"),5.0)</f>
        <v>5</v>
      </c>
      <c r="AF1001" s="102" t="s">
        <v>5633</v>
      </c>
      <c r="AG1001" s="41" t="s">
        <v>5642</v>
      </c>
      <c r="AH1001" s="41" t="s">
        <v>5643</v>
      </c>
      <c r="AI1001" s="108">
        <v>1.0</v>
      </c>
      <c r="AJ1001" s="84">
        <v>0.0</v>
      </c>
      <c r="AK1001" s="108"/>
      <c r="AL1001" s="111">
        <v>0.0</v>
      </c>
      <c r="AM1001" s="108"/>
      <c r="AN1001" s="111">
        <v>0.0</v>
      </c>
      <c r="AO1001" s="104"/>
      <c r="AP1001" s="111">
        <v>0.0</v>
      </c>
      <c r="AQ1001" s="111">
        <v>0.0</v>
      </c>
      <c r="AR1001" s="69"/>
      <c r="AS1001" s="111">
        <v>0.0</v>
      </c>
      <c r="AT1001" s="111">
        <v>0.0</v>
      </c>
      <c r="AU1001" s="69"/>
      <c r="AV1001" s="13"/>
      <c r="AW1001" s="13"/>
      <c r="AX1001" s="13"/>
      <c r="AY1001" s="13"/>
      <c r="AZ1001" s="13"/>
      <c r="BA1001" s="13"/>
      <c r="BB1001" s="13"/>
      <c r="BC1001" s="13"/>
      <c r="BD1001" s="13"/>
      <c r="BE1001" s="13"/>
      <c r="BF1001" s="13"/>
      <c r="BG1001" s="13"/>
      <c r="BH1001" s="13"/>
      <c r="BI1001" s="13"/>
      <c r="BJ1001" s="13"/>
      <c r="BK1001" s="13"/>
      <c r="BL1001" s="13"/>
      <c r="BM1001" s="13"/>
      <c r="BN1001" s="6"/>
      <c r="BO1001" s="6">
        <v>4.0</v>
      </c>
      <c r="BP1001" s="13"/>
      <c r="BQ1001" s="13"/>
      <c r="BR1001" s="6" t="s">
        <v>485</v>
      </c>
    </row>
    <row r="1002">
      <c r="A1002" s="35">
        <v>140.0</v>
      </c>
      <c r="B1002" s="35" t="s">
        <v>1210</v>
      </c>
      <c r="C1002" s="53">
        <v>1.0</v>
      </c>
      <c r="D1002" s="53" t="s">
        <v>1210</v>
      </c>
      <c r="E1002" s="7">
        <v>990.0</v>
      </c>
      <c r="F1002" s="53"/>
      <c r="G1002" s="6">
        <v>0.0</v>
      </c>
      <c r="H1002" s="35">
        <v>1.0</v>
      </c>
      <c r="I1002" s="111">
        <v>1.0</v>
      </c>
      <c r="J1002" s="21" t="s">
        <v>5644</v>
      </c>
      <c r="K1002" s="99"/>
      <c r="L1002" s="99"/>
      <c r="M1002" s="39" t="str">
        <f t="shared" si="1"/>
        <v>[ Bisection method (-150)]</v>
      </c>
      <c r="N1002" s="107" t="s">
        <v>4229</v>
      </c>
      <c r="O1002" s="111">
        <v>-150.0</v>
      </c>
      <c r="P1002" s="128"/>
      <c r="Q1002" s="13"/>
      <c r="R1002" s="13"/>
      <c r="S1002" s="13"/>
      <c r="T1002" s="111">
        <v>0.0</v>
      </c>
      <c r="U1002" s="35">
        <v>0.0</v>
      </c>
      <c r="V1002" s="89">
        <f>IFERROR(__xludf.DUMMYFUNCTION("INDEX(SPLIT(SUBSTITUTE(W1002,CHAR(10), """"),"",:""), MATCH(Z1002, SPLIT(SUBSTITUTE(W1002,CHAR(10), """"),"",:""), 0) + 1)"),3.0)</f>
        <v>3</v>
      </c>
      <c r="W1002" s="102" t="s">
        <v>4257</v>
      </c>
      <c r="X1002" s="104" t="s">
        <v>4258</v>
      </c>
      <c r="Y1002" s="104" t="s">
        <v>5645</v>
      </c>
      <c r="Z1002" s="53" t="str">
        <f t="array" ref="Z1002">INDEX(Problems!J:J, MATCH(1, (Problems!B:B=B1002)*1, 0))</f>
        <v>n_max</v>
      </c>
      <c r="AA1002" s="120"/>
      <c r="AB1002" s="120"/>
      <c r="AC1002" s="120" t="s">
        <v>2312</v>
      </c>
      <c r="AD1002" s="120" t="s">
        <v>1814</v>
      </c>
      <c r="AE1002" s="85">
        <f>IFERROR(__xludf.DUMMYFUNCTION("INDEX(SPLIT(SUBSTITUTE(AF1002,CHAR(10), """"),"",:""), MATCH(Z1002, SPLIT(SUBSTITUTE(AF1002,CHAR(10), """"),"",:""), 0) + 1)"),1.0)</f>
        <v>1</v>
      </c>
      <c r="AF1002" s="102" t="s">
        <v>5646</v>
      </c>
      <c r="AG1002" s="120" t="s">
        <v>34</v>
      </c>
      <c r="AH1002" s="120" t="s">
        <v>5647</v>
      </c>
      <c r="AI1002" s="199">
        <v>1.0</v>
      </c>
      <c r="AJ1002" s="84">
        <v>0.0</v>
      </c>
      <c r="AK1002" s="108"/>
      <c r="AL1002" s="111">
        <v>0.0</v>
      </c>
      <c r="AM1002" s="108"/>
      <c r="AN1002" s="111">
        <v>0.0</v>
      </c>
      <c r="AO1002" s="104"/>
      <c r="AP1002" s="111">
        <v>0.0</v>
      </c>
      <c r="AQ1002" s="111">
        <v>0.0</v>
      </c>
      <c r="AR1002" s="69"/>
      <c r="AS1002" s="111">
        <v>0.0</v>
      </c>
      <c r="AT1002" s="111">
        <v>0.0</v>
      </c>
      <c r="AU1002" s="69"/>
      <c r="AV1002" s="13"/>
      <c r="AW1002" s="13"/>
      <c r="AX1002" s="13"/>
      <c r="AY1002" s="13"/>
      <c r="AZ1002" s="6"/>
      <c r="BA1002" s="6"/>
      <c r="BB1002" s="6"/>
      <c r="BC1002" s="6"/>
      <c r="BD1002" s="6"/>
      <c r="BE1002" s="6"/>
      <c r="BF1002" s="6">
        <v>1000.0</v>
      </c>
      <c r="BG1002" s="13"/>
      <c r="BH1002" s="13"/>
      <c r="BI1002" s="13"/>
      <c r="BJ1002" s="13"/>
      <c r="BK1002" s="13"/>
      <c r="BL1002" s="13"/>
      <c r="BM1002" s="13"/>
      <c r="BN1002" s="6"/>
      <c r="BO1002" s="6">
        <v>6.0</v>
      </c>
      <c r="BP1002" s="13"/>
      <c r="BQ1002" s="13"/>
      <c r="BR1002" s="6" t="s">
        <v>144</v>
      </c>
    </row>
    <row r="1003">
      <c r="A1003" s="35">
        <v>140.0</v>
      </c>
      <c r="B1003" s="35" t="s">
        <v>1210</v>
      </c>
      <c r="C1003" s="53">
        <v>1.0</v>
      </c>
      <c r="D1003" s="53" t="s">
        <v>1210</v>
      </c>
      <c r="E1003" s="7">
        <v>991.0</v>
      </c>
      <c r="F1003" s="53"/>
      <c r="G1003" s="6">
        <v>0.0</v>
      </c>
      <c r="H1003" s="35">
        <v>1.0</v>
      </c>
      <c r="I1003" s="111">
        <v>1.0</v>
      </c>
      <c r="J1003" s="202" t="s">
        <v>35</v>
      </c>
      <c r="K1003" s="99"/>
      <c r="L1003" s="99"/>
      <c r="M1003" s="39" t="str">
        <f t="shared" si="1"/>
        <v>[ Regula Falsi method (-200)]</v>
      </c>
      <c r="N1003" s="107" t="s">
        <v>5648</v>
      </c>
      <c r="O1003" s="111">
        <v>-200.0</v>
      </c>
      <c r="P1003" s="128"/>
      <c r="Q1003" s="13"/>
      <c r="R1003" s="13"/>
      <c r="S1003" s="13"/>
      <c r="T1003" s="111">
        <v>0.0</v>
      </c>
      <c r="U1003" s="35">
        <v>0.0</v>
      </c>
      <c r="V1003" s="89">
        <f>IFERROR(__xludf.DUMMYFUNCTION("INDEX(SPLIT(SUBSTITUTE(W1003,CHAR(10), """"),"",:""), MATCH(Z1003, SPLIT(SUBSTITUTE(W1003,CHAR(10), """"),"",:""), 0) + 1)"),3.0)</f>
        <v>3</v>
      </c>
      <c r="W1003" s="102" t="s">
        <v>4257</v>
      </c>
      <c r="X1003" s="104" t="s">
        <v>4258</v>
      </c>
      <c r="Y1003" s="104" t="s">
        <v>5645</v>
      </c>
      <c r="Z1003" s="53" t="str">
        <f t="array" ref="Z1003">INDEX(Problems!J:J, MATCH(1, (Problems!B:B=B1003)*1, 0))</f>
        <v>n_max</v>
      </c>
      <c r="AA1003" s="120"/>
      <c r="AB1003" s="120"/>
      <c r="AC1003" s="120" t="s">
        <v>2312</v>
      </c>
      <c r="AD1003" s="120" t="s">
        <v>1814</v>
      </c>
      <c r="AE1003" s="85">
        <f>IFERROR(__xludf.DUMMYFUNCTION("INDEX(SPLIT(SUBSTITUTE(AF1003,CHAR(10), """"),"",:""), MATCH(Z1003, SPLIT(SUBSTITUTE(AF1003,CHAR(10), """"),"",:""), 0) + 1)"),1.0)</f>
        <v>1</v>
      </c>
      <c r="AF1003" s="102" t="s">
        <v>5646</v>
      </c>
      <c r="AG1003" s="120" t="s">
        <v>34</v>
      </c>
      <c r="AH1003" s="120" t="s">
        <v>5647</v>
      </c>
      <c r="AI1003" s="199">
        <v>1.0</v>
      </c>
      <c r="AJ1003" s="84">
        <v>0.0</v>
      </c>
      <c r="AK1003" s="108"/>
      <c r="AL1003" s="111">
        <v>0.0</v>
      </c>
      <c r="AM1003" s="108"/>
      <c r="AN1003" s="111">
        <v>0.0</v>
      </c>
      <c r="AO1003" s="104"/>
      <c r="AP1003" s="111">
        <v>0.0</v>
      </c>
      <c r="AQ1003" s="111">
        <v>0.0</v>
      </c>
      <c r="AR1003" s="69"/>
      <c r="AS1003" s="111">
        <v>0.0</v>
      </c>
      <c r="AT1003" s="111">
        <v>0.0</v>
      </c>
      <c r="AU1003" s="69"/>
      <c r="AV1003" s="13"/>
      <c r="AW1003" s="13"/>
      <c r="AX1003" s="13"/>
      <c r="AY1003" s="13"/>
      <c r="AZ1003" s="6"/>
      <c r="BA1003" s="6"/>
      <c r="BB1003" s="6"/>
      <c r="BC1003" s="6"/>
      <c r="BD1003" s="6"/>
      <c r="BE1003" s="6"/>
      <c r="BF1003" s="6">
        <v>1000.0</v>
      </c>
      <c r="BG1003" s="13"/>
      <c r="BH1003" s="13"/>
      <c r="BI1003" s="13"/>
      <c r="BJ1003" s="13"/>
      <c r="BK1003" s="13"/>
      <c r="BL1003" s="13"/>
      <c r="BM1003" s="13"/>
      <c r="BN1003" s="6"/>
      <c r="BO1003" s="6">
        <v>6.0</v>
      </c>
      <c r="BP1003" s="13"/>
      <c r="BQ1003" s="13"/>
      <c r="BR1003" s="6" t="s">
        <v>144</v>
      </c>
    </row>
    <row r="1004">
      <c r="A1004" s="35">
        <v>140.0</v>
      </c>
      <c r="B1004" s="35" t="s">
        <v>1210</v>
      </c>
      <c r="C1004" s="53">
        <v>1.0</v>
      </c>
      <c r="D1004" s="53" t="s">
        <v>1210</v>
      </c>
      <c r="E1004" s="7">
        <v>992.0</v>
      </c>
      <c r="F1004" s="53"/>
      <c r="G1004" s="6">
        <v>0.0</v>
      </c>
      <c r="H1004" s="35">
        <v>1.0</v>
      </c>
      <c r="I1004" s="111">
        <v>1.0</v>
      </c>
      <c r="J1004" s="48" t="s">
        <v>4276</v>
      </c>
      <c r="K1004" s="99"/>
      <c r="L1004" s="99"/>
      <c r="M1004" s="39" t="str">
        <f t="shared" si="1"/>
        <v>[ Secant method (-1400)]</v>
      </c>
      <c r="N1004" s="107" t="s">
        <v>4277</v>
      </c>
      <c r="O1004" s="111">
        <v>-1400.0</v>
      </c>
      <c r="P1004" s="128"/>
      <c r="Q1004" s="6">
        <v>1.0</v>
      </c>
      <c r="R1004" s="6">
        <v>1.0</v>
      </c>
      <c r="S1004" s="6"/>
      <c r="T1004" s="111">
        <v>1.0</v>
      </c>
      <c r="U1004" s="35">
        <v>0.0</v>
      </c>
      <c r="V1004" s="89">
        <f>IFERROR(__xludf.DUMMYFUNCTION("INDEX(SPLIT(SUBSTITUTE(W1004,CHAR(10), """"),"",:""), MATCH(Z1004, SPLIT(SUBSTITUTE(W1004,CHAR(10), """"),"",:""), 0) + 1)"),3.0)</f>
        <v>3</v>
      </c>
      <c r="W1004" s="102" t="s">
        <v>4257</v>
      </c>
      <c r="X1004" s="104" t="s">
        <v>4258</v>
      </c>
      <c r="Y1004" s="104" t="s">
        <v>5645</v>
      </c>
      <c r="Z1004" s="53" t="str">
        <f t="array" ref="Z1004">INDEX(Problems!J:J, MATCH(1, (Problems!B:B=B1004)*1, 0))</f>
        <v>n_max</v>
      </c>
      <c r="AA1004" s="120"/>
      <c r="AB1004" s="120"/>
      <c r="AC1004" s="120" t="s">
        <v>2312</v>
      </c>
      <c r="AD1004" s="120" t="s">
        <v>1814</v>
      </c>
      <c r="AE1004" s="85">
        <f>IFERROR(__xludf.DUMMYFUNCTION("INDEX(SPLIT(SUBSTITUTE(AF1004,CHAR(10), """"),"",:""), MATCH(Z1004, SPLIT(SUBSTITUTE(AF1004,CHAR(10), """"),"",:""), 0) + 1)"),1.0)</f>
        <v>1</v>
      </c>
      <c r="AF1004" s="102" t="s">
        <v>5646</v>
      </c>
      <c r="AG1004" s="120" t="s">
        <v>34</v>
      </c>
      <c r="AH1004" s="120" t="s">
        <v>4278</v>
      </c>
      <c r="AI1004" s="199">
        <v>1.0</v>
      </c>
      <c r="AJ1004" s="84">
        <v>0.0</v>
      </c>
      <c r="AK1004" s="108"/>
      <c r="AL1004" s="111">
        <v>0.0</v>
      </c>
      <c r="AM1004" s="108"/>
      <c r="AN1004" s="111">
        <v>0.0</v>
      </c>
      <c r="AO1004" s="104"/>
      <c r="AP1004" s="111">
        <v>0.0</v>
      </c>
      <c r="AQ1004" s="111">
        <v>0.0</v>
      </c>
      <c r="AR1004" s="69"/>
      <c r="AS1004" s="111">
        <v>0.0</v>
      </c>
      <c r="AT1004" s="111">
        <v>0.0</v>
      </c>
      <c r="AU1004" s="69"/>
      <c r="AV1004" s="13"/>
      <c r="AW1004" s="13"/>
      <c r="AX1004" s="13"/>
      <c r="AY1004" s="13"/>
      <c r="AZ1004" s="6"/>
      <c r="BA1004" s="6"/>
      <c r="BB1004" s="6"/>
      <c r="BC1004" s="6"/>
      <c r="BD1004" s="6"/>
      <c r="BE1004" s="6"/>
      <c r="BF1004" s="6">
        <v>1000.0</v>
      </c>
      <c r="BG1004" s="6">
        <v>1.0</v>
      </c>
      <c r="BH1004" s="6"/>
      <c r="BI1004" s="6">
        <v>1000000.0</v>
      </c>
      <c r="BJ1004" s="6">
        <v>1.0</v>
      </c>
      <c r="BK1004" s="6"/>
      <c r="BL1004" s="6">
        <v>1.0E9</v>
      </c>
      <c r="BM1004" s="6">
        <v>1.0</v>
      </c>
      <c r="BN1004" s="6"/>
      <c r="BO1004" s="6">
        <v>6.0</v>
      </c>
      <c r="BP1004" s="13"/>
      <c r="BQ1004" s="13"/>
      <c r="BR1004" s="6" t="s">
        <v>144</v>
      </c>
    </row>
    <row r="1005">
      <c r="A1005" s="35">
        <v>140.0</v>
      </c>
      <c r="B1005" s="35" t="s">
        <v>1210</v>
      </c>
      <c r="C1005" s="53">
        <v>1.0</v>
      </c>
      <c r="D1005" s="53" t="s">
        <v>1210</v>
      </c>
      <c r="E1005" s="7">
        <v>993.0</v>
      </c>
      <c r="F1005" s="53"/>
      <c r="G1005" s="6">
        <v>0.0</v>
      </c>
      <c r="H1005" s="35">
        <v>1.0</v>
      </c>
      <c r="I1005" s="111">
        <v>1.0</v>
      </c>
      <c r="J1005" s="48" t="s">
        <v>4267</v>
      </c>
      <c r="K1005" s="99"/>
      <c r="L1005" s="99"/>
      <c r="M1005" s="39" t="str">
        <f t="shared" si="1"/>
        <v>[ Newton's method (1669)]</v>
      </c>
      <c r="N1005" s="107" t="s">
        <v>4268</v>
      </c>
      <c r="O1005" s="111">
        <v>1669.0</v>
      </c>
      <c r="P1005" s="128"/>
      <c r="Q1005" s="13"/>
      <c r="R1005" s="13"/>
      <c r="S1005" s="13"/>
      <c r="T1005" s="111">
        <v>0.0</v>
      </c>
      <c r="U1005" s="35">
        <v>0.0</v>
      </c>
      <c r="V1005" s="89">
        <f>IFERROR(__xludf.DUMMYFUNCTION("INDEX(SPLIT(SUBSTITUTE(W1005,CHAR(10), """"),"",:""), MATCH(Z1005, SPLIT(SUBSTITUTE(W1005,CHAR(10), """"),"",:""), 0) + 1)"),3.0)</f>
        <v>3</v>
      </c>
      <c r="W1005" s="102" t="s">
        <v>4257</v>
      </c>
      <c r="X1005" s="104" t="s">
        <v>4258</v>
      </c>
      <c r="Y1005" s="104" t="s">
        <v>5645</v>
      </c>
      <c r="Z1005" s="53" t="str">
        <f t="array" ref="Z1005">INDEX(Problems!J:J, MATCH(1, (Problems!B:B=B1005)*1, 0))</f>
        <v>n_max</v>
      </c>
      <c r="AA1005" s="120"/>
      <c r="AB1005" s="120"/>
      <c r="AC1005" s="120" t="s">
        <v>2312</v>
      </c>
      <c r="AD1005" s="120" t="s">
        <v>1814</v>
      </c>
      <c r="AE1005" s="85">
        <f>IFERROR(__xludf.DUMMYFUNCTION("INDEX(SPLIT(SUBSTITUTE(AF1005,CHAR(10), """"),"",:""), MATCH(Z1005, SPLIT(SUBSTITUTE(AF1005,CHAR(10), """"),"",:""), 0) + 1)"),1.0)</f>
        <v>1</v>
      </c>
      <c r="AF1005" s="102" t="s">
        <v>5646</v>
      </c>
      <c r="AG1005" s="120" t="s">
        <v>34</v>
      </c>
      <c r="AH1005" s="120" t="s">
        <v>5649</v>
      </c>
      <c r="AI1005" s="199">
        <v>1.0</v>
      </c>
      <c r="AJ1005" s="84">
        <v>0.0</v>
      </c>
      <c r="AK1005" s="108"/>
      <c r="AL1005" s="111">
        <v>0.0</v>
      </c>
      <c r="AM1005" s="108"/>
      <c r="AN1005" s="111">
        <v>0.0</v>
      </c>
      <c r="AO1005" s="104"/>
      <c r="AP1005" s="111">
        <v>0.0</v>
      </c>
      <c r="AQ1005" s="111">
        <v>0.0</v>
      </c>
      <c r="AR1005" s="69"/>
      <c r="AS1005" s="111">
        <v>0.0</v>
      </c>
      <c r="AT1005" s="111">
        <v>0.0</v>
      </c>
      <c r="AU1005" s="69"/>
      <c r="AV1005" s="13"/>
      <c r="AW1005" s="13"/>
      <c r="AX1005" s="13"/>
      <c r="AY1005" s="13"/>
      <c r="AZ1005" s="6"/>
      <c r="BA1005" s="6"/>
      <c r="BB1005" s="6"/>
      <c r="BC1005" s="6"/>
      <c r="BD1005" s="6"/>
      <c r="BE1005" s="6"/>
      <c r="BF1005" s="6">
        <v>1000.0</v>
      </c>
      <c r="BG1005" s="13"/>
      <c r="BH1005" s="13"/>
      <c r="BI1005" s="13"/>
      <c r="BJ1005" s="13"/>
      <c r="BK1005" s="13"/>
      <c r="BL1005" s="13"/>
      <c r="BM1005" s="13"/>
      <c r="BN1005" s="6"/>
      <c r="BO1005" s="6">
        <v>6.0</v>
      </c>
      <c r="BP1005" s="13"/>
      <c r="BQ1005" s="13"/>
      <c r="BR1005" s="6" t="s">
        <v>144</v>
      </c>
    </row>
    <row r="1006">
      <c r="A1006" s="35">
        <v>141.0</v>
      </c>
      <c r="B1006" s="35" t="s">
        <v>1214</v>
      </c>
      <c r="C1006" s="53">
        <v>1.0</v>
      </c>
      <c r="D1006" s="53" t="s">
        <v>1214</v>
      </c>
      <c r="E1006" s="7">
        <v>994.0</v>
      </c>
      <c r="F1006" s="53"/>
      <c r="G1006" s="6">
        <v>0.0</v>
      </c>
      <c r="H1006" s="35">
        <v>0.0</v>
      </c>
      <c r="I1006" s="111">
        <v>1.0</v>
      </c>
      <c r="J1006" s="35" t="s">
        <v>35</v>
      </c>
      <c r="K1006" s="99"/>
      <c r="L1006" s="99"/>
      <c r="M1006" s="39" t="str">
        <f t="shared" si="1"/>
        <v>[NA Lucifer / DES (1976)]</v>
      </c>
      <c r="N1006" s="107" t="s">
        <v>5650</v>
      </c>
      <c r="O1006" s="111">
        <v>1976.0</v>
      </c>
      <c r="P1006" s="129" t="s">
        <v>1944</v>
      </c>
      <c r="Q1006" s="13"/>
      <c r="R1006" s="13"/>
      <c r="S1006" s="13"/>
      <c r="T1006" s="111">
        <v>1.0</v>
      </c>
      <c r="U1006" s="35">
        <v>0.0</v>
      </c>
      <c r="V1006" s="89">
        <f>IFERROR(__xludf.DUMMYFUNCTION("INDEX(SPLIT(SUBSTITUTE(W1006,CHAR(10), """"),"",:""), MATCH(Z1006, SPLIT(SUBSTITUTE(W1006,CHAR(10), """"),"",:""), 0) + 1)"),3.0)</f>
        <v>3</v>
      </c>
      <c r="W1006" s="101" t="s">
        <v>1763</v>
      </c>
      <c r="X1006" s="50" t="s">
        <v>35</v>
      </c>
      <c r="Y1006" s="41" t="s">
        <v>5651</v>
      </c>
      <c r="Z1006" s="53" t="str">
        <f t="array" ref="Z1006">INDEX(Problems!J:J, MATCH(1, (Problems!B:B=B1006)*1, 0))</f>
        <v>n</v>
      </c>
      <c r="AA1006" s="41"/>
      <c r="AB1006" s="41"/>
      <c r="AC1006" s="41" t="s">
        <v>1813</v>
      </c>
      <c r="AD1006" s="41" t="s">
        <v>2338</v>
      </c>
      <c r="AE1006" s="85">
        <f>IFERROR(__xludf.DUMMYFUNCTION("INDEX(SPLIT(SUBSTITUTE(AF1006,CHAR(10), """"),"",:""), MATCH(Z1006, SPLIT(SUBSTITUTE(AF1006,CHAR(10), """"),"",:""), 0) + 1)"),3.0)</f>
        <v>3</v>
      </c>
      <c r="AF1006" s="102" t="s">
        <v>1763</v>
      </c>
      <c r="AG1006" s="41" t="s">
        <v>2625</v>
      </c>
      <c r="AH1006" s="41" t="s">
        <v>5652</v>
      </c>
      <c r="AI1006" s="108">
        <v>1.0</v>
      </c>
      <c r="AJ1006" s="84">
        <v>0.0</v>
      </c>
      <c r="AK1006" s="108"/>
      <c r="AL1006" s="111">
        <v>0.0</v>
      </c>
      <c r="AM1006" s="108"/>
      <c r="AN1006" s="111">
        <v>0.0</v>
      </c>
      <c r="AO1006" s="104"/>
      <c r="AP1006" s="111">
        <v>0.0</v>
      </c>
      <c r="AQ1006" s="111">
        <v>0.0</v>
      </c>
      <c r="AR1006" s="69"/>
      <c r="AS1006" s="111">
        <v>0.0</v>
      </c>
      <c r="AT1006" s="111">
        <v>0.0</v>
      </c>
      <c r="AU1006" s="106" t="s">
        <v>5653</v>
      </c>
      <c r="AV1006" s="13"/>
      <c r="AW1006" s="13"/>
      <c r="AX1006" s="13"/>
      <c r="AY1006" s="13"/>
      <c r="AZ1006" s="6"/>
      <c r="BA1006" s="6"/>
      <c r="BB1006" s="6"/>
      <c r="BC1006" s="6"/>
      <c r="BD1006" s="6"/>
      <c r="BE1006" s="6"/>
      <c r="BF1006" s="6">
        <v>1000.0</v>
      </c>
      <c r="BG1006" s="13"/>
      <c r="BH1006" s="13"/>
      <c r="BI1006" s="13"/>
      <c r="BJ1006" s="13"/>
      <c r="BK1006" s="13"/>
      <c r="BL1006" s="13"/>
      <c r="BM1006" s="13"/>
      <c r="BN1006" s="6"/>
      <c r="BO1006" s="6">
        <v>6.0</v>
      </c>
      <c r="BP1006" s="13"/>
      <c r="BQ1006" s="13"/>
      <c r="BR1006" s="6" t="s">
        <v>485</v>
      </c>
    </row>
    <row r="1007">
      <c r="A1007" s="35">
        <v>141.0</v>
      </c>
      <c r="B1007" s="35" t="s">
        <v>1214</v>
      </c>
      <c r="C1007" s="53">
        <v>1.0</v>
      </c>
      <c r="D1007" s="53" t="s">
        <v>1214</v>
      </c>
      <c r="E1007" s="7">
        <v>995.0</v>
      </c>
      <c r="F1007" s="53"/>
      <c r="G1007" s="6">
        <v>0.0</v>
      </c>
      <c r="H1007" s="35">
        <v>0.0</v>
      </c>
      <c r="I1007" s="111">
        <v>1.0</v>
      </c>
      <c r="J1007" s="35" t="s">
        <v>35</v>
      </c>
      <c r="K1007" s="99"/>
      <c r="L1007" s="99"/>
      <c r="M1007" s="39" t="str">
        <f t="shared" si="1"/>
        <v>[NA IDEA (1991)]</v>
      </c>
      <c r="N1007" s="107" t="s">
        <v>5654</v>
      </c>
      <c r="O1007" s="111">
        <v>1991.0</v>
      </c>
      <c r="P1007" s="129" t="s">
        <v>1944</v>
      </c>
      <c r="Q1007" s="13"/>
      <c r="R1007" s="13"/>
      <c r="S1007" s="13"/>
      <c r="T1007" s="111">
        <v>0.0</v>
      </c>
      <c r="U1007" s="35">
        <v>0.0</v>
      </c>
      <c r="V1007" s="89">
        <f>IFERROR(__xludf.DUMMYFUNCTION("INDEX(SPLIT(SUBSTITUTE(W1007,CHAR(10), """"),"",:""), MATCH(Z1007, SPLIT(SUBSTITUTE(W1007,CHAR(10), """"),"",:""), 0) + 1)"),3.0)</f>
        <v>3</v>
      </c>
      <c r="W1007" s="101" t="s">
        <v>1763</v>
      </c>
      <c r="X1007" s="50" t="s">
        <v>35</v>
      </c>
      <c r="Y1007" s="41" t="s">
        <v>5651</v>
      </c>
      <c r="Z1007" s="53" t="str">
        <f t="array" ref="Z1007">INDEX(Problems!J:J, MATCH(1, (Problems!B:B=B1007)*1, 0))</f>
        <v>n</v>
      </c>
      <c r="AA1007" s="41"/>
      <c r="AB1007" s="41"/>
      <c r="AC1007" s="41" t="s">
        <v>1813</v>
      </c>
      <c r="AD1007" s="41" t="s">
        <v>2338</v>
      </c>
      <c r="AE1007" s="85">
        <f>IFERROR(__xludf.DUMMYFUNCTION("INDEX(SPLIT(SUBSTITUTE(AF1007,CHAR(10), """"),"",:""), MATCH(Z1007, SPLIT(SUBSTITUTE(AF1007,CHAR(10), """"),"",:""), 0) + 1)"),3.0)</f>
        <v>3</v>
      </c>
      <c r="AF1007" s="102" t="s">
        <v>1763</v>
      </c>
      <c r="AG1007" s="41" t="s">
        <v>2625</v>
      </c>
      <c r="AH1007" s="41" t="s">
        <v>5655</v>
      </c>
      <c r="AI1007" s="108">
        <v>1.0</v>
      </c>
      <c r="AJ1007" s="84">
        <v>0.0</v>
      </c>
      <c r="AK1007" s="108"/>
      <c r="AL1007" s="111">
        <v>0.0</v>
      </c>
      <c r="AM1007" s="108"/>
      <c r="AN1007" s="111">
        <v>0.0</v>
      </c>
      <c r="AO1007" s="104"/>
      <c r="AP1007" s="111">
        <v>0.0</v>
      </c>
      <c r="AQ1007" s="111">
        <v>0.0</v>
      </c>
      <c r="AR1007" s="69"/>
      <c r="AS1007" s="111">
        <v>0.0</v>
      </c>
      <c r="AT1007" s="111">
        <v>0.0</v>
      </c>
      <c r="AU1007" s="106" t="s">
        <v>5656</v>
      </c>
      <c r="AV1007" s="13"/>
      <c r="AW1007" s="13"/>
      <c r="AX1007" s="13"/>
      <c r="AY1007" s="13"/>
      <c r="AZ1007" s="6"/>
      <c r="BA1007" s="6"/>
      <c r="BB1007" s="6"/>
      <c r="BC1007" s="6"/>
      <c r="BD1007" s="6"/>
      <c r="BE1007" s="6"/>
      <c r="BF1007" s="6">
        <v>1000.0</v>
      </c>
      <c r="BG1007" s="13"/>
      <c r="BH1007" s="13"/>
      <c r="BI1007" s="13"/>
      <c r="BJ1007" s="13"/>
      <c r="BK1007" s="13"/>
      <c r="BL1007" s="13"/>
      <c r="BM1007" s="13"/>
      <c r="BN1007" s="6"/>
      <c r="BO1007" s="6">
        <v>6.0</v>
      </c>
      <c r="BP1007" s="13"/>
      <c r="BQ1007" s="13"/>
      <c r="BR1007" s="6" t="s">
        <v>485</v>
      </c>
    </row>
    <row r="1008">
      <c r="A1008" s="35">
        <v>141.0</v>
      </c>
      <c r="B1008" s="35" t="s">
        <v>1214</v>
      </c>
      <c r="C1008" s="53">
        <v>1.0</v>
      </c>
      <c r="D1008" s="53" t="s">
        <v>1214</v>
      </c>
      <c r="E1008" s="7">
        <v>996.0</v>
      </c>
      <c r="F1008" s="53"/>
      <c r="G1008" s="6">
        <v>0.0</v>
      </c>
      <c r="H1008" s="35">
        <v>0.0</v>
      </c>
      <c r="I1008" s="111">
        <v>1.0</v>
      </c>
      <c r="J1008" s="35" t="s">
        <v>35</v>
      </c>
      <c r="K1008" s="99"/>
      <c r="L1008" s="99"/>
      <c r="M1008" s="39" t="str">
        <f t="shared" si="1"/>
        <v>[https://link.springer.com/chapter/10.1007/3-540-60590-8_7 RC5 (1994)]</v>
      </c>
      <c r="N1008" s="107" t="s">
        <v>5657</v>
      </c>
      <c r="O1008" s="111">
        <v>1994.0</v>
      </c>
      <c r="P1008" s="106" t="s">
        <v>5658</v>
      </c>
      <c r="Q1008" s="13"/>
      <c r="R1008" s="13"/>
      <c r="S1008" s="13"/>
      <c r="T1008" s="111">
        <v>0.0</v>
      </c>
      <c r="U1008" s="35">
        <v>0.0</v>
      </c>
      <c r="V1008" s="89">
        <f>IFERROR(__xludf.DUMMYFUNCTION("INDEX(SPLIT(SUBSTITUTE(W1008,CHAR(10), """"),"",:""), MATCH(Z1008, SPLIT(SUBSTITUTE(W1008,CHAR(10), """"),"",:""), 0) + 1)"),3.0)</f>
        <v>3</v>
      </c>
      <c r="W1008" s="101" t="s">
        <v>1763</v>
      </c>
      <c r="X1008" s="50" t="s">
        <v>35</v>
      </c>
      <c r="Y1008" s="41" t="s">
        <v>5659</v>
      </c>
      <c r="Z1008" s="53" t="str">
        <f t="array" ref="Z1008">INDEX(Problems!J:J, MATCH(1, (Problems!B:B=B1008)*1, 0))</f>
        <v>n</v>
      </c>
      <c r="AA1008" s="41"/>
      <c r="AB1008" s="41"/>
      <c r="AC1008" s="41" t="s">
        <v>1813</v>
      </c>
      <c r="AD1008" s="41" t="s">
        <v>2338</v>
      </c>
      <c r="AE1008" s="85">
        <f>IFERROR(__xludf.DUMMYFUNCTION("INDEX(SPLIT(SUBSTITUTE(AF1008,CHAR(10), """"),"",:""), MATCH(Z1008, SPLIT(SUBSTITUTE(AF1008,CHAR(10), """"),"",:""), 0) + 1)"),1.0)</f>
        <v>1</v>
      </c>
      <c r="AF1008" s="102" t="s">
        <v>5660</v>
      </c>
      <c r="AG1008" s="41" t="s">
        <v>5661</v>
      </c>
      <c r="AH1008" s="41" t="s">
        <v>5662</v>
      </c>
      <c r="AI1008" s="108">
        <v>1.0</v>
      </c>
      <c r="AJ1008" s="84">
        <v>0.0</v>
      </c>
      <c r="AK1008" s="108"/>
      <c r="AL1008" s="111">
        <v>0.0</v>
      </c>
      <c r="AM1008" s="108"/>
      <c r="AN1008" s="111">
        <v>0.0</v>
      </c>
      <c r="AO1008" s="104"/>
      <c r="AP1008" s="111">
        <v>0.0</v>
      </c>
      <c r="AQ1008" s="111">
        <v>0.0</v>
      </c>
      <c r="AR1008" s="69"/>
      <c r="AS1008" s="111">
        <v>0.0</v>
      </c>
      <c r="AT1008" s="111">
        <v>0.0</v>
      </c>
      <c r="AU1008" s="106" t="s">
        <v>5663</v>
      </c>
      <c r="AV1008" s="13"/>
      <c r="AW1008" s="13"/>
      <c r="AX1008" s="13"/>
      <c r="AY1008" s="13"/>
      <c r="AZ1008" s="6"/>
      <c r="BA1008" s="6"/>
      <c r="BB1008" s="6"/>
      <c r="BC1008" s="6"/>
      <c r="BD1008" s="6"/>
      <c r="BE1008" s="6"/>
      <c r="BF1008" s="6">
        <v>1000.0</v>
      </c>
      <c r="BG1008" s="13"/>
      <c r="BH1008" s="13"/>
      <c r="BI1008" s="13"/>
      <c r="BJ1008" s="13"/>
      <c r="BK1008" s="13"/>
      <c r="BL1008" s="13"/>
      <c r="BM1008" s="13"/>
      <c r="BN1008" s="6"/>
      <c r="BO1008" s="6">
        <v>6.0</v>
      </c>
      <c r="BP1008" s="13"/>
      <c r="BQ1008" s="13"/>
      <c r="BR1008" s="6" t="s">
        <v>485</v>
      </c>
    </row>
    <row r="1009">
      <c r="A1009" s="35">
        <v>141.0</v>
      </c>
      <c r="B1009" s="35" t="s">
        <v>1214</v>
      </c>
      <c r="C1009" s="53">
        <v>1.0</v>
      </c>
      <c r="D1009" s="53" t="s">
        <v>1214</v>
      </c>
      <c r="E1009" s="7">
        <v>997.0</v>
      </c>
      <c r="F1009" s="53"/>
      <c r="G1009" s="6">
        <v>0.0</v>
      </c>
      <c r="H1009" s="35">
        <v>0.0</v>
      </c>
      <c r="I1009" s="111">
        <v>1.0</v>
      </c>
      <c r="J1009" s="35" t="s">
        <v>35</v>
      </c>
      <c r="K1009" s="99"/>
      <c r="L1009" s="99"/>
      <c r="M1009" s="39" t="str">
        <f t="shared" si="1"/>
        <v>[https://csrc.nist.gov/csrc/media/projects/cryptographic-standards-and-guidelines/documents/aes-development/rijndael-ammended.pdf Rijndael / AES (2001)]</v>
      </c>
      <c r="N1009" s="203" t="s">
        <v>5664</v>
      </c>
      <c r="O1009" s="111">
        <v>2001.0</v>
      </c>
      <c r="P1009" s="106" t="s">
        <v>5665</v>
      </c>
      <c r="Q1009" s="13"/>
      <c r="R1009" s="13"/>
      <c r="S1009" s="13"/>
      <c r="T1009" s="111">
        <v>0.0</v>
      </c>
      <c r="U1009" s="35">
        <v>0.0</v>
      </c>
      <c r="V1009" s="89">
        <f>IFERROR(__xludf.DUMMYFUNCTION("INDEX(SPLIT(SUBSTITUTE(W1009,CHAR(10), """"),"",:""), MATCH(Z1009, SPLIT(SUBSTITUTE(W1009,CHAR(10), """"),"",:""), 0) + 1)"),3.0)</f>
        <v>3</v>
      </c>
      <c r="W1009" s="101" t="s">
        <v>1763</v>
      </c>
      <c r="X1009" s="50" t="s">
        <v>35</v>
      </c>
      <c r="Y1009" s="41" t="s">
        <v>5651</v>
      </c>
      <c r="Z1009" s="53" t="str">
        <f t="array" ref="Z1009">INDEX(Problems!J:J, MATCH(1, (Problems!B:B=B1009)*1, 0))</f>
        <v>n</v>
      </c>
      <c r="AA1009" s="41"/>
      <c r="AB1009" s="41"/>
      <c r="AC1009" s="41" t="s">
        <v>1813</v>
      </c>
      <c r="AD1009" s="41" t="s">
        <v>2338</v>
      </c>
      <c r="AE1009" s="85">
        <f>IFERROR(__xludf.DUMMYFUNCTION("INDEX(SPLIT(SUBSTITUTE(AF1009,CHAR(10), """"),"",:""), MATCH(Z1009, SPLIT(SUBSTITUTE(AF1009,CHAR(10), """"),"",:""), 0) + 1)"),3.0)</f>
        <v>3</v>
      </c>
      <c r="AF1009" s="102" t="s">
        <v>1763</v>
      </c>
      <c r="AG1009" s="41" t="s">
        <v>2625</v>
      </c>
      <c r="AH1009" s="41" t="s">
        <v>5666</v>
      </c>
      <c r="AI1009" s="108">
        <v>1.0</v>
      </c>
      <c r="AJ1009" s="84">
        <v>0.0</v>
      </c>
      <c r="AK1009" s="108"/>
      <c r="AL1009" s="111">
        <v>0.0</v>
      </c>
      <c r="AM1009" s="108"/>
      <c r="AN1009" s="111">
        <v>0.0</v>
      </c>
      <c r="AO1009" s="104"/>
      <c r="AP1009" s="111">
        <v>0.0</v>
      </c>
      <c r="AQ1009" s="111">
        <v>0.0</v>
      </c>
      <c r="AR1009" s="69"/>
      <c r="AS1009" s="111">
        <v>0.0</v>
      </c>
      <c r="AT1009" s="111">
        <v>0.0</v>
      </c>
      <c r="AU1009" s="69"/>
      <c r="AV1009" s="13"/>
      <c r="AW1009" s="13"/>
      <c r="AX1009" s="13"/>
      <c r="AY1009" s="13"/>
      <c r="AZ1009" s="6"/>
      <c r="BA1009" s="6"/>
      <c r="BB1009" s="6"/>
      <c r="BC1009" s="6"/>
      <c r="BD1009" s="6"/>
      <c r="BE1009" s="6"/>
      <c r="BF1009" s="6">
        <v>1000.0</v>
      </c>
      <c r="BG1009" s="13"/>
      <c r="BH1009" s="13"/>
      <c r="BI1009" s="13"/>
      <c r="BJ1009" s="13"/>
      <c r="BK1009" s="13"/>
      <c r="BL1009" s="13"/>
      <c r="BM1009" s="13"/>
      <c r="BN1009" s="6"/>
      <c r="BO1009" s="6">
        <v>6.0</v>
      </c>
      <c r="BP1009" s="13"/>
      <c r="BQ1009" s="13"/>
      <c r="BR1009" s="6" t="s">
        <v>485</v>
      </c>
    </row>
    <row r="1010">
      <c r="A1010" s="35">
        <v>141.0</v>
      </c>
      <c r="B1010" s="35" t="s">
        <v>1214</v>
      </c>
      <c r="C1010" s="53">
        <v>1.0</v>
      </c>
      <c r="D1010" s="53" t="s">
        <v>1214</v>
      </c>
      <c r="E1010" s="7">
        <v>998.0</v>
      </c>
      <c r="F1010" s="53"/>
      <c r="G1010" s="6">
        <v>0.0</v>
      </c>
      <c r="H1010" s="35">
        <v>0.0</v>
      </c>
      <c r="I1010" s="111">
        <v>1.0</v>
      </c>
      <c r="J1010" s="35" t="s">
        <v>35</v>
      </c>
      <c r="K1010" s="99"/>
      <c r="L1010" s="99"/>
      <c r="M1010" s="39" t="str">
        <f t="shared" si="1"/>
        <v>[https://link.springer.com/chapter/10.1007/3-540-58108-1_24 Blowfish (1993)]</v>
      </c>
      <c r="N1010" s="107" t="s">
        <v>5667</v>
      </c>
      <c r="O1010" s="111">
        <v>1993.0</v>
      </c>
      <c r="P1010" s="106" t="s">
        <v>5668</v>
      </c>
      <c r="Q1010" s="13"/>
      <c r="R1010" s="13"/>
      <c r="S1010" s="13"/>
      <c r="T1010" s="111">
        <v>0.0</v>
      </c>
      <c r="U1010" s="35">
        <v>0.0</v>
      </c>
      <c r="V1010" s="89">
        <f>IFERROR(__xludf.DUMMYFUNCTION("INDEX(SPLIT(SUBSTITUTE(W1010,CHAR(10), """"),"",:""), MATCH(Z1010, SPLIT(SUBSTITUTE(W1010,CHAR(10), """"),"",:""), 0) + 1)"),3.0)</f>
        <v>3</v>
      </c>
      <c r="W1010" s="101" t="s">
        <v>1763</v>
      </c>
      <c r="X1010" s="50" t="s">
        <v>35</v>
      </c>
      <c r="Y1010" s="41" t="s">
        <v>5651</v>
      </c>
      <c r="Z1010" s="53" t="str">
        <f t="array" ref="Z1010">INDEX(Problems!J:J, MATCH(1, (Problems!B:B=B1010)*1, 0))</f>
        <v>n</v>
      </c>
      <c r="AA1010" s="41"/>
      <c r="AB1010" s="41"/>
      <c r="AC1010" s="41" t="s">
        <v>1813</v>
      </c>
      <c r="AD1010" s="41" t="s">
        <v>2338</v>
      </c>
      <c r="AE1010" s="85">
        <f>IFERROR(__xludf.DUMMYFUNCTION("INDEX(SPLIT(SUBSTITUTE(AF1010,CHAR(10), """"),"",:""), MATCH(Z1010, SPLIT(SUBSTITUTE(AF1010,CHAR(10), """"),"",:""), 0) + 1)"),3.0)</f>
        <v>3</v>
      </c>
      <c r="AF1010" s="102" t="s">
        <v>1763</v>
      </c>
      <c r="AG1010" s="41" t="s">
        <v>2625</v>
      </c>
      <c r="AH1010" s="41" t="s">
        <v>5652</v>
      </c>
      <c r="AI1010" s="108">
        <v>1.0</v>
      </c>
      <c r="AJ1010" s="84">
        <v>0.0</v>
      </c>
      <c r="AK1010" s="108"/>
      <c r="AL1010" s="111">
        <v>0.0</v>
      </c>
      <c r="AM1010" s="108"/>
      <c r="AN1010" s="111">
        <v>0.0</v>
      </c>
      <c r="AO1010" s="104"/>
      <c r="AP1010" s="111">
        <v>0.0</v>
      </c>
      <c r="AQ1010" s="111">
        <v>0.0</v>
      </c>
      <c r="AR1010" s="69"/>
      <c r="AS1010" s="111">
        <v>0.0</v>
      </c>
      <c r="AT1010" s="111">
        <v>0.0</v>
      </c>
      <c r="AU1010" s="69"/>
      <c r="AV1010" s="13"/>
      <c r="AW1010" s="13"/>
      <c r="AX1010" s="13"/>
      <c r="AY1010" s="13"/>
      <c r="AZ1010" s="6"/>
      <c r="BA1010" s="6"/>
      <c r="BB1010" s="6"/>
      <c r="BC1010" s="6"/>
      <c r="BD1010" s="6"/>
      <c r="BE1010" s="6"/>
      <c r="BF1010" s="6">
        <v>1000.0</v>
      </c>
      <c r="BG1010" s="13"/>
      <c r="BH1010" s="13"/>
      <c r="BI1010" s="13"/>
      <c r="BJ1010" s="13"/>
      <c r="BK1010" s="13"/>
      <c r="BL1010" s="13"/>
      <c r="BM1010" s="13"/>
      <c r="BN1010" s="6"/>
      <c r="BO1010" s="6">
        <v>6.0</v>
      </c>
      <c r="BP1010" s="13"/>
      <c r="BQ1010" s="13"/>
      <c r="BR1010" s="6" t="s">
        <v>485</v>
      </c>
    </row>
    <row r="1011">
      <c r="A1011" s="35">
        <v>142.0</v>
      </c>
      <c r="B1011" s="35" t="s">
        <v>1218</v>
      </c>
      <c r="C1011" s="53">
        <v>1.0</v>
      </c>
      <c r="D1011" s="53" t="s">
        <v>5669</v>
      </c>
      <c r="E1011" s="7">
        <v>999.0</v>
      </c>
      <c r="F1011" s="53"/>
      <c r="G1011" s="6"/>
      <c r="H1011" s="35">
        <v>1.0</v>
      </c>
      <c r="I1011" s="111">
        <v>1.0</v>
      </c>
      <c r="J1011" s="35" t="s">
        <v>834</v>
      </c>
      <c r="K1011" s="99"/>
      <c r="L1011" s="99"/>
      <c r="M1011" s="39" t="str">
        <f t="shared" si="1"/>
        <v>[ Gaussian elimination (-150)]</v>
      </c>
      <c r="N1011" s="107" t="s">
        <v>5670</v>
      </c>
      <c r="O1011" s="111">
        <v>-150.0</v>
      </c>
      <c r="P1011" s="128"/>
      <c r="Q1011" s="6">
        <v>1.0</v>
      </c>
      <c r="R1011" s="6">
        <v>1.0</v>
      </c>
      <c r="S1011" s="6"/>
      <c r="T1011" s="111">
        <v>1.0</v>
      </c>
      <c r="U1011" s="35">
        <v>0.0</v>
      </c>
      <c r="V1011" s="89">
        <f>IFERROR(__xludf.DUMMYFUNCTION("INDEX(SPLIT(SUBSTITUTE(W1011,CHAR(10), """"),"",:""), MATCH(Z1011, SPLIT(SUBSTITUTE(W1011,CHAR(10), """"),"",:""), 0) + 1)"),8.0)</f>
        <v>8</v>
      </c>
      <c r="W1011" s="102" t="s">
        <v>2001</v>
      </c>
      <c r="X1011" s="35" t="s">
        <v>834</v>
      </c>
      <c r="Y1011" s="41" t="s">
        <v>5671</v>
      </c>
      <c r="Z1011" s="53" t="str">
        <f t="array" ref="Z1011">INDEX(Problems!J:J, MATCH(1, (Problems!B:B=B1011)*1, 0))</f>
        <v>n</v>
      </c>
      <c r="AA1011" s="41"/>
      <c r="AB1011" s="41"/>
      <c r="AC1011" s="120" t="s">
        <v>2312</v>
      </c>
      <c r="AD1011" s="120" t="s">
        <v>1814</v>
      </c>
      <c r="AE1011" s="85">
        <f>IFERROR(__xludf.DUMMYFUNCTION("INDEX(SPLIT(SUBSTITUTE(AF1011,CHAR(10), """"),"",:""), MATCH(Z1011, SPLIT(SUBSTITUTE(AF1011,CHAR(10), """"),"",:""), 0) + 1)"),5.0)</f>
        <v>5</v>
      </c>
      <c r="AF1011" s="102" t="s">
        <v>1938</v>
      </c>
      <c r="AG1011" s="41" t="s">
        <v>115</v>
      </c>
      <c r="AH1011" s="41" t="s">
        <v>5672</v>
      </c>
      <c r="AI1011" s="108">
        <v>1.0</v>
      </c>
      <c r="AJ1011" s="84">
        <v>0.0</v>
      </c>
      <c r="AK1011" s="108"/>
      <c r="AL1011" s="111">
        <v>0.0</v>
      </c>
      <c r="AM1011" s="108"/>
      <c r="AN1011" s="111">
        <v>0.0</v>
      </c>
      <c r="AO1011" s="104"/>
      <c r="AP1011" s="111">
        <v>0.0</v>
      </c>
      <c r="AQ1011" s="111">
        <v>0.0</v>
      </c>
      <c r="AR1011" s="69"/>
      <c r="AS1011" s="111">
        <v>0.0</v>
      </c>
      <c r="AT1011" s="111">
        <v>0.0</v>
      </c>
      <c r="AU1011" s="69"/>
      <c r="AV1011" s="13"/>
      <c r="AW1011" s="13"/>
      <c r="AX1011" s="13"/>
      <c r="AY1011" s="13"/>
      <c r="AZ1011" s="6">
        <f>POW(1000, 2)</f>
        <v>1000000</v>
      </c>
      <c r="BA1011" s="6"/>
      <c r="BB1011" s="6">
        <f>POW(1000000,2)</f>
        <v>1000000000000</v>
      </c>
      <c r="BC1011" s="6"/>
      <c r="BD1011" s="6">
        <f>POW(1000000000,2)</f>
        <v>1E+18</v>
      </c>
      <c r="BE1011" s="6"/>
      <c r="BF1011" s="6">
        <v>1.0E9</v>
      </c>
      <c r="BG1011" s="6">
        <v>1.0</v>
      </c>
      <c r="BH1011" s="13"/>
      <c r="BI1011" s="13">
        <f>POW(1000000,3)</f>
        <v>1E+18</v>
      </c>
      <c r="BJ1011" s="6">
        <v>1.0</v>
      </c>
      <c r="BK1011" s="13"/>
      <c r="BL1011" s="13">
        <f>POW(1000000000,3)</f>
        <v>1E+27</v>
      </c>
      <c r="BM1011" s="6">
        <v>1.0</v>
      </c>
      <c r="BN1011" s="6"/>
      <c r="BO1011" s="6">
        <v>3.0</v>
      </c>
      <c r="BP1011" s="13"/>
      <c r="BQ1011" s="13"/>
      <c r="BR1011" s="6" t="s">
        <v>144</v>
      </c>
    </row>
    <row r="1012">
      <c r="A1012" s="35">
        <v>142.0</v>
      </c>
      <c r="B1012" s="35" t="s">
        <v>1218</v>
      </c>
      <c r="C1012" s="53">
        <v>1.0</v>
      </c>
      <c r="D1012" s="53" t="s">
        <v>5669</v>
      </c>
      <c r="E1012" s="7">
        <v>1000.0</v>
      </c>
      <c r="F1012" s="53"/>
      <c r="G1012" s="6"/>
      <c r="H1012" s="35">
        <v>1.0</v>
      </c>
      <c r="I1012" s="111">
        <v>1.0</v>
      </c>
      <c r="J1012" s="35" t="s">
        <v>115</v>
      </c>
      <c r="K1012" s="99"/>
      <c r="L1012" s="99"/>
      <c r="M1012" s="39" t="str">
        <f t="shared" si="1"/>
        <v>[https://www.jstor.org/stable/2004623?origin=crossref&amp;seq=5#metadata_info_tab_contents Bjorck (1970)]</v>
      </c>
      <c r="N1012" s="107" t="s">
        <v>5673</v>
      </c>
      <c r="O1012" s="111">
        <v>1970.0</v>
      </c>
      <c r="P1012" s="112" t="s">
        <v>5674</v>
      </c>
      <c r="Q1012" s="6">
        <v>0.5</v>
      </c>
      <c r="R1012" s="6">
        <v>0.0</v>
      </c>
      <c r="S1012" s="18" t="s">
        <v>5675</v>
      </c>
      <c r="T1012" s="111">
        <v>1.0</v>
      </c>
      <c r="U1012" s="35" t="s">
        <v>2425</v>
      </c>
      <c r="V1012" s="89">
        <f>IFERROR(__xludf.DUMMYFUNCTION("INDEX(SPLIT(SUBSTITUTE(W1012,CHAR(10), """"),"",:""), MATCH(Z1012, SPLIT(SUBSTITUTE(W1012,CHAR(10), """"),"",:""), 0) + 1)"),5.0)</f>
        <v>5</v>
      </c>
      <c r="W1012" s="102" t="s">
        <v>1938</v>
      </c>
      <c r="X1012" s="35" t="s">
        <v>115</v>
      </c>
      <c r="Y1012" s="41" t="s">
        <v>5671</v>
      </c>
      <c r="Z1012" s="53" t="str">
        <f t="array" ref="Z1012">INDEX(Problems!J:J, MATCH(1, (Problems!B:B=B1012)*1, 0))</f>
        <v>n</v>
      </c>
      <c r="AA1012" s="41"/>
      <c r="AB1012" s="41"/>
      <c r="AC1012" s="120" t="s">
        <v>2312</v>
      </c>
      <c r="AD1012" s="120" t="s">
        <v>1814</v>
      </c>
      <c r="AE1012" s="85">
        <f>IFERROR(__xludf.DUMMYFUNCTION("INDEX(SPLIT(SUBSTITUTE(AF1012,CHAR(10), """"),"",:""), MATCH(Z1012, SPLIT(SUBSTITUTE(AF1012,CHAR(10), """"),"",:""), 0) + 1)"),3.0)</f>
        <v>3</v>
      </c>
      <c r="AF1012" s="102" t="s">
        <v>1763</v>
      </c>
      <c r="AG1012" s="41" t="s">
        <v>35</v>
      </c>
      <c r="AH1012" s="112" t="s">
        <v>5676</v>
      </c>
      <c r="AI1012" s="108">
        <v>0.0</v>
      </c>
      <c r="AJ1012" s="84">
        <v>0.0</v>
      </c>
      <c r="AK1012" s="108"/>
      <c r="AL1012" s="111">
        <v>0.0</v>
      </c>
      <c r="AM1012" s="108"/>
      <c r="AN1012" s="111">
        <v>0.0</v>
      </c>
      <c r="AO1012" s="104"/>
      <c r="AP1012" s="111">
        <v>0.0</v>
      </c>
      <c r="AQ1012" s="111">
        <v>0.0</v>
      </c>
      <c r="AR1012" s="69"/>
      <c r="AS1012" s="111">
        <v>0.0</v>
      </c>
      <c r="AT1012" s="111">
        <v>0.0</v>
      </c>
      <c r="AU1012" s="69"/>
      <c r="AV1012" s="13"/>
      <c r="AW1012" s="13"/>
      <c r="AX1012" s="13"/>
      <c r="AY1012" s="13"/>
      <c r="AZ1012" s="6">
        <f> 1000</f>
        <v>1000</v>
      </c>
      <c r="BA1012" s="6">
        <f>POW(AZ1011/AZ1012,1/($O1012-1940))-1</f>
        <v>0.2589254118</v>
      </c>
      <c r="BB1012" s="6">
        <f> 1000000</f>
        <v>1000000</v>
      </c>
      <c r="BC1012" s="6">
        <f>POW(BB1011/BB1012,1/($O1012-1940))-1</f>
        <v>0.5848931925</v>
      </c>
      <c r="BD1012" s="6">
        <f> 1000000000</f>
        <v>1000000000</v>
      </c>
      <c r="BE1012" s="6">
        <f>POW(BD1011/BD1012,1/($O1012-1940))-1</f>
        <v>0.995262315</v>
      </c>
      <c r="BF1012" s="6">
        <v>1000000.0</v>
      </c>
      <c r="BG1012" s="6">
        <v>1000.0</v>
      </c>
      <c r="BH1012" s="13">
        <f>POW(BG1012,1/($O1012-1940))-1</f>
        <v>0.2589254118</v>
      </c>
      <c r="BI1012" s="13">
        <f>POW(1000000,2)</f>
        <v>1000000000000</v>
      </c>
      <c r="BJ1012" s="6">
        <v>1000000.0</v>
      </c>
      <c r="BK1012" s="13">
        <f>POW(BJ1012,1/($O1012-1940))-1</f>
        <v>0.5848931925</v>
      </c>
      <c r="BL1012" s="6">
        <v>1.0E18</v>
      </c>
      <c r="BM1012" s="6">
        <v>1.0E9</v>
      </c>
      <c r="BN1012" s="13">
        <f>POW(BM1012,1/($O1012-1940))-1</f>
        <v>0.995262315</v>
      </c>
      <c r="BO1012" s="6">
        <v>3.0</v>
      </c>
      <c r="BP1012" s="13"/>
      <c r="BQ1012" s="13"/>
      <c r="BR1012" s="6" t="s">
        <v>144</v>
      </c>
    </row>
    <row r="1013">
      <c r="A1013" s="35">
        <v>142.0</v>
      </c>
      <c r="B1013" s="35" t="s">
        <v>1218</v>
      </c>
      <c r="C1013" s="53">
        <v>1.0</v>
      </c>
      <c r="D1013" s="53" t="s">
        <v>5669</v>
      </c>
      <c r="E1013" s="7">
        <v>1001.0</v>
      </c>
      <c r="F1013" s="53"/>
      <c r="G1013" s="6"/>
      <c r="H1013" s="35">
        <v>1.0</v>
      </c>
      <c r="I1013" s="111">
        <v>1.0</v>
      </c>
      <c r="J1013" s="35" t="s">
        <v>115</v>
      </c>
      <c r="K1013" s="99"/>
      <c r="L1013" s="99"/>
      <c r="M1013" s="39" t="str">
        <f t="shared" si="1"/>
        <v>[https://academic.oup.com/imajna/article/8/4/473/758789?login=true Higham (1988)]</v>
      </c>
      <c r="N1013" s="107" t="s">
        <v>5677</v>
      </c>
      <c r="O1013" s="111">
        <v>1988.0</v>
      </c>
      <c r="P1013" s="112" t="s">
        <v>5676</v>
      </c>
      <c r="Q1013" s="13"/>
      <c r="R1013" s="13"/>
      <c r="S1013" s="13"/>
      <c r="T1013" s="111">
        <v>0.0</v>
      </c>
      <c r="U1013" s="35">
        <v>0.0</v>
      </c>
      <c r="V1013" s="89">
        <f>IFERROR(__xludf.DUMMYFUNCTION("INDEX(SPLIT(SUBSTITUTE(W1013,CHAR(10), """"),"",:""), MATCH(Z1013, SPLIT(SUBSTITUTE(W1013,CHAR(10), """"),"",:""), 0) + 1)"),5.0)</f>
        <v>5</v>
      </c>
      <c r="W1013" s="102" t="s">
        <v>1938</v>
      </c>
      <c r="X1013" s="35" t="s">
        <v>115</v>
      </c>
      <c r="Y1013" s="41" t="s">
        <v>5671</v>
      </c>
      <c r="Z1013" s="53" t="str">
        <f t="array" ref="Z1013">INDEX(Problems!J:J, MATCH(1, (Problems!B:B=B1013)*1, 0))</f>
        <v>n</v>
      </c>
      <c r="AA1013" s="41"/>
      <c r="AB1013" s="41"/>
      <c r="AC1013" s="120" t="s">
        <v>2312</v>
      </c>
      <c r="AD1013" s="120" t="s">
        <v>1814</v>
      </c>
      <c r="AE1013" s="85">
        <f>IFERROR(__xludf.DUMMYFUNCTION("INDEX(SPLIT(SUBSTITUTE(AF1013,CHAR(10), """"),"",:""), MATCH(Z1013, SPLIT(SUBSTITUTE(AF1013,CHAR(10), """"),"",:""), 0) + 1)"),3.0)</f>
        <v>3</v>
      </c>
      <c r="AF1013" s="102" t="s">
        <v>1763</v>
      </c>
      <c r="AG1013" s="41" t="s">
        <v>35</v>
      </c>
      <c r="AH1013" s="112" t="s">
        <v>5676</v>
      </c>
      <c r="AI1013" s="108">
        <v>0.0</v>
      </c>
      <c r="AJ1013" s="84">
        <v>1.0</v>
      </c>
      <c r="AK1013" s="108"/>
      <c r="AL1013" s="111">
        <v>0.0</v>
      </c>
      <c r="AM1013" s="108"/>
      <c r="AN1013" s="111">
        <v>0.0</v>
      </c>
      <c r="AO1013" s="104"/>
      <c r="AP1013" s="111">
        <v>0.0</v>
      </c>
      <c r="AQ1013" s="111">
        <v>0.0</v>
      </c>
      <c r="AR1013" s="69"/>
      <c r="AS1013" s="111">
        <v>0.0</v>
      </c>
      <c r="AT1013" s="111">
        <v>0.0</v>
      </c>
      <c r="AU1013" s="69"/>
      <c r="AV1013" s="13"/>
      <c r="AW1013" s="13"/>
      <c r="AX1013" s="13"/>
      <c r="AY1013" s="13"/>
      <c r="AZ1013" s="6"/>
      <c r="BA1013" s="6"/>
      <c r="BB1013" s="6"/>
      <c r="BC1013" s="6"/>
      <c r="BD1013" s="6"/>
      <c r="BE1013" s="6"/>
      <c r="BF1013" s="6">
        <v>1000000.0</v>
      </c>
      <c r="BG1013" s="13"/>
      <c r="BH1013" s="13"/>
      <c r="BI1013" s="13"/>
      <c r="BJ1013" s="13"/>
      <c r="BK1013" s="13"/>
      <c r="BL1013" s="13"/>
      <c r="BM1013" s="13"/>
      <c r="BN1013" s="6"/>
      <c r="BO1013" s="6">
        <v>3.0</v>
      </c>
      <c r="BP1013" s="13"/>
      <c r="BQ1013" s="13"/>
      <c r="BR1013" s="6" t="s">
        <v>144</v>
      </c>
    </row>
    <row r="1014">
      <c r="A1014" s="35">
        <v>142.0</v>
      </c>
      <c r="B1014" s="35" t="s">
        <v>1218</v>
      </c>
      <c r="C1014" s="53">
        <v>1.0</v>
      </c>
      <c r="D1014" s="53" t="s">
        <v>5669</v>
      </c>
      <c r="E1014" s="7">
        <v>1002.0</v>
      </c>
      <c r="F1014" s="53"/>
      <c r="G1014" s="6"/>
      <c r="H1014" s="35">
        <v>1.0</v>
      </c>
      <c r="I1014" s="111">
        <v>1.0</v>
      </c>
      <c r="J1014" s="35" t="s">
        <v>115</v>
      </c>
      <c r="K1014" s="99"/>
      <c r="L1014" s="99"/>
      <c r="M1014" s="39" t="str">
        <f t="shared" si="1"/>
        <v>[https://link.springer.com/article/10.1007/BF01990529 Calvetti, Reichel (1993)]</v>
      </c>
      <c r="N1014" s="107" t="s">
        <v>5678</v>
      </c>
      <c r="O1014" s="111">
        <v>1993.0</v>
      </c>
      <c r="P1014" s="112" t="s">
        <v>5679</v>
      </c>
      <c r="Q1014" s="13"/>
      <c r="R1014" s="13"/>
      <c r="S1014" s="13"/>
      <c r="T1014" s="111">
        <v>0.0</v>
      </c>
      <c r="U1014" s="35">
        <v>0.0</v>
      </c>
      <c r="V1014" s="89">
        <f>IFERROR(__xludf.DUMMYFUNCTION("INDEX(SPLIT(SUBSTITUTE(W1014,CHAR(10), """"),"",:""), MATCH(Z1014, SPLIT(SUBSTITUTE(W1014,CHAR(10), """"),"",:""), 0) + 1)"),5.0)</f>
        <v>5</v>
      </c>
      <c r="W1014" s="102" t="s">
        <v>1938</v>
      </c>
      <c r="X1014" s="35" t="s">
        <v>115</v>
      </c>
      <c r="Y1014" s="41" t="s">
        <v>5671</v>
      </c>
      <c r="Z1014" s="53" t="str">
        <f t="array" ref="Z1014">INDEX(Problems!J:J, MATCH(1, (Problems!B:B=B1014)*1, 0))</f>
        <v>n</v>
      </c>
      <c r="AA1014" s="41"/>
      <c r="AB1014" s="41"/>
      <c r="AC1014" s="120" t="s">
        <v>2312</v>
      </c>
      <c r="AD1014" s="120" t="s">
        <v>1814</v>
      </c>
      <c r="AE1014" s="85">
        <f>IFERROR(__xludf.DUMMYFUNCTION("INDEX(SPLIT(SUBSTITUTE(AF1014,CHAR(10), """"),"",:""), MATCH(Z1014, SPLIT(SUBSTITUTE(AF1014,CHAR(10), """"),"",:""), 0) + 1)"),3.0)</f>
        <v>3</v>
      </c>
      <c r="AF1014" s="102" t="s">
        <v>1763</v>
      </c>
      <c r="AG1014" s="41" t="s">
        <v>2625</v>
      </c>
      <c r="AH1014" s="41" t="s">
        <v>5680</v>
      </c>
      <c r="AI1014" s="108">
        <v>1.0</v>
      </c>
      <c r="AJ1014" s="84">
        <v>0.0</v>
      </c>
      <c r="AK1014" s="108"/>
      <c r="AL1014" s="111">
        <v>0.0</v>
      </c>
      <c r="AM1014" s="108"/>
      <c r="AN1014" s="111">
        <v>0.0</v>
      </c>
      <c r="AO1014" s="104"/>
      <c r="AP1014" s="111">
        <v>0.0</v>
      </c>
      <c r="AQ1014" s="111">
        <v>0.0</v>
      </c>
      <c r="AR1014" s="69"/>
      <c r="AS1014" s="111">
        <v>0.0</v>
      </c>
      <c r="AT1014" s="111">
        <v>0.0</v>
      </c>
      <c r="AU1014" s="69"/>
      <c r="AV1014" s="13"/>
      <c r="AW1014" s="13"/>
      <c r="AX1014" s="13"/>
      <c r="AY1014" s="13"/>
      <c r="AZ1014" s="6"/>
      <c r="BA1014" s="6"/>
      <c r="BB1014" s="6"/>
      <c r="BC1014" s="6"/>
      <c r="BD1014" s="6"/>
      <c r="BE1014" s="6"/>
      <c r="BF1014" s="6">
        <v>1000000.0</v>
      </c>
      <c r="BG1014" s="13"/>
      <c r="BH1014" s="13"/>
      <c r="BI1014" s="13"/>
      <c r="BJ1014" s="13"/>
      <c r="BK1014" s="13"/>
      <c r="BL1014" s="13"/>
      <c r="BM1014" s="13"/>
      <c r="BN1014" s="6"/>
      <c r="BO1014" s="6">
        <v>3.0</v>
      </c>
      <c r="BP1014" s="13"/>
      <c r="BQ1014" s="13"/>
      <c r="BR1014" s="6" t="s">
        <v>144</v>
      </c>
    </row>
    <row r="1015">
      <c r="A1015" s="35">
        <v>143.0</v>
      </c>
      <c r="B1015" s="35" t="s">
        <v>1222</v>
      </c>
      <c r="C1015" s="53">
        <v>1.0</v>
      </c>
      <c r="D1015" s="104" t="s">
        <v>1222</v>
      </c>
      <c r="E1015" s="7">
        <v>1003.0</v>
      </c>
      <c r="F1015" s="53"/>
      <c r="G1015" s="6"/>
      <c r="H1015" s="35">
        <v>1.0</v>
      </c>
      <c r="I1015" s="111">
        <v>1.0</v>
      </c>
      <c r="J1015" s="35" t="s">
        <v>115</v>
      </c>
      <c r="K1015" s="99"/>
      <c r="L1015" s="99"/>
      <c r="M1015" s="39" t="str">
        <f t="shared" si="1"/>
        <v>[ Euclid's algorithm (-300)]</v>
      </c>
      <c r="N1015" s="107" t="s">
        <v>5681</v>
      </c>
      <c r="O1015" s="111">
        <v>-300.0</v>
      </c>
      <c r="P1015" s="128"/>
      <c r="Q1015" s="6">
        <v>1.0</v>
      </c>
      <c r="R1015" s="6">
        <v>1.0</v>
      </c>
      <c r="S1015" s="6"/>
      <c r="T1015" s="111">
        <v>1.0</v>
      </c>
      <c r="U1015" s="35">
        <v>0.0</v>
      </c>
      <c r="V1015" s="89">
        <f>IFERROR(__xludf.DUMMYFUNCTION("INDEX(SPLIT(SUBSTITUTE(W1015,CHAR(10), """"),"",:""), MATCH(Z1015, SPLIT(SUBSTITUTE(W1015,CHAR(10), """"),"",:""), 0) + 1)"),5.0)</f>
        <v>5</v>
      </c>
      <c r="W1015" s="102" t="s">
        <v>1938</v>
      </c>
      <c r="X1015" s="35" t="s">
        <v>115</v>
      </c>
      <c r="Y1015" s="41" t="s">
        <v>5682</v>
      </c>
      <c r="Z1015" s="53" t="str">
        <f t="array" ref="Z1015">INDEX(Problems!J:J, MATCH(1, (Problems!B:B=B1015)*1, 0))</f>
        <v>n</v>
      </c>
      <c r="AA1015" s="41"/>
      <c r="AB1015" s="41"/>
      <c r="AC1015" s="41" t="s">
        <v>5683</v>
      </c>
      <c r="AD1015" s="41" t="s">
        <v>2338</v>
      </c>
      <c r="AE1015" s="85">
        <f>IFERROR(__xludf.DUMMYFUNCTION("INDEX(SPLIT(SUBSTITUTE(AF1015,CHAR(10), """"),"",:""), MATCH(Z1015, SPLIT(SUBSTITUTE(AF1015,CHAR(10), """"),"",:""), 0) + 1)"),3.0)</f>
        <v>3</v>
      </c>
      <c r="AF1015" s="102" t="s">
        <v>1763</v>
      </c>
      <c r="AG1015" s="41" t="s">
        <v>35</v>
      </c>
      <c r="AH1015" s="41" t="s">
        <v>5684</v>
      </c>
      <c r="AI1015" s="108">
        <v>1.0</v>
      </c>
      <c r="AJ1015" s="84">
        <v>0.0</v>
      </c>
      <c r="AK1015" s="108"/>
      <c r="AL1015" s="111">
        <v>0.0</v>
      </c>
      <c r="AM1015" s="108"/>
      <c r="AN1015" s="111">
        <v>0.0</v>
      </c>
      <c r="AO1015" s="104"/>
      <c r="AP1015" s="111">
        <v>0.0</v>
      </c>
      <c r="AQ1015" s="111">
        <v>0.0</v>
      </c>
      <c r="AR1015" s="69"/>
      <c r="AS1015" s="111">
        <v>0.0</v>
      </c>
      <c r="AT1015" s="111">
        <v>0.0</v>
      </c>
      <c r="AU1015" s="69"/>
      <c r="AV1015" s="13"/>
      <c r="AW1015" s="13"/>
      <c r="AX1015" s="13"/>
      <c r="AY1015" s="13"/>
      <c r="AZ1015" s="6"/>
      <c r="BA1015" s="6"/>
      <c r="BB1015" s="6"/>
      <c r="BC1015" s="6"/>
      <c r="BD1015" s="6"/>
      <c r="BE1015" s="6"/>
      <c r="BF1015" s="6">
        <v>1000000.0</v>
      </c>
      <c r="BG1015" s="6">
        <v>1.0</v>
      </c>
      <c r="BH1015" s="152"/>
      <c r="BI1015" s="152">
        <f>POW(1000000,2)</f>
        <v>1000000000000</v>
      </c>
      <c r="BJ1015" s="6">
        <v>1.0</v>
      </c>
      <c r="BK1015" s="6"/>
      <c r="BL1015" s="6">
        <v>1.0E18</v>
      </c>
      <c r="BM1015" s="6">
        <v>1.0</v>
      </c>
      <c r="BN1015" s="6"/>
      <c r="BO1015" s="6">
        <v>4.0</v>
      </c>
      <c r="BP1015" s="13"/>
      <c r="BQ1015" s="13"/>
      <c r="BR1015" s="6" t="s">
        <v>979</v>
      </c>
    </row>
    <row r="1016">
      <c r="A1016" s="35">
        <v>143.0</v>
      </c>
      <c r="B1016" s="35" t="s">
        <v>1222</v>
      </c>
      <c r="C1016" s="53">
        <v>1.0</v>
      </c>
      <c r="D1016" s="104" t="s">
        <v>1222</v>
      </c>
      <c r="E1016" s="7">
        <v>1004.0</v>
      </c>
      <c r="F1016" s="53"/>
      <c r="G1016" s="6"/>
      <c r="H1016" s="35">
        <v>1.0</v>
      </c>
      <c r="I1016" s="111">
        <v>1.0</v>
      </c>
      <c r="J1016" s="50" t="s">
        <v>115</v>
      </c>
      <c r="K1016" s="99"/>
      <c r="L1016" s="99"/>
      <c r="M1016" s="39" t="str">
        <f t="shared" si="1"/>
        <v>[ Lehmer's GCD algorithm (1940)]</v>
      </c>
      <c r="N1016" s="107" t="s">
        <v>5685</v>
      </c>
      <c r="O1016" s="111">
        <v>1940.0</v>
      </c>
      <c r="P1016" s="128"/>
      <c r="Q1016" s="13"/>
      <c r="R1016" s="13"/>
      <c r="S1016" s="13"/>
      <c r="T1016" s="111">
        <v>0.0</v>
      </c>
      <c r="U1016" s="35">
        <v>0.0</v>
      </c>
      <c r="V1016" s="89">
        <f>IFERROR(__xludf.DUMMYFUNCTION("INDEX(SPLIT(SUBSTITUTE(W1016,CHAR(10), """"),"",:""), MATCH(Z1016, SPLIT(SUBSTITUTE(W1016,CHAR(10), """"),"",:""), 0) + 1)"),5.0)</f>
        <v>5</v>
      </c>
      <c r="W1016" s="101" t="s">
        <v>1938</v>
      </c>
      <c r="X1016" s="50" t="s">
        <v>115</v>
      </c>
      <c r="Y1016" s="41" t="s">
        <v>5682</v>
      </c>
      <c r="Z1016" s="53" t="str">
        <f t="array" ref="Z1016">INDEX(Problems!J:J, MATCH(1, (Problems!B:B=B1016)*1, 0))</f>
        <v>n</v>
      </c>
      <c r="AA1016" s="41"/>
      <c r="AB1016" s="41"/>
      <c r="AC1016" s="41" t="s">
        <v>5683</v>
      </c>
      <c r="AD1016" s="41" t="s">
        <v>2338</v>
      </c>
      <c r="AE1016" s="85">
        <f>IFERROR(__xludf.DUMMYFUNCTION("INDEX(SPLIT(SUBSTITUTE(AF1016,CHAR(10), """"),"",:""), MATCH(Z1016, SPLIT(SUBSTITUTE(AF1016,CHAR(10), """"),"",:""), 0) + 1)"),3.0)</f>
        <v>3</v>
      </c>
      <c r="AF1016" s="102" t="s">
        <v>1763</v>
      </c>
      <c r="AG1016" s="41" t="s">
        <v>35</v>
      </c>
      <c r="AH1016" s="41" t="s">
        <v>5686</v>
      </c>
      <c r="AI1016" s="108">
        <v>1.0</v>
      </c>
      <c r="AJ1016" s="84">
        <v>0.0</v>
      </c>
      <c r="AK1016" s="108"/>
      <c r="AL1016" s="111">
        <v>0.0</v>
      </c>
      <c r="AM1016" s="108"/>
      <c r="AN1016" s="111">
        <v>0.0</v>
      </c>
      <c r="AO1016" s="101"/>
      <c r="AP1016" s="111">
        <v>0.0</v>
      </c>
      <c r="AQ1016" s="111">
        <v>0.0</v>
      </c>
      <c r="AR1016" s="69"/>
      <c r="AS1016" s="111">
        <v>0.0</v>
      </c>
      <c r="AT1016" s="111">
        <v>0.0</v>
      </c>
      <c r="AU1016" s="69"/>
      <c r="AV1016" s="13"/>
      <c r="AW1016" s="13"/>
      <c r="AX1016" s="13"/>
      <c r="AY1016" s="13"/>
      <c r="AZ1016" s="6"/>
      <c r="BA1016" s="6"/>
      <c r="BB1016" s="6"/>
      <c r="BC1016" s="6"/>
      <c r="BD1016" s="6"/>
      <c r="BE1016" s="6"/>
      <c r="BF1016" s="6">
        <v>1000000.0</v>
      </c>
      <c r="BG1016" s="13"/>
      <c r="BH1016" s="13"/>
      <c r="BI1016" s="13"/>
      <c r="BJ1016" s="13"/>
      <c r="BK1016" s="13"/>
      <c r="BL1016" s="13"/>
      <c r="BM1016" s="13"/>
      <c r="BN1016" s="6"/>
      <c r="BO1016" s="6">
        <v>4.0</v>
      </c>
      <c r="BP1016" s="13"/>
      <c r="BQ1016" s="13"/>
      <c r="BR1016" s="6" t="s">
        <v>979</v>
      </c>
    </row>
    <row r="1017">
      <c r="A1017" s="35">
        <v>143.0</v>
      </c>
      <c r="B1017" s="35" t="s">
        <v>1222</v>
      </c>
      <c r="C1017" s="53">
        <v>1.0</v>
      </c>
      <c r="D1017" s="104" t="s">
        <v>1222</v>
      </c>
      <c r="E1017" s="7">
        <v>1005.0</v>
      </c>
      <c r="F1017" s="53"/>
      <c r="G1017" s="6"/>
      <c r="H1017" s="35">
        <v>1.0</v>
      </c>
      <c r="I1017" s="111">
        <v>1.0</v>
      </c>
      <c r="J1017" s="35" t="s">
        <v>115</v>
      </c>
      <c r="K1017" s="99"/>
      <c r="L1017" s="99"/>
      <c r="M1017" s="39" t="str">
        <f t="shared" si="1"/>
        <v>[https://arxiv.org/abs/0910.0095 Binary GCD algorithm (1967)]</v>
      </c>
      <c r="N1017" s="107" t="s">
        <v>5687</v>
      </c>
      <c r="O1017" s="111">
        <v>1967.0</v>
      </c>
      <c r="P1017" s="112" t="s">
        <v>5688</v>
      </c>
      <c r="Q1017" s="13"/>
      <c r="R1017" s="13"/>
      <c r="S1017" s="13"/>
      <c r="T1017" s="111">
        <v>0.0</v>
      </c>
      <c r="U1017" s="35">
        <v>0.0</v>
      </c>
      <c r="V1017" s="89">
        <f>IFERROR(__xludf.DUMMYFUNCTION("INDEX(SPLIT(SUBSTITUTE(W1017,CHAR(10), """"),"",:""), MATCH(Z1017, SPLIT(SUBSTITUTE(W1017,CHAR(10), """"),"",:""), 0) + 1)"),5.0)</f>
        <v>5</v>
      </c>
      <c r="W1017" s="102" t="s">
        <v>1938</v>
      </c>
      <c r="X1017" s="35" t="s">
        <v>115</v>
      </c>
      <c r="Y1017" s="41" t="s">
        <v>5682</v>
      </c>
      <c r="Z1017" s="53" t="str">
        <f t="array" ref="Z1017">INDEX(Problems!J:J, MATCH(1, (Problems!B:B=B1017)*1, 0))</f>
        <v>n</v>
      </c>
      <c r="AA1017" s="41"/>
      <c r="AB1017" s="41"/>
      <c r="AC1017" s="41" t="s">
        <v>5683</v>
      </c>
      <c r="AD1017" s="41" t="s">
        <v>2338</v>
      </c>
      <c r="AE1017" s="85">
        <f>IFERROR(__xludf.DUMMYFUNCTION("INDEX(SPLIT(SUBSTITUTE(AF1017,CHAR(10), """"),"",:""), MATCH(Z1017, SPLIT(SUBSTITUTE(AF1017,CHAR(10), """"),"",:""), 0) + 1)"),3.0)</f>
        <v>3</v>
      </c>
      <c r="AF1017" s="102" t="s">
        <v>1763</v>
      </c>
      <c r="AG1017" s="41" t="s">
        <v>35</v>
      </c>
      <c r="AH1017" s="41" t="s">
        <v>5684</v>
      </c>
      <c r="AI1017" s="108">
        <v>1.0</v>
      </c>
      <c r="AJ1017" s="84">
        <v>0.0</v>
      </c>
      <c r="AK1017" s="108"/>
      <c r="AL1017" s="111">
        <v>0.0</v>
      </c>
      <c r="AM1017" s="108"/>
      <c r="AN1017" s="111">
        <v>0.0</v>
      </c>
      <c r="AO1017" s="104"/>
      <c r="AP1017" s="111">
        <v>0.0</v>
      </c>
      <c r="AQ1017" s="111">
        <v>0.0</v>
      </c>
      <c r="AR1017" s="69"/>
      <c r="AS1017" s="111">
        <v>0.0</v>
      </c>
      <c r="AT1017" s="111">
        <v>0.0</v>
      </c>
      <c r="AU1017" s="69"/>
      <c r="AV1017" s="13"/>
      <c r="AW1017" s="13"/>
      <c r="AX1017" s="13"/>
      <c r="AY1017" s="13"/>
      <c r="AZ1017" s="6"/>
      <c r="BA1017" s="6"/>
      <c r="BB1017" s="6"/>
      <c r="BC1017" s="6"/>
      <c r="BD1017" s="6"/>
      <c r="BE1017" s="6"/>
      <c r="BF1017" s="6">
        <v>1000000.0</v>
      </c>
      <c r="BG1017" s="13"/>
      <c r="BH1017" s="13"/>
      <c r="BI1017" s="13"/>
      <c r="BJ1017" s="13"/>
      <c r="BK1017" s="13"/>
      <c r="BL1017" s="13"/>
      <c r="BM1017" s="13"/>
      <c r="BN1017" s="6"/>
      <c r="BO1017" s="6">
        <v>4.0</v>
      </c>
      <c r="BP1017" s="13"/>
      <c r="BQ1017" s="13"/>
      <c r="BR1017" s="6" t="s">
        <v>979</v>
      </c>
    </row>
    <row r="1018">
      <c r="A1018" s="35">
        <v>143.0</v>
      </c>
      <c r="B1018" s="35" t="s">
        <v>1222</v>
      </c>
      <c r="C1018" s="53">
        <v>1.0</v>
      </c>
      <c r="D1018" s="104" t="s">
        <v>1222</v>
      </c>
      <c r="E1018" s="7"/>
      <c r="F1018" s="53"/>
      <c r="G1018" s="6"/>
      <c r="H1018" s="35">
        <v>1.0</v>
      </c>
      <c r="I1018" s="111">
        <v>1.0</v>
      </c>
      <c r="J1018" s="165" t="s">
        <v>5689</v>
      </c>
      <c r="K1018" s="99"/>
      <c r="L1018" s="99"/>
      <c r="M1018" s="39" t="str">
        <f t="shared" si="1"/>
        <v>[https://hal.inria.fr/file/index/docid/71533/filename/RR-5050.pdf Sthele, Zimmermann (2006)]</v>
      </c>
      <c r="N1018" s="107" t="s">
        <v>5690</v>
      </c>
      <c r="O1018" s="111">
        <v>2006.0</v>
      </c>
      <c r="P1018" s="135" t="s">
        <v>5691</v>
      </c>
      <c r="Q1018" s="13"/>
      <c r="R1018" s="13"/>
      <c r="S1018" s="13"/>
      <c r="T1018" s="111">
        <v>1.0</v>
      </c>
      <c r="U1018" s="35">
        <v>0.0</v>
      </c>
      <c r="V1018" s="89">
        <f>IFERROR(__xludf.DUMMYFUNCTION("INDEX(SPLIT(SUBSTITUTE(W1018,CHAR(10), """"),"",:""), MATCH(Z1018, SPLIT(SUBSTITUTE(W1018,CHAR(10), """"),"",:""), 0) + 1)"),4.011)</f>
        <v>4.011</v>
      </c>
      <c r="W1018" s="165" t="s">
        <v>5692</v>
      </c>
      <c r="X1018" s="165" t="s">
        <v>5693</v>
      </c>
      <c r="Y1018" s="41" t="s">
        <v>5682</v>
      </c>
      <c r="Z1018" s="53" t="str">
        <f t="array" ref="Z1018">INDEX(Problems!J:J, MATCH(1, (Problems!B:B=B1018)*1, 0))</f>
        <v>n</v>
      </c>
      <c r="AA1018" s="41"/>
      <c r="AB1018" s="41"/>
      <c r="AC1018" s="41" t="s">
        <v>5683</v>
      </c>
      <c r="AD1018" s="41" t="s">
        <v>2338</v>
      </c>
      <c r="AE1018" s="85">
        <f>IFERROR(__xludf.DUMMYFUNCTION("INDEX(SPLIT(SUBSTITUTE(AF1018,CHAR(10), """"),"",:""), MATCH(Z1018, SPLIT(SUBSTITUTE(AF1018,CHAR(10), """"),"",:""), 0) + 1)"),3.0)</f>
        <v>3</v>
      </c>
      <c r="AF1018" s="102" t="s">
        <v>1763</v>
      </c>
      <c r="AG1018" s="41" t="s">
        <v>5076</v>
      </c>
      <c r="AH1018" s="41" t="s">
        <v>5694</v>
      </c>
      <c r="AI1018" s="108">
        <v>1.0</v>
      </c>
      <c r="AJ1018" s="84">
        <v>0.0</v>
      </c>
      <c r="AK1018" s="108"/>
      <c r="AL1018" s="111">
        <v>0.0</v>
      </c>
      <c r="AM1018" s="108"/>
      <c r="AN1018" s="111">
        <v>0.0</v>
      </c>
      <c r="AO1018" s="104"/>
      <c r="AP1018" s="111">
        <v>0.0</v>
      </c>
      <c r="AQ1018" s="111">
        <v>0.0</v>
      </c>
      <c r="AR1018" s="69"/>
      <c r="AS1018" s="111">
        <v>0.0</v>
      </c>
      <c r="AT1018" s="111">
        <v>0.0</v>
      </c>
      <c r="AU1018" s="69"/>
      <c r="AV1018" s="13"/>
      <c r="AW1018" s="13"/>
      <c r="AX1018" s="13"/>
      <c r="AY1018" s="13"/>
      <c r="AZ1018" s="6"/>
      <c r="BA1018" s="6"/>
      <c r="BB1018" s="6"/>
      <c r="BC1018" s="6"/>
      <c r="BD1018" s="6"/>
      <c r="BE1018" s="6"/>
      <c r="BF1018" s="6">
        <v>33056.3405056979</v>
      </c>
      <c r="BG1018" s="13">
        <f>BF1015/BF1018</f>
        <v>30.25138248</v>
      </c>
      <c r="BH1018" s="6">
        <f>POW(BG1018,1/($O1018-1940))-1</f>
        <v>0.05301736662</v>
      </c>
      <c r="BI1018" s="6">
        <v>8.60442495807199E7</v>
      </c>
      <c r="BJ1018" s="13">
        <f>BI1015/BI1018</f>
        <v>11621.92715</v>
      </c>
      <c r="BK1018" s="6">
        <f>POW(BJ1018,1/($O1018-1940))-1</f>
        <v>0.1523784375</v>
      </c>
      <c r="BL1018" s="6">
        <v>1.4655520466149E11</v>
      </c>
      <c r="BM1018" s="13">
        <f>BL1015/BL1018</f>
        <v>6823367.361</v>
      </c>
      <c r="BN1018" s="6">
        <f>POW(BM1018,1/($O1018-1940))-1</f>
        <v>0.2692449252</v>
      </c>
      <c r="BO1018" s="6">
        <v>4.0</v>
      </c>
      <c r="BP1018" s="13"/>
      <c r="BQ1018" s="13"/>
      <c r="BR1018" s="6" t="s">
        <v>979</v>
      </c>
    </row>
    <row r="1019">
      <c r="A1019" s="35">
        <v>145.0</v>
      </c>
      <c r="B1019" s="35" t="s">
        <v>1227</v>
      </c>
      <c r="C1019" s="53">
        <v>2.0</v>
      </c>
      <c r="D1019" s="53" t="s">
        <v>1235</v>
      </c>
      <c r="E1019" s="7">
        <v>1006.0</v>
      </c>
      <c r="F1019" s="53"/>
      <c r="G1019" s="6"/>
      <c r="H1019" s="35">
        <v>1.0</v>
      </c>
      <c r="I1019" s="111">
        <v>1.0</v>
      </c>
      <c r="J1019" s="35" t="s">
        <v>789</v>
      </c>
      <c r="K1019" s="41" t="s">
        <v>3618</v>
      </c>
      <c r="L1019" s="41" t="s">
        <v>5695</v>
      </c>
      <c r="M1019" s="39" t="str">
        <f t="shared" si="1"/>
        <v>[ Brute force algorithm (1940)]</v>
      </c>
      <c r="N1019" s="107" t="s">
        <v>4653</v>
      </c>
      <c r="O1019" s="111">
        <v>1940.0</v>
      </c>
      <c r="P1019" s="128"/>
      <c r="Q1019" s="13"/>
      <c r="R1019" s="13"/>
      <c r="S1019" s="13"/>
      <c r="T1019" s="111">
        <v>1.0</v>
      </c>
      <c r="U1019" s="35">
        <v>0.0</v>
      </c>
      <c r="V1019" s="89">
        <f>IFERROR(__xludf.DUMMYFUNCTION("INDEX(SPLIT(SUBSTITUTE(W1019,CHAR(10), """"),"",:""), MATCH(Z1019, SPLIT(SUBSTITUTE(W1019,CHAR(10), """"),"",:""), 0) + 1)"),8.0)</f>
        <v>8</v>
      </c>
      <c r="W1019" s="102" t="s">
        <v>2001</v>
      </c>
      <c r="X1019" s="35" t="s">
        <v>789</v>
      </c>
      <c r="Y1019" s="41" t="s">
        <v>5696</v>
      </c>
      <c r="Z1019" s="53" t="str">
        <f t="array" ref="Z1019">INDEX(Problems!J:J, MATCH(1, (Problems!B:B=B1019)*1, 0))</f>
        <v>n</v>
      </c>
      <c r="AA1019" s="41"/>
      <c r="AB1019" s="41"/>
      <c r="AC1019" s="41" t="s">
        <v>1813</v>
      </c>
      <c r="AD1019" s="41" t="s">
        <v>1814</v>
      </c>
      <c r="AE1019" s="85">
        <f>IFERROR(__xludf.DUMMYFUNCTION("INDEX(SPLIT(SUBSTITUTE(AF1019,CHAR(10), """"),"",:""), MATCH(Z1019, SPLIT(SUBSTITUTE(AF1019,CHAR(10), """"),"",:""), 0) + 1)"),3.0)</f>
        <v>3</v>
      </c>
      <c r="AF1019" s="102" t="s">
        <v>1763</v>
      </c>
      <c r="AG1019" s="41" t="s">
        <v>35</v>
      </c>
      <c r="AH1019" s="41" t="s">
        <v>5697</v>
      </c>
      <c r="AI1019" s="108">
        <v>1.0</v>
      </c>
      <c r="AJ1019" s="84">
        <v>0.0</v>
      </c>
      <c r="AK1019" s="108"/>
      <c r="AL1019" s="111">
        <v>0.0</v>
      </c>
      <c r="AM1019" s="108"/>
      <c r="AN1019" s="111">
        <v>0.0</v>
      </c>
      <c r="AO1019" s="104"/>
      <c r="AP1019" s="111">
        <v>0.0</v>
      </c>
      <c r="AQ1019" s="111">
        <v>0.0</v>
      </c>
      <c r="AR1019" s="69"/>
      <c r="AS1019" s="111">
        <v>0.0</v>
      </c>
      <c r="AT1019" s="111">
        <v>0.0</v>
      </c>
      <c r="AU1019" s="69"/>
      <c r="AV1019" s="13"/>
      <c r="AW1019" s="13"/>
      <c r="AX1019" s="13"/>
      <c r="AY1019" s="13"/>
      <c r="AZ1019" s="6"/>
      <c r="BA1019" s="6"/>
      <c r="BB1019" s="6"/>
      <c r="BC1019" s="6"/>
      <c r="BD1019" s="6"/>
      <c r="BE1019" s="6"/>
      <c r="BF1019" s="6" t="s">
        <v>1781</v>
      </c>
      <c r="BG1019" s="13"/>
      <c r="BH1019" s="13"/>
      <c r="BI1019" s="13"/>
      <c r="BJ1019" s="13"/>
      <c r="BK1019" s="13"/>
      <c r="BL1019" s="13"/>
      <c r="BM1019" s="13"/>
      <c r="BN1019" s="6"/>
      <c r="BO1019" s="6">
        <v>1.0</v>
      </c>
      <c r="BP1019" s="13"/>
      <c r="BQ1019" s="13"/>
      <c r="BR1019" s="6" t="s">
        <v>23</v>
      </c>
    </row>
    <row r="1020">
      <c r="A1020" s="35">
        <v>145.0</v>
      </c>
      <c r="B1020" s="35" t="s">
        <v>1227</v>
      </c>
      <c r="C1020" s="53">
        <v>1.0</v>
      </c>
      <c r="D1020" s="53" t="s">
        <v>1235</v>
      </c>
      <c r="E1020" s="7">
        <v>1007.0</v>
      </c>
      <c r="F1020" s="53"/>
      <c r="G1020" s="6"/>
      <c r="H1020" s="35">
        <v>1.0</v>
      </c>
      <c r="I1020" s="111">
        <v>1.0</v>
      </c>
      <c r="J1020" s="35" t="s">
        <v>834</v>
      </c>
      <c r="K1020" s="99"/>
      <c r="L1020" s="99"/>
      <c r="M1020" s="39" t="str">
        <f t="shared" si="1"/>
        <v>[ $O(n^3)$ Dynamic Programming (1953)]</v>
      </c>
      <c r="N1020" s="193" t="s">
        <v>5698</v>
      </c>
      <c r="O1020" s="111">
        <v>1953.0</v>
      </c>
      <c r="P1020" s="128"/>
      <c r="Q1020" s="13"/>
      <c r="R1020" s="13"/>
      <c r="S1020" s="13"/>
      <c r="T1020" s="111">
        <v>1.0</v>
      </c>
      <c r="U1020" s="35" t="s">
        <v>2007</v>
      </c>
      <c r="V1020" s="89">
        <f>IFERROR(__xludf.DUMMYFUNCTION("INDEX(SPLIT(SUBSTITUTE(W1020,CHAR(10), """"),"",:""), MATCH(Z1020, SPLIT(SUBSTITUTE(W1020,CHAR(10), """"),"",:""), 0) + 1)"),6.0)</f>
        <v>6</v>
      </c>
      <c r="W1020" s="102" t="s">
        <v>2008</v>
      </c>
      <c r="X1020" s="35" t="s">
        <v>834</v>
      </c>
      <c r="Y1020" s="41" t="s">
        <v>5696</v>
      </c>
      <c r="Z1020" s="53" t="str">
        <f t="array" ref="Z1020">INDEX(Problems!J:J, MATCH(1, (Problems!B:B=B1020)*1, 0))</f>
        <v>n</v>
      </c>
      <c r="AA1020" s="41"/>
      <c r="AB1020" s="41"/>
      <c r="AC1020" s="41" t="s">
        <v>1813</v>
      </c>
      <c r="AD1020" s="41" t="s">
        <v>1814</v>
      </c>
      <c r="AE1020" s="85">
        <f>IFERROR(__xludf.DUMMYFUNCTION("INDEX(SPLIT(SUBSTITUTE(AF1020,CHAR(10), """"),"",:""), MATCH(Z1020, SPLIT(SUBSTITUTE(AF1020,CHAR(10), """"),"",:""), 0) + 1)"),5.0)</f>
        <v>5</v>
      </c>
      <c r="AF1020" s="102" t="s">
        <v>1938</v>
      </c>
      <c r="AG1020" s="41" t="s">
        <v>115</v>
      </c>
      <c r="AH1020" s="41" t="s">
        <v>5699</v>
      </c>
      <c r="AI1020" s="108">
        <v>1.0</v>
      </c>
      <c r="AJ1020" s="84">
        <v>0.0</v>
      </c>
      <c r="AK1020" s="108"/>
      <c r="AL1020" s="111">
        <v>0.0</v>
      </c>
      <c r="AM1020" s="108"/>
      <c r="AN1020" s="111">
        <v>0.0</v>
      </c>
      <c r="AO1020" s="104"/>
      <c r="AP1020" s="111">
        <v>0.0</v>
      </c>
      <c r="AQ1020" s="111">
        <v>0.0</v>
      </c>
      <c r="AR1020" s="69"/>
      <c r="AS1020" s="111">
        <v>0.0</v>
      </c>
      <c r="AT1020" s="111">
        <v>0.0</v>
      </c>
      <c r="AU1020" s="112" t="s">
        <v>5700</v>
      </c>
      <c r="AV1020" s="13"/>
      <c r="AW1020" s="13"/>
      <c r="AX1020" s="13"/>
      <c r="AY1020" s="13"/>
      <c r="AZ1020" s="6"/>
      <c r="BA1020" s="6"/>
      <c r="BB1020" s="6"/>
      <c r="BC1020" s="6"/>
      <c r="BD1020" s="6"/>
      <c r="BE1020" s="6"/>
      <c r="BF1020" s="6">
        <v>1.0E9</v>
      </c>
      <c r="BG1020" s="6">
        <v>1.0</v>
      </c>
      <c r="BH1020" s="13"/>
      <c r="BI1020" s="13">
        <f>pow(1000000,3)</f>
        <v>1E+18</v>
      </c>
      <c r="BJ1020" s="6">
        <v>1.0</v>
      </c>
      <c r="BK1020" s="13"/>
      <c r="BL1020" s="13">
        <f>pow(1000000000,3)</f>
        <v>1E+27</v>
      </c>
      <c r="BM1020" s="6">
        <v>1.0</v>
      </c>
      <c r="BN1020" s="6"/>
      <c r="BO1020" s="6">
        <v>1.0</v>
      </c>
      <c r="BP1020" s="13"/>
      <c r="BQ1020" s="13"/>
      <c r="BR1020" s="6" t="s">
        <v>23</v>
      </c>
    </row>
    <row r="1021">
      <c r="A1021" s="35">
        <v>145.0</v>
      </c>
      <c r="B1021" s="35" t="s">
        <v>1227</v>
      </c>
      <c r="C1021" s="53">
        <v>1.0</v>
      </c>
      <c r="D1021" s="53" t="s">
        <v>1235</v>
      </c>
      <c r="E1021" s="7">
        <v>1008.0</v>
      </c>
      <c r="F1021" s="53"/>
      <c r="G1021" s="6"/>
      <c r="H1021" s="35">
        <v>1.0</v>
      </c>
      <c r="I1021" s="111">
        <v>1.0</v>
      </c>
      <c r="J1021" s="35" t="s">
        <v>115</v>
      </c>
      <c r="K1021" s="99"/>
      <c r="L1021" s="99"/>
      <c r="M1021" s="39" t="str">
        <f t="shared" si="1"/>
        <v>[ $O(n^2)$ Dynamic Programming (1953)]</v>
      </c>
      <c r="N1021" s="193" t="s">
        <v>5701</v>
      </c>
      <c r="O1021" s="111">
        <v>1953.0</v>
      </c>
      <c r="P1021" s="128"/>
      <c r="Q1021" s="13"/>
      <c r="R1021" s="13"/>
      <c r="S1021" s="13"/>
      <c r="T1021" s="111">
        <v>1.0</v>
      </c>
      <c r="U1021" s="35" t="s">
        <v>2425</v>
      </c>
      <c r="V1021" s="89">
        <f>IFERROR(__xludf.DUMMYFUNCTION("INDEX(SPLIT(SUBSTITUTE(W1021,CHAR(10), """"),"",:""), MATCH(Z1021, SPLIT(SUBSTITUTE(W1021,CHAR(10), """"),"",:""), 0) + 1)"),5.0)</f>
        <v>5</v>
      </c>
      <c r="W1021" s="102" t="s">
        <v>1938</v>
      </c>
      <c r="X1021" s="35" t="s">
        <v>115</v>
      </c>
      <c r="Y1021" s="41" t="s">
        <v>5696</v>
      </c>
      <c r="Z1021" s="53" t="str">
        <f t="array" ref="Z1021">INDEX(Problems!J:J, MATCH(1, (Problems!B:B=B1021)*1, 0))</f>
        <v>n</v>
      </c>
      <c r="AA1021" s="41"/>
      <c r="AB1021" s="41"/>
      <c r="AC1021" s="41" t="s">
        <v>1813</v>
      </c>
      <c r="AD1021" s="41" t="s">
        <v>1814</v>
      </c>
      <c r="AE1021" s="85">
        <f>IFERROR(__xludf.DUMMYFUNCTION("INDEX(SPLIT(SUBSTITUTE(AF1021,CHAR(10), """"),"",:""), MATCH(Z1021, SPLIT(SUBSTITUTE(AF1021,CHAR(10), """"),"",:""), 0) + 1)"),3.0)</f>
        <v>3</v>
      </c>
      <c r="AF1021" s="102" t="s">
        <v>1763</v>
      </c>
      <c r="AG1021" s="41" t="s">
        <v>35</v>
      </c>
      <c r="AH1021" s="41" t="s">
        <v>5702</v>
      </c>
      <c r="AI1021" s="108">
        <v>1.0</v>
      </c>
      <c r="AJ1021" s="84">
        <v>0.0</v>
      </c>
      <c r="AK1021" s="108"/>
      <c r="AL1021" s="111">
        <v>0.0</v>
      </c>
      <c r="AM1021" s="108"/>
      <c r="AN1021" s="111">
        <v>0.0</v>
      </c>
      <c r="AO1021" s="104"/>
      <c r="AP1021" s="111">
        <v>0.0</v>
      </c>
      <c r="AQ1021" s="111">
        <v>0.0</v>
      </c>
      <c r="AR1021" s="69"/>
      <c r="AS1021" s="111">
        <v>0.0</v>
      </c>
      <c r="AT1021" s="111">
        <v>0.0</v>
      </c>
      <c r="AU1021" s="112" t="s">
        <v>5700</v>
      </c>
      <c r="AV1021" s="13"/>
      <c r="AW1021" s="13"/>
      <c r="AX1021" s="13"/>
      <c r="AY1021" s="13"/>
      <c r="AZ1021" s="6"/>
      <c r="BA1021" s="6"/>
      <c r="BB1021" s="6"/>
      <c r="BC1021" s="6"/>
      <c r="BD1021" s="6"/>
      <c r="BE1021" s="6"/>
      <c r="BF1021" s="6">
        <v>1000000.0</v>
      </c>
      <c r="BG1021" s="13"/>
      <c r="BH1021" s="13"/>
      <c r="BI1021" s="13"/>
      <c r="BJ1021" s="13"/>
      <c r="BK1021" s="13"/>
      <c r="BL1021" s="13"/>
      <c r="BM1021" s="13"/>
      <c r="BN1021" s="6"/>
      <c r="BO1021" s="6">
        <v>1.0</v>
      </c>
      <c r="BP1021" s="13"/>
      <c r="BQ1021" s="13"/>
      <c r="BR1021" s="6" t="s">
        <v>23</v>
      </c>
    </row>
    <row r="1022">
      <c r="A1022" s="35">
        <v>145.0</v>
      </c>
      <c r="B1022" s="35" t="s">
        <v>1227</v>
      </c>
      <c r="C1022" s="53">
        <v>1.0</v>
      </c>
      <c r="D1022" s="53" t="s">
        <v>1235</v>
      </c>
      <c r="E1022" s="7">
        <v>1009.0</v>
      </c>
      <c r="F1022" s="53"/>
      <c r="G1022" s="6"/>
      <c r="H1022" s="35">
        <v>1.0</v>
      </c>
      <c r="I1022" s="111">
        <v>1.0</v>
      </c>
      <c r="J1022" s="35" t="s">
        <v>1788</v>
      </c>
      <c r="K1022" s="99"/>
      <c r="L1022" s="99"/>
      <c r="M1022" s="39" t="str">
        <f t="shared" si="1"/>
        <v>[ $O(n\log n)$ Dynamic Programming (1953)]</v>
      </c>
      <c r="N1022" s="193" t="s">
        <v>5703</v>
      </c>
      <c r="O1022" s="111">
        <v>1953.0</v>
      </c>
      <c r="P1022" s="128"/>
      <c r="Q1022" s="13"/>
      <c r="R1022" s="13"/>
      <c r="S1022" s="13"/>
      <c r="T1022" s="111">
        <v>1.0</v>
      </c>
      <c r="U1022" s="35" t="s">
        <v>1952</v>
      </c>
      <c r="V1022" s="89">
        <f>IFERROR(__xludf.DUMMYFUNCTION("INDEX(SPLIT(SUBSTITUTE(W1022,CHAR(10), """"),"",:""), MATCH(Z1022, SPLIT(SUBSTITUTE(W1022,CHAR(10), """"),"",:""), 0) + 1)"),4.0)</f>
        <v>4</v>
      </c>
      <c r="W1022" s="102" t="s">
        <v>1791</v>
      </c>
      <c r="X1022" s="35" t="s">
        <v>1953</v>
      </c>
      <c r="Y1022" s="41" t="s">
        <v>5696</v>
      </c>
      <c r="Z1022" s="53" t="str">
        <f t="array" ref="Z1022">INDEX(Problems!J:J, MATCH(1, (Problems!B:B=B1022)*1, 0))</f>
        <v>n</v>
      </c>
      <c r="AA1022" s="41"/>
      <c r="AB1022" s="41"/>
      <c r="AC1022" s="41" t="s">
        <v>1813</v>
      </c>
      <c r="AD1022" s="41" t="s">
        <v>1814</v>
      </c>
      <c r="AE1022" s="85">
        <f>IFERROR(__xludf.DUMMYFUNCTION("INDEX(SPLIT(SUBSTITUTE(AF1022,CHAR(10), """"),"",:""), MATCH(Z1022, SPLIT(SUBSTITUTE(AF1022,CHAR(10), """"),"",:""), 0) + 1)"),3.0)</f>
        <v>3</v>
      </c>
      <c r="AF1022" s="102" t="s">
        <v>1763</v>
      </c>
      <c r="AG1022" s="41" t="s">
        <v>35</v>
      </c>
      <c r="AH1022" s="41" t="s">
        <v>5702</v>
      </c>
      <c r="AI1022" s="108">
        <v>1.0</v>
      </c>
      <c r="AJ1022" s="84">
        <v>0.0</v>
      </c>
      <c r="AK1022" s="108"/>
      <c r="AL1022" s="111">
        <v>0.0</v>
      </c>
      <c r="AM1022" s="108"/>
      <c r="AN1022" s="111">
        <v>0.0</v>
      </c>
      <c r="AO1022" s="104"/>
      <c r="AP1022" s="111">
        <v>0.0</v>
      </c>
      <c r="AQ1022" s="111">
        <v>0.0</v>
      </c>
      <c r="AR1022" s="69"/>
      <c r="AS1022" s="111">
        <v>0.0</v>
      </c>
      <c r="AT1022" s="111">
        <v>0.0</v>
      </c>
      <c r="AU1022" s="112" t="s">
        <v>5700</v>
      </c>
      <c r="AV1022" s="13"/>
      <c r="AW1022" s="13"/>
      <c r="AX1022" s="13"/>
      <c r="AY1022" s="13"/>
      <c r="AZ1022" s="6"/>
      <c r="BA1022" s="6"/>
      <c r="BB1022" s="6"/>
      <c r="BC1022" s="6"/>
      <c r="BD1022" s="6"/>
      <c r="BE1022" s="6"/>
      <c r="BF1022" s="6">
        <v>9965.0</v>
      </c>
      <c r="BG1022" s="13">
        <f>BF1020/BF1022</f>
        <v>100351.2293</v>
      </c>
      <c r="BH1022" s="6" t="s">
        <v>1781</v>
      </c>
      <c r="BI1022" s="13">
        <f t="shared" ref="BI1022:BI1023" si="77">1000000*LOG(1000000,2)</f>
        <v>19931568.57</v>
      </c>
      <c r="BJ1022" s="13">
        <f>BI1020/BI1022</f>
        <v>50171665944</v>
      </c>
      <c r="BK1022" s="6" t="s">
        <v>1781</v>
      </c>
      <c r="BL1022" s="13">
        <f t="shared" ref="BL1022:BL1023" si="78">1000000000*LOG(1000000000,2)</f>
        <v>29897352854</v>
      </c>
      <c r="BM1022" s="13">
        <f>BL1020/BL1022</f>
        <v>3.34478E+16</v>
      </c>
      <c r="BN1022" s="6" t="s">
        <v>1781</v>
      </c>
      <c r="BO1022" s="6">
        <v>1.0</v>
      </c>
      <c r="BP1022" s="13"/>
      <c r="BQ1022" s="13"/>
      <c r="BR1022" s="6" t="s">
        <v>23</v>
      </c>
    </row>
    <row r="1023">
      <c r="A1023" s="35">
        <v>145.0</v>
      </c>
      <c r="B1023" s="35" t="s">
        <v>1227</v>
      </c>
      <c r="C1023" s="53">
        <v>1.0</v>
      </c>
      <c r="D1023" s="138" t="s">
        <v>1232</v>
      </c>
      <c r="E1023" s="7">
        <v>1010.0</v>
      </c>
      <c r="F1023" s="53"/>
      <c r="G1023" s="6"/>
      <c r="H1023" s="35">
        <v>1.0</v>
      </c>
      <c r="I1023" s="111">
        <v>1.0</v>
      </c>
      <c r="J1023" s="138" t="s">
        <v>35</v>
      </c>
      <c r="K1023" s="99"/>
      <c r="L1023" s="99"/>
      <c r="M1023" s="39" t="str">
        <f t="shared" si="1"/>
        <v>[ Fixed priority shortest job first (1940)]</v>
      </c>
      <c r="N1023" s="203" t="s">
        <v>5704</v>
      </c>
      <c r="O1023" s="111">
        <v>1940.0</v>
      </c>
      <c r="P1023" s="128"/>
      <c r="Q1023" s="6">
        <v>1.0</v>
      </c>
      <c r="R1023" s="6">
        <v>1.0</v>
      </c>
      <c r="S1023" s="6"/>
      <c r="T1023" s="111">
        <v>1.0</v>
      </c>
      <c r="U1023" s="35">
        <v>0.0</v>
      </c>
      <c r="V1023" s="89">
        <f>IFERROR(__xludf.DUMMYFUNCTION("INDEX(SPLIT(SUBSTITUTE(W1023,CHAR(10), """"),"",:""), MATCH(Z1023, SPLIT(SUBSTITUTE(W1023,CHAR(10), """"),"",:""), 0) + 1)"),4.0)</f>
        <v>4</v>
      </c>
      <c r="W1023" s="102" t="s">
        <v>1791</v>
      </c>
      <c r="X1023" s="138" t="s">
        <v>1953</v>
      </c>
      <c r="Y1023" s="41" t="s">
        <v>5705</v>
      </c>
      <c r="Z1023" s="53" t="str">
        <f t="array" ref="Z1023">INDEX(Problems!J:J, MATCH(1, (Problems!B:B=B1023)*1, 0))</f>
        <v>n</v>
      </c>
      <c r="AA1023" s="41"/>
      <c r="AB1023" s="41"/>
      <c r="AC1023" s="41" t="s">
        <v>1813</v>
      </c>
      <c r="AD1023" s="41" t="s">
        <v>1814</v>
      </c>
      <c r="AE1023" s="85">
        <f>IFERROR(__xludf.DUMMYFUNCTION("INDEX(SPLIT(SUBSTITUTE(AF1023,CHAR(10), """"),"",:""), MATCH(Z1023, SPLIT(SUBSTITUTE(AF1023,CHAR(10), """"),"",:""), 0) + 1)"),3.0)</f>
        <v>3</v>
      </c>
      <c r="AF1023" s="102" t="s">
        <v>1975</v>
      </c>
      <c r="AG1023" s="41" t="s">
        <v>5706</v>
      </c>
      <c r="AH1023" s="41" t="s">
        <v>5707</v>
      </c>
      <c r="AI1023" s="108">
        <v>1.0</v>
      </c>
      <c r="AJ1023" s="84">
        <v>0.0</v>
      </c>
      <c r="AK1023" s="108"/>
      <c r="AL1023" s="111">
        <v>0.0</v>
      </c>
      <c r="AM1023" s="108"/>
      <c r="AN1023" s="111">
        <v>0.0</v>
      </c>
      <c r="AO1023" s="104"/>
      <c r="AP1023" s="111">
        <v>0.0</v>
      </c>
      <c r="AQ1023" s="111">
        <v>0.0</v>
      </c>
      <c r="AR1023" s="69"/>
      <c r="AS1023" s="111">
        <v>0.0</v>
      </c>
      <c r="AT1023" s="111">
        <v>0.0</v>
      </c>
      <c r="AU1023" s="69"/>
      <c r="AV1023" s="13"/>
      <c r="AW1023" s="13"/>
      <c r="AX1023" s="13"/>
      <c r="AY1023" s="13"/>
      <c r="AZ1023" s="6"/>
      <c r="BA1023" s="6"/>
      <c r="BB1023" s="6"/>
      <c r="BC1023" s="6"/>
      <c r="BD1023" s="6"/>
      <c r="BE1023" s="6"/>
      <c r="BF1023" s="6">
        <v>9965.0</v>
      </c>
      <c r="BG1023" s="6">
        <v>1.0</v>
      </c>
      <c r="BH1023" s="13"/>
      <c r="BI1023" s="13">
        <f t="shared" si="77"/>
        <v>19931568.57</v>
      </c>
      <c r="BJ1023" s="6">
        <v>1.0</v>
      </c>
      <c r="BK1023" s="13"/>
      <c r="BL1023" s="13">
        <f t="shared" si="78"/>
        <v>29897352854</v>
      </c>
      <c r="BM1023" s="6">
        <v>1.0</v>
      </c>
      <c r="BN1023" s="6"/>
      <c r="BO1023" s="6">
        <v>5.0</v>
      </c>
      <c r="BP1023" s="13"/>
      <c r="BQ1023" s="13"/>
      <c r="BR1023" s="6" t="s">
        <v>490</v>
      </c>
    </row>
    <row r="1024">
      <c r="A1024" s="35">
        <v>145.0</v>
      </c>
      <c r="B1024" s="35" t="s">
        <v>1227</v>
      </c>
      <c r="C1024" s="53">
        <v>1.0</v>
      </c>
      <c r="D1024" s="138" t="s">
        <v>1232</v>
      </c>
      <c r="E1024" s="7">
        <v>1011.0</v>
      </c>
      <c r="F1024" s="53"/>
      <c r="G1024" s="6"/>
      <c r="H1024" s="35">
        <v>1.0</v>
      </c>
      <c r="I1024" s="111">
        <v>1.0</v>
      </c>
      <c r="J1024" s="138" t="s">
        <v>35</v>
      </c>
      <c r="K1024" s="99"/>
      <c r="L1024" s="99"/>
      <c r="M1024" s="39" t="str">
        <f t="shared" si="1"/>
        <v>[ Priority scheduling (1940)]</v>
      </c>
      <c r="N1024" s="204" t="s">
        <v>5708</v>
      </c>
      <c r="O1024" s="111">
        <v>1940.0</v>
      </c>
      <c r="P1024" s="128"/>
      <c r="Q1024" s="13"/>
      <c r="R1024" s="13"/>
      <c r="S1024" s="13"/>
      <c r="T1024" s="111">
        <v>0.0</v>
      </c>
      <c r="U1024" s="35">
        <v>0.0</v>
      </c>
      <c r="V1024" s="89">
        <f>IFERROR(__xludf.DUMMYFUNCTION("INDEX(SPLIT(SUBSTITUTE(W1024,CHAR(10), """"),"",:""), MATCH(Z1024, SPLIT(SUBSTITUTE(W1024,CHAR(10), """"),"",:""), 0) + 1)"),3.0)</f>
        <v>3</v>
      </c>
      <c r="W1024" s="102" t="s">
        <v>1763</v>
      </c>
      <c r="X1024" s="138" t="s">
        <v>35</v>
      </c>
      <c r="Y1024" s="41" t="s">
        <v>5705</v>
      </c>
      <c r="Z1024" s="53" t="str">
        <f t="array" ref="Z1024">INDEX(Problems!J:J, MATCH(1, (Problems!B:B=B1024)*1, 0))</f>
        <v>n</v>
      </c>
      <c r="AA1024" s="41"/>
      <c r="AB1024" s="41"/>
      <c r="AC1024" s="41" t="s">
        <v>1813</v>
      </c>
      <c r="AD1024" s="41" t="s">
        <v>1814</v>
      </c>
      <c r="AE1024" s="85">
        <f>IFERROR(__xludf.DUMMYFUNCTION("INDEX(SPLIT(SUBSTITUTE(AF1024,CHAR(10), """"),"",:""), MATCH(Z1024, SPLIT(SUBSTITUTE(AF1024,CHAR(10), """"),"",:""), 0) + 1)"),3.0)</f>
        <v>3</v>
      </c>
      <c r="AF1024" s="102" t="s">
        <v>1975</v>
      </c>
      <c r="AG1024" s="41" t="s">
        <v>5706</v>
      </c>
      <c r="AH1024" s="41" t="s">
        <v>5709</v>
      </c>
      <c r="AI1024" s="108">
        <v>1.0</v>
      </c>
      <c r="AJ1024" s="84">
        <v>0.0</v>
      </c>
      <c r="AK1024" s="108"/>
      <c r="AL1024" s="111">
        <v>0.0</v>
      </c>
      <c r="AM1024" s="108"/>
      <c r="AN1024" s="111">
        <v>0.0</v>
      </c>
      <c r="AO1024" s="104"/>
      <c r="AP1024" s="111">
        <v>0.0</v>
      </c>
      <c r="AQ1024" s="111">
        <v>0.0</v>
      </c>
      <c r="AR1024" s="69"/>
      <c r="AS1024" s="111">
        <v>0.0</v>
      </c>
      <c r="AT1024" s="111">
        <v>0.0</v>
      </c>
      <c r="AU1024" s="69"/>
      <c r="AV1024" s="13"/>
      <c r="AW1024" s="13"/>
      <c r="AX1024" s="13"/>
      <c r="AY1024" s="13"/>
      <c r="AZ1024" s="6"/>
      <c r="BA1024" s="6"/>
      <c r="BB1024" s="6"/>
      <c r="BC1024" s="6"/>
      <c r="BD1024" s="6"/>
      <c r="BE1024" s="6"/>
      <c r="BF1024" s="6">
        <v>1000.0</v>
      </c>
      <c r="BG1024" s="13"/>
      <c r="BH1024" s="13"/>
      <c r="BI1024" s="13"/>
      <c r="BJ1024" s="13"/>
      <c r="BK1024" s="13"/>
      <c r="BL1024" s="13"/>
      <c r="BM1024" s="13"/>
      <c r="BN1024" s="6"/>
      <c r="BO1024" s="6">
        <v>5.0</v>
      </c>
      <c r="BP1024" s="13"/>
      <c r="BQ1024" s="13"/>
      <c r="BR1024" s="6" t="s">
        <v>490</v>
      </c>
    </row>
    <row r="1025">
      <c r="A1025" s="35">
        <v>145.0</v>
      </c>
      <c r="B1025" s="35" t="s">
        <v>1227</v>
      </c>
      <c r="C1025" s="53">
        <v>1.0</v>
      </c>
      <c r="D1025" s="138" t="s">
        <v>1232</v>
      </c>
      <c r="E1025" s="7">
        <v>1012.0</v>
      </c>
      <c r="F1025" s="53"/>
      <c r="G1025" s="6"/>
      <c r="H1025" s="35">
        <v>1.0</v>
      </c>
      <c r="I1025" s="111">
        <v>1.0</v>
      </c>
      <c r="J1025" s="138" t="s">
        <v>35</v>
      </c>
      <c r="K1025" s="99"/>
      <c r="L1025" s="99"/>
      <c r="M1025" s="39" t="str">
        <f t="shared" si="1"/>
        <v>[ Shortest remaining time first (1940)]</v>
      </c>
      <c r="N1025" s="204" t="s">
        <v>5710</v>
      </c>
      <c r="O1025" s="111">
        <v>1940.0</v>
      </c>
      <c r="P1025" s="128"/>
      <c r="Q1025" s="13"/>
      <c r="R1025" s="13"/>
      <c r="S1025" s="13"/>
      <c r="T1025" s="111">
        <v>0.0</v>
      </c>
      <c r="U1025" s="35">
        <v>0.0</v>
      </c>
      <c r="V1025" s="89">
        <f>IFERROR(__xludf.DUMMYFUNCTION("INDEX(SPLIT(SUBSTITUTE(W1025,CHAR(10), """"),"",:""), MATCH(Z1025, SPLIT(SUBSTITUTE(W1025,CHAR(10), """"),"",:""), 0) + 1)"),3.0)</f>
        <v>3</v>
      </c>
      <c r="W1025" s="102" t="s">
        <v>1763</v>
      </c>
      <c r="X1025" s="138" t="s">
        <v>35</v>
      </c>
      <c r="Y1025" s="41" t="s">
        <v>5705</v>
      </c>
      <c r="Z1025" s="53" t="str">
        <f t="array" ref="Z1025">INDEX(Problems!J:J, MATCH(1, (Problems!B:B=B1025)*1, 0))</f>
        <v>n</v>
      </c>
      <c r="AA1025" s="41"/>
      <c r="AB1025" s="41"/>
      <c r="AC1025" s="41" t="s">
        <v>1813</v>
      </c>
      <c r="AD1025" s="41" t="s">
        <v>1814</v>
      </c>
      <c r="AE1025" s="85">
        <f>IFERROR(__xludf.DUMMYFUNCTION("INDEX(SPLIT(SUBSTITUTE(AF1025,CHAR(10), """"),"",:""), MATCH(Z1025, SPLIT(SUBSTITUTE(AF1025,CHAR(10), """"),"",:""), 0) + 1)"),3.0)</f>
        <v>3</v>
      </c>
      <c r="AF1025" s="102" t="s">
        <v>1975</v>
      </c>
      <c r="AG1025" s="41" t="s">
        <v>5706</v>
      </c>
      <c r="AH1025" s="41" t="s">
        <v>2117</v>
      </c>
      <c r="AI1025" s="108">
        <v>1.0</v>
      </c>
      <c r="AJ1025" s="84">
        <v>0.0</v>
      </c>
      <c r="AK1025" s="108"/>
      <c r="AL1025" s="111">
        <v>0.0</v>
      </c>
      <c r="AM1025" s="108"/>
      <c r="AN1025" s="111">
        <v>0.0</v>
      </c>
      <c r="AO1025" s="104"/>
      <c r="AP1025" s="111">
        <v>0.0</v>
      </c>
      <c r="AQ1025" s="111">
        <v>0.0</v>
      </c>
      <c r="AR1025" s="69"/>
      <c r="AS1025" s="111">
        <v>0.0</v>
      </c>
      <c r="AT1025" s="111">
        <v>0.0</v>
      </c>
      <c r="AU1025" s="69"/>
      <c r="AV1025" s="13"/>
      <c r="AW1025" s="13"/>
      <c r="AX1025" s="13"/>
      <c r="AY1025" s="13"/>
      <c r="AZ1025" s="6"/>
      <c r="BA1025" s="6"/>
      <c r="BB1025" s="6"/>
      <c r="BC1025" s="6"/>
      <c r="BD1025" s="6"/>
      <c r="BE1025" s="6"/>
      <c r="BF1025" s="6">
        <v>1000.0</v>
      </c>
      <c r="BG1025" s="13"/>
      <c r="BH1025" s="13"/>
      <c r="BI1025" s="13"/>
      <c r="BJ1025" s="13"/>
      <c r="BK1025" s="13"/>
      <c r="BL1025" s="13"/>
      <c r="BM1025" s="13"/>
      <c r="BN1025" s="6"/>
      <c r="BO1025" s="6">
        <v>5.0</v>
      </c>
      <c r="BP1025" s="13"/>
      <c r="BQ1025" s="13"/>
      <c r="BR1025" s="6" t="s">
        <v>490</v>
      </c>
    </row>
    <row r="1026">
      <c r="A1026" s="35">
        <v>145.0</v>
      </c>
      <c r="B1026" s="35" t="s">
        <v>1227</v>
      </c>
      <c r="C1026" s="53">
        <v>1.0</v>
      </c>
      <c r="D1026" s="138" t="s">
        <v>1232</v>
      </c>
      <c r="E1026" s="7">
        <v>1013.0</v>
      </c>
      <c r="F1026" s="53"/>
      <c r="G1026" s="6"/>
      <c r="H1026" s="35">
        <v>1.0</v>
      </c>
      <c r="I1026" s="111">
        <v>1.0</v>
      </c>
      <c r="J1026" s="138" t="s">
        <v>35</v>
      </c>
      <c r="K1026" s="99"/>
      <c r="L1026" s="99"/>
      <c r="M1026" s="39" t="str">
        <f t="shared" si="1"/>
        <v>[ First come, first served (1940)]</v>
      </c>
      <c r="N1026" s="107" t="s">
        <v>5711</v>
      </c>
      <c r="O1026" s="111">
        <v>1940.0</v>
      </c>
      <c r="P1026" s="128"/>
      <c r="Q1026" s="13"/>
      <c r="R1026" s="13"/>
      <c r="S1026" s="13"/>
      <c r="T1026" s="111">
        <v>0.0</v>
      </c>
      <c r="U1026" s="35">
        <v>0.0</v>
      </c>
      <c r="V1026" s="89">
        <f>IFERROR(__xludf.DUMMYFUNCTION("INDEX(SPLIT(SUBSTITUTE(W1026,CHAR(10), """"),"",:""), MATCH(Z1026, SPLIT(SUBSTITUTE(W1026,CHAR(10), """"),"",:""), 0) + 1)"),3.0)</f>
        <v>3</v>
      </c>
      <c r="W1026" s="102" t="s">
        <v>1763</v>
      </c>
      <c r="X1026" s="138" t="s">
        <v>35</v>
      </c>
      <c r="Y1026" s="41" t="s">
        <v>5705</v>
      </c>
      <c r="Z1026" s="53" t="str">
        <f t="array" ref="Z1026">INDEX(Problems!J:J, MATCH(1, (Problems!B:B=B1026)*1, 0))</f>
        <v>n</v>
      </c>
      <c r="AA1026" s="41"/>
      <c r="AB1026" s="41"/>
      <c r="AC1026" s="41" t="s">
        <v>1813</v>
      </c>
      <c r="AD1026" s="41" t="s">
        <v>1814</v>
      </c>
      <c r="AE1026" s="85">
        <f>IFERROR(__xludf.DUMMYFUNCTION("INDEX(SPLIT(SUBSTITUTE(AF1026,CHAR(10), """"),"",:""), MATCH(Z1026, SPLIT(SUBSTITUTE(AF1026,CHAR(10), """"),"",:""), 0) + 1)"),3.0)</f>
        <v>3</v>
      </c>
      <c r="AF1026" s="102" t="s">
        <v>1975</v>
      </c>
      <c r="AG1026" s="41" t="s">
        <v>5706</v>
      </c>
      <c r="AH1026" s="41" t="s">
        <v>2117</v>
      </c>
      <c r="AI1026" s="108">
        <v>1.0</v>
      </c>
      <c r="AJ1026" s="84">
        <v>0.0</v>
      </c>
      <c r="AK1026" s="108"/>
      <c r="AL1026" s="111">
        <v>0.0</v>
      </c>
      <c r="AM1026" s="108"/>
      <c r="AN1026" s="111">
        <v>0.0</v>
      </c>
      <c r="AO1026" s="104"/>
      <c r="AP1026" s="111">
        <v>0.0</v>
      </c>
      <c r="AQ1026" s="111">
        <v>0.0</v>
      </c>
      <c r="AR1026" s="69"/>
      <c r="AS1026" s="111">
        <v>0.0</v>
      </c>
      <c r="AT1026" s="111">
        <v>0.0</v>
      </c>
      <c r="AU1026" s="69"/>
      <c r="AV1026" s="13"/>
      <c r="AW1026" s="13"/>
      <c r="AX1026" s="13"/>
      <c r="AY1026" s="13"/>
      <c r="AZ1026" s="6"/>
      <c r="BA1026" s="6"/>
      <c r="BB1026" s="6"/>
      <c r="BC1026" s="6"/>
      <c r="BD1026" s="6"/>
      <c r="BE1026" s="6"/>
      <c r="BF1026" s="6">
        <v>1000.0</v>
      </c>
      <c r="BG1026" s="13"/>
      <c r="BH1026" s="13"/>
      <c r="BI1026" s="13"/>
      <c r="BJ1026" s="13"/>
      <c r="BK1026" s="13"/>
      <c r="BL1026" s="13"/>
      <c r="BM1026" s="13"/>
      <c r="BN1026" s="6"/>
      <c r="BO1026" s="6">
        <v>5.0</v>
      </c>
      <c r="BP1026" s="13"/>
      <c r="BQ1026" s="13"/>
      <c r="BR1026" s="6" t="s">
        <v>490</v>
      </c>
    </row>
    <row r="1027">
      <c r="A1027" s="35">
        <v>145.0</v>
      </c>
      <c r="B1027" s="35" t="s">
        <v>1227</v>
      </c>
      <c r="C1027" s="53">
        <v>1.0</v>
      </c>
      <c r="D1027" s="138" t="s">
        <v>1232</v>
      </c>
      <c r="E1027" s="7">
        <v>1014.0</v>
      </c>
      <c r="F1027" s="53"/>
      <c r="G1027" s="6"/>
      <c r="H1027" s="35">
        <v>1.0</v>
      </c>
      <c r="I1027" s="111">
        <v>1.0</v>
      </c>
      <c r="J1027" s="138" t="s">
        <v>35</v>
      </c>
      <c r="K1027" s="99"/>
      <c r="L1027" s="99"/>
      <c r="M1027" s="39" t="str">
        <f t="shared" si="1"/>
        <v>[ Round-robin scheduling (1940)]</v>
      </c>
      <c r="N1027" s="107" t="s">
        <v>5712</v>
      </c>
      <c r="O1027" s="111">
        <v>1940.0</v>
      </c>
      <c r="P1027" s="128"/>
      <c r="Q1027" s="13"/>
      <c r="R1027" s="13"/>
      <c r="S1027" s="13"/>
      <c r="T1027" s="111">
        <v>0.0</v>
      </c>
      <c r="U1027" s="35">
        <v>0.0</v>
      </c>
      <c r="V1027" s="89">
        <f>IFERROR(__xludf.DUMMYFUNCTION("INDEX(SPLIT(SUBSTITUTE(W1027,CHAR(10), """"),"",:""), MATCH(Z1027, SPLIT(SUBSTITUTE(W1027,CHAR(10), """"),"",:""), 0) + 1)"),3.0)</f>
        <v>3</v>
      </c>
      <c r="W1027" s="102" t="s">
        <v>1763</v>
      </c>
      <c r="X1027" s="138" t="s">
        <v>35</v>
      </c>
      <c r="Y1027" s="41" t="s">
        <v>5705</v>
      </c>
      <c r="Z1027" s="53" t="str">
        <f t="array" ref="Z1027">INDEX(Problems!J:J, MATCH(1, (Problems!B:B=B1027)*1, 0))</f>
        <v>n</v>
      </c>
      <c r="AA1027" s="41"/>
      <c r="AB1027" s="41"/>
      <c r="AC1027" s="41" t="s">
        <v>1813</v>
      </c>
      <c r="AD1027" s="41" t="s">
        <v>1814</v>
      </c>
      <c r="AE1027" s="85">
        <f>IFERROR(__xludf.DUMMYFUNCTION("INDEX(SPLIT(SUBSTITUTE(AF1027,CHAR(10), """"),"",:""), MATCH(Z1027, SPLIT(SUBSTITUTE(AF1027,CHAR(10), """"),"",:""), 0) + 1)"),3.0)</f>
        <v>3</v>
      </c>
      <c r="AF1027" s="102" t="s">
        <v>1975</v>
      </c>
      <c r="AG1027" s="41" t="s">
        <v>5706</v>
      </c>
      <c r="AH1027" s="41" t="s">
        <v>2117</v>
      </c>
      <c r="AI1027" s="108">
        <v>1.0</v>
      </c>
      <c r="AJ1027" s="84">
        <v>0.0</v>
      </c>
      <c r="AK1027" s="108"/>
      <c r="AL1027" s="111">
        <v>0.0</v>
      </c>
      <c r="AM1027" s="108"/>
      <c r="AN1027" s="111">
        <v>0.0</v>
      </c>
      <c r="AO1027" s="104"/>
      <c r="AP1027" s="111">
        <v>0.0</v>
      </c>
      <c r="AQ1027" s="111">
        <v>0.0</v>
      </c>
      <c r="AR1027" s="69"/>
      <c r="AS1027" s="111">
        <v>0.0</v>
      </c>
      <c r="AT1027" s="111">
        <v>0.0</v>
      </c>
      <c r="AU1027" s="69"/>
      <c r="AV1027" s="13"/>
      <c r="AW1027" s="13"/>
      <c r="AX1027" s="13"/>
      <c r="AY1027" s="13"/>
      <c r="AZ1027" s="6"/>
      <c r="BA1027" s="6"/>
      <c r="BB1027" s="6"/>
      <c r="BC1027" s="6"/>
      <c r="BD1027" s="6"/>
      <c r="BE1027" s="6"/>
      <c r="BF1027" s="6">
        <v>1000.0</v>
      </c>
      <c r="BG1027" s="13"/>
      <c r="BH1027" s="13"/>
      <c r="BI1027" s="13"/>
      <c r="BJ1027" s="13"/>
      <c r="BK1027" s="13"/>
      <c r="BL1027" s="13"/>
      <c r="BM1027" s="13"/>
      <c r="BN1027" s="6"/>
      <c r="BO1027" s="6">
        <v>5.0</v>
      </c>
      <c r="BP1027" s="13"/>
      <c r="BQ1027" s="13"/>
      <c r="BR1027" s="6" t="s">
        <v>490</v>
      </c>
    </row>
    <row r="1028">
      <c r="A1028" s="35">
        <v>145.0</v>
      </c>
      <c r="B1028" s="35" t="s">
        <v>1227</v>
      </c>
      <c r="C1028" s="53">
        <v>1.0</v>
      </c>
      <c r="D1028" s="138" t="s">
        <v>1232</v>
      </c>
      <c r="E1028" s="7">
        <v>1015.0</v>
      </c>
      <c r="F1028" s="53"/>
      <c r="G1028" s="6"/>
      <c r="H1028" s="35">
        <v>1.0</v>
      </c>
      <c r="I1028" s="111">
        <v>1.0</v>
      </c>
      <c r="J1028" s="138" t="s">
        <v>35</v>
      </c>
      <c r="K1028" s="99"/>
      <c r="L1028" s="99"/>
      <c r="M1028" s="39" t="str">
        <f t="shared" si="1"/>
        <v>[ Multilevel queue scheduling (1940)]</v>
      </c>
      <c r="N1028" s="107" t="s">
        <v>5713</v>
      </c>
      <c r="O1028" s="111">
        <v>1940.0</v>
      </c>
      <c r="P1028" s="128"/>
      <c r="Q1028" s="13"/>
      <c r="R1028" s="13"/>
      <c r="S1028" s="13"/>
      <c r="T1028" s="111">
        <v>0.0</v>
      </c>
      <c r="U1028" s="35">
        <v>0.0</v>
      </c>
      <c r="V1028" s="89">
        <f>IFERROR(__xludf.DUMMYFUNCTION("INDEX(SPLIT(SUBSTITUTE(W1028,CHAR(10), """"),"",:""), MATCH(Z1028, SPLIT(SUBSTITUTE(W1028,CHAR(10), """"),"",:""), 0) + 1)"),3.0)</f>
        <v>3</v>
      </c>
      <c r="W1028" s="102" t="s">
        <v>1763</v>
      </c>
      <c r="X1028" s="138" t="s">
        <v>35</v>
      </c>
      <c r="Y1028" s="41" t="s">
        <v>5705</v>
      </c>
      <c r="Z1028" s="53" t="str">
        <f t="array" ref="Z1028">INDEX(Problems!J:J, MATCH(1, (Problems!B:B=B1028)*1, 0))</f>
        <v>n</v>
      </c>
      <c r="AA1028" s="41"/>
      <c r="AB1028" s="41"/>
      <c r="AC1028" s="41" t="s">
        <v>1813</v>
      </c>
      <c r="AD1028" s="41" t="s">
        <v>1814</v>
      </c>
      <c r="AE1028" s="85">
        <f>IFERROR(__xludf.DUMMYFUNCTION("INDEX(SPLIT(SUBSTITUTE(AF1028,CHAR(10), """"),"",:""), MATCH(Z1028, SPLIT(SUBSTITUTE(AF1028,CHAR(10), """"),"",:""), 0) + 1)"),3.0)</f>
        <v>3</v>
      </c>
      <c r="AF1028" s="102" t="s">
        <v>1975</v>
      </c>
      <c r="AG1028" s="41" t="s">
        <v>5706</v>
      </c>
      <c r="AH1028" s="41" t="s">
        <v>5714</v>
      </c>
      <c r="AI1028" s="108">
        <v>1.0</v>
      </c>
      <c r="AJ1028" s="84">
        <v>0.0</v>
      </c>
      <c r="AK1028" s="108"/>
      <c r="AL1028" s="111">
        <v>0.0</v>
      </c>
      <c r="AM1028" s="108"/>
      <c r="AN1028" s="111">
        <v>0.0</v>
      </c>
      <c r="AO1028" s="104"/>
      <c r="AP1028" s="111">
        <v>0.0</v>
      </c>
      <c r="AQ1028" s="111">
        <v>0.0</v>
      </c>
      <c r="AR1028" s="69"/>
      <c r="AS1028" s="111">
        <v>0.0</v>
      </c>
      <c r="AT1028" s="111">
        <v>0.0</v>
      </c>
      <c r="AU1028" s="69"/>
      <c r="AV1028" s="13"/>
      <c r="AW1028" s="13"/>
      <c r="AX1028" s="13"/>
      <c r="AY1028" s="13"/>
      <c r="AZ1028" s="6"/>
      <c r="BA1028" s="6"/>
      <c r="BB1028" s="6"/>
      <c r="BC1028" s="6"/>
      <c r="BD1028" s="6"/>
      <c r="BE1028" s="6"/>
      <c r="BF1028" s="6">
        <v>1000.0</v>
      </c>
      <c r="BG1028" s="13"/>
      <c r="BH1028" s="13"/>
      <c r="BI1028" s="13"/>
      <c r="BJ1028" s="13"/>
      <c r="BK1028" s="13"/>
      <c r="BL1028" s="13"/>
      <c r="BM1028" s="13"/>
      <c r="BN1028" s="6"/>
      <c r="BO1028" s="6">
        <v>5.0</v>
      </c>
      <c r="BP1028" s="13"/>
      <c r="BQ1028" s="13"/>
      <c r="BR1028" s="6" t="s">
        <v>490</v>
      </c>
    </row>
    <row r="1029">
      <c r="A1029" s="61">
        <v>145.0</v>
      </c>
      <c r="B1029" s="61" t="s">
        <v>1227</v>
      </c>
      <c r="C1029" s="53">
        <v>0.001</v>
      </c>
      <c r="D1029" s="138" t="s">
        <v>1232</v>
      </c>
      <c r="E1029" s="7">
        <v>1016.0</v>
      </c>
      <c r="F1029" s="53"/>
      <c r="G1029" s="6"/>
      <c r="H1029" s="35">
        <v>1.0</v>
      </c>
      <c r="I1029" s="111">
        <v>1.0</v>
      </c>
      <c r="J1029" s="138" t="s">
        <v>35</v>
      </c>
      <c r="K1029" s="99"/>
      <c r="L1029" s="99"/>
      <c r="M1029" s="39" t="str">
        <f t="shared" si="1"/>
        <v>[ Work-conserving schedulers (1940)]</v>
      </c>
      <c r="N1029" s="107" t="s">
        <v>5715</v>
      </c>
      <c r="O1029" s="111">
        <v>1940.0</v>
      </c>
      <c r="P1029" s="128"/>
      <c r="Q1029" s="13"/>
      <c r="R1029" s="13"/>
      <c r="S1029" s="13"/>
      <c r="T1029" s="111">
        <v>0.0</v>
      </c>
      <c r="U1029" s="35">
        <v>0.0</v>
      </c>
      <c r="V1029" s="89">
        <f>IFERROR(__xludf.DUMMYFUNCTION("INDEX(SPLIT(SUBSTITUTE(W1029,CHAR(10), """"),"",:""), MATCH(Z1029, SPLIT(SUBSTITUTE(W1029,CHAR(10), """"),"",:""), 0) + 1)"),3.0)</f>
        <v>3</v>
      </c>
      <c r="W1029" s="102" t="s">
        <v>1763</v>
      </c>
      <c r="X1029" s="138" t="s">
        <v>35</v>
      </c>
      <c r="Y1029" s="41" t="s">
        <v>5705</v>
      </c>
      <c r="Z1029" s="53" t="str">
        <f t="array" ref="Z1029">INDEX(Problems!J:J, MATCH(1, (Problems!B:B=B1029)*1, 0))</f>
        <v>n</v>
      </c>
      <c r="AA1029" s="41"/>
      <c r="AB1029" s="41"/>
      <c r="AC1029" s="41" t="s">
        <v>1813</v>
      </c>
      <c r="AD1029" s="41" t="s">
        <v>1814</v>
      </c>
      <c r="AE1029" s="85" t="str">
        <f>IFERROR(__xludf.DUMMYFUNCTION("INDEX(SPLIT(SUBSTITUTE(AF1029,CHAR(10), """"),"",:""), MATCH(Z1029, SPLIT(SUBSTITUTE(AF1029,CHAR(10), """"),"",:""), 0) + 1)"),"#VALUE!")</f>
        <v>#VALUE!</v>
      </c>
      <c r="AF1029" s="102"/>
      <c r="AG1029" s="41"/>
      <c r="AH1029" s="41"/>
      <c r="AI1029" s="108"/>
      <c r="AJ1029" s="84" t="s">
        <v>2520</v>
      </c>
      <c r="AK1029" s="108"/>
      <c r="AL1029" s="111">
        <v>0.0</v>
      </c>
      <c r="AM1029" s="108"/>
      <c r="AN1029" s="111">
        <v>0.0</v>
      </c>
      <c r="AO1029" s="104"/>
      <c r="AP1029" s="111">
        <v>0.0</v>
      </c>
      <c r="AQ1029" s="111">
        <v>0.0</v>
      </c>
      <c r="AR1029" s="69"/>
      <c r="AS1029" s="111">
        <v>0.0</v>
      </c>
      <c r="AT1029" s="111">
        <v>0.0</v>
      </c>
      <c r="AU1029" s="69"/>
      <c r="AV1029" s="13"/>
      <c r="AW1029" s="13"/>
      <c r="AX1029" s="13"/>
      <c r="AY1029" s="13"/>
      <c r="AZ1029" s="6"/>
      <c r="BA1029" s="6"/>
      <c r="BB1029" s="6"/>
      <c r="BC1029" s="6"/>
      <c r="BD1029" s="6"/>
      <c r="BE1029" s="6"/>
      <c r="BF1029" s="6">
        <v>1000.0</v>
      </c>
      <c r="BG1029" s="13"/>
      <c r="BH1029" s="13"/>
      <c r="BI1029" s="13"/>
      <c r="BJ1029" s="13"/>
      <c r="BK1029" s="13"/>
      <c r="BL1029" s="13"/>
      <c r="BM1029" s="13"/>
      <c r="BN1029" s="6"/>
      <c r="BO1029" s="6">
        <v>5.0</v>
      </c>
      <c r="BP1029" s="13"/>
      <c r="BQ1029" s="13"/>
      <c r="BR1029" s="6" t="s">
        <v>490</v>
      </c>
    </row>
    <row r="1030">
      <c r="A1030" s="35">
        <v>147.0</v>
      </c>
      <c r="B1030" s="35" t="s">
        <v>5716</v>
      </c>
      <c r="C1030" s="53">
        <v>1.0</v>
      </c>
      <c r="D1030" s="53" t="s">
        <v>1237</v>
      </c>
      <c r="E1030" s="7">
        <v>1019.0</v>
      </c>
      <c r="F1030" s="53"/>
      <c r="G1030" s="6"/>
      <c r="H1030" s="35">
        <v>1.0</v>
      </c>
      <c r="I1030" s="111">
        <v>1.0</v>
      </c>
      <c r="J1030" s="35" t="s">
        <v>1382</v>
      </c>
      <c r="K1030" s="99"/>
      <c r="L1030" s="99"/>
      <c r="M1030" s="39" t="str">
        <f t="shared" si="1"/>
        <v>[https://www.cs.utexas.edu/users/EWD/ewd01xx/EWD108.PDF Banker's Algorithm (1966)]</v>
      </c>
      <c r="N1030" s="107" t="s">
        <v>5717</v>
      </c>
      <c r="O1030" s="111">
        <v>1966.0</v>
      </c>
      <c r="P1030" s="106" t="s">
        <v>5718</v>
      </c>
      <c r="Q1030" s="13"/>
      <c r="R1030" s="13"/>
      <c r="S1030" s="13"/>
      <c r="T1030" s="6">
        <v>1.0</v>
      </c>
      <c r="U1030" s="35">
        <v>0.0</v>
      </c>
      <c r="V1030" s="89">
        <f>IFERROR(__xludf.DUMMYFUNCTION("INDEX(SPLIT(SUBSTITUTE(W1030,CHAR(10), """"),"",:""), MATCH(Z1030, SPLIT(SUBSTITUTE(W1030,CHAR(10), """"),"",:""), 0) + 1)"),5.0)</f>
        <v>5</v>
      </c>
      <c r="W1030" s="102" t="s">
        <v>4526</v>
      </c>
      <c r="X1030" s="35" t="s">
        <v>1382</v>
      </c>
      <c r="Y1030" s="41" t="s">
        <v>5719</v>
      </c>
      <c r="Z1030" s="53" t="str">
        <f t="array" ref="Z1030">INDEX(Problems!J:J, MATCH(1, (Problems!B:B=B1030)*1, 0))</f>
        <v>n</v>
      </c>
      <c r="AA1030" s="41"/>
      <c r="AB1030" s="41"/>
      <c r="AC1030" s="41" t="s">
        <v>1813</v>
      </c>
      <c r="AD1030" s="41" t="s">
        <v>1814</v>
      </c>
      <c r="AE1030" s="85">
        <f>IFERROR(__xludf.DUMMYFUNCTION("INDEX(SPLIT(SUBSTITUTE(AF1030,CHAR(10), """"),"",:""), MATCH(Z1030, SPLIT(SUBSTITUTE(AF1030,CHAR(10), """"),"",:""), 0) + 1)"),3.0)</f>
        <v>3</v>
      </c>
      <c r="AF1030" s="102" t="s">
        <v>2888</v>
      </c>
      <c r="AG1030" s="41" t="s">
        <v>399</v>
      </c>
      <c r="AH1030" s="41" t="s">
        <v>5720</v>
      </c>
      <c r="AI1030" s="108">
        <v>1.0</v>
      </c>
      <c r="AJ1030" s="84">
        <v>0.0</v>
      </c>
      <c r="AK1030" s="108"/>
      <c r="AL1030" s="111">
        <v>0.0</v>
      </c>
      <c r="AM1030" s="108"/>
      <c r="AN1030" s="111">
        <v>0.0</v>
      </c>
      <c r="AO1030" s="104"/>
      <c r="AP1030" s="111">
        <v>0.0</v>
      </c>
      <c r="AQ1030" s="111">
        <v>0.0</v>
      </c>
      <c r="AR1030" s="69"/>
      <c r="AS1030" s="111">
        <v>0.0</v>
      </c>
      <c r="AT1030" s="111">
        <v>0.0</v>
      </c>
      <c r="AU1030" s="106" t="s">
        <v>5721</v>
      </c>
      <c r="AV1030" s="13"/>
      <c r="AW1030" s="13"/>
      <c r="AX1030" s="13"/>
      <c r="AY1030" s="13"/>
      <c r="AZ1030" s="13"/>
      <c r="BA1030" s="13"/>
      <c r="BB1030" s="13"/>
      <c r="BC1030" s="13"/>
      <c r="BD1030" s="13"/>
      <c r="BE1030" s="13"/>
      <c r="BF1030" s="13"/>
      <c r="BG1030" s="6">
        <v>1.0</v>
      </c>
      <c r="BH1030" s="13"/>
      <c r="BI1030" s="13"/>
      <c r="BJ1030" s="6">
        <v>1.0</v>
      </c>
      <c r="BK1030" s="13"/>
      <c r="BL1030" s="13"/>
      <c r="BM1030" s="6">
        <v>1.0</v>
      </c>
      <c r="BN1030" s="6"/>
      <c r="BO1030" s="6">
        <v>3.0</v>
      </c>
      <c r="BP1030" s="13"/>
      <c r="BQ1030" s="13"/>
      <c r="BR1030" s="6" t="s">
        <v>490</v>
      </c>
    </row>
    <row r="1031">
      <c r="A1031" s="35">
        <v>148.0</v>
      </c>
      <c r="B1031" s="35" t="s">
        <v>1245</v>
      </c>
      <c r="C1031" s="53">
        <v>1.0</v>
      </c>
      <c r="D1031" s="53" t="s">
        <v>1246</v>
      </c>
      <c r="E1031" s="7">
        <v>1020.0</v>
      </c>
      <c r="F1031" s="53"/>
      <c r="G1031" s="6"/>
      <c r="H1031" s="35">
        <v>1.0</v>
      </c>
      <c r="I1031" s="111">
        <v>1.0</v>
      </c>
      <c r="J1031" s="35" t="s">
        <v>115</v>
      </c>
      <c r="K1031" s="99"/>
      <c r="L1031" s="99"/>
      <c r="M1031" s="39" t="str">
        <f t="shared" si="1"/>
        <v>[ The theoretically optimal page replacement algorithm (1940)]</v>
      </c>
      <c r="N1031" s="107" t="s">
        <v>5722</v>
      </c>
      <c r="O1031" s="111">
        <v>1940.0</v>
      </c>
      <c r="P1031" s="128"/>
      <c r="Q1031" s="6">
        <v>2.0</v>
      </c>
      <c r="R1031" s="6">
        <v>1.0</v>
      </c>
      <c r="S1031" s="6"/>
      <c r="T1031" s="111">
        <v>1.0</v>
      </c>
      <c r="U1031" s="35">
        <v>0.0</v>
      </c>
      <c r="V1031" s="89">
        <f>IFERROR(__xludf.DUMMYFUNCTION("INDEX(SPLIT(SUBSTITUTE(W1031,CHAR(10), """"),"",:""), MATCH(Z1031, SPLIT(SUBSTITUTE(W1031,CHAR(10), """"),"",:""), 0) + 1)"),5.0)</f>
        <v>5</v>
      </c>
      <c r="W1031" s="102" t="s">
        <v>1938</v>
      </c>
      <c r="X1031" s="35" t="s">
        <v>115</v>
      </c>
      <c r="Y1031" s="41" t="s">
        <v>5723</v>
      </c>
      <c r="Z1031" s="53" t="str">
        <f t="array" ref="Z1031">INDEX(Problems!J:J, MATCH(1, (Problems!B:B=B1031)*1, 0))</f>
        <v>n</v>
      </c>
      <c r="AA1031" s="41"/>
      <c r="AB1031" s="41"/>
      <c r="AC1031" s="41" t="s">
        <v>1813</v>
      </c>
      <c r="AD1031" s="41" t="s">
        <v>1814</v>
      </c>
      <c r="AE1031" s="85">
        <f>IFERROR(__xludf.DUMMYFUNCTION("INDEX(SPLIT(SUBSTITUTE(AF1031,CHAR(10), """"),"",:""), MATCH(Z1031, SPLIT(SUBSTITUTE(AF1031,CHAR(10), """"),"",:""), 0) + 1)"),1.0)</f>
        <v>1</v>
      </c>
      <c r="AF1031" s="102" t="s">
        <v>5724</v>
      </c>
      <c r="AG1031" s="41" t="s">
        <v>192</v>
      </c>
      <c r="AH1031" s="41" t="s">
        <v>5725</v>
      </c>
      <c r="AI1031" s="108">
        <v>1.0</v>
      </c>
      <c r="AJ1031" s="84">
        <v>0.0</v>
      </c>
      <c r="AK1031" s="108"/>
      <c r="AL1031" s="111">
        <v>0.0</v>
      </c>
      <c r="AM1031" s="108"/>
      <c r="AN1031" s="111">
        <v>0.0</v>
      </c>
      <c r="AO1031" s="104"/>
      <c r="AP1031" s="111">
        <v>0.0</v>
      </c>
      <c r="AQ1031" s="111">
        <v>0.0</v>
      </c>
      <c r="AR1031" s="69"/>
      <c r="AS1031" s="111">
        <v>0.0</v>
      </c>
      <c r="AT1031" s="111">
        <v>0.0</v>
      </c>
      <c r="AU1031" s="69"/>
      <c r="AV1031" s="13"/>
      <c r="AW1031" s="13"/>
      <c r="AX1031" s="13"/>
      <c r="AY1031" s="13"/>
      <c r="AZ1031" s="6"/>
      <c r="BA1031" s="6"/>
      <c r="BB1031" s="6"/>
      <c r="BC1031" s="6"/>
      <c r="BD1031" s="6"/>
      <c r="BE1031" s="6"/>
      <c r="BF1031" s="6">
        <v>1000000.0</v>
      </c>
      <c r="BG1031" s="6">
        <v>1.0</v>
      </c>
      <c r="BH1031" s="6"/>
      <c r="BI1031" s="6">
        <v>1.0E12</v>
      </c>
      <c r="BJ1031" s="6">
        <v>1.0</v>
      </c>
      <c r="BK1031" s="6"/>
      <c r="BL1031" s="6">
        <v>1.0E18</v>
      </c>
      <c r="BM1031" s="6">
        <v>1.0</v>
      </c>
      <c r="BN1031" s="6"/>
      <c r="BO1031" s="6">
        <v>4.0</v>
      </c>
      <c r="BP1031" s="13"/>
      <c r="BQ1031" s="13"/>
      <c r="BR1031" s="6" t="s">
        <v>490</v>
      </c>
    </row>
    <row r="1032">
      <c r="A1032" s="35">
        <v>148.0</v>
      </c>
      <c r="B1032" s="35" t="s">
        <v>1245</v>
      </c>
      <c r="C1032" s="53">
        <v>1.0</v>
      </c>
      <c r="D1032" s="53" t="s">
        <v>1250</v>
      </c>
      <c r="E1032" s="7">
        <v>1021.0</v>
      </c>
      <c r="F1032" s="53"/>
      <c r="G1032" s="6"/>
      <c r="H1032" s="35">
        <v>1.0</v>
      </c>
      <c r="I1032" s="111">
        <v>1.0</v>
      </c>
      <c r="J1032" s="138" t="s">
        <v>5726</v>
      </c>
      <c r="K1032" s="99"/>
      <c r="L1032" s="99"/>
      <c r="M1032" s="39" t="str">
        <f t="shared" si="1"/>
        <v>[ Not recently used (1940)]</v>
      </c>
      <c r="N1032" s="107" t="s">
        <v>5727</v>
      </c>
      <c r="O1032" s="111">
        <v>1940.0</v>
      </c>
      <c r="P1032" s="128"/>
      <c r="Q1032" s="13"/>
      <c r="R1032" s="13"/>
      <c r="S1032" s="13"/>
      <c r="T1032" s="111">
        <v>0.0</v>
      </c>
      <c r="U1032" s="35">
        <v>0.0</v>
      </c>
      <c r="V1032" s="89">
        <f>IFERROR(__xludf.DUMMYFUNCTION("INDEX(SPLIT(SUBSTITUTE(W1032,CHAR(10), """"),"",:""), MATCH(Z1032, SPLIT(SUBSTITUTE(W1032,CHAR(10), """"),"",:""), 0) + 1)"),3.0)</f>
        <v>3</v>
      </c>
      <c r="W1032" s="102" t="s">
        <v>1975</v>
      </c>
      <c r="X1032" s="138" t="s">
        <v>5726</v>
      </c>
      <c r="Y1032" s="41" t="s">
        <v>5723</v>
      </c>
      <c r="Z1032" s="53" t="str">
        <f t="array" ref="Z1032">INDEX(Problems!J:J, MATCH(1, (Problems!B:B=B1032)*1, 0))</f>
        <v>n</v>
      </c>
      <c r="AA1032" s="41"/>
      <c r="AB1032" s="41"/>
      <c r="AC1032" s="41" t="s">
        <v>1813</v>
      </c>
      <c r="AD1032" s="41" t="s">
        <v>1814</v>
      </c>
      <c r="AE1032" s="85">
        <f>IFERROR(__xludf.DUMMYFUNCTION("INDEX(SPLIT(SUBSTITUTE(AF1032,CHAR(10), """"),"",:""), MATCH(Z1032, SPLIT(SUBSTITUTE(AF1032,CHAR(10), """"),"",:""), 0) + 1)"),1.0)</f>
        <v>1</v>
      </c>
      <c r="AF1032" s="102" t="s">
        <v>5724</v>
      </c>
      <c r="AG1032" s="41" t="s">
        <v>192</v>
      </c>
      <c r="AH1032" s="41" t="s">
        <v>5728</v>
      </c>
      <c r="AI1032" s="108">
        <v>1.0</v>
      </c>
      <c r="AJ1032" s="84">
        <v>0.0</v>
      </c>
      <c r="AK1032" s="108"/>
      <c r="AL1032" s="111">
        <v>0.0</v>
      </c>
      <c r="AM1032" s="108"/>
      <c r="AN1032" s="111">
        <v>0.0</v>
      </c>
      <c r="AO1032" s="104"/>
      <c r="AP1032" s="111">
        <v>0.0</v>
      </c>
      <c r="AQ1032" s="111">
        <v>0.0</v>
      </c>
      <c r="AR1032" s="69"/>
      <c r="AS1032" s="111">
        <v>0.0</v>
      </c>
      <c r="AT1032" s="111">
        <v>0.0</v>
      </c>
      <c r="AU1032" s="69"/>
      <c r="AV1032" s="13"/>
      <c r="AW1032" s="13"/>
      <c r="AX1032" s="13"/>
      <c r="AY1032" s="13"/>
      <c r="AZ1032" s="6"/>
      <c r="BA1032" s="6"/>
      <c r="BB1032" s="6"/>
      <c r="BC1032" s="6"/>
      <c r="BD1032" s="6"/>
      <c r="BE1032" s="6"/>
      <c r="BF1032" s="6">
        <v>1000000.0</v>
      </c>
      <c r="BG1032" s="13"/>
      <c r="BH1032" s="13"/>
      <c r="BI1032" s="13"/>
      <c r="BJ1032" s="13"/>
      <c r="BK1032" s="13"/>
      <c r="BL1032" s="13"/>
      <c r="BM1032" s="13"/>
      <c r="BN1032" s="6"/>
      <c r="BO1032" s="6">
        <v>4.0</v>
      </c>
      <c r="BP1032" s="13"/>
      <c r="BQ1032" s="13"/>
      <c r="BR1032" s="6" t="s">
        <v>490</v>
      </c>
    </row>
    <row r="1033">
      <c r="A1033" s="35">
        <v>148.0</v>
      </c>
      <c r="B1033" s="35" t="s">
        <v>1245</v>
      </c>
      <c r="C1033" s="53">
        <v>1.0</v>
      </c>
      <c r="D1033" s="53" t="s">
        <v>1250</v>
      </c>
      <c r="E1033" s="7">
        <v>1022.0</v>
      </c>
      <c r="F1033" s="53"/>
      <c r="G1033" s="6"/>
      <c r="H1033" s="35">
        <v>1.0</v>
      </c>
      <c r="I1033" s="111">
        <v>1.0</v>
      </c>
      <c r="J1033" s="138" t="s">
        <v>5726</v>
      </c>
      <c r="K1033" s="99"/>
      <c r="L1033" s="99"/>
      <c r="M1033" s="39" t="str">
        <f t="shared" si="1"/>
        <v>[ First-in, first-out (1940)]</v>
      </c>
      <c r="N1033" s="107" t="s">
        <v>5729</v>
      </c>
      <c r="O1033" s="111">
        <v>1940.0</v>
      </c>
      <c r="P1033" s="128"/>
      <c r="Q1033" s="13"/>
      <c r="R1033" s="13"/>
      <c r="S1033" s="13"/>
      <c r="T1033" s="111">
        <v>0.0</v>
      </c>
      <c r="U1033" s="35">
        <v>0.0</v>
      </c>
      <c r="V1033" s="89">
        <f>IFERROR(__xludf.DUMMYFUNCTION("INDEX(SPLIT(SUBSTITUTE(W1033,CHAR(10), """"),"",:""), MATCH(Z1033, SPLIT(SUBSTITUTE(W1033,CHAR(10), """"),"",:""), 0) + 1)"),3.0)</f>
        <v>3</v>
      </c>
      <c r="W1033" s="102" t="s">
        <v>1975</v>
      </c>
      <c r="X1033" s="138" t="s">
        <v>5726</v>
      </c>
      <c r="Y1033" s="41" t="s">
        <v>5723</v>
      </c>
      <c r="Z1033" s="53" t="str">
        <f t="array" ref="Z1033">INDEX(Problems!J:J, MATCH(1, (Problems!B:B=B1033)*1, 0))</f>
        <v>n</v>
      </c>
      <c r="AA1033" s="41"/>
      <c r="AB1033" s="41"/>
      <c r="AC1033" s="41" t="s">
        <v>1813</v>
      </c>
      <c r="AD1033" s="41" t="s">
        <v>1814</v>
      </c>
      <c r="AE1033" s="85">
        <f>IFERROR(__xludf.DUMMYFUNCTION("INDEX(SPLIT(SUBSTITUTE(AF1033,CHAR(10), """"),"",:""), MATCH(Z1033, SPLIT(SUBSTITUTE(AF1033,CHAR(10), """"),"",:""), 0) + 1)"),1.0)</f>
        <v>1</v>
      </c>
      <c r="AF1033" s="102" t="s">
        <v>5724</v>
      </c>
      <c r="AG1033" s="41" t="s">
        <v>192</v>
      </c>
      <c r="AH1033" s="41" t="s">
        <v>5728</v>
      </c>
      <c r="AI1033" s="108">
        <v>1.0</v>
      </c>
      <c r="AJ1033" s="84">
        <v>0.0</v>
      </c>
      <c r="AK1033" s="108"/>
      <c r="AL1033" s="111">
        <v>0.0</v>
      </c>
      <c r="AM1033" s="108"/>
      <c r="AN1033" s="111">
        <v>0.0</v>
      </c>
      <c r="AO1033" s="104"/>
      <c r="AP1033" s="111">
        <v>0.0</v>
      </c>
      <c r="AQ1033" s="111">
        <v>0.0</v>
      </c>
      <c r="AR1033" s="69"/>
      <c r="AS1033" s="111">
        <v>0.0</v>
      </c>
      <c r="AT1033" s="111">
        <v>0.0</v>
      </c>
      <c r="AU1033" s="69"/>
      <c r="AV1033" s="13"/>
      <c r="AW1033" s="13"/>
      <c r="AX1033" s="13"/>
      <c r="AY1033" s="13"/>
      <c r="AZ1033" s="6"/>
      <c r="BA1033" s="6"/>
      <c r="BB1033" s="6"/>
      <c r="BC1033" s="6"/>
      <c r="BD1033" s="6"/>
      <c r="BE1033" s="6"/>
      <c r="BF1033" s="6">
        <v>1000000.0</v>
      </c>
      <c r="BG1033" s="13"/>
      <c r="BH1033" s="13"/>
      <c r="BI1033" s="13"/>
      <c r="BJ1033" s="13"/>
      <c r="BK1033" s="13"/>
      <c r="BL1033" s="13"/>
      <c r="BM1033" s="13"/>
      <c r="BN1033" s="6"/>
      <c r="BO1033" s="6">
        <v>4.0</v>
      </c>
      <c r="BP1033" s="13"/>
      <c r="BQ1033" s="13"/>
      <c r="BR1033" s="6" t="s">
        <v>490</v>
      </c>
    </row>
    <row r="1034">
      <c r="A1034" s="35">
        <v>148.0</v>
      </c>
      <c r="B1034" s="35" t="s">
        <v>1245</v>
      </c>
      <c r="C1034" s="53">
        <v>1.0</v>
      </c>
      <c r="D1034" s="53" t="s">
        <v>1250</v>
      </c>
      <c r="E1034" s="7">
        <v>1023.0</v>
      </c>
      <c r="F1034" s="53"/>
      <c r="G1034" s="6"/>
      <c r="H1034" s="35">
        <v>1.0</v>
      </c>
      <c r="I1034" s="111">
        <v>1.0</v>
      </c>
      <c r="J1034" s="138" t="s">
        <v>5726</v>
      </c>
      <c r="K1034" s="99"/>
      <c r="L1034" s="99"/>
      <c r="M1034" s="39" t="str">
        <f t="shared" si="1"/>
        <v>[ Second-chance (1940)]</v>
      </c>
      <c r="N1034" s="107" t="s">
        <v>5730</v>
      </c>
      <c r="O1034" s="111">
        <v>1940.0</v>
      </c>
      <c r="P1034" s="128"/>
      <c r="Q1034" s="13"/>
      <c r="R1034" s="13"/>
      <c r="S1034" s="13"/>
      <c r="T1034" s="111">
        <v>0.0</v>
      </c>
      <c r="U1034" s="35">
        <v>0.0</v>
      </c>
      <c r="V1034" s="89">
        <f>IFERROR(__xludf.DUMMYFUNCTION("INDEX(SPLIT(SUBSTITUTE(W1034,CHAR(10), """"),"",:""), MATCH(Z1034, SPLIT(SUBSTITUTE(W1034,CHAR(10), """"),"",:""), 0) + 1)"),3.0)</f>
        <v>3</v>
      </c>
      <c r="W1034" s="102" t="s">
        <v>1975</v>
      </c>
      <c r="X1034" s="138" t="s">
        <v>5726</v>
      </c>
      <c r="Y1034" s="41" t="s">
        <v>5723</v>
      </c>
      <c r="Z1034" s="53" t="str">
        <f t="array" ref="Z1034">INDEX(Problems!J:J, MATCH(1, (Problems!B:B=B1034)*1, 0))</f>
        <v>n</v>
      </c>
      <c r="AA1034" s="41"/>
      <c r="AB1034" s="41"/>
      <c r="AC1034" s="41" t="s">
        <v>1813</v>
      </c>
      <c r="AD1034" s="41" t="s">
        <v>1814</v>
      </c>
      <c r="AE1034" s="85">
        <f>IFERROR(__xludf.DUMMYFUNCTION("INDEX(SPLIT(SUBSTITUTE(AF1034,CHAR(10), """"),"",:""), MATCH(Z1034, SPLIT(SUBSTITUTE(AF1034,CHAR(10), """"),"",:""), 0) + 1)"),1.0)</f>
        <v>1</v>
      </c>
      <c r="AF1034" s="102" t="s">
        <v>5724</v>
      </c>
      <c r="AG1034" s="41" t="s">
        <v>192</v>
      </c>
      <c r="AH1034" s="41" t="s">
        <v>5728</v>
      </c>
      <c r="AI1034" s="108">
        <v>1.0</v>
      </c>
      <c r="AJ1034" s="84">
        <v>0.0</v>
      </c>
      <c r="AK1034" s="108"/>
      <c r="AL1034" s="111">
        <v>0.0</v>
      </c>
      <c r="AM1034" s="108"/>
      <c r="AN1034" s="111">
        <v>0.0</v>
      </c>
      <c r="AO1034" s="104"/>
      <c r="AP1034" s="111">
        <v>0.0</v>
      </c>
      <c r="AQ1034" s="111">
        <v>0.0</v>
      </c>
      <c r="AR1034" s="69"/>
      <c r="AS1034" s="111">
        <v>0.0</v>
      </c>
      <c r="AT1034" s="111">
        <v>0.0</v>
      </c>
      <c r="AU1034" s="69"/>
      <c r="AV1034" s="13"/>
      <c r="AW1034" s="13"/>
      <c r="AX1034" s="13"/>
      <c r="AY1034" s="13"/>
      <c r="AZ1034" s="6"/>
      <c r="BA1034" s="6"/>
      <c r="BB1034" s="6"/>
      <c r="BC1034" s="6"/>
      <c r="BD1034" s="6"/>
      <c r="BE1034" s="6"/>
      <c r="BF1034" s="6">
        <v>1000000.0</v>
      </c>
      <c r="BG1034" s="13"/>
      <c r="BH1034" s="13"/>
      <c r="BI1034" s="13"/>
      <c r="BJ1034" s="13"/>
      <c r="BK1034" s="13"/>
      <c r="BL1034" s="13"/>
      <c r="BM1034" s="13"/>
      <c r="BN1034" s="6"/>
      <c r="BO1034" s="6">
        <v>4.0</v>
      </c>
      <c r="BP1034" s="13"/>
      <c r="BQ1034" s="13"/>
      <c r="BR1034" s="6" t="s">
        <v>490</v>
      </c>
    </row>
    <row r="1035">
      <c r="A1035" s="35">
        <v>148.0</v>
      </c>
      <c r="B1035" s="35" t="s">
        <v>1245</v>
      </c>
      <c r="C1035" s="53">
        <v>1.0</v>
      </c>
      <c r="D1035" s="53" t="s">
        <v>1250</v>
      </c>
      <c r="E1035" s="7">
        <v>1024.0</v>
      </c>
      <c r="F1035" s="53"/>
      <c r="G1035" s="6"/>
      <c r="H1035" s="35">
        <v>1.0</v>
      </c>
      <c r="I1035" s="111">
        <v>1.0</v>
      </c>
      <c r="J1035" s="138" t="s">
        <v>5726</v>
      </c>
      <c r="K1035" s="99"/>
      <c r="L1035" s="99"/>
      <c r="M1035" s="39" t="str">
        <f t="shared" si="1"/>
        <v>[ Clock (1940)]</v>
      </c>
      <c r="N1035" s="107" t="s">
        <v>5731</v>
      </c>
      <c r="O1035" s="111">
        <v>1940.0</v>
      </c>
      <c r="P1035" s="128"/>
      <c r="Q1035" s="13"/>
      <c r="R1035" s="13"/>
      <c r="S1035" s="13"/>
      <c r="T1035" s="111">
        <v>0.0</v>
      </c>
      <c r="U1035" s="35">
        <v>0.0</v>
      </c>
      <c r="V1035" s="89">
        <f>IFERROR(__xludf.DUMMYFUNCTION("INDEX(SPLIT(SUBSTITUTE(W1035,CHAR(10), """"),"",:""), MATCH(Z1035, SPLIT(SUBSTITUTE(W1035,CHAR(10), """"),"",:""), 0) + 1)"),3.0)</f>
        <v>3</v>
      </c>
      <c r="W1035" s="102" t="s">
        <v>1975</v>
      </c>
      <c r="X1035" s="138" t="s">
        <v>5726</v>
      </c>
      <c r="Y1035" s="41" t="s">
        <v>5723</v>
      </c>
      <c r="Z1035" s="53" t="str">
        <f t="array" ref="Z1035">INDEX(Problems!J:J, MATCH(1, (Problems!B:B=B1035)*1, 0))</f>
        <v>n</v>
      </c>
      <c r="AA1035" s="41"/>
      <c r="AB1035" s="41"/>
      <c r="AC1035" s="41" t="s">
        <v>1813</v>
      </c>
      <c r="AD1035" s="41" t="s">
        <v>1814</v>
      </c>
      <c r="AE1035" s="85">
        <f>IFERROR(__xludf.DUMMYFUNCTION("INDEX(SPLIT(SUBSTITUTE(AF1035,CHAR(10), """"),"",:""), MATCH(Z1035, SPLIT(SUBSTITUTE(AF1035,CHAR(10), """"),"",:""), 0) + 1)"),1.0)</f>
        <v>1</v>
      </c>
      <c r="AF1035" s="102" t="s">
        <v>5724</v>
      </c>
      <c r="AG1035" s="41" t="s">
        <v>192</v>
      </c>
      <c r="AH1035" s="41" t="s">
        <v>5732</v>
      </c>
      <c r="AI1035" s="108">
        <v>1.0</v>
      </c>
      <c r="AJ1035" s="84">
        <v>0.0</v>
      </c>
      <c r="AK1035" s="108"/>
      <c r="AL1035" s="111">
        <v>0.0</v>
      </c>
      <c r="AM1035" s="108"/>
      <c r="AN1035" s="111">
        <v>0.0</v>
      </c>
      <c r="AO1035" s="104"/>
      <c r="AP1035" s="111">
        <v>0.0</v>
      </c>
      <c r="AQ1035" s="111">
        <v>0.0</v>
      </c>
      <c r="AR1035" s="69"/>
      <c r="AS1035" s="111">
        <v>0.0</v>
      </c>
      <c r="AT1035" s="111">
        <v>0.0</v>
      </c>
      <c r="AU1035" s="69"/>
      <c r="AV1035" s="13"/>
      <c r="AW1035" s="13"/>
      <c r="AX1035" s="13"/>
      <c r="AY1035" s="13"/>
      <c r="AZ1035" s="6"/>
      <c r="BA1035" s="6"/>
      <c r="BB1035" s="6"/>
      <c r="BC1035" s="6"/>
      <c r="BD1035" s="6"/>
      <c r="BE1035" s="6"/>
      <c r="BF1035" s="6">
        <v>1000000.0</v>
      </c>
      <c r="BG1035" s="13"/>
      <c r="BH1035" s="13"/>
      <c r="BI1035" s="13"/>
      <c r="BJ1035" s="13"/>
      <c r="BK1035" s="13"/>
      <c r="BL1035" s="13"/>
      <c r="BM1035" s="13"/>
      <c r="BN1035" s="6"/>
      <c r="BO1035" s="6">
        <v>4.0</v>
      </c>
      <c r="BP1035" s="13"/>
      <c r="BQ1035" s="13"/>
      <c r="BR1035" s="6" t="s">
        <v>490</v>
      </c>
    </row>
    <row r="1036">
      <c r="A1036" s="35">
        <v>148.0</v>
      </c>
      <c r="B1036" s="35" t="s">
        <v>1245</v>
      </c>
      <c r="C1036" s="53">
        <v>1.0</v>
      </c>
      <c r="D1036" s="53" t="s">
        <v>1250</v>
      </c>
      <c r="E1036" s="7">
        <v>1025.0</v>
      </c>
      <c r="F1036" s="53"/>
      <c r="G1036" s="6"/>
      <c r="H1036" s="35">
        <v>1.0</v>
      </c>
      <c r="I1036" s="111">
        <v>1.0</v>
      </c>
      <c r="J1036" s="138" t="s">
        <v>5726</v>
      </c>
      <c r="K1036" s="99"/>
      <c r="L1036" s="99"/>
      <c r="M1036" s="39" t="str">
        <f t="shared" si="1"/>
        <v>[ Least recently used (1940)]</v>
      </c>
      <c r="N1036" s="107" t="s">
        <v>5733</v>
      </c>
      <c r="O1036" s="111">
        <v>1940.0</v>
      </c>
      <c r="P1036" s="128"/>
      <c r="Q1036" s="13"/>
      <c r="R1036" s="13"/>
      <c r="S1036" s="13"/>
      <c r="T1036" s="111">
        <v>0.0</v>
      </c>
      <c r="U1036" s="35">
        <v>0.0</v>
      </c>
      <c r="V1036" s="89">
        <f>IFERROR(__xludf.DUMMYFUNCTION("INDEX(SPLIT(SUBSTITUTE(W1036,CHAR(10), """"),"",:""), MATCH(Z1036, SPLIT(SUBSTITUTE(W1036,CHAR(10), """"),"",:""), 0) + 1)"),3.0)</f>
        <v>3</v>
      </c>
      <c r="W1036" s="102" t="s">
        <v>1975</v>
      </c>
      <c r="X1036" s="138" t="s">
        <v>5726</v>
      </c>
      <c r="Y1036" s="41" t="s">
        <v>5723</v>
      </c>
      <c r="Z1036" s="53" t="str">
        <f t="array" ref="Z1036">INDEX(Problems!J:J, MATCH(1, (Problems!B:B=B1036)*1, 0))</f>
        <v>n</v>
      </c>
      <c r="AA1036" s="41"/>
      <c r="AB1036" s="41"/>
      <c r="AC1036" s="41" t="s">
        <v>1813</v>
      </c>
      <c r="AD1036" s="41" t="s">
        <v>1814</v>
      </c>
      <c r="AE1036" s="85">
        <f>IFERROR(__xludf.DUMMYFUNCTION("INDEX(SPLIT(SUBSTITUTE(AF1036,CHAR(10), """"),"",:""), MATCH(Z1036, SPLIT(SUBSTITUTE(AF1036,CHAR(10), """"),"",:""), 0) + 1)"),1.0)</f>
        <v>1</v>
      </c>
      <c r="AF1036" s="102" t="s">
        <v>5724</v>
      </c>
      <c r="AG1036" s="41" t="s">
        <v>192</v>
      </c>
      <c r="AH1036" s="41" t="s">
        <v>5734</v>
      </c>
      <c r="AI1036" s="108">
        <v>1.0</v>
      </c>
      <c r="AJ1036" s="84">
        <v>0.0</v>
      </c>
      <c r="AK1036" s="108"/>
      <c r="AL1036" s="111">
        <v>0.0</v>
      </c>
      <c r="AM1036" s="108"/>
      <c r="AN1036" s="111">
        <v>0.0</v>
      </c>
      <c r="AO1036" s="104"/>
      <c r="AP1036" s="111">
        <v>0.0</v>
      </c>
      <c r="AQ1036" s="111">
        <v>0.0</v>
      </c>
      <c r="AR1036" s="69"/>
      <c r="AS1036" s="111">
        <v>0.0</v>
      </c>
      <c r="AT1036" s="111">
        <v>0.0</v>
      </c>
      <c r="AU1036" s="69"/>
      <c r="AV1036" s="13"/>
      <c r="AW1036" s="13"/>
      <c r="AX1036" s="13"/>
      <c r="AY1036" s="13"/>
      <c r="AZ1036" s="6"/>
      <c r="BA1036" s="6"/>
      <c r="BB1036" s="6"/>
      <c r="BC1036" s="6"/>
      <c r="BD1036" s="6"/>
      <c r="BE1036" s="6"/>
      <c r="BF1036" s="6">
        <v>1000000.0</v>
      </c>
      <c r="BG1036" s="13"/>
      <c r="BH1036" s="13"/>
      <c r="BI1036" s="13"/>
      <c r="BJ1036" s="13"/>
      <c r="BK1036" s="13"/>
      <c r="BL1036" s="13"/>
      <c r="BM1036" s="13"/>
      <c r="BN1036" s="6"/>
      <c r="BO1036" s="6">
        <v>4.0</v>
      </c>
      <c r="BP1036" s="13"/>
      <c r="BQ1036" s="13"/>
      <c r="BR1036" s="6" t="s">
        <v>490</v>
      </c>
    </row>
    <row r="1037">
      <c r="A1037" s="35">
        <v>148.0</v>
      </c>
      <c r="B1037" s="35" t="s">
        <v>1245</v>
      </c>
      <c r="C1037" s="53">
        <v>1.0</v>
      </c>
      <c r="D1037" s="53" t="s">
        <v>1250</v>
      </c>
      <c r="E1037" s="7">
        <v>1026.0</v>
      </c>
      <c r="F1037" s="53"/>
      <c r="G1037" s="6"/>
      <c r="H1037" s="35">
        <v>1.0</v>
      </c>
      <c r="I1037" s="111">
        <v>0.0</v>
      </c>
      <c r="J1037" s="35" t="s">
        <v>35</v>
      </c>
      <c r="K1037" s="99"/>
      <c r="L1037" s="99"/>
      <c r="M1037" s="39" t="str">
        <f t="shared" si="1"/>
        <v>[ Random (1940)]</v>
      </c>
      <c r="N1037" s="107" t="s">
        <v>5735</v>
      </c>
      <c r="O1037" s="111">
        <v>1940.0</v>
      </c>
      <c r="P1037" s="128"/>
      <c r="Q1037" s="13"/>
      <c r="R1037" s="13"/>
      <c r="S1037" s="13"/>
      <c r="T1037" s="111">
        <v>0.0</v>
      </c>
      <c r="U1037" s="35">
        <v>0.0</v>
      </c>
      <c r="V1037" s="89">
        <f>IFERROR(__xludf.DUMMYFUNCTION("INDEX(SPLIT(SUBSTITUTE(W1037,CHAR(10), """"),"",:""), MATCH(Z1037, SPLIT(SUBSTITUTE(W1037,CHAR(10), """"),"",:""), 0) + 1)"),3.0)</f>
        <v>3</v>
      </c>
      <c r="W1037" s="102" t="s">
        <v>1763</v>
      </c>
      <c r="X1037" s="35" t="s">
        <v>35</v>
      </c>
      <c r="Y1037" s="41" t="s">
        <v>5723</v>
      </c>
      <c r="Z1037" s="53" t="str">
        <f t="array" ref="Z1037">INDEX(Problems!J:J, MATCH(1, (Problems!B:B=B1037)*1, 0))</f>
        <v>n</v>
      </c>
      <c r="AA1037" s="41"/>
      <c r="AB1037" s="41"/>
      <c r="AC1037" s="41" t="s">
        <v>1813</v>
      </c>
      <c r="AD1037" s="41" t="s">
        <v>1814</v>
      </c>
      <c r="AE1037" s="85">
        <f>IFERROR(__xludf.DUMMYFUNCTION("INDEX(SPLIT(SUBSTITUTE(AF1037,CHAR(10), """"),"",:""), MATCH(Z1037, SPLIT(SUBSTITUTE(AF1037,CHAR(10), """"),"",:""), 0) + 1)"),1.0)</f>
        <v>1</v>
      </c>
      <c r="AF1037" s="102" t="s">
        <v>5724</v>
      </c>
      <c r="AG1037" s="41" t="s">
        <v>5736</v>
      </c>
      <c r="AH1037" s="41" t="s">
        <v>5737</v>
      </c>
      <c r="AI1037" s="108">
        <v>1.0</v>
      </c>
      <c r="AJ1037" s="84">
        <v>0.0</v>
      </c>
      <c r="AK1037" s="108"/>
      <c r="AL1037" s="111">
        <v>1.0</v>
      </c>
      <c r="AM1037" s="108"/>
      <c r="AN1037" s="111">
        <v>0.0</v>
      </c>
      <c r="AO1037" s="104"/>
      <c r="AP1037" s="111">
        <v>0.0</v>
      </c>
      <c r="AQ1037" s="111">
        <v>0.0</v>
      </c>
      <c r="AR1037" s="69"/>
      <c r="AS1037" s="111">
        <v>0.0</v>
      </c>
      <c r="AT1037" s="111">
        <v>0.0</v>
      </c>
      <c r="AU1037" s="69"/>
      <c r="AV1037" s="13"/>
      <c r="AW1037" s="13"/>
      <c r="AX1037" s="13"/>
      <c r="AY1037" s="13"/>
      <c r="AZ1037" s="6"/>
      <c r="BA1037" s="6"/>
      <c r="BB1037" s="6"/>
      <c r="BC1037" s="6"/>
      <c r="BD1037" s="6"/>
      <c r="BE1037" s="6"/>
      <c r="BF1037" s="6">
        <v>1000.0</v>
      </c>
      <c r="BG1037" s="13"/>
      <c r="BH1037" s="13"/>
      <c r="BI1037" s="13"/>
      <c r="BJ1037" s="13"/>
      <c r="BK1037" s="13"/>
      <c r="BL1037" s="13"/>
      <c r="BM1037" s="13"/>
      <c r="BN1037" s="6"/>
      <c r="BO1037" s="6">
        <v>4.0</v>
      </c>
      <c r="BP1037" s="13"/>
      <c r="BQ1037" s="13"/>
      <c r="BR1037" s="6" t="s">
        <v>490</v>
      </c>
    </row>
    <row r="1038">
      <c r="A1038" s="35">
        <v>148.0</v>
      </c>
      <c r="B1038" s="35" t="s">
        <v>1245</v>
      </c>
      <c r="C1038" s="53">
        <v>1.0</v>
      </c>
      <c r="D1038" s="53" t="s">
        <v>1250</v>
      </c>
      <c r="E1038" s="7">
        <v>1027.0</v>
      </c>
      <c r="F1038" s="53"/>
      <c r="G1038" s="6"/>
      <c r="H1038" s="35">
        <v>1.0</v>
      </c>
      <c r="I1038" s="111">
        <v>1.0</v>
      </c>
      <c r="J1038" s="138" t="s">
        <v>5726</v>
      </c>
      <c r="K1038" s="99"/>
      <c r="L1038" s="99"/>
      <c r="M1038" s="39" t="str">
        <f t="shared" si="1"/>
        <v>[ Not frequently used (NFU) (1940)]</v>
      </c>
      <c r="N1038" s="107" t="s">
        <v>5738</v>
      </c>
      <c r="O1038" s="111">
        <v>1940.0</v>
      </c>
      <c r="P1038" s="128"/>
      <c r="Q1038" s="13"/>
      <c r="R1038" s="13"/>
      <c r="S1038" s="13"/>
      <c r="T1038" s="111">
        <v>0.0</v>
      </c>
      <c r="U1038" s="35">
        <v>0.0</v>
      </c>
      <c r="V1038" s="89">
        <f>IFERROR(__xludf.DUMMYFUNCTION("INDEX(SPLIT(SUBSTITUTE(W1038,CHAR(10), """"),"",:""), MATCH(Z1038, SPLIT(SUBSTITUTE(W1038,CHAR(10), """"),"",:""), 0) + 1)"),3.0)</f>
        <v>3</v>
      </c>
      <c r="W1038" s="102" t="s">
        <v>1975</v>
      </c>
      <c r="X1038" s="138" t="s">
        <v>5726</v>
      </c>
      <c r="Y1038" s="41" t="s">
        <v>5723</v>
      </c>
      <c r="Z1038" s="53" t="str">
        <f t="array" ref="Z1038">INDEX(Problems!J:J, MATCH(1, (Problems!B:B=B1038)*1, 0))</f>
        <v>n</v>
      </c>
      <c r="AA1038" s="41"/>
      <c r="AB1038" s="41"/>
      <c r="AC1038" s="41" t="s">
        <v>1813</v>
      </c>
      <c r="AD1038" s="41" t="s">
        <v>1814</v>
      </c>
      <c r="AE1038" s="85">
        <f>IFERROR(__xludf.DUMMYFUNCTION("INDEX(SPLIT(SUBSTITUTE(AF1038,CHAR(10), """"),"",:""), MATCH(Z1038, SPLIT(SUBSTITUTE(AF1038,CHAR(10), """"),"",:""), 0) + 1)"),1.0)</f>
        <v>1</v>
      </c>
      <c r="AF1038" s="102" t="s">
        <v>5724</v>
      </c>
      <c r="AG1038" s="41" t="s">
        <v>192</v>
      </c>
      <c r="AH1038" s="41" t="s">
        <v>5739</v>
      </c>
      <c r="AI1038" s="108">
        <v>1.0</v>
      </c>
      <c r="AJ1038" s="84">
        <v>0.0</v>
      </c>
      <c r="AK1038" s="108"/>
      <c r="AL1038" s="111">
        <v>0.0</v>
      </c>
      <c r="AM1038" s="108"/>
      <c r="AN1038" s="111">
        <v>0.0</v>
      </c>
      <c r="AO1038" s="104"/>
      <c r="AP1038" s="111">
        <v>0.0</v>
      </c>
      <c r="AQ1038" s="111">
        <v>0.0</v>
      </c>
      <c r="AR1038" s="69"/>
      <c r="AS1038" s="111">
        <v>0.0</v>
      </c>
      <c r="AT1038" s="111">
        <v>0.0</v>
      </c>
      <c r="AU1038" s="69"/>
      <c r="AV1038" s="13"/>
      <c r="AW1038" s="13"/>
      <c r="AX1038" s="13"/>
      <c r="AY1038" s="13"/>
      <c r="AZ1038" s="6"/>
      <c r="BA1038" s="6"/>
      <c r="BB1038" s="6"/>
      <c r="BC1038" s="6"/>
      <c r="BD1038" s="6"/>
      <c r="BE1038" s="6"/>
      <c r="BF1038" s="6">
        <v>1000000.0</v>
      </c>
      <c r="BG1038" s="13"/>
      <c r="BH1038" s="13"/>
      <c r="BI1038" s="13"/>
      <c r="BJ1038" s="13"/>
      <c r="BK1038" s="13"/>
      <c r="BL1038" s="13"/>
      <c r="BM1038" s="13"/>
      <c r="BN1038" s="6"/>
      <c r="BO1038" s="6">
        <v>4.0</v>
      </c>
      <c r="BP1038" s="13"/>
      <c r="BQ1038" s="13"/>
      <c r="BR1038" s="6" t="s">
        <v>490</v>
      </c>
    </row>
    <row r="1039">
      <c r="A1039" s="35">
        <v>148.0</v>
      </c>
      <c r="B1039" s="35" t="s">
        <v>1245</v>
      </c>
      <c r="C1039" s="53">
        <v>1.0</v>
      </c>
      <c r="D1039" s="53" t="s">
        <v>1250</v>
      </c>
      <c r="E1039" s="7">
        <v>1028.0</v>
      </c>
      <c r="F1039" s="53"/>
      <c r="G1039" s="6"/>
      <c r="H1039" s="35">
        <v>1.0</v>
      </c>
      <c r="I1039" s="111">
        <v>1.0</v>
      </c>
      <c r="J1039" s="138" t="s">
        <v>5726</v>
      </c>
      <c r="K1039" s="99"/>
      <c r="L1039" s="99"/>
      <c r="M1039" s="39" t="str">
        <f t="shared" si="1"/>
        <v>[ Aging (1940)]</v>
      </c>
      <c r="N1039" s="107" t="s">
        <v>5740</v>
      </c>
      <c r="O1039" s="111">
        <v>1940.0</v>
      </c>
      <c r="P1039" s="128"/>
      <c r="Q1039" s="13"/>
      <c r="R1039" s="13"/>
      <c r="S1039" s="13"/>
      <c r="T1039" s="111">
        <v>0.0</v>
      </c>
      <c r="U1039" s="35">
        <v>0.0</v>
      </c>
      <c r="V1039" s="89">
        <f>IFERROR(__xludf.DUMMYFUNCTION("INDEX(SPLIT(SUBSTITUTE(W1039,CHAR(10), """"),"",:""), MATCH(Z1039, SPLIT(SUBSTITUTE(W1039,CHAR(10), """"),"",:""), 0) + 1)"),3.0)</f>
        <v>3</v>
      </c>
      <c r="W1039" s="102" t="s">
        <v>1975</v>
      </c>
      <c r="X1039" s="138" t="s">
        <v>5726</v>
      </c>
      <c r="Y1039" s="41" t="s">
        <v>5723</v>
      </c>
      <c r="Z1039" s="53" t="str">
        <f t="array" ref="Z1039">INDEX(Problems!J:J, MATCH(1, (Problems!B:B=B1039)*1, 0))</f>
        <v>n</v>
      </c>
      <c r="AA1039" s="41"/>
      <c r="AB1039" s="41"/>
      <c r="AC1039" s="41" t="s">
        <v>1813</v>
      </c>
      <c r="AD1039" s="41" t="s">
        <v>1814</v>
      </c>
      <c r="AE1039" s="85">
        <f>IFERROR(__xludf.DUMMYFUNCTION("INDEX(SPLIT(SUBSTITUTE(AF1039,CHAR(10), """"),"",:""), MATCH(Z1039, SPLIT(SUBSTITUTE(AF1039,CHAR(10), """"),"",:""), 0) + 1)"),1.0)</f>
        <v>1</v>
      </c>
      <c r="AF1039" s="102" t="s">
        <v>5724</v>
      </c>
      <c r="AG1039" s="41" t="s">
        <v>192</v>
      </c>
      <c r="AH1039" s="41" t="s">
        <v>5739</v>
      </c>
      <c r="AI1039" s="108">
        <v>1.0</v>
      </c>
      <c r="AJ1039" s="84">
        <v>0.0</v>
      </c>
      <c r="AK1039" s="108"/>
      <c r="AL1039" s="111">
        <v>0.0</v>
      </c>
      <c r="AM1039" s="108"/>
      <c r="AN1039" s="111">
        <v>0.0</v>
      </c>
      <c r="AO1039" s="104"/>
      <c r="AP1039" s="111">
        <v>0.0</v>
      </c>
      <c r="AQ1039" s="111">
        <v>0.0</v>
      </c>
      <c r="AR1039" s="69"/>
      <c r="AS1039" s="111">
        <v>0.0</v>
      </c>
      <c r="AT1039" s="111">
        <v>0.0</v>
      </c>
      <c r="AU1039" s="69"/>
      <c r="AV1039" s="13"/>
      <c r="AW1039" s="13"/>
      <c r="AX1039" s="13"/>
      <c r="AY1039" s="13"/>
      <c r="AZ1039" s="6"/>
      <c r="BA1039" s="6"/>
      <c r="BB1039" s="6"/>
      <c r="BC1039" s="6"/>
      <c r="BD1039" s="6"/>
      <c r="BE1039" s="6"/>
      <c r="BF1039" s="6">
        <v>1000000.0</v>
      </c>
      <c r="BG1039" s="13"/>
      <c r="BH1039" s="13"/>
      <c r="BI1039" s="13"/>
      <c r="BJ1039" s="13"/>
      <c r="BK1039" s="13"/>
      <c r="BL1039" s="13"/>
      <c r="BM1039" s="13"/>
      <c r="BN1039" s="6"/>
      <c r="BO1039" s="6">
        <v>4.0</v>
      </c>
      <c r="BP1039" s="13"/>
      <c r="BQ1039" s="13"/>
      <c r="BR1039" s="6" t="s">
        <v>490</v>
      </c>
    </row>
    <row r="1040">
      <c r="A1040" s="35">
        <v>148.0</v>
      </c>
      <c r="B1040" s="35" t="s">
        <v>1245</v>
      </c>
      <c r="C1040" s="53">
        <v>1.0</v>
      </c>
      <c r="D1040" s="53" t="s">
        <v>1250</v>
      </c>
      <c r="E1040" s="7">
        <v>1029.0</v>
      </c>
      <c r="F1040" s="53"/>
      <c r="G1040" s="6"/>
      <c r="H1040" s="35">
        <v>1.0</v>
      </c>
      <c r="I1040" s="111">
        <v>1.0</v>
      </c>
      <c r="J1040" s="138" t="s">
        <v>5726</v>
      </c>
      <c r="K1040" s="99"/>
      <c r="L1040" s="99"/>
      <c r="M1040" s="39" t="str">
        <f t="shared" si="1"/>
        <v>[https://www.researchgate.net/profile/Gyanendra-Kumar-3/publication/319467661_A_Novel_Longest_Distance_First_Page_Replacement_Algorithm/links/59b209f1aca2728472d14684/A-Novel-Longest-Distance-First-Page-Replacement-Algorithm.pdf Longest distance first (LDF) page replacement algorithm (2017)]</v>
      </c>
      <c r="N1040" s="107" t="s">
        <v>5741</v>
      </c>
      <c r="O1040" s="111">
        <v>2017.0</v>
      </c>
      <c r="P1040" s="106" t="s">
        <v>1248</v>
      </c>
      <c r="Q1040" s="13"/>
      <c r="R1040" s="13"/>
      <c r="S1040" s="13"/>
      <c r="T1040" s="111">
        <v>0.0</v>
      </c>
      <c r="U1040" s="35">
        <v>0.0</v>
      </c>
      <c r="V1040" s="89">
        <f>IFERROR(__xludf.DUMMYFUNCTION("INDEX(SPLIT(SUBSTITUTE(W1040,CHAR(10), """"),"",:""), MATCH(Z1040, SPLIT(SUBSTITUTE(W1040,CHAR(10), """"),"",:""), 0) + 1)"),3.0)</f>
        <v>3</v>
      </c>
      <c r="W1040" s="102" t="s">
        <v>1975</v>
      </c>
      <c r="X1040" s="138" t="s">
        <v>5726</v>
      </c>
      <c r="Y1040" s="41" t="s">
        <v>5723</v>
      </c>
      <c r="Z1040" s="53" t="str">
        <f t="array" ref="Z1040">INDEX(Problems!J:J, MATCH(1, (Problems!B:B=B1040)*1, 0))</f>
        <v>n</v>
      </c>
      <c r="AA1040" s="41"/>
      <c r="AB1040" s="41"/>
      <c r="AC1040" s="41" t="s">
        <v>1813</v>
      </c>
      <c r="AD1040" s="41" t="s">
        <v>1814</v>
      </c>
      <c r="AE1040" s="85">
        <f>IFERROR(__xludf.DUMMYFUNCTION("INDEX(SPLIT(SUBSTITUTE(AF1040,CHAR(10), """"),"",:""), MATCH(Z1040, SPLIT(SUBSTITUTE(AF1040,CHAR(10), """"),"",:""), 0) + 1)"),1.0)</f>
        <v>1</v>
      </c>
      <c r="AF1040" s="102" t="s">
        <v>5724</v>
      </c>
      <c r="AG1040" s="41" t="s">
        <v>192</v>
      </c>
      <c r="AH1040" s="41" t="s">
        <v>5742</v>
      </c>
      <c r="AI1040" s="108">
        <v>1.0</v>
      </c>
      <c r="AJ1040" s="84">
        <v>0.0</v>
      </c>
      <c r="AK1040" s="108"/>
      <c r="AL1040" s="111">
        <v>0.0</v>
      </c>
      <c r="AM1040" s="108"/>
      <c r="AN1040" s="111">
        <v>0.0</v>
      </c>
      <c r="AO1040" s="104"/>
      <c r="AP1040" s="111">
        <v>0.0</v>
      </c>
      <c r="AQ1040" s="111">
        <v>0.0</v>
      </c>
      <c r="AR1040" s="69"/>
      <c r="AS1040" s="111">
        <v>0.0</v>
      </c>
      <c r="AT1040" s="111">
        <v>0.0</v>
      </c>
      <c r="AU1040" s="69"/>
      <c r="AV1040" s="13"/>
      <c r="AW1040" s="13"/>
      <c r="AX1040" s="13"/>
      <c r="AY1040" s="13"/>
      <c r="AZ1040" s="6"/>
      <c r="BA1040" s="6"/>
      <c r="BB1040" s="6"/>
      <c r="BC1040" s="6"/>
      <c r="BD1040" s="6"/>
      <c r="BE1040" s="6"/>
      <c r="BF1040" s="6">
        <v>1000000.0</v>
      </c>
      <c r="BG1040" s="13"/>
      <c r="BH1040" s="13"/>
      <c r="BI1040" s="13"/>
      <c r="BJ1040" s="13"/>
      <c r="BK1040" s="13"/>
      <c r="BL1040" s="13"/>
      <c r="BM1040" s="13"/>
      <c r="BN1040" s="6"/>
      <c r="BO1040" s="6">
        <v>4.0</v>
      </c>
      <c r="BP1040" s="13"/>
      <c r="BQ1040" s="13"/>
      <c r="BR1040" s="6" t="s">
        <v>490</v>
      </c>
    </row>
    <row r="1041">
      <c r="A1041" s="35">
        <v>149.0</v>
      </c>
      <c r="B1041" s="35" t="s">
        <v>1251</v>
      </c>
      <c r="C1041" s="53">
        <v>2.0</v>
      </c>
      <c r="D1041" s="53" t="s">
        <v>1252</v>
      </c>
      <c r="E1041" s="7">
        <v>1030.0</v>
      </c>
      <c r="F1041" s="53"/>
      <c r="G1041" s="6"/>
      <c r="H1041" s="35">
        <v>1.0</v>
      </c>
      <c r="I1041" s="111">
        <v>1.0</v>
      </c>
      <c r="J1041" s="35" t="s">
        <v>35</v>
      </c>
      <c r="K1041" s="41" t="s">
        <v>5743</v>
      </c>
      <c r="L1041" s="41" t="s">
        <v>5695</v>
      </c>
      <c r="M1041" s="39" t="str">
        <f t="shared" si="1"/>
        <v>[https://dl.acm.org/doi/10.1145/128765.128770 ARIES (1992)]</v>
      </c>
      <c r="N1041" s="107" t="s">
        <v>5744</v>
      </c>
      <c r="O1041" s="111">
        <v>1992.0</v>
      </c>
      <c r="P1041" s="106" t="s">
        <v>5745</v>
      </c>
      <c r="Q1041" s="6">
        <v>4.0</v>
      </c>
      <c r="R1041" s="6">
        <v>1.0</v>
      </c>
      <c r="S1041" s="6"/>
      <c r="T1041" s="111">
        <v>1.0</v>
      </c>
      <c r="U1041" s="35">
        <v>0.0</v>
      </c>
      <c r="V1041" s="89">
        <f>IFERROR(__xludf.DUMMYFUNCTION("INDEX(SPLIT(SUBSTITUTE(W1041,CHAR(10), """"),"",:""), MATCH(Z1041, SPLIT(SUBSTITUTE(W1041,CHAR(10), """"),"",:""), 0) + 1)"),3.0)</f>
        <v>3</v>
      </c>
      <c r="W1041" s="101" t="s">
        <v>1763</v>
      </c>
      <c r="X1041" s="50" t="s">
        <v>35</v>
      </c>
      <c r="Y1041" s="41" t="s">
        <v>5746</v>
      </c>
      <c r="Z1041" s="53" t="str">
        <f t="array" ref="Z1041">INDEX(Problems!J:J, MATCH(1, (Problems!B:B=B1041)*1, 0))</f>
        <v>n</v>
      </c>
      <c r="AA1041" s="41"/>
      <c r="AB1041" s="41"/>
      <c r="AC1041" s="41" t="s">
        <v>1813</v>
      </c>
      <c r="AD1041" s="41" t="s">
        <v>1814</v>
      </c>
      <c r="AE1041" s="85">
        <f>IFERROR(__xludf.DUMMYFUNCTION("INDEX(SPLIT(SUBSTITUTE(AF1041,CHAR(10), """"),"",:""), MATCH(Z1041, SPLIT(SUBSTITUTE(AF1041,CHAR(10), """"),"",:""), 0) + 1)"),3.0)</f>
        <v>3</v>
      </c>
      <c r="AF1041" s="102" t="s">
        <v>1763</v>
      </c>
      <c r="AG1041" s="41" t="s">
        <v>2625</v>
      </c>
      <c r="AH1041" s="41" t="s">
        <v>5747</v>
      </c>
      <c r="AI1041" s="108">
        <v>1.0</v>
      </c>
      <c r="AJ1041" s="84">
        <v>0.0</v>
      </c>
      <c r="AK1041" s="108"/>
      <c r="AL1041" s="111">
        <v>0.0</v>
      </c>
      <c r="AM1041" s="108"/>
      <c r="AN1041" s="111">
        <v>0.0</v>
      </c>
      <c r="AO1041" s="104"/>
      <c r="AP1041" s="111">
        <v>0.0</v>
      </c>
      <c r="AQ1041" s="111">
        <v>0.0</v>
      </c>
      <c r="AR1041" s="69"/>
      <c r="AS1041" s="111">
        <v>0.0</v>
      </c>
      <c r="AT1041" s="111">
        <v>0.0</v>
      </c>
      <c r="AU1041" s="69"/>
      <c r="AV1041" s="13"/>
      <c r="AW1041" s="13"/>
      <c r="AX1041" s="13"/>
      <c r="AY1041" s="13"/>
      <c r="AZ1041" s="6"/>
      <c r="BA1041" s="6"/>
      <c r="BB1041" s="6"/>
      <c r="BC1041" s="6"/>
      <c r="BD1041" s="6"/>
      <c r="BE1041" s="6"/>
      <c r="BF1041" s="6">
        <v>1000.0</v>
      </c>
      <c r="BG1041" s="6">
        <v>1.0</v>
      </c>
      <c r="BH1041" s="6"/>
      <c r="BI1041" s="6">
        <v>1000000.0</v>
      </c>
      <c r="BJ1041" s="6">
        <v>1.0</v>
      </c>
      <c r="BK1041" s="6"/>
      <c r="BL1041" s="6">
        <v>1.0E9</v>
      </c>
      <c r="BM1041" s="6">
        <v>1.0</v>
      </c>
      <c r="BN1041" s="6"/>
      <c r="BO1041" s="6">
        <v>6.0</v>
      </c>
      <c r="BP1041" s="13"/>
      <c r="BQ1041" s="13"/>
      <c r="BR1041" s="6" t="s">
        <v>490</v>
      </c>
    </row>
    <row r="1042">
      <c r="A1042" s="69"/>
      <c r="B1042" s="69"/>
      <c r="C1042" s="53"/>
      <c r="D1042" s="53"/>
      <c r="E1042" s="7"/>
      <c r="F1042" s="53"/>
      <c r="G1042" s="6"/>
      <c r="H1042" s="69"/>
      <c r="I1042" s="98"/>
      <c r="J1042" s="69"/>
      <c r="K1042" s="99"/>
      <c r="L1042" s="99"/>
      <c r="M1042" s="128"/>
      <c r="N1042" s="182"/>
      <c r="O1042" s="98"/>
      <c r="P1042" s="128"/>
      <c r="Q1042" s="13"/>
      <c r="R1042" s="13"/>
      <c r="S1042" s="13"/>
      <c r="T1042" s="98"/>
      <c r="U1042" s="69"/>
      <c r="V1042" s="89"/>
      <c r="W1042" s="150"/>
      <c r="X1042" s="69"/>
      <c r="Y1042" s="41"/>
      <c r="Z1042" s="53"/>
      <c r="AA1042" s="41"/>
      <c r="AB1042" s="41"/>
      <c r="AC1042" s="41"/>
      <c r="AD1042" s="41"/>
      <c r="AE1042" s="150"/>
      <c r="AF1042" s="150"/>
      <c r="AG1042" s="41"/>
      <c r="AH1042" s="41"/>
      <c r="AI1042" s="105"/>
      <c r="AJ1042" s="84"/>
      <c r="AK1042" s="105"/>
      <c r="AL1042" s="98"/>
      <c r="AM1042" s="105"/>
      <c r="AN1042" s="98"/>
      <c r="AO1042" s="110"/>
      <c r="AP1042" s="98"/>
      <c r="AQ1042" s="98"/>
      <c r="AR1042" s="69"/>
      <c r="AS1042" s="98"/>
      <c r="AT1042" s="98"/>
      <c r="AU1042" s="69"/>
      <c r="AV1042" s="13"/>
      <c r="AW1042" s="13"/>
      <c r="AX1042" s="13"/>
      <c r="AY1042" s="13"/>
      <c r="AZ1042" s="6"/>
      <c r="BA1042" s="6"/>
      <c r="BB1042" s="6"/>
      <c r="BC1042" s="6"/>
      <c r="BD1042" s="6"/>
      <c r="BE1042" s="6"/>
      <c r="BF1042" s="6"/>
      <c r="BG1042" s="13"/>
      <c r="BH1042" s="13"/>
      <c r="BI1042" s="13"/>
      <c r="BJ1042" s="13"/>
      <c r="BK1042" s="13"/>
      <c r="BL1042" s="13"/>
      <c r="BM1042" s="13"/>
      <c r="BN1042" s="13"/>
      <c r="BO1042" s="13"/>
      <c r="BP1042" s="13"/>
      <c r="BQ1042" s="13"/>
      <c r="BR1042" s="6"/>
    </row>
    <row r="1043">
      <c r="A1043" s="69"/>
      <c r="B1043" s="69"/>
      <c r="C1043" s="53"/>
      <c r="D1043" s="53"/>
      <c r="E1043" s="7"/>
      <c r="F1043" s="53"/>
      <c r="G1043" s="13"/>
      <c r="H1043" s="69"/>
      <c r="I1043" s="98"/>
      <c r="J1043" s="69"/>
      <c r="K1043" s="99"/>
      <c r="L1043" s="99"/>
      <c r="M1043" s="128"/>
      <c r="N1043" s="182"/>
      <c r="O1043" s="98"/>
      <c r="P1043" s="128"/>
      <c r="Q1043" s="13"/>
      <c r="R1043" s="13"/>
      <c r="S1043" s="13"/>
      <c r="T1043" s="98"/>
      <c r="U1043" s="69"/>
      <c r="V1043" s="89"/>
      <c r="W1043" s="150"/>
      <c r="X1043" s="69"/>
      <c r="Y1043" s="99"/>
      <c r="Z1043" s="53"/>
      <c r="AA1043" s="99"/>
      <c r="AB1043" s="99"/>
      <c r="AC1043" s="99"/>
      <c r="AD1043" s="99"/>
      <c r="AE1043" s="150"/>
      <c r="AF1043" s="150"/>
      <c r="AG1043" s="99"/>
      <c r="AH1043" s="99"/>
      <c r="AI1043" s="105"/>
      <c r="AJ1043" s="84"/>
      <c r="AK1043" s="105"/>
      <c r="AL1043" s="98"/>
      <c r="AM1043" s="105"/>
      <c r="AN1043" s="98"/>
      <c r="AO1043" s="110"/>
      <c r="AP1043" s="98"/>
      <c r="AQ1043" s="98"/>
      <c r="AR1043" s="69"/>
      <c r="AS1043" s="98"/>
      <c r="AT1043" s="98"/>
      <c r="AU1043" s="69"/>
      <c r="AV1043" s="13"/>
      <c r="AW1043" s="13"/>
      <c r="AX1043" s="13"/>
      <c r="AY1043" s="13"/>
      <c r="AZ1043" s="13"/>
      <c r="BA1043" s="13"/>
      <c r="BB1043" s="13"/>
      <c r="BC1043" s="13"/>
      <c r="BD1043" s="13"/>
      <c r="BE1043" s="13"/>
      <c r="BF1043" s="13"/>
      <c r="BG1043" s="13"/>
      <c r="BH1043" s="13"/>
      <c r="BI1043" s="13"/>
      <c r="BJ1043" s="13"/>
      <c r="BK1043" s="13"/>
      <c r="BL1043" s="13"/>
      <c r="BM1043" s="13"/>
      <c r="BN1043" s="13"/>
      <c r="BO1043" s="13"/>
      <c r="BP1043" s="13"/>
      <c r="BQ1043" s="13"/>
      <c r="BR1043" s="13"/>
    </row>
    <row r="1044">
      <c r="A1044" s="69"/>
      <c r="B1044" s="69"/>
      <c r="C1044" s="53"/>
      <c r="D1044" s="53"/>
      <c r="E1044" s="7"/>
      <c r="F1044" s="53"/>
      <c r="G1044" s="13"/>
      <c r="H1044" s="69"/>
      <c r="I1044" s="98"/>
      <c r="J1044" s="69"/>
      <c r="K1044" s="99"/>
      <c r="L1044" s="99"/>
      <c r="M1044" s="128"/>
      <c r="N1044" s="182"/>
      <c r="O1044" s="98"/>
      <c r="P1044" s="128"/>
      <c r="Q1044" s="13"/>
      <c r="R1044" s="13"/>
      <c r="S1044" s="13"/>
      <c r="T1044" s="98"/>
      <c r="U1044" s="69"/>
      <c r="V1044" s="89"/>
      <c r="W1044" s="150"/>
      <c r="X1044" s="69"/>
      <c r="Y1044" s="99"/>
      <c r="Z1044" s="53"/>
      <c r="AA1044" s="99"/>
      <c r="AB1044" s="99"/>
      <c r="AC1044" s="99"/>
      <c r="AD1044" s="99"/>
      <c r="AE1044" s="150"/>
      <c r="AF1044" s="150"/>
      <c r="AG1044" s="99"/>
      <c r="AH1044" s="99"/>
      <c r="AI1044" s="105"/>
      <c r="AJ1044" s="84"/>
      <c r="AK1044" s="105"/>
      <c r="AL1044" s="98"/>
      <c r="AM1044" s="105"/>
      <c r="AN1044" s="98"/>
      <c r="AO1044" s="110"/>
      <c r="AP1044" s="98"/>
      <c r="AQ1044" s="98"/>
      <c r="AR1044" s="69"/>
      <c r="AS1044" s="98"/>
      <c r="AT1044" s="98"/>
      <c r="AU1044" s="69"/>
      <c r="AV1044" s="13"/>
      <c r="AW1044" s="13"/>
      <c r="AX1044" s="13"/>
      <c r="AY1044" s="13"/>
      <c r="AZ1044" s="13"/>
      <c r="BA1044" s="13"/>
      <c r="BB1044" s="13"/>
      <c r="BC1044" s="13"/>
      <c r="BD1044" s="13"/>
      <c r="BE1044" s="13"/>
      <c r="BF1044" s="13"/>
      <c r="BG1044" s="13"/>
      <c r="BH1044" s="13"/>
      <c r="BI1044" s="13"/>
      <c r="BJ1044" s="13"/>
      <c r="BK1044" s="13"/>
      <c r="BL1044" s="13"/>
      <c r="BM1044" s="13"/>
      <c r="BN1044" s="13"/>
      <c r="BO1044" s="13"/>
      <c r="BP1044" s="13"/>
      <c r="BQ1044" s="13"/>
      <c r="BR1044" s="13"/>
    </row>
    <row r="1045">
      <c r="A1045" s="69"/>
      <c r="B1045" s="69"/>
      <c r="C1045" s="53"/>
      <c r="D1045" s="53"/>
      <c r="E1045" s="7"/>
      <c r="F1045" s="53"/>
      <c r="G1045" s="13"/>
      <c r="H1045" s="69"/>
      <c r="I1045" s="98"/>
      <c r="J1045" s="69"/>
      <c r="K1045" s="99"/>
      <c r="L1045" s="99"/>
      <c r="M1045" s="128"/>
      <c r="N1045" s="182"/>
      <c r="O1045" s="98"/>
      <c r="P1045" s="128"/>
      <c r="Q1045" s="13"/>
      <c r="R1045" s="13"/>
      <c r="S1045" s="13"/>
      <c r="T1045" s="98"/>
      <c r="U1045" s="69"/>
      <c r="V1045" s="89"/>
      <c r="W1045" s="150"/>
      <c r="X1045" s="69"/>
      <c r="Y1045" s="99"/>
      <c r="Z1045" s="53"/>
      <c r="AA1045" s="99"/>
      <c r="AB1045" s="99"/>
      <c r="AC1045" s="99"/>
      <c r="AD1045" s="99"/>
      <c r="AE1045" s="150"/>
      <c r="AF1045" s="150"/>
      <c r="AG1045" s="99"/>
      <c r="AH1045" s="99"/>
      <c r="AI1045" s="105"/>
      <c r="AJ1045" s="84"/>
      <c r="AK1045" s="105"/>
      <c r="AL1045" s="98"/>
      <c r="AM1045" s="105"/>
      <c r="AN1045" s="98"/>
      <c r="AO1045" s="110"/>
      <c r="AP1045" s="98"/>
      <c r="AQ1045" s="98"/>
      <c r="AR1045" s="69"/>
      <c r="AS1045" s="98"/>
      <c r="AT1045" s="98"/>
      <c r="AU1045" s="69"/>
      <c r="AV1045" s="13"/>
      <c r="AW1045" s="13"/>
      <c r="AX1045" s="13"/>
      <c r="AY1045" s="13"/>
      <c r="AZ1045" s="13"/>
      <c r="BA1045" s="13"/>
      <c r="BB1045" s="13"/>
      <c r="BC1045" s="13"/>
      <c r="BD1045" s="13"/>
      <c r="BE1045" s="13"/>
      <c r="BF1045" s="13"/>
      <c r="BG1045" s="13"/>
      <c r="BH1045" s="13"/>
      <c r="BI1045" s="13"/>
      <c r="BJ1045" s="13"/>
      <c r="BK1045" s="13"/>
      <c r="BL1045" s="13"/>
      <c r="BM1045" s="13"/>
      <c r="BN1045" s="13"/>
      <c r="BO1045" s="13"/>
      <c r="BP1045" s="13"/>
      <c r="BQ1045" s="13"/>
      <c r="BR1045" s="13"/>
    </row>
    <row r="1046">
      <c r="A1046" s="69"/>
      <c r="B1046" s="69"/>
      <c r="C1046" s="53"/>
      <c r="D1046" s="53"/>
      <c r="E1046" s="7"/>
      <c r="F1046" s="53"/>
      <c r="G1046" s="13"/>
      <c r="H1046" s="69"/>
      <c r="I1046" s="98"/>
      <c r="J1046" s="69"/>
      <c r="K1046" s="99"/>
      <c r="L1046" s="99"/>
      <c r="M1046" s="128"/>
      <c r="N1046" s="182"/>
      <c r="O1046" s="98"/>
      <c r="P1046" s="128"/>
      <c r="Q1046" s="13"/>
      <c r="R1046" s="13"/>
      <c r="S1046" s="13"/>
      <c r="T1046" s="98"/>
      <c r="U1046" s="69"/>
      <c r="V1046" s="89"/>
      <c r="W1046" s="150"/>
      <c r="X1046" s="69"/>
      <c r="Y1046" s="99"/>
      <c r="Z1046" s="53"/>
      <c r="AA1046" s="99"/>
      <c r="AB1046" s="99"/>
      <c r="AC1046" s="99"/>
      <c r="AD1046" s="99"/>
      <c r="AE1046" s="150"/>
      <c r="AF1046" s="150"/>
      <c r="AG1046" s="99"/>
      <c r="AH1046" s="99"/>
      <c r="AI1046" s="105"/>
      <c r="AJ1046" s="84"/>
      <c r="AK1046" s="105"/>
      <c r="AL1046" s="98"/>
      <c r="AM1046" s="105"/>
      <c r="AN1046" s="98"/>
      <c r="AO1046" s="110"/>
      <c r="AP1046" s="98"/>
      <c r="AQ1046" s="98"/>
      <c r="AR1046" s="69"/>
      <c r="AS1046" s="98"/>
      <c r="AT1046" s="98"/>
      <c r="AU1046" s="69"/>
      <c r="AV1046" s="13"/>
      <c r="AW1046" s="13"/>
      <c r="AX1046" s="13"/>
      <c r="AY1046" s="13"/>
      <c r="AZ1046" s="13"/>
      <c r="BA1046" s="13"/>
      <c r="BB1046" s="13"/>
      <c r="BC1046" s="13"/>
      <c r="BD1046" s="13"/>
      <c r="BE1046" s="13"/>
      <c r="BF1046" s="13"/>
      <c r="BG1046" s="13"/>
      <c r="BH1046" s="13"/>
      <c r="BI1046" s="13"/>
      <c r="BJ1046" s="13"/>
      <c r="BK1046" s="13"/>
      <c r="BL1046" s="13"/>
      <c r="BM1046" s="13"/>
      <c r="BN1046" s="13"/>
      <c r="BO1046" s="13"/>
      <c r="BP1046" s="13"/>
      <c r="BQ1046" s="13"/>
      <c r="BR1046" s="13"/>
    </row>
    <row r="1047">
      <c r="A1047" s="69"/>
      <c r="B1047" s="69"/>
      <c r="C1047" s="53"/>
      <c r="D1047" s="53"/>
      <c r="E1047" s="7"/>
      <c r="F1047" s="53"/>
      <c r="G1047" s="13"/>
      <c r="H1047" s="69"/>
      <c r="I1047" s="98"/>
      <c r="J1047" s="69"/>
      <c r="K1047" s="99"/>
      <c r="L1047" s="99"/>
      <c r="M1047" s="128"/>
      <c r="N1047" s="182"/>
      <c r="O1047" s="98"/>
      <c r="P1047" s="128"/>
      <c r="Q1047" s="13"/>
      <c r="R1047" s="13"/>
      <c r="S1047" s="13"/>
      <c r="T1047" s="98"/>
      <c r="U1047" s="69"/>
      <c r="V1047" s="89"/>
      <c r="W1047" s="150"/>
      <c r="X1047" s="69"/>
      <c r="Y1047" s="99"/>
      <c r="Z1047" s="53"/>
      <c r="AA1047" s="99"/>
      <c r="AB1047" s="99"/>
      <c r="AC1047" s="99"/>
      <c r="AD1047" s="99"/>
      <c r="AE1047" s="150"/>
      <c r="AF1047" s="150"/>
      <c r="AG1047" s="99"/>
      <c r="AH1047" s="99"/>
      <c r="AI1047" s="105"/>
      <c r="AJ1047" s="84"/>
      <c r="AK1047" s="105"/>
      <c r="AL1047" s="98"/>
      <c r="AM1047" s="105"/>
      <c r="AN1047" s="98"/>
      <c r="AO1047" s="110"/>
      <c r="AP1047" s="98"/>
      <c r="AQ1047" s="98"/>
      <c r="AR1047" s="69"/>
      <c r="AS1047" s="98"/>
      <c r="AT1047" s="98"/>
      <c r="AU1047" s="69"/>
      <c r="AV1047" s="13"/>
      <c r="AW1047" s="13"/>
      <c r="AX1047" s="13"/>
      <c r="AY1047" s="13"/>
      <c r="AZ1047" s="13"/>
      <c r="BA1047" s="13"/>
      <c r="BB1047" s="13"/>
      <c r="BC1047" s="13"/>
      <c r="BD1047" s="13"/>
      <c r="BE1047" s="13"/>
      <c r="BF1047" s="13"/>
      <c r="BG1047" s="13"/>
      <c r="BH1047" s="13"/>
      <c r="BI1047" s="13"/>
      <c r="BJ1047" s="13"/>
      <c r="BK1047" s="13"/>
      <c r="BL1047" s="13"/>
      <c r="BM1047" s="13"/>
      <c r="BN1047" s="13"/>
      <c r="BO1047" s="13"/>
      <c r="BP1047" s="13"/>
      <c r="BQ1047" s="13"/>
      <c r="BR1047" s="13"/>
    </row>
    <row r="1048">
      <c r="A1048" s="69"/>
      <c r="B1048" s="69"/>
      <c r="C1048" s="53"/>
      <c r="D1048" s="53"/>
      <c r="E1048" s="7"/>
      <c r="F1048" s="53"/>
      <c r="G1048" s="13"/>
      <c r="H1048" s="69"/>
      <c r="I1048" s="98"/>
      <c r="J1048" s="69"/>
      <c r="K1048" s="99"/>
      <c r="L1048" s="99"/>
      <c r="M1048" s="128"/>
      <c r="N1048" s="182"/>
      <c r="O1048" s="98"/>
      <c r="P1048" s="128"/>
      <c r="Q1048" s="13"/>
      <c r="R1048" s="13"/>
      <c r="S1048" s="13"/>
      <c r="T1048" s="98"/>
      <c r="U1048" s="69"/>
      <c r="V1048" s="89"/>
      <c r="W1048" s="150"/>
      <c r="X1048" s="69"/>
      <c r="Y1048" s="99"/>
      <c r="Z1048" s="53"/>
      <c r="AA1048" s="99"/>
      <c r="AB1048" s="99"/>
      <c r="AC1048" s="99"/>
      <c r="AD1048" s="99"/>
      <c r="AE1048" s="150"/>
      <c r="AF1048" s="150"/>
      <c r="AG1048" s="99"/>
      <c r="AH1048" s="99"/>
      <c r="AI1048" s="105"/>
      <c r="AJ1048" s="105"/>
      <c r="AK1048" s="105"/>
      <c r="AL1048" s="98"/>
      <c r="AM1048" s="105"/>
      <c r="AN1048" s="98"/>
      <c r="AO1048" s="110"/>
      <c r="AP1048" s="98"/>
      <c r="AQ1048" s="98"/>
      <c r="AR1048" s="69"/>
      <c r="AS1048" s="98"/>
      <c r="AT1048" s="98"/>
      <c r="AU1048" s="69"/>
      <c r="AV1048" s="13"/>
      <c r="AW1048" s="13"/>
      <c r="AX1048" s="13"/>
      <c r="AY1048" s="13"/>
      <c r="AZ1048" s="13"/>
      <c r="BA1048" s="13"/>
      <c r="BB1048" s="13"/>
      <c r="BC1048" s="13"/>
      <c r="BD1048" s="13"/>
      <c r="BE1048" s="13"/>
      <c r="BF1048" s="13"/>
      <c r="BG1048" s="13"/>
      <c r="BH1048" s="13"/>
      <c r="BI1048" s="13"/>
      <c r="BJ1048" s="13"/>
      <c r="BK1048" s="13"/>
      <c r="BL1048" s="13"/>
      <c r="BM1048" s="13"/>
      <c r="BN1048" s="13"/>
      <c r="BO1048" s="13"/>
      <c r="BP1048" s="13"/>
      <c r="BQ1048" s="13"/>
      <c r="BR1048" s="13"/>
    </row>
    <row r="1049">
      <c r="A1049" s="69"/>
      <c r="B1049" s="69"/>
      <c r="C1049" s="53"/>
      <c r="D1049" s="53"/>
      <c r="E1049" s="7"/>
      <c r="F1049" s="53"/>
      <c r="G1049" s="13"/>
      <c r="H1049" s="69"/>
      <c r="I1049" s="98"/>
      <c r="J1049" s="69"/>
      <c r="K1049" s="99"/>
      <c r="L1049" s="99"/>
      <c r="M1049" s="128"/>
      <c r="N1049" s="182"/>
      <c r="O1049" s="98"/>
      <c r="P1049" s="128"/>
      <c r="Q1049" s="13"/>
      <c r="R1049" s="13"/>
      <c r="S1049" s="13"/>
      <c r="T1049" s="98"/>
      <c r="U1049" s="69"/>
      <c r="V1049" s="89"/>
      <c r="W1049" s="150"/>
      <c r="X1049" s="69"/>
      <c r="Y1049" s="99"/>
      <c r="Z1049" s="53"/>
      <c r="AA1049" s="99"/>
      <c r="AB1049" s="99"/>
      <c r="AC1049" s="99"/>
      <c r="AD1049" s="99"/>
      <c r="AE1049" s="150"/>
      <c r="AF1049" s="150"/>
      <c r="AG1049" s="99"/>
      <c r="AH1049" s="99"/>
      <c r="AI1049" s="105"/>
      <c r="AJ1049" s="105"/>
      <c r="AK1049" s="105"/>
      <c r="AL1049" s="98"/>
      <c r="AM1049" s="105"/>
      <c r="AN1049" s="98"/>
      <c r="AO1049" s="110"/>
      <c r="AP1049" s="98"/>
      <c r="AQ1049" s="98"/>
      <c r="AR1049" s="69"/>
      <c r="AS1049" s="98"/>
      <c r="AT1049" s="98"/>
      <c r="AU1049" s="69"/>
      <c r="AV1049" s="13"/>
      <c r="AW1049" s="13"/>
      <c r="AX1049" s="13"/>
      <c r="AY1049" s="13"/>
      <c r="AZ1049" s="13"/>
      <c r="BA1049" s="13"/>
      <c r="BB1049" s="13"/>
      <c r="BC1049" s="13"/>
      <c r="BD1049" s="13"/>
      <c r="BE1049" s="13"/>
      <c r="BF1049" s="13"/>
      <c r="BG1049" s="13"/>
      <c r="BH1049" s="13"/>
      <c r="BI1049" s="13"/>
      <c r="BJ1049" s="13"/>
      <c r="BK1049" s="13"/>
      <c r="BL1049" s="13"/>
      <c r="BM1049" s="13"/>
      <c r="BN1049" s="13"/>
      <c r="BO1049" s="13"/>
      <c r="BP1049" s="13"/>
      <c r="BQ1049" s="13"/>
      <c r="BR1049" s="13"/>
    </row>
    <row r="1050">
      <c r="A1050" s="69"/>
      <c r="B1050" s="69"/>
      <c r="C1050" s="53"/>
      <c r="D1050" s="53"/>
      <c r="E1050" s="7"/>
      <c r="F1050" s="53"/>
      <c r="G1050" s="13"/>
      <c r="H1050" s="69"/>
      <c r="I1050" s="98"/>
      <c r="J1050" s="69"/>
      <c r="K1050" s="99"/>
      <c r="L1050" s="99"/>
      <c r="M1050" s="128"/>
      <c r="N1050" s="182"/>
      <c r="O1050" s="98"/>
      <c r="P1050" s="128"/>
      <c r="Q1050" s="13"/>
      <c r="R1050" s="13"/>
      <c r="S1050" s="13"/>
      <c r="T1050" s="98"/>
      <c r="U1050" s="69"/>
      <c r="V1050" s="89"/>
      <c r="W1050" s="150"/>
      <c r="X1050" s="69"/>
      <c r="Y1050" s="99"/>
      <c r="Z1050" s="53"/>
      <c r="AA1050" s="99"/>
      <c r="AB1050" s="99"/>
      <c r="AC1050" s="99"/>
      <c r="AD1050" s="99"/>
      <c r="AE1050" s="150"/>
      <c r="AF1050" s="150"/>
      <c r="AG1050" s="99"/>
      <c r="AH1050" s="99"/>
      <c r="AI1050" s="105"/>
      <c r="AJ1050" s="105"/>
      <c r="AK1050" s="105"/>
      <c r="AL1050" s="98"/>
      <c r="AM1050" s="105"/>
      <c r="AN1050" s="98"/>
      <c r="AO1050" s="110"/>
      <c r="AP1050" s="98"/>
      <c r="AQ1050" s="98"/>
      <c r="AR1050" s="69"/>
      <c r="AS1050" s="98"/>
      <c r="AT1050" s="98"/>
      <c r="AU1050" s="69"/>
      <c r="AV1050" s="13"/>
      <c r="AW1050" s="13"/>
      <c r="AX1050" s="13"/>
      <c r="AY1050" s="13"/>
      <c r="AZ1050" s="13"/>
      <c r="BA1050" s="13"/>
      <c r="BB1050" s="13"/>
      <c r="BC1050" s="13"/>
      <c r="BD1050" s="13"/>
      <c r="BE1050" s="13"/>
      <c r="BF1050" s="13"/>
      <c r="BG1050" s="13"/>
      <c r="BH1050" s="13"/>
      <c r="BI1050" s="13"/>
      <c r="BJ1050" s="13"/>
      <c r="BK1050" s="13"/>
      <c r="BL1050" s="13"/>
      <c r="BM1050" s="13"/>
      <c r="BN1050" s="13"/>
      <c r="BO1050" s="13"/>
      <c r="BP1050" s="13"/>
      <c r="BQ1050" s="13"/>
      <c r="BR1050" s="13"/>
    </row>
    <row r="1051">
      <c r="A1051" s="69"/>
      <c r="B1051" s="69"/>
      <c r="C1051" s="53"/>
      <c r="D1051" s="53"/>
      <c r="E1051" s="7"/>
      <c r="F1051" s="53"/>
      <c r="G1051" s="13"/>
      <c r="H1051" s="69"/>
      <c r="I1051" s="98"/>
      <c r="J1051" s="69"/>
      <c r="K1051" s="99"/>
      <c r="L1051" s="99"/>
      <c r="M1051" s="128"/>
      <c r="N1051" s="182"/>
      <c r="O1051" s="98"/>
      <c r="P1051" s="128"/>
      <c r="Q1051" s="13"/>
      <c r="R1051" s="13"/>
      <c r="S1051" s="13"/>
      <c r="T1051" s="98"/>
      <c r="U1051" s="69"/>
      <c r="V1051" s="89"/>
      <c r="W1051" s="150"/>
      <c r="X1051" s="69"/>
      <c r="Y1051" s="99"/>
      <c r="Z1051" s="53"/>
      <c r="AA1051" s="99"/>
      <c r="AB1051" s="99"/>
      <c r="AC1051" s="99"/>
      <c r="AD1051" s="99"/>
      <c r="AE1051" s="150"/>
      <c r="AF1051" s="150"/>
      <c r="AG1051" s="99"/>
      <c r="AH1051" s="99"/>
      <c r="AI1051" s="105"/>
      <c r="AJ1051" s="105"/>
      <c r="AK1051" s="105"/>
      <c r="AL1051" s="98"/>
      <c r="AM1051" s="105"/>
      <c r="AN1051" s="98"/>
      <c r="AO1051" s="110"/>
      <c r="AP1051" s="98"/>
      <c r="AQ1051" s="98"/>
      <c r="AR1051" s="69"/>
      <c r="AS1051" s="98"/>
      <c r="AT1051" s="98"/>
      <c r="AU1051" s="69"/>
      <c r="AV1051" s="13"/>
      <c r="AW1051" s="13"/>
      <c r="AX1051" s="13"/>
      <c r="AY1051" s="13"/>
      <c r="AZ1051" s="13"/>
      <c r="BA1051" s="13"/>
      <c r="BB1051" s="13"/>
      <c r="BC1051" s="13"/>
      <c r="BD1051" s="13"/>
      <c r="BE1051" s="13"/>
      <c r="BF1051" s="13"/>
      <c r="BG1051" s="13"/>
      <c r="BH1051" s="13"/>
      <c r="BI1051" s="13"/>
      <c r="BJ1051" s="13"/>
      <c r="BK1051" s="13"/>
      <c r="BL1051" s="13"/>
      <c r="BM1051" s="13"/>
      <c r="BN1051" s="13"/>
      <c r="BO1051" s="13"/>
      <c r="BP1051" s="13"/>
      <c r="BQ1051" s="13"/>
      <c r="BR1051" s="13"/>
    </row>
    <row r="1052">
      <c r="A1052" s="69"/>
      <c r="B1052" s="69"/>
      <c r="C1052" s="99"/>
      <c r="D1052" s="99"/>
      <c r="E1052" s="13"/>
      <c r="F1052" s="99"/>
      <c r="G1052" s="13"/>
      <c r="H1052" s="69"/>
      <c r="I1052" s="98"/>
      <c r="J1052" s="69"/>
      <c r="K1052" s="99"/>
      <c r="L1052" s="99"/>
      <c r="M1052" s="128"/>
      <c r="N1052" s="182"/>
      <c r="O1052" s="98"/>
      <c r="P1052" s="128"/>
      <c r="Q1052" s="13"/>
      <c r="R1052" s="13"/>
      <c r="S1052" s="13"/>
      <c r="T1052" s="98"/>
      <c r="U1052" s="69"/>
      <c r="V1052" s="89"/>
      <c r="W1052" s="150"/>
      <c r="X1052" s="69"/>
      <c r="Y1052" s="99"/>
      <c r="Z1052" s="53"/>
      <c r="AA1052" s="99"/>
      <c r="AB1052" s="99"/>
      <c r="AC1052" s="99"/>
      <c r="AD1052" s="99"/>
      <c r="AE1052" s="150"/>
      <c r="AF1052" s="150"/>
      <c r="AG1052" s="99"/>
      <c r="AH1052" s="99"/>
      <c r="AI1052" s="105"/>
      <c r="AJ1052" s="105"/>
      <c r="AK1052" s="105"/>
      <c r="AL1052" s="98"/>
      <c r="AM1052" s="105"/>
      <c r="AN1052" s="98"/>
      <c r="AO1052" s="110"/>
      <c r="AP1052" s="98"/>
      <c r="AQ1052" s="98"/>
      <c r="AR1052" s="69"/>
      <c r="AS1052" s="98"/>
      <c r="AT1052" s="98"/>
      <c r="AU1052" s="69"/>
      <c r="AV1052" s="13"/>
      <c r="AW1052" s="13"/>
      <c r="AX1052" s="13"/>
      <c r="AY1052" s="13"/>
      <c r="AZ1052" s="13"/>
      <c r="BA1052" s="13"/>
      <c r="BB1052" s="13"/>
      <c r="BC1052" s="13"/>
      <c r="BD1052" s="13"/>
      <c r="BE1052" s="13"/>
      <c r="BF1052" s="13"/>
      <c r="BG1052" s="13"/>
      <c r="BH1052" s="13"/>
      <c r="BI1052" s="13"/>
      <c r="BJ1052" s="13"/>
      <c r="BK1052" s="13"/>
      <c r="BL1052" s="13"/>
      <c r="BM1052" s="13"/>
      <c r="BN1052" s="13"/>
      <c r="BO1052" s="13"/>
      <c r="BP1052" s="13"/>
      <c r="BQ1052" s="13"/>
      <c r="BR1052" s="13"/>
    </row>
    <row r="1053">
      <c r="A1053" s="69"/>
      <c r="B1053" s="69"/>
      <c r="C1053" s="99"/>
      <c r="D1053" s="99"/>
      <c r="E1053" s="13"/>
      <c r="F1053" s="99"/>
      <c r="G1053" s="13"/>
      <c r="H1053" s="69"/>
      <c r="I1053" s="98"/>
      <c r="J1053" s="69"/>
      <c r="K1053" s="99"/>
      <c r="L1053" s="99"/>
      <c r="M1053" s="128"/>
      <c r="N1053" s="182"/>
      <c r="O1053" s="98"/>
      <c r="P1053" s="128"/>
      <c r="Q1053" s="13"/>
      <c r="R1053" s="13"/>
      <c r="S1053" s="13"/>
      <c r="T1053" s="98"/>
      <c r="U1053" s="69"/>
      <c r="V1053" s="89"/>
      <c r="W1053" s="150"/>
      <c r="X1053" s="69"/>
      <c r="Y1053" s="99"/>
      <c r="Z1053" s="53"/>
      <c r="AA1053" s="99"/>
      <c r="AB1053" s="99"/>
      <c r="AC1053" s="99"/>
      <c r="AD1053" s="99"/>
      <c r="AE1053" s="150"/>
      <c r="AF1053" s="150"/>
      <c r="AG1053" s="99"/>
      <c r="AH1053" s="99"/>
      <c r="AI1053" s="105"/>
      <c r="AJ1053" s="105"/>
      <c r="AK1053" s="105"/>
      <c r="AL1053" s="98"/>
      <c r="AM1053" s="105"/>
      <c r="AN1053" s="98"/>
      <c r="AO1053" s="110"/>
      <c r="AP1053" s="98"/>
      <c r="AQ1053" s="98"/>
      <c r="AR1053" s="69"/>
      <c r="AS1053" s="98"/>
      <c r="AT1053" s="98"/>
      <c r="AU1053" s="69"/>
      <c r="AV1053" s="13"/>
      <c r="AW1053" s="13"/>
      <c r="AX1053" s="13"/>
      <c r="AY1053" s="13"/>
      <c r="AZ1053" s="13"/>
      <c r="BA1053" s="13"/>
      <c r="BB1053" s="13"/>
      <c r="BC1053" s="13"/>
      <c r="BD1053" s="13"/>
      <c r="BE1053" s="13"/>
      <c r="BF1053" s="13"/>
      <c r="BG1053" s="13"/>
      <c r="BH1053" s="13"/>
      <c r="BI1053" s="13"/>
      <c r="BJ1053" s="13"/>
      <c r="BK1053" s="13"/>
      <c r="BL1053" s="13"/>
      <c r="BM1053" s="13"/>
      <c r="BN1053" s="13"/>
      <c r="BO1053" s="13"/>
      <c r="BP1053" s="13"/>
      <c r="BQ1053" s="13"/>
      <c r="BR1053" s="13"/>
    </row>
    <row r="1054">
      <c r="A1054" s="69"/>
      <c r="B1054" s="69"/>
      <c r="C1054" s="99"/>
      <c r="D1054" s="99"/>
      <c r="E1054" s="13"/>
      <c r="F1054" s="99"/>
      <c r="G1054" s="13"/>
      <c r="H1054" s="69"/>
      <c r="I1054" s="98"/>
      <c r="J1054" s="69"/>
      <c r="K1054" s="99"/>
      <c r="L1054" s="99"/>
      <c r="M1054" s="128"/>
      <c r="N1054" s="182"/>
      <c r="O1054" s="98"/>
      <c r="P1054" s="128"/>
      <c r="Q1054" s="13"/>
      <c r="R1054" s="13"/>
      <c r="S1054" s="13"/>
      <c r="T1054" s="98"/>
      <c r="U1054" s="69"/>
      <c r="V1054" s="89"/>
      <c r="W1054" s="150"/>
      <c r="X1054" s="69"/>
      <c r="Y1054" s="99"/>
      <c r="Z1054" s="53"/>
      <c r="AA1054" s="99"/>
      <c r="AB1054" s="99"/>
      <c r="AC1054" s="99"/>
      <c r="AD1054" s="99"/>
      <c r="AE1054" s="150"/>
      <c r="AF1054" s="150"/>
      <c r="AG1054" s="99"/>
      <c r="AH1054" s="99"/>
      <c r="AI1054" s="105"/>
      <c r="AJ1054" s="105"/>
      <c r="AK1054" s="105"/>
      <c r="AL1054" s="98"/>
      <c r="AM1054" s="105"/>
      <c r="AN1054" s="98"/>
      <c r="AO1054" s="110"/>
      <c r="AP1054" s="98"/>
      <c r="AQ1054" s="98"/>
      <c r="AR1054" s="69"/>
      <c r="AS1054" s="98"/>
      <c r="AT1054" s="98"/>
      <c r="AU1054" s="69"/>
      <c r="AV1054" s="13"/>
      <c r="AW1054" s="13"/>
      <c r="AX1054" s="13"/>
      <c r="AY1054" s="13"/>
      <c r="AZ1054" s="13"/>
      <c r="BA1054" s="13"/>
      <c r="BB1054" s="13"/>
      <c r="BC1054" s="13"/>
      <c r="BD1054" s="13"/>
      <c r="BE1054" s="13"/>
      <c r="BF1054" s="13"/>
      <c r="BG1054" s="13"/>
      <c r="BH1054" s="13"/>
      <c r="BI1054" s="13"/>
      <c r="BJ1054" s="13"/>
      <c r="BK1054" s="13"/>
      <c r="BL1054" s="13"/>
      <c r="BM1054" s="13"/>
      <c r="BN1054" s="13"/>
      <c r="BO1054" s="13"/>
      <c r="BP1054" s="13"/>
      <c r="BQ1054" s="13"/>
      <c r="BR1054" s="13"/>
    </row>
    <row r="1055">
      <c r="A1055" s="69"/>
      <c r="B1055" s="69"/>
      <c r="C1055" s="99"/>
      <c r="D1055" s="99"/>
      <c r="E1055" s="13"/>
      <c r="F1055" s="99"/>
      <c r="G1055" s="13"/>
      <c r="H1055" s="69"/>
      <c r="I1055" s="98"/>
      <c r="J1055" s="69"/>
      <c r="K1055" s="99"/>
      <c r="L1055" s="99"/>
      <c r="M1055" s="128"/>
      <c r="N1055" s="182"/>
      <c r="O1055" s="98"/>
      <c r="P1055" s="128"/>
      <c r="Q1055" s="13"/>
      <c r="R1055" s="13"/>
      <c r="S1055" s="13"/>
      <c r="T1055" s="98"/>
      <c r="U1055" s="69"/>
      <c r="V1055" s="89"/>
      <c r="W1055" s="150"/>
      <c r="X1055" s="69"/>
      <c r="Y1055" s="99"/>
      <c r="Z1055" s="53"/>
      <c r="AA1055" s="99"/>
      <c r="AB1055" s="99"/>
      <c r="AC1055" s="99"/>
      <c r="AD1055" s="99"/>
      <c r="AE1055" s="150"/>
      <c r="AF1055" s="150"/>
      <c r="AG1055" s="99"/>
      <c r="AH1055" s="99"/>
      <c r="AI1055" s="105"/>
      <c r="AJ1055" s="105"/>
      <c r="AK1055" s="105"/>
      <c r="AL1055" s="98"/>
      <c r="AM1055" s="105"/>
      <c r="AN1055" s="98"/>
      <c r="AO1055" s="110"/>
      <c r="AP1055" s="98"/>
      <c r="AQ1055" s="98"/>
      <c r="AR1055" s="69"/>
      <c r="AS1055" s="98"/>
      <c r="AT1055" s="98"/>
      <c r="AU1055" s="69"/>
      <c r="AV1055" s="13"/>
      <c r="AW1055" s="13"/>
      <c r="AX1055" s="13"/>
      <c r="AY1055" s="13"/>
      <c r="AZ1055" s="13"/>
      <c r="BA1055" s="13"/>
      <c r="BB1055" s="13"/>
      <c r="BC1055" s="13"/>
      <c r="BD1055" s="13"/>
      <c r="BE1055" s="13"/>
      <c r="BF1055" s="13"/>
      <c r="BG1055" s="13"/>
      <c r="BH1055" s="13"/>
      <c r="BI1055" s="13"/>
      <c r="BJ1055" s="13"/>
      <c r="BK1055" s="13"/>
      <c r="BL1055" s="13"/>
      <c r="BM1055" s="13"/>
      <c r="BN1055" s="13"/>
      <c r="BO1055" s="13"/>
      <c r="BP1055" s="13"/>
      <c r="BQ1055" s="13"/>
      <c r="BR1055" s="13"/>
    </row>
    <row r="1056">
      <c r="A1056" s="69"/>
      <c r="B1056" s="69"/>
      <c r="C1056" s="99"/>
      <c r="D1056" s="99"/>
      <c r="E1056" s="13"/>
      <c r="F1056" s="99"/>
      <c r="G1056" s="13"/>
      <c r="H1056" s="69"/>
      <c r="I1056" s="98"/>
      <c r="J1056" s="69"/>
      <c r="K1056" s="99"/>
      <c r="L1056" s="99"/>
      <c r="M1056" s="128"/>
      <c r="N1056" s="182"/>
      <c r="O1056" s="98"/>
      <c r="P1056" s="128"/>
      <c r="Q1056" s="13"/>
      <c r="R1056" s="13"/>
      <c r="S1056" s="13"/>
      <c r="T1056" s="98"/>
      <c r="U1056" s="69"/>
      <c r="V1056" s="89"/>
      <c r="W1056" s="150"/>
      <c r="X1056" s="69"/>
      <c r="Y1056" s="99"/>
      <c r="Z1056" s="53"/>
      <c r="AA1056" s="99"/>
      <c r="AB1056" s="99"/>
      <c r="AC1056" s="99"/>
      <c r="AD1056" s="99"/>
      <c r="AE1056" s="150"/>
      <c r="AF1056" s="150"/>
      <c r="AG1056" s="99"/>
      <c r="AH1056" s="99"/>
      <c r="AI1056" s="105"/>
      <c r="AJ1056" s="105"/>
      <c r="AK1056" s="105"/>
      <c r="AL1056" s="98"/>
      <c r="AM1056" s="105"/>
      <c r="AN1056" s="98"/>
      <c r="AO1056" s="110"/>
      <c r="AP1056" s="98"/>
      <c r="AQ1056" s="98"/>
      <c r="AR1056" s="69"/>
      <c r="AS1056" s="98"/>
      <c r="AT1056" s="98"/>
      <c r="AU1056" s="69"/>
      <c r="AV1056" s="13"/>
      <c r="AW1056" s="13"/>
      <c r="AX1056" s="13"/>
      <c r="AY1056" s="13"/>
      <c r="AZ1056" s="13"/>
      <c r="BA1056" s="13"/>
      <c r="BB1056" s="13"/>
      <c r="BC1056" s="13"/>
      <c r="BD1056" s="13"/>
      <c r="BE1056" s="13"/>
      <c r="BF1056" s="13"/>
      <c r="BG1056" s="13"/>
      <c r="BH1056" s="13"/>
      <c r="BI1056" s="13"/>
      <c r="BJ1056" s="13"/>
      <c r="BK1056" s="13"/>
      <c r="BL1056" s="13"/>
      <c r="BM1056" s="13"/>
      <c r="BN1056" s="13"/>
      <c r="BO1056" s="13"/>
      <c r="BP1056" s="13"/>
      <c r="BQ1056" s="13"/>
      <c r="BR1056" s="13"/>
    </row>
    <row r="1057">
      <c r="A1057" s="69"/>
      <c r="B1057" s="69"/>
      <c r="C1057" s="99"/>
      <c r="D1057" s="99"/>
      <c r="E1057" s="13"/>
      <c r="F1057" s="99"/>
      <c r="G1057" s="13"/>
      <c r="H1057" s="69"/>
      <c r="I1057" s="98"/>
      <c r="J1057" s="69"/>
      <c r="K1057" s="99"/>
      <c r="L1057" s="99"/>
      <c r="M1057" s="128"/>
      <c r="N1057" s="182"/>
      <c r="O1057" s="98"/>
      <c r="P1057" s="128"/>
      <c r="Q1057" s="13"/>
      <c r="R1057" s="13"/>
      <c r="S1057" s="13"/>
      <c r="T1057" s="98"/>
      <c r="U1057" s="69"/>
      <c r="V1057" s="105"/>
      <c r="W1057" s="150"/>
      <c r="X1057" s="69"/>
      <c r="Y1057" s="99"/>
      <c r="Z1057" s="53"/>
      <c r="AA1057" s="99"/>
      <c r="AB1057" s="99"/>
      <c r="AC1057" s="99"/>
      <c r="AD1057" s="99"/>
      <c r="AE1057" s="150"/>
      <c r="AF1057" s="150"/>
      <c r="AG1057" s="99"/>
      <c r="AH1057" s="99"/>
      <c r="AI1057" s="105"/>
      <c r="AJ1057" s="105"/>
      <c r="AK1057" s="105"/>
      <c r="AL1057" s="98"/>
      <c r="AM1057" s="105"/>
      <c r="AN1057" s="98"/>
      <c r="AO1057" s="110"/>
      <c r="AP1057" s="98"/>
      <c r="AQ1057" s="98"/>
      <c r="AR1057" s="69"/>
      <c r="AS1057" s="98"/>
      <c r="AT1057" s="98"/>
      <c r="AU1057" s="69"/>
      <c r="AV1057" s="13"/>
      <c r="AW1057" s="13"/>
      <c r="AX1057" s="13"/>
      <c r="AY1057" s="13"/>
      <c r="AZ1057" s="13"/>
      <c r="BA1057" s="13"/>
      <c r="BB1057" s="13"/>
      <c r="BC1057" s="13"/>
      <c r="BD1057" s="13"/>
      <c r="BE1057" s="13"/>
      <c r="BF1057" s="13"/>
      <c r="BG1057" s="13"/>
      <c r="BH1057" s="13"/>
      <c r="BI1057" s="13"/>
      <c r="BJ1057" s="13"/>
      <c r="BK1057" s="13"/>
      <c r="BL1057" s="13"/>
      <c r="BM1057" s="13"/>
      <c r="BN1057" s="13"/>
      <c r="BO1057" s="13"/>
      <c r="BP1057" s="13"/>
      <c r="BQ1057" s="13"/>
      <c r="BR1057" s="13"/>
    </row>
    <row r="1058">
      <c r="A1058" s="69"/>
      <c r="B1058" s="69"/>
      <c r="C1058" s="99"/>
      <c r="D1058" s="99"/>
      <c r="E1058" s="13"/>
      <c r="F1058" s="99"/>
      <c r="G1058" s="13"/>
      <c r="H1058" s="69"/>
      <c r="I1058" s="98"/>
      <c r="J1058" s="69"/>
      <c r="K1058" s="99"/>
      <c r="L1058" s="99"/>
      <c r="M1058" s="128"/>
      <c r="N1058" s="182"/>
      <c r="O1058" s="98"/>
      <c r="P1058" s="128"/>
      <c r="Q1058" s="13"/>
      <c r="R1058" s="13"/>
      <c r="S1058" s="13"/>
      <c r="T1058" s="98"/>
      <c r="U1058" s="69"/>
      <c r="V1058" s="105"/>
      <c r="W1058" s="150"/>
      <c r="X1058" s="69"/>
      <c r="Y1058" s="99"/>
      <c r="Z1058" s="53"/>
      <c r="AA1058" s="99"/>
      <c r="AB1058" s="99"/>
      <c r="AC1058" s="99"/>
      <c r="AD1058" s="99"/>
      <c r="AE1058" s="150"/>
      <c r="AF1058" s="150"/>
      <c r="AG1058" s="99"/>
      <c r="AH1058" s="99"/>
      <c r="AI1058" s="105"/>
      <c r="AJ1058" s="105"/>
      <c r="AK1058" s="105"/>
      <c r="AL1058" s="98"/>
      <c r="AM1058" s="105"/>
      <c r="AN1058" s="98"/>
      <c r="AO1058" s="110"/>
      <c r="AP1058" s="98"/>
      <c r="AQ1058" s="98"/>
      <c r="AR1058" s="69"/>
      <c r="AS1058" s="98"/>
      <c r="AT1058" s="98"/>
      <c r="AU1058" s="69"/>
      <c r="AV1058" s="13"/>
      <c r="AW1058" s="13"/>
      <c r="AX1058" s="13"/>
      <c r="AY1058" s="13"/>
      <c r="AZ1058" s="13"/>
      <c r="BA1058" s="13"/>
      <c r="BB1058" s="13"/>
      <c r="BC1058" s="13"/>
      <c r="BD1058" s="13"/>
      <c r="BE1058" s="13"/>
      <c r="BF1058" s="13"/>
      <c r="BG1058" s="13"/>
      <c r="BH1058" s="13"/>
      <c r="BI1058" s="13"/>
      <c r="BJ1058" s="13"/>
      <c r="BK1058" s="13"/>
      <c r="BL1058" s="13"/>
      <c r="BM1058" s="13"/>
      <c r="BN1058" s="13"/>
      <c r="BO1058" s="13"/>
      <c r="BP1058" s="13"/>
      <c r="BQ1058" s="13"/>
      <c r="BR1058" s="13"/>
    </row>
    <row r="1059">
      <c r="A1059" s="69"/>
      <c r="B1059" s="69"/>
      <c r="C1059" s="99"/>
      <c r="D1059" s="99"/>
      <c r="E1059" s="13"/>
      <c r="F1059" s="99"/>
      <c r="G1059" s="13"/>
      <c r="H1059" s="69"/>
      <c r="I1059" s="98"/>
      <c r="J1059" s="69"/>
      <c r="K1059" s="99"/>
      <c r="L1059" s="99"/>
      <c r="M1059" s="128"/>
      <c r="N1059" s="182"/>
      <c r="O1059" s="98"/>
      <c r="P1059" s="128"/>
      <c r="Q1059" s="13"/>
      <c r="R1059" s="13"/>
      <c r="S1059" s="13"/>
      <c r="T1059" s="98"/>
      <c r="U1059" s="69"/>
      <c r="V1059" s="105"/>
      <c r="W1059" s="150"/>
      <c r="X1059" s="69"/>
      <c r="Y1059" s="99"/>
      <c r="Z1059" s="53"/>
      <c r="AA1059" s="99"/>
      <c r="AB1059" s="99"/>
      <c r="AC1059" s="99"/>
      <c r="AD1059" s="99"/>
      <c r="AE1059" s="150"/>
      <c r="AF1059" s="150"/>
      <c r="AG1059" s="99"/>
      <c r="AH1059" s="99"/>
      <c r="AI1059" s="105"/>
      <c r="AJ1059" s="105"/>
      <c r="AK1059" s="105"/>
      <c r="AL1059" s="98"/>
      <c r="AM1059" s="105"/>
      <c r="AN1059" s="98"/>
      <c r="AO1059" s="110"/>
      <c r="AP1059" s="98"/>
      <c r="AQ1059" s="98"/>
      <c r="AR1059" s="69"/>
      <c r="AS1059" s="98"/>
      <c r="AT1059" s="98"/>
      <c r="AU1059" s="69"/>
      <c r="AV1059" s="13"/>
      <c r="AW1059" s="13"/>
      <c r="AX1059" s="13"/>
      <c r="AY1059" s="13"/>
      <c r="AZ1059" s="13"/>
      <c r="BA1059" s="13"/>
      <c r="BB1059" s="13"/>
      <c r="BC1059" s="13"/>
      <c r="BD1059" s="13"/>
      <c r="BE1059" s="13"/>
      <c r="BF1059" s="13"/>
      <c r="BG1059" s="13"/>
      <c r="BH1059" s="13"/>
      <c r="BI1059" s="13"/>
      <c r="BJ1059" s="13"/>
      <c r="BK1059" s="13"/>
      <c r="BL1059" s="13"/>
      <c r="BM1059" s="13"/>
      <c r="BN1059" s="13"/>
      <c r="BO1059" s="13"/>
      <c r="BP1059" s="13"/>
      <c r="BQ1059" s="13"/>
      <c r="BR1059" s="13"/>
    </row>
    <row r="1060">
      <c r="A1060" s="69"/>
      <c r="B1060" s="69"/>
      <c r="C1060" s="99"/>
      <c r="D1060" s="99"/>
      <c r="E1060" s="13"/>
      <c r="F1060" s="99"/>
      <c r="G1060" s="13"/>
      <c r="H1060" s="69"/>
      <c r="I1060" s="98"/>
      <c r="J1060" s="69"/>
      <c r="K1060" s="99"/>
      <c r="L1060" s="99"/>
      <c r="M1060" s="128"/>
      <c r="N1060" s="182"/>
      <c r="O1060" s="98"/>
      <c r="P1060" s="128"/>
      <c r="Q1060" s="13"/>
      <c r="R1060" s="13"/>
      <c r="S1060" s="13"/>
      <c r="T1060" s="98"/>
      <c r="U1060" s="69"/>
      <c r="V1060" s="105"/>
      <c r="W1060" s="150"/>
      <c r="X1060" s="69"/>
      <c r="Y1060" s="99"/>
      <c r="Z1060" s="99"/>
      <c r="AA1060" s="99"/>
      <c r="AB1060" s="99"/>
      <c r="AC1060" s="99"/>
      <c r="AD1060" s="99"/>
      <c r="AE1060" s="150"/>
      <c r="AF1060" s="150"/>
      <c r="AG1060" s="99"/>
      <c r="AH1060" s="99"/>
      <c r="AI1060" s="105"/>
      <c r="AJ1060" s="105"/>
      <c r="AK1060" s="105"/>
      <c r="AL1060" s="98"/>
      <c r="AM1060" s="105"/>
      <c r="AN1060" s="98"/>
      <c r="AO1060" s="110"/>
      <c r="AP1060" s="98"/>
      <c r="AQ1060" s="98"/>
      <c r="AR1060" s="69"/>
      <c r="AS1060" s="98"/>
      <c r="AT1060" s="98"/>
      <c r="AU1060" s="69"/>
      <c r="AV1060" s="13"/>
      <c r="AW1060" s="13"/>
      <c r="AX1060" s="13"/>
      <c r="AY1060" s="13"/>
      <c r="AZ1060" s="13"/>
      <c r="BA1060" s="13"/>
      <c r="BB1060" s="13"/>
      <c r="BC1060" s="13"/>
      <c r="BD1060" s="13"/>
      <c r="BE1060" s="13"/>
      <c r="BF1060" s="13"/>
      <c r="BG1060" s="13"/>
      <c r="BH1060" s="13"/>
      <c r="BI1060" s="13"/>
      <c r="BJ1060" s="13"/>
      <c r="BK1060" s="13"/>
      <c r="BL1060" s="13"/>
      <c r="BM1060" s="13"/>
      <c r="BN1060" s="13"/>
      <c r="BO1060" s="13"/>
      <c r="BP1060" s="13"/>
      <c r="BQ1060" s="13"/>
      <c r="BR1060" s="13"/>
    </row>
    <row r="1061">
      <c r="A1061" s="69"/>
      <c r="B1061" s="69"/>
      <c r="C1061" s="99"/>
      <c r="D1061" s="99"/>
      <c r="E1061" s="13"/>
      <c r="F1061" s="99"/>
      <c r="G1061" s="13"/>
      <c r="H1061" s="69"/>
      <c r="I1061" s="98"/>
      <c r="J1061" s="69"/>
      <c r="K1061" s="99"/>
      <c r="L1061" s="99"/>
      <c r="M1061" s="128"/>
      <c r="N1061" s="182"/>
      <c r="O1061" s="98"/>
      <c r="P1061" s="128"/>
      <c r="Q1061" s="13"/>
      <c r="R1061" s="13"/>
      <c r="S1061" s="13"/>
      <c r="T1061" s="98"/>
      <c r="U1061" s="69"/>
      <c r="V1061" s="105"/>
      <c r="W1061" s="150"/>
      <c r="X1061" s="69"/>
      <c r="Y1061" s="99"/>
      <c r="Z1061" s="99"/>
      <c r="AA1061" s="99"/>
      <c r="AB1061" s="99"/>
      <c r="AC1061" s="99"/>
      <c r="AD1061" s="99"/>
      <c r="AE1061" s="150"/>
      <c r="AF1061" s="150"/>
      <c r="AG1061" s="99"/>
      <c r="AH1061" s="99"/>
      <c r="AI1061" s="105"/>
      <c r="AJ1061" s="105"/>
      <c r="AK1061" s="105"/>
      <c r="AL1061" s="98"/>
      <c r="AM1061" s="105"/>
      <c r="AN1061" s="98"/>
      <c r="AO1061" s="110"/>
      <c r="AP1061" s="98"/>
      <c r="AQ1061" s="98"/>
      <c r="AR1061" s="69"/>
      <c r="AS1061" s="98"/>
      <c r="AT1061" s="98"/>
      <c r="AU1061" s="69"/>
      <c r="AV1061" s="13"/>
      <c r="AW1061" s="13"/>
      <c r="AX1061" s="13"/>
      <c r="AY1061" s="13"/>
      <c r="AZ1061" s="13"/>
      <c r="BA1061" s="13"/>
      <c r="BB1061" s="13"/>
      <c r="BC1061" s="13"/>
      <c r="BD1061" s="13"/>
      <c r="BE1061" s="13"/>
      <c r="BF1061" s="13"/>
      <c r="BG1061" s="13"/>
      <c r="BH1061" s="13"/>
      <c r="BI1061" s="13"/>
      <c r="BJ1061" s="13"/>
      <c r="BK1061" s="13"/>
      <c r="BL1061" s="13"/>
      <c r="BM1061" s="13"/>
      <c r="BN1061" s="13"/>
      <c r="BO1061" s="13"/>
      <c r="BP1061" s="13"/>
      <c r="BQ1061" s="13"/>
      <c r="BR1061" s="13"/>
    </row>
    <row r="1062">
      <c r="A1062" s="69"/>
      <c r="B1062" s="69"/>
      <c r="C1062" s="99"/>
      <c r="D1062" s="99"/>
      <c r="E1062" s="13"/>
      <c r="F1062" s="99"/>
      <c r="G1062" s="13"/>
      <c r="H1062" s="69"/>
      <c r="I1062" s="98"/>
      <c r="J1062" s="69"/>
      <c r="K1062" s="99"/>
      <c r="L1062" s="99"/>
      <c r="M1062" s="128"/>
      <c r="N1062" s="182"/>
      <c r="O1062" s="98"/>
      <c r="P1062" s="128"/>
      <c r="Q1062" s="13"/>
      <c r="R1062" s="13"/>
      <c r="S1062" s="13"/>
      <c r="T1062" s="98"/>
      <c r="U1062" s="69"/>
      <c r="V1062" s="105"/>
      <c r="W1062" s="150"/>
      <c r="X1062" s="69"/>
      <c r="Y1062" s="99"/>
      <c r="Z1062" s="99"/>
      <c r="AA1062" s="99"/>
      <c r="AB1062" s="99"/>
      <c r="AC1062" s="99"/>
      <c r="AD1062" s="99"/>
      <c r="AE1062" s="150"/>
      <c r="AF1062" s="150"/>
      <c r="AG1062" s="99"/>
      <c r="AH1062" s="99"/>
      <c r="AI1062" s="105"/>
      <c r="AJ1062" s="105"/>
      <c r="AK1062" s="105"/>
      <c r="AL1062" s="98"/>
      <c r="AM1062" s="105"/>
      <c r="AN1062" s="98"/>
      <c r="AO1062" s="110"/>
      <c r="AP1062" s="98"/>
      <c r="AQ1062" s="98"/>
      <c r="AR1062" s="69"/>
      <c r="AS1062" s="98"/>
      <c r="AT1062" s="98"/>
      <c r="AU1062" s="69"/>
      <c r="AV1062" s="13"/>
      <c r="AW1062" s="13"/>
      <c r="AX1062" s="13"/>
      <c r="AY1062" s="13"/>
      <c r="AZ1062" s="13"/>
      <c r="BA1062" s="13"/>
      <c r="BB1062" s="13"/>
      <c r="BC1062" s="13"/>
      <c r="BD1062" s="13"/>
      <c r="BE1062" s="13"/>
      <c r="BF1062" s="13"/>
      <c r="BG1062" s="13"/>
      <c r="BH1062" s="13"/>
      <c r="BI1062" s="13"/>
      <c r="BJ1062" s="13"/>
      <c r="BK1062" s="13"/>
      <c r="BL1062" s="13"/>
      <c r="BM1062" s="13"/>
      <c r="BN1062" s="13"/>
      <c r="BO1062" s="13"/>
      <c r="BP1062" s="13"/>
      <c r="BQ1062" s="13"/>
      <c r="BR1062" s="13"/>
    </row>
    <row r="1063">
      <c r="A1063" s="69"/>
      <c r="B1063" s="69"/>
      <c r="C1063" s="99"/>
      <c r="D1063" s="99"/>
      <c r="E1063" s="13"/>
      <c r="F1063" s="99"/>
      <c r="G1063" s="13"/>
      <c r="H1063" s="69"/>
      <c r="I1063" s="98"/>
      <c r="J1063" s="69"/>
      <c r="K1063" s="99"/>
      <c r="L1063" s="99"/>
      <c r="M1063" s="128"/>
      <c r="N1063" s="182"/>
      <c r="O1063" s="98"/>
      <c r="P1063" s="128"/>
      <c r="Q1063" s="13"/>
      <c r="R1063" s="13"/>
      <c r="S1063" s="13"/>
      <c r="T1063" s="98"/>
      <c r="U1063" s="69"/>
      <c r="V1063" s="105"/>
      <c r="W1063" s="150"/>
      <c r="X1063" s="69"/>
      <c r="Y1063" s="99"/>
      <c r="Z1063" s="99"/>
      <c r="AA1063" s="99"/>
      <c r="AB1063" s="99"/>
      <c r="AC1063" s="99"/>
      <c r="AD1063" s="99"/>
      <c r="AE1063" s="150"/>
      <c r="AF1063" s="150"/>
      <c r="AG1063" s="99"/>
      <c r="AH1063" s="99"/>
      <c r="AI1063" s="105"/>
      <c r="AJ1063" s="105"/>
      <c r="AK1063" s="105"/>
      <c r="AL1063" s="98"/>
      <c r="AM1063" s="105"/>
      <c r="AN1063" s="98"/>
      <c r="AO1063" s="110"/>
      <c r="AP1063" s="98"/>
      <c r="AQ1063" s="98"/>
      <c r="AR1063" s="69"/>
      <c r="AS1063" s="98"/>
      <c r="AT1063" s="98"/>
      <c r="AU1063" s="69"/>
      <c r="AV1063" s="13"/>
      <c r="AW1063" s="13"/>
      <c r="AX1063" s="13"/>
      <c r="AY1063" s="13"/>
      <c r="AZ1063" s="13"/>
      <c r="BA1063" s="13"/>
      <c r="BB1063" s="13"/>
      <c r="BC1063" s="13"/>
      <c r="BD1063" s="13"/>
      <c r="BE1063" s="13"/>
      <c r="BF1063" s="13"/>
      <c r="BG1063" s="13"/>
      <c r="BH1063" s="13"/>
      <c r="BI1063" s="13"/>
      <c r="BJ1063" s="13"/>
      <c r="BK1063" s="13"/>
      <c r="BL1063" s="13"/>
      <c r="BM1063" s="13"/>
      <c r="BN1063" s="13"/>
      <c r="BO1063" s="13"/>
      <c r="BP1063" s="13"/>
      <c r="BQ1063" s="13"/>
      <c r="BR1063" s="13"/>
    </row>
    <row r="1064">
      <c r="A1064" s="69"/>
      <c r="B1064" s="69"/>
      <c r="C1064" s="99"/>
      <c r="D1064" s="99"/>
      <c r="E1064" s="13"/>
      <c r="F1064" s="99"/>
      <c r="G1064" s="13"/>
      <c r="H1064" s="69"/>
      <c r="I1064" s="98"/>
      <c r="J1064" s="69"/>
      <c r="K1064" s="99"/>
      <c r="L1064" s="99"/>
      <c r="M1064" s="128"/>
      <c r="N1064" s="182"/>
      <c r="O1064" s="98"/>
      <c r="P1064" s="128"/>
      <c r="Q1064" s="13"/>
      <c r="R1064" s="13"/>
      <c r="S1064" s="13"/>
      <c r="T1064" s="98"/>
      <c r="U1064" s="69"/>
      <c r="V1064" s="105"/>
      <c r="W1064" s="150"/>
      <c r="X1064" s="69"/>
      <c r="Y1064" s="99"/>
      <c r="Z1064" s="99"/>
      <c r="AA1064" s="99"/>
      <c r="AB1064" s="99"/>
      <c r="AC1064" s="99"/>
      <c r="AD1064" s="99"/>
      <c r="AE1064" s="150"/>
      <c r="AF1064" s="150"/>
      <c r="AG1064" s="99"/>
      <c r="AH1064" s="99"/>
      <c r="AI1064" s="105"/>
      <c r="AJ1064" s="105"/>
      <c r="AK1064" s="105"/>
      <c r="AL1064" s="98"/>
      <c r="AM1064" s="105"/>
      <c r="AN1064" s="98"/>
      <c r="AO1064" s="110"/>
      <c r="AP1064" s="98"/>
      <c r="AQ1064" s="98"/>
      <c r="AR1064" s="69"/>
      <c r="AS1064" s="98"/>
      <c r="AT1064" s="98"/>
      <c r="AU1064" s="69"/>
      <c r="AV1064" s="13"/>
      <c r="AW1064" s="13"/>
      <c r="AX1064" s="13"/>
      <c r="AY1064" s="13"/>
      <c r="AZ1064" s="13"/>
      <c r="BA1064" s="13"/>
      <c r="BB1064" s="13"/>
      <c r="BC1064" s="13"/>
      <c r="BD1064" s="13"/>
      <c r="BE1064" s="13"/>
      <c r="BF1064" s="13"/>
      <c r="BG1064" s="13"/>
      <c r="BH1064" s="13"/>
      <c r="BI1064" s="13"/>
      <c r="BJ1064" s="13"/>
      <c r="BK1064" s="13"/>
      <c r="BL1064" s="13"/>
      <c r="BM1064" s="13"/>
      <c r="BN1064" s="13"/>
      <c r="BO1064" s="13"/>
      <c r="BP1064" s="13"/>
      <c r="BQ1064" s="13"/>
      <c r="BR1064" s="13"/>
    </row>
    <row r="1065">
      <c r="A1065" s="69"/>
      <c r="B1065" s="69"/>
      <c r="C1065" s="99"/>
      <c r="D1065" s="99"/>
      <c r="E1065" s="13"/>
      <c r="F1065" s="99"/>
      <c r="G1065" s="13"/>
      <c r="H1065" s="69"/>
      <c r="I1065" s="98"/>
      <c r="J1065" s="69"/>
      <c r="K1065" s="99"/>
      <c r="L1065" s="99"/>
      <c r="M1065" s="128"/>
      <c r="N1065" s="182"/>
      <c r="O1065" s="98"/>
      <c r="P1065" s="128"/>
      <c r="Q1065" s="13"/>
      <c r="R1065" s="13"/>
      <c r="S1065" s="13"/>
      <c r="T1065" s="98"/>
      <c r="U1065" s="69"/>
      <c r="V1065" s="105"/>
      <c r="W1065" s="150"/>
      <c r="X1065" s="69"/>
      <c r="Y1065" s="99"/>
      <c r="Z1065" s="99"/>
      <c r="AA1065" s="99"/>
      <c r="AB1065" s="99"/>
      <c r="AC1065" s="99"/>
      <c r="AD1065" s="99"/>
      <c r="AE1065" s="150"/>
      <c r="AF1065" s="150"/>
      <c r="AG1065" s="99"/>
      <c r="AH1065" s="99"/>
      <c r="AI1065" s="105"/>
      <c r="AJ1065" s="105"/>
      <c r="AK1065" s="105"/>
      <c r="AL1065" s="98"/>
      <c r="AM1065" s="105"/>
      <c r="AN1065" s="98"/>
      <c r="AO1065" s="110"/>
      <c r="AP1065" s="98"/>
      <c r="AQ1065" s="98"/>
      <c r="AR1065" s="69"/>
      <c r="AS1065" s="98"/>
      <c r="AT1065" s="98"/>
      <c r="AU1065" s="69"/>
      <c r="AV1065" s="13"/>
      <c r="AW1065" s="13"/>
      <c r="AX1065" s="13"/>
      <c r="AY1065" s="13"/>
      <c r="AZ1065" s="13"/>
      <c r="BA1065" s="13"/>
      <c r="BB1065" s="13"/>
      <c r="BC1065" s="13"/>
      <c r="BD1065" s="13"/>
      <c r="BE1065" s="13"/>
      <c r="BF1065" s="13"/>
      <c r="BG1065" s="13"/>
      <c r="BH1065" s="13"/>
      <c r="BI1065" s="13"/>
      <c r="BJ1065" s="13"/>
      <c r="BK1065" s="13"/>
      <c r="BL1065" s="13"/>
      <c r="BM1065" s="13"/>
      <c r="BN1065" s="13"/>
      <c r="BO1065" s="13"/>
      <c r="BP1065" s="13"/>
      <c r="BQ1065" s="13"/>
      <c r="BR1065" s="13"/>
    </row>
    <row r="1066">
      <c r="A1066" s="69"/>
      <c r="B1066" s="69"/>
      <c r="C1066" s="99"/>
      <c r="D1066" s="99"/>
      <c r="E1066" s="13"/>
      <c r="F1066" s="99"/>
      <c r="G1066" s="13"/>
      <c r="H1066" s="69"/>
      <c r="I1066" s="98"/>
      <c r="J1066" s="69"/>
      <c r="K1066" s="99"/>
      <c r="L1066" s="99"/>
      <c r="M1066" s="128"/>
      <c r="N1066" s="182"/>
      <c r="O1066" s="98"/>
      <c r="P1066" s="128"/>
      <c r="Q1066" s="13"/>
      <c r="R1066" s="13"/>
      <c r="S1066" s="13"/>
      <c r="T1066" s="98"/>
      <c r="U1066" s="69"/>
      <c r="V1066" s="105"/>
      <c r="W1066" s="150"/>
      <c r="X1066" s="69"/>
      <c r="Y1066" s="99"/>
      <c r="Z1066" s="99"/>
      <c r="AA1066" s="99"/>
      <c r="AB1066" s="99"/>
      <c r="AC1066" s="99"/>
      <c r="AD1066" s="99"/>
      <c r="AE1066" s="150"/>
      <c r="AF1066" s="150"/>
      <c r="AG1066" s="99"/>
      <c r="AH1066" s="99"/>
      <c r="AI1066" s="105"/>
      <c r="AJ1066" s="105"/>
      <c r="AK1066" s="105"/>
      <c r="AL1066" s="98"/>
      <c r="AM1066" s="105"/>
      <c r="AN1066" s="98"/>
      <c r="AO1066" s="110"/>
      <c r="AP1066" s="98"/>
      <c r="AQ1066" s="98"/>
      <c r="AR1066" s="69"/>
      <c r="AS1066" s="98"/>
      <c r="AT1066" s="98"/>
      <c r="AU1066" s="69"/>
      <c r="AV1066" s="13"/>
      <c r="AW1066" s="13"/>
      <c r="AX1066" s="13"/>
      <c r="AY1066" s="13"/>
      <c r="AZ1066" s="13"/>
      <c r="BA1066" s="13"/>
      <c r="BB1066" s="13"/>
      <c r="BC1066" s="13"/>
      <c r="BD1066" s="13"/>
      <c r="BE1066" s="13"/>
      <c r="BF1066" s="13"/>
      <c r="BG1066" s="13"/>
      <c r="BH1066" s="13"/>
      <c r="BI1066" s="13"/>
      <c r="BJ1066" s="13"/>
      <c r="BK1066" s="13"/>
      <c r="BL1066" s="13"/>
      <c r="BM1066" s="13"/>
      <c r="BN1066" s="13"/>
      <c r="BO1066" s="13"/>
      <c r="BP1066" s="13"/>
      <c r="BQ1066" s="13"/>
      <c r="BR1066" s="13"/>
    </row>
    <row r="1067">
      <c r="A1067" s="69"/>
      <c r="B1067" s="69"/>
      <c r="C1067" s="99"/>
      <c r="D1067" s="99"/>
      <c r="E1067" s="13"/>
      <c r="F1067" s="99"/>
      <c r="G1067" s="13"/>
      <c r="H1067" s="69"/>
      <c r="I1067" s="98"/>
      <c r="J1067" s="69"/>
      <c r="K1067" s="99"/>
      <c r="L1067" s="99"/>
      <c r="M1067" s="128"/>
      <c r="N1067" s="182"/>
      <c r="O1067" s="98"/>
      <c r="P1067" s="128"/>
      <c r="Q1067" s="13"/>
      <c r="R1067" s="13"/>
      <c r="S1067" s="13"/>
      <c r="T1067" s="98"/>
      <c r="U1067" s="69"/>
      <c r="V1067" s="105"/>
      <c r="W1067" s="150"/>
      <c r="X1067" s="69"/>
      <c r="Y1067" s="99"/>
      <c r="Z1067" s="99"/>
      <c r="AA1067" s="99"/>
      <c r="AB1067" s="99"/>
      <c r="AC1067" s="99"/>
      <c r="AD1067" s="99"/>
      <c r="AE1067" s="150"/>
      <c r="AF1067" s="150"/>
      <c r="AG1067" s="99"/>
      <c r="AH1067" s="99"/>
      <c r="AI1067" s="105"/>
      <c r="AJ1067" s="105"/>
      <c r="AK1067" s="105"/>
      <c r="AL1067" s="98"/>
      <c r="AM1067" s="105"/>
      <c r="AN1067" s="98"/>
      <c r="AO1067" s="110"/>
      <c r="AP1067" s="98"/>
      <c r="AQ1067" s="98"/>
      <c r="AR1067" s="69"/>
      <c r="AS1067" s="98"/>
      <c r="AT1067" s="98"/>
      <c r="AU1067" s="69"/>
      <c r="AV1067" s="13"/>
      <c r="AW1067" s="13"/>
      <c r="AX1067" s="13"/>
      <c r="AY1067" s="13"/>
      <c r="AZ1067" s="13"/>
      <c r="BA1067" s="13"/>
      <c r="BB1067" s="13"/>
      <c r="BC1067" s="13"/>
      <c r="BD1067" s="13"/>
      <c r="BE1067" s="13"/>
      <c r="BF1067" s="13"/>
      <c r="BG1067" s="13"/>
      <c r="BH1067" s="13"/>
      <c r="BI1067" s="13"/>
      <c r="BJ1067" s="13"/>
      <c r="BK1067" s="13"/>
      <c r="BL1067" s="13"/>
      <c r="BM1067" s="13"/>
      <c r="BN1067" s="13"/>
      <c r="BO1067" s="13"/>
      <c r="BP1067" s="13"/>
      <c r="BQ1067" s="13"/>
      <c r="BR1067" s="13"/>
    </row>
    <row r="1068">
      <c r="A1068" s="69"/>
      <c r="B1068" s="69"/>
      <c r="C1068" s="99"/>
      <c r="D1068" s="99"/>
      <c r="E1068" s="13"/>
      <c r="F1068" s="99"/>
      <c r="G1068" s="13"/>
      <c r="H1068" s="69"/>
      <c r="I1068" s="98"/>
      <c r="J1068" s="69"/>
      <c r="K1068" s="99"/>
      <c r="L1068" s="99"/>
      <c r="M1068" s="128"/>
      <c r="N1068" s="182"/>
      <c r="O1068" s="98"/>
      <c r="P1068" s="128"/>
      <c r="Q1068" s="13"/>
      <c r="R1068" s="13"/>
      <c r="S1068" s="13"/>
      <c r="T1068" s="98"/>
      <c r="U1068" s="69"/>
      <c r="V1068" s="105"/>
      <c r="W1068" s="150"/>
      <c r="X1068" s="69"/>
      <c r="Y1068" s="99"/>
      <c r="Z1068" s="99"/>
      <c r="AA1068" s="99"/>
      <c r="AB1068" s="99"/>
      <c r="AC1068" s="99"/>
      <c r="AD1068" s="99"/>
      <c r="AE1068" s="150"/>
      <c r="AF1068" s="150"/>
      <c r="AG1068" s="99"/>
      <c r="AH1068" s="99"/>
      <c r="AI1068" s="105"/>
      <c r="AJ1068" s="105"/>
      <c r="AK1068" s="105"/>
      <c r="AL1068" s="98"/>
      <c r="AM1068" s="105"/>
      <c r="AN1068" s="98"/>
      <c r="AO1068" s="110"/>
      <c r="AP1068" s="98"/>
      <c r="AQ1068" s="98"/>
      <c r="AR1068" s="69"/>
      <c r="AS1068" s="98"/>
      <c r="AT1068" s="98"/>
      <c r="AU1068" s="69"/>
      <c r="AV1068" s="13"/>
      <c r="AW1068" s="13"/>
      <c r="AX1068" s="13"/>
      <c r="AY1068" s="13"/>
      <c r="AZ1068" s="13"/>
      <c r="BA1068" s="13"/>
      <c r="BB1068" s="13"/>
      <c r="BC1068" s="13"/>
      <c r="BD1068" s="13"/>
      <c r="BE1068" s="13"/>
      <c r="BF1068" s="13"/>
      <c r="BG1068" s="13"/>
      <c r="BH1068" s="13"/>
      <c r="BI1068" s="13"/>
      <c r="BJ1068" s="13"/>
      <c r="BK1068" s="13"/>
      <c r="BL1068" s="13"/>
      <c r="BM1068" s="13"/>
      <c r="BN1068" s="13"/>
      <c r="BO1068" s="13"/>
      <c r="BP1068" s="13"/>
      <c r="BQ1068" s="13"/>
      <c r="BR1068" s="13"/>
    </row>
    <row r="1069">
      <c r="A1069" s="69"/>
      <c r="B1069" s="69"/>
      <c r="C1069" s="99"/>
      <c r="D1069" s="99"/>
      <c r="E1069" s="13"/>
      <c r="F1069" s="99"/>
      <c r="G1069" s="13"/>
      <c r="H1069" s="69"/>
      <c r="I1069" s="98"/>
      <c r="J1069" s="69"/>
      <c r="K1069" s="99"/>
      <c r="L1069" s="99"/>
      <c r="M1069" s="128"/>
      <c r="N1069" s="182"/>
      <c r="O1069" s="98"/>
      <c r="P1069" s="128"/>
      <c r="Q1069" s="13"/>
      <c r="R1069" s="13"/>
      <c r="S1069" s="13"/>
      <c r="T1069" s="98"/>
      <c r="U1069" s="69"/>
      <c r="V1069" s="105"/>
      <c r="W1069" s="150"/>
      <c r="X1069" s="69"/>
      <c r="Y1069" s="99"/>
      <c r="Z1069" s="99"/>
      <c r="AA1069" s="99"/>
      <c r="AB1069" s="99"/>
      <c r="AC1069" s="99"/>
      <c r="AD1069" s="99"/>
      <c r="AE1069" s="150"/>
      <c r="AF1069" s="150"/>
      <c r="AG1069" s="99"/>
      <c r="AH1069" s="99"/>
      <c r="AI1069" s="105"/>
      <c r="AJ1069" s="105"/>
      <c r="AK1069" s="105"/>
      <c r="AL1069" s="98"/>
      <c r="AM1069" s="105"/>
      <c r="AN1069" s="98"/>
      <c r="AO1069" s="110"/>
      <c r="AP1069" s="98"/>
      <c r="AQ1069" s="98"/>
      <c r="AR1069" s="69"/>
      <c r="AS1069" s="98"/>
      <c r="AT1069" s="98"/>
      <c r="AU1069" s="69"/>
      <c r="AV1069" s="13"/>
      <c r="AW1069" s="13"/>
      <c r="AX1069" s="13"/>
      <c r="AY1069" s="13"/>
      <c r="AZ1069" s="13"/>
      <c r="BA1069" s="13"/>
      <c r="BB1069" s="13"/>
      <c r="BC1069" s="13"/>
      <c r="BD1069" s="13"/>
      <c r="BE1069" s="13"/>
      <c r="BF1069" s="13"/>
      <c r="BG1069" s="13"/>
      <c r="BH1069" s="13"/>
      <c r="BI1069" s="13"/>
      <c r="BJ1069" s="13"/>
      <c r="BK1069" s="13"/>
      <c r="BL1069" s="13"/>
      <c r="BM1069" s="13"/>
      <c r="BN1069" s="13"/>
      <c r="BO1069" s="13"/>
      <c r="BP1069" s="13"/>
      <c r="BQ1069" s="13"/>
      <c r="BR1069" s="13"/>
    </row>
    <row r="1070">
      <c r="A1070" s="69"/>
      <c r="B1070" s="69"/>
      <c r="C1070" s="99"/>
      <c r="D1070" s="99"/>
      <c r="E1070" s="13"/>
      <c r="F1070" s="99"/>
      <c r="G1070" s="13"/>
      <c r="H1070" s="69"/>
      <c r="I1070" s="98"/>
      <c r="J1070" s="69"/>
      <c r="K1070" s="99"/>
      <c r="L1070" s="99"/>
      <c r="M1070" s="128"/>
      <c r="N1070" s="182"/>
      <c r="O1070" s="98"/>
      <c r="P1070" s="128"/>
      <c r="Q1070" s="13"/>
      <c r="R1070" s="13"/>
      <c r="S1070" s="13"/>
      <c r="T1070" s="98"/>
      <c r="U1070" s="69"/>
      <c r="V1070" s="105"/>
      <c r="W1070" s="150"/>
      <c r="X1070" s="69"/>
      <c r="Y1070" s="99"/>
      <c r="Z1070" s="99"/>
      <c r="AA1070" s="99"/>
      <c r="AB1070" s="99"/>
      <c r="AC1070" s="99"/>
      <c r="AD1070" s="99"/>
      <c r="AE1070" s="150"/>
      <c r="AF1070" s="150"/>
      <c r="AG1070" s="99"/>
      <c r="AH1070" s="99"/>
      <c r="AI1070" s="105"/>
      <c r="AJ1070" s="105"/>
      <c r="AK1070" s="105"/>
      <c r="AL1070" s="98"/>
      <c r="AM1070" s="105"/>
      <c r="AN1070" s="98"/>
      <c r="AO1070" s="110"/>
      <c r="AP1070" s="98"/>
      <c r="AQ1070" s="98"/>
      <c r="AR1070" s="69"/>
      <c r="AS1070" s="98"/>
      <c r="AT1070" s="98"/>
      <c r="AU1070" s="69"/>
      <c r="AV1070" s="13"/>
      <c r="AW1070" s="13"/>
      <c r="AX1070" s="13"/>
      <c r="AY1070" s="13"/>
      <c r="AZ1070" s="13"/>
      <c r="BA1070" s="13"/>
      <c r="BB1070" s="13"/>
      <c r="BC1070" s="13"/>
      <c r="BD1070" s="13"/>
      <c r="BE1070" s="13"/>
      <c r="BF1070" s="13"/>
      <c r="BG1070" s="13"/>
      <c r="BH1070" s="13"/>
      <c r="BI1070" s="13"/>
      <c r="BJ1070" s="13"/>
      <c r="BK1070" s="13"/>
      <c r="BL1070" s="13"/>
      <c r="BM1070" s="13"/>
      <c r="BN1070" s="13"/>
      <c r="BO1070" s="13"/>
      <c r="BP1070" s="13"/>
      <c r="BQ1070" s="13"/>
      <c r="BR1070" s="13"/>
    </row>
    <row r="1071">
      <c r="A1071" s="69"/>
      <c r="B1071" s="69"/>
      <c r="C1071" s="99"/>
      <c r="D1071" s="99"/>
      <c r="E1071" s="13"/>
      <c r="F1071" s="99"/>
      <c r="G1071" s="13"/>
      <c r="H1071" s="69"/>
      <c r="I1071" s="98"/>
      <c r="J1071" s="69"/>
      <c r="K1071" s="99"/>
      <c r="L1071" s="99"/>
      <c r="M1071" s="128"/>
      <c r="N1071" s="182"/>
      <c r="O1071" s="98"/>
      <c r="P1071" s="128"/>
      <c r="Q1071" s="13"/>
      <c r="R1071" s="13"/>
      <c r="S1071" s="13"/>
      <c r="T1071" s="98"/>
      <c r="U1071" s="69"/>
      <c r="V1071" s="105"/>
      <c r="W1071" s="150"/>
      <c r="X1071" s="69"/>
      <c r="Y1071" s="99"/>
      <c r="Z1071" s="99"/>
      <c r="AA1071" s="99"/>
      <c r="AB1071" s="99"/>
      <c r="AC1071" s="99"/>
      <c r="AD1071" s="99"/>
      <c r="AE1071" s="150"/>
      <c r="AF1071" s="150"/>
      <c r="AG1071" s="99"/>
      <c r="AH1071" s="99"/>
      <c r="AI1071" s="105"/>
      <c r="AJ1071" s="105"/>
      <c r="AK1071" s="105"/>
      <c r="AL1071" s="98"/>
      <c r="AM1071" s="105"/>
      <c r="AN1071" s="98"/>
      <c r="AO1071" s="110"/>
      <c r="AP1071" s="98"/>
      <c r="AQ1071" s="98"/>
      <c r="AR1071" s="69"/>
      <c r="AS1071" s="98"/>
      <c r="AT1071" s="98"/>
      <c r="AU1071" s="69"/>
      <c r="AV1071" s="13"/>
      <c r="AW1071" s="13"/>
      <c r="AX1071" s="13"/>
      <c r="AY1071" s="13"/>
      <c r="AZ1071" s="13"/>
      <c r="BA1071" s="13"/>
      <c r="BB1071" s="13"/>
      <c r="BC1071" s="13"/>
      <c r="BD1071" s="13"/>
      <c r="BE1071" s="13"/>
      <c r="BF1071" s="13"/>
      <c r="BG1071" s="13"/>
      <c r="BH1071" s="13"/>
      <c r="BI1071" s="13"/>
      <c r="BJ1071" s="13"/>
      <c r="BK1071" s="13"/>
      <c r="BL1071" s="13"/>
      <c r="BM1071" s="13"/>
      <c r="BN1071" s="13"/>
      <c r="BO1071" s="13"/>
      <c r="BP1071" s="13"/>
      <c r="BQ1071" s="13"/>
      <c r="BR1071" s="13"/>
    </row>
    <row r="1072">
      <c r="A1072" s="69"/>
      <c r="B1072" s="69"/>
      <c r="C1072" s="99"/>
      <c r="D1072" s="99"/>
      <c r="E1072" s="13"/>
      <c r="F1072" s="99"/>
      <c r="G1072" s="13"/>
      <c r="H1072" s="69"/>
      <c r="I1072" s="98"/>
      <c r="J1072" s="69"/>
      <c r="K1072" s="99"/>
      <c r="L1072" s="99"/>
      <c r="M1072" s="128"/>
      <c r="N1072" s="182"/>
      <c r="O1072" s="98"/>
      <c r="P1072" s="128"/>
      <c r="Q1072" s="13"/>
      <c r="R1072" s="13"/>
      <c r="S1072" s="13"/>
      <c r="T1072" s="98"/>
      <c r="U1072" s="69"/>
      <c r="V1072" s="105"/>
      <c r="W1072" s="150"/>
      <c r="X1072" s="69"/>
      <c r="Y1072" s="99"/>
      <c r="Z1072" s="99"/>
      <c r="AA1072" s="99"/>
      <c r="AB1072" s="99"/>
      <c r="AC1072" s="99"/>
      <c r="AD1072" s="99"/>
      <c r="AE1072" s="150"/>
      <c r="AF1072" s="150"/>
      <c r="AG1072" s="99"/>
      <c r="AH1072" s="99"/>
      <c r="AI1072" s="105"/>
      <c r="AJ1072" s="105"/>
      <c r="AK1072" s="105"/>
      <c r="AL1072" s="98"/>
      <c r="AM1072" s="105"/>
      <c r="AN1072" s="98"/>
      <c r="AO1072" s="110"/>
      <c r="AP1072" s="98"/>
      <c r="AQ1072" s="98"/>
      <c r="AR1072" s="69"/>
      <c r="AS1072" s="98"/>
      <c r="AT1072" s="98"/>
      <c r="AU1072" s="69"/>
      <c r="AV1072" s="13"/>
      <c r="AW1072" s="13"/>
      <c r="AX1072" s="13"/>
      <c r="AY1072" s="13"/>
      <c r="AZ1072" s="13"/>
      <c r="BA1072" s="13"/>
      <c r="BB1072" s="13"/>
      <c r="BC1072" s="13"/>
      <c r="BD1072" s="13"/>
      <c r="BE1072" s="13"/>
      <c r="BF1072" s="13"/>
      <c r="BG1072" s="13"/>
      <c r="BH1072" s="13"/>
      <c r="BI1072" s="13"/>
      <c r="BJ1072" s="13"/>
      <c r="BK1072" s="13"/>
      <c r="BL1072" s="13"/>
      <c r="BM1072" s="13"/>
      <c r="BN1072" s="13"/>
      <c r="BO1072" s="13"/>
      <c r="BP1072" s="13"/>
      <c r="BQ1072" s="13"/>
      <c r="BR1072" s="13"/>
    </row>
    <row r="1073">
      <c r="A1073" s="69"/>
      <c r="B1073" s="69"/>
      <c r="C1073" s="99"/>
      <c r="D1073" s="99"/>
      <c r="E1073" s="13"/>
      <c r="F1073" s="99"/>
      <c r="G1073" s="13"/>
      <c r="H1073" s="69"/>
      <c r="I1073" s="98"/>
      <c r="J1073" s="69"/>
      <c r="K1073" s="99"/>
      <c r="L1073" s="99"/>
      <c r="M1073" s="128"/>
      <c r="N1073" s="182"/>
      <c r="O1073" s="98"/>
      <c r="P1073" s="128"/>
      <c r="Q1073" s="13"/>
      <c r="R1073" s="13"/>
      <c r="S1073" s="13"/>
      <c r="T1073" s="98"/>
      <c r="U1073" s="69"/>
      <c r="V1073" s="105"/>
      <c r="W1073" s="150"/>
      <c r="X1073" s="69"/>
      <c r="Y1073" s="99"/>
      <c r="Z1073" s="99"/>
      <c r="AA1073" s="99"/>
      <c r="AB1073" s="99"/>
      <c r="AC1073" s="99"/>
      <c r="AD1073" s="99"/>
      <c r="AE1073" s="150"/>
      <c r="AF1073" s="150"/>
      <c r="AG1073" s="99"/>
      <c r="AH1073" s="99"/>
      <c r="AI1073" s="105"/>
      <c r="AJ1073" s="105"/>
      <c r="AK1073" s="105"/>
      <c r="AL1073" s="98"/>
      <c r="AM1073" s="105"/>
      <c r="AN1073" s="98"/>
      <c r="AO1073" s="110"/>
      <c r="AP1073" s="98"/>
      <c r="AQ1073" s="98"/>
      <c r="AR1073" s="69"/>
      <c r="AS1073" s="98"/>
      <c r="AT1073" s="98"/>
      <c r="AU1073" s="69"/>
      <c r="AV1073" s="13"/>
      <c r="AW1073" s="13"/>
      <c r="AX1073" s="13"/>
      <c r="AY1073" s="13"/>
      <c r="AZ1073" s="13"/>
      <c r="BA1073" s="13"/>
      <c r="BB1073" s="13"/>
      <c r="BC1073" s="13"/>
      <c r="BD1073" s="13"/>
      <c r="BE1073" s="13"/>
      <c r="BF1073" s="13"/>
      <c r="BG1073" s="13"/>
      <c r="BH1073" s="13"/>
      <c r="BI1073" s="13"/>
      <c r="BJ1073" s="13"/>
      <c r="BK1073" s="13"/>
      <c r="BL1073" s="13"/>
      <c r="BM1073" s="13"/>
      <c r="BN1073" s="13"/>
      <c r="BO1073" s="13"/>
      <c r="BP1073" s="13"/>
      <c r="BQ1073" s="13"/>
      <c r="BR1073" s="13"/>
    </row>
    <row r="1074">
      <c r="A1074" s="69"/>
      <c r="B1074" s="69"/>
      <c r="C1074" s="99"/>
      <c r="D1074" s="99"/>
      <c r="E1074" s="13"/>
      <c r="F1074" s="99"/>
      <c r="G1074" s="13"/>
      <c r="H1074" s="69"/>
      <c r="I1074" s="98"/>
      <c r="J1074" s="69"/>
      <c r="K1074" s="99"/>
      <c r="L1074" s="99"/>
      <c r="M1074" s="128"/>
      <c r="N1074" s="182"/>
      <c r="O1074" s="98"/>
      <c r="P1074" s="128"/>
      <c r="Q1074" s="13"/>
      <c r="R1074" s="13"/>
      <c r="S1074" s="13"/>
      <c r="T1074" s="98"/>
      <c r="U1074" s="69"/>
      <c r="V1074" s="105"/>
      <c r="W1074" s="150"/>
      <c r="X1074" s="69"/>
      <c r="Y1074" s="99"/>
      <c r="Z1074" s="99"/>
      <c r="AA1074" s="99"/>
      <c r="AB1074" s="99"/>
      <c r="AC1074" s="99"/>
      <c r="AD1074" s="99"/>
      <c r="AE1074" s="150"/>
      <c r="AF1074" s="150"/>
      <c r="AG1074" s="99"/>
      <c r="AH1074" s="99"/>
      <c r="AI1074" s="105"/>
      <c r="AJ1074" s="105"/>
      <c r="AK1074" s="105"/>
      <c r="AL1074" s="98"/>
      <c r="AM1074" s="105"/>
      <c r="AN1074" s="98"/>
      <c r="AO1074" s="110"/>
      <c r="AP1074" s="98"/>
      <c r="AQ1074" s="98"/>
      <c r="AR1074" s="69"/>
      <c r="AS1074" s="98"/>
      <c r="AT1074" s="98"/>
      <c r="AU1074" s="69"/>
      <c r="AV1074" s="13"/>
      <c r="AW1074" s="13"/>
      <c r="AX1074" s="13"/>
      <c r="AY1074" s="13"/>
      <c r="AZ1074" s="13"/>
      <c r="BA1074" s="13"/>
      <c r="BB1074" s="13"/>
      <c r="BC1074" s="13"/>
      <c r="BD1074" s="13"/>
      <c r="BE1074" s="13"/>
      <c r="BF1074" s="13"/>
      <c r="BG1074" s="13"/>
      <c r="BH1074" s="13"/>
      <c r="BI1074" s="13"/>
      <c r="BJ1074" s="13"/>
      <c r="BK1074" s="13"/>
      <c r="BL1074" s="13"/>
      <c r="BM1074" s="13"/>
      <c r="BN1074" s="13"/>
      <c r="BO1074" s="13"/>
      <c r="BP1074" s="13"/>
      <c r="BQ1074" s="13"/>
      <c r="BR1074" s="13"/>
    </row>
    <row r="1075">
      <c r="A1075" s="69"/>
      <c r="B1075" s="69"/>
      <c r="C1075" s="99"/>
      <c r="D1075" s="99"/>
      <c r="E1075" s="13"/>
      <c r="F1075" s="99"/>
      <c r="G1075" s="13"/>
      <c r="H1075" s="69"/>
      <c r="I1075" s="98"/>
      <c r="J1075" s="69"/>
      <c r="K1075" s="99"/>
      <c r="L1075" s="99"/>
      <c r="M1075" s="128"/>
      <c r="N1075" s="182"/>
      <c r="O1075" s="98"/>
      <c r="P1075" s="128"/>
      <c r="Q1075" s="13"/>
      <c r="R1075" s="13"/>
      <c r="S1075" s="13"/>
      <c r="T1075" s="98"/>
      <c r="U1075" s="69"/>
      <c r="V1075" s="105"/>
      <c r="W1075" s="150"/>
      <c r="X1075" s="69"/>
      <c r="Y1075" s="99"/>
      <c r="Z1075" s="99"/>
      <c r="AA1075" s="99"/>
      <c r="AB1075" s="99"/>
      <c r="AC1075" s="99"/>
      <c r="AD1075" s="99"/>
      <c r="AE1075" s="150"/>
      <c r="AF1075" s="150"/>
      <c r="AG1075" s="99"/>
      <c r="AH1075" s="99"/>
      <c r="AI1075" s="105"/>
      <c r="AJ1075" s="105"/>
      <c r="AK1075" s="105"/>
      <c r="AL1075" s="98"/>
      <c r="AM1075" s="105"/>
      <c r="AN1075" s="98"/>
      <c r="AO1075" s="110"/>
      <c r="AP1075" s="98"/>
      <c r="AQ1075" s="98"/>
      <c r="AR1075" s="69"/>
      <c r="AS1075" s="98"/>
      <c r="AT1075" s="98"/>
      <c r="AU1075" s="69"/>
      <c r="AV1075" s="13"/>
      <c r="AW1075" s="13"/>
      <c r="AX1075" s="13"/>
      <c r="AY1075" s="13"/>
      <c r="AZ1075" s="13"/>
      <c r="BA1075" s="13"/>
      <c r="BB1075" s="13"/>
      <c r="BC1075" s="13"/>
      <c r="BD1075" s="13"/>
      <c r="BE1075" s="13"/>
      <c r="BF1075" s="13"/>
      <c r="BG1075" s="13"/>
      <c r="BH1075" s="13"/>
      <c r="BI1075" s="13"/>
      <c r="BJ1075" s="13"/>
      <c r="BK1075" s="13"/>
      <c r="BL1075" s="13"/>
      <c r="BM1075" s="13"/>
      <c r="BN1075" s="13"/>
      <c r="BO1075" s="13"/>
      <c r="BP1075" s="13"/>
      <c r="BQ1075" s="13"/>
      <c r="BR1075" s="13"/>
    </row>
    <row r="1076">
      <c r="A1076" s="69"/>
      <c r="B1076" s="69"/>
      <c r="C1076" s="99"/>
      <c r="D1076" s="99"/>
      <c r="E1076" s="13"/>
      <c r="F1076" s="99"/>
      <c r="G1076" s="13"/>
      <c r="H1076" s="69"/>
      <c r="I1076" s="98"/>
      <c r="J1076" s="69"/>
      <c r="K1076" s="99"/>
      <c r="L1076" s="99"/>
      <c r="M1076" s="128"/>
      <c r="N1076" s="182"/>
      <c r="O1076" s="98"/>
      <c r="P1076" s="128"/>
      <c r="Q1076" s="13"/>
      <c r="R1076" s="13"/>
      <c r="S1076" s="13"/>
      <c r="T1076" s="98"/>
      <c r="U1076" s="69"/>
      <c r="V1076" s="105"/>
      <c r="W1076" s="150"/>
      <c r="X1076" s="69"/>
      <c r="Y1076" s="99"/>
      <c r="Z1076" s="99"/>
      <c r="AA1076" s="99"/>
      <c r="AB1076" s="99"/>
      <c r="AC1076" s="99"/>
      <c r="AD1076" s="99"/>
      <c r="AE1076" s="150"/>
      <c r="AF1076" s="150"/>
      <c r="AG1076" s="99"/>
      <c r="AH1076" s="99"/>
      <c r="AI1076" s="105"/>
      <c r="AJ1076" s="105"/>
      <c r="AK1076" s="105"/>
      <c r="AL1076" s="98"/>
      <c r="AM1076" s="105"/>
      <c r="AN1076" s="98"/>
      <c r="AO1076" s="110"/>
      <c r="AP1076" s="98"/>
      <c r="AQ1076" s="98"/>
      <c r="AR1076" s="69"/>
      <c r="AS1076" s="98"/>
      <c r="AT1076" s="98"/>
      <c r="AU1076" s="69"/>
      <c r="AV1076" s="13"/>
      <c r="AW1076" s="13"/>
      <c r="AX1076" s="13"/>
      <c r="AY1076" s="13"/>
      <c r="AZ1076" s="13"/>
      <c r="BA1076" s="13"/>
      <c r="BB1076" s="13"/>
      <c r="BC1076" s="13"/>
      <c r="BD1076" s="13"/>
      <c r="BE1076" s="13"/>
      <c r="BF1076" s="13"/>
      <c r="BG1076" s="13"/>
      <c r="BH1076" s="13"/>
      <c r="BI1076" s="13"/>
      <c r="BJ1076" s="13"/>
      <c r="BK1076" s="13"/>
      <c r="BL1076" s="13"/>
      <c r="BM1076" s="13"/>
      <c r="BN1076" s="13"/>
      <c r="BO1076" s="13"/>
      <c r="BP1076" s="13"/>
      <c r="BQ1076" s="13"/>
      <c r="BR1076" s="13"/>
    </row>
    <row r="1077">
      <c r="A1077" s="69"/>
      <c r="B1077" s="69"/>
      <c r="C1077" s="99"/>
      <c r="D1077" s="99"/>
      <c r="E1077" s="13"/>
      <c r="F1077" s="99"/>
      <c r="G1077" s="13"/>
      <c r="H1077" s="69"/>
      <c r="I1077" s="98"/>
      <c r="J1077" s="69"/>
      <c r="K1077" s="99"/>
      <c r="L1077" s="99"/>
      <c r="M1077" s="128"/>
      <c r="N1077" s="182"/>
      <c r="O1077" s="98"/>
      <c r="P1077" s="128"/>
      <c r="Q1077" s="13"/>
      <c r="R1077" s="13"/>
      <c r="S1077" s="13"/>
      <c r="T1077" s="98"/>
      <c r="U1077" s="69"/>
      <c r="V1077" s="105"/>
      <c r="W1077" s="150"/>
      <c r="X1077" s="69"/>
      <c r="Y1077" s="99"/>
      <c r="Z1077" s="99"/>
      <c r="AA1077" s="99"/>
      <c r="AB1077" s="99"/>
      <c r="AC1077" s="99"/>
      <c r="AD1077" s="99"/>
      <c r="AE1077" s="150"/>
      <c r="AF1077" s="150"/>
      <c r="AG1077" s="99"/>
      <c r="AH1077" s="99"/>
      <c r="AI1077" s="105"/>
      <c r="AJ1077" s="105"/>
      <c r="AK1077" s="105"/>
      <c r="AL1077" s="98"/>
      <c r="AM1077" s="105"/>
      <c r="AN1077" s="98"/>
      <c r="AO1077" s="110"/>
      <c r="AP1077" s="98"/>
      <c r="AQ1077" s="98"/>
      <c r="AR1077" s="69"/>
      <c r="AS1077" s="98"/>
      <c r="AT1077" s="98"/>
      <c r="AU1077" s="69"/>
      <c r="AV1077" s="13"/>
      <c r="AW1077" s="13"/>
      <c r="AX1077" s="13"/>
      <c r="AY1077" s="13"/>
      <c r="AZ1077" s="13"/>
      <c r="BA1077" s="13"/>
      <c r="BB1077" s="13"/>
      <c r="BC1077" s="13"/>
      <c r="BD1077" s="13"/>
      <c r="BE1077" s="13"/>
      <c r="BF1077" s="13"/>
      <c r="BG1077" s="13"/>
      <c r="BH1077" s="13"/>
      <c r="BI1077" s="13"/>
      <c r="BJ1077" s="13"/>
      <c r="BK1077" s="13"/>
      <c r="BL1077" s="13"/>
      <c r="BM1077" s="13"/>
      <c r="BN1077" s="13"/>
      <c r="BO1077" s="13"/>
      <c r="BP1077" s="13"/>
      <c r="BQ1077" s="13"/>
      <c r="BR1077" s="13"/>
    </row>
    <row r="1078">
      <c r="A1078" s="69"/>
      <c r="B1078" s="69"/>
      <c r="C1078" s="99"/>
      <c r="D1078" s="99"/>
      <c r="E1078" s="13"/>
      <c r="F1078" s="99"/>
      <c r="G1078" s="13"/>
      <c r="H1078" s="69"/>
      <c r="I1078" s="98"/>
      <c r="J1078" s="69"/>
      <c r="K1078" s="99"/>
      <c r="L1078" s="99"/>
      <c r="M1078" s="128"/>
      <c r="N1078" s="182"/>
      <c r="O1078" s="98"/>
      <c r="P1078" s="128"/>
      <c r="Q1078" s="13"/>
      <c r="R1078" s="13"/>
      <c r="S1078" s="13"/>
      <c r="T1078" s="98"/>
      <c r="U1078" s="69"/>
      <c r="V1078" s="105"/>
      <c r="W1078" s="150"/>
      <c r="X1078" s="69"/>
      <c r="Y1078" s="99"/>
      <c r="Z1078" s="99"/>
      <c r="AA1078" s="99"/>
      <c r="AB1078" s="99"/>
      <c r="AC1078" s="99"/>
      <c r="AD1078" s="99"/>
      <c r="AE1078" s="150"/>
      <c r="AF1078" s="150"/>
      <c r="AG1078" s="99"/>
      <c r="AH1078" s="99"/>
      <c r="AI1078" s="105"/>
      <c r="AJ1078" s="105"/>
      <c r="AK1078" s="105"/>
      <c r="AL1078" s="98"/>
      <c r="AM1078" s="105"/>
      <c r="AN1078" s="98"/>
      <c r="AO1078" s="110"/>
      <c r="AP1078" s="98"/>
      <c r="AQ1078" s="98"/>
      <c r="AR1078" s="69"/>
      <c r="AS1078" s="98"/>
      <c r="AT1078" s="98"/>
      <c r="AU1078" s="69"/>
      <c r="AV1078" s="13"/>
      <c r="AW1078" s="13"/>
      <c r="AX1078" s="13"/>
      <c r="AY1078" s="13"/>
      <c r="AZ1078" s="13"/>
      <c r="BA1078" s="13"/>
      <c r="BB1078" s="13"/>
      <c r="BC1078" s="13"/>
      <c r="BD1078" s="13"/>
      <c r="BE1078" s="13"/>
      <c r="BF1078" s="13"/>
      <c r="BG1078" s="13"/>
      <c r="BH1078" s="13"/>
      <c r="BI1078" s="13"/>
      <c r="BJ1078" s="13"/>
      <c r="BK1078" s="13"/>
      <c r="BL1078" s="13"/>
      <c r="BM1078" s="13"/>
      <c r="BN1078" s="13"/>
      <c r="BO1078" s="13"/>
      <c r="BP1078" s="13"/>
      <c r="BQ1078" s="13"/>
      <c r="BR1078" s="13"/>
    </row>
    <row r="1079">
      <c r="A1079" s="69"/>
      <c r="B1079" s="69"/>
      <c r="C1079" s="99"/>
      <c r="D1079" s="99"/>
      <c r="E1079" s="13"/>
      <c r="F1079" s="99"/>
      <c r="G1079" s="13"/>
      <c r="H1079" s="69"/>
      <c r="I1079" s="98"/>
      <c r="J1079" s="69"/>
      <c r="K1079" s="99"/>
      <c r="L1079" s="99"/>
      <c r="M1079" s="128"/>
      <c r="N1079" s="182"/>
      <c r="O1079" s="98"/>
      <c r="P1079" s="128"/>
      <c r="Q1079" s="13"/>
      <c r="R1079" s="13"/>
      <c r="S1079" s="13"/>
      <c r="T1079" s="98"/>
      <c r="U1079" s="69"/>
      <c r="V1079" s="105"/>
      <c r="W1079" s="150"/>
      <c r="X1079" s="69"/>
      <c r="Y1079" s="99"/>
      <c r="Z1079" s="99"/>
      <c r="AA1079" s="99"/>
      <c r="AB1079" s="99"/>
      <c r="AC1079" s="99"/>
      <c r="AD1079" s="99"/>
      <c r="AE1079" s="150"/>
      <c r="AF1079" s="150"/>
      <c r="AG1079" s="99"/>
      <c r="AH1079" s="99"/>
      <c r="AI1079" s="105"/>
      <c r="AJ1079" s="105"/>
      <c r="AK1079" s="105"/>
      <c r="AL1079" s="98"/>
      <c r="AM1079" s="105"/>
      <c r="AN1079" s="98"/>
      <c r="AO1079" s="110"/>
      <c r="AP1079" s="98"/>
      <c r="AQ1079" s="98"/>
      <c r="AR1079" s="69"/>
      <c r="AS1079" s="98"/>
      <c r="AT1079" s="98"/>
      <c r="AU1079" s="69"/>
      <c r="AV1079" s="13"/>
      <c r="AW1079" s="13"/>
      <c r="AX1079" s="13"/>
      <c r="AY1079" s="13"/>
      <c r="AZ1079" s="13"/>
      <c r="BA1079" s="13"/>
      <c r="BB1079" s="13"/>
      <c r="BC1079" s="13"/>
      <c r="BD1079" s="13"/>
      <c r="BE1079" s="13"/>
      <c r="BF1079" s="13"/>
      <c r="BG1079" s="13"/>
      <c r="BH1079" s="13"/>
      <c r="BI1079" s="13"/>
      <c r="BJ1079" s="13"/>
      <c r="BK1079" s="13"/>
      <c r="BL1079" s="13"/>
      <c r="BM1079" s="13"/>
      <c r="BN1079" s="13"/>
      <c r="BO1079" s="13"/>
      <c r="BP1079" s="13"/>
      <c r="BQ1079" s="13"/>
      <c r="BR1079" s="13"/>
    </row>
    <row r="1080">
      <c r="A1080" s="69"/>
      <c r="B1080" s="69"/>
      <c r="C1080" s="99"/>
      <c r="D1080" s="99"/>
      <c r="E1080" s="13"/>
      <c r="F1080" s="99"/>
      <c r="G1080" s="13"/>
      <c r="H1080" s="69"/>
      <c r="I1080" s="98"/>
      <c r="J1080" s="69"/>
      <c r="K1080" s="99"/>
      <c r="L1080" s="99"/>
      <c r="M1080" s="128"/>
      <c r="N1080" s="182"/>
      <c r="O1080" s="98"/>
      <c r="P1080" s="128"/>
      <c r="Q1080" s="13"/>
      <c r="R1080" s="13"/>
      <c r="S1080" s="13"/>
      <c r="T1080" s="98"/>
      <c r="U1080" s="69"/>
      <c r="V1080" s="105"/>
      <c r="W1080" s="150"/>
      <c r="X1080" s="69"/>
      <c r="Y1080" s="99"/>
      <c r="Z1080" s="99"/>
      <c r="AA1080" s="99"/>
      <c r="AB1080" s="99"/>
      <c r="AC1080" s="99"/>
      <c r="AD1080" s="99"/>
      <c r="AE1080" s="150"/>
      <c r="AF1080" s="150"/>
      <c r="AG1080" s="99"/>
      <c r="AH1080" s="99"/>
      <c r="AI1080" s="105"/>
      <c r="AJ1080" s="105"/>
      <c r="AK1080" s="105"/>
      <c r="AL1080" s="98"/>
      <c r="AM1080" s="105"/>
      <c r="AN1080" s="98"/>
      <c r="AO1080" s="110"/>
      <c r="AP1080" s="98"/>
      <c r="AQ1080" s="98"/>
      <c r="AR1080" s="69"/>
      <c r="AS1080" s="98"/>
      <c r="AT1080" s="98"/>
      <c r="AU1080" s="69"/>
      <c r="AV1080" s="13"/>
      <c r="AW1080" s="13"/>
      <c r="AX1080" s="13"/>
      <c r="AY1080" s="13"/>
      <c r="AZ1080" s="13"/>
      <c r="BA1080" s="13"/>
      <c r="BB1080" s="13"/>
      <c r="BC1080" s="13"/>
      <c r="BD1080" s="13"/>
      <c r="BE1080" s="13"/>
      <c r="BF1080" s="13"/>
      <c r="BG1080" s="13"/>
      <c r="BH1080" s="13"/>
      <c r="BI1080" s="13"/>
      <c r="BJ1080" s="13"/>
      <c r="BK1080" s="13"/>
      <c r="BL1080" s="13"/>
      <c r="BM1080" s="13"/>
      <c r="BN1080" s="13"/>
      <c r="BO1080" s="13"/>
      <c r="BP1080" s="13"/>
      <c r="BQ1080" s="13"/>
      <c r="BR1080" s="13"/>
    </row>
    <row r="1081">
      <c r="A1081" s="69"/>
      <c r="B1081" s="69"/>
      <c r="C1081" s="99"/>
      <c r="D1081" s="99"/>
      <c r="E1081" s="13"/>
      <c r="F1081" s="99"/>
      <c r="G1081" s="13"/>
      <c r="H1081" s="69"/>
      <c r="I1081" s="98"/>
      <c r="J1081" s="69"/>
      <c r="K1081" s="99"/>
      <c r="L1081" s="99"/>
      <c r="M1081" s="128"/>
      <c r="N1081" s="182"/>
      <c r="O1081" s="98"/>
      <c r="P1081" s="128"/>
      <c r="Q1081" s="13"/>
      <c r="R1081" s="13"/>
      <c r="S1081" s="13"/>
      <c r="T1081" s="98"/>
      <c r="U1081" s="69"/>
      <c r="V1081" s="105"/>
      <c r="W1081" s="150"/>
      <c r="X1081" s="69"/>
      <c r="Y1081" s="99"/>
      <c r="Z1081" s="99"/>
      <c r="AA1081" s="99"/>
      <c r="AB1081" s="99"/>
      <c r="AC1081" s="99"/>
      <c r="AD1081" s="99"/>
      <c r="AE1081" s="150"/>
      <c r="AF1081" s="150"/>
      <c r="AG1081" s="99"/>
      <c r="AH1081" s="99"/>
      <c r="AI1081" s="105"/>
      <c r="AJ1081" s="105"/>
      <c r="AK1081" s="105"/>
      <c r="AL1081" s="98"/>
      <c r="AM1081" s="105"/>
      <c r="AN1081" s="98"/>
      <c r="AO1081" s="110"/>
      <c r="AP1081" s="98"/>
      <c r="AQ1081" s="98"/>
      <c r="AR1081" s="69"/>
      <c r="AS1081" s="98"/>
      <c r="AT1081" s="98"/>
      <c r="AU1081" s="69"/>
      <c r="AV1081" s="13"/>
      <c r="AW1081" s="13"/>
      <c r="AX1081" s="13"/>
      <c r="AY1081" s="13"/>
      <c r="AZ1081" s="13"/>
      <c r="BA1081" s="13"/>
      <c r="BB1081" s="13"/>
      <c r="BC1081" s="13"/>
      <c r="BD1081" s="13"/>
      <c r="BE1081" s="13"/>
      <c r="BF1081" s="13"/>
      <c r="BG1081" s="13"/>
      <c r="BH1081" s="13"/>
      <c r="BI1081" s="13"/>
      <c r="BJ1081" s="13"/>
      <c r="BK1081" s="13"/>
      <c r="BL1081" s="13"/>
      <c r="BM1081" s="13"/>
      <c r="BN1081" s="13"/>
      <c r="BO1081" s="13"/>
      <c r="BP1081" s="13"/>
      <c r="BQ1081" s="13"/>
      <c r="BR1081" s="13"/>
    </row>
    <row r="1082">
      <c r="A1082" s="69"/>
      <c r="B1082" s="69"/>
      <c r="C1082" s="99"/>
      <c r="D1082" s="99"/>
      <c r="E1082" s="13"/>
      <c r="F1082" s="99"/>
      <c r="G1082" s="13"/>
      <c r="H1082" s="69"/>
      <c r="I1082" s="98"/>
      <c r="J1082" s="69"/>
      <c r="K1082" s="99"/>
      <c r="L1082" s="99"/>
      <c r="M1082" s="128"/>
      <c r="N1082" s="182"/>
      <c r="O1082" s="98"/>
      <c r="P1082" s="128"/>
      <c r="Q1082" s="13"/>
      <c r="R1082" s="13"/>
      <c r="S1082" s="13"/>
      <c r="T1082" s="98"/>
      <c r="U1082" s="69"/>
      <c r="V1082" s="105"/>
      <c r="W1082" s="150"/>
      <c r="X1082" s="69"/>
      <c r="Y1082" s="99"/>
      <c r="Z1082" s="99"/>
      <c r="AA1082" s="99"/>
      <c r="AB1082" s="99"/>
      <c r="AC1082" s="99"/>
      <c r="AD1082" s="99"/>
      <c r="AE1082" s="150"/>
      <c r="AF1082" s="150"/>
      <c r="AG1082" s="99"/>
      <c r="AH1082" s="99"/>
      <c r="AI1082" s="105"/>
      <c r="AJ1082" s="105"/>
      <c r="AK1082" s="105"/>
      <c r="AL1082" s="98"/>
      <c r="AM1082" s="105"/>
      <c r="AN1082" s="98"/>
      <c r="AO1082" s="110"/>
      <c r="AP1082" s="98"/>
      <c r="AQ1082" s="98"/>
      <c r="AR1082" s="69"/>
      <c r="AS1082" s="98"/>
      <c r="AT1082" s="98"/>
      <c r="AU1082" s="69"/>
      <c r="AV1082" s="13"/>
      <c r="AW1082" s="13"/>
      <c r="AX1082" s="13"/>
      <c r="AY1082" s="13"/>
      <c r="AZ1082" s="13"/>
      <c r="BA1082" s="13"/>
      <c r="BB1082" s="13"/>
      <c r="BC1082" s="13"/>
      <c r="BD1082" s="13"/>
      <c r="BE1082" s="13"/>
      <c r="BF1082" s="13"/>
      <c r="BG1082" s="13"/>
      <c r="BH1082" s="13"/>
      <c r="BI1082" s="13"/>
      <c r="BJ1082" s="13"/>
      <c r="BK1082" s="13"/>
      <c r="BL1082" s="13"/>
      <c r="BM1082" s="13"/>
      <c r="BN1082" s="13"/>
      <c r="BO1082" s="13"/>
      <c r="BP1082" s="13"/>
      <c r="BQ1082" s="13"/>
      <c r="BR1082" s="13"/>
    </row>
    <row r="1083">
      <c r="A1083" s="69"/>
      <c r="B1083" s="69"/>
      <c r="C1083" s="99"/>
      <c r="D1083" s="99"/>
      <c r="E1083" s="13"/>
      <c r="F1083" s="99"/>
      <c r="G1083" s="13"/>
      <c r="H1083" s="69"/>
      <c r="I1083" s="98"/>
      <c r="J1083" s="69"/>
      <c r="K1083" s="99"/>
      <c r="L1083" s="99"/>
      <c r="M1083" s="128"/>
      <c r="N1083" s="182"/>
      <c r="O1083" s="98"/>
      <c r="P1083" s="128"/>
      <c r="Q1083" s="13"/>
      <c r="R1083" s="13"/>
      <c r="S1083" s="13"/>
      <c r="T1083" s="98"/>
      <c r="U1083" s="69"/>
      <c r="V1083" s="105"/>
      <c r="W1083" s="150"/>
      <c r="X1083" s="69"/>
      <c r="Y1083" s="99"/>
      <c r="Z1083" s="99"/>
      <c r="AA1083" s="99"/>
      <c r="AB1083" s="99"/>
      <c r="AC1083" s="99"/>
      <c r="AD1083" s="99"/>
      <c r="AE1083" s="150"/>
      <c r="AF1083" s="150"/>
      <c r="AG1083" s="99"/>
      <c r="AH1083" s="99"/>
      <c r="AI1083" s="105"/>
      <c r="AJ1083" s="105"/>
      <c r="AK1083" s="105"/>
      <c r="AL1083" s="98"/>
      <c r="AM1083" s="105"/>
      <c r="AN1083" s="98"/>
      <c r="AO1083" s="110"/>
      <c r="AP1083" s="98"/>
      <c r="AQ1083" s="98"/>
      <c r="AR1083" s="69"/>
      <c r="AS1083" s="98"/>
      <c r="AT1083" s="98"/>
      <c r="AU1083" s="69"/>
      <c r="AV1083" s="13"/>
      <c r="AW1083" s="13"/>
      <c r="AX1083" s="13"/>
      <c r="AY1083" s="13"/>
      <c r="AZ1083" s="13"/>
      <c r="BA1083" s="13"/>
      <c r="BB1083" s="13"/>
      <c r="BC1083" s="13"/>
      <c r="BD1083" s="13"/>
      <c r="BE1083" s="13"/>
      <c r="BF1083" s="13"/>
      <c r="BG1083" s="13"/>
      <c r="BH1083" s="13"/>
      <c r="BI1083" s="13"/>
      <c r="BJ1083" s="13"/>
      <c r="BK1083" s="13"/>
      <c r="BL1083" s="13"/>
      <c r="BM1083" s="13"/>
      <c r="BN1083" s="13"/>
      <c r="BO1083" s="13"/>
      <c r="BP1083" s="13"/>
      <c r="BQ1083" s="13"/>
      <c r="BR1083" s="13"/>
    </row>
    <row r="1084">
      <c r="A1084" s="69"/>
      <c r="B1084" s="69"/>
      <c r="C1084" s="99"/>
      <c r="D1084" s="99"/>
      <c r="E1084" s="13"/>
      <c r="F1084" s="99"/>
      <c r="G1084" s="13"/>
      <c r="H1084" s="69"/>
      <c r="I1084" s="98"/>
      <c r="J1084" s="69"/>
      <c r="K1084" s="99"/>
      <c r="L1084" s="99"/>
      <c r="M1084" s="128"/>
      <c r="N1084" s="182"/>
      <c r="O1084" s="98"/>
      <c r="P1084" s="128"/>
      <c r="Q1084" s="13"/>
      <c r="R1084" s="13"/>
      <c r="S1084" s="13"/>
      <c r="T1084" s="98"/>
      <c r="U1084" s="69"/>
      <c r="V1084" s="105"/>
      <c r="W1084" s="150"/>
      <c r="X1084" s="69"/>
      <c r="Y1084" s="99"/>
      <c r="Z1084" s="99"/>
      <c r="AA1084" s="99"/>
      <c r="AB1084" s="99"/>
      <c r="AC1084" s="99"/>
      <c r="AD1084" s="99"/>
      <c r="AE1084" s="150"/>
      <c r="AF1084" s="150"/>
      <c r="AG1084" s="99"/>
      <c r="AH1084" s="99"/>
      <c r="AI1084" s="105"/>
      <c r="AJ1084" s="105"/>
      <c r="AK1084" s="105"/>
      <c r="AL1084" s="98"/>
      <c r="AM1084" s="105"/>
      <c r="AN1084" s="98"/>
      <c r="AO1084" s="110"/>
      <c r="AP1084" s="98"/>
      <c r="AQ1084" s="98"/>
      <c r="AR1084" s="69"/>
      <c r="AS1084" s="98"/>
      <c r="AT1084" s="98"/>
      <c r="AU1084" s="69"/>
      <c r="AV1084" s="13"/>
      <c r="AW1084" s="13"/>
      <c r="AX1084" s="13"/>
      <c r="AY1084" s="13"/>
      <c r="AZ1084" s="13"/>
      <c r="BA1084" s="13"/>
      <c r="BB1084" s="13"/>
      <c r="BC1084" s="13"/>
      <c r="BD1084" s="13"/>
      <c r="BE1084" s="13"/>
      <c r="BF1084" s="13"/>
      <c r="BG1084" s="13"/>
      <c r="BH1084" s="13"/>
      <c r="BI1084" s="13"/>
      <c r="BJ1084" s="13"/>
      <c r="BK1084" s="13"/>
      <c r="BL1084" s="13"/>
      <c r="BM1084" s="13"/>
      <c r="BN1084" s="13"/>
      <c r="BO1084" s="13"/>
      <c r="BP1084" s="13"/>
      <c r="BQ1084" s="13"/>
      <c r="BR1084" s="13"/>
    </row>
    <row r="1085">
      <c r="A1085" s="69"/>
      <c r="B1085" s="69"/>
      <c r="C1085" s="99"/>
      <c r="D1085" s="99"/>
      <c r="E1085" s="13"/>
      <c r="F1085" s="99"/>
      <c r="G1085" s="13"/>
      <c r="H1085" s="69"/>
      <c r="I1085" s="98"/>
      <c r="J1085" s="69"/>
      <c r="K1085" s="99"/>
      <c r="L1085" s="99"/>
      <c r="M1085" s="128"/>
      <c r="N1085" s="182"/>
      <c r="O1085" s="98"/>
      <c r="P1085" s="128"/>
      <c r="Q1085" s="13"/>
      <c r="R1085" s="13"/>
      <c r="S1085" s="13"/>
      <c r="T1085" s="98"/>
      <c r="U1085" s="69"/>
      <c r="V1085" s="105"/>
      <c r="W1085" s="150"/>
      <c r="X1085" s="69"/>
      <c r="Y1085" s="99"/>
      <c r="Z1085" s="99"/>
      <c r="AA1085" s="99"/>
      <c r="AB1085" s="99"/>
      <c r="AC1085" s="99"/>
      <c r="AD1085" s="99"/>
      <c r="AE1085" s="150"/>
      <c r="AF1085" s="150"/>
      <c r="AG1085" s="99"/>
      <c r="AH1085" s="99"/>
      <c r="AI1085" s="105"/>
      <c r="AJ1085" s="105"/>
      <c r="AK1085" s="105"/>
      <c r="AL1085" s="98"/>
      <c r="AM1085" s="105"/>
      <c r="AN1085" s="98"/>
      <c r="AO1085" s="110"/>
      <c r="AP1085" s="98"/>
      <c r="AQ1085" s="98"/>
      <c r="AR1085" s="69"/>
      <c r="AS1085" s="98"/>
      <c r="AT1085" s="98"/>
      <c r="AU1085" s="69"/>
      <c r="AV1085" s="13"/>
      <c r="AW1085" s="13"/>
      <c r="AX1085" s="13"/>
      <c r="AY1085" s="13"/>
      <c r="AZ1085" s="13"/>
      <c r="BA1085" s="13"/>
      <c r="BB1085" s="13"/>
      <c r="BC1085" s="13"/>
      <c r="BD1085" s="13"/>
      <c r="BE1085" s="13"/>
      <c r="BF1085" s="13"/>
      <c r="BG1085" s="13"/>
      <c r="BH1085" s="13"/>
      <c r="BI1085" s="13"/>
      <c r="BJ1085" s="13"/>
      <c r="BK1085" s="13"/>
      <c r="BL1085" s="13"/>
      <c r="BM1085" s="13"/>
      <c r="BN1085" s="13"/>
      <c r="BO1085" s="13"/>
      <c r="BP1085" s="13"/>
      <c r="BQ1085" s="13"/>
      <c r="BR1085" s="13"/>
    </row>
    <row r="1086">
      <c r="A1086" s="69"/>
      <c r="B1086" s="69"/>
      <c r="C1086" s="99"/>
      <c r="D1086" s="99"/>
      <c r="E1086" s="13"/>
      <c r="F1086" s="99"/>
      <c r="G1086" s="13"/>
      <c r="H1086" s="69"/>
      <c r="I1086" s="98"/>
      <c r="J1086" s="69"/>
      <c r="K1086" s="99"/>
      <c r="L1086" s="99"/>
      <c r="M1086" s="128"/>
      <c r="N1086" s="182"/>
      <c r="O1086" s="98"/>
      <c r="P1086" s="128"/>
      <c r="Q1086" s="13"/>
      <c r="R1086" s="13"/>
      <c r="S1086" s="13"/>
      <c r="T1086" s="98"/>
      <c r="U1086" s="69"/>
      <c r="V1086" s="105"/>
      <c r="W1086" s="150"/>
      <c r="X1086" s="69"/>
      <c r="Y1086" s="99"/>
      <c r="Z1086" s="99"/>
      <c r="AA1086" s="99"/>
      <c r="AB1086" s="99"/>
      <c r="AC1086" s="99"/>
      <c r="AD1086" s="99"/>
      <c r="AE1086" s="150"/>
      <c r="AF1086" s="150"/>
      <c r="AG1086" s="99"/>
      <c r="AH1086" s="99"/>
      <c r="AI1086" s="105"/>
      <c r="AJ1086" s="105"/>
      <c r="AK1086" s="105"/>
      <c r="AL1086" s="98"/>
      <c r="AM1086" s="105"/>
      <c r="AN1086" s="98"/>
      <c r="AO1086" s="110"/>
      <c r="AP1086" s="98"/>
      <c r="AQ1086" s="98"/>
      <c r="AR1086" s="69"/>
      <c r="AS1086" s="98"/>
      <c r="AT1086" s="98"/>
      <c r="AU1086" s="69"/>
      <c r="AV1086" s="13"/>
      <c r="AW1086" s="13"/>
      <c r="AX1086" s="13"/>
      <c r="AY1086" s="13"/>
      <c r="AZ1086" s="13"/>
      <c r="BA1086" s="13"/>
      <c r="BB1086" s="13"/>
      <c r="BC1086" s="13"/>
      <c r="BD1086" s="13"/>
      <c r="BE1086" s="13"/>
      <c r="BF1086" s="13"/>
      <c r="BG1086" s="13"/>
      <c r="BH1086" s="13"/>
      <c r="BI1086" s="13"/>
      <c r="BJ1086" s="13"/>
      <c r="BK1086" s="13"/>
      <c r="BL1086" s="13"/>
      <c r="BM1086" s="13"/>
      <c r="BN1086" s="13"/>
      <c r="BO1086" s="13"/>
      <c r="BP1086" s="13"/>
      <c r="BQ1086" s="13"/>
      <c r="BR1086" s="13"/>
    </row>
    <row r="1087">
      <c r="A1087" s="69"/>
      <c r="B1087" s="69"/>
      <c r="C1087" s="99"/>
      <c r="D1087" s="99"/>
      <c r="E1087" s="13"/>
      <c r="F1087" s="99"/>
      <c r="G1087" s="13"/>
      <c r="H1087" s="69"/>
      <c r="I1087" s="98"/>
      <c r="J1087" s="69"/>
      <c r="K1087" s="99"/>
      <c r="L1087" s="99"/>
      <c r="M1087" s="128"/>
      <c r="N1087" s="182"/>
      <c r="O1087" s="98"/>
      <c r="P1087" s="128"/>
      <c r="Q1087" s="13"/>
      <c r="R1087" s="13"/>
      <c r="S1087" s="13"/>
      <c r="T1087" s="98"/>
      <c r="U1087" s="69"/>
      <c r="V1087" s="105"/>
      <c r="W1087" s="150"/>
      <c r="X1087" s="69"/>
      <c r="Y1087" s="99"/>
      <c r="Z1087" s="99"/>
      <c r="AA1087" s="99"/>
      <c r="AB1087" s="99"/>
      <c r="AC1087" s="99"/>
      <c r="AD1087" s="99"/>
      <c r="AE1087" s="150"/>
      <c r="AF1087" s="150"/>
      <c r="AG1087" s="99"/>
      <c r="AH1087" s="99"/>
      <c r="AI1087" s="105"/>
      <c r="AJ1087" s="105"/>
      <c r="AK1087" s="105"/>
      <c r="AL1087" s="98"/>
      <c r="AM1087" s="105"/>
      <c r="AN1087" s="98"/>
      <c r="AO1087" s="110"/>
      <c r="AP1087" s="98"/>
      <c r="AQ1087" s="98"/>
      <c r="AR1087" s="69"/>
      <c r="AS1087" s="98"/>
      <c r="AT1087" s="98"/>
      <c r="AU1087" s="69"/>
      <c r="AV1087" s="13"/>
      <c r="AW1087" s="13"/>
      <c r="AX1087" s="13"/>
      <c r="AY1087" s="13"/>
      <c r="AZ1087" s="13"/>
      <c r="BA1087" s="13"/>
      <c r="BB1087" s="13"/>
      <c r="BC1087" s="13"/>
      <c r="BD1087" s="13"/>
      <c r="BE1087" s="13"/>
      <c r="BF1087" s="13"/>
      <c r="BG1087" s="13"/>
      <c r="BH1087" s="13"/>
      <c r="BI1087" s="13"/>
      <c r="BJ1087" s="13"/>
      <c r="BK1087" s="13"/>
      <c r="BL1087" s="13"/>
      <c r="BM1087" s="13"/>
      <c r="BN1087" s="13"/>
      <c r="BO1087" s="13"/>
      <c r="BP1087" s="13"/>
      <c r="BQ1087" s="13"/>
      <c r="BR1087" s="13"/>
    </row>
    <row r="1088">
      <c r="A1088" s="69"/>
      <c r="B1088" s="69"/>
      <c r="C1088" s="99"/>
      <c r="D1088" s="99"/>
      <c r="E1088" s="13"/>
      <c r="F1088" s="99"/>
      <c r="G1088" s="13"/>
      <c r="H1088" s="69"/>
      <c r="I1088" s="98"/>
      <c r="J1088" s="69"/>
      <c r="K1088" s="99"/>
      <c r="L1088" s="99"/>
      <c r="M1088" s="128"/>
      <c r="N1088" s="182"/>
      <c r="O1088" s="98"/>
      <c r="P1088" s="128"/>
      <c r="Q1088" s="13"/>
      <c r="R1088" s="13"/>
      <c r="S1088" s="13"/>
      <c r="T1088" s="98"/>
      <c r="U1088" s="69"/>
      <c r="V1088" s="105"/>
      <c r="W1088" s="150"/>
      <c r="X1088" s="69"/>
      <c r="Y1088" s="99"/>
      <c r="Z1088" s="99"/>
      <c r="AA1088" s="99"/>
      <c r="AB1088" s="99"/>
      <c r="AC1088" s="99"/>
      <c r="AD1088" s="99"/>
      <c r="AE1088" s="150"/>
      <c r="AF1088" s="150"/>
      <c r="AG1088" s="99"/>
      <c r="AH1088" s="99"/>
      <c r="AI1088" s="105"/>
      <c r="AJ1088" s="105"/>
      <c r="AK1088" s="105"/>
      <c r="AL1088" s="98"/>
      <c r="AM1088" s="105"/>
      <c r="AN1088" s="98"/>
      <c r="AO1088" s="110"/>
      <c r="AP1088" s="98"/>
      <c r="AQ1088" s="98"/>
      <c r="AR1088" s="69"/>
      <c r="AS1088" s="98"/>
      <c r="AT1088" s="98"/>
      <c r="AU1088" s="69"/>
      <c r="AV1088" s="13"/>
      <c r="AW1088" s="13"/>
      <c r="AX1088" s="13"/>
      <c r="AY1088" s="13"/>
      <c r="AZ1088" s="13"/>
      <c r="BA1088" s="13"/>
      <c r="BB1088" s="13"/>
      <c r="BC1088" s="13"/>
      <c r="BD1088" s="13"/>
      <c r="BE1088" s="13"/>
      <c r="BF1088" s="13"/>
      <c r="BG1088" s="13"/>
      <c r="BH1088" s="13"/>
      <c r="BI1088" s="13"/>
      <c r="BJ1088" s="13"/>
      <c r="BK1088" s="13"/>
      <c r="BL1088" s="13"/>
      <c r="BM1088" s="13"/>
      <c r="BN1088" s="13"/>
      <c r="BO1088" s="13"/>
      <c r="BP1088" s="13"/>
      <c r="BQ1088" s="13"/>
      <c r="BR1088" s="13"/>
    </row>
    <row r="1089">
      <c r="A1089" s="69"/>
      <c r="B1089" s="69"/>
      <c r="C1089" s="99"/>
      <c r="D1089" s="99"/>
      <c r="E1089" s="13"/>
      <c r="F1089" s="99"/>
      <c r="G1089" s="13"/>
      <c r="H1089" s="69"/>
      <c r="I1089" s="98"/>
      <c r="J1089" s="69"/>
      <c r="K1089" s="99"/>
      <c r="L1089" s="99"/>
      <c r="M1089" s="128"/>
      <c r="N1089" s="182"/>
      <c r="O1089" s="98"/>
      <c r="P1089" s="128"/>
      <c r="Q1089" s="13"/>
      <c r="R1089" s="13"/>
      <c r="S1089" s="13"/>
      <c r="T1089" s="98"/>
      <c r="U1089" s="69"/>
      <c r="V1089" s="105"/>
      <c r="W1089" s="150"/>
      <c r="X1089" s="69"/>
      <c r="Y1089" s="99"/>
      <c r="Z1089" s="99"/>
      <c r="AA1089" s="99"/>
      <c r="AB1089" s="99"/>
      <c r="AC1089" s="99"/>
      <c r="AD1089" s="99"/>
      <c r="AE1089" s="150"/>
      <c r="AF1089" s="150"/>
      <c r="AG1089" s="99"/>
      <c r="AH1089" s="99"/>
      <c r="AI1089" s="105"/>
      <c r="AJ1089" s="105"/>
      <c r="AK1089" s="105"/>
      <c r="AL1089" s="98"/>
      <c r="AM1089" s="105"/>
      <c r="AN1089" s="98"/>
      <c r="AO1089" s="110"/>
      <c r="AP1089" s="98"/>
      <c r="AQ1089" s="98"/>
      <c r="AR1089" s="69"/>
      <c r="AS1089" s="98"/>
      <c r="AT1089" s="98"/>
      <c r="AU1089" s="69"/>
      <c r="AV1089" s="13"/>
      <c r="AW1089" s="13"/>
      <c r="AX1089" s="13"/>
      <c r="AY1089" s="13"/>
      <c r="AZ1089" s="13"/>
      <c r="BA1089" s="13"/>
      <c r="BB1089" s="13"/>
      <c r="BC1089" s="13"/>
      <c r="BD1089" s="13"/>
      <c r="BE1089" s="13"/>
      <c r="BF1089" s="13"/>
      <c r="BG1089" s="13"/>
      <c r="BH1089" s="13"/>
      <c r="BI1089" s="13"/>
      <c r="BJ1089" s="13"/>
      <c r="BK1089" s="13"/>
      <c r="BL1089" s="13"/>
      <c r="BM1089" s="13"/>
      <c r="BN1089" s="13"/>
      <c r="BO1089" s="13"/>
      <c r="BP1089" s="13"/>
      <c r="BQ1089" s="13"/>
      <c r="BR1089" s="13"/>
    </row>
    <row r="1090">
      <c r="A1090" s="69"/>
      <c r="B1090" s="69"/>
      <c r="C1090" s="99"/>
      <c r="D1090" s="99"/>
      <c r="E1090" s="13"/>
      <c r="F1090" s="99"/>
      <c r="G1090" s="13"/>
      <c r="H1090" s="69"/>
      <c r="I1090" s="98"/>
      <c r="J1090" s="69"/>
      <c r="K1090" s="99"/>
      <c r="L1090" s="99"/>
      <c r="M1090" s="128"/>
      <c r="N1090" s="182"/>
      <c r="O1090" s="98"/>
      <c r="P1090" s="128"/>
      <c r="Q1090" s="13"/>
      <c r="R1090" s="13"/>
      <c r="S1090" s="13"/>
      <c r="T1090" s="98"/>
      <c r="U1090" s="69"/>
      <c r="V1090" s="105"/>
      <c r="W1090" s="150"/>
      <c r="X1090" s="69"/>
      <c r="Y1090" s="99"/>
      <c r="Z1090" s="99"/>
      <c r="AA1090" s="99"/>
      <c r="AB1090" s="99"/>
      <c r="AC1090" s="99"/>
      <c r="AD1090" s="99"/>
      <c r="AE1090" s="150"/>
      <c r="AF1090" s="150"/>
      <c r="AG1090" s="99"/>
      <c r="AH1090" s="99"/>
      <c r="AI1090" s="105"/>
      <c r="AJ1090" s="105"/>
      <c r="AK1090" s="105"/>
      <c r="AL1090" s="98"/>
      <c r="AM1090" s="105"/>
      <c r="AN1090" s="98"/>
      <c r="AO1090" s="110"/>
      <c r="AP1090" s="98"/>
      <c r="AQ1090" s="98"/>
      <c r="AR1090" s="69"/>
      <c r="AS1090" s="98"/>
      <c r="AT1090" s="98"/>
      <c r="AU1090" s="69"/>
      <c r="AV1090" s="13"/>
      <c r="AW1090" s="13"/>
      <c r="AX1090" s="13"/>
      <c r="AY1090" s="13"/>
      <c r="AZ1090" s="13"/>
      <c r="BA1090" s="13"/>
      <c r="BB1090" s="13"/>
      <c r="BC1090" s="13"/>
      <c r="BD1090" s="13"/>
      <c r="BE1090" s="13"/>
      <c r="BF1090" s="13"/>
      <c r="BG1090" s="13"/>
      <c r="BH1090" s="13"/>
      <c r="BI1090" s="13"/>
      <c r="BJ1090" s="13"/>
      <c r="BK1090" s="13"/>
      <c r="BL1090" s="13"/>
      <c r="BM1090" s="13"/>
      <c r="BN1090" s="13"/>
      <c r="BO1090" s="13"/>
      <c r="BP1090" s="13"/>
      <c r="BQ1090" s="13"/>
      <c r="BR1090" s="13"/>
    </row>
    <row r="1091">
      <c r="A1091" s="69"/>
      <c r="B1091" s="69"/>
      <c r="C1091" s="99"/>
      <c r="D1091" s="99"/>
      <c r="E1091" s="13"/>
      <c r="F1091" s="99"/>
      <c r="G1091" s="13"/>
      <c r="H1091" s="69"/>
      <c r="I1091" s="98"/>
      <c r="J1091" s="69"/>
      <c r="K1091" s="99"/>
      <c r="L1091" s="99"/>
      <c r="M1091" s="128"/>
      <c r="N1091" s="182"/>
      <c r="O1091" s="98"/>
      <c r="P1091" s="128"/>
      <c r="Q1091" s="13"/>
      <c r="R1091" s="13"/>
      <c r="S1091" s="13"/>
      <c r="T1091" s="98"/>
      <c r="U1091" s="69"/>
      <c r="V1091" s="105"/>
      <c r="W1091" s="150"/>
      <c r="X1091" s="69"/>
      <c r="Y1091" s="99"/>
      <c r="Z1091" s="99"/>
      <c r="AA1091" s="99"/>
      <c r="AB1091" s="99"/>
      <c r="AC1091" s="99"/>
      <c r="AD1091" s="99"/>
      <c r="AE1091" s="150"/>
      <c r="AF1091" s="150"/>
      <c r="AG1091" s="99"/>
      <c r="AH1091" s="99"/>
      <c r="AI1091" s="105"/>
      <c r="AJ1091" s="105"/>
      <c r="AK1091" s="105"/>
      <c r="AL1091" s="98"/>
      <c r="AM1091" s="105"/>
      <c r="AN1091" s="98"/>
      <c r="AO1091" s="110"/>
      <c r="AP1091" s="98"/>
      <c r="AQ1091" s="98"/>
      <c r="AR1091" s="69"/>
      <c r="AS1091" s="98"/>
      <c r="AT1091" s="98"/>
      <c r="AU1091" s="69"/>
      <c r="AV1091" s="13"/>
      <c r="AW1091" s="13"/>
      <c r="AX1091" s="13"/>
      <c r="AY1091" s="13"/>
      <c r="AZ1091" s="13"/>
      <c r="BA1091" s="13"/>
      <c r="BB1091" s="13"/>
      <c r="BC1091" s="13"/>
      <c r="BD1091" s="13"/>
      <c r="BE1091" s="13"/>
      <c r="BF1091" s="13"/>
      <c r="BG1091" s="13"/>
      <c r="BH1091" s="13"/>
      <c r="BI1091" s="13"/>
      <c r="BJ1091" s="13"/>
      <c r="BK1091" s="13"/>
      <c r="BL1091" s="13"/>
      <c r="BM1091" s="13"/>
      <c r="BN1091" s="13"/>
      <c r="BO1091" s="13"/>
      <c r="BP1091" s="13"/>
      <c r="BQ1091" s="13"/>
      <c r="BR1091" s="13"/>
    </row>
    <row r="1092">
      <c r="A1092" s="69"/>
      <c r="B1092" s="69"/>
      <c r="C1092" s="99"/>
      <c r="D1092" s="99"/>
      <c r="E1092" s="13"/>
      <c r="F1092" s="99"/>
      <c r="G1092" s="13"/>
      <c r="H1092" s="69"/>
      <c r="I1092" s="98"/>
      <c r="J1092" s="69"/>
      <c r="K1092" s="99"/>
      <c r="L1092" s="99"/>
      <c r="M1092" s="128"/>
      <c r="N1092" s="182"/>
      <c r="O1092" s="98"/>
      <c r="P1092" s="128"/>
      <c r="Q1092" s="13"/>
      <c r="R1092" s="13"/>
      <c r="S1092" s="13"/>
      <c r="T1092" s="98"/>
      <c r="U1092" s="69"/>
      <c r="V1092" s="105"/>
      <c r="W1092" s="150"/>
      <c r="X1092" s="69"/>
      <c r="Y1092" s="99"/>
      <c r="Z1092" s="99"/>
      <c r="AA1092" s="99"/>
      <c r="AB1092" s="99"/>
      <c r="AC1092" s="99"/>
      <c r="AD1092" s="99"/>
      <c r="AE1092" s="150"/>
      <c r="AF1092" s="150"/>
      <c r="AG1092" s="99"/>
      <c r="AH1092" s="99"/>
      <c r="AI1092" s="105"/>
      <c r="AJ1092" s="105"/>
      <c r="AK1092" s="105"/>
      <c r="AL1092" s="98"/>
      <c r="AM1092" s="105"/>
      <c r="AN1092" s="98"/>
      <c r="AO1092" s="110"/>
      <c r="AP1092" s="98"/>
      <c r="AQ1092" s="98"/>
      <c r="AR1092" s="69"/>
      <c r="AS1092" s="98"/>
      <c r="AT1092" s="98"/>
      <c r="AU1092" s="69"/>
      <c r="AV1092" s="13"/>
      <c r="AW1092" s="13"/>
      <c r="AX1092" s="13"/>
      <c r="AY1092" s="13"/>
      <c r="AZ1092" s="13"/>
      <c r="BA1092" s="13"/>
      <c r="BB1092" s="13"/>
      <c r="BC1092" s="13"/>
      <c r="BD1092" s="13"/>
      <c r="BE1092" s="13"/>
      <c r="BF1092" s="13"/>
      <c r="BG1092" s="13"/>
      <c r="BH1092" s="13"/>
      <c r="BI1092" s="13"/>
      <c r="BJ1092" s="13"/>
      <c r="BK1092" s="13"/>
      <c r="BL1092" s="13"/>
      <c r="BM1092" s="13"/>
      <c r="BN1092" s="13"/>
      <c r="BO1092" s="13"/>
      <c r="BP1092" s="13"/>
      <c r="BQ1092" s="13"/>
      <c r="BR1092" s="13"/>
    </row>
    <row r="1093">
      <c r="A1093" s="69"/>
      <c r="B1093" s="69"/>
      <c r="C1093" s="99"/>
      <c r="D1093" s="99"/>
      <c r="E1093" s="13"/>
      <c r="F1093" s="99"/>
      <c r="G1093" s="13"/>
      <c r="H1093" s="69"/>
      <c r="I1093" s="98"/>
      <c r="J1093" s="69"/>
      <c r="K1093" s="99"/>
      <c r="L1093" s="99"/>
      <c r="M1093" s="128"/>
      <c r="N1093" s="182"/>
      <c r="O1093" s="98"/>
      <c r="P1093" s="128"/>
      <c r="Q1093" s="13"/>
      <c r="R1093" s="13"/>
      <c r="S1093" s="13"/>
      <c r="T1093" s="98"/>
      <c r="U1093" s="69"/>
      <c r="V1093" s="105"/>
      <c r="W1093" s="150"/>
      <c r="X1093" s="69"/>
      <c r="Y1093" s="99"/>
      <c r="Z1093" s="99"/>
      <c r="AA1093" s="99"/>
      <c r="AB1093" s="99"/>
      <c r="AC1093" s="99"/>
      <c r="AD1093" s="99"/>
      <c r="AE1093" s="150"/>
      <c r="AF1093" s="150"/>
      <c r="AG1093" s="99"/>
      <c r="AH1093" s="99"/>
      <c r="AI1093" s="105"/>
      <c r="AJ1093" s="105"/>
      <c r="AK1093" s="105"/>
      <c r="AL1093" s="98"/>
      <c r="AM1093" s="105"/>
      <c r="AN1093" s="98"/>
      <c r="AO1093" s="110"/>
      <c r="AP1093" s="98"/>
      <c r="AQ1093" s="98"/>
      <c r="AR1093" s="69"/>
      <c r="AS1093" s="98"/>
      <c r="AT1093" s="98"/>
      <c r="AU1093" s="69"/>
      <c r="AV1093" s="13"/>
      <c r="AW1093" s="13"/>
      <c r="AX1093" s="13"/>
      <c r="AY1093" s="13"/>
      <c r="AZ1093" s="13"/>
      <c r="BA1093" s="13"/>
      <c r="BB1093" s="13"/>
      <c r="BC1093" s="13"/>
      <c r="BD1093" s="13"/>
      <c r="BE1093" s="13"/>
      <c r="BF1093" s="13"/>
      <c r="BG1093" s="13"/>
      <c r="BH1093" s="13"/>
      <c r="BI1093" s="13"/>
      <c r="BJ1093" s="13"/>
      <c r="BK1093" s="13"/>
      <c r="BL1093" s="13"/>
      <c r="BM1093" s="13"/>
      <c r="BN1093" s="13"/>
      <c r="BO1093" s="13"/>
      <c r="BP1093" s="13"/>
      <c r="BQ1093" s="13"/>
      <c r="BR1093" s="13"/>
    </row>
    <row r="1094">
      <c r="A1094" s="69"/>
      <c r="B1094" s="69"/>
      <c r="C1094" s="99"/>
      <c r="D1094" s="99"/>
      <c r="E1094" s="13"/>
      <c r="F1094" s="99"/>
      <c r="G1094" s="13"/>
      <c r="H1094" s="69"/>
      <c r="I1094" s="98"/>
      <c r="J1094" s="69"/>
      <c r="K1094" s="99"/>
      <c r="L1094" s="99"/>
      <c r="M1094" s="128"/>
      <c r="N1094" s="182"/>
      <c r="O1094" s="98"/>
      <c r="P1094" s="128"/>
      <c r="Q1094" s="13"/>
      <c r="R1094" s="13"/>
      <c r="S1094" s="13"/>
      <c r="T1094" s="98"/>
      <c r="U1094" s="69"/>
      <c r="V1094" s="105"/>
      <c r="W1094" s="150"/>
      <c r="X1094" s="69"/>
      <c r="Y1094" s="99"/>
      <c r="Z1094" s="99"/>
      <c r="AA1094" s="99"/>
      <c r="AB1094" s="99"/>
      <c r="AC1094" s="99"/>
      <c r="AD1094" s="99"/>
      <c r="AE1094" s="150"/>
      <c r="AF1094" s="150"/>
      <c r="AG1094" s="99"/>
      <c r="AH1094" s="99"/>
      <c r="AI1094" s="105"/>
      <c r="AJ1094" s="105"/>
      <c r="AK1094" s="105"/>
      <c r="AL1094" s="98"/>
      <c r="AM1094" s="105"/>
      <c r="AN1094" s="98"/>
      <c r="AO1094" s="110"/>
      <c r="AP1094" s="98"/>
      <c r="AQ1094" s="98"/>
      <c r="AR1094" s="69"/>
      <c r="AS1094" s="98"/>
      <c r="AT1094" s="98"/>
      <c r="AU1094" s="69"/>
      <c r="AV1094" s="13"/>
      <c r="AW1094" s="13"/>
      <c r="AX1094" s="13"/>
      <c r="AY1094" s="13"/>
      <c r="AZ1094" s="13"/>
      <c r="BA1094" s="13"/>
      <c r="BB1094" s="13"/>
      <c r="BC1094" s="13"/>
      <c r="BD1094" s="13"/>
      <c r="BE1094" s="13"/>
      <c r="BF1094" s="13"/>
      <c r="BG1094" s="13"/>
      <c r="BH1094" s="13"/>
      <c r="BI1094" s="13"/>
      <c r="BJ1094" s="13"/>
      <c r="BK1094" s="13"/>
      <c r="BL1094" s="13"/>
      <c r="BM1094" s="13"/>
      <c r="BN1094" s="13"/>
      <c r="BO1094" s="13"/>
      <c r="BP1094" s="13"/>
      <c r="BQ1094" s="13"/>
      <c r="BR1094" s="13"/>
    </row>
    <row r="1095">
      <c r="A1095" s="69"/>
      <c r="B1095" s="69"/>
      <c r="C1095" s="99"/>
      <c r="D1095" s="99"/>
      <c r="E1095" s="13"/>
      <c r="F1095" s="99"/>
      <c r="G1095" s="13"/>
      <c r="H1095" s="69"/>
      <c r="I1095" s="98"/>
      <c r="J1095" s="69"/>
      <c r="K1095" s="99"/>
      <c r="L1095" s="99"/>
      <c r="M1095" s="128"/>
      <c r="N1095" s="182"/>
      <c r="O1095" s="98"/>
      <c r="P1095" s="128"/>
      <c r="Q1095" s="13"/>
      <c r="R1095" s="13"/>
      <c r="S1095" s="13"/>
      <c r="T1095" s="98"/>
      <c r="U1095" s="69"/>
      <c r="V1095" s="105"/>
      <c r="W1095" s="150"/>
      <c r="X1095" s="69"/>
      <c r="Y1095" s="99"/>
      <c r="Z1095" s="99"/>
      <c r="AA1095" s="99"/>
      <c r="AB1095" s="99"/>
      <c r="AC1095" s="99"/>
      <c r="AD1095" s="99"/>
      <c r="AE1095" s="150"/>
      <c r="AF1095" s="150"/>
      <c r="AG1095" s="99"/>
      <c r="AH1095" s="99"/>
      <c r="AI1095" s="105"/>
      <c r="AJ1095" s="105"/>
      <c r="AK1095" s="105"/>
      <c r="AL1095" s="98"/>
      <c r="AM1095" s="105"/>
      <c r="AN1095" s="98"/>
      <c r="AO1095" s="110"/>
      <c r="AP1095" s="98"/>
      <c r="AQ1095" s="98"/>
      <c r="AR1095" s="69"/>
      <c r="AS1095" s="98"/>
      <c r="AT1095" s="98"/>
      <c r="AU1095" s="69"/>
      <c r="AV1095" s="13"/>
      <c r="AW1095" s="13"/>
      <c r="AX1095" s="13"/>
      <c r="AY1095" s="13"/>
      <c r="AZ1095" s="13"/>
      <c r="BA1095" s="13"/>
      <c r="BB1095" s="13"/>
      <c r="BC1095" s="13"/>
      <c r="BD1095" s="13"/>
      <c r="BE1095" s="13"/>
      <c r="BF1095" s="13"/>
      <c r="BG1095" s="13"/>
      <c r="BH1095" s="13"/>
      <c r="BI1095" s="13"/>
      <c r="BJ1095" s="13"/>
      <c r="BK1095" s="13"/>
      <c r="BL1095" s="13"/>
      <c r="BM1095" s="13"/>
      <c r="BN1095" s="13"/>
      <c r="BO1095" s="13"/>
      <c r="BP1095" s="13"/>
      <c r="BQ1095" s="13"/>
      <c r="BR1095" s="13"/>
    </row>
    <row r="1096">
      <c r="A1096" s="69"/>
      <c r="B1096" s="69"/>
      <c r="C1096" s="99"/>
      <c r="D1096" s="99"/>
      <c r="E1096" s="13"/>
      <c r="F1096" s="99"/>
      <c r="G1096" s="13"/>
      <c r="H1096" s="69"/>
      <c r="I1096" s="98"/>
      <c r="J1096" s="69"/>
      <c r="K1096" s="99"/>
      <c r="L1096" s="99"/>
      <c r="M1096" s="128"/>
      <c r="N1096" s="182"/>
      <c r="O1096" s="98"/>
      <c r="P1096" s="128"/>
      <c r="Q1096" s="13"/>
      <c r="R1096" s="13"/>
      <c r="S1096" s="13"/>
      <c r="T1096" s="98"/>
      <c r="U1096" s="69"/>
      <c r="V1096" s="105"/>
      <c r="W1096" s="150"/>
      <c r="X1096" s="69"/>
      <c r="Y1096" s="99"/>
      <c r="Z1096" s="99"/>
      <c r="AA1096" s="99"/>
      <c r="AB1096" s="99"/>
      <c r="AC1096" s="99"/>
      <c r="AD1096" s="99"/>
      <c r="AE1096" s="150"/>
      <c r="AF1096" s="150"/>
      <c r="AG1096" s="99"/>
      <c r="AH1096" s="99"/>
      <c r="AI1096" s="105"/>
      <c r="AJ1096" s="105"/>
      <c r="AK1096" s="105"/>
      <c r="AL1096" s="98"/>
      <c r="AM1096" s="105"/>
      <c r="AN1096" s="98"/>
      <c r="AO1096" s="110"/>
      <c r="AP1096" s="98"/>
      <c r="AQ1096" s="98"/>
      <c r="AR1096" s="69"/>
      <c r="AS1096" s="98"/>
      <c r="AT1096" s="98"/>
      <c r="AU1096" s="69"/>
      <c r="AV1096" s="13"/>
      <c r="AW1096" s="13"/>
      <c r="AX1096" s="13"/>
      <c r="AY1096" s="13"/>
      <c r="AZ1096" s="13"/>
      <c r="BA1096" s="13"/>
      <c r="BB1096" s="13"/>
      <c r="BC1096" s="13"/>
      <c r="BD1096" s="13"/>
      <c r="BE1096" s="13"/>
      <c r="BF1096" s="13"/>
      <c r="BG1096" s="13"/>
      <c r="BH1096" s="13"/>
      <c r="BI1096" s="13"/>
      <c r="BJ1096" s="13"/>
      <c r="BK1096" s="13"/>
      <c r="BL1096" s="13"/>
      <c r="BM1096" s="13"/>
      <c r="BN1096" s="13"/>
      <c r="BO1096" s="13"/>
      <c r="BP1096" s="13"/>
      <c r="BQ1096" s="13"/>
      <c r="BR1096" s="13"/>
    </row>
    <row r="1097">
      <c r="A1097" s="69"/>
      <c r="B1097" s="69"/>
      <c r="C1097" s="99"/>
      <c r="D1097" s="99"/>
      <c r="E1097" s="13"/>
      <c r="F1097" s="99"/>
      <c r="G1097" s="13"/>
      <c r="H1097" s="69"/>
      <c r="I1097" s="98"/>
      <c r="J1097" s="69"/>
      <c r="K1097" s="99"/>
      <c r="L1097" s="99"/>
      <c r="M1097" s="128"/>
      <c r="N1097" s="182"/>
      <c r="O1097" s="98"/>
      <c r="P1097" s="128"/>
      <c r="Q1097" s="13"/>
      <c r="R1097" s="13"/>
      <c r="S1097" s="13"/>
      <c r="T1097" s="98"/>
      <c r="U1097" s="69"/>
      <c r="V1097" s="105"/>
      <c r="W1097" s="150"/>
      <c r="X1097" s="69"/>
      <c r="Y1097" s="99"/>
      <c r="Z1097" s="99"/>
      <c r="AA1097" s="99"/>
      <c r="AB1097" s="99"/>
      <c r="AC1097" s="99"/>
      <c r="AD1097" s="99"/>
      <c r="AE1097" s="150"/>
      <c r="AF1097" s="150"/>
      <c r="AG1097" s="99"/>
      <c r="AH1097" s="99"/>
      <c r="AI1097" s="105"/>
      <c r="AJ1097" s="105"/>
      <c r="AK1097" s="105"/>
      <c r="AL1097" s="98"/>
      <c r="AM1097" s="105"/>
      <c r="AN1097" s="98"/>
      <c r="AO1097" s="110"/>
      <c r="AP1097" s="98"/>
      <c r="AQ1097" s="98"/>
      <c r="AR1097" s="69"/>
      <c r="AS1097" s="98"/>
      <c r="AT1097" s="98"/>
      <c r="AU1097" s="69"/>
      <c r="AV1097" s="13"/>
      <c r="AW1097" s="13"/>
      <c r="AX1097" s="13"/>
      <c r="AY1097" s="13"/>
      <c r="AZ1097" s="13"/>
      <c r="BA1097" s="13"/>
      <c r="BB1097" s="13"/>
      <c r="BC1097" s="13"/>
      <c r="BD1097" s="13"/>
      <c r="BE1097" s="13"/>
      <c r="BF1097" s="13"/>
      <c r="BG1097" s="13"/>
      <c r="BH1097" s="13"/>
      <c r="BI1097" s="13"/>
      <c r="BJ1097" s="13"/>
      <c r="BK1097" s="13"/>
      <c r="BL1097" s="13"/>
      <c r="BM1097" s="13"/>
      <c r="BN1097" s="13"/>
      <c r="BO1097" s="13"/>
      <c r="BP1097" s="13"/>
      <c r="BQ1097" s="13"/>
      <c r="BR1097" s="13"/>
    </row>
    <row r="1098">
      <c r="A1098" s="69"/>
      <c r="B1098" s="69"/>
      <c r="C1098" s="99"/>
      <c r="D1098" s="99"/>
      <c r="E1098" s="13"/>
      <c r="F1098" s="99"/>
      <c r="G1098" s="13"/>
      <c r="H1098" s="69"/>
      <c r="I1098" s="98"/>
      <c r="J1098" s="69"/>
      <c r="K1098" s="99"/>
      <c r="L1098" s="99"/>
      <c r="M1098" s="128"/>
      <c r="N1098" s="182"/>
      <c r="O1098" s="98"/>
      <c r="P1098" s="128"/>
      <c r="Q1098" s="13"/>
      <c r="R1098" s="13"/>
      <c r="S1098" s="13"/>
      <c r="T1098" s="98"/>
      <c r="U1098" s="69"/>
      <c r="V1098" s="105"/>
      <c r="W1098" s="150"/>
      <c r="X1098" s="69"/>
      <c r="Y1098" s="99"/>
      <c r="Z1098" s="99"/>
      <c r="AA1098" s="99"/>
      <c r="AB1098" s="99"/>
      <c r="AC1098" s="99"/>
      <c r="AD1098" s="99"/>
      <c r="AE1098" s="150"/>
      <c r="AF1098" s="150"/>
      <c r="AG1098" s="99"/>
      <c r="AH1098" s="99"/>
      <c r="AI1098" s="105"/>
      <c r="AJ1098" s="105"/>
      <c r="AK1098" s="105"/>
      <c r="AL1098" s="98"/>
      <c r="AM1098" s="105"/>
      <c r="AN1098" s="98"/>
      <c r="AO1098" s="110"/>
      <c r="AP1098" s="98"/>
      <c r="AQ1098" s="98"/>
      <c r="AR1098" s="69"/>
      <c r="AS1098" s="98"/>
      <c r="AT1098" s="98"/>
      <c r="AU1098" s="69"/>
      <c r="AV1098" s="13"/>
      <c r="AW1098" s="13"/>
      <c r="AX1098" s="13"/>
      <c r="AY1098" s="13"/>
      <c r="AZ1098" s="13"/>
      <c r="BA1098" s="13"/>
      <c r="BB1098" s="13"/>
      <c r="BC1098" s="13"/>
      <c r="BD1098" s="13"/>
      <c r="BE1098" s="13"/>
      <c r="BF1098" s="13"/>
      <c r="BG1098" s="13"/>
      <c r="BH1098" s="13"/>
      <c r="BI1098" s="13"/>
      <c r="BJ1098" s="13"/>
      <c r="BK1098" s="13"/>
      <c r="BL1098" s="13"/>
      <c r="BM1098" s="13"/>
      <c r="BN1098" s="13"/>
      <c r="BO1098" s="13"/>
      <c r="BP1098" s="13"/>
      <c r="BQ1098" s="13"/>
      <c r="BR1098" s="13"/>
    </row>
    <row r="1099">
      <c r="A1099" s="69"/>
      <c r="B1099" s="69"/>
      <c r="C1099" s="99"/>
      <c r="D1099" s="99"/>
      <c r="E1099" s="13"/>
      <c r="F1099" s="99"/>
      <c r="G1099" s="13"/>
      <c r="H1099" s="69"/>
      <c r="I1099" s="98"/>
      <c r="J1099" s="69"/>
      <c r="K1099" s="99"/>
      <c r="L1099" s="99"/>
      <c r="M1099" s="128"/>
      <c r="N1099" s="182"/>
      <c r="O1099" s="98"/>
      <c r="P1099" s="128"/>
      <c r="Q1099" s="13"/>
      <c r="R1099" s="13"/>
      <c r="S1099" s="13"/>
      <c r="T1099" s="98"/>
      <c r="U1099" s="69"/>
      <c r="V1099" s="105"/>
      <c r="W1099" s="150"/>
      <c r="X1099" s="69"/>
      <c r="Y1099" s="99"/>
      <c r="Z1099" s="99"/>
      <c r="AA1099" s="99"/>
      <c r="AB1099" s="99"/>
      <c r="AC1099" s="99"/>
      <c r="AD1099" s="99"/>
      <c r="AE1099" s="150"/>
      <c r="AF1099" s="150"/>
      <c r="AG1099" s="99"/>
      <c r="AH1099" s="99"/>
      <c r="AI1099" s="105"/>
      <c r="AJ1099" s="105"/>
      <c r="AK1099" s="105"/>
      <c r="AL1099" s="98"/>
      <c r="AM1099" s="105"/>
      <c r="AN1099" s="98"/>
      <c r="AO1099" s="110"/>
      <c r="AP1099" s="98"/>
      <c r="AQ1099" s="98"/>
      <c r="AR1099" s="69"/>
      <c r="AS1099" s="98"/>
      <c r="AT1099" s="98"/>
      <c r="AU1099" s="69"/>
      <c r="AV1099" s="13"/>
      <c r="AW1099" s="13"/>
      <c r="AX1099" s="13"/>
      <c r="AY1099" s="13"/>
      <c r="AZ1099" s="13"/>
      <c r="BA1099" s="13"/>
      <c r="BB1099" s="13"/>
      <c r="BC1099" s="13"/>
      <c r="BD1099" s="13"/>
      <c r="BE1099" s="13"/>
      <c r="BF1099" s="13"/>
      <c r="BG1099" s="13"/>
      <c r="BH1099" s="13"/>
      <c r="BI1099" s="13"/>
      <c r="BJ1099" s="13"/>
      <c r="BK1099" s="13"/>
      <c r="BL1099" s="13"/>
      <c r="BM1099" s="13"/>
      <c r="BN1099" s="13"/>
      <c r="BO1099" s="13"/>
      <c r="BP1099" s="13"/>
      <c r="BQ1099" s="13"/>
      <c r="BR1099" s="13"/>
    </row>
    <row r="1100">
      <c r="A1100" s="69"/>
      <c r="B1100" s="69"/>
      <c r="C1100" s="99"/>
      <c r="D1100" s="99"/>
      <c r="E1100" s="13"/>
      <c r="F1100" s="99"/>
      <c r="G1100" s="13"/>
      <c r="H1100" s="69"/>
      <c r="I1100" s="98"/>
      <c r="J1100" s="69"/>
      <c r="K1100" s="99"/>
      <c r="L1100" s="99"/>
      <c r="M1100" s="128"/>
      <c r="N1100" s="182"/>
      <c r="O1100" s="98"/>
      <c r="P1100" s="128"/>
      <c r="Q1100" s="13"/>
      <c r="R1100" s="13"/>
      <c r="S1100" s="13"/>
      <c r="T1100" s="98"/>
      <c r="U1100" s="69"/>
      <c r="V1100" s="105"/>
      <c r="W1100" s="150"/>
      <c r="X1100" s="69"/>
      <c r="Y1100" s="99"/>
      <c r="Z1100" s="99"/>
      <c r="AA1100" s="99"/>
      <c r="AB1100" s="99"/>
      <c r="AC1100" s="99"/>
      <c r="AD1100" s="99"/>
      <c r="AE1100" s="150"/>
      <c r="AF1100" s="150"/>
      <c r="AG1100" s="99"/>
      <c r="AH1100" s="99"/>
      <c r="AI1100" s="105"/>
      <c r="AJ1100" s="105"/>
      <c r="AK1100" s="105"/>
      <c r="AL1100" s="98"/>
      <c r="AM1100" s="105"/>
      <c r="AN1100" s="98"/>
      <c r="AO1100" s="110"/>
      <c r="AP1100" s="98"/>
      <c r="AQ1100" s="98"/>
      <c r="AR1100" s="69"/>
      <c r="AS1100" s="98"/>
      <c r="AT1100" s="98"/>
      <c r="AU1100" s="69"/>
      <c r="AV1100" s="13"/>
      <c r="AW1100" s="13"/>
      <c r="AX1100" s="13"/>
      <c r="AY1100" s="13"/>
      <c r="AZ1100" s="13"/>
      <c r="BA1100" s="13"/>
      <c r="BB1100" s="13"/>
      <c r="BC1100" s="13"/>
      <c r="BD1100" s="13"/>
      <c r="BE1100" s="13"/>
      <c r="BF1100" s="13"/>
      <c r="BG1100" s="13"/>
      <c r="BH1100" s="13"/>
      <c r="BI1100" s="13"/>
      <c r="BJ1100" s="13"/>
      <c r="BK1100" s="13"/>
      <c r="BL1100" s="13"/>
      <c r="BM1100" s="13"/>
      <c r="BN1100" s="13"/>
      <c r="BO1100" s="13"/>
      <c r="BP1100" s="13"/>
      <c r="BQ1100" s="13"/>
      <c r="BR1100" s="13"/>
    </row>
    <row r="1101">
      <c r="A1101" s="69"/>
      <c r="B1101" s="69"/>
      <c r="C1101" s="99"/>
      <c r="D1101" s="99"/>
      <c r="E1101" s="13"/>
      <c r="F1101" s="99"/>
      <c r="G1101" s="13"/>
      <c r="H1101" s="69"/>
      <c r="I1101" s="98"/>
      <c r="J1101" s="69"/>
      <c r="K1101" s="99"/>
      <c r="L1101" s="99"/>
      <c r="M1101" s="128"/>
      <c r="N1101" s="182"/>
      <c r="O1101" s="98"/>
      <c r="P1101" s="128"/>
      <c r="Q1101" s="13"/>
      <c r="R1101" s="13"/>
      <c r="S1101" s="13"/>
      <c r="T1101" s="98"/>
      <c r="U1101" s="69"/>
      <c r="V1101" s="105"/>
      <c r="W1101" s="150"/>
      <c r="X1101" s="69"/>
      <c r="Y1101" s="99"/>
      <c r="Z1101" s="99"/>
      <c r="AA1101" s="99"/>
      <c r="AB1101" s="99"/>
      <c r="AC1101" s="99"/>
      <c r="AD1101" s="99"/>
      <c r="AE1101" s="150"/>
      <c r="AF1101" s="150"/>
      <c r="AG1101" s="99"/>
      <c r="AH1101" s="99"/>
      <c r="AI1101" s="105"/>
      <c r="AJ1101" s="105"/>
      <c r="AK1101" s="105"/>
      <c r="AL1101" s="98"/>
      <c r="AM1101" s="105"/>
      <c r="AN1101" s="98"/>
      <c r="AO1101" s="110"/>
      <c r="AP1101" s="98"/>
      <c r="AQ1101" s="98"/>
      <c r="AR1101" s="69"/>
      <c r="AS1101" s="98"/>
      <c r="AT1101" s="98"/>
      <c r="AU1101" s="69"/>
      <c r="AV1101" s="13"/>
      <c r="AW1101" s="13"/>
      <c r="AX1101" s="13"/>
      <c r="AY1101" s="13"/>
      <c r="AZ1101" s="13"/>
      <c r="BA1101" s="13"/>
      <c r="BB1101" s="13"/>
      <c r="BC1101" s="13"/>
      <c r="BD1101" s="13"/>
      <c r="BE1101" s="13"/>
      <c r="BF1101" s="13"/>
      <c r="BG1101" s="13"/>
      <c r="BH1101" s="13"/>
      <c r="BI1101" s="13"/>
      <c r="BJ1101" s="13"/>
      <c r="BK1101" s="13"/>
      <c r="BL1101" s="13"/>
      <c r="BM1101" s="13"/>
      <c r="BN1101" s="13"/>
      <c r="BO1101" s="13"/>
      <c r="BP1101" s="13"/>
      <c r="BQ1101" s="13"/>
      <c r="BR1101" s="13"/>
    </row>
    <row r="1102">
      <c r="A1102" s="69"/>
      <c r="B1102" s="69"/>
      <c r="C1102" s="99"/>
      <c r="D1102" s="99"/>
      <c r="E1102" s="13"/>
      <c r="F1102" s="99"/>
      <c r="G1102" s="13"/>
      <c r="H1102" s="69"/>
      <c r="I1102" s="98"/>
      <c r="J1102" s="69"/>
      <c r="K1102" s="99"/>
      <c r="L1102" s="99"/>
      <c r="M1102" s="128"/>
      <c r="N1102" s="182"/>
      <c r="O1102" s="98"/>
      <c r="P1102" s="128"/>
      <c r="Q1102" s="13"/>
      <c r="R1102" s="13"/>
      <c r="S1102" s="13"/>
      <c r="T1102" s="98"/>
      <c r="U1102" s="69"/>
      <c r="V1102" s="105"/>
      <c r="W1102" s="150"/>
      <c r="X1102" s="69"/>
      <c r="Y1102" s="99"/>
      <c r="Z1102" s="99"/>
      <c r="AA1102" s="99"/>
      <c r="AB1102" s="99"/>
      <c r="AC1102" s="99"/>
      <c r="AD1102" s="99"/>
      <c r="AE1102" s="150"/>
      <c r="AF1102" s="150"/>
      <c r="AG1102" s="99"/>
      <c r="AH1102" s="99"/>
      <c r="AI1102" s="105"/>
      <c r="AJ1102" s="105"/>
      <c r="AK1102" s="105"/>
      <c r="AL1102" s="98"/>
      <c r="AM1102" s="105"/>
      <c r="AN1102" s="98"/>
      <c r="AO1102" s="110"/>
      <c r="AP1102" s="98"/>
      <c r="AQ1102" s="98"/>
      <c r="AR1102" s="69"/>
      <c r="AS1102" s="98"/>
      <c r="AT1102" s="98"/>
      <c r="AU1102" s="69"/>
      <c r="AV1102" s="13"/>
      <c r="AW1102" s="13"/>
      <c r="AX1102" s="13"/>
      <c r="AY1102" s="13"/>
      <c r="AZ1102" s="13"/>
      <c r="BA1102" s="13"/>
      <c r="BB1102" s="13"/>
      <c r="BC1102" s="13"/>
      <c r="BD1102" s="13"/>
      <c r="BE1102" s="13"/>
      <c r="BF1102" s="13"/>
      <c r="BG1102" s="13"/>
      <c r="BH1102" s="13"/>
      <c r="BI1102" s="13"/>
      <c r="BJ1102" s="13"/>
      <c r="BK1102" s="13"/>
      <c r="BL1102" s="13"/>
      <c r="BM1102" s="13"/>
      <c r="BN1102" s="13"/>
      <c r="BO1102" s="13"/>
      <c r="BP1102" s="13"/>
      <c r="BQ1102" s="13"/>
      <c r="BR1102" s="13"/>
    </row>
    <row r="1103">
      <c r="A1103" s="69"/>
      <c r="B1103" s="69"/>
      <c r="C1103" s="99"/>
      <c r="D1103" s="99"/>
      <c r="E1103" s="13"/>
      <c r="F1103" s="99"/>
      <c r="G1103" s="13"/>
      <c r="H1103" s="69"/>
      <c r="I1103" s="98"/>
      <c r="J1103" s="69"/>
      <c r="K1103" s="99"/>
      <c r="L1103" s="99"/>
      <c r="M1103" s="128"/>
      <c r="N1103" s="182"/>
      <c r="O1103" s="98"/>
      <c r="P1103" s="128"/>
      <c r="Q1103" s="13"/>
      <c r="R1103" s="13"/>
      <c r="S1103" s="13"/>
      <c r="T1103" s="98"/>
      <c r="U1103" s="69"/>
      <c r="V1103" s="105"/>
      <c r="W1103" s="150"/>
      <c r="X1103" s="69"/>
      <c r="Y1103" s="99"/>
      <c r="Z1103" s="99"/>
      <c r="AA1103" s="99"/>
      <c r="AB1103" s="99"/>
      <c r="AC1103" s="99"/>
      <c r="AD1103" s="99"/>
      <c r="AE1103" s="150"/>
      <c r="AF1103" s="150"/>
      <c r="AG1103" s="99"/>
      <c r="AH1103" s="99"/>
      <c r="AI1103" s="105"/>
      <c r="AJ1103" s="105"/>
      <c r="AK1103" s="105"/>
      <c r="AL1103" s="98"/>
      <c r="AM1103" s="105"/>
      <c r="AN1103" s="98"/>
      <c r="AO1103" s="110"/>
      <c r="AP1103" s="98"/>
      <c r="AQ1103" s="98"/>
      <c r="AR1103" s="69"/>
      <c r="AS1103" s="98"/>
      <c r="AT1103" s="98"/>
      <c r="AU1103" s="69"/>
      <c r="AV1103" s="13"/>
      <c r="AW1103" s="13"/>
      <c r="AX1103" s="13"/>
      <c r="AY1103" s="13"/>
      <c r="AZ1103" s="13"/>
      <c r="BA1103" s="13"/>
      <c r="BB1103" s="13"/>
      <c r="BC1103" s="13"/>
      <c r="BD1103" s="13"/>
      <c r="BE1103" s="13"/>
      <c r="BF1103" s="13"/>
      <c r="BG1103" s="13"/>
      <c r="BH1103" s="13"/>
      <c r="BI1103" s="13"/>
      <c r="BJ1103" s="13"/>
      <c r="BK1103" s="13"/>
      <c r="BL1103" s="13"/>
      <c r="BM1103" s="13"/>
      <c r="BN1103" s="13"/>
      <c r="BO1103" s="13"/>
      <c r="BP1103" s="13"/>
      <c r="BQ1103" s="13"/>
      <c r="BR1103" s="13"/>
    </row>
    <row r="1104">
      <c r="A1104" s="69"/>
      <c r="B1104" s="69"/>
      <c r="C1104" s="99"/>
      <c r="D1104" s="99"/>
      <c r="E1104" s="13"/>
      <c r="F1104" s="99"/>
      <c r="G1104" s="13"/>
      <c r="H1104" s="69"/>
      <c r="I1104" s="98"/>
      <c r="J1104" s="69"/>
      <c r="K1104" s="99"/>
      <c r="L1104" s="99"/>
      <c r="M1104" s="128"/>
      <c r="N1104" s="182"/>
      <c r="O1104" s="98"/>
      <c r="P1104" s="128"/>
      <c r="Q1104" s="13"/>
      <c r="R1104" s="13"/>
      <c r="S1104" s="13"/>
      <c r="T1104" s="98"/>
      <c r="U1104" s="69"/>
      <c r="V1104" s="105"/>
      <c r="W1104" s="150"/>
      <c r="X1104" s="69"/>
      <c r="Y1104" s="99"/>
      <c r="Z1104" s="99"/>
      <c r="AA1104" s="99"/>
      <c r="AB1104" s="99"/>
      <c r="AC1104" s="99"/>
      <c r="AD1104" s="99"/>
      <c r="AE1104" s="150"/>
      <c r="AF1104" s="150"/>
      <c r="AG1104" s="99"/>
      <c r="AH1104" s="99"/>
      <c r="AI1104" s="105"/>
      <c r="AJ1104" s="105"/>
      <c r="AK1104" s="105"/>
      <c r="AL1104" s="98"/>
      <c r="AM1104" s="105"/>
      <c r="AN1104" s="98"/>
      <c r="AO1104" s="110"/>
      <c r="AP1104" s="98"/>
      <c r="AQ1104" s="98"/>
      <c r="AR1104" s="69"/>
      <c r="AS1104" s="98"/>
      <c r="AT1104" s="98"/>
      <c r="AU1104" s="69"/>
      <c r="AV1104" s="13"/>
      <c r="AW1104" s="13"/>
      <c r="AX1104" s="13"/>
      <c r="AY1104" s="13"/>
      <c r="AZ1104" s="13"/>
      <c r="BA1104" s="13"/>
      <c r="BB1104" s="13"/>
      <c r="BC1104" s="13"/>
      <c r="BD1104" s="13"/>
      <c r="BE1104" s="13"/>
      <c r="BF1104" s="13"/>
      <c r="BG1104" s="13"/>
      <c r="BH1104" s="13"/>
      <c r="BI1104" s="13"/>
      <c r="BJ1104" s="13"/>
      <c r="BK1104" s="13"/>
      <c r="BL1104" s="13"/>
      <c r="BM1104" s="13"/>
      <c r="BN1104" s="13"/>
      <c r="BO1104" s="13"/>
      <c r="BP1104" s="13"/>
      <c r="BQ1104" s="13"/>
      <c r="BR1104" s="13"/>
    </row>
    <row r="1105">
      <c r="A1105" s="69"/>
      <c r="B1105" s="69"/>
      <c r="C1105" s="99"/>
      <c r="D1105" s="99"/>
      <c r="E1105" s="13"/>
      <c r="F1105" s="99"/>
      <c r="G1105" s="13"/>
      <c r="H1105" s="69"/>
      <c r="I1105" s="98"/>
      <c r="J1105" s="69"/>
      <c r="K1105" s="99"/>
      <c r="L1105" s="99"/>
      <c r="M1105" s="128"/>
      <c r="N1105" s="182"/>
      <c r="O1105" s="98"/>
      <c r="P1105" s="128"/>
      <c r="Q1105" s="13"/>
      <c r="R1105" s="13"/>
      <c r="S1105" s="13"/>
      <c r="T1105" s="98"/>
      <c r="U1105" s="69"/>
      <c r="V1105" s="105"/>
      <c r="W1105" s="150"/>
      <c r="X1105" s="69"/>
      <c r="Y1105" s="99"/>
      <c r="Z1105" s="99"/>
      <c r="AA1105" s="99"/>
      <c r="AB1105" s="99"/>
      <c r="AC1105" s="99"/>
      <c r="AD1105" s="99"/>
      <c r="AE1105" s="150"/>
      <c r="AF1105" s="150"/>
      <c r="AG1105" s="99"/>
      <c r="AH1105" s="99"/>
      <c r="AI1105" s="105"/>
      <c r="AJ1105" s="105"/>
      <c r="AK1105" s="105"/>
      <c r="AL1105" s="98"/>
      <c r="AM1105" s="105"/>
      <c r="AN1105" s="98"/>
      <c r="AO1105" s="110"/>
      <c r="AP1105" s="98"/>
      <c r="AQ1105" s="98"/>
      <c r="AR1105" s="69"/>
      <c r="AS1105" s="98"/>
      <c r="AT1105" s="98"/>
      <c r="AU1105" s="69"/>
      <c r="AV1105" s="13"/>
      <c r="AW1105" s="13"/>
      <c r="AX1105" s="13"/>
      <c r="AY1105" s="13"/>
      <c r="AZ1105" s="13"/>
      <c r="BA1105" s="13"/>
      <c r="BB1105" s="13"/>
      <c r="BC1105" s="13"/>
      <c r="BD1105" s="13"/>
      <c r="BE1105" s="13"/>
      <c r="BF1105" s="13"/>
      <c r="BG1105" s="13"/>
      <c r="BH1105" s="13"/>
      <c r="BI1105" s="13"/>
      <c r="BJ1105" s="13"/>
      <c r="BK1105" s="13"/>
      <c r="BL1105" s="13"/>
      <c r="BM1105" s="13"/>
      <c r="BN1105" s="13"/>
      <c r="BO1105" s="13"/>
      <c r="BP1105" s="13"/>
      <c r="BQ1105" s="13"/>
      <c r="BR1105" s="13"/>
    </row>
    <row r="1106">
      <c r="A1106" s="69"/>
      <c r="B1106" s="69"/>
      <c r="C1106" s="99"/>
      <c r="D1106" s="99"/>
      <c r="E1106" s="13"/>
      <c r="F1106" s="99"/>
      <c r="G1106" s="13"/>
      <c r="H1106" s="69"/>
      <c r="I1106" s="98"/>
      <c r="J1106" s="69"/>
      <c r="K1106" s="99"/>
      <c r="L1106" s="99"/>
      <c r="M1106" s="128"/>
      <c r="N1106" s="182"/>
      <c r="O1106" s="98"/>
      <c r="P1106" s="128"/>
      <c r="Q1106" s="13"/>
      <c r="R1106" s="13"/>
      <c r="S1106" s="13"/>
      <c r="T1106" s="98"/>
      <c r="U1106" s="69"/>
      <c r="V1106" s="105"/>
      <c r="W1106" s="150"/>
      <c r="X1106" s="69"/>
      <c r="Y1106" s="99"/>
      <c r="Z1106" s="99"/>
      <c r="AA1106" s="99"/>
      <c r="AB1106" s="99"/>
      <c r="AC1106" s="99"/>
      <c r="AD1106" s="99"/>
      <c r="AE1106" s="150"/>
      <c r="AF1106" s="150"/>
      <c r="AG1106" s="99"/>
      <c r="AH1106" s="99"/>
      <c r="AI1106" s="105"/>
      <c r="AJ1106" s="105"/>
      <c r="AK1106" s="105"/>
      <c r="AL1106" s="98"/>
      <c r="AM1106" s="105"/>
      <c r="AN1106" s="98"/>
      <c r="AO1106" s="110"/>
      <c r="AP1106" s="98"/>
      <c r="AQ1106" s="98"/>
      <c r="AR1106" s="69"/>
      <c r="AS1106" s="98"/>
      <c r="AT1106" s="98"/>
      <c r="AU1106" s="69"/>
      <c r="AV1106" s="13"/>
      <c r="AW1106" s="13"/>
      <c r="AX1106" s="13"/>
      <c r="AY1106" s="13"/>
      <c r="AZ1106" s="13"/>
      <c r="BA1106" s="13"/>
      <c r="BB1106" s="13"/>
      <c r="BC1106" s="13"/>
      <c r="BD1106" s="13"/>
      <c r="BE1106" s="13"/>
      <c r="BF1106" s="13"/>
      <c r="BG1106" s="13"/>
      <c r="BH1106" s="13"/>
      <c r="BI1106" s="13"/>
      <c r="BJ1106" s="13"/>
      <c r="BK1106" s="13"/>
      <c r="BL1106" s="13"/>
      <c r="BM1106" s="13"/>
      <c r="BN1106" s="13"/>
      <c r="BO1106" s="13"/>
      <c r="BP1106" s="13"/>
      <c r="BQ1106" s="13"/>
      <c r="BR1106" s="13"/>
    </row>
    <row r="1107">
      <c r="A1107" s="69"/>
      <c r="B1107" s="69"/>
      <c r="C1107" s="99"/>
      <c r="D1107" s="99"/>
      <c r="E1107" s="13"/>
      <c r="F1107" s="99"/>
      <c r="G1107" s="13"/>
      <c r="H1107" s="69"/>
      <c r="I1107" s="98"/>
      <c r="J1107" s="69"/>
      <c r="K1107" s="99"/>
      <c r="L1107" s="99"/>
      <c r="M1107" s="128"/>
      <c r="N1107" s="182"/>
      <c r="O1107" s="98"/>
      <c r="P1107" s="128"/>
      <c r="Q1107" s="13"/>
      <c r="R1107" s="13"/>
      <c r="S1107" s="13"/>
      <c r="T1107" s="98"/>
      <c r="U1107" s="69"/>
      <c r="V1107" s="105"/>
      <c r="W1107" s="150"/>
      <c r="X1107" s="69"/>
      <c r="Y1107" s="99"/>
      <c r="Z1107" s="99"/>
      <c r="AA1107" s="99"/>
      <c r="AB1107" s="99"/>
      <c r="AC1107" s="99"/>
      <c r="AD1107" s="99"/>
      <c r="AE1107" s="150"/>
      <c r="AF1107" s="150"/>
      <c r="AG1107" s="99"/>
      <c r="AH1107" s="99"/>
      <c r="AI1107" s="105"/>
      <c r="AJ1107" s="105"/>
      <c r="AK1107" s="105"/>
      <c r="AL1107" s="98"/>
      <c r="AM1107" s="105"/>
      <c r="AN1107" s="98"/>
      <c r="AO1107" s="110"/>
      <c r="AP1107" s="98"/>
      <c r="AQ1107" s="98"/>
      <c r="AR1107" s="69"/>
      <c r="AS1107" s="98"/>
      <c r="AT1107" s="98"/>
      <c r="AU1107" s="69"/>
      <c r="AV1107" s="13"/>
      <c r="AW1107" s="13"/>
      <c r="AX1107" s="13"/>
      <c r="AY1107" s="13"/>
      <c r="AZ1107" s="13"/>
      <c r="BA1107" s="13"/>
      <c r="BB1107" s="13"/>
      <c r="BC1107" s="13"/>
      <c r="BD1107" s="13"/>
      <c r="BE1107" s="13"/>
      <c r="BF1107" s="13"/>
      <c r="BG1107" s="13"/>
      <c r="BH1107" s="13"/>
      <c r="BI1107" s="13"/>
      <c r="BJ1107" s="13"/>
      <c r="BK1107" s="13"/>
      <c r="BL1107" s="13"/>
      <c r="BM1107" s="13"/>
      <c r="BN1107" s="13"/>
      <c r="BO1107" s="13"/>
      <c r="BP1107" s="13"/>
      <c r="BQ1107" s="13"/>
      <c r="BR1107" s="13"/>
    </row>
    <row r="1108">
      <c r="A1108" s="69"/>
      <c r="B1108" s="69"/>
      <c r="C1108" s="99"/>
      <c r="D1108" s="99"/>
      <c r="E1108" s="13"/>
      <c r="F1108" s="99"/>
      <c r="G1108" s="13"/>
      <c r="H1108" s="69"/>
      <c r="I1108" s="98"/>
      <c r="J1108" s="69"/>
      <c r="K1108" s="99"/>
      <c r="L1108" s="99"/>
      <c r="M1108" s="128"/>
      <c r="N1108" s="182"/>
      <c r="O1108" s="98"/>
      <c r="P1108" s="128"/>
      <c r="Q1108" s="13"/>
      <c r="R1108" s="13"/>
      <c r="S1108" s="13"/>
      <c r="T1108" s="98"/>
      <c r="U1108" s="69"/>
      <c r="V1108" s="105"/>
      <c r="W1108" s="150"/>
      <c r="X1108" s="69"/>
      <c r="Y1108" s="99"/>
      <c r="Z1108" s="99"/>
      <c r="AA1108" s="99"/>
      <c r="AB1108" s="99"/>
      <c r="AC1108" s="99"/>
      <c r="AD1108" s="99"/>
      <c r="AE1108" s="150"/>
      <c r="AF1108" s="150"/>
      <c r="AG1108" s="99"/>
      <c r="AH1108" s="99"/>
      <c r="AI1108" s="105"/>
      <c r="AJ1108" s="105"/>
      <c r="AK1108" s="105"/>
      <c r="AL1108" s="98"/>
      <c r="AM1108" s="105"/>
      <c r="AN1108" s="98"/>
      <c r="AO1108" s="110"/>
      <c r="AP1108" s="98"/>
      <c r="AQ1108" s="98"/>
      <c r="AR1108" s="69"/>
      <c r="AS1108" s="98"/>
      <c r="AT1108" s="98"/>
      <c r="AU1108" s="69"/>
      <c r="AV1108" s="13"/>
      <c r="AW1108" s="13"/>
      <c r="AX1108" s="13"/>
      <c r="AY1108" s="13"/>
      <c r="AZ1108" s="13"/>
      <c r="BA1108" s="13"/>
      <c r="BB1108" s="13"/>
      <c r="BC1108" s="13"/>
      <c r="BD1108" s="13"/>
      <c r="BE1108" s="13"/>
      <c r="BF1108" s="13"/>
      <c r="BG1108" s="13"/>
      <c r="BH1108" s="13"/>
      <c r="BI1108" s="13"/>
      <c r="BJ1108" s="13"/>
      <c r="BK1108" s="13"/>
      <c r="BL1108" s="13"/>
      <c r="BM1108" s="13"/>
      <c r="BN1108" s="13"/>
      <c r="BO1108" s="13"/>
      <c r="BP1108" s="13"/>
      <c r="BQ1108" s="13"/>
      <c r="BR1108" s="13"/>
    </row>
    <row r="1109">
      <c r="A1109" s="69"/>
      <c r="B1109" s="69"/>
      <c r="C1109" s="99"/>
      <c r="D1109" s="99"/>
      <c r="E1109" s="13"/>
      <c r="F1109" s="99"/>
      <c r="G1109" s="13"/>
      <c r="H1109" s="69"/>
      <c r="I1109" s="98"/>
      <c r="J1109" s="69"/>
      <c r="K1109" s="99"/>
      <c r="L1109" s="99"/>
      <c r="M1109" s="128"/>
      <c r="N1109" s="182"/>
      <c r="O1109" s="98"/>
      <c r="P1109" s="128"/>
      <c r="Q1109" s="13"/>
      <c r="R1109" s="13"/>
      <c r="S1109" s="13"/>
      <c r="T1109" s="98"/>
      <c r="U1109" s="69"/>
      <c r="V1109" s="105"/>
      <c r="W1109" s="150"/>
      <c r="X1109" s="69"/>
      <c r="Y1109" s="99"/>
      <c r="Z1109" s="99"/>
      <c r="AA1109" s="99"/>
      <c r="AB1109" s="99"/>
      <c r="AC1109" s="99"/>
      <c r="AD1109" s="99"/>
      <c r="AE1109" s="150"/>
      <c r="AF1109" s="150"/>
      <c r="AG1109" s="99"/>
      <c r="AH1109" s="99"/>
      <c r="AI1109" s="105"/>
      <c r="AJ1109" s="105"/>
      <c r="AK1109" s="105"/>
      <c r="AL1109" s="98"/>
      <c r="AM1109" s="105"/>
      <c r="AN1109" s="98"/>
      <c r="AO1109" s="110"/>
      <c r="AP1109" s="98"/>
      <c r="AQ1109" s="98"/>
      <c r="AR1109" s="69"/>
      <c r="AS1109" s="98"/>
      <c r="AT1109" s="98"/>
      <c r="AU1109" s="69"/>
      <c r="AV1109" s="13"/>
      <c r="AW1109" s="13"/>
      <c r="AX1109" s="13"/>
      <c r="AY1109" s="13"/>
      <c r="AZ1109" s="13"/>
      <c r="BA1109" s="13"/>
      <c r="BB1109" s="13"/>
      <c r="BC1109" s="13"/>
      <c r="BD1109" s="13"/>
      <c r="BE1109" s="13"/>
      <c r="BF1109" s="13"/>
      <c r="BG1109" s="13"/>
      <c r="BH1109" s="13"/>
      <c r="BI1109" s="13"/>
      <c r="BJ1109" s="13"/>
      <c r="BK1109" s="13"/>
      <c r="BL1109" s="13"/>
      <c r="BM1109" s="13"/>
      <c r="BN1109" s="13"/>
      <c r="BO1109" s="13"/>
      <c r="BP1109" s="13"/>
      <c r="BQ1109" s="13"/>
      <c r="BR1109" s="13"/>
    </row>
    <row r="1110">
      <c r="A1110" s="69"/>
      <c r="B1110" s="69"/>
      <c r="C1110" s="99"/>
      <c r="D1110" s="99"/>
      <c r="E1110" s="13"/>
      <c r="F1110" s="99"/>
      <c r="G1110" s="13"/>
      <c r="H1110" s="69"/>
      <c r="I1110" s="98"/>
      <c r="J1110" s="69"/>
      <c r="K1110" s="99"/>
      <c r="L1110" s="99"/>
      <c r="M1110" s="128"/>
      <c r="N1110" s="182"/>
      <c r="O1110" s="98"/>
      <c r="P1110" s="128"/>
      <c r="Q1110" s="13"/>
      <c r="R1110" s="13"/>
      <c r="S1110" s="13"/>
      <c r="T1110" s="98"/>
      <c r="U1110" s="69"/>
      <c r="V1110" s="105"/>
      <c r="W1110" s="150"/>
      <c r="X1110" s="69"/>
      <c r="Y1110" s="99"/>
      <c r="Z1110" s="99"/>
      <c r="AA1110" s="99"/>
      <c r="AB1110" s="99"/>
      <c r="AC1110" s="99"/>
      <c r="AD1110" s="99"/>
      <c r="AE1110" s="150"/>
      <c r="AF1110" s="150"/>
      <c r="AG1110" s="99"/>
      <c r="AH1110" s="99"/>
      <c r="AI1110" s="105"/>
      <c r="AJ1110" s="105"/>
      <c r="AK1110" s="105"/>
      <c r="AL1110" s="98"/>
      <c r="AM1110" s="105"/>
      <c r="AN1110" s="98"/>
      <c r="AO1110" s="110"/>
      <c r="AP1110" s="98"/>
      <c r="AQ1110" s="98"/>
      <c r="AR1110" s="69"/>
      <c r="AS1110" s="98"/>
      <c r="AT1110" s="98"/>
      <c r="AU1110" s="69"/>
      <c r="AV1110" s="13"/>
      <c r="AW1110" s="13"/>
      <c r="AX1110" s="13"/>
      <c r="AY1110" s="13"/>
      <c r="AZ1110" s="13"/>
      <c r="BA1110" s="13"/>
      <c r="BB1110" s="13"/>
      <c r="BC1110" s="13"/>
      <c r="BD1110" s="13"/>
      <c r="BE1110" s="13"/>
      <c r="BF1110" s="13"/>
      <c r="BG1110" s="13"/>
      <c r="BH1110" s="13"/>
      <c r="BI1110" s="13"/>
      <c r="BJ1110" s="13"/>
      <c r="BK1110" s="13"/>
      <c r="BL1110" s="13"/>
      <c r="BM1110" s="13"/>
      <c r="BN1110" s="13"/>
      <c r="BO1110" s="13"/>
      <c r="BP1110" s="13"/>
      <c r="BQ1110" s="13"/>
      <c r="BR1110" s="13"/>
    </row>
    <row r="1111">
      <c r="A1111" s="69"/>
      <c r="B1111" s="69"/>
      <c r="C1111" s="99"/>
      <c r="D1111" s="99"/>
      <c r="E1111" s="13"/>
      <c r="F1111" s="99"/>
      <c r="G1111" s="13"/>
      <c r="H1111" s="69"/>
      <c r="I1111" s="98"/>
      <c r="J1111" s="69"/>
      <c r="K1111" s="99"/>
      <c r="L1111" s="99"/>
      <c r="M1111" s="128"/>
      <c r="N1111" s="182"/>
      <c r="O1111" s="98"/>
      <c r="P1111" s="128"/>
      <c r="Q1111" s="13"/>
      <c r="R1111" s="13"/>
      <c r="S1111" s="13"/>
      <c r="T1111" s="98"/>
      <c r="U1111" s="69"/>
      <c r="V1111" s="105"/>
      <c r="W1111" s="150"/>
      <c r="X1111" s="69"/>
      <c r="Y1111" s="99"/>
      <c r="Z1111" s="99"/>
      <c r="AA1111" s="99"/>
      <c r="AB1111" s="99"/>
      <c r="AC1111" s="99"/>
      <c r="AD1111" s="99"/>
      <c r="AE1111" s="150"/>
      <c r="AF1111" s="150"/>
      <c r="AG1111" s="99"/>
      <c r="AH1111" s="99"/>
      <c r="AI1111" s="105"/>
      <c r="AJ1111" s="105"/>
      <c r="AK1111" s="105"/>
      <c r="AL1111" s="98"/>
      <c r="AM1111" s="105"/>
      <c r="AN1111" s="98"/>
      <c r="AO1111" s="110"/>
      <c r="AP1111" s="98"/>
      <c r="AQ1111" s="98"/>
      <c r="AR1111" s="69"/>
      <c r="AS1111" s="98"/>
      <c r="AT1111" s="98"/>
      <c r="AU1111" s="69"/>
      <c r="AV1111" s="13"/>
      <c r="AW1111" s="13"/>
      <c r="AX1111" s="13"/>
      <c r="AY1111" s="13"/>
      <c r="AZ1111" s="13"/>
      <c r="BA1111" s="13"/>
      <c r="BB1111" s="13"/>
      <c r="BC1111" s="13"/>
      <c r="BD1111" s="13"/>
      <c r="BE1111" s="13"/>
      <c r="BF1111" s="13"/>
      <c r="BG1111" s="13"/>
      <c r="BH1111" s="13"/>
      <c r="BI1111" s="13"/>
      <c r="BJ1111" s="13"/>
      <c r="BK1111" s="13"/>
      <c r="BL1111" s="13"/>
      <c r="BM1111" s="13"/>
      <c r="BN1111" s="13"/>
      <c r="BO1111" s="13"/>
      <c r="BP1111" s="13"/>
      <c r="BQ1111" s="13"/>
      <c r="BR1111" s="13"/>
    </row>
    <row r="1112">
      <c r="A1112" s="69"/>
      <c r="B1112" s="69"/>
      <c r="C1112" s="99"/>
      <c r="D1112" s="99"/>
      <c r="E1112" s="13"/>
      <c r="F1112" s="99"/>
      <c r="G1112" s="13"/>
      <c r="H1112" s="69"/>
      <c r="I1112" s="98"/>
      <c r="J1112" s="69"/>
      <c r="K1112" s="99"/>
      <c r="L1112" s="99"/>
      <c r="M1112" s="128"/>
      <c r="N1112" s="182"/>
      <c r="O1112" s="98"/>
      <c r="P1112" s="128"/>
      <c r="Q1112" s="13"/>
      <c r="R1112" s="13"/>
      <c r="S1112" s="13"/>
      <c r="T1112" s="98"/>
      <c r="U1112" s="69"/>
      <c r="V1112" s="105"/>
      <c r="W1112" s="150"/>
      <c r="X1112" s="69"/>
      <c r="Y1112" s="99"/>
      <c r="Z1112" s="99"/>
      <c r="AA1112" s="99"/>
      <c r="AB1112" s="99"/>
      <c r="AC1112" s="99"/>
      <c r="AD1112" s="99"/>
      <c r="AE1112" s="150"/>
      <c r="AF1112" s="150"/>
      <c r="AG1112" s="99"/>
      <c r="AH1112" s="99"/>
      <c r="AI1112" s="105"/>
      <c r="AJ1112" s="105"/>
      <c r="AK1112" s="105"/>
      <c r="AL1112" s="98"/>
      <c r="AM1112" s="105"/>
      <c r="AN1112" s="98"/>
      <c r="AO1112" s="110"/>
      <c r="AP1112" s="98"/>
      <c r="AQ1112" s="98"/>
      <c r="AR1112" s="69"/>
      <c r="AS1112" s="98"/>
      <c r="AT1112" s="98"/>
      <c r="AU1112" s="69"/>
      <c r="AV1112" s="13"/>
      <c r="AW1112" s="13"/>
      <c r="AX1112" s="13"/>
      <c r="AY1112" s="13"/>
      <c r="AZ1112" s="13"/>
      <c r="BA1112" s="13"/>
      <c r="BB1112" s="13"/>
      <c r="BC1112" s="13"/>
      <c r="BD1112" s="13"/>
      <c r="BE1112" s="13"/>
      <c r="BF1112" s="13"/>
      <c r="BG1112" s="13"/>
      <c r="BH1112" s="13"/>
      <c r="BI1112" s="13"/>
      <c r="BJ1112" s="13"/>
      <c r="BK1112" s="13"/>
      <c r="BL1112" s="13"/>
      <c r="BM1112" s="13"/>
      <c r="BN1112" s="13"/>
      <c r="BO1112" s="13"/>
      <c r="BP1112" s="13"/>
      <c r="BQ1112" s="13"/>
      <c r="BR1112" s="13"/>
    </row>
    <row r="1113">
      <c r="A1113" s="69"/>
      <c r="B1113" s="69"/>
      <c r="C1113" s="99"/>
      <c r="D1113" s="99"/>
      <c r="E1113" s="13"/>
      <c r="F1113" s="99"/>
      <c r="G1113" s="13"/>
      <c r="H1113" s="69"/>
      <c r="I1113" s="98"/>
      <c r="J1113" s="69"/>
      <c r="K1113" s="99"/>
      <c r="L1113" s="99"/>
      <c r="M1113" s="128"/>
      <c r="N1113" s="182"/>
      <c r="O1113" s="98"/>
      <c r="P1113" s="128"/>
      <c r="Q1113" s="13"/>
      <c r="R1113" s="13"/>
      <c r="S1113" s="13"/>
      <c r="T1113" s="98"/>
      <c r="U1113" s="69"/>
      <c r="V1113" s="105"/>
      <c r="W1113" s="150"/>
      <c r="X1113" s="69"/>
      <c r="Y1113" s="99"/>
      <c r="Z1113" s="99"/>
      <c r="AA1113" s="99"/>
      <c r="AB1113" s="99"/>
      <c r="AC1113" s="99"/>
      <c r="AD1113" s="99"/>
      <c r="AE1113" s="150"/>
      <c r="AF1113" s="150"/>
      <c r="AG1113" s="99"/>
      <c r="AH1113" s="99"/>
      <c r="AI1113" s="105"/>
      <c r="AJ1113" s="105"/>
      <c r="AK1113" s="105"/>
      <c r="AL1113" s="98"/>
      <c r="AM1113" s="105"/>
      <c r="AN1113" s="98"/>
      <c r="AO1113" s="110"/>
      <c r="AP1113" s="98"/>
      <c r="AQ1113" s="98"/>
      <c r="AR1113" s="69"/>
      <c r="AS1113" s="98"/>
      <c r="AT1113" s="98"/>
      <c r="AU1113" s="69"/>
      <c r="AV1113" s="13"/>
      <c r="AW1113" s="13"/>
      <c r="AX1113" s="13"/>
      <c r="AY1113" s="13"/>
      <c r="AZ1113" s="13"/>
      <c r="BA1113" s="13"/>
      <c r="BB1113" s="13"/>
      <c r="BC1113" s="13"/>
      <c r="BD1113" s="13"/>
      <c r="BE1113" s="13"/>
      <c r="BF1113" s="13"/>
      <c r="BG1113" s="13"/>
      <c r="BH1113" s="13"/>
      <c r="BI1113" s="13"/>
      <c r="BJ1113" s="13"/>
      <c r="BK1113" s="13"/>
      <c r="BL1113" s="13"/>
      <c r="BM1113" s="13"/>
      <c r="BN1113" s="13"/>
      <c r="BO1113" s="13"/>
      <c r="BP1113" s="13"/>
      <c r="BQ1113" s="13"/>
      <c r="BR1113" s="13"/>
    </row>
    <row r="1114">
      <c r="A1114" s="69"/>
      <c r="B1114" s="69"/>
      <c r="C1114" s="99"/>
      <c r="D1114" s="99"/>
      <c r="E1114" s="13"/>
      <c r="F1114" s="99"/>
      <c r="G1114" s="13"/>
      <c r="H1114" s="69"/>
      <c r="I1114" s="98"/>
      <c r="J1114" s="69"/>
      <c r="K1114" s="99"/>
      <c r="L1114" s="99"/>
      <c r="M1114" s="128"/>
      <c r="N1114" s="182"/>
      <c r="O1114" s="98"/>
      <c r="P1114" s="128"/>
      <c r="Q1114" s="13"/>
      <c r="R1114" s="13"/>
      <c r="S1114" s="13"/>
      <c r="T1114" s="98"/>
      <c r="U1114" s="69"/>
      <c r="V1114" s="105"/>
      <c r="W1114" s="150"/>
      <c r="X1114" s="69"/>
      <c r="Y1114" s="99"/>
      <c r="Z1114" s="99"/>
      <c r="AA1114" s="99"/>
      <c r="AB1114" s="99"/>
      <c r="AC1114" s="99"/>
      <c r="AD1114" s="99"/>
      <c r="AE1114" s="150"/>
      <c r="AF1114" s="150"/>
      <c r="AG1114" s="99"/>
      <c r="AH1114" s="99"/>
      <c r="AI1114" s="105"/>
      <c r="AJ1114" s="105"/>
      <c r="AK1114" s="105"/>
      <c r="AL1114" s="98"/>
      <c r="AM1114" s="105"/>
      <c r="AN1114" s="98"/>
      <c r="AO1114" s="110"/>
      <c r="AP1114" s="98"/>
      <c r="AQ1114" s="98"/>
      <c r="AR1114" s="69"/>
      <c r="AS1114" s="98"/>
      <c r="AT1114" s="98"/>
      <c r="AU1114" s="69"/>
      <c r="AV1114" s="13"/>
      <c r="AW1114" s="13"/>
      <c r="AX1114" s="13"/>
      <c r="AY1114" s="13"/>
      <c r="AZ1114" s="13"/>
      <c r="BA1114" s="13"/>
      <c r="BB1114" s="13"/>
      <c r="BC1114" s="13"/>
      <c r="BD1114" s="13"/>
      <c r="BE1114" s="13"/>
      <c r="BF1114" s="13"/>
      <c r="BG1114" s="13"/>
      <c r="BH1114" s="13"/>
      <c r="BI1114" s="13"/>
      <c r="BJ1114" s="13"/>
      <c r="BK1114" s="13"/>
      <c r="BL1114" s="13"/>
      <c r="BM1114" s="13"/>
      <c r="BN1114" s="13"/>
      <c r="BO1114" s="13"/>
      <c r="BP1114" s="13"/>
      <c r="BQ1114" s="13"/>
      <c r="BR1114" s="13"/>
    </row>
    <row r="1115">
      <c r="A1115" s="69"/>
      <c r="B1115" s="69"/>
      <c r="C1115" s="99"/>
      <c r="D1115" s="99"/>
      <c r="E1115" s="13"/>
      <c r="F1115" s="99"/>
      <c r="G1115" s="13"/>
      <c r="H1115" s="69"/>
      <c r="I1115" s="98"/>
      <c r="J1115" s="69"/>
      <c r="K1115" s="99"/>
      <c r="L1115" s="99"/>
      <c r="M1115" s="128"/>
      <c r="N1115" s="182"/>
      <c r="O1115" s="98"/>
      <c r="P1115" s="128"/>
      <c r="Q1115" s="13"/>
      <c r="R1115" s="13"/>
      <c r="S1115" s="13"/>
      <c r="T1115" s="98"/>
      <c r="U1115" s="69"/>
      <c r="V1115" s="105"/>
      <c r="W1115" s="150"/>
      <c r="X1115" s="69"/>
      <c r="Y1115" s="99"/>
      <c r="Z1115" s="99"/>
      <c r="AA1115" s="99"/>
      <c r="AB1115" s="99"/>
      <c r="AC1115" s="99"/>
      <c r="AD1115" s="99"/>
      <c r="AE1115" s="150"/>
      <c r="AF1115" s="150"/>
      <c r="AG1115" s="99"/>
      <c r="AH1115" s="99"/>
      <c r="AI1115" s="105"/>
      <c r="AJ1115" s="105"/>
      <c r="AK1115" s="105"/>
      <c r="AL1115" s="98"/>
      <c r="AM1115" s="105"/>
      <c r="AN1115" s="98"/>
      <c r="AO1115" s="110"/>
      <c r="AP1115" s="98"/>
      <c r="AQ1115" s="98"/>
      <c r="AR1115" s="69"/>
      <c r="AS1115" s="98"/>
      <c r="AT1115" s="98"/>
      <c r="AU1115" s="69"/>
      <c r="AV1115" s="13"/>
      <c r="AW1115" s="13"/>
      <c r="AX1115" s="13"/>
      <c r="AY1115" s="13"/>
      <c r="AZ1115" s="13"/>
      <c r="BA1115" s="13"/>
      <c r="BB1115" s="13"/>
      <c r="BC1115" s="13"/>
      <c r="BD1115" s="13"/>
      <c r="BE1115" s="13"/>
      <c r="BF1115" s="13"/>
      <c r="BG1115" s="13"/>
      <c r="BH1115" s="13"/>
      <c r="BI1115" s="13"/>
      <c r="BJ1115" s="13"/>
      <c r="BK1115" s="13"/>
      <c r="BL1115" s="13"/>
      <c r="BM1115" s="13"/>
      <c r="BN1115" s="13"/>
      <c r="BO1115" s="13"/>
      <c r="BP1115" s="13"/>
      <c r="BQ1115" s="13"/>
      <c r="BR1115" s="13"/>
    </row>
    <row r="1116">
      <c r="A1116" s="69"/>
      <c r="B1116" s="69"/>
      <c r="C1116" s="99"/>
      <c r="D1116" s="99"/>
      <c r="E1116" s="13"/>
      <c r="F1116" s="99"/>
      <c r="G1116" s="13"/>
      <c r="H1116" s="69"/>
      <c r="I1116" s="98"/>
      <c r="J1116" s="69"/>
      <c r="K1116" s="99"/>
      <c r="L1116" s="99"/>
      <c r="M1116" s="128"/>
      <c r="N1116" s="182"/>
      <c r="O1116" s="98"/>
      <c r="P1116" s="128"/>
      <c r="Q1116" s="13"/>
      <c r="R1116" s="13"/>
      <c r="S1116" s="13"/>
      <c r="T1116" s="98"/>
      <c r="U1116" s="69"/>
      <c r="V1116" s="105"/>
      <c r="W1116" s="150"/>
      <c r="X1116" s="69"/>
      <c r="Y1116" s="99"/>
      <c r="Z1116" s="99"/>
      <c r="AA1116" s="99"/>
      <c r="AB1116" s="99"/>
      <c r="AC1116" s="99"/>
      <c r="AD1116" s="99"/>
      <c r="AE1116" s="150"/>
      <c r="AF1116" s="150"/>
      <c r="AG1116" s="99"/>
      <c r="AH1116" s="99"/>
      <c r="AI1116" s="105"/>
      <c r="AJ1116" s="105"/>
      <c r="AK1116" s="105"/>
      <c r="AL1116" s="98"/>
      <c r="AM1116" s="105"/>
      <c r="AN1116" s="98"/>
      <c r="AO1116" s="110"/>
      <c r="AP1116" s="98"/>
      <c r="AQ1116" s="98"/>
      <c r="AR1116" s="69"/>
      <c r="AS1116" s="98"/>
      <c r="AT1116" s="98"/>
      <c r="AU1116" s="69"/>
      <c r="AV1116" s="13"/>
      <c r="AW1116" s="13"/>
      <c r="AX1116" s="13"/>
      <c r="AY1116" s="13"/>
      <c r="AZ1116" s="13"/>
      <c r="BA1116" s="13"/>
      <c r="BB1116" s="13"/>
      <c r="BC1116" s="13"/>
      <c r="BD1116" s="13"/>
      <c r="BE1116" s="13"/>
      <c r="BF1116" s="13"/>
      <c r="BG1116" s="13"/>
      <c r="BH1116" s="13"/>
      <c r="BI1116" s="13"/>
      <c r="BJ1116" s="13"/>
      <c r="BK1116" s="13"/>
      <c r="BL1116" s="13"/>
      <c r="BM1116" s="13"/>
      <c r="BN1116" s="13"/>
      <c r="BO1116" s="13"/>
      <c r="BP1116" s="13"/>
      <c r="BQ1116" s="13"/>
      <c r="BR1116" s="13"/>
    </row>
    <row r="1117">
      <c r="A1117" s="69"/>
      <c r="B1117" s="69"/>
      <c r="C1117" s="99"/>
      <c r="D1117" s="99"/>
      <c r="E1117" s="13"/>
      <c r="F1117" s="99"/>
      <c r="G1117" s="13"/>
      <c r="H1117" s="69"/>
      <c r="I1117" s="98"/>
      <c r="J1117" s="69"/>
      <c r="K1117" s="99"/>
      <c r="L1117" s="99"/>
      <c r="M1117" s="128"/>
      <c r="N1117" s="182"/>
      <c r="O1117" s="98"/>
      <c r="P1117" s="128"/>
      <c r="Q1117" s="13"/>
      <c r="R1117" s="13"/>
      <c r="S1117" s="13"/>
      <c r="T1117" s="98"/>
      <c r="U1117" s="69"/>
      <c r="V1117" s="105"/>
      <c r="W1117" s="150"/>
      <c r="X1117" s="69"/>
      <c r="Y1117" s="99"/>
      <c r="Z1117" s="99"/>
      <c r="AA1117" s="99"/>
      <c r="AB1117" s="99"/>
      <c r="AC1117" s="99"/>
      <c r="AD1117" s="99"/>
      <c r="AE1117" s="150"/>
      <c r="AF1117" s="150"/>
      <c r="AG1117" s="99"/>
      <c r="AH1117" s="99"/>
      <c r="AI1117" s="105"/>
      <c r="AJ1117" s="105"/>
      <c r="AK1117" s="105"/>
      <c r="AL1117" s="98"/>
      <c r="AM1117" s="105"/>
      <c r="AN1117" s="98"/>
      <c r="AO1117" s="110"/>
      <c r="AP1117" s="98"/>
      <c r="AQ1117" s="98"/>
      <c r="AR1117" s="69"/>
      <c r="AS1117" s="98"/>
      <c r="AT1117" s="98"/>
      <c r="AU1117" s="69"/>
      <c r="AV1117" s="13"/>
      <c r="AW1117" s="13"/>
      <c r="AX1117" s="13"/>
      <c r="AY1117" s="13"/>
      <c r="AZ1117" s="13"/>
      <c r="BA1117" s="13"/>
      <c r="BB1117" s="13"/>
      <c r="BC1117" s="13"/>
      <c r="BD1117" s="13"/>
      <c r="BE1117" s="13"/>
      <c r="BF1117" s="13"/>
      <c r="BG1117" s="13"/>
      <c r="BH1117" s="13"/>
      <c r="BI1117" s="13"/>
      <c r="BJ1117" s="13"/>
      <c r="BK1117" s="13"/>
      <c r="BL1117" s="13"/>
      <c r="BM1117" s="13"/>
      <c r="BN1117" s="13"/>
      <c r="BO1117" s="13"/>
      <c r="BP1117" s="13"/>
      <c r="BQ1117" s="13"/>
      <c r="BR1117" s="13"/>
    </row>
    <row r="1118">
      <c r="A1118" s="69"/>
      <c r="B1118" s="69"/>
      <c r="C1118" s="99"/>
      <c r="D1118" s="99"/>
      <c r="E1118" s="13"/>
      <c r="F1118" s="99"/>
      <c r="G1118" s="13"/>
      <c r="H1118" s="69"/>
      <c r="I1118" s="98"/>
      <c r="J1118" s="69"/>
      <c r="K1118" s="99"/>
      <c r="L1118" s="99"/>
      <c r="M1118" s="128"/>
      <c r="N1118" s="182"/>
      <c r="O1118" s="98"/>
      <c r="P1118" s="128"/>
      <c r="Q1118" s="13"/>
      <c r="R1118" s="13"/>
      <c r="S1118" s="13"/>
      <c r="T1118" s="98"/>
      <c r="U1118" s="69"/>
      <c r="V1118" s="105"/>
      <c r="W1118" s="150"/>
      <c r="X1118" s="69"/>
      <c r="Y1118" s="99"/>
      <c r="Z1118" s="99"/>
      <c r="AA1118" s="99"/>
      <c r="AB1118" s="99"/>
      <c r="AC1118" s="99"/>
      <c r="AD1118" s="99"/>
      <c r="AE1118" s="150"/>
      <c r="AF1118" s="150"/>
      <c r="AG1118" s="99"/>
      <c r="AH1118" s="99"/>
      <c r="AI1118" s="105"/>
      <c r="AJ1118" s="105"/>
      <c r="AK1118" s="105"/>
      <c r="AL1118" s="98"/>
      <c r="AM1118" s="105"/>
      <c r="AN1118" s="98"/>
      <c r="AO1118" s="110"/>
      <c r="AP1118" s="98"/>
      <c r="AQ1118" s="98"/>
      <c r="AR1118" s="69"/>
      <c r="AS1118" s="98"/>
      <c r="AT1118" s="98"/>
      <c r="AU1118" s="69"/>
      <c r="AV1118" s="13"/>
      <c r="AW1118" s="13"/>
      <c r="AX1118" s="13"/>
      <c r="AY1118" s="13"/>
      <c r="AZ1118" s="13"/>
      <c r="BA1118" s="13"/>
      <c r="BB1118" s="13"/>
      <c r="BC1118" s="13"/>
      <c r="BD1118" s="13"/>
      <c r="BE1118" s="13"/>
      <c r="BF1118" s="13"/>
      <c r="BG1118" s="13"/>
      <c r="BH1118" s="13"/>
      <c r="BI1118" s="13"/>
      <c r="BJ1118" s="13"/>
      <c r="BK1118" s="13"/>
      <c r="BL1118" s="13"/>
      <c r="BM1118" s="13"/>
      <c r="BN1118" s="13"/>
      <c r="BO1118" s="13"/>
      <c r="BP1118" s="13"/>
      <c r="BQ1118" s="13"/>
      <c r="BR1118" s="13"/>
    </row>
    <row r="1119">
      <c r="A1119" s="69"/>
      <c r="B1119" s="69"/>
      <c r="C1119" s="99"/>
      <c r="D1119" s="99"/>
      <c r="E1119" s="13"/>
      <c r="F1119" s="99"/>
      <c r="G1119" s="13"/>
      <c r="H1119" s="69"/>
      <c r="I1119" s="98"/>
      <c r="J1119" s="69"/>
      <c r="K1119" s="99"/>
      <c r="L1119" s="99"/>
      <c r="M1119" s="128"/>
      <c r="N1119" s="182"/>
      <c r="O1119" s="98"/>
      <c r="P1119" s="128"/>
      <c r="Q1119" s="13"/>
      <c r="R1119" s="13"/>
      <c r="S1119" s="13"/>
      <c r="T1119" s="98"/>
      <c r="U1119" s="69"/>
      <c r="V1119" s="105"/>
      <c r="W1119" s="150"/>
      <c r="X1119" s="69"/>
      <c r="Y1119" s="99"/>
      <c r="Z1119" s="99"/>
      <c r="AA1119" s="99"/>
      <c r="AB1119" s="99"/>
      <c r="AC1119" s="99"/>
      <c r="AD1119" s="99"/>
      <c r="AE1119" s="150"/>
      <c r="AF1119" s="150"/>
      <c r="AG1119" s="99"/>
      <c r="AH1119" s="99"/>
      <c r="AI1119" s="105"/>
      <c r="AJ1119" s="105"/>
      <c r="AK1119" s="105"/>
      <c r="AL1119" s="98"/>
      <c r="AM1119" s="105"/>
      <c r="AN1119" s="98"/>
      <c r="AO1119" s="110"/>
      <c r="AP1119" s="98"/>
      <c r="AQ1119" s="98"/>
      <c r="AR1119" s="69"/>
      <c r="AS1119" s="98"/>
      <c r="AT1119" s="98"/>
      <c r="AU1119" s="69"/>
      <c r="AV1119" s="13"/>
      <c r="AW1119" s="13"/>
      <c r="AX1119" s="13"/>
      <c r="AY1119" s="13"/>
      <c r="AZ1119" s="13"/>
      <c r="BA1119" s="13"/>
      <c r="BB1119" s="13"/>
      <c r="BC1119" s="13"/>
      <c r="BD1119" s="13"/>
      <c r="BE1119" s="13"/>
      <c r="BF1119" s="13"/>
      <c r="BG1119" s="13"/>
      <c r="BH1119" s="13"/>
      <c r="BI1119" s="13"/>
      <c r="BJ1119" s="13"/>
      <c r="BK1119" s="13"/>
      <c r="BL1119" s="13"/>
      <c r="BM1119" s="13"/>
      <c r="BN1119" s="13"/>
      <c r="BO1119" s="13"/>
      <c r="BP1119" s="13"/>
      <c r="BQ1119" s="13"/>
      <c r="BR1119" s="13"/>
    </row>
    <row r="1120">
      <c r="A1120" s="69"/>
      <c r="B1120" s="69"/>
      <c r="C1120" s="99"/>
      <c r="D1120" s="99"/>
      <c r="E1120" s="13"/>
      <c r="F1120" s="99"/>
      <c r="G1120" s="13"/>
      <c r="H1120" s="69"/>
      <c r="I1120" s="98"/>
      <c r="J1120" s="69"/>
      <c r="K1120" s="99"/>
      <c r="L1120" s="99"/>
      <c r="M1120" s="128"/>
      <c r="N1120" s="182"/>
      <c r="O1120" s="98"/>
      <c r="P1120" s="128"/>
      <c r="Q1120" s="13"/>
      <c r="R1120" s="13"/>
      <c r="S1120" s="13"/>
      <c r="T1120" s="98"/>
      <c r="U1120" s="69"/>
      <c r="V1120" s="105"/>
      <c r="W1120" s="150"/>
      <c r="X1120" s="69"/>
      <c r="Y1120" s="99"/>
      <c r="Z1120" s="99"/>
      <c r="AA1120" s="99"/>
      <c r="AB1120" s="99"/>
      <c r="AC1120" s="99"/>
      <c r="AD1120" s="99"/>
      <c r="AE1120" s="150"/>
      <c r="AF1120" s="150"/>
      <c r="AG1120" s="99"/>
      <c r="AH1120" s="99"/>
      <c r="AI1120" s="105"/>
      <c r="AJ1120" s="105"/>
      <c r="AK1120" s="105"/>
      <c r="AL1120" s="98"/>
      <c r="AM1120" s="105"/>
      <c r="AN1120" s="98"/>
      <c r="AO1120" s="110"/>
      <c r="AP1120" s="98"/>
      <c r="AQ1120" s="98"/>
      <c r="AR1120" s="69"/>
      <c r="AS1120" s="98"/>
      <c r="AT1120" s="98"/>
      <c r="AU1120" s="69"/>
      <c r="AV1120" s="13"/>
      <c r="AW1120" s="13"/>
      <c r="AX1120" s="13"/>
      <c r="AY1120" s="13"/>
      <c r="AZ1120" s="13"/>
      <c r="BA1120" s="13"/>
      <c r="BB1120" s="13"/>
      <c r="BC1120" s="13"/>
      <c r="BD1120" s="13"/>
      <c r="BE1120" s="13"/>
      <c r="BF1120" s="13"/>
      <c r="BG1120" s="13"/>
      <c r="BH1120" s="13"/>
      <c r="BI1120" s="13"/>
      <c r="BJ1120" s="13"/>
      <c r="BK1120" s="13"/>
      <c r="BL1120" s="13"/>
      <c r="BM1120" s="13"/>
      <c r="BN1120" s="13"/>
      <c r="BO1120" s="13"/>
      <c r="BP1120" s="13"/>
      <c r="BQ1120" s="13"/>
      <c r="BR1120" s="13"/>
    </row>
    <row r="1121">
      <c r="A1121" s="69"/>
      <c r="B1121" s="69"/>
      <c r="C1121" s="99"/>
      <c r="D1121" s="99"/>
      <c r="E1121" s="13"/>
      <c r="F1121" s="99"/>
      <c r="G1121" s="13"/>
      <c r="H1121" s="69"/>
      <c r="I1121" s="98"/>
      <c r="J1121" s="69"/>
      <c r="K1121" s="99"/>
      <c r="L1121" s="99"/>
      <c r="M1121" s="128"/>
      <c r="N1121" s="182"/>
      <c r="O1121" s="98"/>
      <c r="P1121" s="128"/>
      <c r="Q1121" s="13"/>
      <c r="R1121" s="13"/>
      <c r="S1121" s="13"/>
      <c r="T1121" s="98"/>
      <c r="U1121" s="69"/>
      <c r="V1121" s="105"/>
      <c r="W1121" s="150"/>
      <c r="X1121" s="69"/>
      <c r="Y1121" s="99"/>
      <c r="Z1121" s="99"/>
      <c r="AA1121" s="99"/>
      <c r="AB1121" s="99"/>
      <c r="AC1121" s="99"/>
      <c r="AD1121" s="99"/>
      <c r="AE1121" s="150"/>
      <c r="AF1121" s="150"/>
      <c r="AG1121" s="99"/>
      <c r="AH1121" s="99"/>
      <c r="AI1121" s="105"/>
      <c r="AJ1121" s="105"/>
      <c r="AK1121" s="105"/>
      <c r="AL1121" s="98"/>
      <c r="AM1121" s="105"/>
      <c r="AN1121" s="98"/>
      <c r="AO1121" s="110"/>
      <c r="AP1121" s="98"/>
      <c r="AQ1121" s="98"/>
      <c r="AR1121" s="69"/>
      <c r="AS1121" s="98"/>
      <c r="AT1121" s="98"/>
      <c r="AU1121" s="69"/>
      <c r="AV1121" s="13"/>
      <c r="AW1121" s="13"/>
      <c r="AX1121" s="13"/>
      <c r="AY1121" s="13"/>
      <c r="AZ1121" s="13"/>
      <c r="BA1121" s="13"/>
      <c r="BB1121" s="13"/>
      <c r="BC1121" s="13"/>
      <c r="BD1121" s="13"/>
      <c r="BE1121" s="13"/>
      <c r="BF1121" s="13"/>
      <c r="BG1121" s="13"/>
      <c r="BH1121" s="13"/>
      <c r="BI1121" s="13"/>
      <c r="BJ1121" s="13"/>
      <c r="BK1121" s="13"/>
      <c r="BL1121" s="13"/>
      <c r="BM1121" s="13"/>
      <c r="BN1121" s="13"/>
      <c r="BO1121" s="13"/>
      <c r="BP1121" s="13"/>
      <c r="BQ1121" s="13"/>
      <c r="BR1121" s="13"/>
    </row>
    <row r="1122">
      <c r="A1122" s="69"/>
      <c r="B1122" s="69"/>
      <c r="C1122" s="99"/>
      <c r="D1122" s="99"/>
      <c r="E1122" s="13"/>
      <c r="F1122" s="99"/>
      <c r="G1122" s="13"/>
      <c r="H1122" s="69"/>
      <c r="I1122" s="98"/>
      <c r="J1122" s="69"/>
      <c r="K1122" s="99"/>
      <c r="L1122" s="99"/>
      <c r="M1122" s="128"/>
      <c r="N1122" s="182"/>
      <c r="O1122" s="98"/>
      <c r="P1122" s="128"/>
      <c r="Q1122" s="13"/>
      <c r="R1122" s="13"/>
      <c r="S1122" s="13"/>
      <c r="T1122" s="98"/>
      <c r="U1122" s="69"/>
      <c r="V1122" s="105"/>
      <c r="W1122" s="150"/>
      <c r="X1122" s="69"/>
      <c r="Y1122" s="99"/>
      <c r="Z1122" s="99"/>
      <c r="AA1122" s="99"/>
      <c r="AB1122" s="99"/>
      <c r="AC1122" s="99"/>
      <c r="AD1122" s="99"/>
      <c r="AE1122" s="150"/>
      <c r="AF1122" s="150"/>
      <c r="AG1122" s="99"/>
      <c r="AH1122" s="99"/>
      <c r="AI1122" s="105"/>
      <c r="AJ1122" s="105"/>
      <c r="AK1122" s="105"/>
      <c r="AL1122" s="98"/>
      <c r="AM1122" s="105"/>
      <c r="AN1122" s="98"/>
      <c r="AO1122" s="110"/>
      <c r="AP1122" s="98"/>
      <c r="AQ1122" s="98"/>
      <c r="AR1122" s="69"/>
      <c r="AS1122" s="98"/>
      <c r="AT1122" s="98"/>
      <c r="AU1122" s="69"/>
      <c r="AV1122" s="13"/>
      <c r="AW1122" s="13"/>
      <c r="AX1122" s="13"/>
      <c r="AY1122" s="13"/>
      <c r="AZ1122" s="13"/>
      <c r="BA1122" s="13"/>
      <c r="BB1122" s="13"/>
      <c r="BC1122" s="13"/>
      <c r="BD1122" s="13"/>
      <c r="BE1122" s="13"/>
      <c r="BF1122" s="13"/>
      <c r="BG1122" s="13"/>
      <c r="BH1122" s="13"/>
      <c r="BI1122" s="13"/>
      <c r="BJ1122" s="13"/>
      <c r="BK1122" s="13"/>
      <c r="BL1122" s="13"/>
      <c r="BM1122" s="13"/>
      <c r="BN1122" s="13"/>
      <c r="BO1122" s="13"/>
      <c r="BP1122" s="13"/>
      <c r="BQ1122" s="13"/>
      <c r="BR1122" s="13"/>
    </row>
    <row r="1123">
      <c r="A1123" s="69"/>
      <c r="B1123" s="69"/>
      <c r="C1123" s="99"/>
      <c r="D1123" s="99"/>
      <c r="E1123" s="13"/>
      <c r="F1123" s="99"/>
      <c r="G1123" s="13"/>
      <c r="H1123" s="69"/>
      <c r="I1123" s="98"/>
      <c r="J1123" s="69"/>
      <c r="K1123" s="99"/>
      <c r="L1123" s="99"/>
      <c r="M1123" s="128"/>
      <c r="N1123" s="182"/>
      <c r="O1123" s="98"/>
      <c r="P1123" s="128"/>
      <c r="Q1123" s="13"/>
      <c r="R1123" s="13"/>
      <c r="S1123" s="13"/>
      <c r="T1123" s="98"/>
      <c r="U1123" s="69"/>
      <c r="V1123" s="105"/>
      <c r="W1123" s="150"/>
      <c r="X1123" s="69"/>
      <c r="Y1123" s="99"/>
      <c r="Z1123" s="99"/>
      <c r="AA1123" s="99"/>
      <c r="AB1123" s="99"/>
      <c r="AC1123" s="99"/>
      <c r="AD1123" s="99"/>
      <c r="AE1123" s="150"/>
      <c r="AF1123" s="150"/>
      <c r="AG1123" s="99"/>
      <c r="AH1123" s="99"/>
      <c r="AI1123" s="105"/>
      <c r="AJ1123" s="105"/>
      <c r="AK1123" s="105"/>
      <c r="AL1123" s="98"/>
      <c r="AM1123" s="105"/>
      <c r="AN1123" s="98"/>
      <c r="AO1123" s="110"/>
      <c r="AP1123" s="98"/>
      <c r="AQ1123" s="98"/>
      <c r="AR1123" s="69"/>
      <c r="AS1123" s="98"/>
      <c r="AT1123" s="98"/>
      <c r="AU1123" s="69"/>
      <c r="AV1123" s="13"/>
      <c r="AW1123" s="13"/>
      <c r="AX1123" s="13"/>
      <c r="AY1123" s="13"/>
      <c r="AZ1123" s="13"/>
      <c r="BA1123" s="13"/>
      <c r="BB1123" s="13"/>
      <c r="BC1123" s="13"/>
      <c r="BD1123" s="13"/>
      <c r="BE1123" s="13"/>
      <c r="BF1123" s="13"/>
      <c r="BG1123" s="13"/>
      <c r="BH1123" s="13"/>
      <c r="BI1123" s="13"/>
      <c r="BJ1123" s="13"/>
      <c r="BK1123" s="13"/>
      <c r="BL1123" s="13"/>
      <c r="BM1123" s="13"/>
      <c r="BN1123" s="13"/>
      <c r="BO1123" s="13"/>
      <c r="BP1123" s="13"/>
      <c r="BQ1123" s="13"/>
      <c r="BR1123" s="13"/>
    </row>
    <row r="1124">
      <c r="A1124" s="69"/>
      <c r="B1124" s="69"/>
      <c r="C1124" s="99"/>
      <c r="D1124" s="99"/>
      <c r="E1124" s="13"/>
      <c r="F1124" s="99"/>
      <c r="G1124" s="13"/>
      <c r="H1124" s="69"/>
      <c r="I1124" s="98"/>
      <c r="J1124" s="69"/>
      <c r="K1124" s="99"/>
      <c r="L1124" s="99"/>
      <c r="M1124" s="128"/>
      <c r="N1124" s="182"/>
      <c r="O1124" s="98"/>
      <c r="P1124" s="128"/>
      <c r="Q1124" s="13"/>
      <c r="R1124" s="13"/>
      <c r="S1124" s="13"/>
      <c r="T1124" s="98"/>
      <c r="U1124" s="69"/>
      <c r="V1124" s="105"/>
      <c r="W1124" s="150"/>
      <c r="X1124" s="69"/>
      <c r="Y1124" s="99"/>
      <c r="Z1124" s="99"/>
      <c r="AA1124" s="99"/>
      <c r="AB1124" s="99"/>
      <c r="AC1124" s="99"/>
      <c r="AD1124" s="99"/>
      <c r="AE1124" s="150"/>
      <c r="AF1124" s="150"/>
      <c r="AG1124" s="99"/>
      <c r="AH1124" s="99"/>
      <c r="AI1124" s="105"/>
      <c r="AJ1124" s="105"/>
      <c r="AK1124" s="105"/>
      <c r="AL1124" s="98"/>
      <c r="AM1124" s="105"/>
      <c r="AN1124" s="98"/>
      <c r="AO1124" s="110"/>
      <c r="AP1124" s="98"/>
      <c r="AQ1124" s="98"/>
      <c r="AR1124" s="69"/>
      <c r="AS1124" s="98"/>
      <c r="AT1124" s="98"/>
      <c r="AU1124" s="69"/>
      <c r="AV1124" s="13"/>
      <c r="AW1124" s="13"/>
      <c r="AX1124" s="13"/>
      <c r="AY1124" s="13"/>
      <c r="AZ1124" s="13"/>
      <c r="BA1124" s="13"/>
      <c r="BB1124" s="13"/>
      <c r="BC1124" s="13"/>
      <c r="BD1124" s="13"/>
      <c r="BE1124" s="13"/>
      <c r="BF1124" s="13"/>
      <c r="BG1124" s="13"/>
      <c r="BH1124" s="13"/>
      <c r="BI1124" s="13"/>
      <c r="BJ1124" s="13"/>
      <c r="BK1124" s="13"/>
      <c r="BL1124" s="13"/>
      <c r="BM1124" s="13"/>
      <c r="BN1124" s="13"/>
      <c r="BO1124" s="13"/>
      <c r="BP1124" s="13"/>
      <c r="BQ1124" s="13"/>
      <c r="BR1124" s="13"/>
    </row>
    <row r="1125">
      <c r="A1125" s="69"/>
      <c r="B1125" s="69"/>
      <c r="C1125" s="99"/>
      <c r="D1125" s="99"/>
      <c r="E1125" s="13"/>
      <c r="F1125" s="99"/>
      <c r="G1125" s="13"/>
      <c r="H1125" s="69"/>
      <c r="I1125" s="98"/>
      <c r="J1125" s="69"/>
      <c r="K1125" s="99"/>
      <c r="L1125" s="99"/>
      <c r="M1125" s="128"/>
      <c r="N1125" s="182"/>
      <c r="O1125" s="98"/>
      <c r="P1125" s="128"/>
      <c r="Q1125" s="13"/>
      <c r="R1125" s="13"/>
      <c r="S1125" s="13"/>
      <c r="T1125" s="98"/>
      <c r="U1125" s="69"/>
      <c r="V1125" s="105"/>
      <c r="W1125" s="150"/>
      <c r="X1125" s="69"/>
      <c r="Y1125" s="99"/>
      <c r="Z1125" s="99"/>
      <c r="AA1125" s="99"/>
      <c r="AB1125" s="99"/>
      <c r="AC1125" s="99"/>
      <c r="AD1125" s="99"/>
      <c r="AE1125" s="150"/>
      <c r="AF1125" s="150"/>
      <c r="AG1125" s="99"/>
      <c r="AH1125" s="99"/>
      <c r="AI1125" s="105"/>
      <c r="AJ1125" s="105"/>
      <c r="AK1125" s="105"/>
      <c r="AL1125" s="98"/>
      <c r="AM1125" s="105"/>
      <c r="AN1125" s="98"/>
      <c r="AO1125" s="110"/>
      <c r="AP1125" s="98"/>
      <c r="AQ1125" s="98"/>
      <c r="AR1125" s="69"/>
      <c r="AS1125" s="98"/>
      <c r="AT1125" s="98"/>
      <c r="AU1125" s="69"/>
      <c r="AV1125" s="13"/>
      <c r="AW1125" s="13"/>
      <c r="AX1125" s="13"/>
      <c r="AY1125" s="13"/>
      <c r="AZ1125" s="13"/>
      <c r="BA1125" s="13"/>
      <c r="BB1125" s="13"/>
      <c r="BC1125" s="13"/>
      <c r="BD1125" s="13"/>
      <c r="BE1125" s="13"/>
      <c r="BF1125" s="13"/>
      <c r="BG1125" s="13"/>
      <c r="BH1125" s="13"/>
      <c r="BI1125" s="13"/>
      <c r="BJ1125" s="13"/>
      <c r="BK1125" s="13"/>
      <c r="BL1125" s="13"/>
      <c r="BM1125" s="13"/>
      <c r="BN1125" s="13"/>
      <c r="BO1125" s="13"/>
      <c r="BP1125" s="13"/>
      <c r="BQ1125" s="13"/>
      <c r="BR1125" s="13"/>
    </row>
    <row r="1126">
      <c r="A1126" s="69"/>
      <c r="B1126" s="69"/>
      <c r="C1126" s="99"/>
      <c r="D1126" s="99"/>
      <c r="E1126" s="13"/>
      <c r="F1126" s="99"/>
      <c r="G1126" s="13"/>
      <c r="H1126" s="69"/>
      <c r="I1126" s="98"/>
      <c r="J1126" s="69"/>
      <c r="K1126" s="99"/>
      <c r="L1126" s="99"/>
      <c r="M1126" s="128"/>
      <c r="N1126" s="182"/>
      <c r="O1126" s="98"/>
      <c r="P1126" s="128"/>
      <c r="Q1126" s="13"/>
      <c r="R1126" s="13"/>
      <c r="S1126" s="13"/>
      <c r="T1126" s="98"/>
      <c r="U1126" s="69"/>
      <c r="V1126" s="105"/>
      <c r="W1126" s="150"/>
      <c r="X1126" s="69"/>
      <c r="Y1126" s="99"/>
      <c r="Z1126" s="99"/>
      <c r="AA1126" s="99"/>
      <c r="AB1126" s="99"/>
      <c r="AC1126" s="99"/>
      <c r="AD1126" s="99"/>
      <c r="AE1126" s="150"/>
      <c r="AF1126" s="150"/>
      <c r="AG1126" s="99"/>
      <c r="AH1126" s="99"/>
      <c r="AI1126" s="105"/>
      <c r="AJ1126" s="105"/>
      <c r="AK1126" s="105"/>
      <c r="AL1126" s="98"/>
      <c r="AM1126" s="105"/>
      <c r="AN1126" s="98"/>
      <c r="AO1126" s="110"/>
      <c r="AP1126" s="98"/>
      <c r="AQ1126" s="98"/>
      <c r="AR1126" s="69"/>
      <c r="AS1126" s="98"/>
      <c r="AT1126" s="98"/>
      <c r="AU1126" s="69"/>
      <c r="AV1126" s="13"/>
      <c r="AW1126" s="13"/>
      <c r="AX1126" s="13"/>
      <c r="AY1126" s="13"/>
      <c r="AZ1126" s="13"/>
      <c r="BA1126" s="13"/>
      <c r="BB1126" s="13"/>
      <c r="BC1126" s="13"/>
      <c r="BD1126" s="13"/>
      <c r="BE1126" s="13"/>
      <c r="BF1126" s="13"/>
      <c r="BG1126" s="13"/>
      <c r="BH1126" s="13"/>
      <c r="BI1126" s="13"/>
      <c r="BJ1126" s="13"/>
      <c r="BK1126" s="13"/>
      <c r="BL1126" s="13"/>
      <c r="BM1126" s="13"/>
      <c r="BN1126" s="13"/>
      <c r="BO1126" s="13"/>
      <c r="BP1126" s="13"/>
      <c r="BQ1126" s="13"/>
      <c r="BR1126" s="13"/>
    </row>
    <row r="1127">
      <c r="A1127" s="69"/>
      <c r="B1127" s="69"/>
      <c r="C1127" s="99"/>
      <c r="D1127" s="99"/>
      <c r="E1127" s="13"/>
      <c r="F1127" s="99"/>
      <c r="G1127" s="13"/>
      <c r="H1127" s="69"/>
      <c r="I1127" s="98"/>
      <c r="J1127" s="69"/>
      <c r="K1127" s="99"/>
      <c r="L1127" s="99"/>
      <c r="M1127" s="128"/>
      <c r="N1127" s="182"/>
      <c r="O1127" s="98"/>
      <c r="P1127" s="128"/>
      <c r="Q1127" s="13"/>
      <c r="R1127" s="13"/>
      <c r="S1127" s="13"/>
      <c r="T1127" s="98"/>
      <c r="U1127" s="69"/>
      <c r="V1127" s="105"/>
      <c r="W1127" s="150"/>
      <c r="X1127" s="69"/>
      <c r="Y1127" s="99"/>
      <c r="Z1127" s="99"/>
      <c r="AA1127" s="99"/>
      <c r="AB1127" s="99"/>
      <c r="AC1127" s="99"/>
      <c r="AD1127" s="99"/>
      <c r="AE1127" s="150"/>
      <c r="AF1127" s="150"/>
      <c r="AG1127" s="99"/>
      <c r="AH1127" s="99"/>
      <c r="AI1127" s="105"/>
      <c r="AJ1127" s="105"/>
      <c r="AK1127" s="105"/>
      <c r="AL1127" s="98"/>
      <c r="AM1127" s="105"/>
      <c r="AN1127" s="98"/>
      <c r="AO1127" s="110"/>
      <c r="AP1127" s="98"/>
      <c r="AQ1127" s="98"/>
      <c r="AR1127" s="69"/>
      <c r="AS1127" s="98"/>
      <c r="AT1127" s="98"/>
      <c r="AU1127" s="69"/>
      <c r="AV1127" s="13"/>
      <c r="AW1127" s="13"/>
      <c r="AX1127" s="13"/>
      <c r="AY1127" s="13"/>
      <c r="AZ1127" s="13"/>
      <c r="BA1127" s="13"/>
      <c r="BB1127" s="13"/>
      <c r="BC1127" s="13"/>
      <c r="BD1127" s="13"/>
      <c r="BE1127" s="13"/>
      <c r="BF1127" s="13"/>
      <c r="BG1127" s="13"/>
      <c r="BH1127" s="13"/>
      <c r="BI1127" s="13"/>
      <c r="BJ1127" s="13"/>
      <c r="BK1127" s="13"/>
      <c r="BL1127" s="13"/>
      <c r="BM1127" s="13"/>
      <c r="BN1127" s="13"/>
      <c r="BO1127" s="13"/>
      <c r="BP1127" s="13"/>
      <c r="BQ1127" s="13"/>
      <c r="BR1127" s="13"/>
    </row>
    <row r="1128">
      <c r="A1128" s="69"/>
      <c r="B1128" s="69"/>
      <c r="C1128" s="99"/>
      <c r="D1128" s="99"/>
      <c r="E1128" s="13"/>
      <c r="F1128" s="99"/>
      <c r="G1128" s="13"/>
      <c r="H1128" s="69"/>
      <c r="I1128" s="98"/>
      <c r="J1128" s="69"/>
      <c r="K1128" s="99"/>
      <c r="L1128" s="99"/>
      <c r="M1128" s="128"/>
      <c r="N1128" s="182"/>
      <c r="O1128" s="98"/>
      <c r="P1128" s="128"/>
      <c r="Q1128" s="13"/>
      <c r="R1128" s="13"/>
      <c r="S1128" s="13"/>
      <c r="T1128" s="98"/>
      <c r="U1128" s="69"/>
      <c r="V1128" s="105"/>
      <c r="W1128" s="150"/>
      <c r="X1128" s="69"/>
      <c r="Y1128" s="99"/>
      <c r="Z1128" s="99"/>
      <c r="AA1128" s="99"/>
      <c r="AB1128" s="99"/>
      <c r="AC1128" s="99"/>
      <c r="AD1128" s="99"/>
      <c r="AE1128" s="150"/>
      <c r="AF1128" s="150"/>
      <c r="AG1128" s="99"/>
      <c r="AH1128" s="99"/>
      <c r="AI1128" s="105"/>
      <c r="AJ1128" s="105"/>
      <c r="AK1128" s="105"/>
      <c r="AL1128" s="98"/>
      <c r="AM1128" s="105"/>
      <c r="AN1128" s="98"/>
      <c r="AO1128" s="110"/>
      <c r="AP1128" s="98"/>
      <c r="AQ1128" s="98"/>
      <c r="AR1128" s="69"/>
      <c r="AS1128" s="98"/>
      <c r="AT1128" s="98"/>
      <c r="AU1128" s="69"/>
      <c r="AV1128" s="13"/>
      <c r="AW1128" s="13"/>
      <c r="AX1128" s="13"/>
      <c r="AY1128" s="13"/>
      <c r="AZ1128" s="13"/>
      <c r="BA1128" s="13"/>
      <c r="BB1128" s="13"/>
      <c r="BC1128" s="13"/>
      <c r="BD1128" s="13"/>
      <c r="BE1128" s="13"/>
      <c r="BF1128" s="13"/>
      <c r="BG1128" s="13"/>
      <c r="BH1128" s="13"/>
      <c r="BI1128" s="13"/>
      <c r="BJ1128" s="13"/>
      <c r="BK1128" s="13"/>
      <c r="BL1128" s="13"/>
      <c r="BM1128" s="13"/>
      <c r="BN1128" s="13"/>
      <c r="BO1128" s="13"/>
      <c r="BP1128" s="13"/>
      <c r="BQ1128" s="13"/>
      <c r="BR1128" s="13"/>
    </row>
    <row r="1129">
      <c r="A1129" s="69"/>
      <c r="B1129" s="69"/>
      <c r="C1129" s="99"/>
      <c r="D1129" s="99"/>
      <c r="E1129" s="13"/>
      <c r="F1129" s="99"/>
      <c r="G1129" s="13"/>
      <c r="H1129" s="69"/>
      <c r="I1129" s="98"/>
      <c r="J1129" s="69"/>
      <c r="K1129" s="99"/>
      <c r="L1129" s="99"/>
      <c r="M1129" s="128"/>
      <c r="N1129" s="182"/>
      <c r="O1129" s="98"/>
      <c r="P1129" s="128"/>
      <c r="Q1129" s="13"/>
      <c r="R1129" s="13"/>
      <c r="S1129" s="13"/>
      <c r="T1129" s="98"/>
      <c r="U1129" s="69"/>
      <c r="V1129" s="105"/>
      <c r="W1129" s="150"/>
      <c r="X1129" s="69"/>
      <c r="Y1129" s="99"/>
      <c r="Z1129" s="99"/>
      <c r="AA1129" s="99"/>
      <c r="AB1129" s="99"/>
      <c r="AC1129" s="99"/>
      <c r="AD1129" s="99"/>
      <c r="AE1129" s="150"/>
      <c r="AF1129" s="150"/>
      <c r="AG1129" s="99"/>
      <c r="AH1129" s="99"/>
      <c r="AI1129" s="105"/>
      <c r="AJ1129" s="105"/>
      <c r="AK1129" s="105"/>
      <c r="AL1129" s="98"/>
      <c r="AM1129" s="105"/>
      <c r="AN1129" s="98"/>
      <c r="AO1129" s="110"/>
      <c r="AP1129" s="98"/>
      <c r="AQ1129" s="98"/>
      <c r="AR1129" s="69"/>
      <c r="AS1129" s="98"/>
      <c r="AT1129" s="98"/>
      <c r="AU1129" s="69"/>
      <c r="AV1129" s="13"/>
      <c r="AW1129" s="13"/>
      <c r="AX1129" s="13"/>
      <c r="AY1129" s="13"/>
      <c r="AZ1129" s="13"/>
      <c r="BA1129" s="13"/>
      <c r="BB1129" s="13"/>
      <c r="BC1129" s="13"/>
      <c r="BD1129" s="13"/>
      <c r="BE1129" s="13"/>
      <c r="BF1129" s="13"/>
      <c r="BG1129" s="13"/>
      <c r="BH1129" s="13"/>
      <c r="BI1129" s="13"/>
      <c r="BJ1129" s="13"/>
      <c r="BK1129" s="13"/>
      <c r="BL1129" s="13"/>
      <c r="BM1129" s="13"/>
      <c r="BN1129" s="13"/>
      <c r="BO1129" s="13"/>
      <c r="BP1129" s="13"/>
      <c r="BQ1129" s="13"/>
      <c r="BR1129" s="13"/>
    </row>
    <row r="1130">
      <c r="A1130" s="69"/>
      <c r="B1130" s="69"/>
      <c r="C1130" s="99"/>
      <c r="D1130" s="99"/>
      <c r="E1130" s="13"/>
      <c r="F1130" s="99"/>
      <c r="G1130" s="13"/>
      <c r="H1130" s="69"/>
      <c r="I1130" s="98"/>
      <c r="J1130" s="69"/>
      <c r="K1130" s="99"/>
      <c r="L1130" s="99"/>
      <c r="M1130" s="128"/>
      <c r="N1130" s="182"/>
      <c r="O1130" s="98"/>
      <c r="P1130" s="128"/>
      <c r="Q1130" s="13"/>
      <c r="R1130" s="13"/>
      <c r="S1130" s="13"/>
      <c r="T1130" s="98"/>
      <c r="U1130" s="69"/>
      <c r="V1130" s="105"/>
      <c r="W1130" s="150"/>
      <c r="X1130" s="69"/>
      <c r="Y1130" s="99"/>
      <c r="Z1130" s="99"/>
      <c r="AA1130" s="99"/>
      <c r="AB1130" s="99"/>
      <c r="AC1130" s="99"/>
      <c r="AD1130" s="99"/>
      <c r="AE1130" s="150"/>
      <c r="AF1130" s="150"/>
      <c r="AG1130" s="99"/>
      <c r="AH1130" s="99"/>
      <c r="AI1130" s="105"/>
      <c r="AJ1130" s="105"/>
      <c r="AK1130" s="105"/>
      <c r="AL1130" s="98"/>
      <c r="AM1130" s="105"/>
      <c r="AN1130" s="98"/>
      <c r="AO1130" s="110"/>
      <c r="AP1130" s="98"/>
      <c r="AQ1130" s="98"/>
      <c r="AR1130" s="69"/>
      <c r="AS1130" s="98"/>
      <c r="AT1130" s="98"/>
      <c r="AU1130" s="69"/>
      <c r="AV1130" s="13"/>
      <c r="AW1130" s="13"/>
      <c r="AX1130" s="13"/>
      <c r="AY1130" s="13"/>
      <c r="AZ1130" s="13"/>
      <c r="BA1130" s="13"/>
      <c r="BB1130" s="13"/>
      <c r="BC1130" s="13"/>
      <c r="BD1130" s="13"/>
      <c r="BE1130" s="13"/>
      <c r="BF1130" s="13"/>
      <c r="BG1130" s="13"/>
      <c r="BH1130" s="13"/>
      <c r="BI1130" s="13"/>
      <c r="BJ1130" s="13"/>
      <c r="BK1130" s="13"/>
      <c r="BL1130" s="13"/>
      <c r="BM1130" s="13"/>
      <c r="BN1130" s="13"/>
      <c r="BO1130" s="13"/>
      <c r="BP1130" s="13"/>
      <c r="BQ1130" s="13"/>
      <c r="BR1130" s="13"/>
    </row>
    <row r="1131">
      <c r="A1131" s="69"/>
      <c r="B1131" s="69"/>
      <c r="C1131" s="99"/>
      <c r="D1131" s="99"/>
      <c r="E1131" s="13"/>
      <c r="F1131" s="99"/>
      <c r="G1131" s="13"/>
      <c r="H1131" s="69"/>
      <c r="I1131" s="98"/>
      <c r="J1131" s="69"/>
      <c r="K1131" s="99"/>
      <c r="L1131" s="99"/>
      <c r="M1131" s="128"/>
      <c r="N1131" s="182"/>
      <c r="O1131" s="98"/>
      <c r="P1131" s="128"/>
      <c r="Q1131" s="13"/>
      <c r="R1131" s="13"/>
      <c r="S1131" s="13"/>
      <c r="T1131" s="98"/>
      <c r="U1131" s="69"/>
      <c r="V1131" s="105"/>
      <c r="W1131" s="150"/>
      <c r="X1131" s="69"/>
      <c r="Y1131" s="99"/>
      <c r="Z1131" s="99"/>
      <c r="AA1131" s="99"/>
      <c r="AB1131" s="99"/>
      <c r="AC1131" s="99"/>
      <c r="AD1131" s="99"/>
      <c r="AE1131" s="150"/>
      <c r="AF1131" s="150"/>
      <c r="AG1131" s="99"/>
      <c r="AH1131" s="99"/>
      <c r="AI1131" s="105"/>
      <c r="AJ1131" s="105"/>
      <c r="AK1131" s="105"/>
      <c r="AL1131" s="98"/>
      <c r="AM1131" s="105"/>
      <c r="AN1131" s="98"/>
      <c r="AO1131" s="110"/>
      <c r="AP1131" s="98"/>
      <c r="AQ1131" s="98"/>
      <c r="AR1131" s="69"/>
      <c r="AS1131" s="98"/>
      <c r="AT1131" s="98"/>
      <c r="AU1131" s="69"/>
      <c r="AV1131" s="13"/>
      <c r="AW1131" s="13"/>
      <c r="AX1131" s="13"/>
      <c r="AY1131" s="13"/>
      <c r="AZ1131" s="13"/>
      <c r="BA1131" s="13"/>
      <c r="BB1131" s="13"/>
      <c r="BC1131" s="13"/>
      <c r="BD1131" s="13"/>
      <c r="BE1131" s="13"/>
      <c r="BF1131" s="13"/>
      <c r="BG1131" s="13"/>
      <c r="BH1131" s="13"/>
      <c r="BI1131" s="13"/>
      <c r="BJ1131" s="13"/>
      <c r="BK1131" s="13"/>
      <c r="BL1131" s="13"/>
      <c r="BM1131" s="13"/>
      <c r="BN1131" s="13"/>
      <c r="BO1131" s="13"/>
      <c r="BP1131" s="13"/>
      <c r="BQ1131" s="13"/>
      <c r="BR1131" s="13"/>
    </row>
    <row r="1132">
      <c r="A1132" s="69"/>
      <c r="B1132" s="69"/>
      <c r="C1132" s="99"/>
      <c r="D1132" s="99"/>
      <c r="E1132" s="13"/>
      <c r="F1132" s="99"/>
      <c r="G1132" s="13"/>
      <c r="H1132" s="69"/>
      <c r="I1132" s="98"/>
      <c r="J1132" s="69"/>
      <c r="K1132" s="99"/>
      <c r="L1132" s="99"/>
      <c r="M1132" s="128"/>
      <c r="N1132" s="182"/>
      <c r="O1132" s="98"/>
      <c r="P1132" s="128"/>
      <c r="Q1132" s="13"/>
      <c r="R1132" s="13"/>
      <c r="S1132" s="13"/>
      <c r="T1132" s="98"/>
      <c r="U1132" s="69"/>
      <c r="V1132" s="105"/>
      <c r="W1132" s="150"/>
      <c r="X1132" s="69"/>
      <c r="Y1132" s="99"/>
      <c r="Z1132" s="99"/>
      <c r="AA1132" s="99"/>
      <c r="AB1132" s="99"/>
      <c r="AC1132" s="99"/>
      <c r="AD1132" s="99"/>
      <c r="AE1132" s="150"/>
      <c r="AF1132" s="150"/>
      <c r="AG1132" s="99"/>
      <c r="AH1132" s="99"/>
      <c r="AI1132" s="105"/>
      <c r="AJ1132" s="105"/>
      <c r="AK1132" s="105"/>
      <c r="AL1132" s="98"/>
      <c r="AM1132" s="105"/>
      <c r="AN1132" s="98"/>
      <c r="AO1132" s="110"/>
      <c r="AP1132" s="98"/>
      <c r="AQ1132" s="98"/>
      <c r="AR1132" s="69"/>
      <c r="AS1132" s="98"/>
      <c r="AT1132" s="98"/>
      <c r="AU1132" s="69"/>
      <c r="AV1132" s="13"/>
      <c r="AW1132" s="13"/>
      <c r="AX1132" s="13"/>
      <c r="AY1132" s="13"/>
      <c r="AZ1132" s="13"/>
      <c r="BA1132" s="13"/>
      <c r="BB1132" s="13"/>
      <c r="BC1132" s="13"/>
      <c r="BD1132" s="13"/>
      <c r="BE1132" s="13"/>
      <c r="BF1132" s="13"/>
      <c r="BG1132" s="13"/>
      <c r="BH1132" s="13"/>
      <c r="BI1132" s="13"/>
      <c r="BJ1132" s="13"/>
      <c r="BK1132" s="13"/>
      <c r="BL1132" s="13"/>
      <c r="BM1132" s="13"/>
      <c r="BN1132" s="13"/>
      <c r="BO1132" s="13"/>
      <c r="BP1132" s="13"/>
      <c r="BQ1132" s="13"/>
      <c r="BR1132" s="13"/>
    </row>
    <row r="1133">
      <c r="A1133" s="69"/>
      <c r="B1133" s="69"/>
      <c r="C1133" s="99"/>
      <c r="D1133" s="99"/>
      <c r="E1133" s="13"/>
      <c r="F1133" s="99"/>
      <c r="G1133" s="13"/>
      <c r="H1133" s="69"/>
      <c r="I1133" s="98"/>
      <c r="J1133" s="69"/>
      <c r="K1133" s="99"/>
      <c r="L1133" s="99"/>
      <c r="M1133" s="128"/>
      <c r="N1133" s="182"/>
      <c r="O1133" s="98"/>
      <c r="P1133" s="128"/>
      <c r="Q1133" s="13"/>
      <c r="R1133" s="13"/>
      <c r="S1133" s="13"/>
      <c r="T1133" s="98"/>
      <c r="U1133" s="69"/>
      <c r="V1133" s="105"/>
      <c r="W1133" s="150"/>
      <c r="X1133" s="69"/>
      <c r="Y1133" s="99"/>
      <c r="Z1133" s="99"/>
      <c r="AA1133" s="99"/>
      <c r="AB1133" s="99"/>
      <c r="AC1133" s="99"/>
      <c r="AD1133" s="99"/>
      <c r="AE1133" s="150"/>
      <c r="AF1133" s="150"/>
      <c r="AG1133" s="99"/>
      <c r="AH1133" s="99"/>
      <c r="AI1133" s="105"/>
      <c r="AJ1133" s="105"/>
      <c r="AK1133" s="105"/>
      <c r="AL1133" s="98"/>
      <c r="AM1133" s="105"/>
      <c r="AN1133" s="98"/>
      <c r="AO1133" s="110"/>
      <c r="AP1133" s="98"/>
      <c r="AQ1133" s="98"/>
      <c r="AR1133" s="69"/>
      <c r="AS1133" s="98"/>
      <c r="AT1133" s="98"/>
      <c r="AU1133" s="69"/>
      <c r="AV1133" s="13"/>
      <c r="AW1133" s="13"/>
      <c r="AX1133" s="13"/>
      <c r="AY1133" s="13"/>
      <c r="AZ1133" s="13"/>
      <c r="BA1133" s="13"/>
      <c r="BB1133" s="13"/>
      <c r="BC1133" s="13"/>
      <c r="BD1133" s="13"/>
      <c r="BE1133" s="13"/>
      <c r="BF1133" s="13"/>
      <c r="BG1133" s="13"/>
      <c r="BH1133" s="13"/>
      <c r="BI1133" s="13"/>
      <c r="BJ1133" s="13"/>
      <c r="BK1133" s="13"/>
      <c r="BL1133" s="13"/>
      <c r="BM1133" s="13"/>
      <c r="BN1133" s="13"/>
      <c r="BO1133" s="13"/>
      <c r="BP1133" s="13"/>
      <c r="BQ1133" s="13"/>
      <c r="BR1133" s="13"/>
    </row>
    <row r="1134">
      <c r="A1134" s="69"/>
      <c r="B1134" s="69"/>
      <c r="C1134" s="99"/>
      <c r="D1134" s="99"/>
      <c r="E1134" s="13"/>
      <c r="F1134" s="99"/>
      <c r="G1134" s="13"/>
      <c r="H1134" s="69"/>
      <c r="I1134" s="98"/>
      <c r="J1134" s="69"/>
      <c r="K1134" s="99"/>
      <c r="L1134" s="99"/>
      <c r="M1134" s="128"/>
      <c r="N1134" s="182"/>
      <c r="O1134" s="98"/>
      <c r="P1134" s="128"/>
      <c r="Q1134" s="13"/>
      <c r="R1134" s="13"/>
      <c r="S1134" s="13"/>
      <c r="T1134" s="98"/>
      <c r="U1134" s="69"/>
      <c r="V1134" s="105"/>
      <c r="W1134" s="150"/>
      <c r="X1134" s="69"/>
      <c r="Y1134" s="99"/>
      <c r="Z1134" s="99"/>
      <c r="AA1134" s="99"/>
      <c r="AB1134" s="99"/>
      <c r="AC1134" s="99"/>
      <c r="AD1134" s="99"/>
      <c r="AE1134" s="150"/>
      <c r="AF1134" s="150"/>
      <c r="AG1134" s="99"/>
      <c r="AH1134" s="99"/>
      <c r="AI1134" s="105"/>
      <c r="AJ1134" s="105"/>
      <c r="AK1134" s="105"/>
      <c r="AL1134" s="98"/>
      <c r="AM1134" s="105"/>
      <c r="AN1134" s="98"/>
      <c r="AO1134" s="110"/>
      <c r="AP1134" s="98"/>
      <c r="AQ1134" s="98"/>
      <c r="AR1134" s="69"/>
      <c r="AS1134" s="98"/>
      <c r="AT1134" s="98"/>
      <c r="AU1134" s="69"/>
      <c r="AV1134" s="13"/>
      <c r="AW1134" s="13"/>
      <c r="AX1134" s="13"/>
      <c r="AY1134" s="13"/>
      <c r="AZ1134" s="13"/>
      <c r="BA1134" s="13"/>
      <c r="BB1134" s="13"/>
      <c r="BC1134" s="13"/>
      <c r="BD1134" s="13"/>
      <c r="BE1134" s="13"/>
      <c r="BF1134" s="13"/>
      <c r="BG1134" s="13"/>
      <c r="BH1134" s="13"/>
      <c r="BI1134" s="13"/>
      <c r="BJ1134" s="13"/>
      <c r="BK1134" s="13"/>
      <c r="BL1134" s="13"/>
      <c r="BM1134" s="13"/>
      <c r="BN1134" s="13"/>
      <c r="BO1134" s="13"/>
      <c r="BP1134" s="13"/>
      <c r="BQ1134" s="13"/>
      <c r="BR1134" s="13"/>
    </row>
    <row r="1135">
      <c r="A1135" s="69"/>
      <c r="B1135" s="69"/>
      <c r="C1135" s="99"/>
      <c r="D1135" s="99"/>
      <c r="E1135" s="13"/>
      <c r="F1135" s="99"/>
      <c r="G1135" s="13"/>
      <c r="H1135" s="69"/>
      <c r="I1135" s="98"/>
      <c r="J1135" s="69"/>
      <c r="K1135" s="99"/>
      <c r="L1135" s="99"/>
      <c r="M1135" s="128"/>
      <c r="N1135" s="182"/>
      <c r="O1135" s="98"/>
      <c r="P1135" s="128"/>
      <c r="Q1135" s="13"/>
      <c r="R1135" s="13"/>
      <c r="S1135" s="13"/>
      <c r="T1135" s="98"/>
      <c r="U1135" s="69"/>
      <c r="V1135" s="105"/>
      <c r="W1135" s="150"/>
      <c r="X1135" s="69"/>
      <c r="Y1135" s="99"/>
      <c r="Z1135" s="99"/>
      <c r="AA1135" s="99"/>
      <c r="AB1135" s="99"/>
      <c r="AC1135" s="99"/>
      <c r="AD1135" s="99"/>
      <c r="AE1135" s="150"/>
      <c r="AF1135" s="150"/>
      <c r="AG1135" s="99"/>
      <c r="AH1135" s="99"/>
      <c r="AI1135" s="105"/>
      <c r="AJ1135" s="105"/>
      <c r="AK1135" s="105"/>
      <c r="AL1135" s="98"/>
      <c r="AM1135" s="105"/>
      <c r="AN1135" s="98"/>
      <c r="AO1135" s="110"/>
      <c r="AP1135" s="98"/>
      <c r="AQ1135" s="98"/>
      <c r="AR1135" s="69"/>
      <c r="AS1135" s="98"/>
      <c r="AT1135" s="98"/>
      <c r="AU1135" s="69"/>
      <c r="AV1135" s="13"/>
      <c r="AW1135" s="13"/>
      <c r="AX1135" s="13"/>
      <c r="AY1135" s="13"/>
      <c r="AZ1135" s="13"/>
      <c r="BA1135" s="13"/>
      <c r="BB1135" s="13"/>
      <c r="BC1135" s="13"/>
      <c r="BD1135" s="13"/>
      <c r="BE1135" s="13"/>
      <c r="BF1135" s="13"/>
      <c r="BG1135" s="13"/>
      <c r="BH1135" s="13"/>
      <c r="BI1135" s="13"/>
      <c r="BJ1135" s="13"/>
      <c r="BK1135" s="13"/>
      <c r="BL1135" s="13"/>
      <c r="BM1135" s="13"/>
      <c r="BN1135" s="13"/>
      <c r="BO1135" s="13"/>
      <c r="BP1135" s="13"/>
      <c r="BQ1135" s="13"/>
      <c r="BR1135" s="13"/>
    </row>
    <row r="1136">
      <c r="A1136" s="69"/>
      <c r="B1136" s="69"/>
      <c r="C1136" s="99"/>
      <c r="D1136" s="99"/>
      <c r="E1136" s="13"/>
      <c r="F1136" s="99"/>
      <c r="G1136" s="13"/>
      <c r="H1136" s="69"/>
      <c r="I1136" s="98"/>
      <c r="J1136" s="69"/>
      <c r="K1136" s="99"/>
      <c r="L1136" s="99"/>
      <c r="M1136" s="128"/>
      <c r="N1136" s="182"/>
      <c r="O1136" s="98"/>
      <c r="P1136" s="128"/>
      <c r="Q1136" s="13"/>
      <c r="R1136" s="13"/>
      <c r="S1136" s="13"/>
      <c r="T1136" s="98"/>
      <c r="U1136" s="69"/>
      <c r="V1136" s="105"/>
      <c r="W1136" s="150"/>
      <c r="X1136" s="69"/>
      <c r="Y1136" s="99"/>
      <c r="Z1136" s="99"/>
      <c r="AA1136" s="99"/>
      <c r="AB1136" s="99"/>
      <c r="AC1136" s="99"/>
      <c r="AD1136" s="99"/>
      <c r="AE1136" s="150"/>
      <c r="AF1136" s="150"/>
      <c r="AG1136" s="99"/>
      <c r="AH1136" s="99"/>
      <c r="AI1136" s="105"/>
      <c r="AJ1136" s="105"/>
      <c r="AK1136" s="105"/>
      <c r="AL1136" s="98"/>
      <c r="AM1136" s="105"/>
      <c r="AN1136" s="98"/>
      <c r="AO1136" s="110"/>
      <c r="AP1136" s="98"/>
      <c r="AQ1136" s="98"/>
      <c r="AR1136" s="69"/>
      <c r="AS1136" s="98"/>
      <c r="AT1136" s="98"/>
      <c r="AU1136" s="69"/>
      <c r="AV1136" s="13"/>
      <c r="AW1136" s="13"/>
      <c r="AX1136" s="13"/>
      <c r="AY1136" s="13"/>
      <c r="AZ1136" s="13"/>
      <c r="BA1136" s="13"/>
      <c r="BB1136" s="13"/>
      <c r="BC1136" s="13"/>
      <c r="BD1136" s="13"/>
      <c r="BE1136" s="13"/>
      <c r="BF1136" s="13"/>
      <c r="BG1136" s="13"/>
      <c r="BH1136" s="13"/>
      <c r="BI1136" s="13"/>
      <c r="BJ1136" s="13"/>
      <c r="BK1136" s="13"/>
      <c r="BL1136" s="13"/>
      <c r="BM1136" s="13"/>
      <c r="BN1136" s="13"/>
      <c r="BO1136" s="13"/>
      <c r="BP1136" s="13"/>
      <c r="BQ1136" s="13"/>
      <c r="BR1136" s="13"/>
    </row>
    <row r="1137">
      <c r="A1137" s="69"/>
      <c r="B1137" s="69"/>
      <c r="C1137" s="99"/>
      <c r="D1137" s="99"/>
      <c r="E1137" s="13"/>
      <c r="F1137" s="99"/>
      <c r="G1137" s="13"/>
      <c r="H1137" s="69"/>
      <c r="I1137" s="98"/>
      <c r="J1137" s="69"/>
      <c r="K1137" s="99"/>
      <c r="L1137" s="99"/>
      <c r="M1137" s="128"/>
      <c r="N1137" s="182"/>
      <c r="O1137" s="98"/>
      <c r="P1137" s="128"/>
      <c r="Q1137" s="13"/>
      <c r="R1137" s="13"/>
      <c r="S1137" s="13"/>
      <c r="T1137" s="98"/>
      <c r="U1137" s="69"/>
      <c r="V1137" s="105"/>
      <c r="W1137" s="150"/>
      <c r="X1137" s="69"/>
      <c r="Y1137" s="99"/>
      <c r="Z1137" s="99"/>
      <c r="AA1137" s="99"/>
      <c r="AB1137" s="99"/>
      <c r="AC1137" s="99"/>
      <c r="AD1137" s="99"/>
      <c r="AE1137" s="150"/>
      <c r="AF1137" s="150"/>
      <c r="AG1137" s="99"/>
      <c r="AH1137" s="99"/>
      <c r="AI1137" s="105"/>
      <c r="AJ1137" s="105"/>
      <c r="AK1137" s="105"/>
      <c r="AL1137" s="98"/>
      <c r="AM1137" s="105"/>
      <c r="AN1137" s="98"/>
      <c r="AO1137" s="110"/>
      <c r="AP1137" s="98"/>
      <c r="AQ1137" s="98"/>
      <c r="AR1137" s="69"/>
      <c r="AS1137" s="98"/>
      <c r="AT1137" s="98"/>
      <c r="AU1137" s="69"/>
      <c r="AV1137" s="13"/>
      <c r="AW1137" s="13"/>
      <c r="AX1137" s="13"/>
      <c r="AY1137" s="13"/>
      <c r="AZ1137" s="13"/>
      <c r="BA1137" s="13"/>
      <c r="BB1137" s="13"/>
      <c r="BC1137" s="13"/>
      <c r="BD1137" s="13"/>
      <c r="BE1137" s="13"/>
      <c r="BF1137" s="13"/>
      <c r="BG1137" s="13"/>
      <c r="BH1137" s="13"/>
      <c r="BI1137" s="13"/>
      <c r="BJ1137" s="13"/>
      <c r="BK1137" s="13"/>
      <c r="BL1137" s="13"/>
      <c r="BM1137" s="13"/>
      <c r="BN1137" s="13"/>
      <c r="BO1137" s="13"/>
      <c r="BP1137" s="13"/>
      <c r="BQ1137" s="13"/>
      <c r="BR1137" s="13"/>
    </row>
    <row r="1138">
      <c r="A1138" s="69"/>
      <c r="B1138" s="69"/>
      <c r="C1138" s="99"/>
      <c r="D1138" s="99"/>
      <c r="E1138" s="13"/>
      <c r="F1138" s="99"/>
      <c r="G1138" s="13"/>
      <c r="H1138" s="69"/>
      <c r="I1138" s="98"/>
      <c r="J1138" s="69"/>
      <c r="K1138" s="99"/>
      <c r="L1138" s="99"/>
      <c r="M1138" s="128"/>
      <c r="N1138" s="182"/>
      <c r="O1138" s="98"/>
      <c r="P1138" s="128"/>
      <c r="Q1138" s="13"/>
      <c r="R1138" s="13"/>
      <c r="S1138" s="13"/>
      <c r="T1138" s="98"/>
      <c r="U1138" s="69"/>
      <c r="V1138" s="105"/>
      <c r="W1138" s="150"/>
      <c r="X1138" s="69"/>
      <c r="Y1138" s="99"/>
      <c r="Z1138" s="99"/>
      <c r="AA1138" s="99"/>
      <c r="AB1138" s="99"/>
      <c r="AC1138" s="99"/>
      <c r="AD1138" s="99"/>
      <c r="AE1138" s="150"/>
      <c r="AF1138" s="150"/>
      <c r="AG1138" s="99"/>
      <c r="AH1138" s="99"/>
      <c r="AI1138" s="105"/>
      <c r="AJ1138" s="105"/>
      <c r="AK1138" s="105"/>
      <c r="AL1138" s="98"/>
      <c r="AM1138" s="105"/>
      <c r="AN1138" s="98"/>
      <c r="AO1138" s="110"/>
      <c r="AP1138" s="98"/>
      <c r="AQ1138" s="98"/>
      <c r="AR1138" s="69"/>
      <c r="AS1138" s="98"/>
      <c r="AT1138" s="98"/>
      <c r="AU1138" s="69"/>
      <c r="AV1138" s="13"/>
      <c r="AW1138" s="13"/>
      <c r="AX1138" s="13"/>
      <c r="AY1138" s="13"/>
      <c r="AZ1138" s="13"/>
      <c r="BA1138" s="13"/>
      <c r="BB1138" s="13"/>
      <c r="BC1138" s="13"/>
      <c r="BD1138" s="13"/>
      <c r="BE1138" s="13"/>
      <c r="BF1138" s="13"/>
      <c r="BG1138" s="13"/>
      <c r="BH1138" s="13"/>
      <c r="BI1138" s="13"/>
      <c r="BJ1138" s="13"/>
      <c r="BK1138" s="13"/>
      <c r="BL1138" s="13"/>
      <c r="BM1138" s="13"/>
      <c r="BN1138" s="13"/>
      <c r="BO1138" s="13"/>
      <c r="BP1138" s="13"/>
      <c r="BQ1138" s="13"/>
      <c r="BR1138" s="13"/>
    </row>
    <row r="1139">
      <c r="A1139" s="69"/>
      <c r="B1139" s="69"/>
      <c r="C1139" s="99"/>
      <c r="D1139" s="99"/>
      <c r="E1139" s="13"/>
      <c r="F1139" s="99"/>
      <c r="G1139" s="13"/>
      <c r="H1139" s="69"/>
      <c r="I1139" s="98"/>
      <c r="J1139" s="69"/>
      <c r="K1139" s="99"/>
      <c r="L1139" s="99"/>
      <c r="M1139" s="128"/>
      <c r="N1139" s="182"/>
      <c r="O1139" s="98"/>
      <c r="P1139" s="128"/>
      <c r="Q1139" s="13"/>
      <c r="R1139" s="13"/>
      <c r="S1139" s="13"/>
      <c r="T1139" s="98"/>
      <c r="U1139" s="69"/>
      <c r="V1139" s="105"/>
      <c r="W1139" s="150"/>
      <c r="X1139" s="69"/>
      <c r="Y1139" s="99"/>
      <c r="Z1139" s="99"/>
      <c r="AA1139" s="99"/>
      <c r="AB1139" s="99"/>
      <c r="AC1139" s="99"/>
      <c r="AD1139" s="99"/>
      <c r="AE1139" s="150"/>
      <c r="AF1139" s="150"/>
      <c r="AG1139" s="99"/>
      <c r="AH1139" s="99"/>
      <c r="AI1139" s="105"/>
      <c r="AJ1139" s="105"/>
      <c r="AK1139" s="105"/>
      <c r="AL1139" s="98"/>
      <c r="AM1139" s="105"/>
      <c r="AN1139" s="98"/>
      <c r="AO1139" s="110"/>
      <c r="AP1139" s="98"/>
      <c r="AQ1139" s="98"/>
      <c r="AR1139" s="69"/>
      <c r="AS1139" s="98"/>
      <c r="AT1139" s="98"/>
      <c r="AU1139" s="69"/>
      <c r="AV1139" s="13"/>
      <c r="AW1139" s="13"/>
      <c r="AX1139" s="13"/>
      <c r="AY1139" s="13"/>
      <c r="AZ1139" s="13"/>
      <c r="BA1139" s="13"/>
      <c r="BB1139" s="13"/>
      <c r="BC1139" s="13"/>
      <c r="BD1139" s="13"/>
      <c r="BE1139" s="13"/>
      <c r="BF1139" s="13"/>
      <c r="BG1139" s="13"/>
      <c r="BH1139" s="13"/>
      <c r="BI1139" s="13"/>
      <c r="BJ1139" s="13"/>
      <c r="BK1139" s="13"/>
      <c r="BL1139" s="13"/>
      <c r="BM1139" s="13"/>
      <c r="BN1139" s="13"/>
      <c r="BO1139" s="13"/>
      <c r="BP1139" s="13"/>
      <c r="BQ1139" s="13"/>
      <c r="BR1139" s="13"/>
    </row>
    <row r="1140">
      <c r="A1140" s="69"/>
      <c r="B1140" s="69"/>
      <c r="C1140" s="99"/>
      <c r="D1140" s="99"/>
      <c r="E1140" s="13"/>
      <c r="F1140" s="99"/>
      <c r="G1140" s="13"/>
      <c r="H1140" s="69"/>
      <c r="I1140" s="98"/>
      <c r="J1140" s="69"/>
      <c r="K1140" s="99"/>
      <c r="L1140" s="99"/>
      <c r="M1140" s="128"/>
      <c r="N1140" s="182"/>
      <c r="O1140" s="98"/>
      <c r="P1140" s="128"/>
      <c r="Q1140" s="13"/>
      <c r="R1140" s="13"/>
      <c r="S1140" s="13"/>
      <c r="T1140" s="98"/>
      <c r="U1140" s="69"/>
      <c r="V1140" s="105"/>
      <c r="W1140" s="150"/>
      <c r="X1140" s="69"/>
      <c r="Y1140" s="99"/>
      <c r="Z1140" s="99"/>
      <c r="AA1140" s="99"/>
      <c r="AB1140" s="99"/>
      <c r="AC1140" s="99"/>
      <c r="AD1140" s="99"/>
      <c r="AE1140" s="150"/>
      <c r="AF1140" s="150"/>
      <c r="AG1140" s="99"/>
      <c r="AH1140" s="99"/>
      <c r="AI1140" s="105"/>
      <c r="AJ1140" s="105"/>
      <c r="AK1140" s="105"/>
      <c r="AL1140" s="98"/>
      <c r="AM1140" s="105"/>
      <c r="AN1140" s="98"/>
      <c r="AO1140" s="110"/>
      <c r="AP1140" s="98"/>
      <c r="AQ1140" s="98"/>
      <c r="AR1140" s="69"/>
      <c r="AS1140" s="98"/>
      <c r="AT1140" s="98"/>
      <c r="AU1140" s="69"/>
      <c r="AV1140" s="13"/>
      <c r="AW1140" s="13"/>
      <c r="AX1140" s="13"/>
      <c r="AY1140" s="13"/>
      <c r="AZ1140" s="13"/>
      <c r="BA1140" s="13"/>
      <c r="BB1140" s="13"/>
      <c r="BC1140" s="13"/>
      <c r="BD1140" s="13"/>
      <c r="BE1140" s="13"/>
      <c r="BF1140" s="13"/>
      <c r="BG1140" s="13"/>
      <c r="BH1140" s="13"/>
      <c r="BI1140" s="13"/>
      <c r="BJ1140" s="13"/>
      <c r="BK1140" s="13"/>
      <c r="BL1140" s="13"/>
      <c r="BM1140" s="13"/>
      <c r="BN1140" s="13"/>
      <c r="BO1140" s="13"/>
      <c r="BP1140" s="13"/>
      <c r="BQ1140" s="13"/>
      <c r="BR1140" s="13"/>
    </row>
    <row r="1141">
      <c r="A1141" s="69"/>
      <c r="B1141" s="69"/>
      <c r="C1141" s="99"/>
      <c r="D1141" s="99"/>
      <c r="E1141" s="13"/>
      <c r="F1141" s="99"/>
      <c r="G1141" s="13"/>
      <c r="H1141" s="69"/>
      <c r="I1141" s="98"/>
      <c r="J1141" s="69"/>
      <c r="K1141" s="99"/>
      <c r="L1141" s="99"/>
      <c r="M1141" s="128"/>
      <c r="N1141" s="182"/>
      <c r="O1141" s="98"/>
      <c r="P1141" s="128"/>
      <c r="Q1141" s="13"/>
      <c r="R1141" s="13"/>
      <c r="S1141" s="13"/>
      <c r="T1141" s="98"/>
      <c r="U1141" s="69"/>
      <c r="V1141" s="105"/>
      <c r="W1141" s="150"/>
      <c r="X1141" s="69"/>
      <c r="Y1141" s="99"/>
      <c r="Z1141" s="99"/>
      <c r="AA1141" s="99"/>
      <c r="AB1141" s="99"/>
      <c r="AC1141" s="99"/>
      <c r="AD1141" s="99"/>
      <c r="AE1141" s="150"/>
      <c r="AF1141" s="150"/>
      <c r="AG1141" s="99"/>
      <c r="AH1141" s="99"/>
      <c r="AI1141" s="105"/>
      <c r="AJ1141" s="105"/>
      <c r="AK1141" s="105"/>
      <c r="AL1141" s="98"/>
      <c r="AM1141" s="105"/>
      <c r="AN1141" s="98"/>
      <c r="AO1141" s="110"/>
      <c r="AP1141" s="98"/>
      <c r="AQ1141" s="98"/>
      <c r="AR1141" s="69"/>
      <c r="AS1141" s="98"/>
      <c r="AT1141" s="98"/>
      <c r="AU1141" s="69"/>
      <c r="AV1141" s="13"/>
      <c r="AW1141" s="13"/>
      <c r="AX1141" s="13"/>
      <c r="AY1141" s="13"/>
      <c r="AZ1141" s="13"/>
      <c r="BA1141" s="13"/>
      <c r="BB1141" s="13"/>
      <c r="BC1141" s="13"/>
      <c r="BD1141" s="13"/>
      <c r="BE1141" s="13"/>
      <c r="BF1141" s="13"/>
      <c r="BG1141" s="13"/>
      <c r="BH1141" s="13"/>
      <c r="BI1141" s="13"/>
      <c r="BJ1141" s="13"/>
      <c r="BK1141" s="13"/>
      <c r="BL1141" s="13"/>
      <c r="BM1141" s="13"/>
      <c r="BN1141" s="13"/>
      <c r="BO1141" s="13"/>
      <c r="BP1141" s="13"/>
      <c r="BQ1141" s="13"/>
      <c r="BR1141" s="13"/>
    </row>
    <row r="1142">
      <c r="A1142" s="69"/>
      <c r="B1142" s="69"/>
      <c r="C1142" s="99"/>
      <c r="D1142" s="99"/>
      <c r="E1142" s="13"/>
      <c r="F1142" s="99"/>
      <c r="G1142" s="13"/>
      <c r="H1142" s="69"/>
      <c r="I1142" s="98"/>
      <c r="J1142" s="69"/>
      <c r="K1142" s="99"/>
      <c r="L1142" s="99"/>
      <c r="M1142" s="128"/>
      <c r="N1142" s="182"/>
      <c r="O1142" s="98"/>
      <c r="P1142" s="128"/>
      <c r="Q1142" s="13"/>
      <c r="R1142" s="13"/>
      <c r="S1142" s="13"/>
      <c r="T1142" s="98"/>
      <c r="U1142" s="69"/>
      <c r="V1142" s="105"/>
      <c r="W1142" s="150"/>
      <c r="X1142" s="69"/>
      <c r="Y1142" s="99"/>
      <c r="Z1142" s="99"/>
      <c r="AA1142" s="99"/>
      <c r="AB1142" s="99"/>
      <c r="AC1142" s="99"/>
      <c r="AD1142" s="99"/>
      <c r="AE1142" s="150"/>
      <c r="AF1142" s="150"/>
      <c r="AG1142" s="99"/>
      <c r="AH1142" s="99"/>
      <c r="AI1142" s="105"/>
      <c r="AJ1142" s="105"/>
      <c r="AK1142" s="105"/>
      <c r="AL1142" s="98"/>
      <c r="AM1142" s="105"/>
      <c r="AN1142" s="98"/>
      <c r="AO1142" s="110"/>
      <c r="AP1142" s="98"/>
      <c r="AQ1142" s="98"/>
      <c r="AR1142" s="69"/>
      <c r="AS1142" s="98"/>
      <c r="AT1142" s="98"/>
      <c r="AU1142" s="69"/>
      <c r="AV1142" s="13"/>
      <c r="AW1142" s="13"/>
      <c r="AX1142" s="13"/>
      <c r="AY1142" s="13"/>
      <c r="AZ1142" s="13"/>
      <c r="BA1142" s="13"/>
      <c r="BB1142" s="13"/>
      <c r="BC1142" s="13"/>
      <c r="BD1142" s="13"/>
      <c r="BE1142" s="13"/>
      <c r="BF1142" s="13"/>
      <c r="BG1142" s="13"/>
      <c r="BH1142" s="13"/>
      <c r="BI1142" s="13"/>
      <c r="BJ1142" s="13"/>
      <c r="BK1142" s="13"/>
      <c r="BL1142" s="13"/>
      <c r="BM1142" s="13"/>
      <c r="BN1142" s="13"/>
      <c r="BO1142" s="13"/>
      <c r="BP1142" s="13"/>
      <c r="BQ1142" s="13"/>
      <c r="BR1142" s="13"/>
    </row>
    <row r="1143">
      <c r="A1143" s="69"/>
      <c r="B1143" s="69"/>
      <c r="C1143" s="99"/>
      <c r="D1143" s="99"/>
      <c r="E1143" s="13"/>
      <c r="F1143" s="99"/>
      <c r="G1143" s="13"/>
      <c r="H1143" s="69"/>
      <c r="I1143" s="98"/>
      <c r="J1143" s="69"/>
      <c r="K1143" s="99"/>
      <c r="L1143" s="99"/>
      <c r="M1143" s="128"/>
      <c r="N1143" s="182"/>
      <c r="O1143" s="98"/>
      <c r="P1143" s="128"/>
      <c r="Q1143" s="13"/>
      <c r="R1143" s="13"/>
      <c r="S1143" s="13"/>
      <c r="T1143" s="98"/>
      <c r="U1143" s="69"/>
      <c r="V1143" s="105"/>
      <c r="W1143" s="150"/>
      <c r="X1143" s="69"/>
      <c r="Y1143" s="99"/>
      <c r="Z1143" s="99"/>
      <c r="AA1143" s="99"/>
      <c r="AB1143" s="99"/>
      <c r="AC1143" s="99"/>
      <c r="AD1143" s="99"/>
      <c r="AE1143" s="150"/>
      <c r="AF1143" s="150"/>
      <c r="AG1143" s="99"/>
      <c r="AH1143" s="99"/>
      <c r="AI1143" s="105"/>
      <c r="AJ1143" s="105"/>
      <c r="AK1143" s="105"/>
      <c r="AL1143" s="98"/>
      <c r="AM1143" s="105"/>
      <c r="AN1143" s="98"/>
      <c r="AO1143" s="110"/>
      <c r="AP1143" s="98"/>
      <c r="AQ1143" s="98"/>
      <c r="AR1143" s="69"/>
      <c r="AS1143" s="98"/>
      <c r="AT1143" s="98"/>
      <c r="AU1143" s="69"/>
      <c r="AV1143" s="13"/>
      <c r="AW1143" s="13"/>
      <c r="AX1143" s="13"/>
      <c r="AY1143" s="13"/>
      <c r="AZ1143" s="13"/>
      <c r="BA1143" s="13"/>
      <c r="BB1143" s="13"/>
      <c r="BC1143" s="13"/>
      <c r="BD1143" s="13"/>
      <c r="BE1143" s="13"/>
      <c r="BF1143" s="13"/>
      <c r="BG1143" s="13"/>
      <c r="BH1143" s="13"/>
      <c r="BI1143" s="13"/>
      <c r="BJ1143" s="13"/>
      <c r="BK1143" s="13"/>
      <c r="BL1143" s="13"/>
      <c r="BM1143" s="13"/>
      <c r="BN1143" s="13"/>
      <c r="BO1143" s="13"/>
      <c r="BP1143" s="13"/>
      <c r="BQ1143" s="13"/>
      <c r="BR1143" s="13"/>
    </row>
    <row r="1144">
      <c r="A1144" s="69"/>
      <c r="B1144" s="69"/>
      <c r="C1144" s="99"/>
      <c r="D1144" s="99"/>
      <c r="E1144" s="13"/>
      <c r="F1144" s="99"/>
      <c r="G1144" s="13"/>
      <c r="H1144" s="69"/>
      <c r="I1144" s="98"/>
      <c r="J1144" s="69"/>
      <c r="K1144" s="99"/>
      <c r="L1144" s="99"/>
      <c r="M1144" s="128"/>
      <c r="N1144" s="182"/>
      <c r="O1144" s="98"/>
      <c r="P1144" s="128"/>
      <c r="Q1144" s="13"/>
      <c r="R1144" s="13"/>
      <c r="S1144" s="13"/>
      <c r="T1144" s="98"/>
      <c r="U1144" s="69"/>
      <c r="V1144" s="105"/>
      <c r="W1144" s="150"/>
      <c r="X1144" s="69"/>
      <c r="Y1144" s="99"/>
      <c r="Z1144" s="99"/>
      <c r="AA1144" s="99"/>
      <c r="AB1144" s="99"/>
      <c r="AC1144" s="99"/>
      <c r="AD1144" s="99"/>
      <c r="AE1144" s="150"/>
      <c r="AF1144" s="150"/>
      <c r="AG1144" s="99"/>
      <c r="AH1144" s="99"/>
      <c r="AI1144" s="105"/>
      <c r="AJ1144" s="105"/>
      <c r="AK1144" s="105"/>
      <c r="AL1144" s="98"/>
      <c r="AM1144" s="105"/>
      <c r="AN1144" s="98"/>
      <c r="AO1144" s="110"/>
      <c r="AP1144" s="98"/>
      <c r="AQ1144" s="98"/>
      <c r="AR1144" s="69"/>
      <c r="AS1144" s="98"/>
      <c r="AT1144" s="98"/>
      <c r="AU1144" s="69"/>
      <c r="AV1144" s="13"/>
      <c r="AW1144" s="13"/>
      <c r="AX1144" s="13"/>
      <c r="AY1144" s="13"/>
      <c r="AZ1144" s="13"/>
      <c r="BA1144" s="13"/>
      <c r="BB1144" s="13"/>
      <c r="BC1144" s="13"/>
      <c r="BD1144" s="13"/>
      <c r="BE1144" s="13"/>
      <c r="BF1144" s="13"/>
      <c r="BG1144" s="13"/>
      <c r="BH1144" s="13"/>
      <c r="BI1144" s="13"/>
      <c r="BJ1144" s="13"/>
      <c r="BK1144" s="13"/>
      <c r="BL1144" s="13"/>
      <c r="BM1144" s="13"/>
      <c r="BN1144" s="13"/>
      <c r="BO1144" s="13"/>
      <c r="BP1144" s="13"/>
      <c r="BQ1144" s="13"/>
      <c r="BR1144" s="13"/>
    </row>
    <row r="1145">
      <c r="A1145" s="69"/>
      <c r="B1145" s="69"/>
      <c r="C1145" s="99"/>
      <c r="D1145" s="99"/>
      <c r="E1145" s="13"/>
      <c r="F1145" s="99"/>
      <c r="G1145" s="13"/>
      <c r="H1145" s="69"/>
      <c r="I1145" s="98"/>
      <c r="J1145" s="69"/>
      <c r="K1145" s="99"/>
      <c r="L1145" s="99"/>
      <c r="M1145" s="128"/>
      <c r="N1145" s="182"/>
      <c r="O1145" s="98"/>
      <c r="P1145" s="128"/>
      <c r="Q1145" s="13"/>
      <c r="R1145" s="13"/>
      <c r="S1145" s="13"/>
      <c r="T1145" s="98"/>
      <c r="U1145" s="69"/>
      <c r="V1145" s="105"/>
      <c r="W1145" s="150"/>
      <c r="X1145" s="69"/>
      <c r="Y1145" s="99"/>
      <c r="Z1145" s="99"/>
      <c r="AA1145" s="99"/>
      <c r="AB1145" s="99"/>
      <c r="AC1145" s="99"/>
      <c r="AD1145" s="99"/>
      <c r="AE1145" s="150"/>
      <c r="AF1145" s="150"/>
      <c r="AG1145" s="99"/>
      <c r="AH1145" s="99"/>
      <c r="AI1145" s="105"/>
      <c r="AJ1145" s="105"/>
      <c r="AK1145" s="105"/>
      <c r="AL1145" s="98"/>
      <c r="AM1145" s="105"/>
      <c r="AN1145" s="98"/>
      <c r="AO1145" s="110"/>
      <c r="AP1145" s="98"/>
      <c r="AQ1145" s="98"/>
      <c r="AR1145" s="69"/>
      <c r="AS1145" s="98"/>
      <c r="AT1145" s="98"/>
      <c r="AU1145" s="69"/>
      <c r="AV1145" s="13"/>
      <c r="AW1145" s="13"/>
      <c r="AX1145" s="13"/>
      <c r="AY1145" s="13"/>
      <c r="AZ1145" s="13"/>
      <c r="BA1145" s="13"/>
      <c r="BB1145" s="13"/>
      <c r="BC1145" s="13"/>
      <c r="BD1145" s="13"/>
      <c r="BE1145" s="13"/>
      <c r="BF1145" s="13"/>
      <c r="BG1145" s="13"/>
      <c r="BH1145" s="13"/>
      <c r="BI1145" s="13"/>
      <c r="BJ1145" s="13"/>
      <c r="BK1145" s="13"/>
      <c r="BL1145" s="13"/>
      <c r="BM1145" s="13"/>
      <c r="BN1145" s="13"/>
      <c r="BO1145" s="13"/>
      <c r="BP1145" s="13"/>
      <c r="BQ1145" s="13"/>
      <c r="BR1145" s="13"/>
    </row>
    <row r="1146">
      <c r="A1146" s="69"/>
      <c r="B1146" s="69"/>
      <c r="C1146" s="99"/>
      <c r="D1146" s="99"/>
      <c r="E1146" s="13"/>
      <c r="F1146" s="99"/>
      <c r="G1146" s="13"/>
      <c r="H1146" s="69"/>
      <c r="I1146" s="98"/>
      <c r="J1146" s="69"/>
      <c r="K1146" s="99"/>
      <c r="L1146" s="99"/>
      <c r="M1146" s="128"/>
      <c r="N1146" s="182"/>
      <c r="O1146" s="98"/>
      <c r="P1146" s="128"/>
      <c r="Q1146" s="13"/>
      <c r="R1146" s="13"/>
      <c r="S1146" s="13"/>
      <c r="T1146" s="98"/>
      <c r="U1146" s="69"/>
      <c r="V1146" s="105"/>
      <c r="W1146" s="150"/>
      <c r="X1146" s="69"/>
      <c r="Y1146" s="99"/>
      <c r="Z1146" s="99"/>
      <c r="AA1146" s="99"/>
      <c r="AB1146" s="99"/>
      <c r="AC1146" s="99"/>
      <c r="AD1146" s="99"/>
      <c r="AE1146" s="150"/>
      <c r="AF1146" s="150"/>
      <c r="AG1146" s="99"/>
      <c r="AH1146" s="99"/>
      <c r="AI1146" s="105"/>
      <c r="AJ1146" s="105"/>
      <c r="AK1146" s="105"/>
      <c r="AL1146" s="98"/>
      <c r="AM1146" s="105"/>
      <c r="AN1146" s="98"/>
      <c r="AO1146" s="110"/>
      <c r="AP1146" s="98"/>
      <c r="AQ1146" s="98"/>
      <c r="AR1146" s="69"/>
      <c r="AS1146" s="98"/>
      <c r="AT1146" s="98"/>
      <c r="AU1146" s="69"/>
      <c r="AV1146" s="13"/>
      <c r="AW1146" s="13"/>
      <c r="AX1146" s="13"/>
      <c r="AY1146" s="13"/>
      <c r="AZ1146" s="13"/>
      <c r="BA1146" s="13"/>
      <c r="BB1146" s="13"/>
      <c r="BC1146" s="13"/>
      <c r="BD1146" s="13"/>
      <c r="BE1146" s="13"/>
      <c r="BF1146" s="13"/>
      <c r="BG1146" s="13"/>
      <c r="BH1146" s="13"/>
      <c r="BI1146" s="13"/>
      <c r="BJ1146" s="13"/>
      <c r="BK1146" s="13"/>
      <c r="BL1146" s="13"/>
      <c r="BM1146" s="13"/>
      <c r="BN1146" s="13"/>
      <c r="BO1146" s="13"/>
      <c r="BP1146" s="13"/>
      <c r="BQ1146" s="13"/>
      <c r="BR1146" s="13"/>
    </row>
    <row r="1147">
      <c r="A1147" s="69"/>
      <c r="B1147" s="69"/>
      <c r="C1147" s="99"/>
      <c r="D1147" s="99"/>
      <c r="E1147" s="13"/>
      <c r="F1147" s="99"/>
      <c r="G1147" s="13"/>
      <c r="H1147" s="69"/>
      <c r="I1147" s="98"/>
      <c r="J1147" s="69"/>
      <c r="K1147" s="99"/>
      <c r="L1147" s="99"/>
      <c r="M1147" s="128"/>
      <c r="N1147" s="182"/>
      <c r="O1147" s="98"/>
      <c r="P1147" s="128"/>
      <c r="Q1147" s="13"/>
      <c r="R1147" s="13"/>
      <c r="S1147" s="13"/>
      <c r="T1147" s="98"/>
      <c r="U1147" s="69"/>
      <c r="V1147" s="105"/>
      <c r="W1147" s="150"/>
      <c r="X1147" s="69"/>
      <c r="Y1147" s="99"/>
      <c r="Z1147" s="99"/>
      <c r="AA1147" s="99"/>
      <c r="AB1147" s="99"/>
      <c r="AC1147" s="99"/>
      <c r="AD1147" s="99"/>
      <c r="AE1147" s="150"/>
      <c r="AF1147" s="150"/>
      <c r="AG1147" s="99"/>
      <c r="AH1147" s="99"/>
      <c r="AI1147" s="105"/>
      <c r="AJ1147" s="105"/>
      <c r="AK1147" s="105"/>
      <c r="AL1147" s="98"/>
      <c r="AM1147" s="105"/>
      <c r="AN1147" s="98"/>
      <c r="AO1147" s="110"/>
      <c r="AP1147" s="98"/>
      <c r="AQ1147" s="98"/>
      <c r="AR1147" s="69"/>
      <c r="AS1147" s="98"/>
      <c r="AT1147" s="98"/>
      <c r="AU1147" s="69"/>
      <c r="AV1147" s="13"/>
      <c r="AW1147" s="13"/>
      <c r="AX1147" s="13"/>
      <c r="AY1147" s="13"/>
      <c r="AZ1147" s="13"/>
      <c r="BA1147" s="13"/>
      <c r="BB1147" s="13"/>
      <c r="BC1147" s="13"/>
      <c r="BD1147" s="13"/>
      <c r="BE1147" s="13"/>
      <c r="BF1147" s="13"/>
      <c r="BG1147" s="13"/>
      <c r="BH1147" s="13"/>
      <c r="BI1147" s="13"/>
      <c r="BJ1147" s="13"/>
      <c r="BK1147" s="13"/>
      <c r="BL1147" s="13"/>
      <c r="BM1147" s="13"/>
      <c r="BN1147" s="13"/>
      <c r="BO1147" s="13"/>
      <c r="BP1147" s="13"/>
      <c r="BQ1147" s="13"/>
      <c r="BR1147" s="13"/>
    </row>
    <row r="1148">
      <c r="A1148" s="69"/>
      <c r="B1148" s="69"/>
      <c r="C1148" s="99"/>
      <c r="D1148" s="99"/>
      <c r="E1148" s="13"/>
      <c r="F1148" s="99"/>
      <c r="G1148" s="13"/>
      <c r="H1148" s="69"/>
      <c r="I1148" s="98"/>
      <c r="J1148" s="69"/>
      <c r="K1148" s="99"/>
      <c r="L1148" s="99"/>
      <c r="M1148" s="128"/>
      <c r="N1148" s="182"/>
      <c r="O1148" s="98"/>
      <c r="P1148" s="128"/>
      <c r="Q1148" s="13"/>
      <c r="R1148" s="13"/>
      <c r="S1148" s="13"/>
      <c r="T1148" s="98"/>
      <c r="U1148" s="69"/>
      <c r="V1148" s="105"/>
      <c r="W1148" s="150"/>
      <c r="X1148" s="69"/>
      <c r="Y1148" s="99"/>
      <c r="Z1148" s="99"/>
      <c r="AA1148" s="99"/>
      <c r="AB1148" s="99"/>
      <c r="AC1148" s="99"/>
      <c r="AD1148" s="99"/>
      <c r="AE1148" s="150"/>
      <c r="AF1148" s="150"/>
      <c r="AG1148" s="99"/>
      <c r="AH1148" s="99"/>
      <c r="AI1148" s="105"/>
      <c r="AJ1148" s="105"/>
      <c r="AK1148" s="105"/>
      <c r="AL1148" s="98"/>
      <c r="AM1148" s="105"/>
      <c r="AN1148" s="98"/>
      <c r="AO1148" s="110"/>
      <c r="AP1148" s="98"/>
      <c r="AQ1148" s="98"/>
      <c r="AR1148" s="69"/>
      <c r="AS1148" s="98"/>
      <c r="AT1148" s="98"/>
      <c r="AU1148" s="69"/>
      <c r="AV1148" s="13"/>
      <c r="AW1148" s="13"/>
      <c r="AX1148" s="13"/>
      <c r="AY1148" s="13"/>
      <c r="AZ1148" s="13"/>
      <c r="BA1148" s="13"/>
      <c r="BB1148" s="13"/>
      <c r="BC1148" s="13"/>
      <c r="BD1148" s="13"/>
      <c r="BE1148" s="13"/>
      <c r="BF1148" s="13"/>
      <c r="BG1148" s="13"/>
      <c r="BH1148" s="13"/>
      <c r="BI1148" s="13"/>
      <c r="BJ1148" s="13"/>
      <c r="BK1148" s="13"/>
      <c r="BL1148" s="13"/>
      <c r="BM1148" s="13"/>
      <c r="BN1148" s="13"/>
      <c r="BO1148" s="13"/>
      <c r="BP1148" s="13"/>
      <c r="BQ1148" s="13"/>
      <c r="BR1148" s="13"/>
    </row>
    <row r="1149">
      <c r="A1149" s="69"/>
      <c r="B1149" s="69"/>
      <c r="C1149" s="99"/>
      <c r="D1149" s="99"/>
      <c r="E1149" s="13"/>
      <c r="F1149" s="99"/>
      <c r="G1149" s="13"/>
      <c r="H1149" s="69"/>
      <c r="I1149" s="98"/>
      <c r="J1149" s="69"/>
      <c r="K1149" s="99"/>
      <c r="L1149" s="99"/>
      <c r="M1149" s="128"/>
      <c r="N1149" s="182"/>
      <c r="O1149" s="98"/>
      <c r="P1149" s="128"/>
      <c r="Q1149" s="13"/>
      <c r="R1149" s="13"/>
      <c r="S1149" s="13"/>
      <c r="T1149" s="98"/>
      <c r="U1149" s="69"/>
      <c r="V1149" s="105"/>
      <c r="W1149" s="150"/>
      <c r="X1149" s="69"/>
      <c r="Y1149" s="99"/>
      <c r="Z1149" s="99"/>
      <c r="AA1149" s="99"/>
      <c r="AB1149" s="99"/>
      <c r="AC1149" s="99"/>
      <c r="AD1149" s="99"/>
      <c r="AE1149" s="150"/>
      <c r="AF1149" s="150"/>
      <c r="AG1149" s="99"/>
      <c r="AH1149" s="99"/>
      <c r="AI1149" s="105"/>
      <c r="AJ1149" s="105"/>
      <c r="AK1149" s="105"/>
      <c r="AL1149" s="98"/>
      <c r="AM1149" s="105"/>
      <c r="AN1149" s="98"/>
      <c r="AO1149" s="110"/>
      <c r="AP1149" s="98"/>
      <c r="AQ1149" s="98"/>
      <c r="AR1149" s="69"/>
      <c r="AS1149" s="98"/>
      <c r="AT1149" s="98"/>
      <c r="AU1149" s="69"/>
      <c r="AV1149" s="13"/>
      <c r="AW1149" s="13"/>
      <c r="AX1149" s="13"/>
      <c r="AY1149" s="13"/>
      <c r="AZ1149" s="13"/>
      <c r="BA1149" s="13"/>
      <c r="BB1149" s="13"/>
      <c r="BC1149" s="13"/>
      <c r="BD1149" s="13"/>
      <c r="BE1149" s="13"/>
      <c r="BF1149" s="13"/>
      <c r="BG1149" s="13"/>
      <c r="BH1149" s="13"/>
      <c r="BI1149" s="13"/>
      <c r="BJ1149" s="13"/>
      <c r="BK1149" s="13"/>
      <c r="BL1149" s="13"/>
      <c r="BM1149" s="13"/>
      <c r="BN1149" s="13"/>
      <c r="BO1149" s="13"/>
      <c r="BP1149" s="13"/>
      <c r="BQ1149" s="13"/>
      <c r="BR1149" s="13"/>
    </row>
    <row r="1150">
      <c r="A1150" s="69"/>
      <c r="B1150" s="69"/>
      <c r="C1150" s="99"/>
      <c r="D1150" s="99"/>
      <c r="E1150" s="13"/>
      <c r="F1150" s="99"/>
      <c r="G1150" s="13"/>
      <c r="H1150" s="69"/>
      <c r="I1150" s="98"/>
      <c r="J1150" s="69"/>
      <c r="K1150" s="99"/>
      <c r="L1150" s="99"/>
      <c r="M1150" s="128"/>
      <c r="N1150" s="182"/>
      <c r="O1150" s="98"/>
      <c r="P1150" s="128"/>
      <c r="Q1150" s="13"/>
      <c r="R1150" s="13"/>
      <c r="S1150" s="13"/>
      <c r="T1150" s="98"/>
      <c r="U1150" s="69"/>
      <c r="V1150" s="105"/>
      <c r="W1150" s="150"/>
      <c r="X1150" s="69"/>
      <c r="Y1150" s="99"/>
      <c r="Z1150" s="99"/>
      <c r="AA1150" s="99"/>
      <c r="AB1150" s="99"/>
      <c r="AC1150" s="99"/>
      <c r="AD1150" s="99"/>
      <c r="AE1150" s="150"/>
      <c r="AF1150" s="150"/>
      <c r="AG1150" s="99"/>
      <c r="AH1150" s="99"/>
      <c r="AI1150" s="105"/>
      <c r="AJ1150" s="105"/>
      <c r="AK1150" s="105"/>
      <c r="AL1150" s="98"/>
      <c r="AM1150" s="105"/>
      <c r="AN1150" s="98"/>
      <c r="AO1150" s="110"/>
      <c r="AP1150" s="98"/>
      <c r="AQ1150" s="98"/>
      <c r="AR1150" s="69"/>
      <c r="AS1150" s="98"/>
      <c r="AT1150" s="98"/>
      <c r="AU1150" s="69"/>
      <c r="AV1150" s="13"/>
      <c r="AW1150" s="13"/>
      <c r="AX1150" s="13"/>
      <c r="AY1150" s="13"/>
      <c r="AZ1150" s="13"/>
      <c r="BA1150" s="13"/>
      <c r="BB1150" s="13"/>
      <c r="BC1150" s="13"/>
      <c r="BD1150" s="13"/>
      <c r="BE1150" s="13"/>
      <c r="BF1150" s="13"/>
      <c r="BG1150" s="13"/>
      <c r="BH1150" s="13"/>
      <c r="BI1150" s="13"/>
      <c r="BJ1150" s="13"/>
      <c r="BK1150" s="13"/>
      <c r="BL1150" s="13"/>
      <c r="BM1150" s="13"/>
      <c r="BN1150" s="13"/>
      <c r="BO1150" s="13"/>
      <c r="BP1150" s="13"/>
      <c r="BQ1150" s="13"/>
      <c r="BR1150" s="13"/>
    </row>
    <row r="1151">
      <c r="A1151" s="69"/>
      <c r="B1151" s="69"/>
      <c r="C1151" s="99"/>
      <c r="D1151" s="99"/>
      <c r="E1151" s="13"/>
      <c r="F1151" s="99"/>
      <c r="G1151" s="13"/>
      <c r="H1151" s="69"/>
      <c r="I1151" s="98"/>
      <c r="J1151" s="69"/>
      <c r="K1151" s="99"/>
      <c r="L1151" s="99"/>
      <c r="M1151" s="128"/>
      <c r="N1151" s="182"/>
      <c r="O1151" s="98"/>
      <c r="P1151" s="128"/>
      <c r="Q1151" s="13"/>
      <c r="R1151" s="13"/>
      <c r="S1151" s="13"/>
      <c r="T1151" s="98"/>
      <c r="U1151" s="69"/>
      <c r="V1151" s="105"/>
      <c r="W1151" s="150"/>
      <c r="X1151" s="69"/>
      <c r="Y1151" s="99"/>
      <c r="Z1151" s="99"/>
      <c r="AA1151" s="99"/>
      <c r="AB1151" s="99"/>
      <c r="AC1151" s="99"/>
      <c r="AD1151" s="99"/>
      <c r="AE1151" s="150"/>
      <c r="AF1151" s="150"/>
      <c r="AG1151" s="99"/>
      <c r="AH1151" s="99"/>
      <c r="AI1151" s="105"/>
      <c r="AJ1151" s="105"/>
      <c r="AK1151" s="105"/>
      <c r="AL1151" s="98"/>
      <c r="AM1151" s="105"/>
      <c r="AN1151" s="98"/>
      <c r="AO1151" s="110"/>
      <c r="AP1151" s="98"/>
      <c r="AQ1151" s="98"/>
      <c r="AR1151" s="69"/>
      <c r="AS1151" s="98"/>
      <c r="AT1151" s="98"/>
      <c r="AU1151" s="69"/>
      <c r="AV1151" s="13"/>
      <c r="AW1151" s="13"/>
      <c r="AX1151" s="13"/>
      <c r="AY1151" s="13"/>
      <c r="AZ1151" s="13"/>
      <c r="BA1151" s="13"/>
      <c r="BB1151" s="13"/>
      <c r="BC1151" s="13"/>
      <c r="BD1151" s="13"/>
      <c r="BE1151" s="13"/>
      <c r="BF1151" s="13"/>
      <c r="BG1151" s="13"/>
      <c r="BH1151" s="13"/>
      <c r="BI1151" s="13"/>
      <c r="BJ1151" s="13"/>
      <c r="BK1151" s="13"/>
      <c r="BL1151" s="13"/>
      <c r="BM1151" s="13"/>
      <c r="BN1151" s="13"/>
      <c r="BO1151" s="13"/>
      <c r="BP1151" s="13"/>
      <c r="BQ1151" s="13"/>
      <c r="BR1151" s="13"/>
    </row>
    <row r="1152">
      <c r="A1152" s="69"/>
      <c r="B1152" s="69"/>
      <c r="C1152" s="99"/>
      <c r="D1152" s="99"/>
      <c r="E1152" s="13"/>
      <c r="F1152" s="99"/>
      <c r="G1152" s="13"/>
      <c r="H1152" s="69"/>
      <c r="I1152" s="98"/>
      <c r="J1152" s="69"/>
      <c r="K1152" s="99"/>
      <c r="L1152" s="99"/>
      <c r="M1152" s="128"/>
      <c r="N1152" s="182"/>
      <c r="O1152" s="98"/>
      <c r="P1152" s="128"/>
      <c r="Q1152" s="13"/>
      <c r="R1152" s="13"/>
      <c r="S1152" s="13"/>
      <c r="T1152" s="98"/>
      <c r="U1152" s="69"/>
      <c r="V1152" s="105"/>
      <c r="W1152" s="150"/>
      <c r="X1152" s="69"/>
      <c r="Y1152" s="99"/>
      <c r="Z1152" s="99"/>
      <c r="AA1152" s="99"/>
      <c r="AB1152" s="99"/>
      <c r="AC1152" s="99"/>
      <c r="AD1152" s="99"/>
      <c r="AE1152" s="150"/>
      <c r="AF1152" s="150"/>
      <c r="AG1152" s="99"/>
      <c r="AH1152" s="99"/>
      <c r="AI1152" s="105"/>
      <c r="AJ1152" s="105"/>
      <c r="AK1152" s="105"/>
      <c r="AL1152" s="98"/>
      <c r="AM1152" s="105"/>
      <c r="AN1152" s="98"/>
      <c r="AO1152" s="110"/>
      <c r="AP1152" s="98"/>
      <c r="AQ1152" s="98"/>
      <c r="AR1152" s="69"/>
      <c r="AS1152" s="98"/>
      <c r="AT1152" s="98"/>
      <c r="AU1152" s="69"/>
      <c r="AV1152" s="13"/>
      <c r="AW1152" s="13"/>
      <c r="AX1152" s="13"/>
      <c r="AY1152" s="13"/>
      <c r="AZ1152" s="13"/>
      <c r="BA1152" s="13"/>
      <c r="BB1152" s="13"/>
      <c r="BC1152" s="13"/>
      <c r="BD1152" s="13"/>
      <c r="BE1152" s="13"/>
      <c r="BF1152" s="13"/>
      <c r="BG1152" s="13"/>
      <c r="BH1152" s="13"/>
      <c r="BI1152" s="13"/>
      <c r="BJ1152" s="13"/>
      <c r="BK1152" s="13"/>
      <c r="BL1152" s="13"/>
      <c r="BM1152" s="13"/>
      <c r="BN1152" s="13"/>
      <c r="BO1152" s="13"/>
      <c r="BP1152" s="13"/>
      <c r="BQ1152" s="13"/>
      <c r="BR1152" s="13"/>
    </row>
    <row r="1153">
      <c r="A1153" s="69"/>
      <c r="B1153" s="69"/>
      <c r="C1153" s="99"/>
      <c r="D1153" s="99"/>
      <c r="E1153" s="13"/>
      <c r="F1153" s="99"/>
      <c r="G1153" s="13"/>
      <c r="H1153" s="69"/>
      <c r="I1153" s="98"/>
      <c r="J1153" s="69"/>
      <c r="K1153" s="99"/>
      <c r="L1153" s="99"/>
      <c r="M1153" s="128"/>
      <c r="N1153" s="182"/>
      <c r="O1153" s="98"/>
      <c r="P1153" s="128"/>
      <c r="Q1153" s="13"/>
      <c r="R1153" s="13"/>
      <c r="S1153" s="13"/>
      <c r="T1153" s="98"/>
      <c r="U1153" s="69"/>
      <c r="V1153" s="105"/>
      <c r="W1153" s="150"/>
      <c r="X1153" s="69"/>
      <c r="Y1153" s="99"/>
      <c r="Z1153" s="99"/>
      <c r="AA1153" s="99"/>
      <c r="AB1153" s="99"/>
      <c r="AC1153" s="99"/>
      <c r="AD1153" s="99"/>
      <c r="AE1153" s="150"/>
      <c r="AF1153" s="150"/>
      <c r="AG1153" s="99"/>
      <c r="AH1153" s="99"/>
      <c r="AI1153" s="105"/>
      <c r="AJ1153" s="105"/>
      <c r="AK1153" s="105"/>
      <c r="AL1153" s="98"/>
      <c r="AM1153" s="105"/>
      <c r="AN1153" s="98"/>
      <c r="AO1153" s="110"/>
      <c r="AP1153" s="98"/>
      <c r="AQ1153" s="98"/>
      <c r="AR1153" s="69"/>
      <c r="AS1153" s="98"/>
      <c r="AT1153" s="98"/>
      <c r="AU1153" s="69"/>
      <c r="AV1153" s="13"/>
      <c r="AW1153" s="13"/>
      <c r="AX1153" s="13"/>
      <c r="AY1153" s="13"/>
      <c r="AZ1153" s="13"/>
      <c r="BA1153" s="13"/>
      <c r="BB1153" s="13"/>
      <c r="BC1153" s="13"/>
      <c r="BD1153" s="13"/>
      <c r="BE1153" s="13"/>
      <c r="BF1153" s="13"/>
      <c r="BG1153" s="13"/>
      <c r="BH1153" s="13"/>
      <c r="BI1153" s="13"/>
      <c r="BJ1153" s="13"/>
      <c r="BK1153" s="13"/>
      <c r="BL1153" s="13"/>
      <c r="BM1153" s="13"/>
      <c r="BN1153" s="13"/>
      <c r="BO1153" s="13"/>
      <c r="BP1153" s="13"/>
      <c r="BQ1153" s="13"/>
      <c r="BR1153" s="13"/>
    </row>
    <row r="1154">
      <c r="A1154" s="69"/>
      <c r="B1154" s="69"/>
      <c r="C1154" s="99"/>
      <c r="D1154" s="99"/>
      <c r="E1154" s="13"/>
      <c r="F1154" s="99"/>
      <c r="G1154" s="13"/>
      <c r="H1154" s="69"/>
      <c r="I1154" s="98"/>
      <c r="J1154" s="69"/>
      <c r="K1154" s="99"/>
      <c r="L1154" s="99"/>
      <c r="M1154" s="128"/>
      <c r="N1154" s="182"/>
      <c r="O1154" s="98"/>
      <c r="P1154" s="128"/>
      <c r="Q1154" s="13"/>
      <c r="R1154" s="13"/>
      <c r="S1154" s="13"/>
      <c r="T1154" s="98"/>
      <c r="U1154" s="69"/>
      <c r="V1154" s="105"/>
      <c r="W1154" s="150"/>
      <c r="X1154" s="69"/>
      <c r="Y1154" s="99"/>
      <c r="Z1154" s="99"/>
      <c r="AA1154" s="99"/>
      <c r="AB1154" s="99"/>
      <c r="AC1154" s="99"/>
      <c r="AD1154" s="99"/>
      <c r="AE1154" s="150"/>
      <c r="AF1154" s="150"/>
      <c r="AG1154" s="99"/>
      <c r="AH1154" s="99"/>
      <c r="AI1154" s="105"/>
      <c r="AJ1154" s="105"/>
      <c r="AK1154" s="105"/>
      <c r="AL1154" s="98"/>
      <c r="AM1154" s="105"/>
      <c r="AN1154" s="98"/>
      <c r="AO1154" s="110"/>
      <c r="AP1154" s="98"/>
      <c r="AQ1154" s="98"/>
      <c r="AR1154" s="69"/>
      <c r="AS1154" s="98"/>
      <c r="AT1154" s="98"/>
      <c r="AU1154" s="69"/>
      <c r="AV1154" s="13"/>
      <c r="AW1154" s="13"/>
      <c r="AX1154" s="13"/>
      <c r="AY1154" s="13"/>
      <c r="AZ1154" s="13"/>
      <c r="BA1154" s="13"/>
      <c r="BB1154" s="13"/>
      <c r="BC1154" s="13"/>
      <c r="BD1154" s="13"/>
      <c r="BE1154" s="13"/>
      <c r="BF1154" s="13"/>
      <c r="BG1154" s="13"/>
      <c r="BH1154" s="13"/>
      <c r="BI1154" s="13"/>
      <c r="BJ1154" s="13"/>
      <c r="BK1154" s="13"/>
      <c r="BL1154" s="13"/>
      <c r="BM1154" s="13"/>
      <c r="BN1154" s="13"/>
      <c r="BO1154" s="13"/>
      <c r="BP1154" s="13"/>
      <c r="BQ1154" s="13"/>
      <c r="BR1154" s="13"/>
    </row>
    <row r="1155">
      <c r="A1155" s="69"/>
      <c r="B1155" s="69"/>
      <c r="C1155" s="99"/>
      <c r="D1155" s="99"/>
      <c r="E1155" s="13"/>
      <c r="F1155" s="99"/>
      <c r="G1155" s="13"/>
      <c r="H1155" s="69"/>
      <c r="I1155" s="98"/>
      <c r="J1155" s="69"/>
      <c r="K1155" s="99"/>
      <c r="L1155" s="99"/>
      <c r="M1155" s="128"/>
      <c r="N1155" s="182"/>
      <c r="O1155" s="98"/>
      <c r="P1155" s="128"/>
      <c r="Q1155" s="13"/>
      <c r="R1155" s="13"/>
      <c r="S1155" s="13"/>
      <c r="T1155" s="98"/>
      <c r="U1155" s="69"/>
      <c r="V1155" s="105"/>
      <c r="W1155" s="150"/>
      <c r="X1155" s="69"/>
      <c r="Y1155" s="99"/>
      <c r="Z1155" s="99"/>
      <c r="AA1155" s="99"/>
      <c r="AB1155" s="99"/>
      <c r="AC1155" s="99"/>
      <c r="AD1155" s="99"/>
      <c r="AE1155" s="150"/>
      <c r="AF1155" s="150"/>
      <c r="AG1155" s="99"/>
      <c r="AH1155" s="99"/>
      <c r="AI1155" s="105"/>
      <c r="AJ1155" s="105"/>
      <c r="AK1155" s="105"/>
      <c r="AL1155" s="98"/>
      <c r="AM1155" s="105"/>
      <c r="AN1155" s="98"/>
      <c r="AO1155" s="110"/>
      <c r="AP1155" s="98"/>
      <c r="AQ1155" s="98"/>
      <c r="AR1155" s="69"/>
      <c r="AS1155" s="98"/>
      <c r="AT1155" s="98"/>
      <c r="AU1155" s="69"/>
      <c r="AV1155" s="13"/>
      <c r="AW1155" s="13"/>
      <c r="AX1155" s="13"/>
      <c r="AY1155" s="13"/>
      <c r="AZ1155" s="13"/>
      <c r="BA1155" s="13"/>
      <c r="BB1155" s="13"/>
      <c r="BC1155" s="13"/>
      <c r="BD1155" s="13"/>
      <c r="BE1155" s="13"/>
      <c r="BF1155" s="13"/>
      <c r="BG1155" s="13"/>
      <c r="BH1155" s="13"/>
      <c r="BI1155" s="13"/>
      <c r="BJ1155" s="13"/>
      <c r="BK1155" s="13"/>
      <c r="BL1155" s="13"/>
      <c r="BM1155" s="13"/>
      <c r="BN1155" s="13"/>
      <c r="BO1155" s="13"/>
      <c r="BP1155" s="13"/>
      <c r="BQ1155" s="13"/>
      <c r="BR1155" s="13"/>
    </row>
    <row r="1156">
      <c r="A1156" s="69"/>
      <c r="B1156" s="69"/>
      <c r="C1156" s="99"/>
      <c r="D1156" s="99"/>
      <c r="E1156" s="13"/>
      <c r="F1156" s="99"/>
      <c r="G1156" s="13"/>
      <c r="H1156" s="69"/>
      <c r="I1156" s="98"/>
      <c r="J1156" s="69"/>
      <c r="K1156" s="99"/>
      <c r="L1156" s="99"/>
      <c r="M1156" s="128"/>
      <c r="N1156" s="182"/>
      <c r="O1156" s="98"/>
      <c r="P1156" s="128"/>
      <c r="Q1156" s="13"/>
      <c r="R1156" s="13"/>
      <c r="S1156" s="13"/>
      <c r="T1156" s="98"/>
      <c r="U1156" s="69"/>
      <c r="V1156" s="105"/>
      <c r="W1156" s="150"/>
      <c r="X1156" s="69"/>
      <c r="Y1156" s="99"/>
      <c r="Z1156" s="99"/>
      <c r="AA1156" s="99"/>
      <c r="AB1156" s="99"/>
      <c r="AC1156" s="99"/>
      <c r="AD1156" s="99"/>
      <c r="AE1156" s="150"/>
      <c r="AF1156" s="150"/>
      <c r="AG1156" s="99"/>
      <c r="AH1156" s="99"/>
      <c r="AI1156" s="105"/>
      <c r="AJ1156" s="105"/>
      <c r="AK1156" s="105"/>
      <c r="AL1156" s="98"/>
      <c r="AM1156" s="105"/>
      <c r="AN1156" s="98"/>
      <c r="AO1156" s="110"/>
      <c r="AP1156" s="98"/>
      <c r="AQ1156" s="98"/>
      <c r="AR1156" s="69"/>
      <c r="AS1156" s="98"/>
      <c r="AT1156" s="98"/>
      <c r="AU1156" s="69"/>
      <c r="AV1156" s="13"/>
      <c r="AW1156" s="13"/>
      <c r="AX1156" s="13"/>
      <c r="AY1156" s="13"/>
      <c r="AZ1156" s="13"/>
      <c r="BA1156" s="13"/>
      <c r="BB1156" s="13"/>
      <c r="BC1156" s="13"/>
      <c r="BD1156" s="13"/>
      <c r="BE1156" s="13"/>
      <c r="BF1156" s="13"/>
      <c r="BG1156" s="13"/>
      <c r="BH1156" s="13"/>
      <c r="BI1156" s="13"/>
      <c r="BJ1156" s="13"/>
      <c r="BK1156" s="13"/>
      <c r="BL1156" s="13"/>
      <c r="BM1156" s="13"/>
      <c r="BN1156" s="13"/>
      <c r="BO1156" s="13"/>
      <c r="BP1156" s="13"/>
      <c r="BQ1156" s="13"/>
      <c r="BR1156" s="13"/>
    </row>
    <row r="1157">
      <c r="A1157" s="69"/>
      <c r="B1157" s="69"/>
      <c r="C1157" s="99"/>
      <c r="D1157" s="99"/>
      <c r="E1157" s="13"/>
      <c r="F1157" s="99"/>
      <c r="G1157" s="13"/>
      <c r="H1157" s="69"/>
      <c r="I1157" s="98"/>
      <c r="J1157" s="69"/>
      <c r="K1157" s="99"/>
      <c r="L1157" s="99"/>
      <c r="M1157" s="128"/>
      <c r="N1157" s="182"/>
      <c r="O1157" s="98"/>
      <c r="P1157" s="128"/>
      <c r="Q1157" s="13"/>
      <c r="R1157" s="13"/>
      <c r="S1157" s="13"/>
      <c r="T1157" s="98"/>
      <c r="U1157" s="69"/>
      <c r="V1157" s="105"/>
      <c r="W1157" s="150"/>
      <c r="X1157" s="69"/>
      <c r="Y1157" s="99"/>
      <c r="Z1157" s="99"/>
      <c r="AA1157" s="99"/>
      <c r="AB1157" s="99"/>
      <c r="AC1157" s="99"/>
      <c r="AD1157" s="99"/>
      <c r="AE1157" s="150"/>
      <c r="AF1157" s="150"/>
      <c r="AG1157" s="99"/>
      <c r="AH1157" s="99"/>
      <c r="AI1157" s="105"/>
      <c r="AJ1157" s="105"/>
      <c r="AK1157" s="105"/>
      <c r="AL1157" s="98"/>
      <c r="AM1157" s="105"/>
      <c r="AN1157" s="98"/>
      <c r="AO1157" s="110"/>
      <c r="AP1157" s="98"/>
      <c r="AQ1157" s="98"/>
      <c r="AR1157" s="69"/>
      <c r="AS1157" s="98"/>
      <c r="AT1157" s="98"/>
      <c r="AU1157" s="69"/>
      <c r="AV1157" s="13"/>
      <c r="AW1157" s="13"/>
      <c r="AX1157" s="13"/>
      <c r="AY1157" s="13"/>
      <c r="AZ1157" s="13"/>
      <c r="BA1157" s="13"/>
      <c r="BB1157" s="13"/>
      <c r="BC1157" s="13"/>
      <c r="BD1157" s="13"/>
      <c r="BE1157" s="13"/>
      <c r="BF1157" s="13"/>
      <c r="BG1157" s="13"/>
      <c r="BH1157" s="13"/>
      <c r="BI1157" s="13"/>
      <c r="BJ1157" s="13"/>
      <c r="BK1157" s="13"/>
      <c r="BL1157" s="13"/>
      <c r="BM1157" s="13"/>
      <c r="BN1157" s="13"/>
      <c r="BO1157" s="13"/>
      <c r="BP1157" s="13"/>
      <c r="BQ1157" s="13"/>
      <c r="BR1157" s="13"/>
    </row>
    <row r="1158">
      <c r="A1158" s="69"/>
      <c r="B1158" s="69"/>
      <c r="C1158" s="99"/>
      <c r="D1158" s="99"/>
      <c r="E1158" s="13"/>
      <c r="F1158" s="99"/>
      <c r="G1158" s="13"/>
      <c r="H1158" s="69"/>
      <c r="I1158" s="98"/>
      <c r="J1158" s="69"/>
      <c r="K1158" s="99"/>
      <c r="L1158" s="99"/>
      <c r="M1158" s="128"/>
      <c r="N1158" s="182"/>
      <c r="O1158" s="98"/>
      <c r="P1158" s="128"/>
      <c r="Q1158" s="13"/>
      <c r="R1158" s="13"/>
      <c r="S1158" s="13"/>
      <c r="T1158" s="98"/>
      <c r="U1158" s="69"/>
      <c r="V1158" s="105"/>
      <c r="W1158" s="150"/>
      <c r="X1158" s="69"/>
      <c r="Y1158" s="99"/>
      <c r="Z1158" s="99"/>
      <c r="AA1158" s="99"/>
      <c r="AB1158" s="99"/>
      <c r="AC1158" s="99"/>
      <c r="AD1158" s="99"/>
      <c r="AE1158" s="150"/>
      <c r="AF1158" s="150"/>
      <c r="AG1158" s="99"/>
      <c r="AH1158" s="99"/>
      <c r="AI1158" s="105"/>
      <c r="AJ1158" s="105"/>
      <c r="AK1158" s="105"/>
      <c r="AL1158" s="98"/>
      <c r="AM1158" s="105"/>
      <c r="AN1158" s="98"/>
      <c r="AO1158" s="110"/>
      <c r="AP1158" s="98"/>
      <c r="AQ1158" s="98"/>
      <c r="AR1158" s="69"/>
      <c r="AS1158" s="98"/>
      <c r="AT1158" s="98"/>
      <c r="AU1158" s="69"/>
      <c r="AV1158" s="13"/>
      <c r="AW1158" s="13"/>
      <c r="AX1158" s="13"/>
      <c r="AY1158" s="13"/>
      <c r="AZ1158" s="13"/>
      <c r="BA1158" s="13"/>
      <c r="BB1158" s="13"/>
      <c r="BC1158" s="13"/>
      <c r="BD1158" s="13"/>
      <c r="BE1158" s="13"/>
      <c r="BF1158" s="13"/>
      <c r="BG1158" s="13"/>
      <c r="BH1158" s="13"/>
      <c r="BI1158" s="13"/>
      <c r="BJ1158" s="13"/>
      <c r="BK1158" s="13"/>
      <c r="BL1158" s="13"/>
      <c r="BM1158" s="13"/>
      <c r="BN1158" s="13"/>
      <c r="BO1158" s="13"/>
      <c r="BP1158" s="13"/>
      <c r="BQ1158" s="13"/>
      <c r="BR1158" s="13"/>
    </row>
    <row r="1159">
      <c r="A1159" s="69"/>
      <c r="B1159" s="69"/>
      <c r="C1159" s="99"/>
      <c r="D1159" s="99"/>
      <c r="E1159" s="13"/>
      <c r="F1159" s="99"/>
      <c r="G1159" s="13"/>
      <c r="H1159" s="69"/>
      <c r="I1159" s="98"/>
      <c r="J1159" s="69"/>
      <c r="K1159" s="99"/>
      <c r="L1159" s="99"/>
      <c r="M1159" s="128"/>
      <c r="N1159" s="182"/>
      <c r="O1159" s="98"/>
      <c r="P1159" s="128"/>
      <c r="Q1159" s="13"/>
      <c r="R1159" s="13"/>
      <c r="S1159" s="13"/>
      <c r="T1159" s="98"/>
      <c r="U1159" s="69"/>
      <c r="V1159" s="105"/>
      <c r="W1159" s="150"/>
      <c r="X1159" s="69"/>
      <c r="Y1159" s="99"/>
      <c r="Z1159" s="99"/>
      <c r="AA1159" s="99"/>
      <c r="AB1159" s="99"/>
      <c r="AC1159" s="99"/>
      <c r="AD1159" s="99"/>
      <c r="AE1159" s="150"/>
      <c r="AF1159" s="150"/>
      <c r="AG1159" s="99"/>
      <c r="AH1159" s="99"/>
      <c r="AI1159" s="105"/>
      <c r="AJ1159" s="105"/>
      <c r="AK1159" s="105"/>
      <c r="AL1159" s="98"/>
      <c r="AM1159" s="105"/>
      <c r="AN1159" s="98"/>
      <c r="AO1159" s="110"/>
      <c r="AP1159" s="98"/>
      <c r="AQ1159" s="98"/>
      <c r="AR1159" s="69"/>
      <c r="AS1159" s="98"/>
      <c r="AT1159" s="98"/>
      <c r="AU1159" s="69"/>
      <c r="AV1159" s="13"/>
      <c r="AW1159" s="13"/>
      <c r="AX1159" s="13"/>
      <c r="AY1159" s="13"/>
      <c r="AZ1159" s="13"/>
      <c r="BA1159" s="13"/>
      <c r="BB1159" s="13"/>
      <c r="BC1159" s="13"/>
      <c r="BD1159" s="13"/>
      <c r="BE1159" s="13"/>
      <c r="BF1159" s="13"/>
      <c r="BG1159" s="13"/>
      <c r="BH1159" s="13"/>
      <c r="BI1159" s="13"/>
      <c r="BJ1159" s="13"/>
      <c r="BK1159" s="13"/>
      <c r="BL1159" s="13"/>
      <c r="BM1159" s="13"/>
      <c r="BN1159" s="13"/>
      <c r="BO1159" s="13"/>
      <c r="BP1159" s="13"/>
      <c r="BQ1159" s="13"/>
      <c r="BR1159" s="13"/>
    </row>
    <row r="1160">
      <c r="A1160" s="69"/>
      <c r="B1160" s="69"/>
      <c r="C1160" s="99"/>
      <c r="D1160" s="99"/>
      <c r="E1160" s="13"/>
      <c r="F1160" s="99"/>
      <c r="G1160" s="13"/>
      <c r="H1160" s="69"/>
      <c r="I1160" s="98"/>
      <c r="J1160" s="69"/>
      <c r="K1160" s="99"/>
      <c r="L1160" s="99"/>
      <c r="M1160" s="128"/>
      <c r="N1160" s="182"/>
      <c r="O1160" s="98"/>
      <c r="P1160" s="128"/>
      <c r="Q1160" s="13"/>
      <c r="R1160" s="13"/>
      <c r="S1160" s="13"/>
      <c r="T1160" s="98"/>
      <c r="U1160" s="69"/>
      <c r="V1160" s="105"/>
      <c r="W1160" s="150"/>
      <c r="X1160" s="69"/>
      <c r="Y1160" s="99"/>
      <c r="Z1160" s="99"/>
      <c r="AA1160" s="99"/>
      <c r="AB1160" s="99"/>
      <c r="AC1160" s="99"/>
      <c r="AD1160" s="99"/>
      <c r="AE1160" s="150"/>
      <c r="AF1160" s="150"/>
      <c r="AG1160" s="99"/>
      <c r="AH1160" s="99"/>
      <c r="AI1160" s="105"/>
      <c r="AJ1160" s="105"/>
      <c r="AK1160" s="105"/>
      <c r="AL1160" s="98"/>
      <c r="AM1160" s="105"/>
      <c r="AN1160" s="98"/>
      <c r="AO1160" s="110"/>
      <c r="AP1160" s="98"/>
      <c r="AQ1160" s="98"/>
      <c r="AR1160" s="69"/>
      <c r="AS1160" s="98"/>
      <c r="AT1160" s="98"/>
      <c r="AU1160" s="69"/>
      <c r="AV1160" s="13"/>
      <c r="AW1160" s="13"/>
      <c r="AX1160" s="13"/>
      <c r="AY1160" s="13"/>
      <c r="AZ1160" s="13"/>
      <c r="BA1160" s="13"/>
      <c r="BB1160" s="13"/>
      <c r="BC1160" s="13"/>
      <c r="BD1160" s="13"/>
      <c r="BE1160" s="13"/>
      <c r="BF1160" s="13"/>
      <c r="BG1160" s="13"/>
      <c r="BH1160" s="13"/>
      <c r="BI1160" s="13"/>
      <c r="BJ1160" s="13"/>
      <c r="BK1160" s="13"/>
      <c r="BL1160" s="13"/>
      <c r="BM1160" s="13"/>
      <c r="BN1160" s="13"/>
      <c r="BO1160" s="13"/>
      <c r="BP1160" s="13"/>
      <c r="BQ1160" s="13"/>
      <c r="BR1160" s="13"/>
    </row>
    <row r="1161">
      <c r="A1161" s="69"/>
      <c r="B1161" s="69"/>
      <c r="C1161" s="99"/>
      <c r="D1161" s="99"/>
      <c r="E1161" s="13"/>
      <c r="F1161" s="99"/>
      <c r="G1161" s="13"/>
      <c r="H1161" s="69"/>
      <c r="I1161" s="98"/>
      <c r="J1161" s="69"/>
      <c r="K1161" s="99"/>
      <c r="L1161" s="99"/>
      <c r="M1161" s="128"/>
      <c r="N1161" s="182"/>
      <c r="O1161" s="98"/>
      <c r="P1161" s="128"/>
      <c r="Q1161" s="13"/>
      <c r="R1161" s="13"/>
      <c r="S1161" s="13"/>
      <c r="T1161" s="98"/>
      <c r="U1161" s="69"/>
      <c r="V1161" s="105"/>
      <c r="W1161" s="150"/>
      <c r="X1161" s="69"/>
      <c r="Y1161" s="99"/>
      <c r="Z1161" s="99"/>
      <c r="AA1161" s="99"/>
      <c r="AB1161" s="99"/>
      <c r="AC1161" s="99"/>
      <c r="AD1161" s="99"/>
      <c r="AE1161" s="150"/>
      <c r="AF1161" s="150"/>
      <c r="AG1161" s="99"/>
      <c r="AH1161" s="99"/>
      <c r="AI1161" s="105"/>
      <c r="AJ1161" s="105"/>
      <c r="AK1161" s="105"/>
      <c r="AL1161" s="98"/>
      <c r="AM1161" s="105"/>
      <c r="AN1161" s="98"/>
      <c r="AO1161" s="110"/>
      <c r="AP1161" s="98"/>
      <c r="AQ1161" s="98"/>
      <c r="AR1161" s="69"/>
      <c r="AS1161" s="98"/>
      <c r="AT1161" s="98"/>
      <c r="AU1161" s="69"/>
      <c r="AV1161" s="13"/>
      <c r="AW1161" s="13"/>
      <c r="AX1161" s="13"/>
      <c r="AY1161" s="13"/>
      <c r="AZ1161" s="13"/>
      <c r="BA1161" s="13"/>
      <c r="BB1161" s="13"/>
      <c r="BC1161" s="13"/>
      <c r="BD1161" s="13"/>
      <c r="BE1161" s="13"/>
      <c r="BF1161" s="13"/>
      <c r="BG1161" s="13"/>
      <c r="BH1161" s="13"/>
      <c r="BI1161" s="13"/>
      <c r="BJ1161" s="13"/>
      <c r="BK1161" s="13"/>
      <c r="BL1161" s="13"/>
      <c r="BM1161" s="13"/>
      <c r="BN1161" s="13"/>
      <c r="BO1161" s="13"/>
      <c r="BP1161" s="13"/>
      <c r="BQ1161" s="13"/>
      <c r="BR1161" s="13"/>
    </row>
    <row r="1162">
      <c r="A1162" s="69"/>
      <c r="B1162" s="69"/>
      <c r="C1162" s="99"/>
      <c r="D1162" s="99"/>
      <c r="E1162" s="13"/>
      <c r="F1162" s="99"/>
      <c r="G1162" s="13"/>
      <c r="H1162" s="69"/>
      <c r="I1162" s="98"/>
      <c r="J1162" s="69"/>
      <c r="K1162" s="99"/>
      <c r="L1162" s="99"/>
      <c r="M1162" s="128"/>
      <c r="N1162" s="182"/>
      <c r="O1162" s="98"/>
      <c r="P1162" s="128"/>
      <c r="Q1162" s="13"/>
      <c r="R1162" s="13"/>
      <c r="S1162" s="13"/>
      <c r="T1162" s="98"/>
      <c r="U1162" s="69"/>
      <c r="V1162" s="105"/>
      <c r="W1162" s="150"/>
      <c r="X1162" s="69"/>
      <c r="Y1162" s="99"/>
      <c r="Z1162" s="99"/>
      <c r="AA1162" s="99"/>
      <c r="AB1162" s="99"/>
      <c r="AC1162" s="99"/>
      <c r="AD1162" s="99"/>
      <c r="AE1162" s="150"/>
      <c r="AF1162" s="150"/>
      <c r="AG1162" s="99"/>
      <c r="AH1162" s="99"/>
      <c r="AI1162" s="105"/>
      <c r="AJ1162" s="105"/>
      <c r="AK1162" s="105"/>
      <c r="AL1162" s="98"/>
      <c r="AM1162" s="105"/>
      <c r="AN1162" s="98"/>
      <c r="AO1162" s="110"/>
      <c r="AP1162" s="98"/>
      <c r="AQ1162" s="98"/>
      <c r="AR1162" s="69"/>
      <c r="AS1162" s="98"/>
      <c r="AT1162" s="98"/>
      <c r="AU1162" s="69"/>
      <c r="AV1162" s="13"/>
      <c r="AW1162" s="13"/>
      <c r="AX1162" s="13"/>
      <c r="AY1162" s="13"/>
      <c r="AZ1162" s="13"/>
      <c r="BA1162" s="13"/>
      <c r="BB1162" s="13"/>
      <c r="BC1162" s="13"/>
      <c r="BD1162" s="13"/>
      <c r="BE1162" s="13"/>
      <c r="BF1162" s="13"/>
      <c r="BG1162" s="13"/>
      <c r="BH1162" s="13"/>
      <c r="BI1162" s="13"/>
      <c r="BJ1162" s="13"/>
      <c r="BK1162" s="13"/>
      <c r="BL1162" s="13"/>
      <c r="BM1162" s="13"/>
      <c r="BN1162" s="13"/>
      <c r="BO1162" s="13"/>
      <c r="BP1162" s="13"/>
      <c r="BQ1162" s="13"/>
      <c r="BR1162" s="13"/>
    </row>
    <row r="1163">
      <c r="A1163" s="69"/>
      <c r="B1163" s="69"/>
      <c r="C1163" s="99"/>
      <c r="D1163" s="99"/>
      <c r="E1163" s="13"/>
      <c r="F1163" s="99"/>
      <c r="G1163" s="13"/>
      <c r="H1163" s="69"/>
      <c r="I1163" s="98"/>
      <c r="J1163" s="69"/>
      <c r="K1163" s="99"/>
      <c r="L1163" s="99"/>
      <c r="M1163" s="128"/>
      <c r="N1163" s="182"/>
      <c r="O1163" s="98"/>
      <c r="P1163" s="128"/>
      <c r="Q1163" s="13"/>
      <c r="R1163" s="13"/>
      <c r="S1163" s="13"/>
      <c r="T1163" s="98"/>
      <c r="U1163" s="69"/>
      <c r="V1163" s="105"/>
      <c r="W1163" s="150"/>
      <c r="X1163" s="69"/>
      <c r="Y1163" s="99"/>
      <c r="Z1163" s="99"/>
      <c r="AA1163" s="99"/>
      <c r="AB1163" s="99"/>
      <c r="AC1163" s="99"/>
      <c r="AD1163" s="99"/>
      <c r="AE1163" s="150"/>
      <c r="AF1163" s="150"/>
      <c r="AG1163" s="99"/>
      <c r="AH1163" s="99"/>
      <c r="AI1163" s="105"/>
      <c r="AJ1163" s="105"/>
      <c r="AK1163" s="105"/>
      <c r="AL1163" s="98"/>
      <c r="AM1163" s="105"/>
      <c r="AN1163" s="98"/>
      <c r="AO1163" s="110"/>
      <c r="AP1163" s="98"/>
      <c r="AQ1163" s="98"/>
      <c r="AR1163" s="69"/>
      <c r="AS1163" s="98"/>
      <c r="AT1163" s="98"/>
      <c r="AU1163" s="69"/>
      <c r="AV1163" s="13"/>
      <c r="AW1163" s="13"/>
      <c r="AX1163" s="13"/>
      <c r="AY1163" s="13"/>
      <c r="AZ1163" s="13"/>
      <c r="BA1163" s="13"/>
      <c r="BB1163" s="13"/>
      <c r="BC1163" s="13"/>
      <c r="BD1163" s="13"/>
      <c r="BE1163" s="13"/>
      <c r="BF1163" s="13"/>
      <c r="BG1163" s="13"/>
      <c r="BH1163" s="13"/>
      <c r="BI1163" s="13"/>
      <c r="BJ1163" s="13"/>
      <c r="BK1163" s="13"/>
      <c r="BL1163" s="13"/>
      <c r="BM1163" s="13"/>
      <c r="BN1163" s="13"/>
      <c r="BO1163" s="13"/>
      <c r="BP1163" s="13"/>
      <c r="BQ1163" s="13"/>
      <c r="BR1163" s="13"/>
    </row>
    <row r="1164">
      <c r="A1164" s="69"/>
      <c r="B1164" s="69"/>
      <c r="C1164" s="99"/>
      <c r="D1164" s="99"/>
      <c r="E1164" s="13"/>
      <c r="F1164" s="99"/>
      <c r="G1164" s="13"/>
      <c r="H1164" s="69"/>
      <c r="I1164" s="98"/>
      <c r="J1164" s="69"/>
      <c r="K1164" s="99"/>
      <c r="L1164" s="99"/>
      <c r="M1164" s="128"/>
      <c r="N1164" s="182"/>
      <c r="O1164" s="98"/>
      <c r="P1164" s="128"/>
      <c r="Q1164" s="13"/>
      <c r="R1164" s="13"/>
      <c r="S1164" s="13"/>
      <c r="T1164" s="98"/>
      <c r="U1164" s="69"/>
      <c r="V1164" s="105"/>
      <c r="W1164" s="150"/>
      <c r="X1164" s="69"/>
      <c r="Y1164" s="99"/>
      <c r="Z1164" s="99"/>
      <c r="AA1164" s="99"/>
      <c r="AB1164" s="99"/>
      <c r="AC1164" s="99"/>
      <c r="AD1164" s="99"/>
      <c r="AE1164" s="150"/>
      <c r="AF1164" s="150"/>
      <c r="AG1164" s="99"/>
      <c r="AH1164" s="99"/>
      <c r="AI1164" s="105"/>
      <c r="AJ1164" s="105"/>
      <c r="AK1164" s="105"/>
      <c r="AL1164" s="98"/>
      <c r="AM1164" s="105"/>
      <c r="AN1164" s="98"/>
      <c r="AO1164" s="110"/>
      <c r="AP1164" s="98"/>
      <c r="AQ1164" s="98"/>
      <c r="AR1164" s="69"/>
      <c r="AS1164" s="98"/>
      <c r="AT1164" s="98"/>
      <c r="AU1164" s="69"/>
      <c r="AV1164" s="13"/>
      <c r="AW1164" s="13"/>
      <c r="AX1164" s="13"/>
      <c r="AY1164" s="13"/>
      <c r="AZ1164" s="13"/>
      <c r="BA1164" s="13"/>
      <c r="BB1164" s="13"/>
      <c r="BC1164" s="13"/>
      <c r="BD1164" s="13"/>
      <c r="BE1164" s="13"/>
      <c r="BF1164" s="13"/>
      <c r="BG1164" s="13"/>
      <c r="BH1164" s="13"/>
      <c r="BI1164" s="13"/>
      <c r="BJ1164" s="13"/>
      <c r="BK1164" s="13"/>
      <c r="BL1164" s="13"/>
      <c r="BM1164" s="13"/>
      <c r="BN1164" s="13"/>
      <c r="BO1164" s="13"/>
      <c r="BP1164" s="13"/>
      <c r="BQ1164" s="13"/>
      <c r="BR1164" s="13"/>
    </row>
    <row r="1165">
      <c r="A1165" s="69"/>
      <c r="B1165" s="69"/>
      <c r="C1165" s="99"/>
      <c r="D1165" s="99"/>
      <c r="E1165" s="13"/>
      <c r="F1165" s="99"/>
      <c r="G1165" s="13"/>
      <c r="H1165" s="69"/>
      <c r="I1165" s="98"/>
      <c r="J1165" s="69"/>
      <c r="K1165" s="99"/>
      <c r="L1165" s="99"/>
      <c r="M1165" s="128"/>
      <c r="N1165" s="182"/>
      <c r="O1165" s="98"/>
      <c r="P1165" s="128"/>
      <c r="Q1165" s="13"/>
      <c r="R1165" s="13"/>
      <c r="S1165" s="13"/>
      <c r="T1165" s="98"/>
      <c r="U1165" s="69"/>
      <c r="V1165" s="105"/>
      <c r="W1165" s="150"/>
      <c r="X1165" s="69"/>
      <c r="Y1165" s="99"/>
      <c r="Z1165" s="99"/>
      <c r="AA1165" s="99"/>
      <c r="AB1165" s="99"/>
      <c r="AC1165" s="99"/>
      <c r="AD1165" s="99"/>
      <c r="AE1165" s="150"/>
      <c r="AF1165" s="150"/>
      <c r="AG1165" s="99"/>
      <c r="AH1165" s="99"/>
      <c r="AI1165" s="105"/>
      <c r="AJ1165" s="105"/>
      <c r="AK1165" s="105"/>
      <c r="AL1165" s="98"/>
      <c r="AM1165" s="105"/>
      <c r="AN1165" s="98"/>
      <c r="AO1165" s="110"/>
      <c r="AP1165" s="98"/>
      <c r="AQ1165" s="98"/>
      <c r="AR1165" s="69"/>
      <c r="AS1165" s="98"/>
      <c r="AT1165" s="98"/>
      <c r="AU1165" s="69"/>
      <c r="AV1165" s="13"/>
      <c r="AW1165" s="13"/>
      <c r="AX1165" s="13"/>
      <c r="AY1165" s="13"/>
      <c r="AZ1165" s="13"/>
      <c r="BA1165" s="13"/>
      <c r="BB1165" s="13"/>
      <c r="BC1165" s="13"/>
      <c r="BD1165" s="13"/>
      <c r="BE1165" s="13"/>
      <c r="BF1165" s="13"/>
      <c r="BG1165" s="13"/>
      <c r="BH1165" s="13"/>
      <c r="BI1165" s="13"/>
      <c r="BJ1165" s="13"/>
      <c r="BK1165" s="13"/>
      <c r="BL1165" s="13"/>
      <c r="BM1165" s="13"/>
      <c r="BN1165" s="13"/>
      <c r="BO1165" s="13"/>
      <c r="BP1165" s="13"/>
      <c r="BQ1165" s="13"/>
      <c r="BR1165" s="13"/>
    </row>
    <row r="1166">
      <c r="A1166" s="69"/>
      <c r="B1166" s="69"/>
      <c r="C1166" s="99"/>
      <c r="D1166" s="99"/>
      <c r="E1166" s="13"/>
      <c r="F1166" s="99"/>
      <c r="G1166" s="13"/>
      <c r="H1166" s="69"/>
      <c r="I1166" s="98"/>
      <c r="J1166" s="69"/>
      <c r="K1166" s="99"/>
      <c r="L1166" s="99"/>
      <c r="M1166" s="128"/>
      <c r="N1166" s="182"/>
      <c r="O1166" s="98"/>
      <c r="P1166" s="128"/>
      <c r="Q1166" s="13"/>
      <c r="R1166" s="13"/>
      <c r="S1166" s="13"/>
      <c r="T1166" s="98"/>
      <c r="U1166" s="69"/>
      <c r="V1166" s="105"/>
      <c r="W1166" s="150"/>
      <c r="X1166" s="69"/>
      <c r="Y1166" s="99"/>
      <c r="Z1166" s="99"/>
      <c r="AA1166" s="99"/>
      <c r="AB1166" s="99"/>
      <c r="AC1166" s="99"/>
      <c r="AD1166" s="99"/>
      <c r="AE1166" s="150"/>
      <c r="AF1166" s="150"/>
      <c r="AG1166" s="99"/>
      <c r="AH1166" s="99"/>
      <c r="AI1166" s="105"/>
      <c r="AJ1166" s="105"/>
      <c r="AK1166" s="105"/>
      <c r="AL1166" s="98"/>
      <c r="AM1166" s="105"/>
      <c r="AN1166" s="98"/>
      <c r="AO1166" s="110"/>
      <c r="AP1166" s="98"/>
      <c r="AQ1166" s="98"/>
      <c r="AR1166" s="69"/>
      <c r="AS1166" s="98"/>
      <c r="AT1166" s="98"/>
      <c r="AU1166" s="69"/>
      <c r="AV1166" s="13"/>
      <c r="AW1166" s="13"/>
      <c r="AX1166" s="13"/>
      <c r="AY1166" s="13"/>
      <c r="AZ1166" s="13"/>
      <c r="BA1166" s="13"/>
      <c r="BB1166" s="13"/>
      <c r="BC1166" s="13"/>
      <c r="BD1166" s="13"/>
      <c r="BE1166" s="13"/>
      <c r="BF1166" s="13"/>
      <c r="BG1166" s="13"/>
      <c r="BH1166" s="13"/>
      <c r="BI1166" s="13"/>
      <c r="BJ1166" s="13"/>
      <c r="BK1166" s="13"/>
      <c r="BL1166" s="13"/>
      <c r="BM1166" s="13"/>
      <c r="BN1166" s="13"/>
      <c r="BO1166" s="13"/>
      <c r="BP1166" s="13"/>
      <c r="BQ1166" s="13"/>
      <c r="BR1166" s="13"/>
    </row>
    <row r="1167">
      <c r="A1167" s="69"/>
      <c r="B1167" s="69"/>
      <c r="C1167" s="99"/>
      <c r="D1167" s="99"/>
      <c r="E1167" s="13"/>
      <c r="F1167" s="99"/>
      <c r="G1167" s="13"/>
      <c r="H1167" s="69"/>
      <c r="I1167" s="98"/>
      <c r="J1167" s="69"/>
      <c r="K1167" s="99"/>
      <c r="L1167" s="99"/>
      <c r="M1167" s="128"/>
      <c r="N1167" s="182"/>
      <c r="O1167" s="98"/>
      <c r="P1167" s="128"/>
      <c r="Q1167" s="13"/>
      <c r="R1167" s="13"/>
      <c r="S1167" s="13"/>
      <c r="T1167" s="98"/>
      <c r="U1167" s="69"/>
      <c r="V1167" s="105"/>
      <c r="W1167" s="150"/>
      <c r="X1167" s="69"/>
      <c r="Y1167" s="99"/>
      <c r="Z1167" s="99"/>
      <c r="AA1167" s="99"/>
      <c r="AB1167" s="99"/>
      <c r="AC1167" s="99"/>
      <c r="AD1167" s="99"/>
      <c r="AE1167" s="150"/>
      <c r="AF1167" s="150"/>
      <c r="AG1167" s="99"/>
      <c r="AH1167" s="99"/>
      <c r="AI1167" s="105"/>
      <c r="AJ1167" s="105"/>
      <c r="AK1167" s="105"/>
      <c r="AL1167" s="98"/>
      <c r="AM1167" s="105"/>
      <c r="AN1167" s="98"/>
      <c r="AO1167" s="110"/>
      <c r="AP1167" s="98"/>
      <c r="AQ1167" s="98"/>
      <c r="AR1167" s="69"/>
      <c r="AS1167" s="98"/>
      <c r="AT1167" s="98"/>
      <c r="AU1167" s="69"/>
      <c r="AV1167" s="13"/>
      <c r="AW1167" s="13"/>
      <c r="AX1167" s="13"/>
      <c r="AY1167" s="13"/>
      <c r="AZ1167" s="13"/>
      <c r="BA1167" s="13"/>
      <c r="BB1167" s="13"/>
      <c r="BC1167" s="13"/>
      <c r="BD1167" s="13"/>
      <c r="BE1167" s="13"/>
      <c r="BF1167" s="13"/>
      <c r="BG1167" s="13"/>
      <c r="BH1167" s="13"/>
      <c r="BI1167" s="13"/>
      <c r="BJ1167" s="13"/>
      <c r="BK1167" s="13"/>
      <c r="BL1167" s="13"/>
      <c r="BM1167" s="13"/>
      <c r="BN1167" s="13"/>
      <c r="BO1167" s="13"/>
      <c r="BP1167" s="13"/>
      <c r="BQ1167" s="13"/>
      <c r="BR1167" s="13"/>
    </row>
    <row r="1168">
      <c r="A1168" s="69"/>
      <c r="B1168" s="69"/>
      <c r="C1168" s="99"/>
      <c r="D1168" s="99"/>
      <c r="E1168" s="13"/>
      <c r="F1168" s="99"/>
      <c r="G1168" s="13"/>
      <c r="H1168" s="69"/>
      <c r="I1168" s="98"/>
      <c r="J1168" s="69"/>
      <c r="K1168" s="99"/>
      <c r="L1168" s="99"/>
      <c r="M1168" s="128"/>
      <c r="N1168" s="182"/>
      <c r="O1168" s="98"/>
      <c r="P1168" s="128"/>
      <c r="Q1168" s="13"/>
      <c r="R1168" s="13"/>
      <c r="S1168" s="13"/>
      <c r="T1168" s="98"/>
      <c r="U1168" s="69"/>
      <c r="V1168" s="105"/>
      <c r="W1168" s="150"/>
      <c r="X1168" s="69"/>
      <c r="Y1168" s="99"/>
      <c r="Z1168" s="99"/>
      <c r="AA1168" s="99"/>
      <c r="AB1168" s="99"/>
      <c r="AC1168" s="99"/>
      <c r="AD1168" s="99"/>
      <c r="AE1168" s="150"/>
      <c r="AF1168" s="150"/>
      <c r="AG1168" s="99"/>
      <c r="AH1168" s="99"/>
      <c r="AI1168" s="105"/>
      <c r="AJ1168" s="105"/>
      <c r="AK1168" s="105"/>
      <c r="AL1168" s="98"/>
      <c r="AM1168" s="105"/>
      <c r="AN1168" s="98"/>
      <c r="AO1168" s="110"/>
      <c r="AP1168" s="98"/>
      <c r="AQ1168" s="98"/>
      <c r="AR1168" s="69"/>
      <c r="AS1168" s="98"/>
      <c r="AT1168" s="98"/>
      <c r="AU1168" s="69"/>
      <c r="AV1168" s="13"/>
      <c r="AW1168" s="13"/>
      <c r="AX1168" s="13"/>
      <c r="AY1168" s="13"/>
      <c r="AZ1168" s="13"/>
      <c r="BA1168" s="13"/>
      <c r="BB1168" s="13"/>
      <c r="BC1168" s="13"/>
      <c r="BD1168" s="13"/>
      <c r="BE1168" s="13"/>
      <c r="BF1168" s="13"/>
      <c r="BG1168" s="13"/>
      <c r="BH1168" s="13"/>
      <c r="BI1168" s="13"/>
      <c r="BJ1168" s="13"/>
      <c r="BK1168" s="13"/>
      <c r="BL1168" s="13"/>
      <c r="BM1168" s="13"/>
      <c r="BN1168" s="13"/>
      <c r="BO1168" s="13"/>
      <c r="BP1168" s="13"/>
      <c r="BQ1168" s="13"/>
      <c r="BR1168" s="13"/>
    </row>
    <row r="1169">
      <c r="A1169" s="69"/>
      <c r="B1169" s="69"/>
      <c r="C1169" s="99"/>
      <c r="D1169" s="99"/>
      <c r="E1169" s="13"/>
      <c r="F1169" s="99"/>
      <c r="G1169" s="13"/>
      <c r="H1169" s="69"/>
      <c r="I1169" s="98"/>
      <c r="J1169" s="69"/>
      <c r="K1169" s="99"/>
      <c r="L1169" s="99"/>
      <c r="M1169" s="128"/>
      <c r="N1169" s="182"/>
      <c r="O1169" s="98"/>
      <c r="P1169" s="128"/>
      <c r="Q1169" s="13"/>
      <c r="R1169" s="13"/>
      <c r="S1169" s="13"/>
      <c r="T1169" s="98"/>
      <c r="U1169" s="69"/>
      <c r="V1169" s="105"/>
      <c r="W1169" s="150"/>
      <c r="X1169" s="69"/>
      <c r="Y1169" s="99"/>
      <c r="Z1169" s="99"/>
      <c r="AA1169" s="99"/>
      <c r="AB1169" s="99"/>
      <c r="AC1169" s="99"/>
      <c r="AD1169" s="99"/>
      <c r="AE1169" s="150"/>
      <c r="AF1169" s="150"/>
      <c r="AG1169" s="99"/>
      <c r="AH1169" s="99"/>
      <c r="AI1169" s="105"/>
      <c r="AJ1169" s="105"/>
      <c r="AK1169" s="105"/>
      <c r="AL1169" s="98"/>
      <c r="AM1169" s="105"/>
      <c r="AN1169" s="98"/>
      <c r="AO1169" s="110"/>
      <c r="AP1169" s="98"/>
      <c r="AQ1169" s="98"/>
      <c r="AR1169" s="69"/>
      <c r="AS1169" s="98"/>
      <c r="AT1169" s="98"/>
      <c r="AU1169" s="69"/>
      <c r="AV1169" s="13"/>
      <c r="AW1169" s="13"/>
      <c r="AX1169" s="13"/>
      <c r="AY1169" s="13"/>
      <c r="AZ1169" s="13"/>
      <c r="BA1169" s="13"/>
      <c r="BB1169" s="13"/>
      <c r="BC1169" s="13"/>
      <c r="BD1169" s="13"/>
      <c r="BE1169" s="13"/>
      <c r="BF1169" s="13"/>
      <c r="BG1169" s="13"/>
      <c r="BH1169" s="13"/>
      <c r="BI1169" s="13"/>
      <c r="BJ1169" s="13"/>
      <c r="BK1169" s="13"/>
      <c r="BL1169" s="13"/>
      <c r="BM1169" s="13"/>
      <c r="BN1169" s="13"/>
      <c r="BO1169" s="13"/>
      <c r="BP1169" s="13"/>
      <c r="BQ1169" s="13"/>
      <c r="BR1169" s="13"/>
    </row>
    <row r="1170">
      <c r="A1170" s="69"/>
      <c r="B1170" s="69"/>
      <c r="C1170" s="99"/>
      <c r="D1170" s="99"/>
      <c r="E1170" s="13"/>
      <c r="F1170" s="99"/>
      <c r="G1170" s="13"/>
      <c r="H1170" s="69"/>
      <c r="I1170" s="98"/>
      <c r="J1170" s="69"/>
      <c r="K1170" s="99"/>
      <c r="L1170" s="99"/>
      <c r="M1170" s="128"/>
      <c r="N1170" s="182"/>
      <c r="O1170" s="98"/>
      <c r="P1170" s="128"/>
      <c r="Q1170" s="13"/>
      <c r="R1170" s="13"/>
      <c r="S1170" s="13"/>
      <c r="T1170" s="98"/>
      <c r="U1170" s="69"/>
      <c r="V1170" s="105"/>
      <c r="W1170" s="150"/>
      <c r="X1170" s="69"/>
      <c r="Y1170" s="99"/>
      <c r="Z1170" s="99"/>
      <c r="AA1170" s="99"/>
      <c r="AB1170" s="99"/>
      <c r="AC1170" s="99"/>
      <c r="AD1170" s="99"/>
      <c r="AE1170" s="150"/>
      <c r="AF1170" s="150"/>
      <c r="AG1170" s="99"/>
      <c r="AH1170" s="99"/>
      <c r="AI1170" s="105"/>
      <c r="AJ1170" s="105"/>
      <c r="AK1170" s="105"/>
      <c r="AL1170" s="98"/>
      <c r="AM1170" s="105"/>
      <c r="AN1170" s="98"/>
      <c r="AO1170" s="110"/>
      <c r="AP1170" s="98"/>
      <c r="AQ1170" s="98"/>
      <c r="AR1170" s="69"/>
      <c r="AS1170" s="98"/>
      <c r="AT1170" s="98"/>
      <c r="AU1170" s="69"/>
      <c r="AV1170" s="13"/>
      <c r="AW1170" s="13"/>
      <c r="AX1170" s="13"/>
      <c r="AY1170" s="13"/>
      <c r="AZ1170" s="13"/>
      <c r="BA1170" s="13"/>
      <c r="BB1170" s="13"/>
      <c r="BC1170" s="13"/>
      <c r="BD1170" s="13"/>
      <c r="BE1170" s="13"/>
      <c r="BF1170" s="13"/>
      <c r="BG1170" s="13"/>
      <c r="BH1170" s="13"/>
      <c r="BI1170" s="13"/>
      <c r="BJ1170" s="13"/>
      <c r="BK1170" s="13"/>
      <c r="BL1170" s="13"/>
      <c r="BM1170" s="13"/>
      <c r="BN1170" s="13"/>
      <c r="BO1170" s="13"/>
      <c r="BP1170" s="13"/>
      <c r="BQ1170" s="13"/>
      <c r="BR1170" s="13"/>
    </row>
    <row r="1171">
      <c r="A1171" s="69"/>
      <c r="B1171" s="69"/>
      <c r="C1171" s="99"/>
      <c r="D1171" s="99"/>
      <c r="E1171" s="13"/>
      <c r="F1171" s="99"/>
      <c r="G1171" s="13"/>
      <c r="H1171" s="69"/>
      <c r="I1171" s="98"/>
      <c r="J1171" s="69"/>
      <c r="K1171" s="99"/>
      <c r="L1171" s="99"/>
      <c r="M1171" s="128"/>
      <c r="N1171" s="182"/>
      <c r="O1171" s="98"/>
      <c r="P1171" s="128"/>
      <c r="Q1171" s="13"/>
      <c r="R1171" s="13"/>
      <c r="S1171" s="13"/>
      <c r="T1171" s="98"/>
      <c r="U1171" s="69"/>
      <c r="V1171" s="105"/>
      <c r="W1171" s="150"/>
      <c r="X1171" s="69"/>
      <c r="Y1171" s="99"/>
      <c r="Z1171" s="99"/>
      <c r="AA1171" s="99"/>
      <c r="AB1171" s="99"/>
      <c r="AC1171" s="99"/>
      <c r="AD1171" s="99"/>
      <c r="AE1171" s="150"/>
      <c r="AF1171" s="150"/>
      <c r="AG1171" s="99"/>
      <c r="AH1171" s="99"/>
      <c r="AI1171" s="105"/>
      <c r="AJ1171" s="105"/>
      <c r="AK1171" s="105"/>
      <c r="AL1171" s="98"/>
      <c r="AM1171" s="105"/>
      <c r="AN1171" s="98"/>
      <c r="AO1171" s="110"/>
      <c r="AP1171" s="98"/>
      <c r="AQ1171" s="98"/>
      <c r="AR1171" s="69"/>
      <c r="AS1171" s="98"/>
      <c r="AT1171" s="98"/>
      <c r="AU1171" s="69"/>
      <c r="AV1171" s="13"/>
      <c r="AW1171" s="13"/>
      <c r="AX1171" s="13"/>
      <c r="AY1171" s="13"/>
      <c r="AZ1171" s="13"/>
      <c r="BA1171" s="13"/>
      <c r="BB1171" s="13"/>
      <c r="BC1171" s="13"/>
      <c r="BD1171" s="13"/>
      <c r="BE1171" s="13"/>
      <c r="BF1171" s="13"/>
      <c r="BG1171" s="13"/>
      <c r="BH1171" s="13"/>
      <c r="BI1171" s="13"/>
      <c r="BJ1171" s="13"/>
      <c r="BK1171" s="13"/>
      <c r="BL1171" s="13"/>
      <c r="BM1171" s="13"/>
      <c r="BN1171" s="13"/>
      <c r="BO1171" s="13"/>
      <c r="BP1171" s="13"/>
      <c r="BQ1171" s="13"/>
      <c r="BR1171" s="13"/>
    </row>
    <row r="1172">
      <c r="A1172" s="69"/>
      <c r="B1172" s="69"/>
      <c r="C1172" s="99"/>
      <c r="D1172" s="99"/>
      <c r="E1172" s="13"/>
      <c r="F1172" s="99"/>
      <c r="G1172" s="13"/>
      <c r="H1172" s="69"/>
      <c r="I1172" s="98"/>
      <c r="J1172" s="69"/>
      <c r="K1172" s="99"/>
      <c r="L1172" s="99"/>
      <c r="M1172" s="128"/>
      <c r="N1172" s="182"/>
      <c r="O1172" s="98"/>
      <c r="P1172" s="128"/>
      <c r="Q1172" s="13"/>
      <c r="R1172" s="13"/>
      <c r="S1172" s="13"/>
      <c r="T1172" s="98"/>
      <c r="U1172" s="69"/>
      <c r="V1172" s="105"/>
      <c r="W1172" s="150"/>
      <c r="X1172" s="69"/>
      <c r="Y1172" s="99"/>
      <c r="Z1172" s="99"/>
      <c r="AA1172" s="99"/>
      <c r="AB1172" s="99"/>
      <c r="AC1172" s="99"/>
      <c r="AD1172" s="99"/>
      <c r="AE1172" s="150"/>
      <c r="AF1172" s="150"/>
      <c r="AG1172" s="99"/>
      <c r="AH1172" s="99"/>
      <c r="AI1172" s="105"/>
      <c r="AJ1172" s="105"/>
      <c r="AK1172" s="105"/>
      <c r="AL1172" s="98"/>
      <c r="AM1172" s="105"/>
      <c r="AN1172" s="98"/>
      <c r="AO1172" s="110"/>
      <c r="AP1172" s="98"/>
      <c r="AQ1172" s="98"/>
      <c r="AR1172" s="69"/>
      <c r="AS1172" s="98"/>
      <c r="AT1172" s="98"/>
      <c r="AU1172" s="69"/>
      <c r="AV1172" s="13"/>
      <c r="AW1172" s="13"/>
      <c r="AX1172" s="13"/>
      <c r="AY1172" s="13"/>
      <c r="AZ1172" s="13"/>
      <c r="BA1172" s="13"/>
      <c r="BB1172" s="13"/>
      <c r="BC1172" s="13"/>
      <c r="BD1172" s="13"/>
      <c r="BE1172" s="13"/>
      <c r="BF1172" s="13"/>
      <c r="BG1172" s="13"/>
      <c r="BH1172" s="13"/>
      <c r="BI1172" s="13"/>
      <c r="BJ1172" s="13"/>
      <c r="BK1172" s="13"/>
      <c r="BL1172" s="13"/>
      <c r="BM1172" s="13"/>
      <c r="BN1172" s="13"/>
      <c r="BO1172" s="13"/>
      <c r="BP1172" s="13"/>
      <c r="BQ1172" s="13"/>
      <c r="BR1172" s="13"/>
    </row>
    <row r="1173">
      <c r="A1173" s="69"/>
      <c r="B1173" s="69"/>
      <c r="C1173" s="99"/>
      <c r="D1173" s="99"/>
      <c r="E1173" s="13"/>
      <c r="F1173" s="99"/>
      <c r="G1173" s="13"/>
      <c r="H1173" s="69"/>
      <c r="I1173" s="98"/>
      <c r="J1173" s="69"/>
      <c r="K1173" s="99"/>
      <c r="L1173" s="99"/>
      <c r="M1173" s="128"/>
      <c r="N1173" s="182"/>
      <c r="O1173" s="98"/>
      <c r="P1173" s="128"/>
      <c r="Q1173" s="13"/>
      <c r="R1173" s="13"/>
      <c r="S1173" s="13"/>
      <c r="T1173" s="98"/>
      <c r="U1173" s="69"/>
      <c r="V1173" s="105"/>
      <c r="W1173" s="150"/>
      <c r="X1173" s="69"/>
      <c r="Y1173" s="99"/>
      <c r="Z1173" s="99"/>
      <c r="AA1173" s="99"/>
      <c r="AB1173" s="99"/>
      <c r="AC1173" s="99"/>
      <c r="AD1173" s="99"/>
      <c r="AE1173" s="150"/>
      <c r="AF1173" s="150"/>
      <c r="AG1173" s="99"/>
      <c r="AH1173" s="99"/>
      <c r="AI1173" s="105"/>
      <c r="AJ1173" s="105"/>
      <c r="AK1173" s="105"/>
      <c r="AL1173" s="98"/>
      <c r="AM1173" s="105"/>
      <c r="AN1173" s="98"/>
      <c r="AO1173" s="110"/>
      <c r="AP1173" s="98"/>
      <c r="AQ1173" s="98"/>
      <c r="AR1173" s="69"/>
      <c r="AS1173" s="98"/>
      <c r="AT1173" s="98"/>
      <c r="AU1173" s="69"/>
      <c r="AV1173" s="13"/>
      <c r="AW1173" s="13"/>
      <c r="AX1173" s="13"/>
      <c r="AY1173" s="13"/>
      <c r="AZ1173" s="13"/>
      <c r="BA1173" s="13"/>
      <c r="BB1173" s="13"/>
      <c r="BC1173" s="13"/>
      <c r="BD1173" s="13"/>
      <c r="BE1173" s="13"/>
      <c r="BF1173" s="13"/>
      <c r="BG1173" s="13"/>
      <c r="BH1173" s="13"/>
      <c r="BI1173" s="13"/>
      <c r="BJ1173" s="13"/>
      <c r="BK1173" s="13"/>
      <c r="BL1173" s="13"/>
      <c r="BM1173" s="13"/>
      <c r="BN1173" s="13"/>
      <c r="BO1173" s="13"/>
      <c r="BP1173" s="13"/>
      <c r="BQ1173" s="13"/>
      <c r="BR1173" s="13"/>
    </row>
    <row r="1174">
      <c r="A1174" s="69"/>
      <c r="B1174" s="69"/>
      <c r="C1174" s="99"/>
      <c r="D1174" s="99"/>
      <c r="E1174" s="13"/>
      <c r="F1174" s="99"/>
      <c r="G1174" s="13"/>
      <c r="H1174" s="69"/>
      <c r="I1174" s="98"/>
      <c r="J1174" s="69"/>
      <c r="K1174" s="99"/>
      <c r="L1174" s="99"/>
      <c r="M1174" s="128"/>
      <c r="N1174" s="182"/>
      <c r="O1174" s="98"/>
      <c r="P1174" s="128"/>
      <c r="Q1174" s="13"/>
      <c r="R1174" s="13"/>
      <c r="S1174" s="13"/>
      <c r="T1174" s="98"/>
      <c r="U1174" s="69"/>
      <c r="V1174" s="105"/>
      <c r="W1174" s="150"/>
      <c r="X1174" s="69"/>
      <c r="Y1174" s="99"/>
      <c r="Z1174" s="99"/>
      <c r="AA1174" s="99"/>
      <c r="AB1174" s="99"/>
      <c r="AC1174" s="99"/>
      <c r="AD1174" s="99"/>
      <c r="AE1174" s="150"/>
      <c r="AF1174" s="150"/>
      <c r="AG1174" s="99"/>
      <c r="AH1174" s="99"/>
      <c r="AI1174" s="105"/>
      <c r="AJ1174" s="105"/>
      <c r="AK1174" s="105"/>
      <c r="AL1174" s="98"/>
      <c r="AM1174" s="105"/>
      <c r="AN1174" s="98"/>
      <c r="AO1174" s="110"/>
      <c r="AP1174" s="98"/>
      <c r="AQ1174" s="98"/>
      <c r="AR1174" s="69"/>
      <c r="AS1174" s="98"/>
      <c r="AT1174" s="98"/>
      <c r="AU1174" s="69"/>
      <c r="AV1174" s="13"/>
      <c r="AW1174" s="13"/>
      <c r="AX1174" s="13"/>
      <c r="AY1174" s="13"/>
      <c r="AZ1174" s="13"/>
      <c r="BA1174" s="13"/>
      <c r="BB1174" s="13"/>
      <c r="BC1174" s="13"/>
      <c r="BD1174" s="13"/>
      <c r="BE1174" s="13"/>
      <c r="BF1174" s="13"/>
      <c r="BG1174" s="13"/>
      <c r="BH1174" s="13"/>
      <c r="BI1174" s="13"/>
      <c r="BJ1174" s="13"/>
      <c r="BK1174" s="13"/>
      <c r="BL1174" s="13"/>
      <c r="BM1174" s="13"/>
      <c r="BN1174" s="13"/>
      <c r="BO1174" s="13"/>
      <c r="BP1174" s="13"/>
      <c r="BQ1174" s="13"/>
      <c r="BR1174" s="13"/>
    </row>
    <row r="1175">
      <c r="A1175" s="69"/>
      <c r="B1175" s="69"/>
      <c r="C1175" s="99"/>
      <c r="D1175" s="99"/>
      <c r="E1175" s="13"/>
      <c r="F1175" s="99"/>
      <c r="G1175" s="13"/>
      <c r="H1175" s="69"/>
      <c r="I1175" s="98"/>
      <c r="J1175" s="69"/>
      <c r="K1175" s="99"/>
      <c r="L1175" s="99"/>
      <c r="M1175" s="128"/>
      <c r="N1175" s="182"/>
      <c r="O1175" s="98"/>
      <c r="P1175" s="128"/>
      <c r="Q1175" s="13"/>
      <c r="R1175" s="13"/>
      <c r="S1175" s="13"/>
      <c r="T1175" s="98"/>
      <c r="U1175" s="69"/>
      <c r="V1175" s="105"/>
      <c r="W1175" s="150"/>
      <c r="X1175" s="69"/>
      <c r="Y1175" s="99"/>
      <c r="Z1175" s="99"/>
      <c r="AA1175" s="99"/>
      <c r="AB1175" s="99"/>
      <c r="AC1175" s="99"/>
      <c r="AD1175" s="99"/>
      <c r="AE1175" s="150"/>
      <c r="AF1175" s="150"/>
      <c r="AG1175" s="99"/>
      <c r="AH1175" s="99"/>
      <c r="AI1175" s="105"/>
      <c r="AJ1175" s="105"/>
      <c r="AK1175" s="105"/>
      <c r="AL1175" s="98"/>
      <c r="AM1175" s="105"/>
      <c r="AN1175" s="98"/>
      <c r="AO1175" s="110"/>
      <c r="AP1175" s="98"/>
      <c r="AQ1175" s="98"/>
      <c r="AR1175" s="69"/>
      <c r="AS1175" s="98"/>
      <c r="AT1175" s="98"/>
      <c r="AU1175" s="69"/>
      <c r="AV1175" s="13"/>
      <c r="AW1175" s="13"/>
      <c r="AX1175" s="13"/>
      <c r="AY1175" s="13"/>
      <c r="AZ1175" s="13"/>
      <c r="BA1175" s="13"/>
      <c r="BB1175" s="13"/>
      <c r="BC1175" s="13"/>
      <c r="BD1175" s="13"/>
      <c r="BE1175" s="13"/>
      <c r="BF1175" s="13"/>
      <c r="BG1175" s="13"/>
      <c r="BH1175" s="13"/>
      <c r="BI1175" s="13"/>
      <c r="BJ1175" s="13"/>
      <c r="BK1175" s="13"/>
      <c r="BL1175" s="13"/>
      <c r="BM1175" s="13"/>
      <c r="BN1175" s="13"/>
      <c r="BO1175" s="13"/>
      <c r="BP1175" s="13"/>
      <c r="BQ1175" s="13"/>
      <c r="BR1175" s="13"/>
    </row>
    <row r="1176">
      <c r="A1176" s="69"/>
      <c r="B1176" s="69"/>
      <c r="C1176" s="99"/>
      <c r="D1176" s="99"/>
      <c r="E1176" s="13"/>
      <c r="F1176" s="99"/>
      <c r="G1176" s="13"/>
      <c r="H1176" s="69"/>
      <c r="I1176" s="98"/>
      <c r="J1176" s="69"/>
      <c r="K1176" s="99"/>
      <c r="L1176" s="99"/>
      <c r="M1176" s="128"/>
      <c r="N1176" s="182"/>
      <c r="O1176" s="98"/>
      <c r="P1176" s="128"/>
      <c r="Q1176" s="13"/>
      <c r="R1176" s="13"/>
      <c r="S1176" s="13"/>
      <c r="T1176" s="98"/>
      <c r="U1176" s="69"/>
      <c r="V1176" s="105"/>
      <c r="W1176" s="150"/>
      <c r="X1176" s="69"/>
      <c r="Y1176" s="99"/>
      <c r="Z1176" s="99"/>
      <c r="AA1176" s="99"/>
      <c r="AB1176" s="99"/>
      <c r="AC1176" s="99"/>
      <c r="AD1176" s="99"/>
      <c r="AE1176" s="150"/>
      <c r="AF1176" s="150"/>
      <c r="AG1176" s="99"/>
      <c r="AH1176" s="99"/>
      <c r="AI1176" s="105"/>
      <c r="AJ1176" s="105"/>
      <c r="AK1176" s="105"/>
      <c r="AL1176" s="98"/>
      <c r="AM1176" s="105"/>
      <c r="AN1176" s="98"/>
      <c r="AO1176" s="110"/>
      <c r="AP1176" s="98"/>
      <c r="AQ1176" s="98"/>
      <c r="AR1176" s="69"/>
      <c r="AS1176" s="98"/>
      <c r="AT1176" s="98"/>
      <c r="AU1176" s="69"/>
      <c r="AV1176" s="13"/>
      <c r="AW1176" s="13"/>
      <c r="AX1176" s="13"/>
      <c r="AY1176" s="13"/>
      <c r="AZ1176" s="13"/>
      <c r="BA1176" s="13"/>
      <c r="BB1176" s="13"/>
      <c r="BC1176" s="13"/>
      <c r="BD1176" s="13"/>
      <c r="BE1176" s="13"/>
      <c r="BF1176" s="13"/>
      <c r="BG1176" s="13"/>
      <c r="BH1176" s="13"/>
      <c r="BI1176" s="13"/>
      <c r="BJ1176" s="13"/>
      <c r="BK1176" s="13"/>
      <c r="BL1176" s="13"/>
      <c r="BM1176" s="13"/>
      <c r="BN1176" s="13"/>
      <c r="BO1176" s="13"/>
      <c r="BP1176" s="13"/>
      <c r="BQ1176" s="13"/>
      <c r="BR1176" s="13"/>
    </row>
    <row r="1177">
      <c r="A1177" s="69"/>
      <c r="B1177" s="69"/>
      <c r="C1177" s="99"/>
      <c r="D1177" s="99"/>
      <c r="E1177" s="13"/>
      <c r="F1177" s="99"/>
      <c r="G1177" s="13"/>
      <c r="H1177" s="69"/>
      <c r="I1177" s="98"/>
      <c r="J1177" s="69"/>
      <c r="K1177" s="99"/>
      <c r="L1177" s="99"/>
      <c r="M1177" s="128"/>
      <c r="N1177" s="182"/>
      <c r="O1177" s="98"/>
      <c r="P1177" s="128"/>
      <c r="Q1177" s="13"/>
      <c r="R1177" s="13"/>
      <c r="S1177" s="13"/>
      <c r="T1177" s="98"/>
      <c r="U1177" s="69"/>
      <c r="V1177" s="105"/>
      <c r="W1177" s="150"/>
      <c r="X1177" s="69"/>
      <c r="Y1177" s="99"/>
      <c r="Z1177" s="99"/>
      <c r="AA1177" s="99"/>
      <c r="AB1177" s="99"/>
      <c r="AC1177" s="99"/>
      <c r="AD1177" s="99"/>
      <c r="AE1177" s="150"/>
      <c r="AF1177" s="150"/>
      <c r="AG1177" s="99"/>
      <c r="AH1177" s="99"/>
      <c r="AI1177" s="105"/>
      <c r="AJ1177" s="105"/>
      <c r="AK1177" s="105"/>
      <c r="AL1177" s="98"/>
      <c r="AM1177" s="105"/>
      <c r="AN1177" s="98"/>
      <c r="AO1177" s="110"/>
      <c r="AP1177" s="98"/>
      <c r="AQ1177" s="98"/>
      <c r="AR1177" s="69"/>
      <c r="AS1177" s="98"/>
      <c r="AT1177" s="98"/>
      <c r="AU1177" s="69"/>
      <c r="AV1177" s="13"/>
      <c r="AW1177" s="13"/>
      <c r="AX1177" s="13"/>
      <c r="AY1177" s="13"/>
      <c r="AZ1177" s="13"/>
      <c r="BA1177" s="13"/>
      <c r="BB1177" s="13"/>
      <c r="BC1177" s="13"/>
      <c r="BD1177" s="13"/>
      <c r="BE1177" s="13"/>
      <c r="BF1177" s="13"/>
      <c r="BG1177" s="13"/>
      <c r="BH1177" s="13"/>
      <c r="BI1177" s="13"/>
      <c r="BJ1177" s="13"/>
      <c r="BK1177" s="13"/>
      <c r="BL1177" s="13"/>
      <c r="BM1177" s="13"/>
      <c r="BN1177" s="13"/>
      <c r="BO1177" s="13"/>
      <c r="BP1177" s="13"/>
      <c r="BQ1177" s="13"/>
      <c r="BR1177" s="13"/>
    </row>
    <row r="1178">
      <c r="A1178" s="69"/>
      <c r="B1178" s="69"/>
      <c r="C1178" s="99"/>
      <c r="D1178" s="99"/>
      <c r="E1178" s="13"/>
      <c r="F1178" s="99"/>
      <c r="G1178" s="13"/>
      <c r="H1178" s="69"/>
      <c r="I1178" s="98"/>
      <c r="J1178" s="69"/>
      <c r="K1178" s="99"/>
      <c r="L1178" s="99"/>
      <c r="M1178" s="128"/>
      <c r="N1178" s="182"/>
      <c r="O1178" s="98"/>
      <c r="P1178" s="128"/>
      <c r="Q1178" s="13"/>
      <c r="R1178" s="13"/>
      <c r="S1178" s="13"/>
      <c r="T1178" s="98"/>
      <c r="U1178" s="69"/>
      <c r="V1178" s="105"/>
      <c r="W1178" s="150"/>
      <c r="X1178" s="69"/>
      <c r="Y1178" s="99"/>
      <c r="Z1178" s="99"/>
      <c r="AA1178" s="99"/>
      <c r="AB1178" s="99"/>
      <c r="AC1178" s="99"/>
      <c r="AD1178" s="99"/>
      <c r="AE1178" s="150"/>
      <c r="AF1178" s="150"/>
      <c r="AG1178" s="99"/>
      <c r="AH1178" s="99"/>
      <c r="AI1178" s="105"/>
      <c r="AJ1178" s="105"/>
      <c r="AK1178" s="105"/>
      <c r="AL1178" s="98"/>
      <c r="AM1178" s="105"/>
      <c r="AN1178" s="98"/>
      <c r="AO1178" s="110"/>
      <c r="AP1178" s="98"/>
      <c r="AQ1178" s="98"/>
      <c r="AR1178" s="69"/>
      <c r="AS1178" s="98"/>
      <c r="AT1178" s="98"/>
      <c r="AU1178" s="69"/>
      <c r="AV1178" s="13"/>
      <c r="AW1178" s="13"/>
      <c r="AX1178" s="13"/>
      <c r="AY1178" s="13"/>
      <c r="AZ1178" s="13"/>
      <c r="BA1178" s="13"/>
      <c r="BB1178" s="13"/>
      <c r="BC1178" s="13"/>
      <c r="BD1178" s="13"/>
      <c r="BE1178" s="13"/>
      <c r="BF1178" s="13"/>
      <c r="BG1178" s="13"/>
      <c r="BH1178" s="13"/>
      <c r="BI1178" s="13"/>
      <c r="BJ1178" s="13"/>
      <c r="BK1178" s="13"/>
      <c r="BL1178" s="13"/>
      <c r="BM1178" s="13"/>
      <c r="BN1178" s="13"/>
      <c r="BO1178" s="13"/>
      <c r="BP1178" s="13"/>
      <c r="BQ1178" s="13"/>
      <c r="BR1178" s="13"/>
    </row>
    <row r="1179">
      <c r="A1179" s="69"/>
      <c r="B1179" s="69"/>
      <c r="C1179" s="99"/>
      <c r="D1179" s="99"/>
      <c r="E1179" s="13"/>
      <c r="F1179" s="99"/>
      <c r="G1179" s="13"/>
      <c r="H1179" s="69"/>
      <c r="I1179" s="98"/>
      <c r="J1179" s="69"/>
      <c r="K1179" s="99"/>
      <c r="L1179" s="99"/>
      <c r="M1179" s="128"/>
      <c r="N1179" s="182"/>
      <c r="O1179" s="98"/>
      <c r="P1179" s="128"/>
      <c r="Q1179" s="13"/>
      <c r="R1179" s="13"/>
      <c r="S1179" s="13"/>
      <c r="T1179" s="98"/>
      <c r="U1179" s="69"/>
      <c r="V1179" s="105"/>
      <c r="W1179" s="150"/>
      <c r="X1179" s="69"/>
      <c r="Y1179" s="99"/>
      <c r="Z1179" s="99"/>
      <c r="AA1179" s="99"/>
      <c r="AB1179" s="99"/>
      <c r="AC1179" s="99"/>
      <c r="AD1179" s="99"/>
      <c r="AE1179" s="150"/>
      <c r="AF1179" s="150"/>
      <c r="AG1179" s="99"/>
      <c r="AH1179" s="99"/>
      <c r="AI1179" s="105"/>
      <c r="AJ1179" s="105"/>
      <c r="AK1179" s="105"/>
      <c r="AL1179" s="98"/>
      <c r="AM1179" s="105"/>
      <c r="AN1179" s="98"/>
      <c r="AO1179" s="110"/>
      <c r="AP1179" s="98"/>
      <c r="AQ1179" s="98"/>
      <c r="AR1179" s="69"/>
      <c r="AS1179" s="98"/>
      <c r="AT1179" s="98"/>
      <c r="AU1179" s="69"/>
      <c r="AV1179" s="13"/>
      <c r="AW1179" s="13"/>
      <c r="AX1179" s="13"/>
      <c r="AY1179" s="13"/>
      <c r="AZ1179" s="13"/>
      <c r="BA1179" s="13"/>
      <c r="BB1179" s="13"/>
      <c r="BC1179" s="13"/>
      <c r="BD1179" s="13"/>
      <c r="BE1179" s="13"/>
      <c r="BF1179" s="13"/>
      <c r="BG1179" s="13"/>
      <c r="BH1179" s="13"/>
      <c r="BI1179" s="13"/>
      <c r="BJ1179" s="13"/>
      <c r="BK1179" s="13"/>
      <c r="BL1179" s="13"/>
      <c r="BM1179" s="13"/>
      <c r="BN1179" s="13"/>
      <c r="BO1179" s="13"/>
      <c r="BP1179" s="13"/>
      <c r="BQ1179" s="13"/>
      <c r="BR1179" s="13"/>
    </row>
    <row r="1180">
      <c r="A1180" s="69"/>
      <c r="B1180" s="69"/>
      <c r="C1180" s="99"/>
      <c r="D1180" s="99"/>
      <c r="E1180" s="13"/>
      <c r="F1180" s="99"/>
      <c r="G1180" s="13"/>
      <c r="H1180" s="69"/>
      <c r="I1180" s="98"/>
      <c r="J1180" s="69"/>
      <c r="K1180" s="99"/>
      <c r="L1180" s="99"/>
      <c r="M1180" s="128"/>
      <c r="N1180" s="182"/>
      <c r="O1180" s="98"/>
      <c r="P1180" s="128"/>
      <c r="Q1180" s="13"/>
      <c r="R1180" s="13"/>
      <c r="S1180" s="13"/>
      <c r="T1180" s="98"/>
      <c r="U1180" s="69"/>
      <c r="V1180" s="105"/>
      <c r="W1180" s="150"/>
      <c r="X1180" s="69"/>
      <c r="Y1180" s="99"/>
      <c r="Z1180" s="99"/>
      <c r="AA1180" s="99"/>
      <c r="AB1180" s="99"/>
      <c r="AC1180" s="99"/>
      <c r="AD1180" s="99"/>
      <c r="AE1180" s="150"/>
      <c r="AF1180" s="150"/>
      <c r="AG1180" s="99"/>
      <c r="AH1180" s="99"/>
      <c r="AI1180" s="105"/>
      <c r="AJ1180" s="105"/>
      <c r="AK1180" s="105"/>
      <c r="AL1180" s="98"/>
      <c r="AM1180" s="105"/>
      <c r="AN1180" s="98"/>
      <c r="AO1180" s="110"/>
      <c r="AP1180" s="98"/>
      <c r="AQ1180" s="98"/>
      <c r="AR1180" s="69"/>
      <c r="AS1180" s="98"/>
      <c r="AT1180" s="98"/>
      <c r="AU1180" s="69"/>
      <c r="AV1180" s="13"/>
      <c r="AW1180" s="13"/>
      <c r="AX1180" s="13"/>
      <c r="AY1180" s="13"/>
      <c r="AZ1180" s="13"/>
      <c r="BA1180" s="13"/>
      <c r="BB1180" s="13"/>
      <c r="BC1180" s="13"/>
      <c r="BD1180" s="13"/>
      <c r="BE1180" s="13"/>
      <c r="BF1180" s="13"/>
      <c r="BG1180" s="13"/>
      <c r="BH1180" s="13"/>
      <c r="BI1180" s="13"/>
      <c r="BJ1180" s="13"/>
      <c r="BK1180" s="13"/>
      <c r="BL1180" s="13"/>
      <c r="BM1180" s="13"/>
      <c r="BN1180" s="13"/>
      <c r="BO1180" s="13"/>
      <c r="BP1180" s="13"/>
      <c r="BQ1180" s="13"/>
      <c r="BR1180" s="13"/>
    </row>
    <row r="1181">
      <c r="A1181" s="69"/>
      <c r="B1181" s="69"/>
      <c r="C1181" s="99"/>
      <c r="D1181" s="99"/>
      <c r="E1181" s="13"/>
      <c r="F1181" s="99"/>
      <c r="G1181" s="13"/>
      <c r="H1181" s="69"/>
      <c r="I1181" s="98"/>
      <c r="J1181" s="69"/>
      <c r="K1181" s="99"/>
      <c r="L1181" s="99"/>
      <c r="M1181" s="128"/>
      <c r="N1181" s="182"/>
      <c r="O1181" s="98"/>
      <c r="P1181" s="128"/>
      <c r="Q1181" s="13"/>
      <c r="R1181" s="13"/>
      <c r="S1181" s="13"/>
      <c r="T1181" s="98"/>
      <c r="U1181" s="69"/>
      <c r="V1181" s="105"/>
      <c r="W1181" s="150"/>
      <c r="X1181" s="69"/>
      <c r="Y1181" s="99"/>
      <c r="Z1181" s="99"/>
      <c r="AA1181" s="99"/>
      <c r="AB1181" s="99"/>
      <c r="AC1181" s="99"/>
      <c r="AD1181" s="99"/>
      <c r="AE1181" s="150"/>
      <c r="AF1181" s="150"/>
      <c r="AG1181" s="99"/>
      <c r="AH1181" s="99"/>
      <c r="AI1181" s="105"/>
      <c r="AJ1181" s="105"/>
      <c r="AK1181" s="105"/>
      <c r="AL1181" s="98"/>
      <c r="AM1181" s="105"/>
      <c r="AN1181" s="98"/>
      <c r="AO1181" s="110"/>
      <c r="AP1181" s="98"/>
      <c r="AQ1181" s="98"/>
      <c r="AR1181" s="69"/>
      <c r="AS1181" s="98"/>
      <c r="AT1181" s="98"/>
      <c r="AU1181" s="69"/>
      <c r="AV1181" s="13"/>
      <c r="AW1181" s="13"/>
      <c r="AX1181" s="13"/>
      <c r="AY1181" s="13"/>
      <c r="AZ1181" s="13"/>
      <c r="BA1181" s="13"/>
      <c r="BB1181" s="13"/>
      <c r="BC1181" s="13"/>
      <c r="BD1181" s="13"/>
      <c r="BE1181" s="13"/>
      <c r="BF1181" s="13"/>
      <c r="BG1181" s="13"/>
      <c r="BH1181" s="13"/>
      <c r="BI1181" s="13"/>
      <c r="BJ1181" s="13"/>
      <c r="BK1181" s="13"/>
      <c r="BL1181" s="13"/>
      <c r="BM1181" s="13"/>
      <c r="BN1181" s="13"/>
      <c r="BO1181" s="13"/>
      <c r="BP1181" s="13"/>
      <c r="BQ1181" s="13"/>
      <c r="BR1181" s="13"/>
    </row>
    <row r="1182">
      <c r="A1182" s="69"/>
      <c r="B1182" s="69"/>
      <c r="C1182" s="99"/>
      <c r="D1182" s="99"/>
      <c r="E1182" s="13"/>
      <c r="F1182" s="99"/>
      <c r="G1182" s="13"/>
      <c r="H1182" s="69"/>
      <c r="I1182" s="98"/>
      <c r="J1182" s="69"/>
      <c r="K1182" s="99"/>
      <c r="L1182" s="99"/>
      <c r="M1182" s="128"/>
      <c r="N1182" s="182"/>
      <c r="O1182" s="98"/>
      <c r="P1182" s="128"/>
      <c r="Q1182" s="13"/>
      <c r="R1182" s="13"/>
      <c r="S1182" s="13"/>
      <c r="T1182" s="98"/>
      <c r="U1182" s="69"/>
      <c r="V1182" s="105"/>
      <c r="W1182" s="150"/>
      <c r="X1182" s="69"/>
      <c r="Y1182" s="99"/>
      <c r="Z1182" s="99"/>
      <c r="AA1182" s="99"/>
      <c r="AB1182" s="99"/>
      <c r="AC1182" s="99"/>
      <c r="AD1182" s="99"/>
      <c r="AE1182" s="150"/>
      <c r="AF1182" s="150"/>
      <c r="AG1182" s="99"/>
      <c r="AH1182" s="99"/>
      <c r="AI1182" s="105"/>
      <c r="AJ1182" s="105"/>
      <c r="AK1182" s="105"/>
      <c r="AL1182" s="98"/>
      <c r="AM1182" s="105"/>
      <c r="AN1182" s="98"/>
      <c r="AO1182" s="110"/>
      <c r="AP1182" s="98"/>
      <c r="AQ1182" s="98"/>
      <c r="AR1182" s="69"/>
      <c r="AS1182" s="98"/>
      <c r="AT1182" s="98"/>
      <c r="AU1182" s="69"/>
      <c r="AV1182" s="13"/>
      <c r="AW1182" s="13"/>
      <c r="AX1182" s="13"/>
      <c r="AY1182" s="13"/>
      <c r="AZ1182" s="13"/>
      <c r="BA1182" s="13"/>
      <c r="BB1182" s="13"/>
      <c r="BC1182" s="13"/>
      <c r="BD1182" s="13"/>
      <c r="BE1182" s="13"/>
      <c r="BF1182" s="13"/>
      <c r="BG1182" s="13"/>
      <c r="BH1182" s="13"/>
      <c r="BI1182" s="13"/>
      <c r="BJ1182" s="13"/>
      <c r="BK1182" s="13"/>
      <c r="BL1182" s="13"/>
      <c r="BM1182" s="13"/>
      <c r="BN1182" s="13"/>
      <c r="BO1182" s="13"/>
      <c r="BP1182" s="13"/>
      <c r="BQ1182" s="13"/>
      <c r="BR1182" s="13"/>
    </row>
    <row r="1183">
      <c r="A1183" s="69"/>
      <c r="B1183" s="69"/>
      <c r="C1183" s="99"/>
      <c r="D1183" s="99"/>
      <c r="E1183" s="13"/>
      <c r="F1183" s="99"/>
      <c r="G1183" s="13"/>
      <c r="H1183" s="69"/>
      <c r="I1183" s="98"/>
      <c r="J1183" s="69"/>
      <c r="K1183" s="99"/>
      <c r="L1183" s="99"/>
      <c r="M1183" s="128"/>
      <c r="N1183" s="182"/>
      <c r="O1183" s="98"/>
      <c r="P1183" s="128"/>
      <c r="Q1183" s="13"/>
      <c r="R1183" s="13"/>
      <c r="S1183" s="13"/>
      <c r="T1183" s="98"/>
      <c r="U1183" s="69"/>
      <c r="V1183" s="105"/>
      <c r="W1183" s="150"/>
      <c r="X1183" s="69"/>
      <c r="Y1183" s="99"/>
      <c r="Z1183" s="99"/>
      <c r="AA1183" s="99"/>
      <c r="AB1183" s="99"/>
      <c r="AC1183" s="99"/>
      <c r="AD1183" s="99"/>
      <c r="AE1183" s="150"/>
      <c r="AF1183" s="150"/>
      <c r="AG1183" s="99"/>
      <c r="AH1183" s="99"/>
      <c r="AI1183" s="105"/>
      <c r="AJ1183" s="105"/>
      <c r="AK1183" s="105"/>
      <c r="AL1183" s="98"/>
      <c r="AM1183" s="105"/>
      <c r="AN1183" s="98"/>
      <c r="AO1183" s="110"/>
      <c r="AP1183" s="98"/>
      <c r="AQ1183" s="98"/>
      <c r="AR1183" s="69"/>
      <c r="AS1183" s="98"/>
      <c r="AT1183" s="98"/>
      <c r="AU1183" s="69"/>
      <c r="AV1183" s="13"/>
      <c r="AW1183" s="13"/>
      <c r="AX1183" s="13"/>
      <c r="AY1183" s="13"/>
      <c r="AZ1183" s="13"/>
      <c r="BA1183" s="13"/>
      <c r="BB1183" s="13"/>
      <c r="BC1183" s="13"/>
      <c r="BD1183" s="13"/>
      <c r="BE1183" s="13"/>
      <c r="BF1183" s="13"/>
      <c r="BG1183" s="13"/>
      <c r="BH1183" s="13"/>
      <c r="BI1183" s="13"/>
      <c r="BJ1183" s="13"/>
      <c r="BK1183" s="13"/>
      <c r="BL1183" s="13"/>
      <c r="BM1183" s="13"/>
      <c r="BN1183" s="13"/>
      <c r="BO1183" s="13"/>
      <c r="BP1183" s="13"/>
      <c r="BQ1183" s="13"/>
      <c r="BR1183" s="13"/>
    </row>
    <row r="1184">
      <c r="A1184" s="69"/>
      <c r="B1184" s="69"/>
      <c r="C1184" s="99"/>
      <c r="D1184" s="99"/>
      <c r="E1184" s="13"/>
      <c r="F1184" s="99"/>
      <c r="G1184" s="13"/>
      <c r="H1184" s="69"/>
      <c r="I1184" s="98"/>
      <c r="J1184" s="69"/>
      <c r="K1184" s="99"/>
      <c r="L1184" s="99"/>
      <c r="M1184" s="128"/>
      <c r="N1184" s="182"/>
      <c r="O1184" s="98"/>
      <c r="P1184" s="128"/>
      <c r="Q1184" s="13"/>
      <c r="R1184" s="13"/>
      <c r="S1184" s="13"/>
      <c r="T1184" s="98"/>
      <c r="U1184" s="69"/>
      <c r="V1184" s="105"/>
      <c r="W1184" s="150"/>
      <c r="X1184" s="69"/>
      <c r="Y1184" s="99"/>
      <c r="Z1184" s="99"/>
      <c r="AA1184" s="99"/>
      <c r="AB1184" s="99"/>
      <c r="AC1184" s="99"/>
      <c r="AD1184" s="99"/>
      <c r="AE1184" s="150"/>
      <c r="AF1184" s="150"/>
      <c r="AG1184" s="99"/>
      <c r="AH1184" s="99"/>
      <c r="AI1184" s="105"/>
      <c r="AJ1184" s="105"/>
      <c r="AK1184" s="105"/>
      <c r="AL1184" s="98"/>
      <c r="AM1184" s="105"/>
      <c r="AN1184" s="98"/>
      <c r="AO1184" s="110"/>
      <c r="AP1184" s="98"/>
      <c r="AQ1184" s="98"/>
      <c r="AR1184" s="69"/>
      <c r="AS1184" s="98"/>
      <c r="AT1184" s="98"/>
      <c r="AU1184" s="69"/>
      <c r="AV1184" s="13"/>
      <c r="AW1184" s="13"/>
      <c r="AX1184" s="13"/>
      <c r="AY1184" s="13"/>
      <c r="AZ1184" s="13"/>
      <c r="BA1184" s="13"/>
      <c r="BB1184" s="13"/>
      <c r="BC1184" s="13"/>
      <c r="BD1184" s="13"/>
      <c r="BE1184" s="13"/>
      <c r="BF1184" s="13"/>
      <c r="BG1184" s="13"/>
      <c r="BH1184" s="13"/>
      <c r="BI1184" s="13"/>
      <c r="BJ1184" s="13"/>
      <c r="BK1184" s="13"/>
      <c r="BL1184" s="13"/>
      <c r="BM1184" s="13"/>
      <c r="BN1184" s="13"/>
      <c r="BO1184" s="13"/>
      <c r="BP1184" s="13"/>
      <c r="BQ1184" s="13"/>
      <c r="BR1184" s="13"/>
    </row>
    <row r="1185">
      <c r="A1185" s="69"/>
      <c r="B1185" s="69"/>
      <c r="C1185" s="99"/>
      <c r="D1185" s="99"/>
      <c r="E1185" s="13"/>
      <c r="F1185" s="99"/>
      <c r="G1185" s="13"/>
      <c r="H1185" s="69"/>
      <c r="I1185" s="98"/>
      <c r="J1185" s="69"/>
      <c r="K1185" s="99"/>
      <c r="L1185" s="99"/>
      <c r="M1185" s="128"/>
      <c r="N1185" s="182"/>
      <c r="O1185" s="98"/>
      <c r="P1185" s="128"/>
      <c r="Q1185" s="13"/>
      <c r="R1185" s="13"/>
      <c r="S1185" s="13"/>
      <c r="T1185" s="98"/>
      <c r="U1185" s="69"/>
      <c r="V1185" s="105"/>
      <c r="W1185" s="150"/>
      <c r="X1185" s="69"/>
      <c r="Y1185" s="99"/>
      <c r="Z1185" s="99"/>
      <c r="AA1185" s="99"/>
      <c r="AB1185" s="99"/>
      <c r="AC1185" s="99"/>
      <c r="AD1185" s="99"/>
      <c r="AE1185" s="150"/>
      <c r="AF1185" s="150"/>
      <c r="AG1185" s="99"/>
      <c r="AH1185" s="99"/>
      <c r="AI1185" s="105"/>
      <c r="AJ1185" s="105"/>
      <c r="AK1185" s="105"/>
      <c r="AL1185" s="98"/>
      <c r="AM1185" s="105"/>
      <c r="AN1185" s="98"/>
      <c r="AO1185" s="110"/>
      <c r="AP1185" s="98"/>
      <c r="AQ1185" s="98"/>
      <c r="AR1185" s="69"/>
      <c r="AS1185" s="98"/>
      <c r="AT1185" s="98"/>
      <c r="AU1185" s="69"/>
      <c r="AV1185" s="13"/>
      <c r="AW1185" s="13"/>
      <c r="AX1185" s="13"/>
      <c r="AY1185" s="13"/>
      <c r="AZ1185" s="13"/>
      <c r="BA1185" s="13"/>
      <c r="BB1185" s="13"/>
      <c r="BC1185" s="13"/>
      <c r="BD1185" s="13"/>
      <c r="BE1185" s="13"/>
      <c r="BF1185" s="13"/>
      <c r="BG1185" s="13"/>
      <c r="BH1185" s="13"/>
      <c r="BI1185" s="13"/>
      <c r="BJ1185" s="13"/>
      <c r="BK1185" s="13"/>
      <c r="BL1185" s="13"/>
      <c r="BM1185" s="13"/>
      <c r="BN1185" s="13"/>
      <c r="BO1185" s="13"/>
      <c r="BP1185" s="13"/>
      <c r="BQ1185" s="13"/>
      <c r="BR1185" s="13"/>
    </row>
    <row r="1186">
      <c r="A1186" s="69"/>
      <c r="B1186" s="69"/>
      <c r="C1186" s="99"/>
      <c r="D1186" s="99"/>
      <c r="E1186" s="13"/>
      <c r="F1186" s="99"/>
      <c r="G1186" s="13"/>
      <c r="H1186" s="69"/>
      <c r="I1186" s="98"/>
      <c r="J1186" s="69"/>
      <c r="K1186" s="99"/>
      <c r="L1186" s="99"/>
      <c r="M1186" s="128"/>
      <c r="N1186" s="182"/>
      <c r="O1186" s="98"/>
      <c r="P1186" s="128"/>
      <c r="Q1186" s="13"/>
      <c r="R1186" s="13"/>
      <c r="S1186" s="13"/>
      <c r="T1186" s="98"/>
      <c r="U1186" s="69"/>
      <c r="V1186" s="105"/>
      <c r="W1186" s="150"/>
      <c r="X1186" s="69"/>
      <c r="Y1186" s="99"/>
      <c r="Z1186" s="99"/>
      <c r="AA1186" s="99"/>
      <c r="AB1186" s="99"/>
      <c r="AC1186" s="99"/>
      <c r="AD1186" s="99"/>
      <c r="AE1186" s="150"/>
      <c r="AF1186" s="150"/>
      <c r="AG1186" s="99"/>
      <c r="AH1186" s="99"/>
      <c r="AI1186" s="105"/>
      <c r="AJ1186" s="105"/>
      <c r="AK1186" s="105"/>
      <c r="AL1186" s="98"/>
      <c r="AM1186" s="105"/>
      <c r="AN1186" s="98"/>
      <c r="AO1186" s="110"/>
      <c r="AP1186" s="98"/>
      <c r="AQ1186" s="98"/>
      <c r="AR1186" s="69"/>
      <c r="AS1186" s="98"/>
      <c r="AT1186" s="98"/>
      <c r="AU1186" s="69"/>
      <c r="AV1186" s="13"/>
      <c r="AW1186" s="13"/>
      <c r="AX1186" s="13"/>
      <c r="AY1186" s="13"/>
      <c r="AZ1186" s="13"/>
      <c r="BA1186" s="13"/>
      <c r="BB1186" s="13"/>
      <c r="BC1186" s="13"/>
      <c r="BD1186" s="13"/>
      <c r="BE1186" s="13"/>
      <c r="BF1186" s="13"/>
      <c r="BG1186" s="13"/>
      <c r="BH1186" s="13"/>
      <c r="BI1186" s="13"/>
      <c r="BJ1186" s="13"/>
      <c r="BK1186" s="13"/>
      <c r="BL1186" s="13"/>
      <c r="BM1186" s="13"/>
      <c r="BN1186" s="13"/>
      <c r="BO1186" s="13"/>
      <c r="BP1186" s="13"/>
      <c r="BQ1186" s="13"/>
      <c r="BR1186" s="13"/>
    </row>
    <row r="1187">
      <c r="A1187" s="69"/>
      <c r="B1187" s="69"/>
      <c r="C1187" s="99"/>
      <c r="D1187" s="99"/>
      <c r="E1187" s="13"/>
      <c r="F1187" s="99"/>
      <c r="G1187" s="13"/>
      <c r="H1187" s="69"/>
      <c r="I1187" s="98"/>
      <c r="J1187" s="69"/>
      <c r="K1187" s="99"/>
      <c r="L1187" s="99"/>
      <c r="M1187" s="128"/>
      <c r="N1187" s="182"/>
      <c r="O1187" s="98"/>
      <c r="P1187" s="128"/>
      <c r="Q1187" s="13"/>
      <c r="R1187" s="13"/>
      <c r="S1187" s="13"/>
      <c r="T1187" s="98"/>
      <c r="U1187" s="69"/>
      <c r="V1187" s="105"/>
      <c r="W1187" s="150"/>
      <c r="X1187" s="69"/>
      <c r="Y1187" s="99"/>
      <c r="Z1187" s="99"/>
      <c r="AA1187" s="99"/>
      <c r="AB1187" s="99"/>
      <c r="AC1187" s="99"/>
      <c r="AD1187" s="99"/>
      <c r="AE1187" s="150"/>
      <c r="AF1187" s="150"/>
      <c r="AG1187" s="99"/>
      <c r="AH1187" s="99"/>
      <c r="AI1187" s="105"/>
      <c r="AJ1187" s="105"/>
      <c r="AK1187" s="105"/>
      <c r="AL1187" s="98"/>
      <c r="AM1187" s="105"/>
      <c r="AN1187" s="98"/>
      <c r="AO1187" s="110"/>
      <c r="AP1187" s="98"/>
      <c r="AQ1187" s="98"/>
      <c r="AR1187" s="69"/>
      <c r="AS1187" s="98"/>
      <c r="AT1187" s="98"/>
      <c r="AU1187" s="69"/>
      <c r="AV1187" s="13"/>
      <c r="AW1187" s="13"/>
      <c r="AX1187" s="13"/>
      <c r="AY1187" s="13"/>
      <c r="AZ1187" s="13"/>
      <c r="BA1187" s="13"/>
      <c r="BB1187" s="13"/>
      <c r="BC1187" s="13"/>
      <c r="BD1187" s="13"/>
      <c r="BE1187" s="13"/>
      <c r="BF1187" s="13"/>
      <c r="BG1187" s="13"/>
      <c r="BH1187" s="13"/>
      <c r="BI1187" s="13"/>
      <c r="BJ1187" s="13"/>
      <c r="BK1187" s="13"/>
      <c r="BL1187" s="13"/>
      <c r="BM1187" s="13"/>
      <c r="BN1187" s="13"/>
      <c r="BO1187" s="13"/>
      <c r="BP1187" s="13"/>
      <c r="BQ1187" s="13"/>
      <c r="BR1187" s="13"/>
    </row>
    <row r="1188">
      <c r="A1188" s="69"/>
      <c r="B1188" s="69"/>
      <c r="C1188" s="99"/>
      <c r="D1188" s="99"/>
      <c r="E1188" s="13"/>
      <c r="F1188" s="99"/>
      <c r="G1188" s="13"/>
      <c r="H1188" s="69"/>
      <c r="I1188" s="98"/>
      <c r="J1188" s="69"/>
      <c r="K1188" s="99"/>
      <c r="L1188" s="99"/>
      <c r="M1188" s="128"/>
      <c r="N1188" s="182"/>
      <c r="O1188" s="98"/>
      <c r="P1188" s="128"/>
      <c r="Q1188" s="13"/>
      <c r="R1188" s="13"/>
      <c r="S1188" s="13"/>
      <c r="T1188" s="98"/>
      <c r="U1188" s="69"/>
      <c r="V1188" s="105"/>
      <c r="W1188" s="150"/>
      <c r="X1188" s="69"/>
      <c r="Y1188" s="99"/>
      <c r="Z1188" s="99"/>
      <c r="AA1188" s="99"/>
      <c r="AB1188" s="99"/>
      <c r="AC1188" s="99"/>
      <c r="AD1188" s="99"/>
      <c r="AE1188" s="150"/>
      <c r="AF1188" s="150"/>
      <c r="AG1188" s="99"/>
      <c r="AH1188" s="99"/>
      <c r="AI1188" s="105"/>
      <c r="AJ1188" s="105"/>
      <c r="AK1188" s="105"/>
      <c r="AL1188" s="98"/>
      <c r="AM1188" s="105"/>
      <c r="AN1188" s="98"/>
      <c r="AO1188" s="110"/>
      <c r="AP1188" s="98"/>
      <c r="AQ1188" s="98"/>
      <c r="AR1188" s="69"/>
      <c r="AS1188" s="98"/>
      <c r="AT1188" s="98"/>
      <c r="AU1188" s="69"/>
      <c r="AV1188" s="13"/>
      <c r="AW1188" s="13"/>
      <c r="AX1188" s="13"/>
      <c r="AY1188" s="13"/>
      <c r="AZ1188" s="13"/>
      <c r="BA1188" s="13"/>
      <c r="BB1188" s="13"/>
      <c r="BC1188" s="13"/>
      <c r="BD1188" s="13"/>
      <c r="BE1188" s="13"/>
      <c r="BF1188" s="13"/>
      <c r="BG1188" s="13"/>
      <c r="BH1188" s="13"/>
      <c r="BI1188" s="13"/>
      <c r="BJ1188" s="13"/>
      <c r="BK1188" s="13"/>
      <c r="BL1188" s="13"/>
      <c r="BM1188" s="13"/>
      <c r="BN1188" s="13"/>
      <c r="BO1188" s="13"/>
      <c r="BP1188" s="13"/>
      <c r="BQ1188" s="13"/>
      <c r="BR1188" s="13"/>
    </row>
    <row r="1189">
      <c r="A1189" s="69"/>
      <c r="B1189" s="69"/>
      <c r="C1189" s="99"/>
      <c r="D1189" s="99"/>
      <c r="E1189" s="13"/>
      <c r="F1189" s="99"/>
      <c r="G1189" s="13"/>
      <c r="H1189" s="69"/>
      <c r="I1189" s="98"/>
      <c r="J1189" s="69"/>
      <c r="K1189" s="99"/>
      <c r="L1189" s="99"/>
      <c r="M1189" s="128"/>
      <c r="N1189" s="182"/>
      <c r="O1189" s="98"/>
      <c r="P1189" s="128"/>
      <c r="Q1189" s="13"/>
      <c r="R1189" s="13"/>
      <c r="S1189" s="13"/>
      <c r="T1189" s="98"/>
      <c r="U1189" s="69"/>
      <c r="V1189" s="105"/>
      <c r="W1189" s="150"/>
      <c r="X1189" s="69"/>
      <c r="Y1189" s="99"/>
      <c r="Z1189" s="99"/>
      <c r="AA1189" s="99"/>
      <c r="AB1189" s="99"/>
      <c r="AC1189" s="99"/>
      <c r="AD1189" s="99"/>
      <c r="AE1189" s="150"/>
      <c r="AF1189" s="150"/>
      <c r="AG1189" s="99"/>
      <c r="AH1189" s="99"/>
      <c r="AI1189" s="105"/>
      <c r="AJ1189" s="105"/>
      <c r="AK1189" s="105"/>
      <c r="AL1189" s="98"/>
      <c r="AM1189" s="105"/>
      <c r="AN1189" s="98"/>
      <c r="AO1189" s="110"/>
      <c r="AP1189" s="98"/>
      <c r="AQ1189" s="98"/>
      <c r="AR1189" s="69"/>
      <c r="AS1189" s="98"/>
      <c r="AT1189" s="98"/>
      <c r="AU1189" s="69"/>
      <c r="AV1189" s="13"/>
      <c r="AW1189" s="13"/>
      <c r="AX1189" s="13"/>
      <c r="AY1189" s="13"/>
      <c r="AZ1189" s="13"/>
      <c r="BA1189" s="13"/>
      <c r="BB1189" s="13"/>
      <c r="BC1189" s="13"/>
      <c r="BD1189" s="13"/>
      <c r="BE1189" s="13"/>
      <c r="BF1189" s="13"/>
      <c r="BG1189" s="13"/>
      <c r="BH1189" s="13"/>
      <c r="BI1189" s="13"/>
      <c r="BJ1189" s="13"/>
      <c r="BK1189" s="13"/>
      <c r="BL1189" s="13"/>
      <c r="BM1189" s="13"/>
      <c r="BN1189" s="13"/>
      <c r="BO1189" s="13"/>
      <c r="BP1189" s="13"/>
      <c r="BQ1189" s="13"/>
      <c r="BR1189" s="13"/>
    </row>
    <row r="1190">
      <c r="A1190" s="69"/>
      <c r="B1190" s="69"/>
      <c r="C1190" s="99"/>
      <c r="D1190" s="99"/>
      <c r="E1190" s="13"/>
      <c r="F1190" s="99"/>
      <c r="G1190" s="13"/>
      <c r="H1190" s="69"/>
      <c r="I1190" s="98"/>
      <c r="J1190" s="69"/>
      <c r="K1190" s="99"/>
      <c r="L1190" s="99"/>
      <c r="M1190" s="128"/>
      <c r="N1190" s="182"/>
      <c r="O1190" s="98"/>
      <c r="P1190" s="128"/>
      <c r="Q1190" s="13"/>
      <c r="R1190" s="13"/>
      <c r="S1190" s="13"/>
      <c r="T1190" s="98"/>
      <c r="U1190" s="69"/>
      <c r="V1190" s="105"/>
      <c r="W1190" s="150"/>
      <c r="X1190" s="69"/>
      <c r="Y1190" s="99"/>
      <c r="Z1190" s="99"/>
      <c r="AA1190" s="99"/>
      <c r="AB1190" s="99"/>
      <c r="AC1190" s="99"/>
      <c r="AD1190" s="99"/>
      <c r="AE1190" s="150"/>
      <c r="AF1190" s="150"/>
      <c r="AG1190" s="99"/>
      <c r="AH1190" s="99"/>
      <c r="AI1190" s="105"/>
      <c r="AJ1190" s="105"/>
      <c r="AK1190" s="105"/>
      <c r="AL1190" s="98"/>
      <c r="AM1190" s="105"/>
      <c r="AN1190" s="98"/>
      <c r="AO1190" s="110"/>
      <c r="AP1190" s="98"/>
      <c r="AQ1190" s="98"/>
      <c r="AR1190" s="69"/>
      <c r="AS1190" s="98"/>
      <c r="AT1190" s="98"/>
      <c r="AU1190" s="69"/>
      <c r="AV1190" s="13"/>
      <c r="AW1190" s="13"/>
      <c r="AX1190" s="13"/>
      <c r="AY1190" s="13"/>
      <c r="AZ1190" s="13"/>
      <c r="BA1190" s="13"/>
      <c r="BB1190" s="13"/>
      <c r="BC1190" s="13"/>
      <c r="BD1190" s="13"/>
      <c r="BE1190" s="13"/>
      <c r="BF1190" s="13"/>
      <c r="BG1190" s="13"/>
      <c r="BH1190" s="13"/>
      <c r="BI1190" s="13"/>
      <c r="BJ1190" s="13"/>
      <c r="BK1190" s="13"/>
      <c r="BL1190" s="13"/>
      <c r="BM1190" s="13"/>
      <c r="BN1190" s="13"/>
      <c r="BO1190" s="13"/>
      <c r="BP1190" s="13"/>
      <c r="BQ1190" s="13"/>
      <c r="BR1190" s="13"/>
    </row>
    <row r="1191">
      <c r="A1191" s="69"/>
      <c r="B1191" s="69"/>
      <c r="C1191" s="99"/>
      <c r="D1191" s="99"/>
      <c r="E1191" s="13"/>
      <c r="F1191" s="99"/>
      <c r="G1191" s="13"/>
      <c r="H1191" s="69"/>
      <c r="I1191" s="98"/>
      <c r="J1191" s="69"/>
      <c r="K1191" s="99"/>
      <c r="L1191" s="99"/>
      <c r="M1191" s="128"/>
      <c r="N1191" s="182"/>
      <c r="O1191" s="98"/>
      <c r="P1191" s="128"/>
      <c r="Q1191" s="13"/>
      <c r="R1191" s="13"/>
      <c r="S1191" s="13"/>
      <c r="T1191" s="98"/>
      <c r="U1191" s="69"/>
      <c r="V1191" s="105"/>
      <c r="W1191" s="150"/>
      <c r="X1191" s="69"/>
      <c r="Y1191" s="99"/>
      <c r="Z1191" s="99"/>
      <c r="AA1191" s="99"/>
      <c r="AB1191" s="99"/>
      <c r="AC1191" s="99"/>
      <c r="AD1191" s="99"/>
      <c r="AE1191" s="150"/>
      <c r="AF1191" s="150"/>
      <c r="AG1191" s="99"/>
      <c r="AH1191" s="99"/>
      <c r="AI1191" s="105"/>
      <c r="AJ1191" s="105"/>
      <c r="AK1191" s="105"/>
      <c r="AL1191" s="98"/>
      <c r="AM1191" s="105"/>
      <c r="AN1191" s="98"/>
      <c r="AO1191" s="110"/>
      <c r="AP1191" s="98"/>
      <c r="AQ1191" s="98"/>
      <c r="AR1191" s="69"/>
      <c r="AS1191" s="98"/>
      <c r="AT1191" s="98"/>
      <c r="AU1191" s="69"/>
      <c r="AV1191" s="13"/>
      <c r="AW1191" s="13"/>
      <c r="AX1191" s="13"/>
      <c r="AY1191" s="13"/>
      <c r="AZ1191" s="13"/>
      <c r="BA1191" s="13"/>
      <c r="BB1191" s="13"/>
      <c r="BC1191" s="13"/>
      <c r="BD1191" s="13"/>
      <c r="BE1191" s="13"/>
      <c r="BF1191" s="13"/>
      <c r="BG1191" s="13"/>
      <c r="BH1191" s="13"/>
      <c r="BI1191" s="13"/>
      <c r="BJ1191" s="13"/>
      <c r="BK1191" s="13"/>
      <c r="BL1191" s="13"/>
      <c r="BM1191" s="13"/>
      <c r="BN1191" s="13"/>
      <c r="BO1191" s="13"/>
      <c r="BP1191" s="13"/>
      <c r="BQ1191" s="13"/>
      <c r="BR1191" s="13"/>
    </row>
    <row r="1192">
      <c r="A1192" s="69"/>
      <c r="B1192" s="69"/>
      <c r="C1192" s="99"/>
      <c r="D1192" s="99"/>
      <c r="E1192" s="13"/>
      <c r="F1192" s="99"/>
      <c r="G1192" s="13"/>
      <c r="H1192" s="69"/>
      <c r="I1192" s="98"/>
      <c r="J1192" s="69"/>
      <c r="K1192" s="99"/>
      <c r="L1192" s="99"/>
      <c r="M1192" s="128"/>
      <c r="N1192" s="182"/>
      <c r="O1192" s="98"/>
      <c r="P1192" s="128"/>
      <c r="Q1192" s="13"/>
      <c r="R1192" s="13"/>
      <c r="S1192" s="13"/>
      <c r="T1192" s="98"/>
      <c r="U1192" s="69"/>
      <c r="V1192" s="105"/>
      <c r="W1192" s="150"/>
      <c r="X1192" s="69"/>
      <c r="Y1192" s="99"/>
      <c r="Z1192" s="99"/>
      <c r="AA1192" s="99"/>
      <c r="AB1192" s="99"/>
      <c r="AC1192" s="99"/>
      <c r="AD1192" s="99"/>
      <c r="AE1192" s="150"/>
      <c r="AF1192" s="150"/>
      <c r="AG1192" s="99"/>
      <c r="AH1192" s="99"/>
      <c r="AI1192" s="105"/>
      <c r="AJ1192" s="105"/>
      <c r="AK1192" s="105"/>
      <c r="AL1192" s="98"/>
      <c r="AM1192" s="105"/>
      <c r="AN1192" s="98"/>
      <c r="AO1192" s="110"/>
      <c r="AP1192" s="98"/>
      <c r="AQ1192" s="98"/>
      <c r="AR1192" s="69"/>
      <c r="AS1192" s="98"/>
      <c r="AT1192" s="98"/>
      <c r="AU1192" s="69"/>
      <c r="AV1192" s="13"/>
      <c r="AW1192" s="13"/>
      <c r="AX1192" s="13"/>
      <c r="AY1192" s="13"/>
      <c r="AZ1192" s="13"/>
      <c r="BA1192" s="13"/>
      <c r="BB1192" s="13"/>
      <c r="BC1192" s="13"/>
      <c r="BD1192" s="13"/>
      <c r="BE1192" s="13"/>
      <c r="BF1192" s="13"/>
      <c r="BG1192" s="13"/>
      <c r="BH1192" s="13"/>
      <c r="BI1192" s="13"/>
      <c r="BJ1192" s="13"/>
      <c r="BK1192" s="13"/>
      <c r="BL1192" s="13"/>
      <c r="BM1192" s="13"/>
      <c r="BN1192" s="13"/>
      <c r="BO1192" s="13"/>
      <c r="BP1192" s="13"/>
      <c r="BQ1192" s="13"/>
      <c r="BR1192" s="13"/>
    </row>
    <row r="1193">
      <c r="A1193" s="69"/>
      <c r="B1193" s="69"/>
      <c r="C1193" s="99"/>
      <c r="D1193" s="99"/>
      <c r="E1193" s="13"/>
      <c r="F1193" s="99"/>
      <c r="G1193" s="13"/>
      <c r="H1193" s="69"/>
      <c r="I1193" s="98"/>
      <c r="J1193" s="69"/>
      <c r="K1193" s="99"/>
      <c r="L1193" s="99"/>
      <c r="M1193" s="128"/>
      <c r="N1193" s="182"/>
      <c r="O1193" s="98"/>
      <c r="P1193" s="128"/>
      <c r="Q1193" s="13"/>
      <c r="R1193" s="13"/>
      <c r="S1193" s="13"/>
      <c r="T1193" s="98"/>
      <c r="U1193" s="69"/>
      <c r="V1193" s="105"/>
      <c r="W1193" s="150"/>
      <c r="X1193" s="69"/>
      <c r="Y1193" s="99"/>
      <c r="Z1193" s="99"/>
      <c r="AA1193" s="99"/>
      <c r="AB1193" s="99"/>
      <c r="AC1193" s="99"/>
      <c r="AD1193" s="99"/>
      <c r="AE1193" s="150"/>
      <c r="AF1193" s="150"/>
      <c r="AG1193" s="99"/>
      <c r="AH1193" s="99"/>
      <c r="AI1193" s="105"/>
      <c r="AJ1193" s="105"/>
      <c r="AK1193" s="105"/>
      <c r="AL1193" s="98"/>
      <c r="AM1193" s="105"/>
      <c r="AN1193" s="98"/>
      <c r="AO1193" s="110"/>
      <c r="AP1193" s="98"/>
      <c r="AQ1193" s="98"/>
      <c r="AR1193" s="69"/>
      <c r="AS1193" s="98"/>
      <c r="AT1193" s="98"/>
      <c r="AU1193" s="69"/>
      <c r="AV1193" s="13"/>
      <c r="AW1193" s="13"/>
      <c r="AX1193" s="13"/>
      <c r="AY1193" s="13"/>
      <c r="AZ1193" s="13"/>
      <c r="BA1193" s="13"/>
      <c r="BB1193" s="13"/>
      <c r="BC1193" s="13"/>
      <c r="BD1193" s="13"/>
      <c r="BE1193" s="13"/>
      <c r="BF1193" s="13"/>
      <c r="BG1193" s="13"/>
      <c r="BH1193" s="13"/>
      <c r="BI1193" s="13"/>
      <c r="BJ1193" s="13"/>
      <c r="BK1193" s="13"/>
      <c r="BL1193" s="13"/>
      <c r="BM1193" s="13"/>
      <c r="BN1193" s="13"/>
      <c r="BO1193" s="13"/>
      <c r="BP1193" s="13"/>
      <c r="BQ1193" s="13"/>
      <c r="BR1193" s="13"/>
    </row>
    <row r="1194">
      <c r="A1194" s="69"/>
      <c r="B1194" s="69"/>
      <c r="C1194" s="99"/>
      <c r="D1194" s="99"/>
      <c r="E1194" s="13"/>
      <c r="F1194" s="99"/>
      <c r="G1194" s="13"/>
      <c r="H1194" s="69"/>
      <c r="I1194" s="98"/>
      <c r="J1194" s="69"/>
      <c r="K1194" s="99"/>
      <c r="L1194" s="99"/>
      <c r="M1194" s="128"/>
      <c r="N1194" s="182"/>
      <c r="O1194" s="98"/>
      <c r="P1194" s="128"/>
      <c r="Q1194" s="13"/>
      <c r="R1194" s="13"/>
      <c r="S1194" s="13"/>
      <c r="T1194" s="98"/>
      <c r="U1194" s="69"/>
      <c r="V1194" s="105"/>
      <c r="W1194" s="150"/>
      <c r="X1194" s="69"/>
      <c r="Y1194" s="99"/>
      <c r="Z1194" s="99"/>
      <c r="AA1194" s="99"/>
      <c r="AB1194" s="99"/>
      <c r="AC1194" s="99"/>
      <c r="AD1194" s="99"/>
      <c r="AE1194" s="150"/>
      <c r="AF1194" s="150"/>
      <c r="AG1194" s="99"/>
      <c r="AH1194" s="99"/>
      <c r="AI1194" s="105"/>
      <c r="AJ1194" s="105"/>
      <c r="AK1194" s="105"/>
      <c r="AL1194" s="98"/>
      <c r="AM1194" s="105"/>
      <c r="AN1194" s="98"/>
      <c r="AO1194" s="110"/>
      <c r="AP1194" s="98"/>
      <c r="AQ1194" s="98"/>
      <c r="AR1194" s="69"/>
      <c r="AS1194" s="98"/>
      <c r="AT1194" s="98"/>
      <c r="AU1194" s="69"/>
      <c r="AV1194" s="13"/>
      <c r="AW1194" s="13"/>
      <c r="AX1194" s="13"/>
      <c r="AY1194" s="13"/>
      <c r="AZ1194" s="13"/>
      <c r="BA1194" s="13"/>
      <c r="BB1194" s="13"/>
      <c r="BC1194" s="13"/>
      <c r="BD1194" s="13"/>
      <c r="BE1194" s="13"/>
      <c r="BF1194" s="13"/>
      <c r="BG1194" s="13"/>
      <c r="BH1194" s="13"/>
      <c r="BI1194" s="13"/>
      <c r="BJ1194" s="13"/>
      <c r="BK1194" s="13"/>
      <c r="BL1194" s="13"/>
      <c r="BM1194" s="13"/>
      <c r="BN1194" s="13"/>
      <c r="BO1194" s="13"/>
      <c r="BP1194" s="13"/>
      <c r="BQ1194" s="13"/>
      <c r="BR1194" s="13"/>
    </row>
    <row r="1195">
      <c r="A1195" s="69"/>
      <c r="B1195" s="69"/>
      <c r="C1195" s="99"/>
      <c r="D1195" s="99"/>
      <c r="E1195" s="13"/>
      <c r="F1195" s="99"/>
      <c r="G1195" s="13"/>
      <c r="H1195" s="69"/>
      <c r="I1195" s="98"/>
      <c r="J1195" s="69"/>
      <c r="K1195" s="99"/>
      <c r="L1195" s="99"/>
      <c r="M1195" s="128"/>
      <c r="N1195" s="182"/>
      <c r="O1195" s="98"/>
      <c r="P1195" s="128"/>
      <c r="Q1195" s="13"/>
      <c r="R1195" s="13"/>
      <c r="S1195" s="13"/>
      <c r="T1195" s="98"/>
      <c r="U1195" s="69"/>
      <c r="V1195" s="105"/>
      <c r="W1195" s="150"/>
      <c r="X1195" s="69"/>
      <c r="Y1195" s="99"/>
      <c r="Z1195" s="99"/>
      <c r="AA1195" s="99"/>
      <c r="AB1195" s="99"/>
      <c r="AC1195" s="99"/>
      <c r="AD1195" s="99"/>
      <c r="AE1195" s="150"/>
      <c r="AF1195" s="150"/>
      <c r="AG1195" s="99"/>
      <c r="AH1195" s="99"/>
      <c r="AI1195" s="105"/>
      <c r="AJ1195" s="105"/>
      <c r="AK1195" s="105"/>
      <c r="AL1195" s="98"/>
      <c r="AM1195" s="105"/>
      <c r="AN1195" s="98"/>
      <c r="AO1195" s="110"/>
      <c r="AP1195" s="98"/>
      <c r="AQ1195" s="98"/>
      <c r="AR1195" s="69"/>
      <c r="AS1195" s="98"/>
      <c r="AT1195" s="98"/>
      <c r="AU1195" s="69"/>
      <c r="AV1195" s="13"/>
      <c r="AW1195" s="13"/>
      <c r="AX1195" s="13"/>
      <c r="AY1195" s="13"/>
      <c r="AZ1195" s="13"/>
      <c r="BA1195" s="13"/>
      <c r="BB1195" s="13"/>
      <c r="BC1195" s="13"/>
      <c r="BD1195" s="13"/>
      <c r="BE1195" s="13"/>
      <c r="BF1195" s="13"/>
      <c r="BG1195" s="13"/>
      <c r="BH1195" s="13"/>
      <c r="BI1195" s="13"/>
      <c r="BJ1195" s="13"/>
      <c r="BK1195" s="13"/>
      <c r="BL1195" s="13"/>
      <c r="BM1195" s="13"/>
      <c r="BN1195" s="13"/>
      <c r="BO1195" s="13"/>
      <c r="BP1195" s="13"/>
      <c r="BQ1195" s="13"/>
      <c r="BR1195" s="13"/>
    </row>
    <row r="1196">
      <c r="A1196" s="69"/>
      <c r="B1196" s="69"/>
      <c r="C1196" s="99"/>
      <c r="D1196" s="99"/>
      <c r="E1196" s="13"/>
      <c r="F1196" s="99"/>
      <c r="G1196" s="13"/>
      <c r="H1196" s="69"/>
      <c r="I1196" s="98"/>
      <c r="J1196" s="69"/>
      <c r="K1196" s="99"/>
      <c r="L1196" s="99"/>
      <c r="M1196" s="128"/>
      <c r="N1196" s="182"/>
      <c r="O1196" s="98"/>
      <c r="P1196" s="128"/>
      <c r="Q1196" s="13"/>
      <c r="R1196" s="13"/>
      <c r="S1196" s="13"/>
      <c r="T1196" s="98"/>
      <c r="U1196" s="69"/>
      <c r="V1196" s="105"/>
      <c r="W1196" s="150"/>
      <c r="X1196" s="69"/>
      <c r="Y1196" s="99"/>
      <c r="Z1196" s="99"/>
      <c r="AA1196" s="99"/>
      <c r="AB1196" s="99"/>
      <c r="AC1196" s="99"/>
      <c r="AD1196" s="99"/>
      <c r="AE1196" s="150"/>
      <c r="AF1196" s="150"/>
      <c r="AG1196" s="99"/>
      <c r="AH1196" s="99"/>
      <c r="AI1196" s="105"/>
      <c r="AJ1196" s="105"/>
      <c r="AK1196" s="105"/>
      <c r="AL1196" s="98"/>
      <c r="AM1196" s="105"/>
      <c r="AN1196" s="98"/>
      <c r="AO1196" s="110"/>
      <c r="AP1196" s="98"/>
      <c r="AQ1196" s="98"/>
      <c r="AR1196" s="69"/>
      <c r="AS1196" s="98"/>
      <c r="AT1196" s="98"/>
      <c r="AU1196" s="69"/>
      <c r="AV1196" s="13"/>
      <c r="AW1196" s="13"/>
      <c r="AX1196" s="13"/>
      <c r="AY1196" s="13"/>
      <c r="AZ1196" s="13"/>
      <c r="BA1196" s="13"/>
      <c r="BB1196" s="13"/>
      <c r="BC1196" s="13"/>
      <c r="BD1196" s="13"/>
      <c r="BE1196" s="13"/>
      <c r="BF1196" s="13"/>
      <c r="BG1196" s="13"/>
      <c r="BH1196" s="13"/>
      <c r="BI1196" s="13"/>
      <c r="BJ1196" s="13"/>
      <c r="BK1196" s="13"/>
      <c r="BL1196" s="13"/>
      <c r="BM1196" s="13"/>
      <c r="BN1196" s="13"/>
      <c r="BO1196" s="13"/>
      <c r="BP1196" s="13"/>
      <c r="BQ1196" s="13"/>
      <c r="BR1196" s="13"/>
    </row>
    <row r="1197">
      <c r="A1197" s="69"/>
      <c r="B1197" s="69"/>
      <c r="C1197" s="99"/>
      <c r="D1197" s="99"/>
      <c r="E1197" s="13"/>
      <c r="F1197" s="99"/>
      <c r="G1197" s="13"/>
      <c r="H1197" s="69"/>
      <c r="I1197" s="98"/>
      <c r="J1197" s="69"/>
      <c r="K1197" s="99"/>
      <c r="L1197" s="99"/>
      <c r="M1197" s="128"/>
      <c r="N1197" s="182"/>
      <c r="O1197" s="98"/>
      <c r="P1197" s="128"/>
      <c r="Q1197" s="13"/>
      <c r="R1197" s="13"/>
      <c r="S1197" s="13"/>
      <c r="T1197" s="98"/>
      <c r="U1197" s="69"/>
      <c r="V1197" s="105"/>
      <c r="W1197" s="150"/>
      <c r="X1197" s="69"/>
      <c r="Y1197" s="99"/>
      <c r="Z1197" s="99"/>
      <c r="AA1197" s="99"/>
      <c r="AB1197" s="99"/>
      <c r="AC1197" s="99"/>
      <c r="AD1197" s="99"/>
      <c r="AE1197" s="150"/>
      <c r="AF1197" s="150"/>
      <c r="AG1197" s="99"/>
      <c r="AH1197" s="99"/>
      <c r="AI1197" s="105"/>
      <c r="AJ1197" s="105"/>
      <c r="AK1197" s="105"/>
      <c r="AL1197" s="98"/>
      <c r="AM1197" s="105"/>
      <c r="AN1197" s="98"/>
      <c r="AO1197" s="110"/>
      <c r="AP1197" s="98"/>
      <c r="AQ1197" s="98"/>
      <c r="AR1197" s="69"/>
      <c r="AS1197" s="98"/>
      <c r="AT1197" s="98"/>
      <c r="AU1197" s="69"/>
      <c r="AV1197" s="13"/>
      <c r="AW1197" s="13"/>
      <c r="AX1197" s="13"/>
      <c r="AY1197" s="13"/>
      <c r="AZ1197" s="13"/>
      <c r="BA1197" s="13"/>
      <c r="BB1197" s="13"/>
      <c r="BC1197" s="13"/>
      <c r="BD1197" s="13"/>
      <c r="BE1197" s="13"/>
      <c r="BF1197" s="13"/>
      <c r="BG1197" s="13"/>
      <c r="BH1197" s="13"/>
      <c r="BI1197" s="13"/>
      <c r="BJ1197" s="13"/>
      <c r="BK1197" s="13"/>
      <c r="BL1197" s="13"/>
      <c r="BM1197" s="13"/>
      <c r="BN1197" s="13"/>
      <c r="BO1197" s="13"/>
      <c r="BP1197" s="13"/>
      <c r="BQ1197" s="13"/>
      <c r="BR1197" s="13"/>
    </row>
    <row r="1198">
      <c r="A1198" s="69"/>
      <c r="B1198" s="69"/>
      <c r="C1198" s="99"/>
      <c r="D1198" s="99"/>
      <c r="E1198" s="13"/>
      <c r="F1198" s="99"/>
      <c r="G1198" s="13"/>
      <c r="H1198" s="69"/>
      <c r="I1198" s="98"/>
      <c r="J1198" s="69"/>
      <c r="K1198" s="99"/>
      <c r="L1198" s="99"/>
      <c r="M1198" s="128"/>
      <c r="N1198" s="182"/>
      <c r="O1198" s="98"/>
      <c r="P1198" s="128"/>
      <c r="Q1198" s="13"/>
      <c r="R1198" s="13"/>
      <c r="S1198" s="13"/>
      <c r="T1198" s="98"/>
      <c r="U1198" s="69"/>
      <c r="V1198" s="105"/>
      <c r="W1198" s="150"/>
      <c r="X1198" s="69"/>
      <c r="Y1198" s="99"/>
      <c r="Z1198" s="99"/>
      <c r="AA1198" s="99"/>
      <c r="AB1198" s="99"/>
      <c r="AC1198" s="99"/>
      <c r="AD1198" s="99"/>
      <c r="AE1198" s="150"/>
      <c r="AF1198" s="150"/>
      <c r="AG1198" s="99"/>
      <c r="AH1198" s="99"/>
      <c r="AI1198" s="105"/>
      <c r="AJ1198" s="105"/>
      <c r="AK1198" s="105"/>
      <c r="AL1198" s="98"/>
      <c r="AM1198" s="105"/>
      <c r="AN1198" s="98"/>
      <c r="AO1198" s="110"/>
      <c r="AP1198" s="98"/>
      <c r="AQ1198" s="98"/>
      <c r="AR1198" s="69"/>
      <c r="AS1198" s="98"/>
      <c r="AT1198" s="98"/>
      <c r="AU1198" s="69"/>
      <c r="AV1198" s="13"/>
      <c r="AW1198" s="13"/>
      <c r="AX1198" s="13"/>
      <c r="AY1198" s="13"/>
      <c r="AZ1198" s="13"/>
      <c r="BA1198" s="13"/>
      <c r="BB1198" s="13"/>
      <c r="BC1198" s="13"/>
      <c r="BD1198" s="13"/>
      <c r="BE1198" s="13"/>
      <c r="BF1198" s="13"/>
      <c r="BG1198" s="13"/>
      <c r="BH1198" s="13"/>
      <c r="BI1198" s="13"/>
      <c r="BJ1198" s="13"/>
      <c r="BK1198" s="13"/>
      <c r="BL1198" s="13"/>
      <c r="BM1198" s="13"/>
      <c r="BN1198" s="13"/>
      <c r="BO1198" s="13"/>
      <c r="BP1198" s="13"/>
      <c r="BQ1198" s="13"/>
      <c r="BR1198" s="13"/>
    </row>
    <row r="1199">
      <c r="A1199" s="69"/>
      <c r="B1199" s="69"/>
      <c r="C1199" s="99"/>
      <c r="D1199" s="99"/>
      <c r="E1199" s="13"/>
      <c r="F1199" s="99"/>
      <c r="G1199" s="13"/>
      <c r="H1199" s="69"/>
      <c r="I1199" s="98"/>
      <c r="J1199" s="69"/>
      <c r="K1199" s="99"/>
      <c r="L1199" s="99"/>
      <c r="M1199" s="128"/>
      <c r="N1199" s="182"/>
      <c r="O1199" s="98"/>
      <c r="P1199" s="128"/>
      <c r="Q1199" s="13"/>
      <c r="R1199" s="13"/>
      <c r="S1199" s="13"/>
      <c r="T1199" s="98"/>
      <c r="U1199" s="69"/>
      <c r="V1199" s="105"/>
      <c r="W1199" s="150"/>
      <c r="X1199" s="69"/>
      <c r="Y1199" s="99"/>
      <c r="Z1199" s="99"/>
      <c r="AA1199" s="99"/>
      <c r="AB1199" s="99"/>
      <c r="AC1199" s="99"/>
      <c r="AD1199" s="99"/>
      <c r="AE1199" s="150"/>
      <c r="AF1199" s="150"/>
      <c r="AG1199" s="99"/>
      <c r="AH1199" s="99"/>
      <c r="AI1199" s="105"/>
      <c r="AJ1199" s="105"/>
      <c r="AK1199" s="105"/>
      <c r="AL1199" s="98"/>
      <c r="AM1199" s="105"/>
      <c r="AN1199" s="98"/>
      <c r="AO1199" s="110"/>
      <c r="AP1199" s="98"/>
      <c r="AQ1199" s="98"/>
      <c r="AR1199" s="69"/>
      <c r="AS1199" s="98"/>
      <c r="AT1199" s="98"/>
      <c r="AU1199" s="69"/>
      <c r="AV1199" s="13"/>
      <c r="AW1199" s="13"/>
      <c r="AX1199" s="13"/>
      <c r="AY1199" s="13"/>
      <c r="AZ1199" s="13"/>
      <c r="BA1199" s="13"/>
      <c r="BB1199" s="13"/>
      <c r="BC1199" s="13"/>
      <c r="BD1199" s="13"/>
      <c r="BE1199" s="13"/>
      <c r="BF1199" s="13"/>
      <c r="BG1199" s="13"/>
      <c r="BH1199" s="13"/>
      <c r="BI1199" s="13"/>
      <c r="BJ1199" s="13"/>
      <c r="BK1199" s="13"/>
      <c r="BL1199" s="13"/>
      <c r="BM1199" s="13"/>
      <c r="BN1199" s="13"/>
      <c r="BO1199" s="13"/>
      <c r="BP1199" s="13"/>
      <c r="BQ1199" s="13"/>
      <c r="BR1199" s="13"/>
    </row>
    <row r="1200">
      <c r="A1200" s="69"/>
      <c r="B1200" s="69"/>
      <c r="C1200" s="99"/>
      <c r="D1200" s="99"/>
      <c r="E1200" s="13"/>
      <c r="F1200" s="99"/>
      <c r="G1200" s="13"/>
      <c r="H1200" s="69"/>
      <c r="I1200" s="98"/>
      <c r="J1200" s="69"/>
      <c r="K1200" s="99"/>
      <c r="L1200" s="99"/>
      <c r="M1200" s="128"/>
      <c r="N1200" s="182"/>
      <c r="O1200" s="98"/>
      <c r="P1200" s="128"/>
      <c r="Q1200" s="13"/>
      <c r="R1200" s="13"/>
      <c r="S1200" s="13"/>
      <c r="T1200" s="98"/>
      <c r="U1200" s="69"/>
      <c r="V1200" s="105"/>
      <c r="W1200" s="150"/>
      <c r="X1200" s="69"/>
      <c r="Y1200" s="99"/>
      <c r="Z1200" s="99"/>
      <c r="AA1200" s="99"/>
      <c r="AB1200" s="99"/>
      <c r="AC1200" s="99"/>
      <c r="AD1200" s="99"/>
      <c r="AE1200" s="150"/>
      <c r="AF1200" s="150"/>
      <c r="AG1200" s="99"/>
      <c r="AH1200" s="99"/>
      <c r="AI1200" s="105"/>
      <c r="AJ1200" s="105"/>
      <c r="AK1200" s="105"/>
      <c r="AL1200" s="98"/>
      <c r="AM1200" s="105"/>
      <c r="AN1200" s="98"/>
      <c r="AO1200" s="110"/>
      <c r="AP1200" s="98"/>
      <c r="AQ1200" s="98"/>
      <c r="AR1200" s="69"/>
      <c r="AS1200" s="98"/>
      <c r="AT1200" s="98"/>
      <c r="AU1200" s="69"/>
      <c r="AV1200" s="13"/>
      <c r="AW1200" s="13"/>
      <c r="AX1200" s="13"/>
      <c r="AY1200" s="13"/>
      <c r="AZ1200" s="13"/>
      <c r="BA1200" s="13"/>
      <c r="BB1200" s="13"/>
      <c r="BC1200" s="13"/>
      <c r="BD1200" s="13"/>
      <c r="BE1200" s="13"/>
      <c r="BF1200" s="13"/>
      <c r="BG1200" s="13"/>
      <c r="BH1200" s="13"/>
      <c r="BI1200" s="13"/>
      <c r="BJ1200" s="13"/>
      <c r="BK1200" s="13"/>
      <c r="BL1200" s="13"/>
      <c r="BM1200" s="13"/>
      <c r="BN1200" s="13"/>
      <c r="BO1200" s="13"/>
      <c r="BP1200" s="13"/>
      <c r="BQ1200" s="13"/>
      <c r="BR1200" s="13"/>
    </row>
    <row r="1201">
      <c r="A1201" s="69"/>
      <c r="B1201" s="69"/>
      <c r="C1201" s="99"/>
      <c r="D1201" s="99"/>
      <c r="E1201" s="13"/>
      <c r="F1201" s="99"/>
      <c r="G1201" s="13"/>
      <c r="H1201" s="69"/>
      <c r="I1201" s="98"/>
      <c r="J1201" s="69"/>
      <c r="K1201" s="99"/>
      <c r="L1201" s="99"/>
      <c r="M1201" s="128"/>
      <c r="N1201" s="182"/>
      <c r="O1201" s="98"/>
      <c r="P1201" s="128"/>
      <c r="Q1201" s="13"/>
      <c r="R1201" s="13"/>
      <c r="S1201" s="13"/>
      <c r="T1201" s="98"/>
      <c r="U1201" s="69"/>
      <c r="V1201" s="105"/>
      <c r="W1201" s="150"/>
      <c r="X1201" s="69"/>
      <c r="Y1201" s="99"/>
      <c r="Z1201" s="99"/>
      <c r="AA1201" s="99"/>
      <c r="AB1201" s="99"/>
      <c r="AC1201" s="99"/>
      <c r="AD1201" s="99"/>
      <c r="AE1201" s="150"/>
      <c r="AF1201" s="150"/>
      <c r="AG1201" s="99"/>
      <c r="AH1201" s="99"/>
      <c r="AI1201" s="105"/>
      <c r="AJ1201" s="105"/>
      <c r="AK1201" s="105"/>
      <c r="AL1201" s="98"/>
      <c r="AM1201" s="105"/>
      <c r="AN1201" s="98"/>
      <c r="AO1201" s="110"/>
      <c r="AP1201" s="98"/>
      <c r="AQ1201" s="98"/>
      <c r="AR1201" s="69"/>
      <c r="AS1201" s="98"/>
      <c r="AT1201" s="98"/>
      <c r="AU1201" s="69"/>
      <c r="AV1201" s="13"/>
      <c r="AW1201" s="13"/>
      <c r="AX1201" s="13"/>
      <c r="AY1201" s="13"/>
      <c r="AZ1201" s="13"/>
      <c r="BA1201" s="13"/>
      <c r="BB1201" s="13"/>
      <c r="BC1201" s="13"/>
      <c r="BD1201" s="13"/>
      <c r="BE1201" s="13"/>
      <c r="BF1201" s="13"/>
      <c r="BG1201" s="13"/>
      <c r="BH1201" s="13"/>
      <c r="BI1201" s="13"/>
      <c r="BJ1201" s="13"/>
      <c r="BK1201" s="13"/>
      <c r="BL1201" s="13"/>
      <c r="BM1201" s="13"/>
      <c r="BN1201" s="13"/>
      <c r="BO1201" s="13"/>
      <c r="BP1201" s="13"/>
      <c r="BQ1201" s="13"/>
      <c r="BR1201" s="13"/>
    </row>
    <row r="1202">
      <c r="A1202" s="69"/>
      <c r="B1202" s="69"/>
      <c r="C1202" s="99"/>
      <c r="D1202" s="99"/>
      <c r="E1202" s="13"/>
      <c r="F1202" s="99"/>
      <c r="G1202" s="13"/>
      <c r="H1202" s="69"/>
      <c r="I1202" s="98"/>
      <c r="J1202" s="69"/>
      <c r="K1202" s="99"/>
      <c r="L1202" s="99"/>
      <c r="M1202" s="128"/>
      <c r="N1202" s="182"/>
      <c r="O1202" s="98"/>
      <c r="P1202" s="128"/>
      <c r="Q1202" s="13"/>
      <c r="R1202" s="13"/>
      <c r="S1202" s="13"/>
      <c r="T1202" s="98"/>
      <c r="U1202" s="69"/>
      <c r="V1202" s="105"/>
      <c r="W1202" s="150"/>
      <c r="X1202" s="69"/>
      <c r="Y1202" s="99"/>
      <c r="Z1202" s="99"/>
      <c r="AA1202" s="99"/>
      <c r="AB1202" s="99"/>
      <c r="AC1202" s="99"/>
      <c r="AD1202" s="99"/>
      <c r="AE1202" s="150"/>
      <c r="AF1202" s="150"/>
      <c r="AG1202" s="99"/>
      <c r="AH1202" s="99"/>
      <c r="AI1202" s="105"/>
      <c r="AJ1202" s="105"/>
      <c r="AK1202" s="105"/>
      <c r="AL1202" s="98"/>
      <c r="AM1202" s="105"/>
      <c r="AN1202" s="98"/>
      <c r="AO1202" s="110"/>
      <c r="AP1202" s="98"/>
      <c r="AQ1202" s="98"/>
      <c r="AR1202" s="69"/>
      <c r="AS1202" s="98"/>
      <c r="AT1202" s="98"/>
      <c r="AU1202" s="69"/>
      <c r="AV1202" s="13"/>
      <c r="AW1202" s="13"/>
      <c r="AX1202" s="13"/>
      <c r="AY1202" s="13"/>
      <c r="AZ1202" s="13"/>
      <c r="BA1202" s="13"/>
      <c r="BB1202" s="13"/>
      <c r="BC1202" s="13"/>
      <c r="BD1202" s="13"/>
      <c r="BE1202" s="13"/>
      <c r="BF1202" s="13"/>
      <c r="BG1202" s="13"/>
      <c r="BH1202" s="13"/>
      <c r="BI1202" s="13"/>
      <c r="BJ1202" s="13"/>
      <c r="BK1202" s="13"/>
      <c r="BL1202" s="13"/>
      <c r="BM1202" s="13"/>
      <c r="BN1202" s="13"/>
      <c r="BO1202" s="13"/>
      <c r="BP1202" s="13"/>
      <c r="BQ1202" s="13"/>
      <c r="BR1202" s="13"/>
    </row>
    <row r="1203">
      <c r="A1203" s="69"/>
      <c r="B1203" s="69"/>
      <c r="C1203" s="99"/>
      <c r="D1203" s="99"/>
      <c r="E1203" s="13"/>
      <c r="F1203" s="99"/>
      <c r="G1203" s="13"/>
      <c r="H1203" s="69"/>
      <c r="I1203" s="98"/>
      <c r="J1203" s="69"/>
      <c r="K1203" s="99"/>
      <c r="L1203" s="99"/>
      <c r="M1203" s="128"/>
      <c r="N1203" s="182"/>
      <c r="O1203" s="98"/>
      <c r="P1203" s="128"/>
      <c r="Q1203" s="13"/>
      <c r="R1203" s="13"/>
      <c r="S1203" s="13"/>
      <c r="T1203" s="98"/>
      <c r="U1203" s="69"/>
      <c r="V1203" s="105"/>
      <c r="W1203" s="150"/>
      <c r="X1203" s="69"/>
      <c r="Y1203" s="99"/>
      <c r="Z1203" s="99"/>
      <c r="AA1203" s="99"/>
      <c r="AB1203" s="99"/>
      <c r="AC1203" s="99"/>
      <c r="AD1203" s="99"/>
      <c r="AE1203" s="150"/>
      <c r="AF1203" s="150"/>
      <c r="AG1203" s="99"/>
      <c r="AH1203" s="99"/>
      <c r="AI1203" s="105"/>
      <c r="AJ1203" s="105"/>
      <c r="AK1203" s="105"/>
      <c r="AL1203" s="98"/>
      <c r="AM1203" s="105"/>
      <c r="AN1203" s="98"/>
      <c r="AO1203" s="110"/>
      <c r="AP1203" s="98"/>
      <c r="AQ1203" s="98"/>
      <c r="AR1203" s="69"/>
      <c r="AS1203" s="98"/>
      <c r="AT1203" s="98"/>
      <c r="AU1203" s="69"/>
      <c r="AV1203" s="13"/>
      <c r="AW1203" s="13"/>
      <c r="AX1203" s="13"/>
      <c r="AY1203" s="13"/>
      <c r="AZ1203" s="13"/>
      <c r="BA1203" s="13"/>
      <c r="BB1203" s="13"/>
      <c r="BC1203" s="13"/>
      <c r="BD1203" s="13"/>
      <c r="BE1203" s="13"/>
      <c r="BF1203" s="13"/>
      <c r="BG1203" s="13"/>
      <c r="BH1203" s="13"/>
      <c r="BI1203" s="13"/>
      <c r="BJ1203" s="13"/>
      <c r="BK1203" s="13"/>
      <c r="BL1203" s="13"/>
      <c r="BM1203" s="13"/>
      <c r="BN1203" s="13"/>
      <c r="BO1203" s="13"/>
      <c r="BP1203" s="13"/>
      <c r="BQ1203" s="13"/>
      <c r="BR1203" s="13"/>
    </row>
    <row r="1204">
      <c r="A1204" s="69"/>
      <c r="B1204" s="69"/>
      <c r="C1204" s="99"/>
      <c r="D1204" s="99"/>
      <c r="E1204" s="13"/>
      <c r="F1204" s="99"/>
      <c r="G1204" s="13"/>
      <c r="H1204" s="69"/>
      <c r="I1204" s="98"/>
      <c r="J1204" s="69"/>
      <c r="K1204" s="99"/>
      <c r="L1204" s="99"/>
      <c r="M1204" s="128"/>
      <c r="N1204" s="182"/>
      <c r="O1204" s="98"/>
      <c r="P1204" s="128"/>
      <c r="Q1204" s="13"/>
      <c r="R1204" s="13"/>
      <c r="S1204" s="13"/>
      <c r="T1204" s="98"/>
      <c r="U1204" s="69"/>
      <c r="V1204" s="105"/>
      <c r="W1204" s="150"/>
      <c r="X1204" s="69"/>
      <c r="Y1204" s="99"/>
      <c r="Z1204" s="99"/>
      <c r="AA1204" s="99"/>
      <c r="AB1204" s="99"/>
      <c r="AC1204" s="99"/>
      <c r="AD1204" s="99"/>
      <c r="AE1204" s="150"/>
      <c r="AF1204" s="150"/>
      <c r="AG1204" s="99"/>
      <c r="AH1204" s="99"/>
      <c r="AI1204" s="105"/>
      <c r="AJ1204" s="105"/>
      <c r="AK1204" s="105"/>
      <c r="AL1204" s="98"/>
      <c r="AM1204" s="105"/>
      <c r="AN1204" s="98"/>
      <c r="AO1204" s="110"/>
      <c r="AP1204" s="98"/>
      <c r="AQ1204" s="98"/>
      <c r="AR1204" s="69"/>
      <c r="AS1204" s="98"/>
      <c r="AT1204" s="98"/>
      <c r="AU1204" s="69"/>
      <c r="AV1204" s="13"/>
      <c r="AW1204" s="13"/>
      <c r="AX1204" s="13"/>
      <c r="AY1204" s="13"/>
      <c r="AZ1204" s="13"/>
      <c r="BA1204" s="13"/>
      <c r="BB1204" s="13"/>
      <c r="BC1204" s="13"/>
      <c r="BD1204" s="13"/>
      <c r="BE1204" s="13"/>
      <c r="BF1204" s="13"/>
      <c r="BG1204" s="13"/>
      <c r="BH1204" s="13"/>
      <c r="BI1204" s="13"/>
      <c r="BJ1204" s="13"/>
      <c r="BK1204" s="13"/>
      <c r="BL1204" s="13"/>
      <c r="BM1204" s="13"/>
      <c r="BN1204" s="13"/>
      <c r="BO1204" s="13"/>
      <c r="BP1204" s="13"/>
      <c r="BQ1204" s="13"/>
      <c r="BR1204" s="13"/>
    </row>
    <row r="1205">
      <c r="A1205" s="69"/>
      <c r="B1205" s="69"/>
      <c r="C1205" s="99"/>
      <c r="D1205" s="99"/>
      <c r="E1205" s="13"/>
      <c r="F1205" s="99"/>
      <c r="G1205" s="13"/>
      <c r="H1205" s="69"/>
      <c r="I1205" s="98"/>
      <c r="J1205" s="69"/>
      <c r="K1205" s="99"/>
      <c r="L1205" s="99"/>
      <c r="M1205" s="128"/>
      <c r="N1205" s="182"/>
      <c r="O1205" s="98"/>
      <c r="P1205" s="128"/>
      <c r="Q1205" s="13"/>
      <c r="R1205" s="13"/>
      <c r="S1205" s="13"/>
      <c r="T1205" s="98"/>
      <c r="U1205" s="69"/>
      <c r="V1205" s="105"/>
      <c r="W1205" s="150"/>
      <c r="X1205" s="69"/>
      <c r="Y1205" s="99"/>
      <c r="Z1205" s="99"/>
      <c r="AA1205" s="99"/>
      <c r="AB1205" s="99"/>
      <c r="AC1205" s="99"/>
      <c r="AD1205" s="99"/>
      <c r="AE1205" s="150"/>
      <c r="AF1205" s="150"/>
      <c r="AG1205" s="99"/>
      <c r="AH1205" s="99"/>
      <c r="AI1205" s="105"/>
      <c r="AJ1205" s="105"/>
      <c r="AK1205" s="105"/>
      <c r="AL1205" s="98"/>
      <c r="AM1205" s="105"/>
      <c r="AN1205" s="98"/>
      <c r="AO1205" s="110"/>
      <c r="AP1205" s="98"/>
      <c r="AQ1205" s="98"/>
      <c r="AR1205" s="69"/>
      <c r="AS1205" s="98"/>
      <c r="AT1205" s="98"/>
      <c r="AU1205" s="69"/>
      <c r="AV1205" s="13"/>
      <c r="AW1205" s="13"/>
      <c r="AX1205" s="13"/>
      <c r="AY1205" s="13"/>
      <c r="AZ1205" s="13"/>
      <c r="BA1205" s="13"/>
      <c r="BB1205" s="13"/>
      <c r="BC1205" s="13"/>
      <c r="BD1205" s="13"/>
      <c r="BE1205" s="13"/>
      <c r="BF1205" s="13"/>
      <c r="BG1205" s="13"/>
      <c r="BH1205" s="13"/>
      <c r="BI1205" s="13"/>
      <c r="BJ1205" s="13"/>
      <c r="BK1205" s="13"/>
      <c r="BL1205" s="13"/>
      <c r="BM1205" s="13"/>
      <c r="BN1205" s="13"/>
      <c r="BO1205" s="13"/>
      <c r="BP1205" s="13"/>
      <c r="BQ1205" s="13"/>
      <c r="BR1205" s="13"/>
    </row>
    <row r="1206">
      <c r="A1206" s="69"/>
      <c r="B1206" s="69"/>
      <c r="C1206" s="99"/>
      <c r="D1206" s="99"/>
      <c r="E1206" s="13"/>
      <c r="F1206" s="99"/>
      <c r="G1206" s="13"/>
      <c r="H1206" s="69"/>
      <c r="I1206" s="98"/>
      <c r="J1206" s="69"/>
      <c r="K1206" s="99"/>
      <c r="L1206" s="99"/>
      <c r="M1206" s="128"/>
      <c r="N1206" s="182"/>
      <c r="O1206" s="98"/>
      <c r="P1206" s="128"/>
      <c r="Q1206" s="13"/>
      <c r="R1206" s="13"/>
      <c r="S1206" s="13"/>
      <c r="T1206" s="98"/>
      <c r="U1206" s="69"/>
      <c r="V1206" s="105"/>
      <c r="W1206" s="150"/>
      <c r="X1206" s="69"/>
      <c r="Y1206" s="99"/>
      <c r="Z1206" s="99"/>
      <c r="AA1206" s="99"/>
      <c r="AB1206" s="99"/>
      <c r="AC1206" s="99"/>
      <c r="AD1206" s="99"/>
      <c r="AE1206" s="150"/>
      <c r="AF1206" s="150"/>
      <c r="AG1206" s="99"/>
      <c r="AH1206" s="99"/>
      <c r="AI1206" s="105"/>
      <c r="AJ1206" s="105"/>
      <c r="AK1206" s="105"/>
      <c r="AL1206" s="98"/>
      <c r="AM1206" s="105"/>
      <c r="AN1206" s="98"/>
      <c r="AO1206" s="110"/>
      <c r="AP1206" s="98"/>
      <c r="AQ1206" s="98"/>
      <c r="AR1206" s="69"/>
      <c r="AS1206" s="98"/>
      <c r="AT1206" s="98"/>
      <c r="AU1206" s="69"/>
      <c r="AV1206" s="13"/>
      <c r="AW1206" s="13"/>
      <c r="AX1206" s="13"/>
      <c r="AY1206" s="13"/>
      <c r="AZ1206" s="13"/>
      <c r="BA1206" s="13"/>
      <c r="BB1206" s="13"/>
      <c r="BC1206" s="13"/>
      <c r="BD1206" s="13"/>
      <c r="BE1206" s="13"/>
      <c r="BF1206" s="13"/>
      <c r="BG1206" s="13"/>
      <c r="BH1206" s="13"/>
      <c r="BI1206" s="13"/>
      <c r="BJ1206" s="13"/>
      <c r="BK1206" s="13"/>
      <c r="BL1206" s="13"/>
      <c r="BM1206" s="13"/>
      <c r="BN1206" s="13"/>
      <c r="BO1206" s="13"/>
      <c r="BP1206" s="13"/>
      <c r="BQ1206" s="13"/>
      <c r="BR1206" s="13"/>
    </row>
    <row r="1207">
      <c r="A1207" s="69"/>
      <c r="B1207" s="69"/>
      <c r="C1207" s="99"/>
      <c r="D1207" s="99"/>
      <c r="E1207" s="13"/>
      <c r="F1207" s="99"/>
      <c r="G1207" s="13"/>
      <c r="H1207" s="69"/>
      <c r="I1207" s="98"/>
      <c r="J1207" s="69"/>
      <c r="K1207" s="99"/>
      <c r="L1207" s="99"/>
      <c r="M1207" s="128"/>
      <c r="N1207" s="182"/>
      <c r="O1207" s="98"/>
      <c r="P1207" s="128"/>
      <c r="Q1207" s="13"/>
      <c r="R1207" s="13"/>
      <c r="S1207" s="13"/>
      <c r="T1207" s="98"/>
      <c r="U1207" s="69"/>
      <c r="V1207" s="105"/>
      <c r="W1207" s="150"/>
      <c r="X1207" s="69"/>
      <c r="Y1207" s="99"/>
      <c r="Z1207" s="99"/>
      <c r="AA1207" s="99"/>
      <c r="AB1207" s="99"/>
      <c r="AC1207" s="99"/>
      <c r="AD1207" s="99"/>
      <c r="AE1207" s="150"/>
      <c r="AF1207" s="150"/>
      <c r="AG1207" s="99"/>
      <c r="AH1207" s="99"/>
      <c r="AI1207" s="105"/>
      <c r="AJ1207" s="105"/>
      <c r="AK1207" s="105"/>
      <c r="AL1207" s="98"/>
      <c r="AM1207" s="105"/>
      <c r="AN1207" s="98"/>
      <c r="AO1207" s="110"/>
      <c r="AP1207" s="98"/>
      <c r="AQ1207" s="98"/>
      <c r="AR1207" s="69"/>
      <c r="AS1207" s="98"/>
      <c r="AT1207" s="98"/>
      <c r="AU1207" s="69"/>
      <c r="AV1207" s="13"/>
      <c r="AW1207" s="13"/>
      <c r="AX1207" s="13"/>
      <c r="AY1207" s="13"/>
      <c r="AZ1207" s="13"/>
      <c r="BA1207" s="13"/>
      <c r="BB1207" s="13"/>
      <c r="BC1207" s="13"/>
      <c r="BD1207" s="13"/>
      <c r="BE1207" s="13"/>
      <c r="BF1207" s="13"/>
      <c r="BG1207" s="13"/>
      <c r="BH1207" s="13"/>
      <c r="BI1207" s="13"/>
      <c r="BJ1207" s="13"/>
      <c r="BK1207" s="13"/>
      <c r="BL1207" s="13"/>
      <c r="BM1207" s="13"/>
      <c r="BN1207" s="13"/>
      <c r="BO1207" s="13"/>
      <c r="BP1207" s="13"/>
      <c r="BQ1207" s="13"/>
      <c r="BR1207" s="13"/>
    </row>
    <row r="1208">
      <c r="A1208" s="69"/>
      <c r="B1208" s="69"/>
      <c r="C1208" s="99"/>
      <c r="D1208" s="99"/>
      <c r="E1208" s="13"/>
      <c r="F1208" s="99"/>
      <c r="G1208" s="13"/>
      <c r="H1208" s="69"/>
      <c r="I1208" s="98"/>
      <c r="J1208" s="69"/>
      <c r="K1208" s="99"/>
      <c r="L1208" s="99"/>
      <c r="M1208" s="128"/>
      <c r="N1208" s="182"/>
      <c r="O1208" s="98"/>
      <c r="P1208" s="128"/>
      <c r="Q1208" s="13"/>
      <c r="R1208" s="13"/>
      <c r="S1208" s="13"/>
      <c r="T1208" s="98"/>
      <c r="U1208" s="69"/>
      <c r="V1208" s="105"/>
      <c r="W1208" s="150"/>
      <c r="X1208" s="69"/>
      <c r="Y1208" s="99"/>
      <c r="Z1208" s="99"/>
      <c r="AA1208" s="99"/>
      <c r="AB1208" s="99"/>
      <c r="AC1208" s="99"/>
      <c r="AD1208" s="99"/>
      <c r="AE1208" s="150"/>
      <c r="AF1208" s="150"/>
      <c r="AG1208" s="99"/>
      <c r="AH1208" s="99"/>
      <c r="AI1208" s="105"/>
      <c r="AJ1208" s="105"/>
      <c r="AK1208" s="105"/>
      <c r="AL1208" s="98"/>
      <c r="AM1208" s="105"/>
      <c r="AN1208" s="98"/>
      <c r="AO1208" s="110"/>
      <c r="AP1208" s="98"/>
      <c r="AQ1208" s="98"/>
      <c r="AR1208" s="69"/>
      <c r="AS1208" s="98"/>
      <c r="AT1208" s="98"/>
      <c r="AU1208" s="69"/>
      <c r="AV1208" s="13"/>
      <c r="AW1208" s="13"/>
      <c r="AX1208" s="13"/>
      <c r="AY1208" s="13"/>
      <c r="AZ1208" s="13"/>
      <c r="BA1208" s="13"/>
      <c r="BB1208" s="13"/>
      <c r="BC1208" s="13"/>
      <c r="BD1208" s="13"/>
      <c r="BE1208" s="13"/>
      <c r="BF1208" s="13"/>
      <c r="BG1208" s="13"/>
      <c r="BH1208" s="13"/>
      <c r="BI1208" s="13"/>
      <c r="BJ1208" s="13"/>
      <c r="BK1208" s="13"/>
      <c r="BL1208" s="13"/>
      <c r="BM1208" s="13"/>
      <c r="BN1208" s="13"/>
      <c r="BO1208" s="13"/>
      <c r="BP1208" s="13"/>
      <c r="BQ1208" s="13"/>
      <c r="BR1208" s="13"/>
    </row>
    <row r="1209">
      <c r="A1209" s="69"/>
      <c r="B1209" s="69"/>
      <c r="C1209" s="99"/>
      <c r="D1209" s="99"/>
      <c r="E1209" s="13"/>
      <c r="F1209" s="99"/>
      <c r="G1209" s="13"/>
      <c r="H1209" s="69"/>
      <c r="I1209" s="98"/>
      <c r="J1209" s="69"/>
      <c r="K1209" s="99"/>
      <c r="L1209" s="99"/>
      <c r="M1209" s="128"/>
      <c r="N1209" s="182"/>
      <c r="O1209" s="98"/>
      <c r="P1209" s="128"/>
      <c r="Q1209" s="13"/>
      <c r="R1209" s="13"/>
      <c r="S1209" s="13"/>
      <c r="T1209" s="98"/>
      <c r="U1209" s="69"/>
      <c r="V1209" s="105"/>
      <c r="W1209" s="150"/>
      <c r="X1209" s="69"/>
      <c r="Y1209" s="99"/>
      <c r="Z1209" s="99"/>
      <c r="AA1209" s="99"/>
      <c r="AB1209" s="99"/>
      <c r="AC1209" s="99"/>
      <c r="AD1209" s="99"/>
      <c r="AE1209" s="150"/>
      <c r="AF1209" s="150"/>
      <c r="AG1209" s="99"/>
      <c r="AH1209" s="99"/>
      <c r="AI1209" s="105"/>
      <c r="AJ1209" s="105"/>
      <c r="AK1209" s="105"/>
      <c r="AL1209" s="98"/>
      <c r="AM1209" s="105"/>
      <c r="AN1209" s="98"/>
      <c r="AO1209" s="110"/>
      <c r="AP1209" s="98"/>
      <c r="AQ1209" s="98"/>
      <c r="AR1209" s="69"/>
      <c r="AS1209" s="98"/>
      <c r="AT1209" s="98"/>
      <c r="AU1209" s="69"/>
      <c r="AV1209" s="13"/>
      <c r="AW1209" s="13"/>
      <c r="AX1209" s="13"/>
      <c r="AY1209" s="13"/>
      <c r="AZ1209" s="13"/>
      <c r="BA1209" s="13"/>
      <c r="BB1209" s="13"/>
      <c r="BC1209" s="13"/>
      <c r="BD1209" s="13"/>
      <c r="BE1209" s="13"/>
      <c r="BF1209" s="13"/>
      <c r="BG1209" s="13"/>
      <c r="BH1209" s="13"/>
      <c r="BI1209" s="13"/>
      <c r="BJ1209" s="13"/>
      <c r="BK1209" s="13"/>
      <c r="BL1209" s="13"/>
      <c r="BM1209" s="13"/>
      <c r="BN1209" s="13"/>
      <c r="BO1209" s="13"/>
      <c r="BP1209" s="13"/>
      <c r="BQ1209" s="13"/>
      <c r="BR1209" s="13"/>
    </row>
    <row r="1210">
      <c r="A1210" s="69"/>
      <c r="B1210" s="69"/>
      <c r="C1210" s="99"/>
      <c r="D1210" s="99"/>
      <c r="E1210" s="13"/>
      <c r="F1210" s="99"/>
      <c r="G1210" s="13"/>
      <c r="H1210" s="69"/>
      <c r="I1210" s="98"/>
      <c r="J1210" s="69"/>
      <c r="K1210" s="99"/>
      <c r="L1210" s="99"/>
      <c r="M1210" s="128"/>
      <c r="N1210" s="182"/>
      <c r="O1210" s="98"/>
      <c r="P1210" s="128"/>
      <c r="Q1210" s="13"/>
      <c r="R1210" s="13"/>
      <c r="S1210" s="13"/>
      <c r="T1210" s="98"/>
      <c r="U1210" s="69"/>
      <c r="V1210" s="105"/>
      <c r="W1210" s="150"/>
      <c r="X1210" s="69"/>
      <c r="Y1210" s="99"/>
      <c r="Z1210" s="99"/>
      <c r="AA1210" s="99"/>
      <c r="AB1210" s="99"/>
      <c r="AC1210" s="99"/>
      <c r="AD1210" s="99"/>
      <c r="AE1210" s="150"/>
      <c r="AF1210" s="150"/>
      <c r="AG1210" s="99"/>
      <c r="AH1210" s="99"/>
      <c r="AI1210" s="105"/>
      <c r="AJ1210" s="105"/>
      <c r="AK1210" s="105"/>
      <c r="AL1210" s="98"/>
      <c r="AM1210" s="105"/>
      <c r="AN1210" s="98"/>
      <c r="AO1210" s="110"/>
      <c r="AP1210" s="98"/>
      <c r="AQ1210" s="98"/>
      <c r="AR1210" s="69"/>
      <c r="AS1210" s="98"/>
      <c r="AT1210" s="98"/>
      <c r="AU1210" s="69"/>
      <c r="AV1210" s="13"/>
      <c r="AW1210" s="13"/>
      <c r="AX1210" s="13"/>
      <c r="AY1210" s="13"/>
      <c r="AZ1210" s="13"/>
      <c r="BA1210" s="13"/>
      <c r="BB1210" s="13"/>
      <c r="BC1210" s="13"/>
      <c r="BD1210" s="13"/>
      <c r="BE1210" s="13"/>
      <c r="BF1210" s="13"/>
      <c r="BG1210" s="13"/>
      <c r="BH1210" s="13"/>
      <c r="BI1210" s="13"/>
      <c r="BJ1210" s="13"/>
      <c r="BK1210" s="13"/>
      <c r="BL1210" s="13"/>
      <c r="BM1210" s="13"/>
      <c r="BN1210" s="13"/>
      <c r="BO1210" s="13"/>
      <c r="BP1210" s="13"/>
      <c r="BQ1210" s="13"/>
      <c r="BR1210" s="13"/>
    </row>
    <row r="1211">
      <c r="A1211" s="69"/>
      <c r="B1211" s="69"/>
      <c r="C1211" s="99"/>
      <c r="D1211" s="99"/>
      <c r="E1211" s="13"/>
      <c r="F1211" s="99"/>
      <c r="G1211" s="13"/>
      <c r="H1211" s="69"/>
      <c r="I1211" s="98"/>
      <c r="J1211" s="69"/>
      <c r="K1211" s="99"/>
      <c r="L1211" s="99"/>
      <c r="M1211" s="128"/>
      <c r="N1211" s="182"/>
      <c r="O1211" s="98"/>
      <c r="P1211" s="128"/>
      <c r="Q1211" s="13"/>
      <c r="R1211" s="13"/>
      <c r="S1211" s="13"/>
      <c r="T1211" s="98"/>
      <c r="U1211" s="69"/>
      <c r="V1211" s="105"/>
      <c r="W1211" s="150"/>
      <c r="X1211" s="69"/>
      <c r="Y1211" s="99"/>
      <c r="Z1211" s="99"/>
      <c r="AA1211" s="99"/>
      <c r="AB1211" s="99"/>
      <c r="AC1211" s="99"/>
      <c r="AD1211" s="99"/>
      <c r="AE1211" s="150"/>
      <c r="AF1211" s="150"/>
      <c r="AG1211" s="99"/>
      <c r="AH1211" s="99"/>
      <c r="AI1211" s="105"/>
      <c r="AJ1211" s="105"/>
      <c r="AK1211" s="105"/>
      <c r="AL1211" s="98"/>
      <c r="AM1211" s="105"/>
      <c r="AN1211" s="98"/>
      <c r="AO1211" s="110"/>
      <c r="AP1211" s="98"/>
      <c r="AQ1211" s="98"/>
      <c r="AR1211" s="69"/>
      <c r="AS1211" s="98"/>
      <c r="AT1211" s="98"/>
      <c r="AU1211" s="69"/>
      <c r="AV1211" s="13"/>
      <c r="AW1211" s="13"/>
      <c r="AX1211" s="13"/>
      <c r="AY1211" s="13"/>
      <c r="AZ1211" s="13"/>
      <c r="BA1211" s="13"/>
      <c r="BB1211" s="13"/>
      <c r="BC1211" s="13"/>
      <c r="BD1211" s="13"/>
      <c r="BE1211" s="13"/>
      <c r="BF1211" s="13"/>
      <c r="BG1211" s="13"/>
      <c r="BH1211" s="13"/>
      <c r="BI1211" s="13"/>
      <c r="BJ1211" s="13"/>
      <c r="BK1211" s="13"/>
      <c r="BL1211" s="13"/>
      <c r="BM1211" s="13"/>
      <c r="BN1211" s="13"/>
      <c r="BO1211" s="13"/>
      <c r="BP1211" s="13"/>
      <c r="BQ1211" s="13"/>
      <c r="BR1211" s="13"/>
    </row>
    <row r="1212">
      <c r="A1212" s="69"/>
      <c r="B1212" s="69"/>
      <c r="C1212" s="99"/>
      <c r="D1212" s="99"/>
      <c r="E1212" s="13"/>
      <c r="F1212" s="99"/>
      <c r="G1212" s="13"/>
      <c r="H1212" s="69"/>
      <c r="I1212" s="98"/>
      <c r="J1212" s="69"/>
      <c r="K1212" s="99"/>
      <c r="L1212" s="99"/>
      <c r="M1212" s="128"/>
      <c r="N1212" s="182"/>
      <c r="O1212" s="98"/>
      <c r="P1212" s="128"/>
      <c r="Q1212" s="13"/>
      <c r="R1212" s="13"/>
      <c r="S1212" s="13"/>
      <c r="T1212" s="98"/>
      <c r="U1212" s="69"/>
      <c r="V1212" s="105"/>
      <c r="W1212" s="150"/>
      <c r="X1212" s="69"/>
      <c r="Y1212" s="99"/>
      <c r="Z1212" s="99"/>
      <c r="AA1212" s="99"/>
      <c r="AB1212" s="99"/>
      <c r="AC1212" s="99"/>
      <c r="AD1212" s="99"/>
      <c r="AE1212" s="150"/>
      <c r="AF1212" s="150"/>
      <c r="AG1212" s="99"/>
      <c r="AH1212" s="99"/>
      <c r="AI1212" s="105"/>
      <c r="AJ1212" s="105"/>
      <c r="AK1212" s="105"/>
      <c r="AL1212" s="98"/>
      <c r="AM1212" s="105"/>
      <c r="AN1212" s="98"/>
      <c r="AO1212" s="110"/>
      <c r="AP1212" s="98"/>
      <c r="AQ1212" s="98"/>
      <c r="AR1212" s="69"/>
      <c r="AS1212" s="98"/>
      <c r="AT1212" s="98"/>
      <c r="AU1212" s="69"/>
      <c r="AV1212" s="13"/>
      <c r="AW1212" s="13"/>
      <c r="AX1212" s="13"/>
      <c r="AY1212" s="13"/>
      <c r="AZ1212" s="13"/>
      <c r="BA1212" s="13"/>
      <c r="BB1212" s="13"/>
      <c r="BC1212" s="13"/>
      <c r="BD1212" s="13"/>
      <c r="BE1212" s="13"/>
      <c r="BF1212" s="13"/>
      <c r="BG1212" s="13"/>
      <c r="BH1212" s="13"/>
      <c r="BI1212" s="13"/>
      <c r="BJ1212" s="13"/>
      <c r="BK1212" s="13"/>
      <c r="BL1212" s="13"/>
      <c r="BM1212" s="13"/>
      <c r="BN1212" s="13"/>
      <c r="BO1212" s="13"/>
      <c r="BP1212" s="13"/>
      <c r="BQ1212" s="13"/>
      <c r="BR1212" s="13"/>
    </row>
    <row r="1213">
      <c r="A1213" s="69"/>
      <c r="B1213" s="69"/>
      <c r="C1213" s="99"/>
      <c r="D1213" s="99"/>
      <c r="E1213" s="13"/>
      <c r="F1213" s="99"/>
      <c r="G1213" s="13"/>
      <c r="H1213" s="69"/>
      <c r="I1213" s="98"/>
      <c r="J1213" s="69"/>
      <c r="K1213" s="99"/>
      <c r="L1213" s="99"/>
      <c r="M1213" s="128"/>
      <c r="N1213" s="182"/>
      <c r="O1213" s="98"/>
      <c r="P1213" s="128"/>
      <c r="Q1213" s="13"/>
      <c r="R1213" s="13"/>
      <c r="S1213" s="13"/>
      <c r="T1213" s="98"/>
      <c r="U1213" s="69"/>
      <c r="V1213" s="105"/>
      <c r="W1213" s="150"/>
      <c r="X1213" s="69"/>
      <c r="Y1213" s="99"/>
      <c r="Z1213" s="99"/>
      <c r="AA1213" s="99"/>
      <c r="AB1213" s="99"/>
      <c r="AC1213" s="99"/>
      <c r="AD1213" s="99"/>
      <c r="AE1213" s="150"/>
      <c r="AF1213" s="150"/>
      <c r="AG1213" s="99"/>
      <c r="AH1213" s="99"/>
      <c r="AI1213" s="105"/>
      <c r="AJ1213" s="105"/>
      <c r="AK1213" s="105"/>
      <c r="AL1213" s="98"/>
      <c r="AM1213" s="105"/>
      <c r="AN1213" s="98"/>
      <c r="AO1213" s="110"/>
      <c r="AP1213" s="98"/>
      <c r="AQ1213" s="98"/>
      <c r="AR1213" s="69"/>
      <c r="AS1213" s="98"/>
      <c r="AT1213" s="98"/>
      <c r="AU1213" s="69"/>
      <c r="AV1213" s="13"/>
      <c r="AW1213" s="13"/>
      <c r="AX1213" s="13"/>
      <c r="AY1213" s="13"/>
      <c r="AZ1213" s="13"/>
      <c r="BA1213" s="13"/>
      <c r="BB1213" s="13"/>
      <c r="BC1213" s="13"/>
      <c r="BD1213" s="13"/>
      <c r="BE1213" s="13"/>
      <c r="BF1213" s="13"/>
      <c r="BG1213" s="13"/>
      <c r="BH1213" s="13"/>
      <c r="BI1213" s="13"/>
      <c r="BJ1213" s="13"/>
      <c r="BK1213" s="13"/>
      <c r="BL1213" s="13"/>
      <c r="BM1213" s="13"/>
      <c r="BN1213" s="13"/>
      <c r="BO1213" s="13"/>
      <c r="BP1213" s="13"/>
      <c r="BQ1213" s="13"/>
      <c r="BR1213" s="13"/>
    </row>
    <row r="1214">
      <c r="A1214" s="69"/>
      <c r="B1214" s="69"/>
      <c r="C1214" s="99"/>
      <c r="D1214" s="99"/>
      <c r="E1214" s="13"/>
      <c r="F1214" s="99"/>
      <c r="G1214" s="13"/>
      <c r="H1214" s="69"/>
      <c r="I1214" s="98"/>
      <c r="J1214" s="69"/>
      <c r="K1214" s="99"/>
      <c r="L1214" s="99"/>
      <c r="M1214" s="128"/>
      <c r="N1214" s="182"/>
      <c r="O1214" s="98"/>
      <c r="P1214" s="128"/>
      <c r="Q1214" s="13"/>
      <c r="R1214" s="13"/>
      <c r="S1214" s="13"/>
      <c r="T1214" s="98"/>
      <c r="U1214" s="69"/>
      <c r="V1214" s="105"/>
      <c r="W1214" s="150"/>
      <c r="X1214" s="69"/>
      <c r="Y1214" s="99"/>
      <c r="Z1214" s="99"/>
      <c r="AA1214" s="99"/>
      <c r="AB1214" s="99"/>
      <c r="AC1214" s="99"/>
      <c r="AD1214" s="99"/>
      <c r="AE1214" s="150"/>
      <c r="AF1214" s="150"/>
      <c r="AG1214" s="99"/>
      <c r="AH1214" s="99"/>
      <c r="AI1214" s="105"/>
      <c r="AJ1214" s="105"/>
      <c r="AK1214" s="105"/>
      <c r="AL1214" s="98"/>
      <c r="AM1214" s="105"/>
      <c r="AN1214" s="98"/>
      <c r="AO1214" s="110"/>
      <c r="AP1214" s="98"/>
      <c r="AQ1214" s="98"/>
      <c r="AR1214" s="69"/>
      <c r="AS1214" s="98"/>
      <c r="AT1214" s="98"/>
      <c r="AU1214" s="69"/>
      <c r="AV1214" s="13"/>
      <c r="AW1214" s="13"/>
      <c r="AX1214" s="13"/>
      <c r="AY1214" s="13"/>
      <c r="AZ1214" s="13"/>
      <c r="BA1214" s="13"/>
      <c r="BB1214" s="13"/>
      <c r="BC1214" s="13"/>
      <c r="BD1214" s="13"/>
      <c r="BE1214" s="13"/>
      <c r="BF1214" s="13"/>
      <c r="BG1214" s="13"/>
      <c r="BH1214" s="13"/>
      <c r="BI1214" s="13"/>
      <c r="BJ1214" s="13"/>
      <c r="BK1214" s="13"/>
      <c r="BL1214" s="13"/>
      <c r="BM1214" s="13"/>
      <c r="BN1214" s="13"/>
      <c r="BO1214" s="13"/>
      <c r="BP1214" s="13"/>
      <c r="BQ1214" s="13"/>
      <c r="BR1214" s="13"/>
    </row>
    <row r="1215">
      <c r="A1215" s="69"/>
      <c r="B1215" s="69"/>
      <c r="C1215" s="99"/>
      <c r="D1215" s="99"/>
      <c r="E1215" s="13"/>
      <c r="F1215" s="99"/>
      <c r="G1215" s="13"/>
      <c r="H1215" s="69"/>
      <c r="I1215" s="98"/>
      <c r="J1215" s="69"/>
      <c r="K1215" s="99"/>
      <c r="L1215" s="99"/>
      <c r="M1215" s="128"/>
      <c r="N1215" s="182"/>
      <c r="O1215" s="98"/>
      <c r="P1215" s="128"/>
      <c r="Q1215" s="13"/>
      <c r="R1215" s="13"/>
      <c r="S1215" s="13"/>
      <c r="T1215" s="98"/>
      <c r="U1215" s="69"/>
      <c r="V1215" s="105"/>
      <c r="W1215" s="150"/>
      <c r="X1215" s="69"/>
      <c r="Y1215" s="99"/>
      <c r="Z1215" s="99"/>
      <c r="AA1215" s="99"/>
      <c r="AB1215" s="99"/>
      <c r="AC1215" s="99"/>
      <c r="AD1215" s="99"/>
      <c r="AE1215" s="150"/>
      <c r="AF1215" s="150"/>
      <c r="AG1215" s="99"/>
      <c r="AH1215" s="99"/>
      <c r="AI1215" s="105"/>
      <c r="AJ1215" s="105"/>
      <c r="AK1215" s="105"/>
      <c r="AL1215" s="98"/>
      <c r="AM1215" s="105"/>
      <c r="AN1215" s="98"/>
      <c r="AO1215" s="110"/>
      <c r="AP1215" s="98"/>
      <c r="AQ1215" s="98"/>
      <c r="AR1215" s="69"/>
      <c r="AS1215" s="98"/>
      <c r="AT1215" s="98"/>
      <c r="AU1215" s="69"/>
      <c r="AV1215" s="13"/>
      <c r="AW1215" s="13"/>
      <c r="AX1215" s="13"/>
      <c r="AY1215" s="13"/>
      <c r="AZ1215" s="13"/>
      <c r="BA1215" s="13"/>
      <c r="BB1215" s="13"/>
      <c r="BC1215" s="13"/>
      <c r="BD1215" s="13"/>
      <c r="BE1215" s="13"/>
      <c r="BF1215" s="13"/>
      <c r="BG1215" s="13"/>
      <c r="BH1215" s="13"/>
      <c r="BI1215" s="13"/>
      <c r="BJ1215" s="13"/>
      <c r="BK1215" s="13"/>
      <c r="BL1215" s="13"/>
      <c r="BM1215" s="13"/>
      <c r="BN1215" s="13"/>
      <c r="BO1215" s="13"/>
      <c r="BP1215" s="13"/>
      <c r="BQ1215" s="13"/>
      <c r="BR1215" s="13"/>
    </row>
    <row r="1216">
      <c r="A1216" s="69"/>
      <c r="B1216" s="69"/>
      <c r="C1216" s="99"/>
      <c r="D1216" s="99"/>
      <c r="E1216" s="13"/>
      <c r="F1216" s="99"/>
      <c r="G1216" s="13"/>
      <c r="H1216" s="69"/>
      <c r="I1216" s="98"/>
      <c r="J1216" s="69"/>
      <c r="K1216" s="99"/>
      <c r="L1216" s="99"/>
      <c r="M1216" s="128"/>
      <c r="N1216" s="182"/>
      <c r="O1216" s="98"/>
      <c r="P1216" s="128"/>
      <c r="Q1216" s="13"/>
      <c r="R1216" s="13"/>
      <c r="S1216" s="13"/>
      <c r="T1216" s="98"/>
      <c r="U1216" s="69"/>
      <c r="V1216" s="105"/>
      <c r="W1216" s="150"/>
      <c r="X1216" s="69"/>
      <c r="Y1216" s="99"/>
      <c r="Z1216" s="99"/>
      <c r="AA1216" s="99"/>
      <c r="AB1216" s="99"/>
      <c r="AC1216" s="99"/>
      <c r="AD1216" s="99"/>
      <c r="AE1216" s="150"/>
      <c r="AF1216" s="150"/>
      <c r="AG1216" s="99"/>
      <c r="AH1216" s="99"/>
      <c r="AI1216" s="105"/>
      <c r="AJ1216" s="105"/>
      <c r="AK1216" s="105"/>
      <c r="AL1216" s="98"/>
      <c r="AM1216" s="105"/>
      <c r="AN1216" s="98"/>
      <c r="AO1216" s="110"/>
      <c r="AP1216" s="98"/>
      <c r="AQ1216" s="98"/>
      <c r="AR1216" s="69"/>
      <c r="AS1216" s="98"/>
      <c r="AT1216" s="98"/>
      <c r="AU1216" s="69"/>
      <c r="AV1216" s="13"/>
      <c r="AW1216" s="13"/>
      <c r="AX1216" s="13"/>
      <c r="AY1216" s="13"/>
      <c r="AZ1216" s="13"/>
      <c r="BA1216" s="13"/>
      <c r="BB1216" s="13"/>
      <c r="BC1216" s="13"/>
      <c r="BD1216" s="13"/>
      <c r="BE1216" s="13"/>
      <c r="BF1216" s="13"/>
      <c r="BG1216" s="13"/>
      <c r="BH1216" s="13"/>
      <c r="BI1216" s="13"/>
      <c r="BJ1216" s="13"/>
      <c r="BK1216" s="13"/>
      <c r="BL1216" s="13"/>
      <c r="BM1216" s="13"/>
      <c r="BN1216" s="13"/>
      <c r="BO1216" s="13"/>
      <c r="BP1216" s="13"/>
      <c r="BQ1216" s="13"/>
      <c r="BR1216" s="13"/>
    </row>
    <row r="1217">
      <c r="A1217" s="69"/>
      <c r="B1217" s="69"/>
      <c r="C1217" s="99"/>
      <c r="D1217" s="99"/>
      <c r="E1217" s="13"/>
      <c r="F1217" s="99"/>
      <c r="G1217" s="13"/>
      <c r="H1217" s="69"/>
      <c r="I1217" s="98"/>
      <c r="J1217" s="69"/>
      <c r="K1217" s="99"/>
      <c r="L1217" s="99"/>
      <c r="M1217" s="128"/>
      <c r="N1217" s="182"/>
      <c r="O1217" s="98"/>
      <c r="P1217" s="128"/>
      <c r="Q1217" s="13"/>
      <c r="R1217" s="13"/>
      <c r="S1217" s="13"/>
      <c r="T1217" s="98"/>
      <c r="U1217" s="69"/>
      <c r="V1217" s="105"/>
      <c r="W1217" s="150"/>
      <c r="X1217" s="69"/>
      <c r="Y1217" s="99"/>
      <c r="Z1217" s="99"/>
      <c r="AA1217" s="99"/>
      <c r="AB1217" s="99"/>
      <c r="AC1217" s="99"/>
      <c r="AD1217" s="99"/>
      <c r="AE1217" s="150"/>
      <c r="AF1217" s="150"/>
      <c r="AG1217" s="99"/>
      <c r="AH1217" s="99"/>
      <c r="AI1217" s="105"/>
      <c r="AJ1217" s="105"/>
      <c r="AK1217" s="105"/>
      <c r="AL1217" s="98"/>
      <c r="AM1217" s="105"/>
      <c r="AN1217" s="98"/>
      <c r="AO1217" s="110"/>
      <c r="AP1217" s="98"/>
      <c r="AQ1217" s="98"/>
      <c r="AR1217" s="69"/>
      <c r="AS1217" s="98"/>
      <c r="AT1217" s="98"/>
      <c r="AU1217" s="69"/>
      <c r="AV1217" s="13"/>
      <c r="AW1217" s="13"/>
      <c r="AX1217" s="13"/>
      <c r="AY1217" s="13"/>
      <c r="AZ1217" s="13"/>
      <c r="BA1217" s="13"/>
      <c r="BB1217" s="13"/>
      <c r="BC1217" s="13"/>
      <c r="BD1217" s="13"/>
      <c r="BE1217" s="13"/>
      <c r="BF1217" s="13"/>
      <c r="BG1217" s="13"/>
      <c r="BH1217" s="13"/>
      <c r="BI1217" s="13"/>
      <c r="BJ1217" s="13"/>
      <c r="BK1217" s="13"/>
      <c r="BL1217" s="13"/>
      <c r="BM1217" s="13"/>
      <c r="BN1217" s="13"/>
      <c r="BO1217" s="13"/>
      <c r="BP1217" s="13"/>
      <c r="BQ1217" s="13"/>
      <c r="BR1217" s="13"/>
    </row>
    <row r="1218">
      <c r="A1218" s="69"/>
      <c r="B1218" s="69"/>
      <c r="C1218" s="99"/>
      <c r="D1218" s="99"/>
      <c r="E1218" s="13"/>
      <c r="F1218" s="99"/>
      <c r="G1218" s="13"/>
      <c r="H1218" s="69"/>
      <c r="I1218" s="98"/>
      <c r="J1218" s="69"/>
      <c r="K1218" s="99"/>
      <c r="L1218" s="99"/>
      <c r="M1218" s="128"/>
      <c r="N1218" s="182"/>
      <c r="O1218" s="98"/>
      <c r="P1218" s="128"/>
      <c r="Q1218" s="13"/>
      <c r="R1218" s="13"/>
      <c r="S1218" s="13"/>
      <c r="T1218" s="98"/>
      <c r="U1218" s="69"/>
      <c r="V1218" s="105"/>
      <c r="W1218" s="150"/>
      <c r="X1218" s="69"/>
      <c r="Y1218" s="99"/>
      <c r="Z1218" s="99"/>
      <c r="AA1218" s="99"/>
      <c r="AB1218" s="99"/>
      <c r="AC1218" s="99"/>
      <c r="AD1218" s="99"/>
      <c r="AE1218" s="150"/>
      <c r="AF1218" s="150"/>
      <c r="AG1218" s="99"/>
      <c r="AH1218" s="99"/>
      <c r="AI1218" s="105"/>
      <c r="AJ1218" s="105"/>
      <c r="AK1218" s="105"/>
      <c r="AL1218" s="98"/>
      <c r="AM1218" s="105"/>
      <c r="AN1218" s="98"/>
      <c r="AO1218" s="110"/>
      <c r="AP1218" s="98"/>
      <c r="AQ1218" s="98"/>
      <c r="AR1218" s="69"/>
      <c r="AS1218" s="98"/>
      <c r="AT1218" s="98"/>
      <c r="AU1218" s="69"/>
      <c r="AV1218" s="13"/>
      <c r="AW1218" s="13"/>
      <c r="AX1218" s="13"/>
      <c r="AY1218" s="13"/>
      <c r="AZ1218" s="13"/>
      <c r="BA1218" s="13"/>
      <c r="BB1218" s="13"/>
      <c r="BC1218" s="13"/>
      <c r="BD1218" s="13"/>
      <c r="BE1218" s="13"/>
      <c r="BF1218" s="13"/>
      <c r="BG1218" s="13"/>
      <c r="BH1218" s="13"/>
      <c r="BI1218" s="13"/>
      <c r="BJ1218" s="13"/>
      <c r="BK1218" s="13"/>
      <c r="BL1218" s="13"/>
      <c r="BM1218" s="13"/>
      <c r="BN1218" s="13"/>
      <c r="BO1218" s="13"/>
      <c r="BP1218" s="13"/>
      <c r="BQ1218" s="13"/>
      <c r="BR1218" s="13"/>
    </row>
    <row r="1219">
      <c r="A1219" s="69"/>
      <c r="B1219" s="69"/>
      <c r="C1219" s="99"/>
      <c r="D1219" s="99"/>
      <c r="E1219" s="13"/>
      <c r="F1219" s="99"/>
      <c r="G1219" s="13"/>
      <c r="H1219" s="69"/>
      <c r="I1219" s="98"/>
      <c r="J1219" s="69"/>
      <c r="K1219" s="99"/>
      <c r="L1219" s="99"/>
      <c r="M1219" s="128"/>
      <c r="N1219" s="182"/>
      <c r="O1219" s="98"/>
      <c r="P1219" s="128"/>
      <c r="Q1219" s="13"/>
      <c r="R1219" s="13"/>
      <c r="S1219" s="13"/>
      <c r="T1219" s="98"/>
      <c r="U1219" s="69"/>
      <c r="V1219" s="105"/>
      <c r="W1219" s="150"/>
      <c r="X1219" s="69"/>
      <c r="Y1219" s="99"/>
      <c r="Z1219" s="99"/>
      <c r="AA1219" s="99"/>
      <c r="AB1219" s="99"/>
      <c r="AC1219" s="99"/>
      <c r="AD1219" s="99"/>
      <c r="AE1219" s="150"/>
      <c r="AF1219" s="150"/>
      <c r="AG1219" s="99"/>
      <c r="AH1219" s="99"/>
      <c r="AI1219" s="105"/>
      <c r="AJ1219" s="105"/>
      <c r="AK1219" s="105"/>
      <c r="AL1219" s="98"/>
      <c r="AM1219" s="105"/>
      <c r="AN1219" s="98"/>
      <c r="AO1219" s="110"/>
      <c r="AP1219" s="98"/>
      <c r="AQ1219" s="98"/>
      <c r="AR1219" s="69"/>
      <c r="AS1219" s="98"/>
      <c r="AT1219" s="98"/>
      <c r="AU1219" s="69"/>
      <c r="AV1219" s="13"/>
      <c r="AW1219" s="13"/>
      <c r="AX1219" s="13"/>
      <c r="AY1219" s="13"/>
      <c r="AZ1219" s="13"/>
      <c r="BA1219" s="13"/>
      <c r="BB1219" s="13"/>
      <c r="BC1219" s="13"/>
      <c r="BD1219" s="13"/>
      <c r="BE1219" s="13"/>
      <c r="BF1219" s="13"/>
      <c r="BG1219" s="13"/>
      <c r="BH1219" s="13"/>
      <c r="BI1219" s="13"/>
      <c r="BJ1219" s="13"/>
      <c r="BK1219" s="13"/>
      <c r="BL1219" s="13"/>
      <c r="BM1219" s="13"/>
      <c r="BN1219" s="13"/>
      <c r="BO1219" s="13"/>
      <c r="BP1219" s="13"/>
      <c r="BQ1219" s="13"/>
      <c r="BR1219" s="13"/>
    </row>
    <row r="1220">
      <c r="A1220" s="69"/>
      <c r="B1220" s="69"/>
      <c r="C1220" s="99"/>
      <c r="D1220" s="99"/>
      <c r="E1220" s="13"/>
      <c r="F1220" s="99"/>
      <c r="G1220" s="13"/>
      <c r="H1220" s="69"/>
      <c r="I1220" s="98"/>
      <c r="J1220" s="69"/>
      <c r="K1220" s="99"/>
      <c r="L1220" s="99"/>
      <c r="M1220" s="128"/>
      <c r="N1220" s="182"/>
      <c r="O1220" s="98"/>
      <c r="P1220" s="128"/>
      <c r="Q1220" s="13"/>
      <c r="R1220" s="13"/>
      <c r="S1220" s="13"/>
      <c r="T1220" s="98"/>
      <c r="U1220" s="69"/>
      <c r="V1220" s="105"/>
      <c r="W1220" s="150"/>
      <c r="X1220" s="69"/>
      <c r="Y1220" s="99"/>
      <c r="Z1220" s="99"/>
      <c r="AA1220" s="99"/>
      <c r="AB1220" s="99"/>
      <c r="AC1220" s="99"/>
      <c r="AD1220" s="99"/>
      <c r="AE1220" s="150"/>
      <c r="AF1220" s="150"/>
      <c r="AG1220" s="99"/>
      <c r="AH1220" s="99"/>
      <c r="AI1220" s="105"/>
      <c r="AJ1220" s="105"/>
      <c r="AK1220" s="105"/>
      <c r="AL1220" s="98"/>
      <c r="AM1220" s="105"/>
      <c r="AN1220" s="98"/>
      <c r="AO1220" s="110"/>
      <c r="AP1220" s="98"/>
      <c r="AQ1220" s="98"/>
      <c r="AR1220" s="69"/>
      <c r="AS1220" s="98"/>
      <c r="AT1220" s="98"/>
      <c r="AU1220" s="69"/>
      <c r="AV1220" s="13"/>
      <c r="AW1220" s="13"/>
      <c r="AX1220" s="13"/>
      <c r="AY1220" s="13"/>
      <c r="AZ1220" s="13"/>
      <c r="BA1220" s="13"/>
      <c r="BB1220" s="13"/>
      <c r="BC1220" s="13"/>
      <c r="BD1220" s="13"/>
      <c r="BE1220" s="13"/>
      <c r="BF1220" s="13"/>
      <c r="BG1220" s="13"/>
      <c r="BH1220" s="13"/>
      <c r="BI1220" s="13"/>
      <c r="BJ1220" s="13"/>
      <c r="BK1220" s="13"/>
      <c r="BL1220" s="13"/>
      <c r="BM1220" s="13"/>
      <c r="BN1220" s="13"/>
      <c r="BO1220" s="13"/>
      <c r="BP1220" s="13"/>
      <c r="BQ1220" s="13"/>
      <c r="BR1220" s="13"/>
    </row>
    <row r="1221">
      <c r="A1221" s="69"/>
      <c r="B1221" s="69"/>
      <c r="C1221" s="99"/>
      <c r="D1221" s="99"/>
      <c r="E1221" s="13"/>
      <c r="F1221" s="99"/>
      <c r="G1221" s="13"/>
      <c r="H1221" s="69"/>
      <c r="I1221" s="98"/>
      <c r="J1221" s="69"/>
      <c r="K1221" s="99"/>
      <c r="L1221" s="99"/>
      <c r="M1221" s="128"/>
      <c r="N1221" s="182"/>
      <c r="O1221" s="98"/>
      <c r="P1221" s="128"/>
      <c r="Q1221" s="13"/>
      <c r="R1221" s="13"/>
      <c r="S1221" s="13"/>
      <c r="T1221" s="98"/>
      <c r="U1221" s="69"/>
      <c r="V1221" s="105"/>
      <c r="W1221" s="150"/>
      <c r="X1221" s="69"/>
      <c r="Y1221" s="99"/>
      <c r="Z1221" s="99"/>
      <c r="AA1221" s="99"/>
      <c r="AB1221" s="99"/>
      <c r="AC1221" s="99"/>
      <c r="AD1221" s="99"/>
      <c r="AE1221" s="150"/>
      <c r="AF1221" s="150"/>
      <c r="AG1221" s="99"/>
      <c r="AH1221" s="99"/>
      <c r="AI1221" s="105"/>
      <c r="AJ1221" s="105"/>
      <c r="AK1221" s="105"/>
      <c r="AL1221" s="98"/>
      <c r="AM1221" s="105"/>
      <c r="AN1221" s="98"/>
      <c r="AO1221" s="110"/>
      <c r="AP1221" s="98"/>
      <c r="AQ1221" s="98"/>
      <c r="AR1221" s="69"/>
      <c r="AS1221" s="98"/>
      <c r="AT1221" s="98"/>
      <c r="AU1221" s="69"/>
      <c r="AV1221" s="13"/>
      <c r="AW1221" s="13"/>
      <c r="AX1221" s="13"/>
      <c r="AY1221" s="13"/>
      <c r="AZ1221" s="13"/>
      <c r="BA1221" s="13"/>
      <c r="BB1221" s="13"/>
      <c r="BC1221" s="13"/>
      <c r="BD1221" s="13"/>
      <c r="BE1221" s="13"/>
      <c r="BF1221" s="13"/>
      <c r="BG1221" s="13"/>
      <c r="BH1221" s="13"/>
      <c r="BI1221" s="13"/>
      <c r="BJ1221" s="13"/>
      <c r="BK1221" s="13"/>
      <c r="BL1221" s="13"/>
      <c r="BM1221" s="13"/>
      <c r="BN1221" s="13"/>
      <c r="BO1221" s="13"/>
      <c r="BP1221" s="13"/>
      <c r="BQ1221" s="13"/>
      <c r="BR1221" s="13"/>
    </row>
    <row r="1222">
      <c r="A1222" s="69"/>
      <c r="B1222" s="69"/>
      <c r="C1222" s="99"/>
      <c r="D1222" s="99"/>
      <c r="E1222" s="13"/>
      <c r="F1222" s="99"/>
      <c r="G1222" s="13"/>
      <c r="H1222" s="69"/>
      <c r="I1222" s="98"/>
      <c r="J1222" s="69"/>
      <c r="K1222" s="99"/>
      <c r="L1222" s="99"/>
      <c r="M1222" s="128"/>
      <c r="N1222" s="182"/>
      <c r="O1222" s="98"/>
      <c r="P1222" s="128"/>
      <c r="Q1222" s="13"/>
      <c r="R1222" s="13"/>
      <c r="S1222" s="13"/>
      <c r="T1222" s="98"/>
      <c r="U1222" s="69"/>
      <c r="V1222" s="105"/>
      <c r="W1222" s="150"/>
      <c r="X1222" s="69"/>
      <c r="Y1222" s="99"/>
      <c r="Z1222" s="99"/>
      <c r="AA1222" s="99"/>
      <c r="AB1222" s="99"/>
      <c r="AC1222" s="99"/>
      <c r="AD1222" s="99"/>
      <c r="AE1222" s="150"/>
      <c r="AF1222" s="150"/>
      <c r="AG1222" s="99"/>
      <c r="AH1222" s="99"/>
      <c r="AI1222" s="105"/>
      <c r="AJ1222" s="105"/>
      <c r="AK1222" s="105"/>
      <c r="AL1222" s="98"/>
      <c r="AM1222" s="105"/>
      <c r="AN1222" s="98"/>
      <c r="AO1222" s="110"/>
      <c r="AP1222" s="98"/>
      <c r="AQ1222" s="98"/>
      <c r="AR1222" s="69"/>
      <c r="AS1222" s="98"/>
      <c r="AT1222" s="98"/>
      <c r="AU1222" s="69"/>
      <c r="AV1222" s="13"/>
      <c r="AW1222" s="13"/>
      <c r="AX1222" s="13"/>
      <c r="AY1222" s="13"/>
      <c r="AZ1222" s="13"/>
      <c r="BA1222" s="13"/>
      <c r="BB1222" s="13"/>
      <c r="BC1222" s="13"/>
      <c r="BD1222" s="13"/>
      <c r="BE1222" s="13"/>
      <c r="BF1222" s="13"/>
      <c r="BG1222" s="13"/>
      <c r="BH1222" s="13"/>
      <c r="BI1222" s="13"/>
      <c r="BJ1222" s="13"/>
      <c r="BK1222" s="13"/>
      <c r="BL1222" s="13"/>
      <c r="BM1222" s="13"/>
      <c r="BN1222" s="13"/>
      <c r="BO1222" s="13"/>
      <c r="BP1222" s="13"/>
      <c r="BQ1222" s="13"/>
      <c r="BR1222" s="13"/>
    </row>
    <row r="1223">
      <c r="A1223" s="69"/>
      <c r="B1223" s="69"/>
      <c r="C1223" s="99"/>
      <c r="D1223" s="99"/>
      <c r="E1223" s="13"/>
      <c r="F1223" s="99"/>
      <c r="G1223" s="13"/>
      <c r="H1223" s="69"/>
      <c r="I1223" s="98"/>
      <c r="J1223" s="69"/>
      <c r="K1223" s="99"/>
      <c r="L1223" s="99"/>
      <c r="M1223" s="128"/>
      <c r="N1223" s="182"/>
      <c r="O1223" s="98"/>
      <c r="P1223" s="128"/>
      <c r="Q1223" s="13"/>
      <c r="R1223" s="13"/>
      <c r="S1223" s="13"/>
      <c r="T1223" s="98"/>
      <c r="U1223" s="69"/>
      <c r="V1223" s="105"/>
      <c r="W1223" s="150"/>
      <c r="X1223" s="69"/>
      <c r="Y1223" s="99"/>
      <c r="Z1223" s="99"/>
      <c r="AA1223" s="99"/>
      <c r="AB1223" s="99"/>
      <c r="AC1223" s="99"/>
      <c r="AD1223" s="99"/>
      <c r="AE1223" s="150"/>
      <c r="AF1223" s="150"/>
      <c r="AG1223" s="99"/>
      <c r="AH1223" s="99"/>
      <c r="AI1223" s="105"/>
      <c r="AJ1223" s="105"/>
      <c r="AK1223" s="105"/>
      <c r="AL1223" s="98"/>
      <c r="AM1223" s="105"/>
      <c r="AN1223" s="98"/>
      <c r="AO1223" s="110"/>
      <c r="AP1223" s="98"/>
      <c r="AQ1223" s="98"/>
      <c r="AR1223" s="69"/>
      <c r="AS1223" s="98"/>
      <c r="AT1223" s="98"/>
      <c r="AU1223" s="69"/>
      <c r="AV1223" s="13"/>
      <c r="AW1223" s="13"/>
      <c r="AX1223" s="13"/>
      <c r="AY1223" s="13"/>
      <c r="AZ1223" s="13"/>
      <c r="BA1223" s="13"/>
      <c r="BB1223" s="13"/>
      <c r="BC1223" s="13"/>
      <c r="BD1223" s="13"/>
      <c r="BE1223" s="13"/>
      <c r="BF1223" s="13"/>
      <c r="BG1223" s="13"/>
      <c r="BH1223" s="13"/>
      <c r="BI1223" s="13"/>
      <c r="BJ1223" s="13"/>
      <c r="BK1223" s="13"/>
      <c r="BL1223" s="13"/>
      <c r="BM1223" s="13"/>
      <c r="BN1223" s="13"/>
      <c r="BO1223" s="13"/>
      <c r="BP1223" s="13"/>
      <c r="BQ1223" s="13"/>
      <c r="BR1223" s="13"/>
    </row>
    <row r="1224">
      <c r="A1224" s="69"/>
      <c r="B1224" s="69"/>
      <c r="C1224" s="99"/>
      <c r="D1224" s="99"/>
      <c r="E1224" s="13"/>
      <c r="F1224" s="99"/>
      <c r="G1224" s="13"/>
      <c r="H1224" s="69"/>
      <c r="I1224" s="98"/>
      <c r="J1224" s="69"/>
      <c r="K1224" s="99"/>
      <c r="L1224" s="99"/>
      <c r="M1224" s="128"/>
      <c r="N1224" s="182"/>
      <c r="O1224" s="98"/>
      <c r="P1224" s="128"/>
      <c r="Q1224" s="13"/>
      <c r="R1224" s="13"/>
      <c r="S1224" s="13"/>
      <c r="T1224" s="98"/>
      <c r="U1224" s="69"/>
      <c r="V1224" s="105"/>
      <c r="W1224" s="150"/>
      <c r="X1224" s="69"/>
      <c r="Y1224" s="99"/>
      <c r="Z1224" s="99"/>
      <c r="AA1224" s="99"/>
      <c r="AB1224" s="99"/>
      <c r="AC1224" s="99"/>
      <c r="AD1224" s="99"/>
      <c r="AE1224" s="150"/>
      <c r="AF1224" s="150"/>
      <c r="AG1224" s="99"/>
      <c r="AH1224" s="99"/>
      <c r="AI1224" s="105"/>
      <c r="AJ1224" s="105"/>
      <c r="AK1224" s="105"/>
      <c r="AL1224" s="98"/>
      <c r="AM1224" s="105"/>
      <c r="AN1224" s="98"/>
      <c r="AO1224" s="110"/>
      <c r="AP1224" s="98"/>
      <c r="AQ1224" s="98"/>
      <c r="AR1224" s="69"/>
      <c r="AS1224" s="98"/>
      <c r="AT1224" s="98"/>
      <c r="AU1224" s="69"/>
      <c r="AV1224" s="13"/>
      <c r="AW1224" s="13"/>
      <c r="AX1224" s="13"/>
      <c r="AY1224" s="13"/>
      <c r="AZ1224" s="13"/>
      <c r="BA1224" s="13"/>
      <c r="BB1224" s="13"/>
      <c r="BC1224" s="13"/>
      <c r="BD1224" s="13"/>
      <c r="BE1224" s="13"/>
      <c r="BF1224" s="13"/>
      <c r="BG1224" s="13"/>
      <c r="BH1224" s="13"/>
      <c r="BI1224" s="13"/>
      <c r="BJ1224" s="13"/>
      <c r="BK1224" s="13"/>
      <c r="BL1224" s="13"/>
      <c r="BM1224" s="13"/>
      <c r="BN1224" s="13"/>
      <c r="BO1224" s="13"/>
      <c r="BP1224" s="13"/>
      <c r="BQ1224" s="13"/>
      <c r="BR1224" s="13"/>
    </row>
    <row r="1225">
      <c r="A1225" s="69"/>
      <c r="B1225" s="69"/>
      <c r="C1225" s="99"/>
      <c r="D1225" s="99"/>
      <c r="E1225" s="13"/>
      <c r="F1225" s="99"/>
      <c r="G1225" s="13"/>
      <c r="H1225" s="69"/>
      <c r="I1225" s="98"/>
      <c r="J1225" s="69"/>
      <c r="K1225" s="99"/>
      <c r="L1225" s="99"/>
      <c r="M1225" s="128"/>
      <c r="N1225" s="182"/>
      <c r="O1225" s="98"/>
      <c r="P1225" s="128"/>
      <c r="Q1225" s="13"/>
      <c r="R1225" s="13"/>
      <c r="S1225" s="13"/>
      <c r="T1225" s="98"/>
      <c r="U1225" s="69"/>
      <c r="V1225" s="105"/>
      <c r="W1225" s="150"/>
      <c r="X1225" s="69"/>
      <c r="Y1225" s="99"/>
      <c r="Z1225" s="99"/>
      <c r="AA1225" s="99"/>
      <c r="AB1225" s="99"/>
      <c r="AC1225" s="99"/>
      <c r="AD1225" s="99"/>
      <c r="AE1225" s="150"/>
      <c r="AF1225" s="150"/>
      <c r="AG1225" s="99"/>
      <c r="AH1225" s="99"/>
      <c r="AI1225" s="105"/>
      <c r="AJ1225" s="105"/>
      <c r="AK1225" s="105"/>
      <c r="AL1225" s="98"/>
      <c r="AM1225" s="105"/>
      <c r="AN1225" s="98"/>
      <c r="AO1225" s="110"/>
      <c r="AP1225" s="98"/>
      <c r="AQ1225" s="98"/>
      <c r="AR1225" s="69"/>
      <c r="AS1225" s="98"/>
      <c r="AT1225" s="98"/>
      <c r="AU1225" s="69"/>
      <c r="AV1225" s="13"/>
      <c r="AW1225" s="13"/>
      <c r="AX1225" s="13"/>
      <c r="AY1225" s="13"/>
      <c r="AZ1225" s="13"/>
      <c r="BA1225" s="13"/>
      <c r="BB1225" s="13"/>
      <c r="BC1225" s="13"/>
      <c r="BD1225" s="13"/>
      <c r="BE1225" s="13"/>
      <c r="BF1225" s="13"/>
      <c r="BG1225" s="13"/>
      <c r="BH1225" s="13"/>
      <c r="BI1225" s="13"/>
      <c r="BJ1225" s="13"/>
      <c r="BK1225" s="13"/>
      <c r="BL1225" s="13"/>
      <c r="BM1225" s="13"/>
      <c r="BN1225" s="13"/>
      <c r="BO1225" s="13"/>
      <c r="BP1225" s="13"/>
      <c r="BQ1225" s="13"/>
      <c r="BR1225" s="13"/>
    </row>
    <row r="1226">
      <c r="A1226" s="69"/>
      <c r="B1226" s="69"/>
      <c r="C1226" s="99"/>
      <c r="D1226" s="99"/>
      <c r="E1226" s="13"/>
      <c r="F1226" s="99"/>
      <c r="G1226" s="13"/>
      <c r="H1226" s="69"/>
      <c r="I1226" s="98"/>
      <c r="J1226" s="69"/>
      <c r="K1226" s="99"/>
      <c r="L1226" s="99"/>
      <c r="M1226" s="128"/>
      <c r="N1226" s="182"/>
      <c r="O1226" s="98"/>
      <c r="P1226" s="128"/>
      <c r="Q1226" s="13"/>
      <c r="R1226" s="13"/>
      <c r="S1226" s="13"/>
      <c r="T1226" s="98"/>
      <c r="U1226" s="69"/>
      <c r="V1226" s="105"/>
      <c r="W1226" s="150"/>
      <c r="X1226" s="69"/>
      <c r="Y1226" s="99"/>
      <c r="Z1226" s="99"/>
      <c r="AA1226" s="99"/>
      <c r="AB1226" s="99"/>
      <c r="AC1226" s="99"/>
      <c r="AD1226" s="99"/>
      <c r="AE1226" s="150"/>
      <c r="AF1226" s="150"/>
      <c r="AG1226" s="99"/>
      <c r="AH1226" s="99"/>
      <c r="AI1226" s="105"/>
      <c r="AJ1226" s="105"/>
      <c r="AK1226" s="105"/>
      <c r="AL1226" s="98"/>
      <c r="AM1226" s="105"/>
      <c r="AN1226" s="98"/>
      <c r="AO1226" s="110"/>
      <c r="AP1226" s="98"/>
      <c r="AQ1226" s="98"/>
      <c r="AR1226" s="69"/>
      <c r="AS1226" s="98"/>
      <c r="AT1226" s="98"/>
      <c r="AU1226" s="69"/>
      <c r="AV1226" s="13"/>
      <c r="AW1226" s="13"/>
      <c r="AX1226" s="13"/>
      <c r="AY1226" s="13"/>
      <c r="AZ1226" s="13"/>
      <c r="BA1226" s="13"/>
      <c r="BB1226" s="13"/>
      <c r="BC1226" s="13"/>
      <c r="BD1226" s="13"/>
      <c r="BE1226" s="13"/>
      <c r="BF1226" s="13"/>
      <c r="BG1226" s="13"/>
      <c r="BH1226" s="13"/>
      <c r="BI1226" s="13"/>
      <c r="BJ1226" s="13"/>
      <c r="BK1226" s="13"/>
      <c r="BL1226" s="13"/>
      <c r="BM1226" s="13"/>
      <c r="BN1226" s="13"/>
      <c r="BO1226" s="13"/>
      <c r="BP1226" s="13"/>
      <c r="BQ1226" s="13"/>
      <c r="BR1226" s="13"/>
    </row>
    <row r="1227">
      <c r="A1227" s="69"/>
      <c r="B1227" s="69"/>
      <c r="C1227" s="99"/>
      <c r="D1227" s="99"/>
      <c r="E1227" s="13"/>
      <c r="F1227" s="99"/>
      <c r="G1227" s="13"/>
      <c r="H1227" s="69"/>
      <c r="I1227" s="98"/>
      <c r="J1227" s="69"/>
      <c r="K1227" s="99"/>
      <c r="L1227" s="99"/>
      <c r="M1227" s="128"/>
      <c r="N1227" s="182"/>
      <c r="O1227" s="98"/>
      <c r="P1227" s="128"/>
      <c r="Q1227" s="13"/>
      <c r="R1227" s="13"/>
      <c r="S1227" s="13"/>
      <c r="T1227" s="98"/>
      <c r="U1227" s="69"/>
      <c r="V1227" s="105"/>
      <c r="W1227" s="150"/>
      <c r="X1227" s="69"/>
      <c r="Y1227" s="99"/>
      <c r="Z1227" s="99"/>
      <c r="AA1227" s="99"/>
      <c r="AB1227" s="99"/>
      <c r="AC1227" s="99"/>
      <c r="AD1227" s="99"/>
      <c r="AE1227" s="150"/>
      <c r="AF1227" s="150"/>
      <c r="AG1227" s="99"/>
      <c r="AH1227" s="99"/>
      <c r="AI1227" s="105"/>
      <c r="AJ1227" s="105"/>
      <c r="AK1227" s="105"/>
      <c r="AL1227" s="98"/>
      <c r="AM1227" s="105"/>
      <c r="AN1227" s="98"/>
      <c r="AO1227" s="110"/>
      <c r="AP1227" s="98"/>
      <c r="AQ1227" s="98"/>
      <c r="AR1227" s="69"/>
      <c r="AS1227" s="98"/>
      <c r="AT1227" s="98"/>
      <c r="AU1227" s="69"/>
      <c r="AV1227" s="13"/>
      <c r="AW1227" s="13"/>
      <c r="AX1227" s="13"/>
      <c r="AY1227" s="13"/>
      <c r="AZ1227" s="13"/>
      <c r="BA1227" s="13"/>
      <c r="BB1227" s="13"/>
      <c r="BC1227" s="13"/>
      <c r="BD1227" s="13"/>
      <c r="BE1227" s="13"/>
      <c r="BF1227" s="13"/>
      <c r="BG1227" s="13"/>
      <c r="BH1227" s="13"/>
      <c r="BI1227" s="13"/>
      <c r="BJ1227" s="13"/>
      <c r="BK1227" s="13"/>
      <c r="BL1227" s="13"/>
      <c r="BM1227" s="13"/>
      <c r="BN1227" s="13"/>
      <c r="BO1227" s="13"/>
      <c r="BP1227" s="13"/>
      <c r="BQ1227" s="13"/>
      <c r="BR1227" s="13"/>
    </row>
    <row r="1228">
      <c r="A1228" s="69"/>
      <c r="B1228" s="69"/>
      <c r="C1228" s="99"/>
      <c r="D1228" s="99"/>
      <c r="E1228" s="13"/>
      <c r="F1228" s="99"/>
      <c r="G1228" s="13"/>
      <c r="H1228" s="69"/>
      <c r="I1228" s="98"/>
      <c r="J1228" s="69"/>
      <c r="K1228" s="99"/>
      <c r="L1228" s="99"/>
      <c r="M1228" s="128"/>
      <c r="N1228" s="182"/>
      <c r="O1228" s="98"/>
      <c r="P1228" s="128"/>
      <c r="Q1228" s="13"/>
      <c r="R1228" s="13"/>
      <c r="S1228" s="13"/>
      <c r="T1228" s="98"/>
      <c r="U1228" s="69"/>
      <c r="V1228" s="105"/>
      <c r="W1228" s="150"/>
      <c r="X1228" s="69"/>
      <c r="Y1228" s="99"/>
      <c r="Z1228" s="99"/>
      <c r="AA1228" s="99"/>
      <c r="AB1228" s="99"/>
      <c r="AC1228" s="99"/>
      <c r="AD1228" s="99"/>
      <c r="AE1228" s="150"/>
      <c r="AF1228" s="150"/>
      <c r="AG1228" s="99"/>
      <c r="AH1228" s="99"/>
      <c r="AI1228" s="105"/>
      <c r="AJ1228" s="105"/>
      <c r="AK1228" s="105"/>
      <c r="AL1228" s="98"/>
      <c r="AM1228" s="105"/>
      <c r="AN1228" s="98"/>
      <c r="AO1228" s="110"/>
      <c r="AP1228" s="98"/>
      <c r="AQ1228" s="98"/>
      <c r="AR1228" s="69"/>
      <c r="AS1228" s="98"/>
      <c r="AT1228" s="98"/>
      <c r="AU1228" s="69"/>
      <c r="AV1228" s="13"/>
      <c r="AW1228" s="13"/>
      <c r="AX1228" s="13"/>
      <c r="AY1228" s="13"/>
      <c r="AZ1228" s="13"/>
      <c r="BA1228" s="13"/>
      <c r="BB1228" s="13"/>
      <c r="BC1228" s="13"/>
      <c r="BD1228" s="13"/>
      <c r="BE1228" s="13"/>
      <c r="BF1228" s="13"/>
      <c r="BG1228" s="13"/>
      <c r="BH1228" s="13"/>
      <c r="BI1228" s="13"/>
      <c r="BJ1228" s="13"/>
      <c r="BK1228" s="13"/>
      <c r="BL1228" s="13"/>
      <c r="BM1228" s="13"/>
      <c r="BN1228" s="13"/>
      <c r="BO1228" s="13"/>
      <c r="BP1228" s="13"/>
      <c r="BQ1228" s="13"/>
      <c r="BR1228" s="13"/>
    </row>
    <row r="1229">
      <c r="A1229" s="69"/>
      <c r="B1229" s="69"/>
      <c r="C1229" s="99"/>
      <c r="D1229" s="99"/>
      <c r="E1229" s="13"/>
      <c r="F1229" s="99"/>
      <c r="G1229" s="13"/>
      <c r="H1229" s="69"/>
      <c r="I1229" s="98"/>
      <c r="J1229" s="69"/>
      <c r="K1229" s="99"/>
      <c r="L1229" s="99"/>
      <c r="M1229" s="128"/>
      <c r="N1229" s="182"/>
      <c r="O1229" s="98"/>
      <c r="P1229" s="128"/>
      <c r="Q1229" s="13"/>
      <c r="R1229" s="13"/>
      <c r="S1229" s="13"/>
      <c r="T1229" s="98"/>
      <c r="U1229" s="69"/>
      <c r="V1229" s="105"/>
      <c r="W1229" s="150"/>
      <c r="X1229" s="69"/>
      <c r="Y1229" s="99"/>
      <c r="Z1229" s="99"/>
      <c r="AA1229" s="99"/>
      <c r="AB1229" s="99"/>
      <c r="AC1229" s="99"/>
      <c r="AD1229" s="99"/>
      <c r="AE1229" s="150"/>
      <c r="AF1229" s="150"/>
      <c r="AG1229" s="99"/>
      <c r="AH1229" s="99"/>
      <c r="AI1229" s="105"/>
      <c r="AJ1229" s="105"/>
      <c r="AK1229" s="105"/>
      <c r="AL1229" s="98"/>
      <c r="AM1229" s="105"/>
      <c r="AN1229" s="98"/>
      <c r="AO1229" s="110"/>
      <c r="AP1229" s="98"/>
      <c r="AQ1229" s="98"/>
      <c r="AR1229" s="69"/>
      <c r="AS1229" s="98"/>
      <c r="AT1229" s="98"/>
      <c r="AU1229" s="69"/>
      <c r="AV1229" s="13"/>
      <c r="AW1229" s="13"/>
      <c r="AX1229" s="13"/>
      <c r="AY1229" s="13"/>
      <c r="AZ1229" s="13"/>
      <c r="BA1229" s="13"/>
      <c r="BB1229" s="13"/>
      <c r="BC1229" s="13"/>
      <c r="BD1229" s="13"/>
      <c r="BE1229" s="13"/>
      <c r="BF1229" s="13"/>
      <c r="BG1229" s="13"/>
      <c r="BH1229" s="13"/>
      <c r="BI1229" s="13"/>
      <c r="BJ1229" s="13"/>
      <c r="BK1229" s="13"/>
      <c r="BL1229" s="13"/>
      <c r="BM1229" s="13"/>
      <c r="BN1229" s="13"/>
      <c r="BO1229" s="13"/>
      <c r="BP1229" s="13"/>
      <c r="BQ1229" s="13"/>
      <c r="BR1229" s="13"/>
    </row>
    <row r="1230">
      <c r="A1230" s="69"/>
      <c r="B1230" s="69"/>
      <c r="C1230" s="99"/>
      <c r="D1230" s="99"/>
      <c r="E1230" s="13"/>
      <c r="F1230" s="99"/>
      <c r="G1230" s="13"/>
      <c r="H1230" s="69"/>
      <c r="I1230" s="98"/>
      <c r="J1230" s="69"/>
      <c r="K1230" s="99"/>
      <c r="L1230" s="99"/>
      <c r="M1230" s="128"/>
      <c r="N1230" s="182"/>
      <c r="O1230" s="98"/>
      <c r="P1230" s="128"/>
      <c r="Q1230" s="13"/>
      <c r="R1230" s="13"/>
      <c r="S1230" s="13"/>
      <c r="T1230" s="98"/>
      <c r="U1230" s="69"/>
      <c r="V1230" s="105"/>
      <c r="W1230" s="150"/>
      <c r="X1230" s="69"/>
      <c r="Y1230" s="99"/>
      <c r="Z1230" s="99"/>
      <c r="AA1230" s="99"/>
      <c r="AB1230" s="99"/>
      <c r="AC1230" s="99"/>
      <c r="AD1230" s="99"/>
      <c r="AE1230" s="150"/>
      <c r="AF1230" s="150"/>
      <c r="AG1230" s="99"/>
      <c r="AH1230" s="99"/>
      <c r="AI1230" s="105"/>
      <c r="AJ1230" s="105"/>
      <c r="AK1230" s="105"/>
      <c r="AL1230" s="98"/>
      <c r="AM1230" s="105"/>
      <c r="AN1230" s="98"/>
      <c r="AO1230" s="110"/>
      <c r="AP1230" s="98"/>
      <c r="AQ1230" s="98"/>
      <c r="AR1230" s="69"/>
      <c r="AS1230" s="98"/>
      <c r="AT1230" s="98"/>
      <c r="AU1230" s="69"/>
      <c r="AV1230" s="13"/>
      <c r="AW1230" s="13"/>
      <c r="AX1230" s="13"/>
      <c r="AY1230" s="13"/>
      <c r="AZ1230" s="13"/>
      <c r="BA1230" s="13"/>
      <c r="BB1230" s="13"/>
      <c r="BC1230" s="13"/>
      <c r="BD1230" s="13"/>
      <c r="BE1230" s="13"/>
      <c r="BF1230" s="13"/>
      <c r="BG1230" s="13"/>
      <c r="BH1230" s="13"/>
      <c r="BI1230" s="13"/>
      <c r="BJ1230" s="13"/>
      <c r="BK1230" s="13"/>
      <c r="BL1230" s="13"/>
      <c r="BM1230" s="13"/>
      <c r="BN1230" s="13"/>
      <c r="BO1230" s="13"/>
      <c r="BP1230" s="13"/>
      <c r="BQ1230" s="13"/>
      <c r="BR1230" s="13"/>
    </row>
    <row r="1231">
      <c r="A1231" s="69"/>
      <c r="B1231" s="69"/>
      <c r="C1231" s="99"/>
      <c r="D1231" s="99"/>
      <c r="E1231" s="13"/>
      <c r="F1231" s="99"/>
      <c r="G1231" s="13"/>
      <c r="H1231" s="69"/>
      <c r="I1231" s="98"/>
      <c r="J1231" s="69"/>
      <c r="K1231" s="99"/>
      <c r="L1231" s="99"/>
      <c r="M1231" s="128"/>
      <c r="N1231" s="182"/>
      <c r="O1231" s="98"/>
      <c r="P1231" s="128"/>
      <c r="Q1231" s="13"/>
      <c r="R1231" s="13"/>
      <c r="S1231" s="13"/>
      <c r="T1231" s="98"/>
      <c r="U1231" s="69"/>
      <c r="V1231" s="105"/>
      <c r="W1231" s="150"/>
      <c r="X1231" s="69"/>
      <c r="Y1231" s="99"/>
      <c r="Z1231" s="99"/>
      <c r="AA1231" s="99"/>
      <c r="AB1231" s="99"/>
      <c r="AC1231" s="99"/>
      <c r="AD1231" s="99"/>
      <c r="AE1231" s="150"/>
      <c r="AF1231" s="150"/>
      <c r="AG1231" s="99"/>
      <c r="AH1231" s="99"/>
      <c r="AI1231" s="105"/>
      <c r="AJ1231" s="105"/>
      <c r="AK1231" s="105"/>
      <c r="AL1231" s="98"/>
      <c r="AM1231" s="105"/>
      <c r="AN1231" s="98"/>
      <c r="AO1231" s="110"/>
      <c r="AP1231" s="98"/>
      <c r="AQ1231" s="98"/>
      <c r="AR1231" s="69"/>
      <c r="AS1231" s="98"/>
      <c r="AT1231" s="98"/>
      <c r="AU1231" s="69"/>
      <c r="AV1231" s="13"/>
      <c r="AW1231" s="13"/>
      <c r="AX1231" s="13"/>
      <c r="AY1231" s="13"/>
      <c r="AZ1231" s="13"/>
      <c r="BA1231" s="13"/>
      <c r="BB1231" s="13"/>
      <c r="BC1231" s="13"/>
      <c r="BD1231" s="13"/>
      <c r="BE1231" s="13"/>
      <c r="BF1231" s="13"/>
      <c r="BG1231" s="13"/>
      <c r="BH1231" s="13"/>
      <c r="BI1231" s="13"/>
      <c r="BJ1231" s="13"/>
      <c r="BK1231" s="13"/>
      <c r="BL1231" s="13"/>
      <c r="BM1231" s="13"/>
      <c r="BN1231" s="13"/>
      <c r="BO1231" s="13"/>
      <c r="BP1231" s="13"/>
      <c r="BQ1231" s="13"/>
      <c r="BR1231" s="13"/>
    </row>
    <row r="1232">
      <c r="A1232" s="69"/>
      <c r="B1232" s="69"/>
      <c r="C1232" s="99"/>
      <c r="D1232" s="99"/>
      <c r="E1232" s="13"/>
      <c r="F1232" s="99"/>
      <c r="G1232" s="13"/>
      <c r="H1232" s="69"/>
      <c r="I1232" s="98"/>
      <c r="J1232" s="69"/>
      <c r="K1232" s="99"/>
      <c r="L1232" s="99"/>
      <c r="M1232" s="128"/>
      <c r="N1232" s="182"/>
      <c r="O1232" s="98"/>
      <c r="P1232" s="128"/>
      <c r="Q1232" s="13"/>
      <c r="R1232" s="13"/>
      <c r="S1232" s="13"/>
      <c r="T1232" s="98"/>
      <c r="U1232" s="69"/>
      <c r="V1232" s="105"/>
      <c r="W1232" s="150"/>
      <c r="X1232" s="69"/>
      <c r="Y1232" s="99"/>
      <c r="Z1232" s="99"/>
      <c r="AA1232" s="99"/>
      <c r="AB1232" s="99"/>
      <c r="AC1232" s="99"/>
      <c r="AD1232" s="99"/>
      <c r="AE1232" s="150"/>
      <c r="AF1232" s="150"/>
      <c r="AG1232" s="99"/>
      <c r="AH1232" s="99"/>
      <c r="AI1232" s="105"/>
      <c r="AJ1232" s="105"/>
      <c r="AK1232" s="105"/>
      <c r="AL1232" s="98"/>
      <c r="AM1232" s="105"/>
      <c r="AN1232" s="98"/>
      <c r="AO1232" s="110"/>
      <c r="AP1232" s="98"/>
      <c r="AQ1232" s="98"/>
      <c r="AR1232" s="69"/>
      <c r="AS1232" s="98"/>
      <c r="AT1232" s="98"/>
      <c r="AU1232" s="69"/>
      <c r="AV1232" s="13"/>
      <c r="AW1232" s="13"/>
      <c r="AX1232" s="13"/>
      <c r="AY1232" s="13"/>
      <c r="AZ1232" s="13"/>
      <c r="BA1232" s="13"/>
      <c r="BB1232" s="13"/>
      <c r="BC1232" s="13"/>
      <c r="BD1232" s="13"/>
      <c r="BE1232" s="13"/>
      <c r="BF1232" s="13"/>
      <c r="BG1232" s="13"/>
      <c r="BH1232" s="13"/>
      <c r="BI1232" s="13"/>
      <c r="BJ1232" s="13"/>
      <c r="BK1232" s="13"/>
      <c r="BL1232" s="13"/>
      <c r="BM1232" s="13"/>
      <c r="BN1232" s="13"/>
      <c r="BO1232" s="13"/>
      <c r="BP1232" s="13"/>
      <c r="BQ1232" s="13"/>
      <c r="BR1232" s="13"/>
    </row>
    <row r="1233">
      <c r="A1233" s="69"/>
      <c r="B1233" s="69"/>
      <c r="C1233" s="99"/>
      <c r="D1233" s="99"/>
      <c r="E1233" s="13"/>
      <c r="F1233" s="99"/>
      <c r="G1233" s="13"/>
      <c r="H1233" s="69"/>
      <c r="I1233" s="98"/>
      <c r="J1233" s="69"/>
      <c r="K1233" s="99"/>
      <c r="L1233" s="99"/>
      <c r="M1233" s="128"/>
      <c r="N1233" s="182"/>
      <c r="O1233" s="98"/>
      <c r="P1233" s="128"/>
      <c r="Q1233" s="13"/>
      <c r="R1233" s="13"/>
      <c r="S1233" s="13"/>
      <c r="T1233" s="98"/>
      <c r="U1233" s="69"/>
      <c r="V1233" s="105"/>
      <c r="W1233" s="150"/>
      <c r="X1233" s="69"/>
      <c r="Y1233" s="99"/>
      <c r="Z1233" s="99"/>
      <c r="AA1233" s="99"/>
      <c r="AB1233" s="99"/>
      <c r="AC1233" s="99"/>
      <c r="AD1233" s="99"/>
      <c r="AE1233" s="150"/>
      <c r="AF1233" s="150"/>
      <c r="AG1233" s="99"/>
      <c r="AH1233" s="99"/>
      <c r="AI1233" s="105"/>
      <c r="AJ1233" s="105"/>
      <c r="AK1233" s="105"/>
      <c r="AL1233" s="98"/>
      <c r="AM1233" s="105"/>
      <c r="AN1233" s="98"/>
      <c r="AO1233" s="110"/>
      <c r="AP1233" s="98"/>
      <c r="AQ1233" s="98"/>
      <c r="AR1233" s="69"/>
      <c r="AS1233" s="98"/>
      <c r="AT1233" s="98"/>
      <c r="AU1233" s="69"/>
      <c r="AV1233" s="13"/>
      <c r="AW1233" s="13"/>
      <c r="AX1233" s="13"/>
      <c r="AY1233" s="13"/>
      <c r="AZ1233" s="13"/>
      <c r="BA1233" s="13"/>
      <c r="BB1233" s="13"/>
      <c r="BC1233" s="13"/>
      <c r="BD1233" s="13"/>
      <c r="BE1233" s="13"/>
      <c r="BF1233" s="13"/>
      <c r="BG1233" s="13"/>
      <c r="BH1233" s="13"/>
      <c r="BI1233" s="13"/>
      <c r="BJ1233" s="13"/>
      <c r="BK1233" s="13"/>
      <c r="BL1233" s="13"/>
      <c r="BM1233" s="13"/>
      <c r="BN1233" s="13"/>
      <c r="BO1233" s="13"/>
      <c r="BP1233" s="13"/>
      <c r="BQ1233" s="13"/>
      <c r="BR1233" s="13"/>
    </row>
    <row r="1234">
      <c r="A1234" s="69"/>
      <c r="B1234" s="69"/>
      <c r="C1234" s="99"/>
      <c r="D1234" s="99"/>
      <c r="E1234" s="13"/>
      <c r="F1234" s="99"/>
      <c r="G1234" s="13"/>
      <c r="H1234" s="69"/>
      <c r="I1234" s="98"/>
      <c r="J1234" s="69"/>
      <c r="K1234" s="99"/>
      <c r="L1234" s="99"/>
      <c r="M1234" s="128"/>
      <c r="N1234" s="182"/>
      <c r="O1234" s="98"/>
      <c r="P1234" s="128"/>
      <c r="Q1234" s="13"/>
      <c r="R1234" s="13"/>
      <c r="S1234" s="13"/>
      <c r="T1234" s="98"/>
      <c r="U1234" s="69"/>
      <c r="V1234" s="105"/>
      <c r="W1234" s="150"/>
      <c r="X1234" s="69"/>
      <c r="Y1234" s="99"/>
      <c r="Z1234" s="99"/>
      <c r="AA1234" s="99"/>
      <c r="AB1234" s="99"/>
      <c r="AC1234" s="99"/>
      <c r="AD1234" s="99"/>
      <c r="AE1234" s="150"/>
      <c r="AF1234" s="150"/>
      <c r="AG1234" s="99"/>
      <c r="AH1234" s="99"/>
      <c r="AI1234" s="105"/>
      <c r="AJ1234" s="105"/>
      <c r="AK1234" s="105"/>
      <c r="AL1234" s="98"/>
      <c r="AM1234" s="105"/>
      <c r="AN1234" s="98"/>
      <c r="AO1234" s="110"/>
      <c r="AP1234" s="98"/>
      <c r="AQ1234" s="98"/>
      <c r="AR1234" s="69"/>
      <c r="AS1234" s="98"/>
      <c r="AT1234" s="98"/>
      <c r="AU1234" s="69"/>
      <c r="AV1234" s="13"/>
      <c r="AW1234" s="13"/>
      <c r="AX1234" s="13"/>
      <c r="AY1234" s="13"/>
      <c r="AZ1234" s="13"/>
      <c r="BA1234" s="13"/>
      <c r="BB1234" s="13"/>
      <c r="BC1234" s="13"/>
      <c r="BD1234" s="13"/>
      <c r="BE1234" s="13"/>
      <c r="BF1234" s="13"/>
      <c r="BG1234" s="13"/>
      <c r="BH1234" s="13"/>
      <c r="BI1234" s="13"/>
      <c r="BJ1234" s="13"/>
      <c r="BK1234" s="13"/>
      <c r="BL1234" s="13"/>
      <c r="BM1234" s="13"/>
      <c r="BN1234" s="13"/>
      <c r="BO1234" s="13"/>
      <c r="BP1234" s="13"/>
      <c r="BQ1234" s="13"/>
      <c r="BR1234" s="13"/>
    </row>
    <row r="1235">
      <c r="A1235" s="69"/>
      <c r="B1235" s="69"/>
      <c r="C1235" s="99"/>
      <c r="D1235" s="99"/>
      <c r="E1235" s="13"/>
      <c r="F1235" s="99"/>
      <c r="G1235" s="13"/>
      <c r="H1235" s="69"/>
      <c r="I1235" s="98"/>
      <c r="J1235" s="69"/>
      <c r="K1235" s="99"/>
      <c r="L1235" s="99"/>
      <c r="M1235" s="128"/>
      <c r="N1235" s="182"/>
      <c r="O1235" s="98"/>
      <c r="P1235" s="128"/>
      <c r="Q1235" s="13"/>
      <c r="R1235" s="13"/>
      <c r="S1235" s="13"/>
      <c r="T1235" s="98"/>
      <c r="U1235" s="69"/>
      <c r="V1235" s="105"/>
      <c r="W1235" s="150"/>
      <c r="X1235" s="69"/>
      <c r="Y1235" s="99"/>
      <c r="Z1235" s="99"/>
      <c r="AA1235" s="99"/>
      <c r="AB1235" s="99"/>
      <c r="AC1235" s="99"/>
      <c r="AD1235" s="99"/>
      <c r="AE1235" s="150"/>
      <c r="AF1235" s="150"/>
      <c r="AG1235" s="99"/>
      <c r="AH1235" s="99"/>
      <c r="AI1235" s="105"/>
      <c r="AJ1235" s="105"/>
      <c r="AK1235" s="105"/>
      <c r="AL1235" s="98"/>
      <c r="AM1235" s="105"/>
      <c r="AN1235" s="98"/>
      <c r="AO1235" s="110"/>
      <c r="AP1235" s="98"/>
      <c r="AQ1235" s="98"/>
      <c r="AR1235" s="69"/>
      <c r="AS1235" s="98"/>
      <c r="AT1235" s="98"/>
      <c r="AU1235" s="69"/>
      <c r="AV1235" s="13"/>
      <c r="AW1235" s="13"/>
      <c r="AX1235" s="13"/>
      <c r="AY1235" s="13"/>
      <c r="AZ1235" s="13"/>
      <c r="BA1235" s="13"/>
      <c r="BB1235" s="13"/>
      <c r="BC1235" s="13"/>
      <c r="BD1235" s="13"/>
      <c r="BE1235" s="13"/>
      <c r="BF1235" s="13"/>
      <c r="BG1235" s="13"/>
      <c r="BH1235" s="13"/>
      <c r="BI1235" s="13"/>
      <c r="BJ1235" s="13"/>
      <c r="BK1235" s="13"/>
      <c r="BL1235" s="13"/>
      <c r="BM1235" s="13"/>
      <c r="BN1235" s="13"/>
      <c r="BO1235" s="13"/>
      <c r="BP1235" s="13"/>
      <c r="BQ1235" s="13"/>
      <c r="BR1235" s="13"/>
    </row>
    <row r="1236">
      <c r="A1236" s="69"/>
      <c r="B1236" s="69"/>
      <c r="C1236" s="99"/>
      <c r="D1236" s="99"/>
      <c r="E1236" s="13"/>
      <c r="F1236" s="99"/>
      <c r="G1236" s="13"/>
      <c r="H1236" s="69"/>
      <c r="I1236" s="98"/>
      <c r="J1236" s="69"/>
      <c r="K1236" s="99"/>
      <c r="L1236" s="99"/>
      <c r="M1236" s="128"/>
      <c r="N1236" s="182"/>
      <c r="O1236" s="98"/>
      <c r="P1236" s="128"/>
      <c r="Q1236" s="13"/>
      <c r="R1236" s="13"/>
      <c r="S1236" s="13"/>
      <c r="T1236" s="98"/>
      <c r="U1236" s="69"/>
      <c r="V1236" s="105"/>
      <c r="W1236" s="150"/>
      <c r="X1236" s="69"/>
      <c r="Y1236" s="99"/>
      <c r="Z1236" s="99"/>
      <c r="AA1236" s="99"/>
      <c r="AB1236" s="99"/>
      <c r="AC1236" s="99"/>
      <c r="AD1236" s="99"/>
      <c r="AE1236" s="150"/>
      <c r="AF1236" s="150"/>
      <c r="AG1236" s="99"/>
      <c r="AH1236" s="99"/>
      <c r="AI1236" s="105"/>
      <c r="AJ1236" s="105"/>
      <c r="AK1236" s="105"/>
      <c r="AL1236" s="98"/>
      <c r="AM1236" s="105"/>
      <c r="AN1236" s="98"/>
      <c r="AO1236" s="110"/>
      <c r="AP1236" s="98"/>
      <c r="AQ1236" s="98"/>
      <c r="AR1236" s="69"/>
      <c r="AS1236" s="98"/>
      <c r="AT1236" s="98"/>
      <c r="AU1236" s="69"/>
      <c r="AV1236" s="13"/>
      <c r="AW1236" s="13"/>
      <c r="AX1236" s="13"/>
      <c r="AY1236" s="13"/>
      <c r="AZ1236" s="13"/>
      <c r="BA1236" s="13"/>
      <c r="BB1236" s="13"/>
      <c r="BC1236" s="13"/>
      <c r="BD1236" s="13"/>
      <c r="BE1236" s="13"/>
      <c r="BF1236" s="13"/>
      <c r="BG1236" s="13"/>
      <c r="BH1236" s="13"/>
      <c r="BI1236" s="13"/>
      <c r="BJ1236" s="13"/>
      <c r="BK1236" s="13"/>
      <c r="BL1236" s="13"/>
      <c r="BM1236" s="13"/>
      <c r="BN1236" s="13"/>
      <c r="BO1236" s="13"/>
      <c r="BP1236" s="13"/>
      <c r="BQ1236" s="13"/>
      <c r="BR1236" s="13"/>
    </row>
    <row r="1237">
      <c r="A1237" s="69"/>
      <c r="B1237" s="69"/>
      <c r="C1237" s="99"/>
      <c r="D1237" s="99"/>
      <c r="E1237" s="13"/>
      <c r="F1237" s="99"/>
      <c r="G1237" s="13"/>
      <c r="H1237" s="69"/>
      <c r="I1237" s="98"/>
      <c r="J1237" s="69"/>
      <c r="K1237" s="99"/>
      <c r="L1237" s="99"/>
      <c r="M1237" s="128"/>
      <c r="N1237" s="182"/>
      <c r="O1237" s="98"/>
      <c r="P1237" s="128"/>
      <c r="Q1237" s="13"/>
      <c r="R1237" s="13"/>
      <c r="S1237" s="13"/>
      <c r="T1237" s="98"/>
      <c r="U1237" s="69"/>
      <c r="V1237" s="105"/>
      <c r="W1237" s="150"/>
      <c r="X1237" s="69"/>
      <c r="Y1237" s="99"/>
      <c r="Z1237" s="99"/>
      <c r="AA1237" s="99"/>
      <c r="AB1237" s="99"/>
      <c r="AC1237" s="99"/>
      <c r="AD1237" s="99"/>
      <c r="AE1237" s="150"/>
      <c r="AF1237" s="150"/>
      <c r="AG1237" s="99"/>
      <c r="AH1237" s="99"/>
      <c r="AI1237" s="105"/>
      <c r="AJ1237" s="105"/>
      <c r="AK1237" s="105"/>
      <c r="AL1237" s="98"/>
      <c r="AM1237" s="105"/>
      <c r="AN1237" s="98"/>
      <c r="AO1237" s="110"/>
      <c r="AP1237" s="98"/>
      <c r="AQ1237" s="98"/>
      <c r="AR1237" s="69"/>
      <c r="AS1237" s="98"/>
      <c r="AT1237" s="98"/>
      <c r="AU1237" s="69"/>
      <c r="AV1237" s="13"/>
      <c r="AW1237" s="13"/>
      <c r="AX1237" s="13"/>
      <c r="AY1237" s="13"/>
      <c r="AZ1237" s="13"/>
      <c r="BA1237" s="13"/>
      <c r="BB1237" s="13"/>
      <c r="BC1237" s="13"/>
      <c r="BD1237" s="13"/>
      <c r="BE1237" s="13"/>
      <c r="BF1237" s="13"/>
      <c r="BG1237" s="13"/>
      <c r="BH1237" s="13"/>
      <c r="BI1237" s="13"/>
      <c r="BJ1237" s="13"/>
      <c r="BK1237" s="13"/>
      <c r="BL1237" s="13"/>
      <c r="BM1237" s="13"/>
      <c r="BN1237" s="13"/>
      <c r="BO1237" s="13"/>
      <c r="BP1237" s="13"/>
      <c r="BQ1237" s="13"/>
      <c r="BR1237" s="13"/>
    </row>
    <row r="1238">
      <c r="A1238" s="69"/>
      <c r="B1238" s="69"/>
      <c r="C1238" s="99"/>
      <c r="D1238" s="99"/>
      <c r="E1238" s="13"/>
      <c r="F1238" s="99"/>
      <c r="G1238" s="13"/>
      <c r="H1238" s="69"/>
      <c r="I1238" s="98"/>
      <c r="J1238" s="69"/>
      <c r="K1238" s="99"/>
      <c r="L1238" s="99"/>
      <c r="M1238" s="128"/>
      <c r="N1238" s="182"/>
      <c r="O1238" s="98"/>
      <c r="P1238" s="128"/>
      <c r="Q1238" s="13"/>
      <c r="R1238" s="13"/>
      <c r="S1238" s="13"/>
      <c r="T1238" s="98"/>
      <c r="U1238" s="69"/>
      <c r="V1238" s="105"/>
      <c r="W1238" s="150"/>
      <c r="X1238" s="69"/>
      <c r="Y1238" s="99"/>
      <c r="Z1238" s="99"/>
      <c r="AA1238" s="99"/>
      <c r="AB1238" s="99"/>
      <c r="AC1238" s="99"/>
      <c r="AD1238" s="99"/>
      <c r="AE1238" s="150"/>
      <c r="AF1238" s="150"/>
      <c r="AG1238" s="99"/>
      <c r="AH1238" s="99"/>
      <c r="AI1238" s="105"/>
      <c r="AJ1238" s="105"/>
      <c r="AK1238" s="105"/>
      <c r="AL1238" s="98"/>
      <c r="AM1238" s="105"/>
      <c r="AN1238" s="98"/>
      <c r="AO1238" s="110"/>
      <c r="AP1238" s="98"/>
      <c r="AQ1238" s="98"/>
      <c r="AR1238" s="69"/>
      <c r="AS1238" s="98"/>
      <c r="AT1238" s="98"/>
      <c r="AU1238" s="69"/>
      <c r="AV1238" s="13"/>
      <c r="AW1238" s="13"/>
      <c r="AX1238" s="13"/>
      <c r="AY1238" s="13"/>
      <c r="AZ1238" s="13"/>
      <c r="BA1238" s="13"/>
      <c r="BB1238" s="13"/>
      <c r="BC1238" s="13"/>
      <c r="BD1238" s="13"/>
      <c r="BE1238" s="13"/>
      <c r="BF1238" s="13"/>
      <c r="BG1238" s="13"/>
      <c r="BH1238" s="13"/>
      <c r="BI1238" s="13"/>
      <c r="BJ1238" s="13"/>
      <c r="BK1238" s="13"/>
      <c r="BL1238" s="13"/>
      <c r="BM1238" s="13"/>
      <c r="BN1238" s="13"/>
      <c r="BO1238" s="13"/>
      <c r="BP1238" s="13"/>
      <c r="BQ1238" s="13"/>
      <c r="BR1238" s="13"/>
    </row>
    <row r="1239">
      <c r="A1239" s="69"/>
      <c r="B1239" s="69"/>
      <c r="C1239" s="99"/>
      <c r="D1239" s="99"/>
      <c r="E1239" s="13"/>
      <c r="F1239" s="99"/>
      <c r="G1239" s="13"/>
      <c r="H1239" s="69"/>
      <c r="I1239" s="98"/>
      <c r="J1239" s="69"/>
      <c r="K1239" s="99"/>
      <c r="L1239" s="99"/>
      <c r="M1239" s="128"/>
      <c r="N1239" s="182"/>
      <c r="O1239" s="98"/>
      <c r="P1239" s="128"/>
      <c r="Q1239" s="13"/>
      <c r="R1239" s="13"/>
      <c r="S1239" s="13"/>
      <c r="T1239" s="98"/>
      <c r="U1239" s="69"/>
      <c r="V1239" s="105"/>
      <c r="W1239" s="150"/>
      <c r="X1239" s="69"/>
      <c r="Y1239" s="99"/>
      <c r="Z1239" s="99"/>
      <c r="AA1239" s="99"/>
      <c r="AB1239" s="99"/>
      <c r="AC1239" s="99"/>
      <c r="AD1239" s="99"/>
      <c r="AE1239" s="150"/>
      <c r="AF1239" s="150"/>
      <c r="AG1239" s="99"/>
      <c r="AH1239" s="99"/>
      <c r="AI1239" s="105"/>
      <c r="AJ1239" s="105"/>
      <c r="AK1239" s="105"/>
      <c r="AL1239" s="98"/>
      <c r="AM1239" s="105"/>
      <c r="AN1239" s="98"/>
      <c r="AO1239" s="110"/>
      <c r="AP1239" s="98"/>
      <c r="AQ1239" s="98"/>
      <c r="AR1239" s="69"/>
      <c r="AS1239" s="98"/>
      <c r="AT1239" s="98"/>
      <c r="AU1239" s="69"/>
      <c r="AV1239" s="13"/>
      <c r="AW1239" s="13"/>
      <c r="AX1239" s="13"/>
      <c r="AY1239" s="13"/>
      <c r="AZ1239" s="13"/>
      <c r="BA1239" s="13"/>
      <c r="BB1239" s="13"/>
      <c r="BC1239" s="13"/>
      <c r="BD1239" s="13"/>
      <c r="BE1239" s="13"/>
      <c r="BF1239" s="13"/>
      <c r="BG1239" s="13"/>
      <c r="BH1239" s="13"/>
      <c r="BI1239" s="13"/>
      <c r="BJ1239" s="13"/>
      <c r="BK1239" s="13"/>
      <c r="BL1239" s="13"/>
      <c r="BM1239" s="13"/>
      <c r="BN1239" s="13"/>
      <c r="BO1239" s="13"/>
      <c r="BP1239" s="13"/>
      <c r="BQ1239" s="13"/>
      <c r="BR1239" s="13"/>
    </row>
    <row r="1240">
      <c r="A1240" s="69"/>
      <c r="B1240" s="69"/>
      <c r="C1240" s="99"/>
      <c r="D1240" s="99"/>
      <c r="E1240" s="13"/>
      <c r="F1240" s="99"/>
      <c r="G1240" s="13"/>
      <c r="H1240" s="69"/>
      <c r="I1240" s="98"/>
      <c r="J1240" s="69"/>
      <c r="K1240" s="99"/>
      <c r="L1240" s="99"/>
      <c r="M1240" s="128"/>
      <c r="N1240" s="182"/>
      <c r="O1240" s="98"/>
      <c r="P1240" s="128"/>
      <c r="Q1240" s="13"/>
      <c r="R1240" s="13"/>
      <c r="S1240" s="13"/>
      <c r="T1240" s="98"/>
      <c r="U1240" s="69"/>
      <c r="V1240" s="105"/>
      <c r="W1240" s="150"/>
      <c r="X1240" s="69"/>
      <c r="Y1240" s="99"/>
      <c r="Z1240" s="99"/>
      <c r="AA1240" s="99"/>
      <c r="AB1240" s="99"/>
      <c r="AC1240" s="99"/>
      <c r="AD1240" s="99"/>
      <c r="AE1240" s="150"/>
      <c r="AF1240" s="150"/>
      <c r="AG1240" s="99"/>
      <c r="AH1240" s="99"/>
      <c r="AI1240" s="105"/>
      <c r="AJ1240" s="105"/>
      <c r="AK1240" s="105"/>
      <c r="AL1240" s="98"/>
      <c r="AM1240" s="105"/>
      <c r="AN1240" s="98"/>
      <c r="AO1240" s="110"/>
      <c r="AP1240" s="98"/>
      <c r="AQ1240" s="98"/>
      <c r="AR1240" s="69"/>
      <c r="AS1240" s="98"/>
      <c r="AT1240" s="98"/>
      <c r="AU1240" s="69"/>
      <c r="AV1240" s="13"/>
      <c r="AW1240" s="13"/>
      <c r="AX1240" s="13"/>
      <c r="AY1240" s="13"/>
      <c r="AZ1240" s="13"/>
      <c r="BA1240" s="13"/>
      <c r="BB1240" s="13"/>
      <c r="BC1240" s="13"/>
      <c r="BD1240" s="13"/>
      <c r="BE1240" s="13"/>
      <c r="BF1240" s="13"/>
      <c r="BG1240" s="13"/>
      <c r="BH1240" s="13"/>
      <c r="BI1240" s="13"/>
      <c r="BJ1240" s="13"/>
      <c r="BK1240" s="13"/>
      <c r="BL1240" s="13"/>
      <c r="BM1240" s="13"/>
      <c r="BN1240" s="13"/>
      <c r="BO1240" s="13"/>
      <c r="BP1240" s="13"/>
      <c r="BQ1240" s="13"/>
      <c r="BR1240" s="13"/>
    </row>
    <row r="1241">
      <c r="A1241" s="69"/>
      <c r="B1241" s="69"/>
      <c r="C1241" s="99"/>
      <c r="D1241" s="99"/>
      <c r="E1241" s="13"/>
      <c r="F1241" s="99"/>
      <c r="G1241" s="13"/>
      <c r="H1241" s="69"/>
      <c r="I1241" s="98"/>
      <c r="J1241" s="69"/>
      <c r="K1241" s="99"/>
      <c r="L1241" s="99"/>
      <c r="M1241" s="128"/>
      <c r="N1241" s="182"/>
      <c r="O1241" s="98"/>
      <c r="P1241" s="128"/>
      <c r="Q1241" s="13"/>
      <c r="R1241" s="13"/>
      <c r="S1241" s="13"/>
      <c r="T1241" s="98"/>
      <c r="U1241" s="69"/>
      <c r="V1241" s="105"/>
      <c r="W1241" s="150"/>
      <c r="X1241" s="69"/>
      <c r="Y1241" s="99"/>
      <c r="Z1241" s="99"/>
      <c r="AA1241" s="99"/>
      <c r="AB1241" s="99"/>
      <c r="AC1241" s="99"/>
      <c r="AD1241" s="99"/>
      <c r="AE1241" s="150"/>
      <c r="AF1241" s="150"/>
      <c r="AG1241" s="99"/>
      <c r="AH1241" s="99"/>
      <c r="AI1241" s="105"/>
      <c r="AJ1241" s="105"/>
      <c r="AK1241" s="105"/>
      <c r="AL1241" s="98"/>
      <c r="AM1241" s="105"/>
      <c r="AN1241" s="98"/>
      <c r="AO1241" s="110"/>
      <c r="AP1241" s="98"/>
      <c r="AQ1241" s="98"/>
      <c r="AR1241" s="69"/>
      <c r="AS1241" s="98"/>
      <c r="AT1241" s="98"/>
      <c r="AU1241" s="69"/>
      <c r="AV1241" s="13"/>
      <c r="AW1241" s="13"/>
      <c r="AX1241" s="13"/>
      <c r="AY1241" s="13"/>
      <c r="AZ1241" s="13"/>
      <c r="BA1241" s="13"/>
      <c r="BB1241" s="13"/>
      <c r="BC1241" s="13"/>
      <c r="BD1241" s="13"/>
      <c r="BE1241" s="13"/>
      <c r="BF1241" s="13"/>
      <c r="BG1241" s="13"/>
      <c r="BH1241" s="13"/>
      <c r="BI1241" s="13"/>
      <c r="BJ1241" s="13"/>
      <c r="BK1241" s="13"/>
      <c r="BL1241" s="13"/>
      <c r="BM1241" s="13"/>
      <c r="BN1241" s="13"/>
      <c r="BO1241" s="13"/>
      <c r="BP1241" s="13"/>
      <c r="BQ1241" s="13"/>
      <c r="BR1241" s="13"/>
    </row>
    <row r="1242">
      <c r="A1242" s="69"/>
      <c r="B1242" s="69"/>
      <c r="C1242" s="99"/>
      <c r="D1242" s="99"/>
      <c r="E1242" s="13"/>
      <c r="F1242" s="99"/>
      <c r="G1242" s="13"/>
      <c r="H1242" s="69"/>
      <c r="I1242" s="98"/>
      <c r="J1242" s="69"/>
      <c r="K1242" s="99"/>
      <c r="L1242" s="99"/>
      <c r="M1242" s="128"/>
      <c r="N1242" s="182"/>
      <c r="O1242" s="98"/>
      <c r="P1242" s="128"/>
      <c r="Q1242" s="13"/>
      <c r="R1242" s="13"/>
      <c r="S1242" s="13"/>
      <c r="T1242" s="98"/>
      <c r="U1242" s="69"/>
      <c r="V1242" s="105"/>
      <c r="W1242" s="150"/>
      <c r="X1242" s="69"/>
      <c r="Y1242" s="99"/>
      <c r="Z1242" s="99"/>
      <c r="AA1242" s="99"/>
      <c r="AB1242" s="99"/>
      <c r="AC1242" s="99"/>
      <c r="AD1242" s="99"/>
      <c r="AE1242" s="150"/>
      <c r="AF1242" s="150"/>
      <c r="AG1242" s="99"/>
      <c r="AH1242" s="99"/>
      <c r="AI1242" s="105"/>
      <c r="AJ1242" s="105"/>
      <c r="AK1242" s="105"/>
      <c r="AL1242" s="98"/>
      <c r="AM1242" s="105"/>
      <c r="AN1242" s="98"/>
      <c r="AO1242" s="110"/>
      <c r="AP1242" s="98"/>
      <c r="AQ1242" s="98"/>
      <c r="AR1242" s="69"/>
      <c r="AS1242" s="98"/>
      <c r="AT1242" s="98"/>
      <c r="AU1242" s="69"/>
      <c r="AV1242" s="13"/>
      <c r="AW1242" s="13"/>
      <c r="AX1242" s="13"/>
      <c r="AY1242" s="13"/>
      <c r="AZ1242" s="13"/>
      <c r="BA1242" s="13"/>
      <c r="BB1242" s="13"/>
      <c r="BC1242" s="13"/>
      <c r="BD1242" s="13"/>
      <c r="BE1242" s="13"/>
      <c r="BF1242" s="13"/>
      <c r="BG1242" s="13"/>
      <c r="BH1242" s="13"/>
      <c r="BI1242" s="13"/>
      <c r="BJ1242" s="13"/>
      <c r="BK1242" s="13"/>
      <c r="BL1242" s="13"/>
      <c r="BM1242" s="13"/>
      <c r="BN1242" s="13"/>
      <c r="BO1242" s="13"/>
      <c r="BP1242" s="13"/>
      <c r="BQ1242" s="13"/>
      <c r="BR1242" s="13"/>
    </row>
    <row r="1243">
      <c r="A1243" s="69"/>
      <c r="B1243" s="69"/>
      <c r="C1243" s="99"/>
      <c r="D1243" s="99"/>
      <c r="E1243" s="13"/>
      <c r="F1243" s="99"/>
      <c r="G1243" s="13"/>
      <c r="H1243" s="69"/>
      <c r="I1243" s="98"/>
      <c r="J1243" s="69"/>
      <c r="K1243" s="99"/>
      <c r="L1243" s="99"/>
      <c r="M1243" s="128"/>
      <c r="N1243" s="182"/>
      <c r="O1243" s="98"/>
      <c r="P1243" s="128"/>
      <c r="Q1243" s="13"/>
      <c r="R1243" s="13"/>
      <c r="S1243" s="13"/>
      <c r="T1243" s="98"/>
      <c r="U1243" s="69"/>
      <c r="V1243" s="105"/>
      <c r="W1243" s="150"/>
      <c r="X1243" s="69"/>
      <c r="Y1243" s="99"/>
      <c r="Z1243" s="99"/>
      <c r="AA1243" s="99"/>
      <c r="AB1243" s="99"/>
      <c r="AC1243" s="99"/>
      <c r="AD1243" s="99"/>
      <c r="AE1243" s="150"/>
      <c r="AF1243" s="150"/>
      <c r="AG1243" s="99"/>
      <c r="AH1243" s="99"/>
      <c r="AI1243" s="105"/>
      <c r="AJ1243" s="105"/>
      <c r="AK1243" s="105"/>
      <c r="AL1243" s="98"/>
      <c r="AM1243" s="105"/>
      <c r="AN1243" s="98"/>
      <c r="AO1243" s="110"/>
      <c r="AP1243" s="98"/>
      <c r="AQ1243" s="98"/>
      <c r="AR1243" s="69"/>
      <c r="AS1243" s="98"/>
      <c r="AT1243" s="98"/>
      <c r="AU1243" s="69"/>
      <c r="AV1243" s="13"/>
      <c r="AW1243" s="13"/>
      <c r="AX1243" s="13"/>
      <c r="AY1243" s="13"/>
      <c r="AZ1243" s="13"/>
      <c r="BA1243" s="13"/>
      <c r="BB1243" s="13"/>
      <c r="BC1243" s="13"/>
      <c r="BD1243" s="13"/>
      <c r="BE1243" s="13"/>
      <c r="BF1243" s="13"/>
      <c r="BG1243" s="13"/>
      <c r="BH1243" s="13"/>
      <c r="BI1243" s="13"/>
      <c r="BJ1243" s="13"/>
      <c r="BK1243" s="13"/>
      <c r="BL1243" s="13"/>
      <c r="BM1243" s="13"/>
      <c r="BN1243" s="13"/>
      <c r="BO1243" s="13"/>
      <c r="BP1243" s="13"/>
      <c r="BQ1243" s="13"/>
      <c r="BR1243" s="13"/>
    </row>
    <row r="1244">
      <c r="A1244" s="69"/>
      <c r="B1244" s="69"/>
      <c r="C1244" s="99"/>
      <c r="D1244" s="99"/>
      <c r="E1244" s="13"/>
      <c r="F1244" s="99"/>
      <c r="G1244" s="13"/>
      <c r="H1244" s="69"/>
      <c r="I1244" s="98"/>
      <c r="J1244" s="69"/>
      <c r="K1244" s="99"/>
      <c r="L1244" s="99"/>
      <c r="M1244" s="128"/>
      <c r="N1244" s="182"/>
      <c r="O1244" s="98"/>
      <c r="P1244" s="128"/>
      <c r="Q1244" s="13"/>
      <c r="R1244" s="13"/>
      <c r="S1244" s="13"/>
      <c r="T1244" s="98"/>
      <c r="U1244" s="69"/>
      <c r="V1244" s="105"/>
      <c r="W1244" s="150"/>
      <c r="X1244" s="69"/>
      <c r="Y1244" s="99"/>
      <c r="Z1244" s="99"/>
      <c r="AA1244" s="99"/>
      <c r="AB1244" s="99"/>
      <c r="AC1244" s="99"/>
      <c r="AD1244" s="99"/>
      <c r="AE1244" s="150"/>
      <c r="AF1244" s="150"/>
      <c r="AG1244" s="99"/>
      <c r="AH1244" s="99"/>
      <c r="AI1244" s="105"/>
      <c r="AJ1244" s="105"/>
      <c r="AK1244" s="105"/>
      <c r="AL1244" s="98"/>
      <c r="AM1244" s="105"/>
      <c r="AN1244" s="98"/>
      <c r="AO1244" s="110"/>
      <c r="AP1244" s="98"/>
      <c r="AQ1244" s="98"/>
      <c r="AR1244" s="69"/>
      <c r="AS1244" s="98"/>
      <c r="AT1244" s="98"/>
      <c r="AU1244" s="69"/>
      <c r="AV1244" s="13"/>
      <c r="AW1244" s="13"/>
      <c r="AX1244" s="13"/>
      <c r="AY1244" s="13"/>
      <c r="AZ1244" s="13"/>
      <c r="BA1244" s="13"/>
      <c r="BB1244" s="13"/>
      <c r="BC1244" s="13"/>
      <c r="BD1244" s="13"/>
      <c r="BE1244" s="13"/>
      <c r="BF1244" s="13"/>
      <c r="BG1244" s="13"/>
      <c r="BH1244" s="13"/>
      <c r="BI1244" s="13"/>
      <c r="BJ1244" s="13"/>
      <c r="BK1244" s="13"/>
      <c r="BL1244" s="13"/>
      <c r="BM1244" s="13"/>
      <c r="BN1244" s="13"/>
      <c r="BO1244" s="13"/>
      <c r="BP1244" s="13"/>
      <c r="BQ1244" s="13"/>
      <c r="BR1244" s="13"/>
    </row>
    <row r="1245">
      <c r="A1245" s="69"/>
      <c r="B1245" s="69"/>
      <c r="C1245" s="99"/>
      <c r="D1245" s="99"/>
      <c r="E1245" s="13"/>
      <c r="F1245" s="99"/>
      <c r="G1245" s="13"/>
      <c r="H1245" s="69"/>
      <c r="I1245" s="98"/>
      <c r="J1245" s="69"/>
      <c r="K1245" s="99"/>
      <c r="L1245" s="99"/>
      <c r="M1245" s="128"/>
      <c r="N1245" s="182"/>
      <c r="O1245" s="98"/>
      <c r="P1245" s="128"/>
      <c r="Q1245" s="13"/>
      <c r="R1245" s="13"/>
      <c r="S1245" s="13"/>
      <c r="T1245" s="98"/>
      <c r="U1245" s="69"/>
      <c r="V1245" s="105"/>
      <c r="W1245" s="150"/>
      <c r="X1245" s="69"/>
      <c r="Y1245" s="99"/>
      <c r="Z1245" s="99"/>
      <c r="AA1245" s="99"/>
      <c r="AB1245" s="99"/>
      <c r="AC1245" s="99"/>
      <c r="AD1245" s="99"/>
      <c r="AE1245" s="150"/>
      <c r="AF1245" s="150"/>
      <c r="AG1245" s="99"/>
      <c r="AH1245" s="99"/>
      <c r="AI1245" s="105"/>
      <c r="AJ1245" s="105"/>
      <c r="AK1245" s="105"/>
      <c r="AL1245" s="98"/>
      <c r="AM1245" s="105"/>
      <c r="AN1245" s="98"/>
      <c r="AO1245" s="110"/>
      <c r="AP1245" s="98"/>
      <c r="AQ1245" s="98"/>
      <c r="AR1245" s="69"/>
      <c r="AS1245" s="98"/>
      <c r="AT1245" s="98"/>
      <c r="AU1245" s="69"/>
      <c r="AV1245" s="13"/>
      <c r="AW1245" s="13"/>
      <c r="AX1245" s="13"/>
      <c r="AY1245" s="13"/>
      <c r="AZ1245" s="13"/>
      <c r="BA1245" s="13"/>
      <c r="BB1245" s="13"/>
      <c r="BC1245" s="13"/>
      <c r="BD1245" s="13"/>
      <c r="BE1245" s="13"/>
      <c r="BF1245" s="13"/>
      <c r="BG1245" s="13"/>
      <c r="BH1245" s="13"/>
      <c r="BI1245" s="13"/>
      <c r="BJ1245" s="13"/>
      <c r="BK1245" s="13"/>
      <c r="BL1245" s="13"/>
      <c r="BM1245" s="13"/>
      <c r="BN1245" s="13"/>
      <c r="BO1245" s="13"/>
      <c r="BP1245" s="13"/>
      <c r="BQ1245" s="13"/>
      <c r="BR1245" s="13"/>
    </row>
    <row r="1246">
      <c r="A1246" s="69"/>
      <c r="B1246" s="69"/>
      <c r="C1246" s="99"/>
      <c r="D1246" s="99"/>
      <c r="E1246" s="13"/>
      <c r="F1246" s="99"/>
      <c r="G1246" s="13"/>
      <c r="H1246" s="69"/>
      <c r="I1246" s="98"/>
      <c r="J1246" s="69"/>
      <c r="K1246" s="99"/>
      <c r="L1246" s="99"/>
      <c r="M1246" s="128"/>
      <c r="N1246" s="182"/>
      <c r="O1246" s="98"/>
      <c r="P1246" s="128"/>
      <c r="Q1246" s="13"/>
      <c r="R1246" s="13"/>
      <c r="S1246" s="13"/>
      <c r="T1246" s="98"/>
      <c r="U1246" s="69"/>
      <c r="V1246" s="105"/>
      <c r="W1246" s="150"/>
      <c r="X1246" s="69"/>
      <c r="Y1246" s="99"/>
      <c r="Z1246" s="99"/>
      <c r="AA1246" s="99"/>
      <c r="AB1246" s="99"/>
      <c r="AC1246" s="99"/>
      <c r="AD1246" s="99"/>
      <c r="AE1246" s="150"/>
      <c r="AF1246" s="150"/>
      <c r="AG1246" s="99"/>
      <c r="AH1246" s="99"/>
      <c r="AI1246" s="105"/>
      <c r="AJ1246" s="105"/>
      <c r="AK1246" s="105"/>
      <c r="AL1246" s="98"/>
      <c r="AM1246" s="105"/>
      <c r="AN1246" s="98"/>
      <c r="AO1246" s="110"/>
      <c r="AP1246" s="98"/>
      <c r="AQ1246" s="98"/>
      <c r="AR1246" s="69"/>
      <c r="AS1246" s="98"/>
      <c r="AT1246" s="98"/>
      <c r="AU1246" s="69"/>
      <c r="AV1246" s="13"/>
      <c r="AW1246" s="13"/>
      <c r="AX1246" s="13"/>
      <c r="AY1246" s="13"/>
      <c r="AZ1246" s="13"/>
      <c r="BA1246" s="13"/>
      <c r="BB1246" s="13"/>
      <c r="BC1246" s="13"/>
      <c r="BD1246" s="13"/>
      <c r="BE1246" s="13"/>
      <c r="BF1246" s="13"/>
      <c r="BG1246" s="13"/>
      <c r="BH1246" s="13"/>
      <c r="BI1246" s="13"/>
      <c r="BJ1246" s="13"/>
      <c r="BK1246" s="13"/>
      <c r="BL1246" s="13"/>
      <c r="BM1246" s="13"/>
      <c r="BN1246" s="13"/>
      <c r="BO1246" s="13"/>
      <c r="BP1246" s="13"/>
      <c r="BQ1246" s="13"/>
      <c r="BR1246" s="13"/>
    </row>
    <row r="1247">
      <c r="A1247" s="69"/>
      <c r="B1247" s="69"/>
      <c r="C1247" s="99"/>
      <c r="D1247" s="99"/>
      <c r="E1247" s="13"/>
      <c r="F1247" s="99"/>
      <c r="G1247" s="13"/>
      <c r="H1247" s="69"/>
      <c r="I1247" s="98"/>
      <c r="J1247" s="69"/>
      <c r="K1247" s="99"/>
      <c r="L1247" s="99"/>
      <c r="M1247" s="128"/>
      <c r="N1247" s="182"/>
      <c r="O1247" s="98"/>
      <c r="P1247" s="128"/>
      <c r="Q1247" s="13"/>
      <c r="R1247" s="13"/>
      <c r="S1247" s="13"/>
      <c r="T1247" s="98"/>
      <c r="U1247" s="69"/>
      <c r="V1247" s="105"/>
      <c r="W1247" s="150"/>
      <c r="X1247" s="69"/>
      <c r="Y1247" s="99"/>
      <c r="Z1247" s="99"/>
      <c r="AA1247" s="99"/>
      <c r="AB1247" s="99"/>
      <c r="AC1247" s="99"/>
      <c r="AD1247" s="99"/>
      <c r="AE1247" s="150"/>
      <c r="AF1247" s="150"/>
      <c r="AG1247" s="99"/>
      <c r="AH1247" s="99"/>
      <c r="AI1247" s="105"/>
      <c r="AJ1247" s="105"/>
      <c r="AK1247" s="105"/>
      <c r="AL1247" s="98"/>
      <c r="AM1247" s="105"/>
      <c r="AN1247" s="98"/>
      <c r="AO1247" s="110"/>
      <c r="AP1247" s="98"/>
      <c r="AQ1247" s="98"/>
      <c r="AR1247" s="69"/>
      <c r="AS1247" s="98"/>
      <c r="AT1247" s="98"/>
      <c r="AU1247" s="69"/>
      <c r="AV1247" s="13"/>
      <c r="AW1247" s="13"/>
      <c r="AX1247" s="13"/>
      <c r="AY1247" s="13"/>
      <c r="AZ1247" s="13"/>
      <c r="BA1247" s="13"/>
      <c r="BB1247" s="13"/>
      <c r="BC1247" s="13"/>
      <c r="BD1247" s="13"/>
      <c r="BE1247" s="13"/>
      <c r="BF1247" s="13"/>
      <c r="BG1247" s="13"/>
      <c r="BH1247" s="13"/>
      <c r="BI1247" s="13"/>
      <c r="BJ1247" s="13"/>
      <c r="BK1247" s="13"/>
      <c r="BL1247" s="13"/>
      <c r="BM1247" s="13"/>
      <c r="BN1247" s="13"/>
      <c r="BO1247" s="13"/>
      <c r="BP1247" s="13"/>
      <c r="BQ1247" s="13"/>
      <c r="BR1247" s="13"/>
    </row>
    <row r="1248">
      <c r="A1248" s="69"/>
      <c r="B1248" s="69"/>
      <c r="C1248" s="99"/>
      <c r="D1248" s="99"/>
      <c r="E1248" s="13"/>
      <c r="F1248" s="99"/>
      <c r="G1248" s="13"/>
      <c r="H1248" s="69"/>
      <c r="I1248" s="98"/>
      <c r="J1248" s="69"/>
      <c r="K1248" s="99"/>
      <c r="L1248" s="99"/>
      <c r="M1248" s="128"/>
      <c r="N1248" s="182"/>
      <c r="O1248" s="98"/>
      <c r="P1248" s="128"/>
      <c r="Q1248" s="13"/>
      <c r="R1248" s="13"/>
      <c r="S1248" s="13"/>
      <c r="T1248" s="98"/>
      <c r="U1248" s="69"/>
      <c r="V1248" s="105"/>
      <c r="W1248" s="150"/>
      <c r="X1248" s="69"/>
      <c r="Y1248" s="99"/>
      <c r="Z1248" s="99"/>
      <c r="AA1248" s="99"/>
      <c r="AB1248" s="99"/>
      <c r="AC1248" s="99"/>
      <c r="AD1248" s="99"/>
      <c r="AE1248" s="150"/>
      <c r="AF1248" s="150"/>
      <c r="AG1248" s="99"/>
      <c r="AH1248" s="99"/>
      <c r="AI1248" s="105"/>
      <c r="AJ1248" s="105"/>
      <c r="AK1248" s="105"/>
      <c r="AL1248" s="98"/>
      <c r="AM1248" s="105"/>
      <c r="AN1248" s="98"/>
      <c r="AO1248" s="110"/>
      <c r="AP1248" s="98"/>
      <c r="AQ1248" s="98"/>
      <c r="AR1248" s="69"/>
      <c r="AS1248" s="98"/>
      <c r="AT1248" s="98"/>
      <c r="AU1248" s="69"/>
      <c r="AV1248" s="13"/>
      <c r="AW1248" s="13"/>
      <c r="AX1248" s="13"/>
      <c r="AY1248" s="13"/>
      <c r="AZ1248" s="13"/>
      <c r="BA1248" s="13"/>
      <c r="BB1248" s="13"/>
      <c r="BC1248" s="13"/>
      <c r="BD1248" s="13"/>
      <c r="BE1248" s="13"/>
      <c r="BF1248" s="13"/>
      <c r="BG1248" s="13"/>
      <c r="BH1248" s="13"/>
      <c r="BI1248" s="13"/>
      <c r="BJ1248" s="13"/>
      <c r="BK1248" s="13"/>
      <c r="BL1248" s="13"/>
      <c r="BM1248" s="13"/>
      <c r="BN1248" s="13"/>
      <c r="BO1248" s="13"/>
      <c r="BP1248" s="13"/>
      <c r="BQ1248" s="13"/>
      <c r="BR1248" s="13"/>
    </row>
    <row r="1249">
      <c r="A1249" s="69"/>
      <c r="B1249" s="69"/>
      <c r="C1249" s="99"/>
      <c r="D1249" s="99"/>
      <c r="E1249" s="13"/>
      <c r="F1249" s="99"/>
      <c r="G1249" s="13"/>
      <c r="H1249" s="69"/>
      <c r="I1249" s="98"/>
      <c r="J1249" s="69"/>
      <c r="K1249" s="99"/>
      <c r="L1249" s="99"/>
      <c r="M1249" s="128"/>
      <c r="N1249" s="182"/>
      <c r="O1249" s="98"/>
      <c r="P1249" s="128"/>
      <c r="Q1249" s="13"/>
      <c r="R1249" s="13"/>
      <c r="S1249" s="13"/>
      <c r="T1249" s="98"/>
      <c r="U1249" s="69"/>
      <c r="V1249" s="105"/>
      <c r="W1249" s="150"/>
      <c r="X1249" s="69"/>
      <c r="Y1249" s="99"/>
      <c r="Z1249" s="99"/>
      <c r="AA1249" s="99"/>
      <c r="AB1249" s="99"/>
      <c r="AC1249" s="99"/>
      <c r="AD1249" s="99"/>
      <c r="AE1249" s="150"/>
      <c r="AF1249" s="150"/>
      <c r="AG1249" s="99"/>
      <c r="AH1249" s="99"/>
      <c r="AI1249" s="105"/>
      <c r="AJ1249" s="105"/>
      <c r="AK1249" s="105"/>
      <c r="AL1249" s="98"/>
      <c r="AM1249" s="105"/>
      <c r="AN1249" s="98"/>
      <c r="AO1249" s="110"/>
      <c r="AP1249" s="98"/>
      <c r="AQ1249" s="98"/>
      <c r="AR1249" s="69"/>
      <c r="AS1249" s="98"/>
      <c r="AT1249" s="98"/>
      <c r="AU1249" s="69"/>
      <c r="AV1249" s="13"/>
      <c r="AW1249" s="13"/>
      <c r="AX1249" s="13"/>
      <c r="AY1249" s="13"/>
      <c r="AZ1249" s="13"/>
      <c r="BA1249" s="13"/>
      <c r="BB1249" s="13"/>
      <c r="BC1249" s="13"/>
      <c r="BD1249" s="13"/>
      <c r="BE1249" s="13"/>
      <c r="BF1249" s="13"/>
      <c r="BG1249" s="13"/>
      <c r="BH1249" s="13"/>
      <c r="BI1249" s="13"/>
      <c r="BJ1249" s="13"/>
      <c r="BK1249" s="13"/>
      <c r="BL1249" s="13"/>
      <c r="BM1249" s="13"/>
      <c r="BN1249" s="13"/>
      <c r="BO1249" s="13"/>
      <c r="BP1249" s="13"/>
      <c r="BQ1249" s="13"/>
      <c r="BR1249" s="13"/>
    </row>
    <row r="1250">
      <c r="A1250" s="69"/>
      <c r="B1250" s="69"/>
      <c r="C1250" s="99"/>
      <c r="D1250" s="99"/>
      <c r="E1250" s="13"/>
      <c r="F1250" s="99"/>
      <c r="G1250" s="13"/>
      <c r="H1250" s="69"/>
      <c r="I1250" s="98"/>
      <c r="J1250" s="69"/>
      <c r="K1250" s="99"/>
      <c r="L1250" s="99"/>
      <c r="M1250" s="128"/>
      <c r="N1250" s="182"/>
      <c r="O1250" s="98"/>
      <c r="P1250" s="128"/>
      <c r="Q1250" s="13"/>
      <c r="R1250" s="13"/>
      <c r="S1250" s="13"/>
      <c r="T1250" s="98"/>
      <c r="U1250" s="69"/>
      <c r="V1250" s="105"/>
      <c r="W1250" s="150"/>
      <c r="X1250" s="69"/>
      <c r="Y1250" s="99"/>
      <c r="Z1250" s="99"/>
      <c r="AA1250" s="99"/>
      <c r="AB1250" s="99"/>
      <c r="AC1250" s="99"/>
      <c r="AD1250" s="99"/>
      <c r="AE1250" s="150"/>
      <c r="AF1250" s="150"/>
      <c r="AG1250" s="99"/>
      <c r="AH1250" s="99"/>
      <c r="AI1250" s="105"/>
      <c r="AJ1250" s="105"/>
      <c r="AK1250" s="105"/>
      <c r="AL1250" s="98"/>
      <c r="AM1250" s="105"/>
      <c r="AN1250" s="98"/>
      <c r="AO1250" s="110"/>
      <c r="AP1250" s="98"/>
      <c r="AQ1250" s="98"/>
      <c r="AR1250" s="69"/>
      <c r="AS1250" s="98"/>
      <c r="AT1250" s="98"/>
      <c r="AU1250" s="69"/>
      <c r="AV1250" s="13"/>
      <c r="AW1250" s="13"/>
      <c r="AX1250" s="13"/>
      <c r="AY1250" s="13"/>
      <c r="AZ1250" s="13"/>
      <c r="BA1250" s="13"/>
      <c r="BB1250" s="13"/>
      <c r="BC1250" s="13"/>
      <c r="BD1250" s="13"/>
      <c r="BE1250" s="13"/>
      <c r="BF1250" s="13"/>
      <c r="BG1250" s="13"/>
      <c r="BH1250" s="13"/>
      <c r="BI1250" s="13"/>
      <c r="BJ1250" s="13"/>
      <c r="BK1250" s="13"/>
      <c r="BL1250" s="13"/>
      <c r="BM1250" s="13"/>
      <c r="BN1250" s="13"/>
      <c r="BO1250" s="13"/>
      <c r="BP1250" s="13"/>
      <c r="BQ1250" s="13"/>
      <c r="BR1250" s="13"/>
    </row>
    <row r="1251">
      <c r="A1251" s="69"/>
      <c r="B1251" s="69"/>
      <c r="C1251" s="99"/>
      <c r="D1251" s="99"/>
      <c r="E1251" s="13"/>
      <c r="F1251" s="99"/>
      <c r="G1251" s="13"/>
      <c r="H1251" s="69"/>
      <c r="I1251" s="98"/>
      <c r="J1251" s="69"/>
      <c r="K1251" s="99"/>
      <c r="L1251" s="99"/>
      <c r="M1251" s="128"/>
      <c r="N1251" s="182"/>
      <c r="O1251" s="98"/>
      <c r="P1251" s="128"/>
      <c r="Q1251" s="13"/>
      <c r="R1251" s="13"/>
      <c r="S1251" s="13"/>
      <c r="T1251" s="98"/>
      <c r="U1251" s="69"/>
      <c r="V1251" s="105"/>
      <c r="W1251" s="150"/>
      <c r="X1251" s="69"/>
      <c r="Y1251" s="99"/>
      <c r="Z1251" s="99"/>
      <c r="AA1251" s="99"/>
      <c r="AB1251" s="99"/>
      <c r="AC1251" s="99"/>
      <c r="AD1251" s="99"/>
      <c r="AE1251" s="150"/>
      <c r="AF1251" s="150"/>
      <c r="AG1251" s="99"/>
      <c r="AH1251" s="99"/>
      <c r="AI1251" s="105"/>
      <c r="AJ1251" s="105"/>
      <c r="AK1251" s="105"/>
      <c r="AL1251" s="98"/>
      <c r="AM1251" s="105"/>
      <c r="AN1251" s="98"/>
      <c r="AO1251" s="110"/>
      <c r="AP1251" s="98"/>
      <c r="AQ1251" s="98"/>
      <c r="AR1251" s="69"/>
      <c r="AS1251" s="98"/>
      <c r="AT1251" s="98"/>
      <c r="AU1251" s="69"/>
      <c r="AV1251" s="13"/>
      <c r="AW1251" s="13"/>
      <c r="AX1251" s="13"/>
      <c r="AY1251" s="13"/>
      <c r="AZ1251" s="13"/>
      <c r="BA1251" s="13"/>
      <c r="BB1251" s="13"/>
      <c r="BC1251" s="13"/>
      <c r="BD1251" s="13"/>
      <c r="BE1251" s="13"/>
      <c r="BF1251" s="13"/>
      <c r="BG1251" s="13"/>
      <c r="BH1251" s="13"/>
      <c r="BI1251" s="13"/>
      <c r="BJ1251" s="13"/>
      <c r="BK1251" s="13"/>
      <c r="BL1251" s="13"/>
      <c r="BM1251" s="13"/>
      <c r="BN1251" s="13"/>
      <c r="BO1251" s="13"/>
      <c r="BP1251" s="13"/>
      <c r="BQ1251" s="13"/>
      <c r="BR1251" s="13"/>
    </row>
    <row r="1252">
      <c r="A1252" s="69"/>
      <c r="B1252" s="69"/>
      <c r="C1252" s="99"/>
      <c r="D1252" s="99"/>
      <c r="E1252" s="13"/>
      <c r="F1252" s="99"/>
      <c r="G1252" s="13"/>
      <c r="H1252" s="69"/>
      <c r="I1252" s="98"/>
      <c r="J1252" s="69"/>
      <c r="K1252" s="99"/>
      <c r="L1252" s="99"/>
      <c r="M1252" s="128"/>
      <c r="N1252" s="182"/>
      <c r="O1252" s="98"/>
      <c r="P1252" s="128"/>
      <c r="Q1252" s="13"/>
      <c r="R1252" s="13"/>
      <c r="S1252" s="13"/>
      <c r="T1252" s="98"/>
      <c r="U1252" s="69"/>
      <c r="V1252" s="105"/>
      <c r="W1252" s="150"/>
      <c r="X1252" s="69"/>
      <c r="Y1252" s="99"/>
      <c r="Z1252" s="99"/>
      <c r="AA1252" s="99"/>
      <c r="AB1252" s="99"/>
      <c r="AC1252" s="99"/>
      <c r="AD1252" s="99"/>
      <c r="AE1252" s="150"/>
      <c r="AF1252" s="150"/>
      <c r="AG1252" s="99"/>
      <c r="AH1252" s="99"/>
      <c r="AI1252" s="105"/>
      <c r="AJ1252" s="105"/>
      <c r="AK1252" s="105"/>
      <c r="AL1252" s="98"/>
      <c r="AM1252" s="105"/>
      <c r="AN1252" s="98"/>
      <c r="AO1252" s="110"/>
      <c r="AP1252" s="98"/>
      <c r="AQ1252" s="98"/>
      <c r="AR1252" s="69"/>
      <c r="AS1252" s="98"/>
      <c r="AT1252" s="98"/>
      <c r="AU1252" s="69"/>
      <c r="AV1252" s="13"/>
      <c r="AW1252" s="13"/>
      <c r="AX1252" s="13"/>
      <c r="AY1252" s="13"/>
      <c r="AZ1252" s="13"/>
      <c r="BA1252" s="13"/>
      <c r="BB1252" s="13"/>
      <c r="BC1252" s="13"/>
      <c r="BD1252" s="13"/>
      <c r="BE1252" s="13"/>
      <c r="BF1252" s="13"/>
      <c r="BG1252" s="13"/>
      <c r="BH1252" s="13"/>
      <c r="BI1252" s="13"/>
      <c r="BJ1252" s="13"/>
      <c r="BK1252" s="13"/>
      <c r="BL1252" s="13"/>
      <c r="BM1252" s="13"/>
      <c r="BN1252" s="13"/>
      <c r="BO1252" s="13"/>
      <c r="BP1252" s="13"/>
      <c r="BQ1252" s="13"/>
      <c r="BR1252" s="13"/>
    </row>
    <row r="1253">
      <c r="A1253" s="69"/>
      <c r="B1253" s="69"/>
      <c r="C1253" s="99"/>
      <c r="D1253" s="99"/>
      <c r="E1253" s="13"/>
      <c r="F1253" s="99"/>
      <c r="G1253" s="13"/>
      <c r="H1253" s="69"/>
      <c r="I1253" s="98"/>
      <c r="J1253" s="69"/>
      <c r="K1253" s="99"/>
      <c r="L1253" s="99"/>
      <c r="M1253" s="128"/>
      <c r="N1253" s="182"/>
      <c r="O1253" s="98"/>
      <c r="P1253" s="128"/>
      <c r="Q1253" s="13"/>
      <c r="R1253" s="13"/>
      <c r="S1253" s="13"/>
      <c r="T1253" s="98"/>
      <c r="U1253" s="69"/>
      <c r="V1253" s="105"/>
      <c r="W1253" s="150"/>
      <c r="X1253" s="69"/>
      <c r="Y1253" s="99"/>
      <c r="Z1253" s="99"/>
      <c r="AA1253" s="99"/>
      <c r="AB1253" s="99"/>
      <c r="AC1253" s="99"/>
      <c r="AD1253" s="99"/>
      <c r="AE1253" s="150"/>
      <c r="AF1253" s="150"/>
      <c r="AG1253" s="99"/>
      <c r="AH1253" s="99"/>
      <c r="AI1253" s="105"/>
      <c r="AJ1253" s="105"/>
      <c r="AK1253" s="105"/>
      <c r="AL1253" s="98"/>
      <c r="AM1253" s="105"/>
      <c r="AN1253" s="98"/>
      <c r="AO1253" s="110"/>
      <c r="AP1253" s="98"/>
      <c r="AQ1253" s="98"/>
      <c r="AR1253" s="69"/>
      <c r="AS1253" s="98"/>
      <c r="AT1253" s="98"/>
      <c r="AU1253" s="69"/>
      <c r="AV1253" s="13"/>
      <c r="AW1253" s="13"/>
      <c r="AX1253" s="13"/>
      <c r="AY1253" s="13"/>
      <c r="AZ1253" s="13"/>
      <c r="BA1253" s="13"/>
      <c r="BB1253" s="13"/>
      <c r="BC1253" s="13"/>
      <c r="BD1253" s="13"/>
      <c r="BE1253" s="13"/>
      <c r="BF1253" s="13"/>
      <c r="BG1253" s="13"/>
      <c r="BH1253" s="13"/>
      <c r="BI1253" s="13"/>
      <c r="BJ1253" s="13"/>
      <c r="BK1253" s="13"/>
      <c r="BL1253" s="13"/>
      <c r="BM1253" s="13"/>
      <c r="BN1253" s="13"/>
      <c r="BO1253" s="13"/>
      <c r="BP1253" s="13"/>
      <c r="BQ1253" s="13"/>
      <c r="BR1253" s="13"/>
    </row>
    <row r="1254">
      <c r="A1254" s="69"/>
      <c r="B1254" s="69"/>
      <c r="C1254" s="99"/>
      <c r="D1254" s="99"/>
      <c r="E1254" s="13"/>
      <c r="F1254" s="99"/>
      <c r="G1254" s="13"/>
      <c r="H1254" s="69"/>
      <c r="I1254" s="98"/>
      <c r="J1254" s="69"/>
      <c r="K1254" s="99"/>
      <c r="L1254" s="99"/>
      <c r="M1254" s="128"/>
      <c r="N1254" s="182"/>
      <c r="O1254" s="98"/>
      <c r="P1254" s="128"/>
      <c r="Q1254" s="13"/>
      <c r="R1254" s="13"/>
      <c r="S1254" s="13"/>
      <c r="T1254" s="98"/>
      <c r="U1254" s="69"/>
      <c r="V1254" s="105"/>
      <c r="W1254" s="150"/>
      <c r="X1254" s="69"/>
      <c r="Y1254" s="99"/>
      <c r="Z1254" s="99"/>
      <c r="AA1254" s="99"/>
      <c r="AB1254" s="99"/>
      <c r="AC1254" s="99"/>
      <c r="AD1254" s="99"/>
      <c r="AE1254" s="150"/>
      <c r="AF1254" s="150"/>
      <c r="AG1254" s="99"/>
      <c r="AH1254" s="99"/>
      <c r="AI1254" s="105"/>
      <c r="AJ1254" s="105"/>
      <c r="AK1254" s="105"/>
      <c r="AL1254" s="98"/>
      <c r="AM1254" s="105"/>
      <c r="AN1254" s="98"/>
      <c r="AO1254" s="110"/>
      <c r="AP1254" s="98"/>
      <c r="AQ1254" s="98"/>
      <c r="AR1254" s="69"/>
      <c r="AS1254" s="98"/>
      <c r="AT1254" s="98"/>
      <c r="AU1254" s="69"/>
      <c r="AV1254" s="13"/>
      <c r="AW1254" s="13"/>
      <c r="AX1254" s="13"/>
      <c r="AY1254" s="13"/>
      <c r="AZ1254" s="13"/>
      <c r="BA1254" s="13"/>
      <c r="BB1254" s="13"/>
      <c r="BC1254" s="13"/>
      <c r="BD1254" s="13"/>
      <c r="BE1254" s="13"/>
      <c r="BF1254" s="13"/>
      <c r="BG1254" s="13"/>
      <c r="BH1254" s="13"/>
      <c r="BI1254" s="13"/>
      <c r="BJ1254" s="13"/>
      <c r="BK1254" s="13"/>
      <c r="BL1254" s="13"/>
      <c r="BM1254" s="13"/>
      <c r="BN1254" s="13"/>
      <c r="BO1254" s="13"/>
      <c r="BP1254" s="13"/>
      <c r="BQ1254" s="13"/>
      <c r="BR1254" s="13"/>
    </row>
    <row r="1255">
      <c r="A1255" s="69"/>
      <c r="B1255" s="69"/>
      <c r="C1255" s="99"/>
      <c r="D1255" s="99"/>
      <c r="E1255" s="13"/>
      <c r="F1255" s="99"/>
      <c r="G1255" s="13"/>
      <c r="H1255" s="69"/>
      <c r="I1255" s="98"/>
      <c r="J1255" s="69"/>
      <c r="K1255" s="99"/>
      <c r="L1255" s="99"/>
      <c r="M1255" s="128"/>
      <c r="N1255" s="182"/>
      <c r="O1255" s="98"/>
      <c r="P1255" s="128"/>
      <c r="Q1255" s="13"/>
      <c r="R1255" s="13"/>
      <c r="S1255" s="13"/>
      <c r="T1255" s="98"/>
      <c r="U1255" s="69"/>
      <c r="V1255" s="105"/>
      <c r="W1255" s="150"/>
      <c r="X1255" s="69"/>
      <c r="Y1255" s="99"/>
      <c r="Z1255" s="99"/>
      <c r="AA1255" s="99"/>
      <c r="AB1255" s="99"/>
      <c r="AC1255" s="99"/>
      <c r="AD1255" s="99"/>
      <c r="AE1255" s="150"/>
      <c r="AF1255" s="150"/>
      <c r="AG1255" s="99"/>
      <c r="AH1255" s="99"/>
      <c r="AI1255" s="105"/>
      <c r="AJ1255" s="105"/>
      <c r="AK1255" s="105"/>
      <c r="AL1255" s="98"/>
      <c r="AM1255" s="105"/>
      <c r="AN1255" s="98"/>
      <c r="AO1255" s="110"/>
      <c r="AP1255" s="98"/>
      <c r="AQ1255" s="98"/>
      <c r="AR1255" s="69"/>
      <c r="AS1255" s="98"/>
      <c r="AT1255" s="98"/>
      <c r="AU1255" s="69"/>
      <c r="AV1255" s="13"/>
      <c r="AW1255" s="13"/>
      <c r="AX1255" s="13"/>
      <c r="AY1255" s="13"/>
      <c r="AZ1255" s="13"/>
      <c r="BA1255" s="13"/>
      <c r="BB1255" s="13"/>
      <c r="BC1255" s="13"/>
      <c r="BD1255" s="13"/>
      <c r="BE1255" s="13"/>
      <c r="BF1255" s="13"/>
      <c r="BG1255" s="13"/>
      <c r="BH1255" s="13"/>
      <c r="BI1255" s="13"/>
      <c r="BJ1255" s="13"/>
      <c r="BK1255" s="13"/>
      <c r="BL1255" s="13"/>
      <c r="BM1255" s="13"/>
      <c r="BN1255" s="13"/>
      <c r="BO1255" s="13"/>
      <c r="BP1255" s="13"/>
      <c r="BQ1255" s="13"/>
      <c r="BR1255" s="13"/>
    </row>
    <row r="1256">
      <c r="A1256" s="69"/>
      <c r="B1256" s="69"/>
      <c r="C1256" s="99"/>
      <c r="D1256" s="99"/>
      <c r="E1256" s="13"/>
      <c r="F1256" s="99"/>
      <c r="G1256" s="13"/>
      <c r="H1256" s="69"/>
      <c r="I1256" s="98"/>
      <c r="J1256" s="69"/>
      <c r="K1256" s="99"/>
      <c r="L1256" s="99"/>
      <c r="M1256" s="128"/>
      <c r="N1256" s="182"/>
      <c r="O1256" s="98"/>
      <c r="P1256" s="128"/>
      <c r="Q1256" s="13"/>
      <c r="R1256" s="13"/>
      <c r="S1256" s="13"/>
      <c r="T1256" s="98"/>
      <c r="U1256" s="69"/>
      <c r="V1256" s="105"/>
      <c r="W1256" s="150"/>
      <c r="X1256" s="69"/>
      <c r="Y1256" s="99"/>
      <c r="Z1256" s="99"/>
      <c r="AA1256" s="99"/>
      <c r="AB1256" s="99"/>
      <c r="AC1256" s="99"/>
      <c r="AD1256" s="99"/>
      <c r="AE1256" s="150"/>
      <c r="AF1256" s="150"/>
      <c r="AG1256" s="99"/>
      <c r="AH1256" s="99"/>
      <c r="AI1256" s="105"/>
      <c r="AJ1256" s="105"/>
      <c r="AK1256" s="105"/>
      <c r="AL1256" s="98"/>
      <c r="AM1256" s="105"/>
      <c r="AN1256" s="98"/>
      <c r="AO1256" s="110"/>
      <c r="AP1256" s="98"/>
      <c r="AQ1256" s="98"/>
      <c r="AR1256" s="69"/>
      <c r="AS1256" s="98"/>
      <c r="AT1256" s="98"/>
      <c r="AU1256" s="69"/>
      <c r="AV1256" s="13"/>
      <c r="AW1256" s="13"/>
      <c r="AX1256" s="13"/>
      <c r="AY1256" s="13"/>
      <c r="AZ1256" s="13"/>
      <c r="BA1256" s="13"/>
      <c r="BB1256" s="13"/>
      <c r="BC1256" s="13"/>
      <c r="BD1256" s="13"/>
      <c r="BE1256" s="13"/>
      <c r="BF1256" s="13"/>
      <c r="BG1256" s="13"/>
      <c r="BH1256" s="13"/>
      <c r="BI1256" s="13"/>
      <c r="BJ1256" s="13"/>
      <c r="BK1256" s="13"/>
      <c r="BL1256" s="13"/>
      <c r="BM1256" s="13"/>
      <c r="BN1256" s="13"/>
      <c r="BO1256" s="13"/>
      <c r="BP1256" s="13"/>
      <c r="BQ1256" s="13"/>
      <c r="BR1256" s="13"/>
    </row>
    <row r="1257">
      <c r="A1257" s="69"/>
      <c r="B1257" s="69"/>
      <c r="C1257" s="99"/>
      <c r="D1257" s="99"/>
      <c r="E1257" s="13"/>
      <c r="F1257" s="99"/>
      <c r="G1257" s="13"/>
      <c r="H1257" s="69"/>
      <c r="I1257" s="98"/>
      <c r="J1257" s="69"/>
      <c r="K1257" s="99"/>
      <c r="L1257" s="99"/>
      <c r="M1257" s="128"/>
      <c r="N1257" s="182"/>
      <c r="O1257" s="98"/>
      <c r="P1257" s="128"/>
      <c r="Q1257" s="13"/>
      <c r="R1257" s="13"/>
      <c r="S1257" s="13"/>
      <c r="T1257" s="98"/>
      <c r="U1257" s="69"/>
      <c r="V1257" s="105"/>
      <c r="W1257" s="150"/>
      <c r="X1257" s="69"/>
      <c r="Y1257" s="99"/>
      <c r="Z1257" s="99"/>
      <c r="AA1257" s="99"/>
      <c r="AB1257" s="99"/>
      <c r="AC1257" s="99"/>
      <c r="AD1257" s="99"/>
      <c r="AE1257" s="150"/>
      <c r="AF1257" s="150"/>
      <c r="AG1257" s="99"/>
      <c r="AH1257" s="99"/>
      <c r="AI1257" s="105"/>
      <c r="AJ1257" s="105"/>
      <c r="AK1257" s="105"/>
      <c r="AL1257" s="98"/>
      <c r="AM1257" s="105"/>
      <c r="AN1257" s="98"/>
      <c r="AO1257" s="110"/>
      <c r="AP1257" s="98"/>
      <c r="AQ1257" s="98"/>
      <c r="AR1257" s="69"/>
      <c r="AS1257" s="98"/>
      <c r="AT1257" s="98"/>
      <c r="AU1257" s="69"/>
      <c r="AV1257" s="13"/>
      <c r="AW1257" s="13"/>
      <c r="AX1257" s="13"/>
      <c r="AY1257" s="13"/>
      <c r="AZ1257" s="13"/>
      <c r="BA1257" s="13"/>
      <c r="BB1257" s="13"/>
      <c r="BC1257" s="13"/>
      <c r="BD1257" s="13"/>
      <c r="BE1257" s="13"/>
      <c r="BF1257" s="13"/>
      <c r="BG1257" s="13"/>
      <c r="BH1257" s="13"/>
      <c r="BI1257" s="13"/>
      <c r="BJ1257" s="13"/>
      <c r="BK1257" s="13"/>
      <c r="BL1257" s="13"/>
      <c r="BM1257" s="13"/>
      <c r="BN1257" s="13"/>
      <c r="BO1257" s="13"/>
      <c r="BP1257" s="13"/>
      <c r="BQ1257" s="13"/>
      <c r="BR1257" s="13"/>
    </row>
    <row r="1258">
      <c r="A1258" s="69"/>
      <c r="B1258" s="69"/>
      <c r="C1258" s="99"/>
      <c r="D1258" s="99"/>
      <c r="E1258" s="13"/>
      <c r="F1258" s="99"/>
      <c r="G1258" s="13"/>
      <c r="H1258" s="69"/>
      <c r="I1258" s="98"/>
      <c r="J1258" s="69"/>
      <c r="K1258" s="99"/>
      <c r="L1258" s="99"/>
      <c r="M1258" s="128"/>
      <c r="N1258" s="182"/>
      <c r="O1258" s="98"/>
      <c r="P1258" s="128"/>
      <c r="Q1258" s="13"/>
      <c r="R1258" s="13"/>
      <c r="S1258" s="13"/>
      <c r="T1258" s="98"/>
      <c r="U1258" s="69"/>
      <c r="V1258" s="105"/>
      <c r="W1258" s="150"/>
      <c r="X1258" s="69"/>
      <c r="Y1258" s="99"/>
      <c r="Z1258" s="99"/>
      <c r="AA1258" s="99"/>
      <c r="AB1258" s="99"/>
      <c r="AC1258" s="99"/>
      <c r="AD1258" s="99"/>
      <c r="AE1258" s="150"/>
      <c r="AF1258" s="150"/>
      <c r="AG1258" s="99"/>
      <c r="AH1258" s="99"/>
      <c r="AI1258" s="105"/>
      <c r="AJ1258" s="105"/>
      <c r="AK1258" s="105"/>
      <c r="AL1258" s="98"/>
      <c r="AM1258" s="105"/>
      <c r="AN1258" s="98"/>
      <c r="AO1258" s="110"/>
      <c r="AP1258" s="98"/>
      <c r="AQ1258" s="98"/>
      <c r="AR1258" s="69"/>
      <c r="AS1258" s="98"/>
      <c r="AT1258" s="98"/>
      <c r="AU1258" s="69"/>
      <c r="AV1258" s="13"/>
      <c r="AW1258" s="13"/>
      <c r="AX1258" s="13"/>
      <c r="AY1258" s="13"/>
      <c r="AZ1258" s="13"/>
      <c r="BA1258" s="13"/>
      <c r="BB1258" s="13"/>
      <c r="BC1258" s="13"/>
      <c r="BD1258" s="13"/>
      <c r="BE1258" s="13"/>
      <c r="BF1258" s="13"/>
      <c r="BG1258" s="13"/>
      <c r="BH1258" s="13"/>
      <c r="BI1258" s="13"/>
      <c r="BJ1258" s="13"/>
      <c r="BK1258" s="13"/>
      <c r="BL1258" s="13"/>
      <c r="BM1258" s="13"/>
      <c r="BN1258" s="13"/>
      <c r="BO1258" s="13"/>
      <c r="BP1258" s="13"/>
      <c r="BQ1258" s="13"/>
      <c r="BR1258" s="13"/>
    </row>
    <row r="1259">
      <c r="A1259" s="69"/>
      <c r="B1259" s="69"/>
      <c r="C1259" s="99"/>
      <c r="D1259" s="99"/>
      <c r="E1259" s="13"/>
      <c r="F1259" s="99"/>
      <c r="G1259" s="13"/>
      <c r="H1259" s="69"/>
      <c r="I1259" s="98"/>
      <c r="J1259" s="69"/>
      <c r="K1259" s="99"/>
      <c r="L1259" s="99"/>
      <c r="M1259" s="128"/>
      <c r="N1259" s="182"/>
      <c r="O1259" s="98"/>
      <c r="P1259" s="128"/>
      <c r="Q1259" s="13"/>
      <c r="R1259" s="13"/>
      <c r="S1259" s="13"/>
      <c r="T1259" s="98"/>
      <c r="U1259" s="69"/>
      <c r="V1259" s="105"/>
      <c r="W1259" s="150"/>
      <c r="X1259" s="69"/>
      <c r="Y1259" s="99"/>
      <c r="Z1259" s="99"/>
      <c r="AA1259" s="99"/>
      <c r="AB1259" s="99"/>
      <c r="AC1259" s="99"/>
      <c r="AD1259" s="99"/>
      <c r="AE1259" s="150"/>
      <c r="AF1259" s="150"/>
      <c r="AG1259" s="99"/>
      <c r="AH1259" s="99"/>
      <c r="AI1259" s="105"/>
      <c r="AJ1259" s="105"/>
      <c r="AK1259" s="105"/>
      <c r="AL1259" s="98"/>
      <c r="AM1259" s="105"/>
      <c r="AN1259" s="98"/>
      <c r="AO1259" s="110"/>
      <c r="AP1259" s="98"/>
      <c r="AQ1259" s="98"/>
      <c r="AR1259" s="69"/>
      <c r="AS1259" s="98"/>
      <c r="AT1259" s="98"/>
      <c r="AU1259" s="69"/>
      <c r="AV1259" s="13"/>
      <c r="AW1259" s="13"/>
      <c r="AX1259" s="13"/>
      <c r="AY1259" s="13"/>
      <c r="AZ1259" s="13"/>
      <c r="BA1259" s="13"/>
      <c r="BB1259" s="13"/>
      <c r="BC1259" s="13"/>
      <c r="BD1259" s="13"/>
      <c r="BE1259" s="13"/>
      <c r="BF1259" s="13"/>
      <c r="BG1259" s="13"/>
      <c r="BH1259" s="13"/>
      <c r="BI1259" s="13"/>
      <c r="BJ1259" s="13"/>
      <c r="BK1259" s="13"/>
      <c r="BL1259" s="13"/>
      <c r="BM1259" s="13"/>
      <c r="BN1259" s="13"/>
      <c r="BO1259" s="13"/>
      <c r="BP1259" s="13"/>
      <c r="BQ1259" s="13"/>
      <c r="BR1259" s="13"/>
    </row>
    <row r="1260">
      <c r="A1260" s="69"/>
      <c r="B1260" s="69"/>
      <c r="C1260" s="99"/>
      <c r="D1260" s="99"/>
      <c r="E1260" s="13"/>
      <c r="F1260" s="99"/>
      <c r="G1260" s="13"/>
      <c r="H1260" s="69"/>
      <c r="I1260" s="98"/>
      <c r="J1260" s="69"/>
      <c r="K1260" s="99"/>
      <c r="L1260" s="99"/>
      <c r="M1260" s="128"/>
      <c r="N1260" s="182"/>
      <c r="O1260" s="98"/>
      <c r="P1260" s="128"/>
      <c r="Q1260" s="13"/>
      <c r="R1260" s="13"/>
      <c r="S1260" s="13"/>
      <c r="T1260" s="98"/>
      <c r="U1260" s="69"/>
      <c r="V1260" s="105"/>
      <c r="W1260" s="150"/>
      <c r="X1260" s="69"/>
      <c r="Y1260" s="99"/>
      <c r="Z1260" s="99"/>
      <c r="AA1260" s="99"/>
      <c r="AB1260" s="99"/>
      <c r="AC1260" s="99"/>
      <c r="AD1260" s="99"/>
      <c r="AE1260" s="150"/>
      <c r="AF1260" s="150"/>
      <c r="AG1260" s="99"/>
      <c r="AH1260" s="99"/>
      <c r="AI1260" s="105"/>
      <c r="AJ1260" s="105"/>
      <c r="AK1260" s="105"/>
      <c r="AL1260" s="98"/>
      <c r="AM1260" s="105"/>
      <c r="AN1260" s="98"/>
      <c r="AO1260" s="110"/>
      <c r="AP1260" s="98"/>
      <c r="AQ1260" s="98"/>
      <c r="AR1260" s="69"/>
      <c r="AS1260" s="98"/>
      <c r="AT1260" s="98"/>
      <c r="AU1260" s="69"/>
      <c r="AV1260" s="13"/>
      <c r="AW1260" s="13"/>
      <c r="AX1260" s="13"/>
      <c r="AY1260" s="13"/>
      <c r="AZ1260" s="13"/>
      <c r="BA1260" s="13"/>
      <c r="BB1260" s="13"/>
      <c r="BC1260" s="13"/>
      <c r="BD1260" s="13"/>
      <c r="BE1260" s="13"/>
      <c r="BF1260" s="13"/>
      <c r="BG1260" s="13"/>
      <c r="BH1260" s="13"/>
      <c r="BI1260" s="13"/>
      <c r="BJ1260" s="13"/>
      <c r="BK1260" s="13"/>
      <c r="BL1260" s="13"/>
      <c r="BM1260" s="13"/>
      <c r="BN1260" s="13"/>
      <c r="BO1260" s="13"/>
      <c r="BP1260" s="13"/>
      <c r="BQ1260" s="13"/>
      <c r="BR1260" s="13"/>
    </row>
    <row r="1261">
      <c r="A1261" s="69"/>
      <c r="B1261" s="69"/>
      <c r="C1261" s="99"/>
      <c r="D1261" s="99"/>
      <c r="E1261" s="13"/>
      <c r="F1261" s="99"/>
      <c r="G1261" s="13"/>
      <c r="H1261" s="69"/>
      <c r="I1261" s="98"/>
      <c r="J1261" s="69"/>
      <c r="K1261" s="99"/>
      <c r="L1261" s="99"/>
      <c r="M1261" s="128"/>
      <c r="N1261" s="182"/>
      <c r="O1261" s="98"/>
      <c r="P1261" s="128"/>
      <c r="Q1261" s="13"/>
      <c r="R1261" s="13"/>
      <c r="S1261" s="13"/>
      <c r="T1261" s="98"/>
      <c r="U1261" s="69"/>
      <c r="V1261" s="105"/>
      <c r="W1261" s="150"/>
      <c r="X1261" s="69"/>
      <c r="Y1261" s="99"/>
      <c r="Z1261" s="99"/>
      <c r="AA1261" s="99"/>
      <c r="AB1261" s="99"/>
      <c r="AC1261" s="99"/>
      <c r="AD1261" s="99"/>
      <c r="AE1261" s="150"/>
      <c r="AF1261" s="150"/>
      <c r="AG1261" s="99"/>
      <c r="AH1261" s="99"/>
      <c r="AI1261" s="105"/>
      <c r="AJ1261" s="105"/>
      <c r="AK1261" s="105"/>
      <c r="AL1261" s="98"/>
      <c r="AM1261" s="105"/>
      <c r="AN1261" s="98"/>
      <c r="AO1261" s="110"/>
      <c r="AP1261" s="98"/>
      <c r="AQ1261" s="98"/>
      <c r="AR1261" s="69"/>
      <c r="AS1261" s="98"/>
      <c r="AT1261" s="98"/>
      <c r="AU1261" s="69"/>
      <c r="AV1261" s="13"/>
      <c r="AW1261" s="13"/>
      <c r="AX1261" s="13"/>
      <c r="AY1261" s="13"/>
      <c r="AZ1261" s="13"/>
      <c r="BA1261" s="13"/>
      <c r="BB1261" s="13"/>
      <c r="BC1261" s="13"/>
      <c r="BD1261" s="13"/>
      <c r="BE1261" s="13"/>
      <c r="BF1261" s="13"/>
      <c r="BG1261" s="13"/>
      <c r="BH1261" s="13"/>
      <c r="BI1261" s="13"/>
      <c r="BJ1261" s="13"/>
      <c r="BK1261" s="13"/>
      <c r="BL1261" s="13"/>
      <c r="BM1261" s="13"/>
      <c r="BN1261" s="13"/>
      <c r="BO1261" s="13"/>
      <c r="BP1261" s="13"/>
      <c r="BQ1261" s="13"/>
      <c r="BR1261" s="13"/>
    </row>
    <row r="1262">
      <c r="A1262" s="69"/>
      <c r="B1262" s="69"/>
      <c r="C1262" s="99"/>
      <c r="D1262" s="99"/>
      <c r="E1262" s="13"/>
      <c r="F1262" s="99"/>
      <c r="G1262" s="13"/>
      <c r="H1262" s="69"/>
      <c r="I1262" s="98"/>
      <c r="J1262" s="69"/>
      <c r="K1262" s="99"/>
      <c r="L1262" s="99"/>
      <c r="M1262" s="128"/>
      <c r="N1262" s="182"/>
      <c r="O1262" s="98"/>
      <c r="P1262" s="128"/>
      <c r="Q1262" s="13"/>
      <c r="R1262" s="13"/>
      <c r="S1262" s="13"/>
      <c r="T1262" s="98"/>
      <c r="U1262" s="69"/>
      <c r="V1262" s="105"/>
      <c r="W1262" s="150"/>
      <c r="X1262" s="69"/>
      <c r="Y1262" s="99"/>
      <c r="Z1262" s="99"/>
      <c r="AA1262" s="99"/>
      <c r="AB1262" s="99"/>
      <c r="AC1262" s="99"/>
      <c r="AD1262" s="99"/>
      <c r="AE1262" s="150"/>
      <c r="AF1262" s="150"/>
      <c r="AG1262" s="99"/>
      <c r="AH1262" s="99"/>
      <c r="AI1262" s="105"/>
      <c r="AJ1262" s="105"/>
      <c r="AK1262" s="105"/>
      <c r="AL1262" s="98"/>
      <c r="AM1262" s="105"/>
      <c r="AN1262" s="98"/>
      <c r="AO1262" s="110"/>
      <c r="AP1262" s="98"/>
      <c r="AQ1262" s="98"/>
      <c r="AR1262" s="69"/>
      <c r="AS1262" s="98"/>
      <c r="AT1262" s="98"/>
      <c r="AU1262" s="69"/>
      <c r="AV1262" s="13"/>
      <c r="AW1262" s="13"/>
      <c r="AX1262" s="13"/>
      <c r="AY1262" s="13"/>
      <c r="AZ1262" s="13"/>
      <c r="BA1262" s="13"/>
      <c r="BB1262" s="13"/>
      <c r="BC1262" s="13"/>
      <c r="BD1262" s="13"/>
      <c r="BE1262" s="13"/>
      <c r="BF1262" s="13"/>
      <c r="BG1262" s="13"/>
      <c r="BH1262" s="13"/>
      <c r="BI1262" s="13"/>
      <c r="BJ1262" s="13"/>
      <c r="BK1262" s="13"/>
      <c r="BL1262" s="13"/>
      <c r="BM1262" s="13"/>
      <c r="BN1262" s="13"/>
      <c r="BO1262" s="13"/>
      <c r="BP1262" s="13"/>
      <c r="BQ1262" s="13"/>
      <c r="BR1262" s="13"/>
    </row>
    <row r="1263">
      <c r="A1263" s="69"/>
      <c r="B1263" s="69"/>
      <c r="C1263" s="99"/>
      <c r="D1263" s="99"/>
      <c r="E1263" s="13"/>
      <c r="F1263" s="99"/>
      <c r="G1263" s="13"/>
      <c r="H1263" s="69"/>
      <c r="I1263" s="98"/>
      <c r="J1263" s="69"/>
      <c r="K1263" s="99"/>
      <c r="L1263" s="99"/>
      <c r="M1263" s="128"/>
      <c r="N1263" s="182"/>
      <c r="O1263" s="98"/>
      <c r="P1263" s="128"/>
      <c r="Q1263" s="13"/>
      <c r="R1263" s="13"/>
      <c r="S1263" s="13"/>
      <c r="T1263" s="98"/>
      <c r="U1263" s="69"/>
      <c r="V1263" s="105"/>
      <c r="W1263" s="150"/>
      <c r="X1263" s="69"/>
      <c r="Y1263" s="99"/>
      <c r="Z1263" s="99"/>
      <c r="AA1263" s="99"/>
      <c r="AB1263" s="99"/>
      <c r="AC1263" s="99"/>
      <c r="AD1263" s="99"/>
      <c r="AE1263" s="150"/>
      <c r="AF1263" s="150"/>
      <c r="AG1263" s="99"/>
      <c r="AH1263" s="99"/>
      <c r="AI1263" s="105"/>
      <c r="AJ1263" s="105"/>
      <c r="AK1263" s="105"/>
      <c r="AL1263" s="98"/>
      <c r="AM1263" s="105"/>
      <c r="AN1263" s="98"/>
      <c r="AO1263" s="110"/>
      <c r="AP1263" s="98"/>
      <c r="AQ1263" s="98"/>
      <c r="AR1263" s="69"/>
      <c r="AS1263" s="98"/>
      <c r="AT1263" s="98"/>
      <c r="AU1263" s="69"/>
      <c r="AV1263" s="13"/>
      <c r="AW1263" s="13"/>
      <c r="AX1263" s="13"/>
      <c r="AY1263" s="13"/>
      <c r="AZ1263" s="13"/>
      <c r="BA1263" s="13"/>
      <c r="BB1263" s="13"/>
      <c r="BC1263" s="13"/>
      <c r="BD1263" s="13"/>
      <c r="BE1263" s="13"/>
      <c r="BF1263" s="13"/>
      <c r="BG1263" s="13"/>
      <c r="BH1263" s="13"/>
      <c r="BI1263" s="13"/>
      <c r="BJ1263" s="13"/>
      <c r="BK1263" s="13"/>
      <c r="BL1263" s="13"/>
      <c r="BM1263" s="13"/>
      <c r="BN1263" s="13"/>
      <c r="BO1263" s="13"/>
      <c r="BP1263" s="13"/>
      <c r="BQ1263" s="13"/>
      <c r="BR1263" s="13"/>
    </row>
    <row r="1264">
      <c r="A1264" s="69"/>
      <c r="B1264" s="69"/>
      <c r="C1264" s="99"/>
      <c r="D1264" s="99"/>
      <c r="E1264" s="13"/>
      <c r="F1264" s="99"/>
      <c r="G1264" s="13"/>
      <c r="H1264" s="69"/>
      <c r="I1264" s="98"/>
      <c r="J1264" s="69"/>
      <c r="K1264" s="99"/>
      <c r="L1264" s="99"/>
      <c r="M1264" s="128"/>
      <c r="N1264" s="182"/>
      <c r="O1264" s="98"/>
      <c r="P1264" s="128"/>
      <c r="Q1264" s="13"/>
      <c r="R1264" s="13"/>
      <c r="S1264" s="13"/>
      <c r="T1264" s="98"/>
      <c r="U1264" s="69"/>
      <c r="V1264" s="105"/>
      <c r="W1264" s="150"/>
      <c r="X1264" s="69"/>
      <c r="Y1264" s="99"/>
      <c r="Z1264" s="99"/>
      <c r="AA1264" s="99"/>
      <c r="AB1264" s="99"/>
      <c r="AC1264" s="99"/>
      <c r="AD1264" s="99"/>
      <c r="AE1264" s="150"/>
      <c r="AF1264" s="150"/>
      <c r="AG1264" s="99"/>
      <c r="AH1264" s="99"/>
      <c r="AI1264" s="105"/>
      <c r="AJ1264" s="105"/>
      <c r="AK1264" s="105"/>
      <c r="AL1264" s="98"/>
      <c r="AM1264" s="105"/>
      <c r="AN1264" s="98"/>
      <c r="AO1264" s="110"/>
      <c r="AP1264" s="98"/>
      <c r="AQ1264" s="98"/>
      <c r="AR1264" s="69"/>
      <c r="AS1264" s="98"/>
      <c r="AT1264" s="98"/>
      <c r="AU1264" s="69"/>
      <c r="AV1264" s="13"/>
      <c r="AW1264" s="13"/>
      <c r="AX1264" s="13"/>
      <c r="AY1264" s="13"/>
      <c r="AZ1264" s="13"/>
      <c r="BA1264" s="13"/>
      <c r="BB1264" s="13"/>
      <c r="BC1264" s="13"/>
      <c r="BD1264" s="13"/>
      <c r="BE1264" s="13"/>
      <c r="BF1264" s="13"/>
      <c r="BG1264" s="13"/>
      <c r="BH1264" s="13"/>
      <c r="BI1264" s="13"/>
      <c r="BJ1264" s="13"/>
      <c r="BK1264" s="13"/>
      <c r="BL1264" s="13"/>
      <c r="BM1264" s="13"/>
      <c r="BN1264" s="13"/>
      <c r="BO1264" s="13"/>
      <c r="BP1264" s="13"/>
      <c r="BQ1264" s="13"/>
      <c r="BR1264" s="13"/>
    </row>
    <row r="1265">
      <c r="A1265" s="69"/>
      <c r="B1265" s="69"/>
      <c r="C1265" s="99"/>
      <c r="D1265" s="99"/>
      <c r="E1265" s="13"/>
      <c r="F1265" s="99"/>
      <c r="G1265" s="13"/>
      <c r="H1265" s="69"/>
      <c r="I1265" s="98"/>
      <c r="J1265" s="69"/>
      <c r="K1265" s="99"/>
      <c r="L1265" s="99"/>
      <c r="M1265" s="128"/>
      <c r="N1265" s="182"/>
      <c r="O1265" s="98"/>
      <c r="P1265" s="128"/>
      <c r="Q1265" s="13"/>
      <c r="R1265" s="13"/>
      <c r="S1265" s="13"/>
      <c r="T1265" s="98"/>
      <c r="U1265" s="69"/>
      <c r="V1265" s="105"/>
      <c r="W1265" s="150"/>
      <c r="X1265" s="69"/>
      <c r="Y1265" s="99"/>
      <c r="Z1265" s="99"/>
      <c r="AA1265" s="99"/>
      <c r="AB1265" s="99"/>
      <c r="AC1265" s="99"/>
      <c r="AD1265" s="99"/>
      <c r="AE1265" s="150"/>
      <c r="AF1265" s="150"/>
      <c r="AG1265" s="99"/>
      <c r="AH1265" s="99"/>
      <c r="AI1265" s="105"/>
      <c r="AJ1265" s="105"/>
      <c r="AK1265" s="105"/>
      <c r="AL1265" s="98"/>
      <c r="AM1265" s="105"/>
      <c r="AN1265" s="98"/>
      <c r="AO1265" s="110"/>
      <c r="AP1265" s="98"/>
      <c r="AQ1265" s="98"/>
      <c r="AR1265" s="69"/>
      <c r="AS1265" s="98"/>
      <c r="AT1265" s="98"/>
      <c r="AU1265" s="69"/>
      <c r="AV1265" s="13"/>
      <c r="AW1265" s="13"/>
      <c r="AX1265" s="13"/>
      <c r="AY1265" s="13"/>
      <c r="AZ1265" s="13"/>
      <c r="BA1265" s="13"/>
      <c r="BB1265" s="13"/>
      <c r="BC1265" s="13"/>
      <c r="BD1265" s="13"/>
      <c r="BE1265" s="13"/>
      <c r="BF1265" s="13"/>
      <c r="BG1265" s="13"/>
      <c r="BH1265" s="13"/>
      <c r="BI1265" s="13"/>
      <c r="BJ1265" s="13"/>
      <c r="BK1265" s="13"/>
      <c r="BL1265" s="13"/>
      <c r="BM1265" s="13"/>
      <c r="BN1265" s="13"/>
      <c r="BO1265" s="13"/>
      <c r="BP1265" s="13"/>
      <c r="BQ1265" s="13"/>
      <c r="BR1265" s="13"/>
    </row>
    <row r="1266">
      <c r="A1266" s="69"/>
      <c r="B1266" s="69"/>
      <c r="C1266" s="99"/>
      <c r="D1266" s="99"/>
      <c r="E1266" s="13"/>
      <c r="F1266" s="99"/>
      <c r="G1266" s="13"/>
      <c r="H1266" s="69"/>
      <c r="I1266" s="98"/>
      <c r="J1266" s="69"/>
      <c r="K1266" s="99"/>
      <c r="L1266" s="99"/>
      <c r="M1266" s="128"/>
      <c r="N1266" s="182"/>
      <c r="O1266" s="98"/>
      <c r="P1266" s="128"/>
      <c r="Q1266" s="13"/>
      <c r="R1266" s="13"/>
      <c r="S1266" s="13"/>
      <c r="T1266" s="98"/>
      <c r="U1266" s="69"/>
      <c r="V1266" s="105"/>
      <c r="W1266" s="150"/>
      <c r="X1266" s="69"/>
      <c r="Y1266" s="99"/>
      <c r="Z1266" s="99"/>
      <c r="AA1266" s="99"/>
      <c r="AB1266" s="99"/>
      <c r="AC1266" s="99"/>
      <c r="AD1266" s="99"/>
      <c r="AE1266" s="150"/>
      <c r="AF1266" s="150"/>
      <c r="AG1266" s="99"/>
      <c r="AH1266" s="99"/>
      <c r="AI1266" s="105"/>
      <c r="AJ1266" s="105"/>
      <c r="AK1266" s="105"/>
      <c r="AL1266" s="98"/>
      <c r="AM1266" s="105"/>
      <c r="AN1266" s="98"/>
      <c r="AO1266" s="110"/>
      <c r="AP1266" s="98"/>
      <c r="AQ1266" s="98"/>
      <c r="AR1266" s="69"/>
      <c r="AS1266" s="98"/>
      <c r="AT1266" s="98"/>
      <c r="AU1266" s="69"/>
      <c r="AV1266" s="13"/>
      <c r="AW1266" s="13"/>
      <c r="AX1266" s="13"/>
      <c r="AY1266" s="13"/>
      <c r="AZ1266" s="13"/>
      <c r="BA1266" s="13"/>
      <c r="BB1266" s="13"/>
      <c r="BC1266" s="13"/>
      <c r="BD1266" s="13"/>
      <c r="BE1266" s="13"/>
      <c r="BF1266" s="13"/>
      <c r="BG1266" s="13"/>
      <c r="BH1266" s="13"/>
      <c r="BI1266" s="13"/>
      <c r="BJ1266" s="13"/>
      <c r="BK1266" s="13"/>
      <c r="BL1266" s="13"/>
      <c r="BM1266" s="13"/>
      <c r="BN1266" s="13"/>
      <c r="BO1266" s="13"/>
      <c r="BP1266" s="13"/>
      <c r="BQ1266" s="13"/>
      <c r="BR1266" s="13"/>
    </row>
    <row r="1267">
      <c r="A1267" s="69"/>
      <c r="B1267" s="69"/>
      <c r="C1267" s="99"/>
      <c r="D1267" s="99"/>
      <c r="E1267" s="13"/>
      <c r="F1267" s="99"/>
      <c r="G1267" s="13"/>
      <c r="H1267" s="69"/>
      <c r="I1267" s="98"/>
      <c r="J1267" s="69"/>
      <c r="K1267" s="99"/>
      <c r="L1267" s="99"/>
      <c r="M1267" s="128"/>
      <c r="N1267" s="182"/>
      <c r="O1267" s="98"/>
      <c r="P1267" s="128"/>
      <c r="Q1267" s="13"/>
      <c r="R1267" s="13"/>
      <c r="S1267" s="13"/>
      <c r="T1267" s="98"/>
      <c r="U1267" s="69"/>
      <c r="V1267" s="105"/>
      <c r="W1267" s="150"/>
      <c r="X1267" s="69"/>
      <c r="Y1267" s="99"/>
      <c r="Z1267" s="99"/>
      <c r="AA1267" s="99"/>
      <c r="AB1267" s="99"/>
      <c r="AC1267" s="99"/>
      <c r="AD1267" s="99"/>
      <c r="AE1267" s="150"/>
      <c r="AF1267" s="150"/>
      <c r="AG1267" s="99"/>
      <c r="AH1267" s="99"/>
      <c r="AI1267" s="105"/>
      <c r="AJ1267" s="105"/>
      <c r="AK1267" s="105"/>
      <c r="AL1267" s="98"/>
      <c r="AM1267" s="105"/>
      <c r="AN1267" s="98"/>
      <c r="AO1267" s="110"/>
      <c r="AP1267" s="98"/>
      <c r="AQ1267" s="98"/>
      <c r="AR1267" s="69"/>
      <c r="AS1267" s="98"/>
      <c r="AT1267" s="98"/>
      <c r="AU1267" s="69"/>
      <c r="AV1267" s="13"/>
      <c r="AW1267" s="13"/>
      <c r="AX1267" s="13"/>
      <c r="AY1267" s="13"/>
      <c r="AZ1267" s="13"/>
      <c r="BA1267" s="13"/>
      <c r="BB1267" s="13"/>
      <c r="BC1267" s="13"/>
      <c r="BD1267" s="13"/>
      <c r="BE1267" s="13"/>
      <c r="BF1267" s="13"/>
      <c r="BG1267" s="13"/>
      <c r="BH1267" s="13"/>
      <c r="BI1267" s="13"/>
      <c r="BJ1267" s="13"/>
      <c r="BK1267" s="13"/>
      <c r="BL1267" s="13"/>
      <c r="BM1267" s="13"/>
      <c r="BN1267" s="13"/>
      <c r="BO1267" s="13"/>
      <c r="BP1267" s="13"/>
      <c r="BQ1267" s="13"/>
      <c r="BR1267" s="13"/>
    </row>
    <row r="1268">
      <c r="A1268" s="69"/>
      <c r="B1268" s="69"/>
      <c r="C1268" s="99"/>
      <c r="D1268" s="99"/>
      <c r="E1268" s="13"/>
      <c r="F1268" s="99"/>
      <c r="G1268" s="13"/>
      <c r="H1268" s="69"/>
      <c r="I1268" s="98"/>
      <c r="J1268" s="69"/>
      <c r="K1268" s="99"/>
      <c r="L1268" s="99"/>
      <c r="M1268" s="128"/>
      <c r="N1268" s="182"/>
      <c r="O1268" s="98"/>
      <c r="P1268" s="128"/>
      <c r="Q1268" s="13"/>
      <c r="R1268" s="13"/>
      <c r="S1268" s="13"/>
      <c r="T1268" s="98"/>
      <c r="U1268" s="69"/>
      <c r="V1268" s="105"/>
      <c r="W1268" s="150"/>
      <c r="X1268" s="69"/>
      <c r="Y1268" s="99"/>
      <c r="Z1268" s="99"/>
      <c r="AA1268" s="99"/>
      <c r="AB1268" s="99"/>
      <c r="AC1268" s="99"/>
      <c r="AD1268" s="99"/>
      <c r="AE1268" s="150"/>
      <c r="AF1268" s="150"/>
      <c r="AG1268" s="99"/>
      <c r="AH1268" s="99"/>
      <c r="AI1268" s="105"/>
      <c r="AJ1268" s="105"/>
      <c r="AK1268" s="105"/>
      <c r="AL1268" s="98"/>
      <c r="AM1268" s="105"/>
      <c r="AN1268" s="98"/>
      <c r="AO1268" s="110"/>
      <c r="AP1268" s="98"/>
      <c r="AQ1268" s="98"/>
      <c r="AR1268" s="69"/>
      <c r="AS1268" s="98"/>
      <c r="AT1268" s="98"/>
      <c r="AU1268" s="69"/>
      <c r="AV1268" s="13"/>
      <c r="AW1268" s="13"/>
      <c r="AX1268" s="13"/>
      <c r="AY1268" s="13"/>
      <c r="AZ1268" s="13"/>
      <c r="BA1268" s="13"/>
      <c r="BB1268" s="13"/>
      <c r="BC1268" s="13"/>
      <c r="BD1268" s="13"/>
      <c r="BE1268" s="13"/>
      <c r="BF1268" s="13"/>
      <c r="BG1268" s="13"/>
      <c r="BH1268" s="13"/>
      <c r="BI1268" s="13"/>
      <c r="BJ1268" s="13"/>
      <c r="BK1268" s="13"/>
      <c r="BL1268" s="13"/>
      <c r="BM1268" s="13"/>
      <c r="BN1268" s="13"/>
      <c r="BO1268" s="13"/>
      <c r="BP1268" s="13"/>
      <c r="BQ1268" s="13"/>
      <c r="BR1268" s="13"/>
    </row>
    <row r="1269">
      <c r="A1269" s="69"/>
      <c r="B1269" s="69"/>
      <c r="C1269" s="99"/>
      <c r="D1269" s="99"/>
      <c r="E1269" s="13"/>
      <c r="F1269" s="99"/>
      <c r="G1269" s="13"/>
      <c r="H1269" s="69"/>
      <c r="I1269" s="98"/>
      <c r="J1269" s="69"/>
      <c r="K1269" s="99"/>
      <c r="L1269" s="99"/>
      <c r="M1269" s="128"/>
      <c r="N1269" s="182"/>
      <c r="O1269" s="98"/>
      <c r="P1269" s="128"/>
      <c r="Q1269" s="13"/>
      <c r="R1269" s="13"/>
      <c r="S1269" s="13"/>
      <c r="T1269" s="98"/>
      <c r="U1269" s="69"/>
      <c r="V1269" s="105"/>
      <c r="W1269" s="150"/>
      <c r="X1269" s="69"/>
      <c r="Y1269" s="99"/>
      <c r="Z1269" s="99"/>
      <c r="AA1269" s="99"/>
      <c r="AB1269" s="99"/>
      <c r="AC1269" s="99"/>
      <c r="AD1269" s="99"/>
      <c r="AE1269" s="150"/>
      <c r="AF1269" s="150"/>
      <c r="AG1269" s="99"/>
      <c r="AH1269" s="99"/>
      <c r="AI1269" s="105"/>
      <c r="AJ1269" s="105"/>
      <c r="AK1269" s="105"/>
      <c r="AL1269" s="98"/>
      <c r="AM1269" s="105"/>
      <c r="AN1269" s="98"/>
      <c r="AO1269" s="110"/>
      <c r="AP1269" s="98"/>
      <c r="AQ1269" s="98"/>
      <c r="AR1269" s="69"/>
      <c r="AS1269" s="98"/>
      <c r="AT1269" s="98"/>
      <c r="AU1269" s="69"/>
      <c r="AV1269" s="13"/>
      <c r="AW1269" s="13"/>
      <c r="AX1269" s="13"/>
      <c r="AY1269" s="13"/>
      <c r="AZ1269" s="13"/>
      <c r="BA1269" s="13"/>
      <c r="BB1269" s="13"/>
      <c r="BC1269" s="13"/>
      <c r="BD1269" s="13"/>
      <c r="BE1269" s="13"/>
      <c r="BF1269" s="13"/>
      <c r="BG1269" s="13"/>
      <c r="BH1269" s="13"/>
      <c r="BI1269" s="13"/>
      <c r="BJ1269" s="13"/>
      <c r="BK1269" s="13"/>
      <c r="BL1269" s="13"/>
      <c r="BM1269" s="13"/>
      <c r="BN1269" s="13"/>
      <c r="BO1269" s="13"/>
      <c r="BP1269" s="13"/>
      <c r="BQ1269" s="13"/>
      <c r="BR1269" s="13"/>
    </row>
    <row r="1270">
      <c r="A1270" s="69"/>
      <c r="B1270" s="69"/>
      <c r="C1270" s="99"/>
      <c r="D1270" s="99"/>
      <c r="E1270" s="13"/>
      <c r="F1270" s="99"/>
      <c r="G1270" s="13"/>
      <c r="H1270" s="69"/>
      <c r="I1270" s="98"/>
      <c r="J1270" s="69"/>
      <c r="K1270" s="99"/>
      <c r="L1270" s="99"/>
      <c r="M1270" s="128"/>
      <c r="N1270" s="182"/>
      <c r="O1270" s="98"/>
      <c r="P1270" s="128"/>
      <c r="Q1270" s="13"/>
      <c r="R1270" s="13"/>
      <c r="S1270" s="13"/>
      <c r="T1270" s="98"/>
      <c r="U1270" s="69"/>
      <c r="V1270" s="105"/>
      <c r="W1270" s="150"/>
      <c r="X1270" s="69"/>
      <c r="Y1270" s="99"/>
      <c r="Z1270" s="99"/>
      <c r="AA1270" s="99"/>
      <c r="AB1270" s="99"/>
      <c r="AC1270" s="99"/>
      <c r="AD1270" s="99"/>
      <c r="AE1270" s="150"/>
      <c r="AF1270" s="150"/>
      <c r="AG1270" s="99"/>
      <c r="AH1270" s="99"/>
      <c r="AI1270" s="105"/>
      <c r="AJ1270" s="105"/>
      <c r="AK1270" s="105"/>
      <c r="AL1270" s="98"/>
      <c r="AM1270" s="105"/>
      <c r="AN1270" s="98"/>
      <c r="AO1270" s="110"/>
      <c r="AP1270" s="98"/>
      <c r="AQ1270" s="98"/>
      <c r="AR1270" s="69"/>
      <c r="AS1270" s="98"/>
      <c r="AT1270" s="98"/>
      <c r="AU1270" s="69"/>
      <c r="AV1270" s="13"/>
      <c r="AW1270" s="13"/>
      <c r="AX1270" s="13"/>
      <c r="AY1270" s="13"/>
      <c r="AZ1270" s="13"/>
      <c r="BA1270" s="13"/>
      <c r="BB1270" s="13"/>
      <c r="BC1270" s="13"/>
      <c r="BD1270" s="13"/>
      <c r="BE1270" s="13"/>
      <c r="BF1270" s="13"/>
      <c r="BG1270" s="13"/>
      <c r="BH1270" s="13"/>
      <c r="BI1270" s="13"/>
      <c r="BJ1270" s="13"/>
      <c r="BK1270" s="13"/>
      <c r="BL1270" s="13"/>
      <c r="BM1270" s="13"/>
      <c r="BN1270" s="13"/>
      <c r="BO1270" s="13"/>
      <c r="BP1270" s="13"/>
      <c r="BQ1270" s="13"/>
      <c r="BR1270" s="13"/>
    </row>
    <row r="1271">
      <c r="A1271" s="69"/>
      <c r="B1271" s="69"/>
      <c r="C1271" s="99"/>
      <c r="D1271" s="99"/>
      <c r="E1271" s="13"/>
      <c r="F1271" s="99"/>
      <c r="G1271" s="13"/>
      <c r="H1271" s="69"/>
      <c r="I1271" s="98"/>
      <c r="J1271" s="69"/>
      <c r="K1271" s="99"/>
      <c r="L1271" s="99"/>
      <c r="M1271" s="128"/>
      <c r="N1271" s="182"/>
      <c r="O1271" s="98"/>
      <c r="P1271" s="128"/>
      <c r="Q1271" s="13"/>
      <c r="R1271" s="13"/>
      <c r="S1271" s="13"/>
      <c r="T1271" s="98"/>
      <c r="U1271" s="69"/>
      <c r="V1271" s="105"/>
      <c r="W1271" s="150"/>
      <c r="X1271" s="69"/>
      <c r="Y1271" s="99"/>
      <c r="Z1271" s="99"/>
      <c r="AA1271" s="99"/>
      <c r="AB1271" s="99"/>
      <c r="AC1271" s="99"/>
      <c r="AD1271" s="99"/>
      <c r="AE1271" s="150"/>
      <c r="AF1271" s="150"/>
      <c r="AG1271" s="99"/>
      <c r="AH1271" s="99"/>
      <c r="AI1271" s="105"/>
      <c r="AJ1271" s="105"/>
      <c r="AK1271" s="105"/>
      <c r="AL1271" s="98"/>
      <c r="AM1271" s="105"/>
      <c r="AN1271" s="98"/>
      <c r="AO1271" s="110"/>
      <c r="AP1271" s="98"/>
      <c r="AQ1271" s="98"/>
      <c r="AR1271" s="69"/>
      <c r="AS1271" s="98"/>
      <c r="AT1271" s="98"/>
      <c r="AU1271" s="69"/>
      <c r="AV1271" s="13"/>
      <c r="AW1271" s="13"/>
      <c r="AX1271" s="13"/>
      <c r="AY1271" s="13"/>
      <c r="AZ1271" s="13"/>
      <c r="BA1271" s="13"/>
      <c r="BB1271" s="13"/>
      <c r="BC1271" s="13"/>
      <c r="BD1271" s="13"/>
      <c r="BE1271" s="13"/>
      <c r="BF1271" s="13"/>
      <c r="BG1271" s="13"/>
      <c r="BH1271" s="13"/>
      <c r="BI1271" s="13"/>
      <c r="BJ1271" s="13"/>
      <c r="BK1271" s="13"/>
      <c r="BL1271" s="13"/>
      <c r="BM1271" s="13"/>
      <c r="BN1271" s="13"/>
      <c r="BO1271" s="13"/>
      <c r="BP1271" s="13"/>
      <c r="BQ1271" s="13"/>
      <c r="BR1271" s="13"/>
    </row>
    <row r="1272">
      <c r="A1272" s="69"/>
      <c r="B1272" s="69"/>
      <c r="C1272" s="99"/>
      <c r="D1272" s="99"/>
      <c r="E1272" s="13"/>
      <c r="F1272" s="99"/>
      <c r="G1272" s="13"/>
      <c r="H1272" s="69"/>
      <c r="I1272" s="98"/>
      <c r="J1272" s="69"/>
      <c r="K1272" s="99"/>
      <c r="L1272" s="99"/>
      <c r="M1272" s="128"/>
      <c r="N1272" s="182"/>
      <c r="O1272" s="98"/>
      <c r="P1272" s="128"/>
      <c r="Q1272" s="13"/>
      <c r="R1272" s="13"/>
      <c r="S1272" s="13"/>
      <c r="T1272" s="98"/>
      <c r="U1272" s="69"/>
      <c r="V1272" s="105"/>
      <c r="W1272" s="150"/>
      <c r="X1272" s="69"/>
      <c r="Y1272" s="99"/>
      <c r="Z1272" s="99"/>
      <c r="AA1272" s="99"/>
      <c r="AB1272" s="99"/>
      <c r="AC1272" s="99"/>
      <c r="AD1272" s="99"/>
      <c r="AE1272" s="150"/>
      <c r="AF1272" s="150"/>
      <c r="AG1272" s="99"/>
      <c r="AH1272" s="99"/>
      <c r="AI1272" s="105"/>
      <c r="AJ1272" s="105"/>
      <c r="AK1272" s="105"/>
      <c r="AL1272" s="98"/>
      <c r="AM1272" s="105"/>
      <c r="AN1272" s="98"/>
      <c r="AO1272" s="110"/>
      <c r="AP1272" s="98"/>
      <c r="AQ1272" s="98"/>
      <c r="AR1272" s="69"/>
      <c r="AS1272" s="98"/>
      <c r="AT1272" s="98"/>
      <c r="AU1272" s="69"/>
      <c r="AV1272" s="13"/>
      <c r="AW1272" s="13"/>
      <c r="AX1272" s="13"/>
      <c r="AY1272" s="13"/>
      <c r="AZ1272" s="13"/>
      <c r="BA1272" s="13"/>
      <c r="BB1272" s="13"/>
      <c r="BC1272" s="13"/>
      <c r="BD1272" s="13"/>
      <c r="BE1272" s="13"/>
      <c r="BF1272" s="13"/>
      <c r="BG1272" s="13"/>
      <c r="BH1272" s="13"/>
      <c r="BI1272" s="13"/>
      <c r="BJ1272" s="13"/>
      <c r="BK1272" s="13"/>
      <c r="BL1272" s="13"/>
      <c r="BM1272" s="13"/>
      <c r="BN1272" s="13"/>
      <c r="BO1272" s="13"/>
      <c r="BP1272" s="13"/>
      <c r="BQ1272" s="13"/>
      <c r="BR1272" s="13"/>
    </row>
    <row r="1273">
      <c r="A1273" s="69"/>
      <c r="B1273" s="69"/>
      <c r="C1273" s="99"/>
      <c r="D1273" s="99"/>
      <c r="E1273" s="13"/>
      <c r="F1273" s="99"/>
      <c r="G1273" s="13"/>
      <c r="H1273" s="69"/>
      <c r="I1273" s="98"/>
      <c r="J1273" s="69"/>
      <c r="K1273" s="99"/>
      <c r="L1273" s="99"/>
      <c r="M1273" s="128"/>
      <c r="N1273" s="182"/>
      <c r="O1273" s="98"/>
      <c r="P1273" s="128"/>
      <c r="Q1273" s="13"/>
      <c r="R1273" s="13"/>
      <c r="S1273" s="13"/>
      <c r="T1273" s="98"/>
      <c r="U1273" s="69"/>
      <c r="V1273" s="105"/>
      <c r="W1273" s="150"/>
      <c r="X1273" s="69"/>
      <c r="Y1273" s="99"/>
      <c r="Z1273" s="99"/>
      <c r="AA1273" s="99"/>
      <c r="AB1273" s="99"/>
      <c r="AC1273" s="99"/>
      <c r="AD1273" s="99"/>
      <c r="AE1273" s="150"/>
      <c r="AF1273" s="150"/>
      <c r="AG1273" s="99"/>
      <c r="AH1273" s="99"/>
      <c r="AI1273" s="105"/>
      <c r="AJ1273" s="105"/>
      <c r="AK1273" s="105"/>
      <c r="AL1273" s="98"/>
      <c r="AM1273" s="105"/>
      <c r="AN1273" s="98"/>
      <c r="AO1273" s="110"/>
      <c r="AP1273" s="98"/>
      <c r="AQ1273" s="98"/>
      <c r="AR1273" s="69"/>
      <c r="AS1273" s="98"/>
      <c r="AT1273" s="98"/>
      <c r="AU1273" s="69"/>
      <c r="AV1273" s="13"/>
      <c r="AW1273" s="13"/>
      <c r="AX1273" s="13"/>
      <c r="AY1273" s="13"/>
      <c r="AZ1273" s="13"/>
      <c r="BA1273" s="13"/>
      <c r="BB1273" s="13"/>
      <c r="BC1273" s="13"/>
      <c r="BD1273" s="13"/>
      <c r="BE1273" s="13"/>
      <c r="BF1273" s="13"/>
      <c r="BG1273" s="13"/>
      <c r="BH1273" s="13"/>
      <c r="BI1273" s="13"/>
      <c r="BJ1273" s="13"/>
      <c r="BK1273" s="13"/>
      <c r="BL1273" s="13"/>
      <c r="BM1273" s="13"/>
      <c r="BN1273" s="13"/>
      <c r="BO1273" s="13"/>
      <c r="BP1273" s="13"/>
      <c r="BQ1273" s="13"/>
      <c r="BR1273" s="13"/>
    </row>
    <row r="1274">
      <c r="A1274" s="69"/>
      <c r="B1274" s="69"/>
      <c r="C1274" s="99"/>
      <c r="D1274" s="99"/>
      <c r="E1274" s="13"/>
      <c r="F1274" s="99"/>
      <c r="G1274" s="13"/>
      <c r="H1274" s="69"/>
      <c r="I1274" s="98"/>
      <c r="J1274" s="69"/>
      <c r="K1274" s="99"/>
      <c r="L1274" s="99"/>
      <c r="M1274" s="128"/>
      <c r="N1274" s="182"/>
      <c r="O1274" s="98"/>
      <c r="P1274" s="128"/>
      <c r="Q1274" s="13"/>
      <c r="R1274" s="13"/>
      <c r="S1274" s="13"/>
      <c r="T1274" s="98"/>
      <c r="U1274" s="69"/>
      <c r="V1274" s="105"/>
      <c r="W1274" s="150"/>
      <c r="X1274" s="69"/>
      <c r="Y1274" s="99"/>
      <c r="Z1274" s="99"/>
      <c r="AA1274" s="99"/>
      <c r="AB1274" s="99"/>
      <c r="AC1274" s="99"/>
      <c r="AD1274" s="99"/>
      <c r="AE1274" s="150"/>
      <c r="AF1274" s="150"/>
      <c r="AG1274" s="99"/>
      <c r="AH1274" s="99"/>
      <c r="AI1274" s="105"/>
      <c r="AJ1274" s="105"/>
      <c r="AK1274" s="105"/>
      <c r="AL1274" s="98"/>
      <c r="AM1274" s="105"/>
      <c r="AN1274" s="98"/>
      <c r="AO1274" s="110"/>
      <c r="AP1274" s="98"/>
      <c r="AQ1274" s="98"/>
      <c r="AR1274" s="69"/>
      <c r="AS1274" s="98"/>
      <c r="AT1274" s="98"/>
      <c r="AU1274" s="69"/>
      <c r="AV1274" s="13"/>
      <c r="AW1274" s="13"/>
      <c r="AX1274" s="13"/>
      <c r="AY1274" s="13"/>
      <c r="AZ1274" s="13"/>
      <c r="BA1274" s="13"/>
      <c r="BB1274" s="13"/>
      <c r="BC1274" s="13"/>
      <c r="BD1274" s="13"/>
      <c r="BE1274" s="13"/>
      <c r="BF1274" s="13"/>
      <c r="BG1274" s="13"/>
      <c r="BH1274" s="13"/>
      <c r="BI1274" s="13"/>
      <c r="BJ1274" s="13"/>
      <c r="BK1274" s="13"/>
      <c r="BL1274" s="13"/>
      <c r="BM1274" s="13"/>
      <c r="BN1274" s="13"/>
      <c r="BO1274" s="13"/>
      <c r="BP1274" s="13"/>
      <c r="BQ1274" s="13"/>
      <c r="BR1274" s="13"/>
    </row>
    <row r="1275">
      <c r="A1275" s="69"/>
      <c r="B1275" s="69"/>
      <c r="C1275" s="99"/>
      <c r="D1275" s="99"/>
      <c r="E1275" s="13"/>
      <c r="F1275" s="99"/>
      <c r="G1275" s="13"/>
      <c r="H1275" s="69"/>
      <c r="I1275" s="98"/>
      <c r="J1275" s="69"/>
      <c r="K1275" s="99"/>
      <c r="L1275" s="99"/>
      <c r="M1275" s="128"/>
      <c r="N1275" s="182"/>
      <c r="O1275" s="98"/>
      <c r="P1275" s="128"/>
      <c r="Q1275" s="13"/>
      <c r="R1275" s="13"/>
      <c r="S1275" s="13"/>
      <c r="T1275" s="98"/>
      <c r="U1275" s="69"/>
      <c r="V1275" s="105"/>
      <c r="W1275" s="150"/>
      <c r="X1275" s="69"/>
      <c r="Y1275" s="99"/>
      <c r="Z1275" s="99"/>
      <c r="AA1275" s="99"/>
      <c r="AB1275" s="99"/>
      <c r="AC1275" s="99"/>
      <c r="AD1275" s="99"/>
      <c r="AE1275" s="150"/>
      <c r="AF1275" s="150"/>
      <c r="AG1275" s="99"/>
      <c r="AH1275" s="99"/>
      <c r="AI1275" s="105"/>
      <c r="AJ1275" s="105"/>
      <c r="AK1275" s="105"/>
      <c r="AL1275" s="98"/>
      <c r="AM1275" s="105"/>
      <c r="AN1275" s="98"/>
      <c r="AO1275" s="110"/>
      <c r="AP1275" s="98"/>
      <c r="AQ1275" s="98"/>
      <c r="AR1275" s="69"/>
      <c r="AS1275" s="98"/>
      <c r="AT1275" s="98"/>
      <c r="AU1275" s="69"/>
      <c r="AV1275" s="13"/>
      <c r="AW1275" s="13"/>
      <c r="AX1275" s="13"/>
      <c r="AY1275" s="13"/>
      <c r="AZ1275" s="13"/>
      <c r="BA1275" s="13"/>
      <c r="BB1275" s="13"/>
      <c r="BC1275" s="13"/>
      <c r="BD1275" s="13"/>
      <c r="BE1275" s="13"/>
      <c r="BF1275" s="13"/>
      <c r="BG1275" s="13"/>
      <c r="BH1275" s="13"/>
      <c r="BI1275" s="13"/>
      <c r="BJ1275" s="13"/>
      <c r="BK1275" s="13"/>
      <c r="BL1275" s="13"/>
      <c r="BM1275" s="13"/>
      <c r="BN1275" s="13"/>
      <c r="BO1275" s="13"/>
      <c r="BP1275" s="13"/>
      <c r="BQ1275" s="13"/>
      <c r="BR1275" s="13"/>
    </row>
    <row r="1276">
      <c r="A1276" s="69"/>
      <c r="B1276" s="69"/>
      <c r="C1276" s="99"/>
      <c r="D1276" s="99"/>
      <c r="E1276" s="13"/>
      <c r="F1276" s="99"/>
      <c r="G1276" s="13"/>
      <c r="H1276" s="69"/>
      <c r="I1276" s="98"/>
      <c r="J1276" s="69"/>
      <c r="K1276" s="99"/>
      <c r="L1276" s="99"/>
      <c r="M1276" s="128"/>
      <c r="N1276" s="182"/>
      <c r="O1276" s="98"/>
      <c r="P1276" s="128"/>
      <c r="Q1276" s="13"/>
      <c r="R1276" s="13"/>
      <c r="S1276" s="13"/>
      <c r="T1276" s="98"/>
      <c r="U1276" s="69"/>
      <c r="V1276" s="105"/>
      <c r="W1276" s="150"/>
      <c r="X1276" s="69"/>
      <c r="Y1276" s="99"/>
      <c r="Z1276" s="99"/>
      <c r="AA1276" s="99"/>
      <c r="AB1276" s="99"/>
      <c r="AC1276" s="99"/>
      <c r="AD1276" s="99"/>
      <c r="AE1276" s="150"/>
      <c r="AF1276" s="150"/>
      <c r="AG1276" s="99"/>
      <c r="AH1276" s="99"/>
      <c r="AI1276" s="105"/>
      <c r="AJ1276" s="105"/>
      <c r="AK1276" s="105"/>
      <c r="AL1276" s="98"/>
      <c r="AM1276" s="105"/>
      <c r="AN1276" s="98"/>
      <c r="AO1276" s="110"/>
      <c r="AP1276" s="98"/>
      <c r="AQ1276" s="98"/>
      <c r="AR1276" s="69"/>
      <c r="AS1276" s="98"/>
      <c r="AT1276" s="98"/>
      <c r="AU1276" s="69"/>
      <c r="AV1276" s="13"/>
      <c r="AW1276" s="13"/>
      <c r="AX1276" s="13"/>
      <c r="AY1276" s="13"/>
      <c r="AZ1276" s="13"/>
      <c r="BA1276" s="13"/>
      <c r="BB1276" s="13"/>
      <c r="BC1276" s="13"/>
      <c r="BD1276" s="13"/>
      <c r="BE1276" s="13"/>
      <c r="BF1276" s="13"/>
      <c r="BG1276" s="13"/>
      <c r="BH1276" s="13"/>
      <c r="BI1276" s="13"/>
      <c r="BJ1276" s="13"/>
      <c r="BK1276" s="13"/>
      <c r="BL1276" s="13"/>
      <c r="BM1276" s="13"/>
      <c r="BN1276" s="13"/>
      <c r="BO1276" s="13"/>
      <c r="BP1276" s="13"/>
      <c r="BQ1276" s="13"/>
      <c r="BR1276" s="13"/>
    </row>
    <row r="1277">
      <c r="A1277" s="69"/>
      <c r="B1277" s="69"/>
      <c r="C1277" s="99"/>
      <c r="D1277" s="99"/>
      <c r="E1277" s="13"/>
      <c r="F1277" s="99"/>
      <c r="G1277" s="13"/>
      <c r="H1277" s="69"/>
      <c r="I1277" s="98"/>
      <c r="J1277" s="69"/>
      <c r="K1277" s="99"/>
      <c r="L1277" s="99"/>
      <c r="M1277" s="128"/>
      <c r="N1277" s="182"/>
      <c r="O1277" s="98"/>
      <c r="P1277" s="128"/>
      <c r="Q1277" s="13"/>
      <c r="R1277" s="13"/>
      <c r="S1277" s="13"/>
      <c r="T1277" s="98"/>
      <c r="U1277" s="69"/>
      <c r="V1277" s="105"/>
      <c r="W1277" s="150"/>
      <c r="X1277" s="69"/>
      <c r="Y1277" s="99"/>
      <c r="Z1277" s="99"/>
      <c r="AA1277" s="99"/>
      <c r="AB1277" s="99"/>
      <c r="AC1277" s="99"/>
      <c r="AD1277" s="99"/>
      <c r="AE1277" s="150"/>
      <c r="AF1277" s="150"/>
      <c r="AG1277" s="99"/>
      <c r="AH1277" s="99"/>
      <c r="AI1277" s="105"/>
      <c r="AJ1277" s="105"/>
      <c r="AK1277" s="105"/>
      <c r="AL1277" s="98"/>
      <c r="AM1277" s="105"/>
      <c r="AN1277" s="98"/>
      <c r="AO1277" s="110"/>
      <c r="AP1277" s="98"/>
      <c r="AQ1277" s="98"/>
      <c r="AR1277" s="69"/>
      <c r="AS1277" s="98"/>
      <c r="AT1277" s="98"/>
      <c r="AU1277" s="69"/>
      <c r="AV1277" s="13"/>
      <c r="AW1277" s="13"/>
      <c r="AX1277" s="13"/>
      <c r="AY1277" s="13"/>
      <c r="AZ1277" s="13"/>
      <c r="BA1277" s="13"/>
      <c r="BB1277" s="13"/>
      <c r="BC1277" s="13"/>
      <c r="BD1277" s="13"/>
      <c r="BE1277" s="13"/>
      <c r="BF1277" s="13"/>
      <c r="BG1277" s="13"/>
      <c r="BH1277" s="13"/>
      <c r="BI1277" s="13"/>
      <c r="BJ1277" s="13"/>
      <c r="BK1277" s="13"/>
      <c r="BL1277" s="13"/>
      <c r="BM1277" s="13"/>
      <c r="BN1277" s="13"/>
      <c r="BO1277" s="13"/>
      <c r="BP1277" s="13"/>
      <c r="BQ1277" s="13"/>
      <c r="BR1277" s="13"/>
    </row>
    <row r="1278">
      <c r="A1278" s="69"/>
      <c r="B1278" s="69"/>
      <c r="C1278" s="99"/>
      <c r="D1278" s="99"/>
      <c r="E1278" s="13"/>
      <c r="F1278" s="99"/>
      <c r="G1278" s="13"/>
      <c r="H1278" s="69"/>
      <c r="I1278" s="98"/>
      <c r="J1278" s="69"/>
      <c r="K1278" s="99"/>
      <c r="L1278" s="99"/>
      <c r="M1278" s="128"/>
      <c r="N1278" s="182"/>
      <c r="O1278" s="98"/>
      <c r="P1278" s="128"/>
      <c r="Q1278" s="13"/>
      <c r="R1278" s="13"/>
      <c r="S1278" s="13"/>
      <c r="T1278" s="98"/>
      <c r="U1278" s="69"/>
      <c r="V1278" s="105"/>
      <c r="W1278" s="150"/>
      <c r="X1278" s="69"/>
      <c r="Y1278" s="99"/>
      <c r="Z1278" s="99"/>
      <c r="AA1278" s="99"/>
      <c r="AB1278" s="99"/>
      <c r="AC1278" s="99"/>
      <c r="AD1278" s="99"/>
      <c r="AE1278" s="150"/>
      <c r="AF1278" s="150"/>
      <c r="AG1278" s="99"/>
      <c r="AH1278" s="99"/>
      <c r="AI1278" s="105"/>
      <c r="AJ1278" s="105"/>
      <c r="AK1278" s="105"/>
      <c r="AL1278" s="98"/>
      <c r="AM1278" s="105"/>
      <c r="AN1278" s="98"/>
      <c r="AO1278" s="110"/>
      <c r="AP1278" s="98"/>
      <c r="AQ1278" s="98"/>
      <c r="AR1278" s="69"/>
      <c r="AS1278" s="98"/>
      <c r="AT1278" s="98"/>
      <c r="AU1278" s="69"/>
      <c r="AV1278" s="13"/>
      <c r="AW1278" s="13"/>
      <c r="AX1278" s="13"/>
      <c r="AY1278" s="13"/>
      <c r="AZ1278" s="13"/>
      <c r="BA1278" s="13"/>
      <c r="BB1278" s="13"/>
      <c r="BC1278" s="13"/>
      <c r="BD1278" s="13"/>
      <c r="BE1278" s="13"/>
      <c r="BF1278" s="13"/>
      <c r="BG1278" s="13"/>
      <c r="BH1278" s="13"/>
      <c r="BI1278" s="13"/>
      <c r="BJ1278" s="13"/>
      <c r="BK1278" s="13"/>
      <c r="BL1278" s="13"/>
      <c r="BM1278" s="13"/>
      <c r="BN1278" s="13"/>
      <c r="BO1278" s="13"/>
      <c r="BP1278" s="13"/>
      <c r="BQ1278" s="13"/>
      <c r="BR1278" s="13"/>
    </row>
    <row r="1279">
      <c r="A1279" s="69"/>
      <c r="B1279" s="69"/>
      <c r="C1279" s="99"/>
      <c r="D1279" s="99"/>
      <c r="E1279" s="13"/>
      <c r="F1279" s="99"/>
      <c r="G1279" s="13"/>
      <c r="H1279" s="69"/>
      <c r="I1279" s="98"/>
      <c r="J1279" s="69"/>
      <c r="K1279" s="99"/>
      <c r="L1279" s="99"/>
      <c r="M1279" s="128"/>
      <c r="N1279" s="182"/>
      <c r="O1279" s="98"/>
      <c r="P1279" s="128"/>
      <c r="Q1279" s="13"/>
      <c r="R1279" s="13"/>
      <c r="S1279" s="13"/>
      <c r="T1279" s="98"/>
      <c r="U1279" s="69"/>
      <c r="V1279" s="105"/>
      <c r="W1279" s="150"/>
      <c r="X1279" s="69"/>
      <c r="Y1279" s="99"/>
      <c r="Z1279" s="99"/>
      <c r="AA1279" s="99"/>
      <c r="AB1279" s="99"/>
      <c r="AC1279" s="99"/>
      <c r="AD1279" s="99"/>
      <c r="AE1279" s="150"/>
      <c r="AF1279" s="150"/>
      <c r="AG1279" s="99"/>
      <c r="AH1279" s="99"/>
      <c r="AI1279" s="105"/>
      <c r="AJ1279" s="105"/>
      <c r="AK1279" s="105"/>
      <c r="AL1279" s="98"/>
      <c r="AM1279" s="105"/>
      <c r="AN1279" s="98"/>
      <c r="AO1279" s="110"/>
      <c r="AP1279" s="98"/>
      <c r="AQ1279" s="98"/>
      <c r="AR1279" s="69"/>
      <c r="AS1279" s="98"/>
      <c r="AT1279" s="98"/>
      <c r="AU1279" s="69"/>
      <c r="AV1279" s="13"/>
      <c r="AW1279" s="13"/>
      <c r="AX1279" s="13"/>
      <c r="AY1279" s="13"/>
      <c r="AZ1279" s="13"/>
      <c r="BA1279" s="13"/>
      <c r="BB1279" s="13"/>
      <c r="BC1279" s="13"/>
      <c r="BD1279" s="13"/>
      <c r="BE1279" s="13"/>
      <c r="BF1279" s="13"/>
      <c r="BG1279" s="13"/>
      <c r="BH1279" s="13"/>
      <c r="BI1279" s="13"/>
      <c r="BJ1279" s="13"/>
      <c r="BK1279" s="13"/>
      <c r="BL1279" s="13"/>
      <c r="BM1279" s="13"/>
      <c r="BN1279" s="13"/>
      <c r="BO1279" s="13"/>
      <c r="BP1279" s="13"/>
      <c r="BQ1279" s="13"/>
      <c r="BR1279" s="13"/>
    </row>
    <row r="1280">
      <c r="A1280" s="69"/>
      <c r="B1280" s="69"/>
      <c r="C1280" s="99"/>
      <c r="D1280" s="99"/>
      <c r="E1280" s="13"/>
      <c r="F1280" s="99"/>
      <c r="G1280" s="13"/>
      <c r="H1280" s="69"/>
      <c r="I1280" s="98"/>
      <c r="J1280" s="69"/>
      <c r="K1280" s="99"/>
      <c r="L1280" s="99"/>
      <c r="M1280" s="128"/>
      <c r="N1280" s="182"/>
      <c r="O1280" s="98"/>
      <c r="P1280" s="128"/>
      <c r="Q1280" s="13"/>
      <c r="R1280" s="13"/>
      <c r="S1280" s="13"/>
      <c r="T1280" s="98"/>
      <c r="U1280" s="69"/>
      <c r="V1280" s="105"/>
      <c r="W1280" s="150"/>
      <c r="X1280" s="69"/>
      <c r="Y1280" s="99"/>
      <c r="Z1280" s="99"/>
      <c r="AA1280" s="99"/>
      <c r="AB1280" s="99"/>
      <c r="AC1280" s="99"/>
      <c r="AD1280" s="99"/>
      <c r="AE1280" s="150"/>
      <c r="AF1280" s="150"/>
      <c r="AG1280" s="99"/>
      <c r="AH1280" s="99"/>
      <c r="AI1280" s="105"/>
      <c r="AJ1280" s="105"/>
      <c r="AK1280" s="105"/>
      <c r="AL1280" s="98"/>
      <c r="AM1280" s="105"/>
      <c r="AN1280" s="98"/>
      <c r="AO1280" s="110"/>
      <c r="AP1280" s="98"/>
      <c r="AQ1280" s="98"/>
      <c r="AR1280" s="69"/>
      <c r="AS1280" s="98"/>
      <c r="AT1280" s="98"/>
      <c r="AU1280" s="69"/>
      <c r="AV1280" s="13"/>
      <c r="AW1280" s="13"/>
      <c r="AX1280" s="13"/>
      <c r="AY1280" s="13"/>
      <c r="AZ1280" s="13"/>
      <c r="BA1280" s="13"/>
      <c r="BB1280" s="13"/>
      <c r="BC1280" s="13"/>
      <c r="BD1280" s="13"/>
      <c r="BE1280" s="13"/>
      <c r="BF1280" s="13"/>
      <c r="BG1280" s="13"/>
      <c r="BH1280" s="13"/>
      <c r="BI1280" s="13"/>
      <c r="BJ1280" s="13"/>
      <c r="BK1280" s="13"/>
      <c r="BL1280" s="13"/>
      <c r="BM1280" s="13"/>
      <c r="BN1280" s="13"/>
      <c r="BO1280" s="13"/>
      <c r="BP1280" s="13"/>
      <c r="BQ1280" s="13"/>
      <c r="BR1280" s="13"/>
    </row>
    <row r="1281">
      <c r="A1281" s="69"/>
      <c r="B1281" s="69"/>
      <c r="C1281" s="99"/>
      <c r="D1281" s="99"/>
      <c r="E1281" s="13"/>
      <c r="F1281" s="99"/>
      <c r="G1281" s="13"/>
      <c r="H1281" s="69"/>
      <c r="I1281" s="98"/>
      <c r="J1281" s="69"/>
      <c r="K1281" s="99"/>
      <c r="L1281" s="99"/>
      <c r="M1281" s="128"/>
      <c r="N1281" s="182"/>
      <c r="O1281" s="98"/>
      <c r="P1281" s="128"/>
      <c r="Q1281" s="13"/>
      <c r="R1281" s="13"/>
      <c r="S1281" s="13"/>
      <c r="T1281" s="98"/>
      <c r="U1281" s="69"/>
      <c r="V1281" s="105"/>
      <c r="W1281" s="150"/>
      <c r="X1281" s="69"/>
      <c r="Y1281" s="99"/>
      <c r="Z1281" s="99"/>
      <c r="AA1281" s="99"/>
      <c r="AB1281" s="99"/>
      <c r="AC1281" s="99"/>
      <c r="AD1281" s="99"/>
      <c r="AE1281" s="150"/>
      <c r="AF1281" s="150"/>
      <c r="AG1281" s="99"/>
      <c r="AH1281" s="99"/>
      <c r="AI1281" s="105"/>
      <c r="AJ1281" s="105"/>
      <c r="AK1281" s="105"/>
      <c r="AL1281" s="98"/>
      <c r="AM1281" s="105"/>
      <c r="AN1281" s="98"/>
      <c r="AO1281" s="110"/>
      <c r="AP1281" s="98"/>
      <c r="AQ1281" s="98"/>
      <c r="AR1281" s="69"/>
      <c r="AS1281" s="98"/>
      <c r="AT1281" s="98"/>
      <c r="AU1281" s="69"/>
      <c r="AV1281" s="13"/>
      <c r="AW1281" s="13"/>
      <c r="AX1281" s="13"/>
      <c r="AY1281" s="13"/>
      <c r="AZ1281" s="13"/>
      <c r="BA1281" s="13"/>
      <c r="BB1281" s="13"/>
      <c r="BC1281" s="13"/>
      <c r="BD1281" s="13"/>
      <c r="BE1281" s="13"/>
      <c r="BF1281" s="13"/>
      <c r="BG1281" s="13"/>
      <c r="BH1281" s="13"/>
      <c r="BI1281" s="13"/>
      <c r="BJ1281" s="13"/>
      <c r="BK1281" s="13"/>
      <c r="BL1281" s="13"/>
      <c r="BM1281" s="13"/>
      <c r="BN1281" s="13"/>
      <c r="BO1281" s="13"/>
      <c r="BP1281" s="13"/>
      <c r="BQ1281" s="13"/>
      <c r="BR1281" s="13"/>
    </row>
    <row r="1282">
      <c r="A1282" s="69"/>
      <c r="B1282" s="69"/>
      <c r="C1282" s="99"/>
      <c r="D1282" s="99"/>
      <c r="E1282" s="13"/>
      <c r="F1282" s="99"/>
      <c r="G1282" s="13"/>
      <c r="H1282" s="69"/>
      <c r="I1282" s="98"/>
      <c r="J1282" s="69"/>
      <c r="K1282" s="99"/>
      <c r="L1282" s="99"/>
      <c r="M1282" s="128"/>
      <c r="N1282" s="182"/>
      <c r="O1282" s="98"/>
      <c r="P1282" s="128"/>
      <c r="Q1282" s="13"/>
      <c r="R1282" s="13"/>
      <c r="S1282" s="13"/>
      <c r="T1282" s="98"/>
      <c r="U1282" s="69"/>
      <c r="V1282" s="105"/>
      <c r="W1282" s="150"/>
      <c r="X1282" s="69"/>
      <c r="Y1282" s="99"/>
      <c r="Z1282" s="99"/>
      <c r="AA1282" s="99"/>
      <c r="AB1282" s="99"/>
      <c r="AC1282" s="99"/>
      <c r="AD1282" s="99"/>
      <c r="AE1282" s="150"/>
      <c r="AF1282" s="150"/>
      <c r="AG1282" s="99"/>
      <c r="AH1282" s="99"/>
      <c r="AI1282" s="105"/>
      <c r="AJ1282" s="105"/>
      <c r="AK1282" s="105"/>
      <c r="AL1282" s="98"/>
      <c r="AM1282" s="105"/>
      <c r="AN1282" s="98"/>
      <c r="AO1282" s="110"/>
      <c r="AP1282" s="98"/>
      <c r="AQ1282" s="98"/>
      <c r="AR1282" s="69"/>
      <c r="AS1282" s="98"/>
      <c r="AT1282" s="98"/>
      <c r="AU1282" s="69"/>
      <c r="AV1282" s="13"/>
      <c r="AW1282" s="13"/>
      <c r="AX1282" s="13"/>
      <c r="AY1282" s="13"/>
      <c r="AZ1282" s="13"/>
      <c r="BA1282" s="13"/>
      <c r="BB1282" s="13"/>
      <c r="BC1282" s="13"/>
      <c r="BD1282" s="13"/>
      <c r="BE1282" s="13"/>
      <c r="BF1282" s="13"/>
      <c r="BG1282" s="13"/>
      <c r="BH1282" s="13"/>
      <c r="BI1282" s="13"/>
      <c r="BJ1282" s="13"/>
      <c r="BK1282" s="13"/>
      <c r="BL1282" s="13"/>
      <c r="BM1282" s="13"/>
      <c r="BN1282" s="13"/>
      <c r="BO1282" s="13"/>
      <c r="BP1282" s="13"/>
      <c r="BQ1282" s="13"/>
      <c r="BR1282" s="13"/>
    </row>
    <row r="1283">
      <c r="A1283" s="69"/>
      <c r="B1283" s="69"/>
      <c r="C1283" s="99"/>
      <c r="D1283" s="99"/>
      <c r="E1283" s="13"/>
      <c r="F1283" s="99"/>
      <c r="G1283" s="13"/>
      <c r="H1283" s="69"/>
      <c r="I1283" s="98"/>
      <c r="J1283" s="69"/>
      <c r="K1283" s="99"/>
      <c r="L1283" s="99"/>
      <c r="M1283" s="128"/>
      <c r="N1283" s="182"/>
      <c r="O1283" s="98"/>
      <c r="P1283" s="128"/>
      <c r="Q1283" s="13"/>
      <c r="R1283" s="13"/>
      <c r="S1283" s="13"/>
      <c r="T1283" s="98"/>
      <c r="U1283" s="69"/>
      <c r="V1283" s="105"/>
      <c r="W1283" s="150"/>
      <c r="X1283" s="69"/>
      <c r="Y1283" s="99"/>
      <c r="Z1283" s="99"/>
      <c r="AA1283" s="99"/>
      <c r="AB1283" s="99"/>
      <c r="AC1283" s="99"/>
      <c r="AD1283" s="99"/>
      <c r="AE1283" s="150"/>
      <c r="AF1283" s="150"/>
      <c r="AG1283" s="99"/>
      <c r="AH1283" s="99"/>
      <c r="AI1283" s="105"/>
      <c r="AJ1283" s="105"/>
      <c r="AK1283" s="105"/>
      <c r="AL1283" s="98"/>
      <c r="AM1283" s="105"/>
      <c r="AN1283" s="98"/>
      <c r="AO1283" s="110"/>
      <c r="AP1283" s="98"/>
      <c r="AQ1283" s="98"/>
      <c r="AR1283" s="69"/>
      <c r="AS1283" s="98"/>
      <c r="AT1283" s="98"/>
      <c r="AU1283" s="69"/>
      <c r="AV1283" s="13"/>
      <c r="AW1283" s="13"/>
      <c r="AX1283" s="13"/>
      <c r="AY1283" s="13"/>
      <c r="AZ1283" s="13"/>
      <c r="BA1283" s="13"/>
      <c r="BB1283" s="13"/>
      <c r="BC1283" s="13"/>
      <c r="BD1283" s="13"/>
      <c r="BE1283" s="13"/>
      <c r="BF1283" s="13"/>
      <c r="BG1283" s="13"/>
      <c r="BH1283" s="13"/>
      <c r="BI1283" s="13"/>
      <c r="BJ1283" s="13"/>
      <c r="BK1283" s="13"/>
      <c r="BL1283" s="13"/>
      <c r="BM1283" s="13"/>
      <c r="BN1283" s="13"/>
      <c r="BO1283" s="13"/>
      <c r="BP1283" s="13"/>
      <c r="BQ1283" s="13"/>
      <c r="BR1283" s="13"/>
    </row>
    <row r="1284">
      <c r="A1284" s="69"/>
      <c r="B1284" s="69"/>
      <c r="C1284" s="99"/>
      <c r="D1284" s="99"/>
      <c r="E1284" s="13"/>
      <c r="F1284" s="99"/>
      <c r="G1284" s="13"/>
      <c r="H1284" s="69"/>
      <c r="I1284" s="98"/>
      <c r="J1284" s="69"/>
      <c r="K1284" s="99"/>
      <c r="L1284" s="99"/>
      <c r="M1284" s="128"/>
      <c r="N1284" s="182"/>
      <c r="O1284" s="98"/>
      <c r="P1284" s="128"/>
      <c r="Q1284" s="13"/>
      <c r="R1284" s="13"/>
      <c r="S1284" s="13"/>
      <c r="T1284" s="98"/>
      <c r="U1284" s="69"/>
      <c r="V1284" s="105"/>
      <c r="W1284" s="150"/>
      <c r="X1284" s="69"/>
      <c r="Y1284" s="99"/>
      <c r="Z1284" s="99"/>
      <c r="AA1284" s="99"/>
      <c r="AB1284" s="99"/>
      <c r="AC1284" s="99"/>
      <c r="AD1284" s="99"/>
      <c r="AE1284" s="150"/>
      <c r="AF1284" s="150"/>
      <c r="AG1284" s="99"/>
      <c r="AH1284" s="99"/>
      <c r="AI1284" s="105"/>
      <c r="AJ1284" s="105"/>
      <c r="AK1284" s="105"/>
      <c r="AL1284" s="98"/>
      <c r="AM1284" s="105"/>
      <c r="AN1284" s="98"/>
      <c r="AO1284" s="110"/>
      <c r="AP1284" s="98"/>
      <c r="AQ1284" s="98"/>
      <c r="AR1284" s="69"/>
      <c r="AS1284" s="98"/>
      <c r="AT1284" s="98"/>
      <c r="AU1284" s="69"/>
      <c r="AV1284" s="13"/>
      <c r="AW1284" s="13"/>
      <c r="AX1284" s="13"/>
      <c r="AY1284" s="13"/>
      <c r="AZ1284" s="13"/>
      <c r="BA1284" s="13"/>
      <c r="BB1284" s="13"/>
      <c r="BC1284" s="13"/>
      <c r="BD1284" s="13"/>
      <c r="BE1284" s="13"/>
      <c r="BF1284" s="13"/>
      <c r="BG1284" s="13"/>
      <c r="BH1284" s="13"/>
      <c r="BI1284" s="13"/>
      <c r="BJ1284" s="13"/>
      <c r="BK1284" s="13"/>
      <c r="BL1284" s="13"/>
      <c r="BM1284" s="13"/>
      <c r="BN1284" s="13"/>
      <c r="BO1284" s="13"/>
      <c r="BP1284" s="13"/>
      <c r="BQ1284" s="13"/>
      <c r="BR1284" s="13"/>
    </row>
    <row r="1285">
      <c r="A1285" s="69"/>
      <c r="B1285" s="69"/>
      <c r="C1285" s="99"/>
      <c r="D1285" s="99"/>
      <c r="E1285" s="13"/>
      <c r="F1285" s="99"/>
      <c r="G1285" s="13"/>
      <c r="H1285" s="69"/>
      <c r="I1285" s="98"/>
      <c r="J1285" s="69"/>
      <c r="K1285" s="99"/>
      <c r="L1285" s="99"/>
      <c r="M1285" s="128"/>
      <c r="N1285" s="182"/>
      <c r="O1285" s="98"/>
      <c r="P1285" s="128"/>
      <c r="Q1285" s="13"/>
      <c r="R1285" s="13"/>
      <c r="S1285" s="13"/>
      <c r="T1285" s="98"/>
      <c r="U1285" s="69"/>
      <c r="V1285" s="105"/>
      <c r="W1285" s="150"/>
      <c r="X1285" s="69"/>
      <c r="Y1285" s="99"/>
      <c r="Z1285" s="99"/>
      <c r="AA1285" s="99"/>
      <c r="AB1285" s="99"/>
      <c r="AC1285" s="99"/>
      <c r="AD1285" s="99"/>
      <c r="AE1285" s="150"/>
      <c r="AF1285" s="150"/>
      <c r="AG1285" s="99"/>
      <c r="AH1285" s="99"/>
      <c r="AI1285" s="105"/>
      <c r="AJ1285" s="105"/>
      <c r="AK1285" s="105"/>
      <c r="AL1285" s="98"/>
      <c r="AM1285" s="105"/>
      <c r="AN1285" s="98"/>
      <c r="AO1285" s="110"/>
      <c r="AP1285" s="98"/>
      <c r="AQ1285" s="98"/>
      <c r="AR1285" s="69"/>
      <c r="AS1285" s="98"/>
      <c r="AT1285" s="98"/>
      <c r="AU1285" s="69"/>
      <c r="AV1285" s="13"/>
      <c r="AW1285" s="13"/>
      <c r="AX1285" s="13"/>
      <c r="AY1285" s="13"/>
      <c r="AZ1285" s="13"/>
      <c r="BA1285" s="13"/>
      <c r="BB1285" s="13"/>
      <c r="BC1285" s="13"/>
      <c r="BD1285" s="13"/>
      <c r="BE1285" s="13"/>
      <c r="BF1285" s="13"/>
      <c r="BG1285" s="13"/>
      <c r="BH1285" s="13"/>
      <c r="BI1285" s="13"/>
      <c r="BJ1285" s="13"/>
      <c r="BK1285" s="13"/>
      <c r="BL1285" s="13"/>
      <c r="BM1285" s="13"/>
      <c r="BN1285" s="13"/>
      <c r="BO1285" s="13"/>
      <c r="BP1285" s="13"/>
      <c r="BQ1285" s="13"/>
      <c r="BR1285" s="13"/>
    </row>
    <row r="1286">
      <c r="A1286" s="69"/>
      <c r="B1286" s="69"/>
      <c r="C1286" s="99"/>
      <c r="D1286" s="99"/>
      <c r="E1286" s="13"/>
      <c r="F1286" s="99"/>
      <c r="G1286" s="13"/>
      <c r="H1286" s="69"/>
      <c r="I1286" s="98"/>
      <c r="J1286" s="69"/>
      <c r="K1286" s="99"/>
      <c r="L1286" s="99"/>
      <c r="M1286" s="128"/>
      <c r="N1286" s="182"/>
      <c r="O1286" s="98"/>
      <c r="P1286" s="128"/>
      <c r="Q1286" s="13"/>
      <c r="R1286" s="13"/>
      <c r="S1286" s="13"/>
      <c r="T1286" s="98"/>
      <c r="U1286" s="69"/>
      <c r="V1286" s="105"/>
      <c r="W1286" s="150"/>
      <c r="X1286" s="69"/>
      <c r="Y1286" s="99"/>
      <c r="Z1286" s="99"/>
      <c r="AA1286" s="99"/>
      <c r="AB1286" s="99"/>
      <c r="AC1286" s="99"/>
      <c r="AD1286" s="99"/>
      <c r="AE1286" s="150"/>
      <c r="AF1286" s="150"/>
      <c r="AG1286" s="99"/>
      <c r="AH1286" s="99"/>
      <c r="AI1286" s="105"/>
      <c r="AJ1286" s="105"/>
      <c r="AK1286" s="105"/>
      <c r="AL1286" s="98"/>
      <c r="AM1286" s="105"/>
      <c r="AN1286" s="98"/>
      <c r="AO1286" s="110"/>
      <c r="AP1286" s="98"/>
      <c r="AQ1286" s="98"/>
      <c r="AR1286" s="69"/>
      <c r="AS1286" s="98"/>
      <c r="AT1286" s="98"/>
      <c r="AU1286" s="69"/>
      <c r="AV1286" s="13"/>
      <c r="AW1286" s="13"/>
      <c r="AX1286" s="13"/>
      <c r="AY1286" s="13"/>
      <c r="AZ1286" s="13"/>
      <c r="BA1286" s="13"/>
      <c r="BB1286" s="13"/>
      <c r="BC1286" s="13"/>
      <c r="BD1286" s="13"/>
      <c r="BE1286" s="13"/>
      <c r="BF1286" s="13"/>
      <c r="BG1286" s="13"/>
      <c r="BH1286" s="13"/>
      <c r="BI1286" s="13"/>
      <c r="BJ1286" s="13"/>
      <c r="BK1286" s="13"/>
      <c r="BL1286" s="13"/>
      <c r="BM1286" s="13"/>
      <c r="BN1286" s="13"/>
      <c r="BO1286" s="13"/>
      <c r="BP1286" s="13"/>
      <c r="BQ1286" s="13"/>
      <c r="BR1286" s="13"/>
    </row>
  </sheetData>
  <customSheetViews>
    <customSheetView guid="{1FCB2FF3-6EA7-4063-9F70-CDD88B2708F8}" filter="1" showAutoFilter="1">
      <autoFilter ref="$A$1:$BR$1286">
        <filterColumn colId="1">
          <filters>
            <filter val="Deadlock avoidance"/>
            <filter val="Mutual Exclusion"/>
          </filters>
        </filterColumn>
      </autoFilter>
    </customSheetView>
    <customSheetView guid="{5B731686-55DD-4ECD-A5E9-94F946142004}" filter="1" showAutoFilter="1">
      <autoFilter ref="$A$1:$BR$1041">
        <filterColumn colId="1">
          <filters>
            <filter val="Deadlock avoidance"/>
            <filter val="Delaunay Triangulation"/>
          </filters>
        </filterColumn>
        <filterColumn colId="2">
          <filters>
            <filter val="0"/>
            <filter val="1"/>
            <filter val="2"/>
          </filters>
        </filterColumn>
      </autoFilter>
    </customSheetView>
    <customSheetView guid="{BD78F700-EA15-4507-B85B-4F9520AF309C}" filter="1" showAutoFilter="1">
      <autoFilter ref="$C$1:$C$1286"/>
    </customSheetView>
    <customSheetView guid="{0092811B-0D96-4821-83DA-C39CFF1F7FF9}" filter="1" showAutoFilter="1">
      <autoFilter ref="$A$1:$BR$1286">
        <filterColumn colId="7">
          <filters blank="1">
            <filter val="1"/>
          </filters>
        </filterColumn>
        <filterColumn colId="2">
          <filters>
            <filter val="0"/>
            <filter val="1"/>
            <filter val="2"/>
            <filter val="0.001"/>
          </filters>
        </filterColumn>
        <filterColumn colId="32">
          <filters blank="1">
            <filter val="O(p+n)"/>
            <filter val="O(b+d) auxiliary?"/>
            <filter val="O(nd)"/>
            <filter val="O(m)"/>
            <filter val="$O(2^{O(n)})$"/>
            <filter val="O(N)"/>
            <filter val="(see sheet 2)"/>
            <filter val="O(n^2+p)?"/>
            <filter val="O(nk)??"/>
            <filter val="O(nl)"/>
            <filter val="O(k+rw)?"/>
            <filter val="O(p+n)?"/>
          </filters>
        </filterColumn>
      </autoFilter>
    </customSheetView>
    <customSheetView guid="{338F3E80-D509-4F22-9E68-3129878C81AC}" filter="1" showAutoFilter="1">
      <autoFilter ref="$A$1:$BR$1286">
        <filterColumn colId="7">
          <filters blank="1">
            <filter val="1"/>
          </filters>
        </filterColumn>
        <filterColumn colId="8">
          <filters blank="1">
            <filter val="1"/>
          </filters>
        </filterColumn>
        <filterColumn colId="44">
          <filters blank="1">
            <filter val="0"/>
          </filters>
        </filterColumn>
        <filterColumn colId="42">
          <filters blank="1">
            <filter val="0"/>
            <filter val="0?"/>
          </filters>
        </filterColumn>
        <filterColumn colId="39">
          <filters blank="1">
            <filter val="0"/>
          </filters>
        </filterColumn>
      </autoFilter>
    </customSheetView>
  </customSheetViews>
  <conditionalFormatting sqref="C1:C1286">
    <cfRule type="cellIs" dxfId="0" priority="1" operator="equal">
      <formula>1</formula>
    </cfRule>
  </conditionalFormatting>
  <conditionalFormatting sqref="C1:C1286">
    <cfRule type="cellIs" dxfId="1" priority="2" operator="equal">
      <formula>0</formula>
    </cfRule>
  </conditionalFormatting>
  <conditionalFormatting sqref="C1:C1286">
    <cfRule type="cellIs" dxfId="2" priority="3" operator="equal">
      <formula>2</formula>
    </cfRule>
  </conditionalFormatting>
  <conditionalFormatting sqref="C1:C1286">
    <cfRule type="cellIs" dxfId="3" priority="4" operator="equal">
      <formula>0.001</formula>
    </cfRule>
  </conditionalFormatting>
  <hyperlinks>
    <hyperlink r:id="rId2" ref="P2"/>
    <hyperlink r:id="rId3" ref="AH2"/>
    <hyperlink r:id="rId4" ref="P3"/>
    <hyperlink r:id="rId5" ref="P4"/>
    <hyperlink r:id="rId6" ref="P5"/>
    <hyperlink r:id="rId7" ref="P6"/>
    <hyperlink r:id="rId8" ref="AH6"/>
    <hyperlink r:id="rId9" ref="P7"/>
    <hyperlink r:id="rId10" location="LSH_algorithm_for_nearest_neighbor_search" ref="AH7"/>
    <hyperlink r:id="rId11" location="LSH_algorithm_for_nearest_neighbor_search" ref="AU7"/>
    <hyperlink r:id="rId12" ref="P8"/>
    <hyperlink r:id="rId13" ref="AH9"/>
    <hyperlink r:id="rId14" ref="P10"/>
    <hyperlink r:id="rId15" ref="AH10"/>
    <hyperlink r:id="rId16" ref="P11"/>
    <hyperlink r:id="rId17" ref="AH11"/>
    <hyperlink r:id="rId18" ref="AU11"/>
    <hyperlink r:id="rId19" ref="P12"/>
    <hyperlink r:id="rId20" ref="AH12"/>
    <hyperlink r:id="rId21" ref="AU12"/>
    <hyperlink r:id="rId22" ref="P13"/>
    <hyperlink r:id="rId23" ref="AH13"/>
    <hyperlink r:id="rId24" ref="AU13"/>
    <hyperlink r:id="rId25" ref="P14"/>
    <hyperlink r:id="rId26" ref="AH14"/>
    <hyperlink r:id="rId27" ref="P15"/>
    <hyperlink r:id="rId28" ref="AH15"/>
    <hyperlink r:id="rId29" ref="P16"/>
    <hyperlink r:id="rId30" ref="AH16"/>
    <hyperlink r:id="rId31" ref="P17"/>
    <hyperlink r:id="rId32" ref="AH17"/>
    <hyperlink r:id="rId33" ref="P18"/>
    <hyperlink r:id="rId34" ref="P19"/>
    <hyperlink r:id="rId35" ref="AH19"/>
    <hyperlink r:id="rId36" ref="AU19"/>
    <hyperlink r:id="rId37" ref="P20"/>
    <hyperlink r:id="rId38" ref="AU20"/>
    <hyperlink r:id="rId39" ref="P21"/>
    <hyperlink r:id="rId40" ref="P22"/>
    <hyperlink r:id="rId41" ref="AH22"/>
    <hyperlink r:id="rId42" ref="P23"/>
    <hyperlink r:id="rId43" ref="AH23"/>
    <hyperlink r:id="rId44" ref="P24"/>
    <hyperlink r:id="rId45" ref="L25"/>
    <hyperlink r:id="rId46" ref="P25"/>
    <hyperlink r:id="rId47" ref="S25"/>
    <hyperlink r:id="rId48" ref="AH25"/>
    <hyperlink r:id="rId49" ref="L26"/>
    <hyperlink r:id="rId50" ref="P26"/>
    <hyperlink r:id="rId51" ref="AH26"/>
    <hyperlink r:id="rId52" ref="AU28"/>
    <hyperlink r:id="rId53" ref="AU30"/>
    <hyperlink r:id="rId54" ref="P31"/>
    <hyperlink r:id="rId55" ref="AU31"/>
    <hyperlink r:id="rId56" ref="L32"/>
    <hyperlink r:id="rId57" ref="P32"/>
    <hyperlink r:id="rId58" ref="AU32"/>
    <hyperlink r:id="rId59" ref="P33"/>
    <hyperlink r:id="rId60" ref="S36"/>
    <hyperlink r:id="rId61" ref="L37"/>
    <hyperlink r:id="rId62" ref="P37"/>
    <hyperlink r:id="rId63" ref="S38"/>
    <hyperlink r:id="rId64" ref="AH39"/>
    <hyperlink r:id="rId65" ref="P40"/>
    <hyperlink r:id="rId66" ref="AH40"/>
    <hyperlink r:id="rId67" ref="P41"/>
    <hyperlink r:id="rId68" ref="AH41"/>
    <hyperlink r:id="rId69" ref="P42"/>
    <hyperlink r:id="rId70" ref="AH42"/>
    <hyperlink r:id="rId71" ref="P43"/>
    <hyperlink r:id="rId72" ref="AH43"/>
    <hyperlink r:id="rId73" ref="P44"/>
    <hyperlink r:id="rId74" ref="AH44"/>
    <hyperlink r:id="rId75" ref="P45"/>
    <hyperlink r:id="rId76" ref="AH45"/>
    <hyperlink r:id="rId77" ref="P47"/>
    <hyperlink r:id="rId78" ref="AH47"/>
    <hyperlink r:id="rId79" ref="P48"/>
    <hyperlink r:id="rId80" ref="L49"/>
    <hyperlink r:id="rId81" ref="P49"/>
    <hyperlink r:id="rId82" ref="AU49"/>
    <hyperlink r:id="rId83" ref="L50"/>
    <hyperlink r:id="rId84" ref="P50"/>
    <hyperlink r:id="rId85" ref="AU50"/>
    <hyperlink r:id="rId86" ref="L51"/>
    <hyperlink r:id="rId87" ref="P51"/>
    <hyperlink r:id="rId88" ref="AU51"/>
    <hyperlink r:id="rId89" ref="L52"/>
    <hyperlink r:id="rId90" ref="P52"/>
    <hyperlink r:id="rId91" ref="AU52"/>
    <hyperlink r:id="rId92" ref="L53"/>
    <hyperlink r:id="rId93" ref="P53"/>
    <hyperlink r:id="rId94" ref="AU53"/>
    <hyperlink r:id="rId95" ref="L54"/>
    <hyperlink r:id="rId96" ref="P54"/>
    <hyperlink r:id="rId97" ref="AU54"/>
    <hyperlink r:id="rId98" ref="AU57"/>
    <hyperlink r:id="rId99" ref="P59"/>
    <hyperlink r:id="rId100" ref="P60"/>
    <hyperlink r:id="rId101" ref="AU60"/>
    <hyperlink r:id="rId102" ref="P61"/>
    <hyperlink r:id="rId103" ref="P62"/>
    <hyperlink r:id="rId104" ref="S63"/>
    <hyperlink r:id="rId105" ref="AU63"/>
    <hyperlink r:id="rId106" ref="P64"/>
    <hyperlink r:id="rId107" location="Ellipsoid_algorithm,_following_Khachiyan" ref="AU64"/>
    <hyperlink r:id="rId108" ref="P66"/>
    <hyperlink r:id="rId109" ref="AH66"/>
    <hyperlink r:id="rId110" ref="S67"/>
    <hyperlink r:id="rId111" ref="P68"/>
    <hyperlink r:id="rId112" ref="L69"/>
    <hyperlink r:id="rId113" ref="P69"/>
    <hyperlink r:id="rId114" ref="L70"/>
    <hyperlink r:id="rId115" ref="P70"/>
    <hyperlink r:id="rId116" ref="L71"/>
    <hyperlink r:id="rId117" ref="P71"/>
    <hyperlink r:id="rId118" ref="S71"/>
    <hyperlink r:id="rId119" ref="S73"/>
    <hyperlink r:id="rId120" ref="P74"/>
    <hyperlink r:id="rId121" ref="P75"/>
    <hyperlink r:id="rId122" ref="P76"/>
    <hyperlink r:id="rId123" ref="AH76"/>
    <hyperlink r:id="rId124" ref="AU76"/>
    <hyperlink r:id="rId125" ref="L77"/>
    <hyperlink r:id="rId126" ref="P77"/>
    <hyperlink r:id="rId127" ref="S77"/>
    <hyperlink r:id="rId128" ref="AU77"/>
    <hyperlink r:id="rId129" ref="P78"/>
    <hyperlink r:id="rId130" ref="P79"/>
    <hyperlink r:id="rId131" ref="P80"/>
    <hyperlink r:id="rId132" ref="P81"/>
    <hyperlink r:id="rId133" ref="P82"/>
    <hyperlink r:id="rId134" ref="P83"/>
    <hyperlink r:id="rId135" ref="P84"/>
    <hyperlink r:id="rId136" ref="P85"/>
    <hyperlink r:id="rId137" ref="P86"/>
    <hyperlink r:id="rId138" ref="S87"/>
    <hyperlink r:id="rId139" ref="BQ87"/>
    <hyperlink r:id="rId140" ref="P88"/>
    <hyperlink r:id="rId141" ref="AH88"/>
    <hyperlink r:id="rId142" ref="BQ88"/>
    <hyperlink r:id="rId143" ref="P89"/>
    <hyperlink r:id="rId144" ref="AH89"/>
    <hyperlink r:id="rId145" ref="BQ89"/>
    <hyperlink r:id="rId146" ref="P90"/>
    <hyperlink r:id="rId147" ref="BQ90"/>
    <hyperlink r:id="rId148" ref="P91"/>
    <hyperlink r:id="rId149" ref="S91"/>
    <hyperlink r:id="rId150" ref="P92"/>
    <hyperlink r:id="rId151" ref="P93"/>
    <hyperlink r:id="rId152" ref="S93"/>
    <hyperlink r:id="rId153" ref="AH93"/>
    <hyperlink r:id="rId154" ref="P94"/>
    <hyperlink r:id="rId155" ref="AH94"/>
    <hyperlink r:id="rId156" ref="P95"/>
    <hyperlink r:id="rId157" ref="AU95"/>
    <hyperlink r:id="rId158" ref="P96"/>
    <hyperlink r:id="rId159" ref="P97"/>
    <hyperlink r:id="rId160" ref="P98"/>
    <hyperlink r:id="rId161" ref="AH98"/>
    <hyperlink r:id="rId162" ref="P99"/>
    <hyperlink r:id="rId163" ref="P100"/>
    <hyperlink r:id="rId164" ref="S100"/>
    <hyperlink r:id="rId165" ref="P101"/>
    <hyperlink r:id="rId166" ref="P102"/>
    <hyperlink r:id="rId167" ref="P103"/>
    <hyperlink r:id="rId168" ref="AU103"/>
    <hyperlink r:id="rId169" ref="P104"/>
    <hyperlink r:id="rId170" ref="P105"/>
    <hyperlink r:id="rId171" ref="S105"/>
    <hyperlink r:id="rId172" ref="P106"/>
    <hyperlink r:id="rId173" ref="P107"/>
    <hyperlink r:id="rId174" ref="S108"/>
    <hyperlink r:id="rId175" ref="P109"/>
    <hyperlink r:id="rId176" ref="P110"/>
    <hyperlink r:id="rId177" ref="AU111"/>
    <hyperlink r:id="rId178" ref="P112"/>
    <hyperlink r:id="rId179" ref="AU113"/>
    <hyperlink r:id="rId180" ref="P114"/>
    <hyperlink r:id="rId181" ref="L116"/>
    <hyperlink r:id="rId182" ref="P116"/>
    <hyperlink r:id="rId183" ref="S116"/>
    <hyperlink r:id="rId184" ref="AH116"/>
    <hyperlink r:id="rId185" ref="P117"/>
    <hyperlink r:id="rId186" ref="AH117"/>
    <hyperlink r:id="rId187" ref="P118"/>
    <hyperlink r:id="rId188" ref="AH118"/>
    <hyperlink r:id="rId189" ref="P119"/>
    <hyperlink r:id="rId190" ref="AH119"/>
    <hyperlink r:id="rId191" ref="AU119"/>
    <hyperlink r:id="rId192" ref="P120"/>
    <hyperlink r:id="rId193" ref="AH120"/>
    <hyperlink r:id="rId194" ref="P121"/>
    <hyperlink r:id="rId195" ref="AH121"/>
    <hyperlink r:id="rId196" ref="P122"/>
    <hyperlink r:id="rId197" ref="AH122"/>
    <hyperlink r:id="rId198" ref="AU123"/>
    <hyperlink r:id="rId199" ref="AU124"/>
    <hyperlink r:id="rId200" ref="P125"/>
    <hyperlink r:id="rId201" ref="AU125"/>
    <hyperlink r:id="rId202" ref="AU126"/>
    <hyperlink r:id="rId203" ref="AU127"/>
    <hyperlink r:id="rId204" ref="P128"/>
    <hyperlink r:id="rId205" ref="P129"/>
    <hyperlink r:id="rId206" ref="AH129"/>
    <hyperlink r:id="rId207" ref="P130"/>
    <hyperlink r:id="rId208" ref="AH130"/>
    <hyperlink r:id="rId209" ref="P131"/>
    <hyperlink r:id="rId210" ref="AH131"/>
    <hyperlink r:id="rId211" ref="P132"/>
    <hyperlink r:id="rId212" ref="AH132"/>
    <hyperlink r:id="rId213" ref="P133"/>
    <hyperlink r:id="rId214" ref="AH133"/>
    <hyperlink r:id="rId215" ref="S134"/>
    <hyperlink r:id="rId216" ref="S135"/>
    <hyperlink r:id="rId217" location=":~:text=It%20is%20also%20the%20most,the%20order%20of%20the%20coins." ref="S136"/>
    <hyperlink r:id="rId218" ref="AU136"/>
    <hyperlink r:id="rId219" ref="P137"/>
    <hyperlink r:id="rId220" location=":~:text=It%20is%20also%20the%20most,the%20order%20of%20the%20coins." ref="S137"/>
    <hyperlink r:id="rId221" ref="AU137"/>
    <hyperlink r:id="rId222" ref="P138"/>
    <hyperlink r:id="rId223" ref="P139"/>
    <hyperlink r:id="rId224" ref="P140"/>
    <hyperlink r:id="rId225" ref="P141"/>
    <hyperlink r:id="rId226" ref="P142"/>
    <hyperlink r:id="rId227" ref="AA142"/>
    <hyperlink r:id="rId228" ref="P143"/>
    <hyperlink r:id="rId229" ref="AA143"/>
    <hyperlink r:id="rId230" ref="P144"/>
    <hyperlink r:id="rId231" ref="P145"/>
    <hyperlink r:id="rId232" ref="L146"/>
    <hyperlink r:id="rId233" ref="P146"/>
    <hyperlink r:id="rId234" ref="AH146"/>
    <hyperlink r:id="rId235" ref="AU146"/>
    <hyperlink r:id="rId236" ref="P147"/>
    <hyperlink r:id="rId237" ref="P148"/>
    <hyperlink r:id="rId238" ref="AH148"/>
    <hyperlink r:id="rId239" ref="P149"/>
    <hyperlink r:id="rId240" ref="AA149"/>
    <hyperlink r:id="rId241" ref="L150"/>
    <hyperlink r:id="rId242" ref="P150"/>
    <hyperlink r:id="rId243" ref="AU150"/>
    <hyperlink r:id="rId244" ref="P151"/>
    <hyperlink r:id="rId245" ref="L152"/>
    <hyperlink r:id="rId246" location="metadata_info_tab_contents" ref="P153"/>
    <hyperlink r:id="rId247" ref="AO153"/>
    <hyperlink r:id="rId248" ref="AU153"/>
    <hyperlink r:id="rId249" ref="P154"/>
    <hyperlink r:id="rId250" ref="P155"/>
    <hyperlink r:id="rId251" ref="AU155"/>
    <hyperlink r:id="rId252" ref="P157"/>
    <hyperlink r:id="rId253" ref="P158"/>
    <hyperlink r:id="rId254" ref="P159"/>
    <hyperlink r:id="rId255" ref="P160"/>
    <hyperlink r:id="rId256" ref="P161"/>
    <hyperlink r:id="rId257" ref="P162"/>
    <hyperlink r:id="rId258" ref="P163"/>
    <hyperlink r:id="rId259" ref="P164"/>
    <hyperlink r:id="rId260" ref="P165"/>
    <hyperlink r:id="rId261" ref="P166"/>
    <hyperlink r:id="rId262" ref="S166"/>
    <hyperlink r:id="rId263" ref="P167"/>
    <hyperlink r:id="rId264" ref="AH167"/>
    <hyperlink r:id="rId265" ref="P168"/>
    <hyperlink r:id="rId266" ref="S168"/>
    <hyperlink r:id="rId267" ref="P169"/>
    <hyperlink r:id="rId268" ref="P170"/>
    <hyperlink r:id="rId269" ref="L171"/>
    <hyperlink r:id="rId270" ref="P171"/>
    <hyperlink r:id="rId271" ref="AH171"/>
    <hyperlink r:id="rId272" ref="AU171"/>
    <hyperlink r:id="rId273" ref="L172"/>
    <hyperlink r:id="rId274" ref="AU172"/>
    <hyperlink r:id="rId275" ref="P173"/>
    <hyperlink r:id="rId276" ref="AU173"/>
    <hyperlink r:id="rId277" ref="P174"/>
    <hyperlink r:id="rId278" ref="AU174"/>
    <hyperlink r:id="rId279" ref="P175"/>
    <hyperlink r:id="rId280" ref="AU175"/>
    <hyperlink r:id="rId281" ref="P176"/>
    <hyperlink r:id="rId282" ref="AU176"/>
    <hyperlink r:id="rId283" ref="P177"/>
    <hyperlink r:id="rId284" ref="AU177"/>
    <hyperlink r:id="rId285" ref="P178"/>
    <hyperlink r:id="rId286" ref="P179"/>
    <hyperlink r:id="rId287" ref="AH179"/>
    <hyperlink r:id="rId288" ref="P181"/>
    <hyperlink r:id="rId289" ref="AH181"/>
    <hyperlink r:id="rId290" ref="P182"/>
    <hyperlink r:id="rId291" ref="P183"/>
    <hyperlink r:id="rId292" ref="L184"/>
    <hyperlink r:id="rId293" ref="P184"/>
    <hyperlink r:id="rId294" ref="S185"/>
    <hyperlink r:id="rId295" ref="P186"/>
    <hyperlink r:id="rId296" ref="S186"/>
    <hyperlink r:id="rId297" ref="L187"/>
    <hyperlink r:id="rId298" ref="P187"/>
    <hyperlink r:id="rId299" ref="AH187"/>
    <hyperlink r:id="rId300" ref="L188"/>
    <hyperlink r:id="rId301" ref="P188"/>
    <hyperlink r:id="rId302" ref="AH188"/>
    <hyperlink r:id="rId303" ref="P190"/>
    <hyperlink r:id="rId304" ref="P191"/>
    <hyperlink r:id="rId305" ref="AH191"/>
    <hyperlink r:id="rId306" ref="P192"/>
    <hyperlink r:id="rId307" ref="P193"/>
    <hyperlink r:id="rId308" ref="P194"/>
    <hyperlink r:id="rId309" ref="L195"/>
    <hyperlink r:id="rId310" ref="P195"/>
    <hyperlink r:id="rId311" ref="AA195"/>
    <hyperlink r:id="rId312" ref="P196"/>
    <hyperlink r:id="rId313" ref="AA196"/>
    <hyperlink r:id="rId314" ref="P197"/>
    <hyperlink r:id="rId315" ref="AA197"/>
    <hyperlink r:id="rId316" ref="P198"/>
    <hyperlink r:id="rId317" ref="AA198"/>
    <hyperlink r:id="rId318" ref="P199"/>
    <hyperlink r:id="rId319" ref="AA199"/>
    <hyperlink r:id="rId320" ref="P200"/>
    <hyperlink r:id="rId321" ref="AA200"/>
    <hyperlink r:id="rId322" ref="P201"/>
    <hyperlink r:id="rId323" ref="AA201"/>
    <hyperlink r:id="rId324" ref="P202"/>
    <hyperlink r:id="rId325" ref="AA202"/>
    <hyperlink r:id="rId326" ref="P203"/>
    <hyperlink r:id="rId327" ref="P204"/>
    <hyperlink r:id="rId328" ref="P205"/>
    <hyperlink r:id="rId329" ref="P206"/>
    <hyperlink r:id="rId330" ref="P207"/>
    <hyperlink r:id="rId331" ref="P208"/>
    <hyperlink r:id="rId332" ref="P209"/>
    <hyperlink r:id="rId333" ref="S209"/>
    <hyperlink r:id="rId334" ref="AH209"/>
    <hyperlink r:id="rId335" ref="AU209"/>
    <hyperlink r:id="rId336" ref="P210"/>
    <hyperlink r:id="rId337" ref="AH210"/>
    <hyperlink r:id="rId338" ref="AU210"/>
    <hyperlink r:id="rId339" ref="P211"/>
    <hyperlink r:id="rId340" ref="AU212"/>
    <hyperlink r:id="rId341" ref="AU213"/>
    <hyperlink r:id="rId342" ref="AU214"/>
    <hyperlink r:id="rId343" ref="P215"/>
    <hyperlink r:id="rId344" ref="S215"/>
    <hyperlink r:id="rId345" ref="P216"/>
    <hyperlink r:id="rId346" ref="P217"/>
    <hyperlink r:id="rId347" ref="AH217"/>
    <hyperlink r:id="rId348" ref="P218"/>
    <hyperlink r:id="rId349" ref="AH218"/>
    <hyperlink r:id="rId350" ref="P219"/>
    <hyperlink r:id="rId351" ref="S219"/>
    <hyperlink r:id="rId352" ref="AH219"/>
    <hyperlink r:id="rId353" ref="P220"/>
    <hyperlink r:id="rId354" ref="AH220"/>
    <hyperlink r:id="rId355" ref="P221"/>
    <hyperlink r:id="rId356" ref="AH221"/>
    <hyperlink r:id="rId357" ref="P222"/>
    <hyperlink r:id="rId358" ref="AH222"/>
    <hyperlink r:id="rId359" ref="P223"/>
    <hyperlink r:id="rId360" ref="L224"/>
    <hyperlink r:id="rId361" ref="P224"/>
    <hyperlink r:id="rId362" ref="L225"/>
    <hyperlink r:id="rId363" ref="P225"/>
    <hyperlink r:id="rId364" ref="P226"/>
    <hyperlink r:id="rId365" ref="P227"/>
    <hyperlink r:id="rId366" ref="P228"/>
    <hyperlink r:id="rId367" ref="S228"/>
    <hyperlink r:id="rId368" ref="AH228"/>
    <hyperlink r:id="rId369" ref="P229"/>
    <hyperlink r:id="rId370" ref="AH229"/>
    <hyperlink r:id="rId371" ref="P230"/>
    <hyperlink r:id="rId372" ref="P231"/>
    <hyperlink r:id="rId373" ref="BQ231"/>
    <hyperlink r:id="rId374" ref="P232"/>
    <hyperlink r:id="rId375" ref="S232"/>
    <hyperlink r:id="rId376" ref="AH232"/>
    <hyperlink r:id="rId377" ref="P233"/>
    <hyperlink r:id="rId378" ref="P234"/>
    <hyperlink r:id="rId379" ref="P235"/>
    <hyperlink r:id="rId380" ref="AH235"/>
    <hyperlink r:id="rId381" ref="P236"/>
    <hyperlink r:id="rId382" ref="AH236"/>
    <hyperlink r:id="rId383" ref="L237"/>
    <hyperlink r:id="rId384" ref="P237"/>
    <hyperlink r:id="rId385" ref="S237"/>
    <hyperlink r:id="rId386" ref="AH237"/>
    <hyperlink r:id="rId387" ref="P238"/>
    <hyperlink r:id="rId388" ref="AU238"/>
    <hyperlink r:id="rId389" ref="P239"/>
    <hyperlink r:id="rId390" ref="AU239"/>
    <hyperlink r:id="rId391" ref="P240"/>
    <hyperlink r:id="rId392" ref="AU240"/>
    <hyperlink r:id="rId393" ref="P241"/>
    <hyperlink r:id="rId394" ref="AU241"/>
    <hyperlink r:id="rId395" ref="P242"/>
    <hyperlink r:id="rId396" ref="AH242"/>
    <hyperlink r:id="rId397" ref="P243"/>
    <hyperlink r:id="rId398" ref="P244"/>
    <hyperlink r:id="rId399" ref="S245"/>
    <hyperlink r:id="rId400" ref="BQ245"/>
    <hyperlink r:id="rId401" ref="P246"/>
    <hyperlink r:id="rId402" ref="P247"/>
    <hyperlink r:id="rId403" ref="P248"/>
    <hyperlink r:id="rId404" ref="P249"/>
    <hyperlink r:id="rId405" ref="P250"/>
    <hyperlink r:id="rId406" ref="L251"/>
    <hyperlink r:id="rId407" ref="P251"/>
    <hyperlink r:id="rId408" ref="P252"/>
    <hyperlink r:id="rId409" ref="P253"/>
    <hyperlink r:id="rId410" ref="P254"/>
    <hyperlink r:id="rId411" ref="AU254"/>
    <hyperlink r:id="rId412" ref="P255"/>
    <hyperlink r:id="rId413" ref="P256"/>
    <hyperlink r:id="rId414" ref="P257"/>
    <hyperlink r:id="rId415" ref="P258"/>
    <hyperlink r:id="rId416" ref="P259"/>
    <hyperlink r:id="rId417" ref="AH259"/>
    <hyperlink r:id="rId418" ref="P260"/>
    <hyperlink r:id="rId419" ref="S260"/>
    <hyperlink r:id="rId420" ref="P261"/>
    <hyperlink r:id="rId421" ref="AH261"/>
    <hyperlink r:id="rId422" ref="P262"/>
    <hyperlink r:id="rId423" ref="S262"/>
    <hyperlink r:id="rId424" ref="P263"/>
    <hyperlink r:id="rId425" ref="P264"/>
    <hyperlink r:id="rId426" location="page_scan_tab_contents" ref="P265"/>
    <hyperlink r:id="rId427" ref="P266"/>
    <hyperlink r:id="rId428" ref="P267"/>
    <hyperlink r:id="rId429" ref="P268"/>
    <hyperlink r:id="rId430" ref="S268"/>
    <hyperlink r:id="rId431" ref="AH268"/>
    <hyperlink r:id="rId432" ref="P269"/>
    <hyperlink r:id="rId433" ref="P270"/>
    <hyperlink r:id="rId434" ref="AH270"/>
    <hyperlink r:id="rId435" ref="P271"/>
    <hyperlink r:id="rId436" ref="AH271"/>
    <hyperlink r:id="rId437" ref="P272"/>
    <hyperlink r:id="rId438" ref="S272"/>
    <hyperlink r:id="rId439" ref="P273"/>
    <hyperlink r:id="rId440" ref="P274"/>
    <hyperlink r:id="rId441" ref="P275"/>
    <hyperlink r:id="rId442" ref="P276"/>
    <hyperlink r:id="rId443" ref="P277"/>
    <hyperlink r:id="rId444" ref="S277"/>
    <hyperlink r:id="rId445" ref="AH277"/>
    <hyperlink r:id="rId446" ref="P278"/>
    <hyperlink r:id="rId447" ref="P279"/>
    <hyperlink r:id="rId448" ref="S280"/>
    <hyperlink r:id="rId449" ref="AU280"/>
    <hyperlink r:id="rId450" ref="P282"/>
    <hyperlink r:id="rId451" ref="P283"/>
    <hyperlink r:id="rId452" ref="P284"/>
    <hyperlink r:id="rId453" ref="P285"/>
    <hyperlink r:id="rId454" ref="P286"/>
    <hyperlink r:id="rId455" ref="S286"/>
    <hyperlink r:id="rId456" ref="AU287"/>
    <hyperlink r:id="rId457" ref="P288"/>
    <hyperlink r:id="rId458" ref="P289"/>
    <hyperlink r:id="rId459" ref="P290"/>
    <hyperlink r:id="rId460" ref="P291"/>
    <hyperlink r:id="rId461" ref="P292"/>
    <hyperlink r:id="rId462" ref="P294"/>
    <hyperlink r:id="rId463" location="v=onepage&amp;q=Teukolsky&amp;f=false" ref="P296"/>
    <hyperlink r:id="rId464" ref="S297"/>
    <hyperlink r:id="rId465" ref="AH297"/>
    <hyperlink r:id="rId466" ref="AU297"/>
    <hyperlink r:id="rId467" ref="AU298"/>
    <hyperlink r:id="rId468" ref="L299"/>
    <hyperlink r:id="rId469" ref="P299"/>
    <hyperlink r:id="rId470" ref="P300"/>
    <hyperlink r:id="rId471" ref="P301"/>
    <hyperlink r:id="rId472" ref="L303"/>
    <hyperlink r:id="rId473" ref="P303"/>
    <hyperlink r:id="rId474" ref="AH303"/>
    <hyperlink r:id="rId475" ref="BQ303"/>
    <hyperlink r:id="rId476" ref="P304"/>
    <hyperlink r:id="rId477" ref="P305"/>
    <hyperlink r:id="rId478" ref="S305"/>
    <hyperlink r:id="rId479" ref="P306"/>
    <hyperlink r:id="rId480" ref="P307"/>
    <hyperlink r:id="rId481" ref="P308"/>
    <hyperlink r:id="rId482" ref="P309"/>
    <hyperlink r:id="rId483" ref="P310"/>
    <hyperlink r:id="rId484" ref="P311"/>
    <hyperlink r:id="rId485" ref="P312"/>
    <hyperlink r:id="rId486" ref="P313"/>
    <hyperlink r:id="rId487" ref="P314"/>
    <hyperlink r:id="rId488" ref="P315"/>
    <hyperlink r:id="rId489" ref="AH315"/>
    <hyperlink r:id="rId490" ref="P316"/>
    <hyperlink r:id="rId491" ref="P317"/>
    <hyperlink r:id="rId492" ref="AH317"/>
    <hyperlink r:id="rId493" ref="P318"/>
    <hyperlink r:id="rId494" ref="AH318"/>
    <hyperlink r:id="rId495" ref="P319"/>
    <hyperlink r:id="rId496" ref="AH319"/>
    <hyperlink r:id="rId497" ref="P320"/>
    <hyperlink r:id="rId498" ref="AH320"/>
    <hyperlink r:id="rId499" ref="P321"/>
    <hyperlink r:id="rId500" ref="P322"/>
    <hyperlink r:id="rId501" ref="P324"/>
    <hyperlink r:id="rId502" ref="AU324"/>
    <hyperlink r:id="rId503" ref="P325"/>
    <hyperlink r:id="rId504" location=":~:text=Z%2Dbuffer%2C%20which%20is%20also,pixels%20times%20number%20of%20objects." ref="AH325"/>
    <hyperlink r:id="rId505" ref="AU326"/>
    <hyperlink r:id="rId506" ref="P327"/>
    <hyperlink r:id="rId507" ref="S327"/>
    <hyperlink r:id="rId508" ref="P328"/>
    <hyperlink r:id="rId509" ref="P329"/>
    <hyperlink r:id="rId510" ref="AU329"/>
    <hyperlink r:id="rId511" ref="P330"/>
    <hyperlink r:id="rId512" ref="P331"/>
    <hyperlink r:id="rId513" ref="P332"/>
    <hyperlink r:id="rId514" ref="AA332"/>
    <hyperlink r:id="rId515" location="Resource_hierarchy_solution" ref="P333"/>
    <hyperlink r:id="rId516" location="Arbitrator_solution" ref="P334"/>
    <hyperlink r:id="rId517" ref="P335"/>
    <hyperlink r:id="rId518" ref="P336"/>
    <hyperlink r:id="rId519" ref="P337"/>
    <hyperlink r:id="rId520" ref="P338"/>
    <hyperlink r:id="rId521" ref="AA338"/>
    <hyperlink r:id="rId522" ref="P339"/>
    <hyperlink r:id="rId523" ref="AA339"/>
    <hyperlink r:id="rId524" ref="AH339"/>
    <hyperlink r:id="rId525" ref="AU340"/>
    <hyperlink r:id="rId526" ref="P341"/>
    <hyperlink r:id="rId527" ref="P343"/>
    <hyperlink r:id="rId528" ref="P344"/>
    <hyperlink r:id="rId529" ref="P345"/>
    <hyperlink r:id="rId530" ref="P347"/>
    <hyperlink r:id="rId531" ref="AU347"/>
    <hyperlink r:id="rId532" ref="P349"/>
    <hyperlink r:id="rId533" ref="P351"/>
    <hyperlink r:id="rId534" ref="P352"/>
    <hyperlink r:id="rId535" ref="P353"/>
    <hyperlink r:id="rId536" ref="P358"/>
    <hyperlink r:id="rId537" ref="P359"/>
    <hyperlink r:id="rId538" ref="P360"/>
    <hyperlink r:id="rId539" ref="P380"/>
    <hyperlink r:id="rId540" ref="P458"/>
    <hyperlink r:id="rId541" ref="AA458"/>
    <hyperlink r:id="rId542" ref="P459"/>
    <hyperlink r:id="rId543" ref="P460"/>
    <hyperlink r:id="rId544" ref="AH460"/>
    <hyperlink r:id="rId545" ref="P461"/>
    <hyperlink r:id="rId546" ref="AU461"/>
    <hyperlink r:id="rId547" ref="P462"/>
    <hyperlink r:id="rId548" ref="AU462"/>
    <hyperlink r:id="rId549" ref="P463"/>
    <hyperlink r:id="rId550" ref="P464"/>
    <hyperlink r:id="rId551" ref="P465"/>
    <hyperlink r:id="rId552" ref="P466"/>
    <hyperlink r:id="rId553" ref="AH466"/>
    <hyperlink r:id="rId554" ref="L467"/>
    <hyperlink r:id="rId555" ref="P467"/>
    <hyperlink r:id="rId556" ref="AH467"/>
    <hyperlink r:id="rId557" ref="L468"/>
    <hyperlink r:id="rId558" ref="P468"/>
    <hyperlink r:id="rId559" ref="AH468"/>
    <hyperlink r:id="rId560" ref="P469"/>
    <hyperlink r:id="rId561" ref="AH469"/>
    <hyperlink r:id="rId562" ref="P470"/>
    <hyperlink r:id="rId563" ref="AH470"/>
    <hyperlink r:id="rId564" ref="P471"/>
    <hyperlink r:id="rId565" ref="AH471"/>
    <hyperlink r:id="rId566" ref="P472"/>
    <hyperlink r:id="rId567" ref="AH472"/>
    <hyperlink r:id="rId568" ref="P473"/>
    <hyperlink r:id="rId569" ref="AH473"/>
    <hyperlink r:id="rId570" ref="P474"/>
    <hyperlink r:id="rId571" ref="AH474"/>
    <hyperlink r:id="rId572" ref="AU474"/>
    <hyperlink r:id="rId573" ref="P475"/>
    <hyperlink r:id="rId574" ref="AH475"/>
    <hyperlink r:id="rId575" ref="AU475"/>
    <hyperlink r:id="rId576" ref="P476"/>
    <hyperlink r:id="rId577" ref="P477"/>
    <hyperlink r:id="rId578" ref="P478"/>
    <hyperlink r:id="rId579" ref="P479"/>
    <hyperlink r:id="rId580" ref="AU479"/>
    <hyperlink r:id="rId581" ref="P480"/>
    <hyperlink r:id="rId582" ref="P481"/>
    <hyperlink r:id="rId583" ref="P482"/>
    <hyperlink r:id="rId584" ref="P483"/>
    <hyperlink r:id="rId585" ref="S483"/>
    <hyperlink r:id="rId586" ref="P484"/>
    <hyperlink r:id="rId587" ref="P485"/>
    <hyperlink r:id="rId588" ref="AA485"/>
    <hyperlink r:id="rId589" ref="L486"/>
    <hyperlink r:id="rId590" ref="AH486"/>
    <hyperlink r:id="rId591" ref="P487"/>
    <hyperlink r:id="rId592" ref="AH487"/>
    <hyperlink r:id="rId593" ref="P488"/>
    <hyperlink r:id="rId594" ref="AH488"/>
    <hyperlink r:id="rId595" ref="AU488"/>
    <hyperlink r:id="rId596" ref="P489"/>
    <hyperlink r:id="rId597" ref="AH489"/>
    <hyperlink r:id="rId598" ref="BQ489"/>
    <hyperlink r:id="rId599" ref="AU490"/>
    <hyperlink r:id="rId600" ref="BQ490"/>
    <hyperlink r:id="rId601" ref="P491"/>
    <hyperlink r:id="rId602" ref="P492"/>
    <hyperlink r:id="rId603" ref="S492"/>
    <hyperlink r:id="rId604" ref="P493"/>
    <hyperlink r:id="rId605" ref="AH493"/>
    <hyperlink r:id="rId606" ref="P494"/>
    <hyperlink r:id="rId607" ref="P495"/>
    <hyperlink r:id="rId608" ref="L496"/>
    <hyperlink r:id="rId609" ref="P496"/>
    <hyperlink r:id="rId610" ref="L497"/>
    <hyperlink r:id="rId611" ref="P497"/>
    <hyperlink r:id="rId612" ref="P498"/>
    <hyperlink r:id="rId613" ref="AH498"/>
    <hyperlink r:id="rId614" ref="AU498"/>
    <hyperlink r:id="rId615" ref="P499"/>
    <hyperlink r:id="rId616" ref="AH499"/>
    <hyperlink r:id="rId617" ref="AU499"/>
    <hyperlink r:id="rId618" ref="P500"/>
    <hyperlink r:id="rId619" ref="P501"/>
    <hyperlink r:id="rId620" ref="S502"/>
    <hyperlink r:id="rId621" ref="AU502"/>
    <hyperlink r:id="rId622" ref="AU503"/>
    <hyperlink r:id="rId623" ref="AU504"/>
    <hyperlink r:id="rId624" ref="P505"/>
    <hyperlink r:id="rId625" ref="BQ505"/>
    <hyperlink r:id="rId626" ref="P506"/>
    <hyperlink r:id="rId627" ref="P507"/>
    <hyperlink r:id="rId628" ref="P508"/>
    <hyperlink r:id="rId629" ref="AA508"/>
    <hyperlink r:id="rId630" ref="P509"/>
    <hyperlink r:id="rId631" ref="P510"/>
    <hyperlink r:id="rId632" ref="P511"/>
    <hyperlink r:id="rId633" ref="AH511"/>
    <hyperlink r:id="rId634" ref="P512"/>
    <hyperlink r:id="rId635" ref="P513"/>
    <hyperlink r:id="rId636" ref="P514"/>
    <hyperlink r:id="rId637" ref="S514"/>
    <hyperlink r:id="rId638" ref="P515"/>
    <hyperlink r:id="rId639" ref="AU516"/>
    <hyperlink r:id="rId640" ref="P517"/>
    <hyperlink r:id="rId641" ref="P518"/>
    <hyperlink r:id="rId642" ref="P519"/>
    <hyperlink r:id="rId643" ref="P520"/>
    <hyperlink r:id="rId644" ref="AU520"/>
    <hyperlink r:id="rId645" ref="AU521"/>
    <hyperlink r:id="rId646" ref="P522"/>
    <hyperlink r:id="rId647" ref="AH522"/>
    <hyperlink r:id="rId648" ref="P523"/>
    <hyperlink r:id="rId649" ref="P524"/>
    <hyperlink r:id="rId650" ref="AU524"/>
    <hyperlink r:id="rId651" ref="P525"/>
    <hyperlink r:id="rId652" ref="P526"/>
    <hyperlink r:id="rId653" ref="P527"/>
    <hyperlink r:id="rId654" ref="AU527"/>
    <hyperlink r:id="rId655" ref="P528"/>
    <hyperlink r:id="rId656" ref="AH528"/>
    <hyperlink r:id="rId657" ref="P529"/>
    <hyperlink r:id="rId658" ref="P530"/>
    <hyperlink r:id="rId659" ref="P531"/>
    <hyperlink r:id="rId660" ref="S531"/>
    <hyperlink r:id="rId661" ref="P532"/>
    <hyperlink r:id="rId662" ref="AU533"/>
    <hyperlink r:id="rId663" ref="P535"/>
    <hyperlink r:id="rId664" ref="S535"/>
    <hyperlink r:id="rId665" ref="AH535"/>
    <hyperlink r:id="rId666" ref="AU535"/>
    <hyperlink r:id="rId667" ref="P536"/>
    <hyperlink r:id="rId668" ref="AH536"/>
    <hyperlink r:id="rId669" location="item132" ref="P537"/>
    <hyperlink r:id="rId670" location="Gosper's_algorithm" ref="AH537"/>
    <hyperlink r:id="rId671" ref="P538"/>
    <hyperlink r:id="rId672" ref="AU538"/>
    <hyperlink r:id="rId673" ref="P539"/>
    <hyperlink r:id="rId674" ref="S540"/>
    <hyperlink r:id="rId675" ref="AU540"/>
    <hyperlink r:id="rId676" ref="P541"/>
    <hyperlink r:id="rId677" ref="P542"/>
    <hyperlink r:id="rId678" ref="S542"/>
    <hyperlink r:id="rId679" ref="AU542"/>
    <hyperlink r:id="rId680" ref="P543"/>
    <hyperlink r:id="rId681" ref="P544"/>
    <hyperlink r:id="rId682" ref="AU544"/>
    <hyperlink r:id="rId683" ref="P545"/>
    <hyperlink r:id="rId684" ref="S545"/>
    <hyperlink r:id="rId685" ref="P547"/>
    <hyperlink r:id="rId686" ref="S547"/>
    <hyperlink r:id="rId687" ref="BP547"/>
    <hyperlink r:id="rId688" ref="P548"/>
    <hyperlink r:id="rId689" ref="S548"/>
    <hyperlink r:id="rId690" ref="AU548"/>
    <hyperlink r:id="rId691" ref="P549"/>
    <hyperlink r:id="rId692" ref="AU549"/>
    <hyperlink r:id="rId693" ref="P551"/>
    <hyperlink r:id="rId694" ref="S551"/>
    <hyperlink r:id="rId695" ref="L552"/>
    <hyperlink r:id="rId696" ref="P552"/>
    <hyperlink r:id="rId697" ref="P553"/>
    <hyperlink r:id="rId698" ref="P554"/>
    <hyperlink r:id="rId699" ref="P555"/>
    <hyperlink r:id="rId700" ref="AH555"/>
    <hyperlink r:id="rId701" ref="P556"/>
    <hyperlink r:id="rId702" ref="S556"/>
    <hyperlink r:id="rId703" ref="AH556"/>
    <hyperlink r:id="rId704" ref="P557"/>
    <hyperlink r:id="rId705" ref="AH557"/>
    <hyperlink r:id="rId706" ref="P558"/>
    <hyperlink r:id="rId707" ref="AH558"/>
    <hyperlink r:id="rId708" ref="P559"/>
    <hyperlink r:id="rId709" ref="P560"/>
    <hyperlink r:id="rId710" ref="AH560"/>
    <hyperlink r:id="rId711" ref="P561"/>
    <hyperlink r:id="rId712" ref="P562"/>
    <hyperlink r:id="rId713" ref="P563"/>
    <hyperlink r:id="rId714" ref="S563"/>
    <hyperlink r:id="rId715" ref="P564"/>
    <hyperlink r:id="rId716" ref="P565"/>
    <hyperlink r:id="rId717" ref="S565"/>
    <hyperlink r:id="rId718" ref="P566"/>
    <hyperlink r:id="rId719" ref="P567"/>
    <hyperlink r:id="rId720" ref="P568"/>
    <hyperlink r:id="rId721" ref="P569"/>
    <hyperlink r:id="rId722" ref="S570"/>
    <hyperlink r:id="rId723" location="Fleury's_algorithm" ref="AU570"/>
    <hyperlink r:id="rId724" ref="P571"/>
    <hyperlink r:id="rId725" ref="S572"/>
    <hyperlink r:id="rId726" ref="P573"/>
    <hyperlink r:id="rId727" ref="S573"/>
    <hyperlink r:id="rId728" ref="AU573"/>
    <hyperlink r:id="rId729" ref="P574"/>
    <hyperlink r:id="rId730" ref="P575"/>
    <hyperlink r:id="rId731" ref="P576"/>
    <hyperlink r:id="rId732" ref="P577"/>
    <hyperlink r:id="rId733" ref="P578"/>
    <hyperlink r:id="rId734" ref="AH578"/>
    <hyperlink r:id="rId735" ref="P579"/>
    <hyperlink r:id="rId736" ref="P580"/>
    <hyperlink r:id="rId737" ref="AH580"/>
    <hyperlink r:id="rId738" ref="P581"/>
    <hyperlink r:id="rId739" ref="P582"/>
    <hyperlink r:id="rId740" ref="AH582"/>
    <hyperlink r:id="rId741" ref="AU583"/>
    <hyperlink r:id="rId742" ref="AU584"/>
    <hyperlink r:id="rId743" ref="P585"/>
    <hyperlink r:id="rId744" ref="P586"/>
    <hyperlink r:id="rId745" ref="P587"/>
    <hyperlink r:id="rId746" ref="P588"/>
    <hyperlink r:id="rId747" ref="S588"/>
    <hyperlink r:id="rId748" ref="P589"/>
    <hyperlink r:id="rId749" ref="S589"/>
    <hyperlink r:id="rId750" ref="P590"/>
    <hyperlink r:id="rId751" ref="P591"/>
    <hyperlink r:id="rId752" ref="P592"/>
    <hyperlink r:id="rId753" location="Algorithm" ref="AU593"/>
    <hyperlink r:id="rId754" ref="AU594"/>
    <hyperlink r:id="rId755" ref="AU596"/>
    <hyperlink r:id="rId756" ref="P597"/>
    <hyperlink r:id="rId757" ref="P598"/>
    <hyperlink r:id="rId758" ref="P599"/>
    <hyperlink r:id="rId759" ref="AU599"/>
    <hyperlink r:id="rId760" ref="P600"/>
    <hyperlink r:id="rId761" ref="P601"/>
    <hyperlink r:id="rId762" ref="P602"/>
    <hyperlink r:id="rId763" ref="S602"/>
    <hyperlink r:id="rId764" ref="AU603"/>
    <hyperlink r:id="rId765" ref="S604"/>
    <hyperlink r:id="rId766" ref="AU604"/>
    <hyperlink r:id="rId767" ref="AU606"/>
    <hyperlink r:id="rId768" ref="AU607"/>
    <hyperlink r:id="rId769" ref="P608"/>
    <hyperlink r:id="rId770" ref="P609"/>
    <hyperlink r:id="rId771" ref="P610"/>
    <hyperlink r:id="rId772" ref="S610"/>
    <hyperlink r:id="rId773" ref="AU611"/>
    <hyperlink r:id="rId774" ref="P612"/>
    <hyperlink r:id="rId775" ref="AU612"/>
    <hyperlink r:id="rId776" ref="P613"/>
    <hyperlink r:id="rId777" ref="AU614"/>
    <hyperlink r:id="rId778" ref="P615"/>
    <hyperlink r:id="rId779" ref="P616"/>
    <hyperlink r:id="rId780" ref="P617"/>
    <hyperlink r:id="rId781" ref="P618"/>
    <hyperlink r:id="rId782" ref="P620"/>
    <hyperlink r:id="rId783" ref="AH620"/>
    <hyperlink r:id="rId784" ref="P621"/>
    <hyperlink r:id="rId785" ref="AH621"/>
    <hyperlink r:id="rId786" ref="P622"/>
    <hyperlink r:id="rId787" ref="AH622"/>
    <hyperlink r:id="rId788" ref="P623"/>
    <hyperlink r:id="rId789" ref="P626"/>
    <hyperlink r:id="rId790" ref="P627"/>
    <hyperlink r:id="rId791" ref="P628"/>
    <hyperlink r:id="rId792" ref="P630"/>
    <hyperlink r:id="rId793" ref="L631"/>
    <hyperlink r:id="rId794" ref="P631"/>
    <hyperlink r:id="rId795" ref="P632"/>
    <hyperlink r:id="rId796" ref="AH632"/>
    <hyperlink r:id="rId797" ref="P633"/>
    <hyperlink r:id="rId798" ref="P634"/>
    <hyperlink r:id="rId799" ref="AU634"/>
    <hyperlink r:id="rId800" ref="P637"/>
    <hyperlink r:id="rId801" ref="P638"/>
    <hyperlink r:id="rId802" ref="P639"/>
    <hyperlink r:id="rId803" ref="AU639"/>
    <hyperlink r:id="rId804" ref="P640"/>
    <hyperlink r:id="rId805" ref="P641"/>
    <hyperlink r:id="rId806" ref="P642"/>
    <hyperlink r:id="rId807" ref="L643"/>
    <hyperlink r:id="rId808" ref="P643"/>
    <hyperlink r:id="rId809" ref="AH643"/>
    <hyperlink r:id="rId810" ref="L644"/>
    <hyperlink r:id="rId811" ref="P644"/>
    <hyperlink r:id="rId812" ref="P645"/>
    <hyperlink r:id="rId813" ref="AH645"/>
    <hyperlink r:id="rId814" ref="P646"/>
    <hyperlink r:id="rId815" ref="AH646"/>
    <hyperlink r:id="rId816" ref="P647"/>
    <hyperlink r:id="rId817" ref="AH647"/>
    <hyperlink r:id="rId818" ref="P648"/>
    <hyperlink r:id="rId819" ref="AH648"/>
    <hyperlink r:id="rId820" ref="P649"/>
    <hyperlink r:id="rId821" ref="AH649"/>
    <hyperlink r:id="rId822" ref="P650"/>
    <hyperlink r:id="rId823" ref="P651"/>
    <hyperlink r:id="rId824" ref="P652"/>
    <hyperlink r:id="rId825" ref="P653"/>
    <hyperlink r:id="rId826" ref="AH653"/>
    <hyperlink r:id="rId827" ref="P654"/>
    <hyperlink r:id="rId828" ref="P655"/>
    <hyperlink r:id="rId829" ref="AH655"/>
    <hyperlink r:id="rId830" ref="P656"/>
    <hyperlink r:id="rId831" ref="P657"/>
    <hyperlink r:id="rId832" ref="P658"/>
    <hyperlink r:id="rId833" ref="P659"/>
    <hyperlink r:id="rId834" ref="P660"/>
    <hyperlink r:id="rId835" ref="P661"/>
    <hyperlink r:id="rId836" ref="AU661"/>
    <hyperlink r:id="rId837" ref="P662"/>
    <hyperlink r:id="rId838" ref="P663"/>
    <hyperlink r:id="rId839" ref="P664"/>
    <hyperlink r:id="rId840" ref="P665"/>
    <hyperlink r:id="rId841" ref="P666"/>
    <hyperlink r:id="rId842" ref="P667"/>
    <hyperlink r:id="rId843" ref="AH667"/>
    <hyperlink r:id="rId844" ref="AU667"/>
    <hyperlink r:id="rId845" ref="P668"/>
    <hyperlink r:id="rId846" ref="AU668"/>
    <hyperlink r:id="rId847" ref="P669"/>
    <hyperlink r:id="rId848" ref="P670"/>
    <hyperlink r:id="rId849" ref="AH670"/>
    <hyperlink r:id="rId850" ref="P671"/>
    <hyperlink r:id="rId851" ref="P672"/>
    <hyperlink r:id="rId852" ref="P673"/>
    <hyperlink r:id="rId853" ref="P674"/>
    <hyperlink r:id="rId854" ref="AU678"/>
    <hyperlink r:id="rId855" ref="AU679"/>
    <hyperlink r:id="rId856" ref="AU680"/>
    <hyperlink r:id="rId857" ref="P681"/>
    <hyperlink r:id="rId858" ref="AU690"/>
    <hyperlink r:id="rId859" ref="AU691"/>
    <hyperlink r:id="rId860" ref="AU692"/>
    <hyperlink r:id="rId861" ref="P693"/>
    <hyperlink r:id="rId862" ref="P700"/>
    <hyperlink r:id="rId863" ref="P701"/>
    <hyperlink r:id="rId864" ref="P702"/>
    <hyperlink r:id="rId865" ref="P703"/>
    <hyperlink r:id="rId866" ref="P704"/>
    <hyperlink r:id="rId867" ref="P705"/>
    <hyperlink r:id="rId868" ref="P706"/>
    <hyperlink r:id="rId869" ref="L707"/>
    <hyperlink r:id="rId870" ref="P707"/>
    <hyperlink r:id="rId871" ref="L708"/>
    <hyperlink r:id="rId872" ref="P708"/>
    <hyperlink r:id="rId873" ref="L709"/>
    <hyperlink r:id="rId874" ref="P709"/>
    <hyperlink r:id="rId875" ref="L710"/>
    <hyperlink r:id="rId876" ref="P710"/>
    <hyperlink r:id="rId877" ref="P711"/>
    <hyperlink r:id="rId878" ref="AU711"/>
    <hyperlink r:id="rId879" ref="P712"/>
    <hyperlink r:id="rId880" ref="P713"/>
    <hyperlink r:id="rId881" ref="AH715"/>
    <hyperlink r:id="rId882" ref="AH716"/>
    <hyperlink r:id="rId883" ref="P717"/>
    <hyperlink r:id="rId884" ref="P718"/>
    <hyperlink r:id="rId885" ref="P719"/>
    <hyperlink r:id="rId886" ref="P728"/>
    <hyperlink r:id="rId887" ref="P729"/>
    <hyperlink r:id="rId888" ref="AU730"/>
    <hyperlink r:id="rId889" ref="AH731"/>
    <hyperlink r:id="rId890" ref="AU731"/>
    <hyperlink r:id="rId891" ref="AH732"/>
    <hyperlink r:id="rId892" ref="AU732"/>
    <hyperlink r:id="rId893" ref="AU733"/>
    <hyperlink r:id="rId894" ref="AU734"/>
    <hyperlink r:id="rId895" ref="AU735"/>
    <hyperlink r:id="rId896" ref="P737"/>
    <hyperlink r:id="rId897" ref="P738"/>
    <hyperlink r:id="rId898" ref="P739"/>
    <hyperlink r:id="rId899" ref="AH739"/>
    <hyperlink r:id="rId900" ref="P740"/>
    <hyperlink r:id="rId901" ref="AH740"/>
    <hyperlink r:id="rId902" ref="P741"/>
    <hyperlink r:id="rId903" ref="P742"/>
    <hyperlink r:id="rId904" ref="P743"/>
    <hyperlink r:id="rId905" ref="P744"/>
    <hyperlink r:id="rId906" ref="P745"/>
    <hyperlink r:id="rId907" ref="P746"/>
    <hyperlink r:id="rId908" ref="AH746"/>
    <hyperlink r:id="rId909" ref="P747"/>
    <hyperlink r:id="rId910" ref="P748"/>
    <hyperlink r:id="rId911" ref="AH748"/>
    <hyperlink r:id="rId912" ref="P749"/>
    <hyperlink r:id="rId913" ref="AH749"/>
    <hyperlink r:id="rId914" ref="P750"/>
    <hyperlink r:id="rId915" ref="AH750"/>
    <hyperlink r:id="rId916" ref="AU750"/>
    <hyperlink r:id="rId917" ref="P751"/>
    <hyperlink r:id="rId918" ref="AU751"/>
    <hyperlink r:id="rId919" ref="P752"/>
    <hyperlink r:id="rId920" ref="P753"/>
    <hyperlink r:id="rId921" ref="P754"/>
    <hyperlink r:id="rId922" ref="P755"/>
    <hyperlink r:id="rId923" ref="P756"/>
    <hyperlink r:id="rId924" ref="P757"/>
    <hyperlink r:id="rId925" ref="P759"/>
    <hyperlink r:id="rId926" ref="AH759"/>
    <hyperlink r:id="rId927" ref="P760"/>
    <hyperlink r:id="rId928" ref="P761"/>
    <hyperlink r:id="rId929" ref="P762"/>
    <hyperlink r:id="rId930" ref="P763"/>
    <hyperlink r:id="rId931" ref="P764"/>
    <hyperlink r:id="rId932" ref="P765"/>
    <hyperlink r:id="rId933" ref="AA765"/>
    <hyperlink r:id="rId934" ref="P766"/>
    <hyperlink r:id="rId935" location="Distinct-degree_factorization" ref="AU767"/>
    <hyperlink r:id="rId936" location="Distinct-degree_factorization" ref="AU768"/>
    <hyperlink r:id="rId937" location="Distinct-degree_factorization" ref="AU769"/>
    <hyperlink r:id="rId938" ref="P770"/>
    <hyperlink r:id="rId939" ref="P771"/>
    <hyperlink r:id="rId940" ref="P772"/>
    <hyperlink r:id="rId941" ref="S772"/>
    <hyperlink r:id="rId942" ref="P773"/>
    <hyperlink r:id="rId943" ref="P774"/>
    <hyperlink r:id="rId944" ref="P775"/>
    <hyperlink r:id="rId945" ref="P776"/>
    <hyperlink r:id="rId946" ref="P777"/>
    <hyperlink r:id="rId947" ref="AH777"/>
    <hyperlink r:id="rId948" ref="P778"/>
    <hyperlink r:id="rId949" ref="P779"/>
    <hyperlink r:id="rId950" ref="AH779"/>
    <hyperlink r:id="rId951" ref="P780"/>
    <hyperlink r:id="rId952" ref="P781"/>
    <hyperlink r:id="rId953" ref="P782"/>
    <hyperlink r:id="rId954" ref="S782"/>
    <hyperlink r:id="rId955" ref="AH782"/>
    <hyperlink r:id="rId956" ref="P784"/>
    <hyperlink r:id="rId957" ref="P786"/>
    <hyperlink r:id="rId958" ref="P787"/>
    <hyperlink r:id="rId959" ref="AH787"/>
    <hyperlink r:id="rId960" ref="P788"/>
    <hyperlink r:id="rId961" ref="AH788"/>
    <hyperlink r:id="rId962" ref="P789"/>
    <hyperlink r:id="rId963" ref="AH789"/>
    <hyperlink r:id="rId964" ref="P790"/>
    <hyperlink r:id="rId965" ref="AH790"/>
    <hyperlink r:id="rId966" ref="P791"/>
    <hyperlink r:id="rId967" ref="AH791"/>
    <hyperlink r:id="rId968" ref="P792"/>
    <hyperlink r:id="rId969" ref="P793"/>
    <hyperlink r:id="rId970" ref="P794"/>
    <hyperlink r:id="rId971" ref="P796"/>
    <hyperlink r:id="rId972" ref="P797"/>
    <hyperlink r:id="rId973" ref="P798"/>
    <hyperlink r:id="rId974" ref="P799"/>
    <hyperlink r:id="rId975" ref="P800"/>
    <hyperlink r:id="rId976" ref="AH801"/>
    <hyperlink r:id="rId977" ref="AH802"/>
    <hyperlink r:id="rId978" ref="P803"/>
    <hyperlink r:id="rId979" ref="S803"/>
    <hyperlink r:id="rId980" ref="P804"/>
    <hyperlink r:id="rId981" ref="P805"/>
    <hyperlink r:id="rId982" ref="AU805"/>
    <hyperlink r:id="rId983" ref="P806"/>
    <hyperlink r:id="rId984" ref="P807"/>
    <hyperlink r:id="rId985" ref="S807"/>
    <hyperlink r:id="rId986" ref="P808"/>
    <hyperlink r:id="rId987" ref="P809"/>
    <hyperlink r:id="rId988" ref="AH809"/>
    <hyperlink r:id="rId989" ref="P810"/>
    <hyperlink r:id="rId990" ref="P811"/>
    <hyperlink r:id="rId991" ref="P812"/>
    <hyperlink r:id="rId992" ref="P813"/>
    <hyperlink r:id="rId993" ref="P815"/>
    <hyperlink r:id="rId994" ref="P816"/>
    <hyperlink r:id="rId995" ref="P817"/>
    <hyperlink r:id="rId996" ref="P818"/>
    <hyperlink r:id="rId997" ref="S818"/>
    <hyperlink r:id="rId998" ref="P819"/>
    <hyperlink r:id="rId999" ref="AU819"/>
    <hyperlink r:id="rId1000" ref="P820"/>
    <hyperlink r:id="rId1001" ref="P825"/>
    <hyperlink r:id="rId1002" ref="AA825"/>
    <hyperlink r:id="rId1003" ref="AU825"/>
    <hyperlink r:id="rId1004" ref="P827"/>
    <hyperlink r:id="rId1005" ref="P828"/>
    <hyperlink r:id="rId1006" ref="AU828"/>
    <hyperlink r:id="rId1007" ref="P829"/>
    <hyperlink r:id="rId1008" ref="P830"/>
    <hyperlink r:id="rId1009" ref="P832"/>
    <hyperlink r:id="rId1010" ref="P833"/>
    <hyperlink r:id="rId1011" ref="P834"/>
    <hyperlink r:id="rId1012" ref="P835"/>
    <hyperlink r:id="rId1013" ref="P836"/>
    <hyperlink r:id="rId1014" ref="P837"/>
    <hyperlink r:id="rId1015" ref="P838"/>
    <hyperlink r:id="rId1016" ref="P839"/>
    <hyperlink r:id="rId1017" ref="P840"/>
    <hyperlink r:id="rId1018" ref="P841"/>
    <hyperlink r:id="rId1019" ref="P842"/>
    <hyperlink r:id="rId1020" ref="P843"/>
    <hyperlink r:id="rId1021" ref="P844"/>
    <hyperlink r:id="rId1022" ref="P845"/>
    <hyperlink r:id="rId1023" ref="P846"/>
    <hyperlink r:id="rId1024" ref="P848"/>
    <hyperlink r:id="rId1025" ref="P849"/>
    <hyperlink r:id="rId1026" ref="P850"/>
    <hyperlink r:id="rId1027" ref="P852"/>
    <hyperlink r:id="rId1028" ref="P853"/>
    <hyperlink r:id="rId1029" ref="P854"/>
    <hyperlink r:id="rId1030" ref="P855"/>
    <hyperlink r:id="rId1031" ref="P856"/>
    <hyperlink r:id="rId1032" ref="P857"/>
    <hyperlink r:id="rId1033" ref="P858"/>
    <hyperlink r:id="rId1034" ref="P859"/>
    <hyperlink r:id="rId1035" ref="P860"/>
    <hyperlink r:id="rId1036" ref="P861"/>
    <hyperlink r:id="rId1037" ref="P869"/>
    <hyperlink r:id="rId1038" ref="P870"/>
    <hyperlink r:id="rId1039" ref="P872"/>
    <hyperlink r:id="rId1040" ref="P873"/>
    <hyperlink r:id="rId1041" ref="P874"/>
    <hyperlink r:id="rId1042" ref="P875"/>
    <hyperlink r:id="rId1043" ref="P876"/>
    <hyperlink r:id="rId1044" ref="P878"/>
    <hyperlink r:id="rId1045" ref="P879"/>
    <hyperlink r:id="rId1046" ref="P880"/>
    <hyperlink r:id="rId1047" ref="P881"/>
    <hyperlink r:id="rId1048" ref="P882"/>
    <hyperlink r:id="rId1049" ref="P883"/>
    <hyperlink r:id="rId1050" ref="P884"/>
    <hyperlink r:id="rId1051" ref="P886"/>
    <hyperlink r:id="rId1052" ref="P887"/>
    <hyperlink r:id="rId1053" ref="P888"/>
    <hyperlink r:id="rId1054" ref="P889"/>
    <hyperlink r:id="rId1055" ref="P890"/>
    <hyperlink r:id="rId1056" ref="AA890"/>
    <hyperlink r:id="rId1057" ref="P891"/>
    <hyperlink r:id="rId1058" ref="AH891"/>
    <hyperlink r:id="rId1059" ref="P892"/>
    <hyperlink r:id="rId1060" ref="P893"/>
    <hyperlink r:id="rId1061" ref="P894"/>
    <hyperlink r:id="rId1062" ref="P895"/>
    <hyperlink r:id="rId1063" ref="AU895"/>
    <hyperlink r:id="rId1064" ref="P896"/>
    <hyperlink r:id="rId1065" ref="P897"/>
    <hyperlink r:id="rId1066" location="Algorithm" ref="AU897"/>
    <hyperlink r:id="rId1067" ref="P898"/>
    <hyperlink r:id="rId1068" ref="P899"/>
    <hyperlink r:id="rId1069" ref="P900"/>
    <hyperlink r:id="rId1070" ref="P901"/>
    <hyperlink r:id="rId1071" ref="P902"/>
    <hyperlink r:id="rId1072" ref="P903"/>
    <hyperlink r:id="rId1073" ref="P904"/>
    <hyperlink r:id="rId1074" ref="P905"/>
    <hyperlink r:id="rId1075" ref="P906"/>
    <hyperlink r:id="rId1076" ref="P907"/>
    <hyperlink r:id="rId1077" ref="S907"/>
    <hyperlink r:id="rId1078" ref="P908"/>
    <hyperlink r:id="rId1079" ref="AU908"/>
    <hyperlink r:id="rId1080" ref="P909"/>
    <hyperlink r:id="rId1081" ref="AU910"/>
    <hyperlink r:id="rId1082" ref="AU911"/>
    <hyperlink r:id="rId1083" ref="P912"/>
    <hyperlink r:id="rId1084" ref="P913"/>
    <hyperlink r:id="rId1085" ref="AA913"/>
    <hyperlink r:id="rId1086" ref="AH913"/>
    <hyperlink r:id="rId1087" ref="AU913"/>
    <hyperlink r:id="rId1088" ref="P914"/>
    <hyperlink r:id="rId1089" ref="AH914"/>
    <hyperlink r:id="rId1090" ref="AU914"/>
    <hyperlink r:id="rId1091" ref="P915"/>
    <hyperlink r:id="rId1092" ref="AU915"/>
    <hyperlink r:id="rId1093" ref="P916"/>
    <hyperlink r:id="rId1094" ref="AH916"/>
    <hyperlink r:id="rId1095" ref="AU916"/>
    <hyperlink r:id="rId1096" ref="P917"/>
    <hyperlink r:id="rId1097" ref="AU917"/>
    <hyperlink r:id="rId1098" ref="P918"/>
    <hyperlink r:id="rId1099" ref="AU918"/>
    <hyperlink r:id="rId1100" ref="P919"/>
    <hyperlink r:id="rId1101" ref="AU919"/>
    <hyperlink r:id="rId1102" ref="P920"/>
    <hyperlink r:id="rId1103" ref="P921"/>
    <hyperlink r:id="rId1104" ref="P922"/>
    <hyperlink r:id="rId1105" ref="P923"/>
    <hyperlink r:id="rId1106" ref="AU923"/>
    <hyperlink r:id="rId1107" ref="P925"/>
    <hyperlink r:id="rId1108" ref="P926"/>
    <hyperlink r:id="rId1109" ref="P927"/>
    <hyperlink r:id="rId1110" ref="P928"/>
    <hyperlink r:id="rId1111" ref="P929"/>
    <hyperlink r:id="rId1112" ref="S929"/>
    <hyperlink r:id="rId1113" ref="P930"/>
    <hyperlink r:id="rId1114" ref="S930"/>
    <hyperlink r:id="rId1115" ref="AU930"/>
    <hyperlink r:id="rId1116" ref="P931"/>
    <hyperlink r:id="rId1117" ref="AU931"/>
    <hyperlink r:id="rId1118" ref="AU932"/>
    <hyperlink r:id="rId1119" ref="P933"/>
    <hyperlink r:id="rId1120" ref="P934"/>
    <hyperlink r:id="rId1121" ref="AA934"/>
    <hyperlink r:id="rId1122" ref="P935"/>
    <hyperlink r:id="rId1123" ref="P936"/>
    <hyperlink r:id="rId1124" ref="P937"/>
    <hyperlink r:id="rId1125" ref="S937"/>
    <hyperlink r:id="rId1126" ref="AH937"/>
    <hyperlink r:id="rId1127" ref="AU937"/>
    <hyperlink r:id="rId1128" ref="P938"/>
    <hyperlink r:id="rId1129" ref="S938"/>
    <hyperlink r:id="rId1130" ref="AH938"/>
    <hyperlink r:id="rId1131" ref="AU938"/>
    <hyperlink r:id="rId1132" ref="P939"/>
    <hyperlink r:id="rId1133" ref="AU939"/>
    <hyperlink r:id="rId1134" ref="P940"/>
    <hyperlink r:id="rId1135" ref="AA940"/>
    <hyperlink r:id="rId1136" ref="AH940"/>
    <hyperlink r:id="rId1137" ref="AU940"/>
    <hyperlink r:id="rId1138" ref="P941"/>
    <hyperlink r:id="rId1139" ref="AA941"/>
    <hyperlink r:id="rId1140" ref="AH941"/>
    <hyperlink r:id="rId1141" ref="AU941"/>
    <hyperlink r:id="rId1142" ref="P942"/>
    <hyperlink r:id="rId1143" ref="AA942"/>
    <hyperlink r:id="rId1144" ref="AH942"/>
    <hyperlink r:id="rId1145" ref="AU942"/>
    <hyperlink r:id="rId1146" ref="P943"/>
    <hyperlink r:id="rId1147" ref="AA943"/>
    <hyperlink r:id="rId1148" location="Algorithms" ref="AU944"/>
    <hyperlink r:id="rId1149" ref="P945"/>
    <hyperlink r:id="rId1150" ref="AU945"/>
    <hyperlink r:id="rId1151" ref="P946"/>
    <hyperlink r:id="rId1152" ref="AU947"/>
    <hyperlink r:id="rId1153" ref="P948"/>
    <hyperlink r:id="rId1154" ref="AH948"/>
    <hyperlink r:id="rId1155" ref="AU948"/>
    <hyperlink r:id="rId1156" ref="P949"/>
    <hyperlink r:id="rId1157" ref="P950"/>
    <hyperlink r:id="rId1158" ref="P951"/>
    <hyperlink r:id="rId1159" ref="AU951"/>
    <hyperlink r:id="rId1160" ref="P953"/>
    <hyperlink r:id="rId1161" ref="S954"/>
    <hyperlink r:id="rId1162" ref="S957"/>
    <hyperlink r:id="rId1163" ref="P958"/>
    <hyperlink r:id="rId1164" ref="S959"/>
    <hyperlink r:id="rId1165" ref="P960"/>
    <hyperlink r:id="rId1166" ref="S961"/>
    <hyperlink r:id="rId1167" ref="P962"/>
    <hyperlink r:id="rId1168" ref="L963"/>
    <hyperlink r:id="rId1169" ref="P963"/>
    <hyperlink r:id="rId1170" ref="P964"/>
    <hyperlink r:id="rId1171" ref="P965"/>
    <hyperlink r:id="rId1172" ref="P966"/>
    <hyperlink r:id="rId1173" ref="P967"/>
    <hyperlink r:id="rId1174" ref="P968"/>
    <hyperlink r:id="rId1175" ref="P969"/>
    <hyperlink r:id="rId1176" ref="P970"/>
    <hyperlink r:id="rId1177" ref="P971"/>
    <hyperlink r:id="rId1178" ref="P972"/>
    <hyperlink r:id="rId1179" ref="P973"/>
    <hyperlink r:id="rId1180" ref="P974"/>
    <hyperlink r:id="rId1181" ref="AU975"/>
    <hyperlink r:id="rId1182" ref="AU976"/>
    <hyperlink r:id="rId1183" ref="AU977"/>
    <hyperlink r:id="rId1184" ref="P978"/>
    <hyperlink r:id="rId1185" ref="S978"/>
    <hyperlink r:id="rId1186" ref="AU979"/>
    <hyperlink r:id="rId1187" ref="AU980"/>
    <hyperlink r:id="rId1188" ref="P981"/>
    <hyperlink r:id="rId1189" ref="AH981"/>
    <hyperlink r:id="rId1190" ref="S982"/>
    <hyperlink r:id="rId1191" ref="S984"/>
    <hyperlink r:id="rId1192" ref="AU984"/>
    <hyperlink r:id="rId1193" ref="AU985"/>
    <hyperlink r:id="rId1194" ref="AU986"/>
    <hyperlink r:id="rId1195" ref="AU987"/>
    <hyperlink r:id="rId1196" ref="P988"/>
    <hyperlink r:id="rId1197" ref="S989"/>
    <hyperlink r:id="rId1198" ref="AU991"/>
    <hyperlink r:id="rId1199" ref="AU1006"/>
    <hyperlink r:id="rId1200" ref="AU1007"/>
    <hyperlink r:id="rId1201" ref="P1008"/>
    <hyperlink r:id="rId1202" ref="AU1008"/>
    <hyperlink r:id="rId1203" ref="P1009"/>
    <hyperlink r:id="rId1204" ref="P1010"/>
    <hyperlink r:id="rId1205" location="metadata_info_tab_contents" ref="P1012"/>
    <hyperlink r:id="rId1206" ref="S1012"/>
    <hyperlink r:id="rId1207" ref="AH1012"/>
    <hyperlink r:id="rId1208" ref="P1013"/>
    <hyperlink r:id="rId1209" ref="AH1013"/>
    <hyperlink r:id="rId1210" ref="P1014"/>
    <hyperlink r:id="rId1211" ref="P1017"/>
    <hyperlink r:id="rId1212" ref="P1018"/>
    <hyperlink r:id="rId1213" ref="AU1020"/>
    <hyperlink r:id="rId1214" ref="AU1021"/>
    <hyperlink r:id="rId1215" ref="AU1022"/>
    <hyperlink r:id="rId1216" ref="P1030"/>
    <hyperlink r:id="rId1217" ref="AU1030"/>
    <hyperlink r:id="rId1218" ref="P1040"/>
    <hyperlink r:id="rId1219" ref="P1041"/>
  </hyperlinks>
  <drawing r:id="rId1220"/>
  <legacyDrawing r:id="rId122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7.75"/>
    <col customWidth="1" min="2" max="2" width="27.38"/>
    <col customWidth="1" min="3" max="3" width="10.5"/>
    <col customWidth="1" min="4" max="4" width="17.13"/>
    <col customWidth="1" min="5" max="5" width="9.38"/>
    <col customWidth="1" min="6" max="6" width="14.38"/>
    <col customWidth="1" min="7" max="7" width="9.5"/>
    <col customWidth="1" min="8" max="8" width="9.63"/>
    <col customWidth="1" min="9" max="9" width="10.13"/>
    <col customWidth="1" min="10" max="10" width="24.88"/>
    <col customWidth="1" min="11" max="11" width="24.63"/>
    <col customWidth="1" min="12" max="12" width="14.5"/>
    <col customWidth="1" min="13" max="13" width="38.63"/>
    <col customWidth="1" min="14" max="14" width="33.63"/>
    <col customWidth="1" min="15" max="15" width="8.0"/>
    <col customWidth="1" min="16" max="16" width="38.63"/>
    <col customWidth="1" min="18" max="18" width="9.38"/>
    <col customWidth="1" min="19" max="19" width="18.25"/>
    <col customWidth="1" hidden="1" min="20" max="20" width="13.0"/>
    <col customWidth="1" hidden="1" min="21" max="21" width="16.88"/>
    <col customWidth="1" hidden="1" min="22" max="22" width="12.75"/>
    <col customWidth="1" hidden="1" min="23" max="23" width="12.0"/>
    <col customWidth="1" min="24" max="24" width="25.63"/>
    <col customWidth="1" min="25" max="25" width="16.25"/>
    <col customWidth="1" min="26" max="26" width="21.63"/>
    <col customWidth="1" min="27" max="27" width="14.75"/>
    <col customWidth="1" min="28" max="28" width="21.63"/>
    <col customWidth="1" min="29" max="29" width="14.75"/>
    <col customWidth="1" min="30" max="30" width="23.0"/>
    <col customWidth="1" min="31" max="31" width="11.63"/>
    <col customWidth="1" min="32" max="32" width="17.5"/>
    <col customWidth="1" min="33" max="33" width="16.0"/>
    <col customWidth="1" min="34" max="34" width="15.38"/>
    <col hidden="1" min="35" max="35" width="12.63"/>
    <col customWidth="1" hidden="1" min="36" max="36" width="13.0"/>
    <col customWidth="1" hidden="1" min="37" max="37" width="10.38"/>
    <col hidden="1" min="38" max="38" width="12.63"/>
    <col customWidth="1" hidden="1" min="39" max="39" width="38.38"/>
    <col hidden="1" min="40" max="42" width="12.63"/>
    <col customWidth="1" min="44" max="44" width="21.63"/>
    <col customWidth="1" min="46" max="46" width="21.0"/>
    <col customWidth="1" min="47" max="47" width="15.0"/>
    <col customWidth="1" min="48" max="48" width="9.63"/>
    <col customWidth="1" min="49" max="49" width="14.25"/>
    <col customWidth="1" min="52" max="52" width="35.13"/>
    <col customWidth="1" min="53" max="53" width="36.0"/>
    <col customWidth="1" hidden="1" min="54" max="54" width="16.75"/>
    <col customWidth="1" hidden="1" min="55" max="55" width="18.63"/>
    <col customWidth="1" hidden="1" min="56" max="56" width="33.75"/>
    <col hidden="1" min="57" max="63" width="12.63"/>
    <col customWidth="1" hidden="1" min="64" max="64" width="15.5"/>
    <col hidden="1" min="65" max="72" width="12.63"/>
    <col customWidth="1" hidden="1" min="73" max="73" width="20.63"/>
    <col hidden="1" min="74" max="75" width="12.63"/>
  </cols>
  <sheetData>
    <row r="1" ht="63.75" customHeight="1">
      <c r="A1" s="74" t="s">
        <v>5748</v>
      </c>
      <c r="B1" s="75" t="s">
        <v>0</v>
      </c>
      <c r="C1" s="76" t="s">
        <v>1695</v>
      </c>
      <c r="D1" s="76" t="s">
        <v>3</v>
      </c>
      <c r="E1" s="74" t="s">
        <v>1696</v>
      </c>
      <c r="F1" s="76" t="s">
        <v>1697</v>
      </c>
      <c r="G1" s="74" t="s">
        <v>1698</v>
      </c>
      <c r="H1" s="74" t="s">
        <v>1699</v>
      </c>
      <c r="I1" s="75" t="s">
        <v>5749</v>
      </c>
      <c r="J1" s="75" t="s">
        <v>1701</v>
      </c>
      <c r="K1" s="77" t="s">
        <v>1702</v>
      </c>
      <c r="L1" s="77" t="s">
        <v>1703</v>
      </c>
      <c r="M1" s="75"/>
      <c r="N1" s="75" t="s">
        <v>1704</v>
      </c>
      <c r="O1" s="75" t="s">
        <v>1705</v>
      </c>
      <c r="P1" s="75" t="s">
        <v>1706</v>
      </c>
      <c r="Q1" s="75" t="s">
        <v>1707</v>
      </c>
      <c r="R1" s="75" t="s">
        <v>1708</v>
      </c>
      <c r="S1" s="74" t="s">
        <v>1709</v>
      </c>
      <c r="T1" s="75" t="s">
        <v>1710</v>
      </c>
      <c r="U1" s="78" t="s">
        <v>1711</v>
      </c>
      <c r="V1" s="76" t="s">
        <v>1712</v>
      </c>
      <c r="W1" s="79" t="s">
        <v>1713</v>
      </c>
      <c r="X1" s="75" t="s">
        <v>1714</v>
      </c>
      <c r="Y1" s="76" t="s">
        <v>5750</v>
      </c>
      <c r="Z1" s="76" t="s">
        <v>5751</v>
      </c>
      <c r="AA1" s="76" t="s">
        <v>5752</v>
      </c>
      <c r="AB1" s="76" t="s">
        <v>5753</v>
      </c>
      <c r="AC1" s="76" t="s">
        <v>5754</v>
      </c>
      <c r="AD1" s="76" t="s">
        <v>1715</v>
      </c>
      <c r="AE1" s="76" t="s">
        <v>1716</v>
      </c>
      <c r="AF1" s="76" t="s">
        <v>1717</v>
      </c>
      <c r="AG1" s="76" t="s">
        <v>1718</v>
      </c>
      <c r="AH1" s="76" t="s">
        <v>1719</v>
      </c>
      <c r="AI1" s="76" t="s">
        <v>1720</v>
      </c>
      <c r="AJ1" s="79" t="s">
        <v>1721</v>
      </c>
      <c r="AK1" s="80" t="s">
        <v>1722</v>
      </c>
      <c r="AL1" s="76" t="s">
        <v>1723</v>
      </c>
      <c r="AM1" s="76" t="s">
        <v>1724</v>
      </c>
      <c r="AN1" s="76" t="s">
        <v>1725</v>
      </c>
      <c r="AO1" s="76" t="s">
        <v>1726</v>
      </c>
      <c r="AP1" s="76" t="s">
        <v>1727</v>
      </c>
      <c r="AQ1" s="75" t="s">
        <v>1728</v>
      </c>
      <c r="AR1" s="76" t="s">
        <v>1729</v>
      </c>
      <c r="AS1" s="75" t="s">
        <v>1730</v>
      </c>
      <c r="AT1" s="76" t="s">
        <v>1731</v>
      </c>
      <c r="AU1" s="75" t="s">
        <v>1732</v>
      </c>
      <c r="AV1" s="75" t="s">
        <v>1733</v>
      </c>
      <c r="AW1" s="205" t="s">
        <v>1734</v>
      </c>
      <c r="AX1" s="75" t="s">
        <v>1735</v>
      </c>
      <c r="AY1" s="75" t="s">
        <v>1736</v>
      </c>
      <c r="AZ1" s="75" t="s">
        <v>1737</v>
      </c>
      <c r="BA1" s="75" t="s">
        <v>1738</v>
      </c>
      <c r="BB1" s="75" t="s">
        <v>1739</v>
      </c>
      <c r="BC1" s="75" t="s">
        <v>1740</v>
      </c>
      <c r="BD1" s="10" t="s">
        <v>1741</v>
      </c>
      <c r="BE1" s="76" t="s">
        <v>1742</v>
      </c>
      <c r="BF1" s="76" t="s">
        <v>1743</v>
      </c>
      <c r="BG1" s="76" t="s">
        <v>1744</v>
      </c>
      <c r="BH1" s="76" t="s">
        <v>1745</v>
      </c>
      <c r="BI1" s="76" t="s">
        <v>1746</v>
      </c>
      <c r="BJ1" s="76" t="s">
        <v>1747</v>
      </c>
      <c r="BK1" s="75" t="s">
        <v>1748</v>
      </c>
      <c r="BL1" s="75" t="s">
        <v>1749</v>
      </c>
      <c r="BM1" s="76" t="s">
        <v>1750</v>
      </c>
      <c r="BN1" s="75" t="s">
        <v>1751</v>
      </c>
      <c r="BO1" s="75" t="s">
        <v>1752</v>
      </c>
      <c r="BP1" s="76" t="s">
        <v>1753</v>
      </c>
      <c r="BQ1" s="74" t="s">
        <v>1754</v>
      </c>
      <c r="BR1" s="75" t="s">
        <v>1755</v>
      </c>
      <c r="BS1" s="76" t="s">
        <v>1756</v>
      </c>
      <c r="BT1" s="74" t="s">
        <v>1757</v>
      </c>
      <c r="BU1" s="75" t="s">
        <v>1758</v>
      </c>
      <c r="BV1" s="74" t="s">
        <v>1759</v>
      </c>
      <c r="BW1" s="74" t="s">
        <v>1760</v>
      </c>
    </row>
    <row r="2">
      <c r="A2" s="111">
        <v>1.0</v>
      </c>
      <c r="B2" s="35" t="s">
        <v>18</v>
      </c>
      <c r="C2" s="206">
        <v>0.001</v>
      </c>
      <c r="D2" s="130"/>
      <c r="E2" s="56"/>
      <c r="F2" s="200"/>
      <c r="G2" s="56"/>
      <c r="H2" s="197"/>
      <c r="I2" s="98"/>
      <c r="J2" s="207"/>
      <c r="K2" s="200"/>
      <c r="L2" s="200"/>
      <c r="M2" s="69"/>
      <c r="N2" s="35" t="s">
        <v>5755</v>
      </c>
      <c r="O2" s="111">
        <v>1968.0</v>
      </c>
      <c r="P2" s="177" t="s">
        <v>5756</v>
      </c>
      <c r="Q2" s="130"/>
      <c r="R2" s="198"/>
      <c r="S2" s="208"/>
      <c r="T2" s="197"/>
      <c r="U2" s="197"/>
      <c r="V2" s="124"/>
      <c r="W2" s="143"/>
      <c r="X2" s="209" t="s">
        <v>2933</v>
      </c>
      <c r="Y2" s="104"/>
      <c r="Z2" s="179"/>
      <c r="AA2" s="104"/>
      <c r="AB2" s="179"/>
      <c r="AC2" s="104"/>
      <c r="AD2" s="104" t="s">
        <v>1939</v>
      </c>
      <c r="AE2" s="120"/>
      <c r="AF2" s="112" t="s">
        <v>5757</v>
      </c>
      <c r="AG2" s="120"/>
      <c r="AH2" s="35"/>
      <c r="AI2" s="120"/>
      <c r="AJ2" s="200"/>
      <c r="AK2" s="120"/>
      <c r="AL2" s="200"/>
      <c r="AM2" s="200"/>
      <c r="AN2" s="143"/>
      <c r="AO2" s="143"/>
      <c r="AP2" s="143"/>
      <c r="AQ2" s="197"/>
      <c r="AR2" s="200"/>
      <c r="AS2" s="197"/>
      <c r="AT2" s="210"/>
      <c r="AU2" s="98"/>
      <c r="AV2" s="111">
        <v>1.0</v>
      </c>
      <c r="AW2" s="104" t="s">
        <v>5758</v>
      </c>
      <c r="AX2" s="98"/>
      <c r="AY2" s="98"/>
      <c r="AZ2" s="177" t="s">
        <v>5759</v>
      </c>
      <c r="BA2" s="198"/>
      <c r="BB2" s="98">
        <v>1.0</v>
      </c>
      <c r="BC2" s="198" t="s">
        <v>1943</v>
      </c>
      <c r="BD2" s="56"/>
      <c r="BE2" s="56"/>
      <c r="BF2" s="56"/>
      <c r="BG2" s="56"/>
      <c r="BH2" s="56"/>
      <c r="BI2" s="56"/>
      <c r="BJ2" s="56"/>
      <c r="BK2" s="197">
        <v>99.0</v>
      </c>
      <c r="BL2" s="98">
        <f t="shared" ref="BL2:BL4" si="1">1000000/BK2</f>
        <v>10101.0101</v>
      </c>
      <c r="BM2" s="198"/>
      <c r="BN2" s="198"/>
      <c r="BO2" s="198"/>
      <c r="BP2" s="198"/>
      <c r="BQ2" s="198"/>
      <c r="BR2" s="198"/>
      <c r="BS2" s="56"/>
      <c r="BT2" s="197">
        <v>4.0</v>
      </c>
      <c r="BU2" s="198"/>
      <c r="BV2" s="56"/>
      <c r="BW2" s="56" t="s">
        <v>23</v>
      </c>
    </row>
    <row r="3">
      <c r="A3" s="111">
        <v>1.0</v>
      </c>
      <c r="B3" s="35" t="s">
        <v>18</v>
      </c>
      <c r="C3" s="206">
        <v>0.001</v>
      </c>
      <c r="D3" s="130"/>
      <c r="E3" s="56"/>
      <c r="F3" s="200"/>
      <c r="G3" s="56"/>
      <c r="H3" s="197"/>
      <c r="I3" s="98"/>
      <c r="J3" s="207"/>
      <c r="K3" s="200"/>
      <c r="L3" s="200"/>
      <c r="M3" s="69"/>
      <c r="N3" s="35" t="s">
        <v>5760</v>
      </c>
      <c r="O3" s="111">
        <v>1968.0</v>
      </c>
      <c r="P3" s="177" t="s">
        <v>5756</v>
      </c>
      <c r="Q3" s="130"/>
      <c r="R3" s="198"/>
      <c r="S3" s="208"/>
      <c r="T3" s="197"/>
      <c r="U3" s="197"/>
      <c r="V3" s="124"/>
      <c r="W3" s="143"/>
      <c r="X3" s="209" t="s">
        <v>2933</v>
      </c>
      <c r="Y3" s="104"/>
      <c r="Z3" s="179"/>
      <c r="AA3" s="104"/>
      <c r="AB3" s="179"/>
      <c r="AC3" s="104"/>
      <c r="AD3" s="104" t="s">
        <v>1939</v>
      </c>
      <c r="AE3" s="120"/>
      <c r="AF3" s="104"/>
      <c r="AG3" s="120"/>
      <c r="AH3" s="35"/>
      <c r="AI3" s="120"/>
      <c r="AJ3" s="200"/>
      <c r="AK3" s="120"/>
      <c r="AL3" s="200"/>
      <c r="AM3" s="200"/>
      <c r="AN3" s="143"/>
      <c r="AO3" s="143"/>
      <c r="AP3" s="143"/>
      <c r="AQ3" s="197"/>
      <c r="AR3" s="200"/>
      <c r="AS3" s="197"/>
      <c r="AT3" s="210"/>
      <c r="AU3" s="98"/>
      <c r="AV3" s="111"/>
      <c r="AW3" s="104" t="s">
        <v>5758</v>
      </c>
      <c r="AX3" s="98"/>
      <c r="AY3" s="98"/>
      <c r="AZ3" s="177" t="s">
        <v>5761</v>
      </c>
      <c r="BA3" s="198"/>
      <c r="BB3" s="98">
        <v>1.0</v>
      </c>
      <c r="BC3" s="198" t="s">
        <v>1943</v>
      </c>
      <c r="BD3" s="198"/>
      <c r="BE3" s="56"/>
      <c r="BF3" s="56"/>
      <c r="BG3" s="56"/>
      <c r="BH3" s="56"/>
      <c r="BI3" s="56"/>
      <c r="BJ3" s="56"/>
      <c r="BK3" s="197">
        <v>1000000.0</v>
      </c>
      <c r="BL3" s="98">
        <f t="shared" si="1"/>
        <v>1</v>
      </c>
      <c r="BM3" s="198"/>
      <c r="BN3" s="198"/>
      <c r="BO3" s="198"/>
      <c r="BP3" s="198"/>
      <c r="BQ3" s="198"/>
      <c r="BR3" s="198"/>
      <c r="BS3" s="56"/>
      <c r="BT3" s="197">
        <v>4.0</v>
      </c>
      <c r="BU3" s="198"/>
      <c r="BV3" s="198"/>
      <c r="BW3" s="56" t="s">
        <v>23</v>
      </c>
    </row>
    <row r="4">
      <c r="A4" s="111">
        <v>1.0</v>
      </c>
      <c r="B4" s="35" t="s">
        <v>18</v>
      </c>
      <c r="C4" s="206">
        <v>0.0</v>
      </c>
      <c r="D4" s="130"/>
      <c r="E4" s="56"/>
      <c r="F4" s="130" t="s">
        <v>5762</v>
      </c>
      <c r="G4" s="56"/>
      <c r="H4" s="197"/>
      <c r="I4" s="98"/>
      <c r="J4" s="207"/>
      <c r="K4" s="200"/>
      <c r="L4" s="200"/>
      <c r="M4" s="69"/>
      <c r="N4" s="35" t="s">
        <v>5763</v>
      </c>
      <c r="O4" s="111">
        <v>1969.0</v>
      </c>
      <c r="P4" s="177" t="s">
        <v>5764</v>
      </c>
      <c r="Q4" s="130"/>
      <c r="R4" s="198"/>
      <c r="S4" s="208"/>
      <c r="T4" s="197"/>
      <c r="U4" s="197"/>
      <c r="V4" s="124"/>
      <c r="W4" s="143"/>
      <c r="X4" s="9"/>
      <c r="Y4" s="104"/>
      <c r="Z4" s="179"/>
      <c r="AA4" s="104"/>
      <c r="AB4" s="179"/>
      <c r="AC4" s="104"/>
      <c r="AD4" s="104"/>
      <c r="AE4" s="120"/>
      <c r="AF4" s="104"/>
      <c r="AG4" s="120"/>
      <c r="AH4" s="35"/>
      <c r="AI4" s="120"/>
      <c r="AJ4" s="200"/>
      <c r="AK4" s="120"/>
      <c r="AL4" s="200"/>
      <c r="AM4" s="200"/>
      <c r="AN4" s="143"/>
      <c r="AO4" s="143"/>
      <c r="AP4" s="143"/>
      <c r="AQ4" s="197"/>
      <c r="AR4" s="200"/>
      <c r="AS4" s="197"/>
      <c r="AT4" s="210"/>
      <c r="AU4" s="98"/>
      <c r="AV4" s="111"/>
      <c r="AW4" s="104"/>
      <c r="AX4" s="98"/>
      <c r="AY4" s="98"/>
      <c r="AZ4" s="177" t="s">
        <v>5765</v>
      </c>
      <c r="BA4" s="198"/>
      <c r="BB4" s="98">
        <v>1.0</v>
      </c>
      <c r="BC4" s="198" t="s">
        <v>1943</v>
      </c>
      <c r="BD4" s="198"/>
      <c r="BE4" s="56"/>
      <c r="BF4" s="56"/>
      <c r="BG4" s="56"/>
      <c r="BH4" s="56"/>
      <c r="BI4" s="56"/>
      <c r="BJ4" s="56"/>
      <c r="BK4" s="197">
        <v>1000.0</v>
      </c>
      <c r="BL4" s="98">
        <f t="shared" si="1"/>
        <v>1000</v>
      </c>
      <c r="BM4" s="198"/>
      <c r="BN4" s="198"/>
      <c r="BO4" s="198"/>
      <c r="BP4" s="198"/>
      <c r="BQ4" s="198"/>
      <c r="BR4" s="198"/>
      <c r="BS4" s="56"/>
      <c r="BT4" s="197">
        <v>4.0</v>
      </c>
      <c r="BU4" s="198"/>
      <c r="BV4" s="198"/>
      <c r="BW4" s="56" t="s">
        <v>23</v>
      </c>
    </row>
    <row r="5">
      <c r="A5" s="111">
        <v>1.0</v>
      </c>
      <c r="B5" s="35" t="s">
        <v>18</v>
      </c>
      <c r="C5" s="206">
        <v>0.001</v>
      </c>
      <c r="D5" s="130"/>
      <c r="E5" s="56"/>
      <c r="F5" s="130" t="s">
        <v>5766</v>
      </c>
      <c r="G5" s="56"/>
      <c r="H5" s="197"/>
      <c r="I5" s="98"/>
      <c r="J5" s="207"/>
      <c r="K5" s="200"/>
      <c r="L5" s="200"/>
      <c r="M5" s="69"/>
      <c r="N5" s="35" t="s">
        <v>5767</v>
      </c>
      <c r="O5" s="111">
        <v>1971.0</v>
      </c>
      <c r="P5" s="177" t="s">
        <v>5768</v>
      </c>
      <c r="Q5" s="130"/>
      <c r="R5" s="198"/>
      <c r="S5" s="208"/>
      <c r="T5" s="197"/>
      <c r="U5" s="197"/>
      <c r="V5" s="124"/>
      <c r="W5" s="143"/>
      <c r="X5" s="209" t="s">
        <v>2933</v>
      </c>
      <c r="Y5" s="104"/>
      <c r="Z5" s="179"/>
      <c r="AA5" s="104"/>
      <c r="AB5" s="179"/>
      <c r="AC5" s="104"/>
      <c r="AD5" s="104"/>
      <c r="AE5" s="120"/>
      <c r="AF5" s="112" t="s">
        <v>5768</v>
      </c>
      <c r="AG5" s="120"/>
      <c r="AH5" s="35"/>
      <c r="AI5" s="120"/>
      <c r="AJ5" s="200"/>
      <c r="AK5" s="120"/>
      <c r="AL5" s="200"/>
      <c r="AM5" s="200"/>
      <c r="AN5" s="143"/>
      <c r="AO5" s="143"/>
      <c r="AP5" s="143"/>
      <c r="AQ5" s="197"/>
      <c r="AR5" s="200"/>
      <c r="AS5" s="197"/>
      <c r="AT5" s="210"/>
      <c r="AU5" s="98"/>
      <c r="AV5" s="111"/>
      <c r="AW5" s="104" t="s">
        <v>5769</v>
      </c>
      <c r="AX5" s="98"/>
      <c r="AY5" s="98"/>
      <c r="AZ5" s="177" t="s">
        <v>5770</v>
      </c>
      <c r="BA5" s="198"/>
      <c r="BB5" s="98"/>
      <c r="BC5" s="198"/>
      <c r="BD5" s="198"/>
      <c r="BE5" s="56"/>
      <c r="BF5" s="56"/>
      <c r="BG5" s="56"/>
      <c r="BH5" s="56"/>
      <c r="BI5" s="56"/>
      <c r="BJ5" s="56"/>
      <c r="BK5" s="197"/>
      <c r="BL5" s="98"/>
      <c r="BM5" s="198"/>
      <c r="BN5" s="198"/>
      <c r="BO5" s="198"/>
      <c r="BP5" s="198"/>
      <c r="BQ5" s="198"/>
      <c r="BR5" s="198"/>
      <c r="BS5" s="56"/>
      <c r="BT5" s="197"/>
      <c r="BU5" s="198"/>
      <c r="BV5" s="198"/>
      <c r="BW5" s="56"/>
    </row>
    <row r="6">
      <c r="A6" s="111">
        <v>1.0</v>
      </c>
      <c r="B6" s="35" t="s">
        <v>18</v>
      </c>
      <c r="C6" s="206">
        <v>1.0</v>
      </c>
      <c r="D6" s="130"/>
      <c r="E6" s="56"/>
      <c r="F6" s="104" t="s">
        <v>5771</v>
      </c>
      <c r="G6" s="56"/>
      <c r="H6" s="197"/>
      <c r="I6" s="98"/>
      <c r="J6" s="207"/>
      <c r="K6" s="200"/>
      <c r="L6" s="200"/>
      <c r="M6" s="69"/>
      <c r="N6" s="35" t="s">
        <v>5772</v>
      </c>
      <c r="O6" s="111">
        <v>1971.0</v>
      </c>
      <c r="P6" s="177" t="s">
        <v>5773</v>
      </c>
      <c r="Q6" s="130"/>
      <c r="R6" s="198"/>
      <c r="S6" s="208"/>
      <c r="T6" s="197"/>
      <c r="U6" s="197"/>
      <c r="V6" s="124"/>
      <c r="W6" s="143"/>
      <c r="X6" s="9" t="s">
        <v>2933</v>
      </c>
      <c r="Y6" s="104" t="s">
        <v>2933</v>
      </c>
      <c r="Z6" s="179"/>
      <c r="AA6" s="104" t="s">
        <v>5774</v>
      </c>
      <c r="AB6" s="179"/>
      <c r="AC6" s="104"/>
      <c r="AD6" s="104"/>
      <c r="AE6" s="120"/>
      <c r="AF6" s="112" t="s">
        <v>5775</v>
      </c>
      <c r="AG6" s="120"/>
      <c r="AH6" s="35"/>
      <c r="AI6" s="120"/>
      <c r="AJ6" s="200"/>
      <c r="AK6" s="120"/>
      <c r="AL6" s="200"/>
      <c r="AM6" s="200"/>
      <c r="AN6" s="143"/>
      <c r="AO6" s="143"/>
      <c r="AP6" s="143"/>
      <c r="AQ6" s="197"/>
      <c r="AR6" s="200"/>
      <c r="AS6" s="197"/>
      <c r="AT6" s="210"/>
      <c r="AU6" s="98"/>
      <c r="AV6" s="111">
        <v>1.0</v>
      </c>
      <c r="AW6" s="104" t="s">
        <v>5776</v>
      </c>
      <c r="AX6" s="98"/>
      <c r="AY6" s="98"/>
      <c r="AZ6" s="177" t="s">
        <v>5777</v>
      </c>
      <c r="BA6" s="198"/>
      <c r="BB6" s="98"/>
      <c r="BC6" s="198"/>
      <c r="BD6" s="198"/>
      <c r="BE6" s="56"/>
      <c r="BF6" s="56"/>
      <c r="BG6" s="56"/>
      <c r="BH6" s="56"/>
      <c r="BI6" s="56"/>
      <c r="BJ6" s="56"/>
      <c r="BK6" s="197"/>
      <c r="BL6" s="98"/>
      <c r="BM6" s="198"/>
      <c r="BN6" s="198"/>
      <c r="BO6" s="198"/>
      <c r="BP6" s="198"/>
      <c r="BQ6" s="198"/>
      <c r="BR6" s="198"/>
      <c r="BS6" s="56"/>
      <c r="BT6" s="197"/>
      <c r="BU6" s="198"/>
      <c r="BV6" s="198"/>
      <c r="BW6" s="56"/>
    </row>
    <row r="7">
      <c r="A7" s="197">
        <v>1.0</v>
      </c>
      <c r="B7" s="34" t="s">
        <v>18</v>
      </c>
      <c r="C7" s="206">
        <v>1.0</v>
      </c>
      <c r="D7" s="120" t="s">
        <v>24</v>
      </c>
      <c r="E7" s="197">
        <v>19.0</v>
      </c>
      <c r="F7" s="120"/>
      <c r="G7" s="56"/>
      <c r="H7" s="197">
        <v>1.0</v>
      </c>
      <c r="I7" s="197">
        <v>1.0</v>
      </c>
      <c r="J7" s="209" t="s">
        <v>5778</v>
      </c>
      <c r="K7" s="110" t="s">
        <v>3618</v>
      </c>
      <c r="L7" s="110" t="s">
        <v>3619</v>
      </c>
      <c r="M7" s="69" t="str">
        <f>CONCATENATE("[",P7," ",N7," (",O7,")","]")</f>
        <v>[https://www.semanticscholar.org/paper/Parallel-Neighbor-Sort-(or-the-Glory-of-the-Habermann/bc7b6efb99aae6225239425747fd0169a51f30ce Odd Even Sort Parallel  Implementation // parallel neighborhood sort - Habermann (1972)]</v>
      </c>
      <c r="N7" s="35" t="s">
        <v>5779</v>
      </c>
      <c r="O7" s="197">
        <v>1972.0</v>
      </c>
      <c r="P7" s="26" t="s">
        <v>3621</v>
      </c>
      <c r="Q7" s="198"/>
      <c r="R7" s="198"/>
      <c r="S7" s="198"/>
      <c r="T7" s="197">
        <v>0.0</v>
      </c>
      <c r="U7" s="197">
        <v>0.0</v>
      </c>
      <c r="V7" s="199">
        <f>IFERROR(__xludf.DUMMYFUNCTION("INDEX(SPLIT(SUBSTITUTE(W7,CHAR(10), """"),"",:""), MATCH(AE7, SPLIT(SUBSTITUTE(W7,CHAR(10), """"),"",:""), 0) + 1)"),5.0)</f>
        <v>5</v>
      </c>
      <c r="W7" s="120" t="s">
        <v>1938</v>
      </c>
      <c r="X7" s="35" t="s">
        <v>5780</v>
      </c>
      <c r="Y7" s="104" t="s">
        <v>584</v>
      </c>
      <c r="Z7" s="180" t="s">
        <v>3621</v>
      </c>
      <c r="AA7" s="104" t="s">
        <v>61</v>
      </c>
      <c r="AB7" s="180" t="s">
        <v>3621</v>
      </c>
      <c r="AC7" s="104" t="s">
        <v>5781</v>
      </c>
      <c r="AD7" s="120" t="s">
        <v>1939</v>
      </c>
      <c r="AE7" s="120" t="str">
        <f t="array" ref="AE7">INDEX(Problems!J:J, MATCH(1, (Problems!B:B=B7)*1, 0))</f>
        <v>n</v>
      </c>
      <c r="AF7" s="120"/>
      <c r="AG7" s="120"/>
      <c r="AH7" s="120" t="s">
        <v>1813</v>
      </c>
      <c r="AI7" s="120" t="s">
        <v>1814</v>
      </c>
      <c r="AJ7" s="120">
        <f>IFERROR(__xludf.DUMMYFUNCTION("INDEX(SPLIT(SUBSTITUTE(AK7,CHAR(10), """"),"",:""), MATCH(AE7, SPLIT(SUBSTITUTE(AK7,CHAR(10), """"),"",:""), 0) + 1)"),1.0)</f>
        <v>1</v>
      </c>
      <c r="AK7" s="120" t="s">
        <v>1774</v>
      </c>
      <c r="AL7" s="120" t="s">
        <v>34</v>
      </c>
      <c r="AM7" s="120" t="s">
        <v>1941</v>
      </c>
      <c r="AN7" s="199">
        <v>0.0</v>
      </c>
      <c r="AO7" s="199">
        <v>1.0</v>
      </c>
      <c r="AP7" s="200"/>
      <c r="AQ7" s="197">
        <v>0.0</v>
      </c>
      <c r="AR7" s="200"/>
      <c r="AS7" s="197">
        <v>0.0</v>
      </c>
      <c r="AT7" s="210"/>
      <c r="AU7" s="197">
        <v>0.0</v>
      </c>
      <c r="AV7" s="197">
        <v>1.0</v>
      </c>
      <c r="AW7" s="104" t="s">
        <v>5782</v>
      </c>
      <c r="AX7" s="98">
        <v>0.0</v>
      </c>
      <c r="AY7" s="98">
        <v>0.0</v>
      </c>
      <c r="AZ7" s="183" t="s">
        <v>3622</v>
      </c>
      <c r="BA7" s="198" t="s">
        <v>1942</v>
      </c>
      <c r="BB7" s="198"/>
      <c r="BC7" s="198"/>
      <c r="BD7" s="198"/>
      <c r="BE7" s="56"/>
      <c r="BF7" s="198"/>
      <c r="BG7" s="198"/>
      <c r="BH7" s="56"/>
      <c r="BI7" s="56"/>
      <c r="BJ7" s="56"/>
      <c r="BS7" s="10"/>
      <c r="BT7" s="197">
        <v>4.0</v>
      </c>
      <c r="BU7" s="56"/>
      <c r="BV7" s="56"/>
      <c r="BW7" s="56" t="s">
        <v>23</v>
      </c>
    </row>
    <row r="8">
      <c r="A8" s="111">
        <v>1.0</v>
      </c>
      <c r="B8" s="35" t="s">
        <v>18</v>
      </c>
      <c r="C8" s="206">
        <v>0.0</v>
      </c>
      <c r="D8" s="120"/>
      <c r="E8" s="197"/>
      <c r="F8" s="120"/>
      <c r="G8" s="56"/>
      <c r="H8" s="197"/>
      <c r="I8" s="197"/>
      <c r="J8" s="209"/>
      <c r="K8" s="110"/>
      <c r="L8" s="110"/>
      <c r="M8" s="69"/>
      <c r="N8" s="35" t="s">
        <v>5783</v>
      </c>
      <c r="O8" s="111">
        <v>1972.0</v>
      </c>
      <c r="P8" s="30" t="s">
        <v>5784</v>
      </c>
      <c r="Q8" s="198"/>
      <c r="R8" s="198"/>
      <c r="S8" s="198"/>
      <c r="T8" s="197"/>
      <c r="U8" s="197"/>
      <c r="V8" s="199"/>
      <c r="W8" s="120"/>
      <c r="X8" s="35"/>
      <c r="Y8" s="104"/>
      <c r="Z8" s="179"/>
      <c r="AA8" s="104"/>
      <c r="AB8" s="179"/>
      <c r="AC8" s="104"/>
      <c r="AD8" s="120"/>
      <c r="AE8" s="120"/>
      <c r="AF8" s="120"/>
      <c r="AG8" s="120"/>
      <c r="AH8" s="120"/>
      <c r="AI8" s="120"/>
      <c r="AJ8" s="120"/>
      <c r="AK8" s="120"/>
      <c r="AL8" s="120"/>
      <c r="AM8" s="120"/>
      <c r="AN8" s="199"/>
      <c r="AO8" s="199"/>
      <c r="AP8" s="200"/>
      <c r="AQ8" s="197"/>
      <c r="AR8" s="200"/>
      <c r="AS8" s="197"/>
      <c r="AT8" s="210"/>
      <c r="AU8" s="197"/>
      <c r="AV8" s="197"/>
      <c r="AW8" s="104"/>
      <c r="AX8" s="98"/>
      <c r="AY8" s="98"/>
      <c r="AZ8" s="183"/>
      <c r="BA8" s="198"/>
      <c r="BB8" s="198"/>
      <c r="BC8" s="198"/>
      <c r="BD8" s="198"/>
      <c r="BE8" s="56"/>
      <c r="BF8" s="198"/>
      <c r="BG8" s="198"/>
      <c r="BH8" s="56"/>
      <c r="BI8" s="56"/>
      <c r="BJ8" s="56"/>
      <c r="BS8" s="10"/>
      <c r="BT8" s="197"/>
      <c r="BU8" s="56"/>
      <c r="BV8" s="56"/>
      <c r="BW8" s="56"/>
    </row>
    <row r="9">
      <c r="A9" s="111">
        <v>1.0</v>
      </c>
      <c r="B9" s="35" t="s">
        <v>18</v>
      </c>
      <c r="C9" s="206">
        <v>0.0</v>
      </c>
      <c r="D9" s="130"/>
      <c r="E9" s="56"/>
      <c r="F9" s="130"/>
      <c r="G9" s="56"/>
      <c r="H9" s="197"/>
      <c r="I9" s="98"/>
      <c r="J9" s="207"/>
      <c r="K9" s="200"/>
      <c r="L9" s="200"/>
      <c r="M9" s="69"/>
      <c r="N9" s="35" t="s">
        <v>5785</v>
      </c>
      <c r="O9" s="111">
        <v>1973.0</v>
      </c>
      <c r="P9" s="35" t="s">
        <v>5786</v>
      </c>
      <c r="Q9" s="130"/>
      <c r="R9" s="198"/>
      <c r="S9" s="208"/>
      <c r="T9" s="197"/>
      <c r="U9" s="197"/>
      <c r="V9" s="124"/>
      <c r="W9" s="143"/>
      <c r="X9" s="9"/>
      <c r="Y9" s="104"/>
      <c r="Z9" s="179"/>
      <c r="AA9" s="104"/>
      <c r="AB9" s="179"/>
      <c r="AC9" s="104"/>
      <c r="AD9" s="104"/>
      <c r="AE9" s="120"/>
      <c r="AF9" s="104"/>
      <c r="AG9" s="120"/>
      <c r="AH9" s="35"/>
      <c r="AI9" s="120"/>
      <c r="AJ9" s="200"/>
      <c r="AK9" s="120"/>
      <c r="AL9" s="200"/>
      <c r="AM9" s="200"/>
      <c r="AN9" s="143"/>
      <c r="AO9" s="143"/>
      <c r="AP9" s="143"/>
      <c r="AQ9" s="197"/>
      <c r="AR9" s="200"/>
      <c r="AS9" s="197"/>
      <c r="AT9" s="210"/>
      <c r="AU9" s="98"/>
      <c r="AV9" s="111"/>
      <c r="AW9" s="104"/>
      <c r="AX9" s="98"/>
      <c r="AY9" s="98"/>
      <c r="AZ9" s="177" t="s">
        <v>5787</v>
      </c>
      <c r="BA9" s="198"/>
      <c r="BB9" s="198"/>
      <c r="BC9" s="198"/>
      <c r="BD9" s="198"/>
      <c r="BE9" s="56"/>
      <c r="BF9" s="198"/>
      <c r="BG9" s="198"/>
      <c r="BH9" s="56"/>
      <c r="BI9" s="56"/>
      <c r="BJ9" s="56"/>
      <c r="BS9" s="10"/>
      <c r="BT9" s="197">
        <v>4.0</v>
      </c>
      <c r="BU9" s="56"/>
      <c r="BV9" s="56"/>
      <c r="BW9" s="56" t="s">
        <v>23</v>
      </c>
    </row>
    <row r="10">
      <c r="A10" s="111">
        <v>1.0</v>
      </c>
      <c r="B10" s="35" t="s">
        <v>18</v>
      </c>
      <c r="C10" s="206">
        <v>1.0</v>
      </c>
      <c r="D10" s="130"/>
      <c r="E10" s="56"/>
      <c r="F10" s="130"/>
      <c r="G10" s="56"/>
      <c r="H10" s="197"/>
      <c r="I10" s="98"/>
      <c r="J10" s="207"/>
      <c r="K10" s="200"/>
      <c r="L10" s="130" t="s">
        <v>5788</v>
      </c>
      <c r="M10" s="69"/>
      <c r="N10" s="35" t="s">
        <v>5789</v>
      </c>
      <c r="O10" s="111">
        <v>1974.0</v>
      </c>
      <c r="P10" s="177" t="s">
        <v>5790</v>
      </c>
      <c r="Q10" s="130"/>
      <c r="R10" s="198"/>
      <c r="S10" s="208"/>
      <c r="T10" s="197"/>
      <c r="U10" s="197"/>
      <c r="V10" s="124"/>
      <c r="W10" s="143"/>
      <c r="X10" s="9" t="s">
        <v>5791</v>
      </c>
      <c r="Y10" s="104" t="s">
        <v>35</v>
      </c>
      <c r="Z10" s="179"/>
      <c r="AA10" s="104" t="s">
        <v>5792</v>
      </c>
      <c r="AB10" s="179"/>
      <c r="AC10" s="104" t="s">
        <v>5793</v>
      </c>
      <c r="AD10" s="104" t="s">
        <v>5794</v>
      </c>
      <c r="AE10" s="120"/>
      <c r="AF10" s="104"/>
      <c r="AG10" s="120"/>
      <c r="AH10" s="35"/>
      <c r="AI10" s="120"/>
      <c r="AJ10" s="200"/>
      <c r="AK10" s="120"/>
      <c r="AL10" s="200"/>
      <c r="AM10" s="200"/>
      <c r="AN10" s="143"/>
      <c r="AO10" s="143"/>
      <c r="AP10" s="143"/>
      <c r="AQ10" s="197"/>
      <c r="AR10" s="200"/>
      <c r="AS10" s="197"/>
      <c r="AT10" s="210"/>
      <c r="AU10" s="98"/>
      <c r="AV10" s="111">
        <v>1.0</v>
      </c>
      <c r="AW10" s="104" t="s">
        <v>3737</v>
      </c>
      <c r="AX10" s="98"/>
      <c r="AY10" s="98"/>
      <c r="AZ10" s="177" t="s">
        <v>5795</v>
      </c>
      <c r="BA10" s="198"/>
      <c r="BB10" s="198"/>
      <c r="BC10" s="198"/>
      <c r="BD10" s="198"/>
      <c r="BE10" s="56"/>
      <c r="BF10" s="198"/>
      <c r="BG10" s="198"/>
      <c r="BH10" s="56"/>
      <c r="BI10" s="56"/>
      <c r="BJ10" s="56"/>
      <c r="BS10" s="10"/>
      <c r="BT10" s="197"/>
      <c r="BU10" s="56"/>
      <c r="BV10" s="56"/>
      <c r="BW10" s="56"/>
    </row>
    <row r="11">
      <c r="A11" s="111">
        <v>1.0</v>
      </c>
      <c r="B11" s="35" t="s">
        <v>18</v>
      </c>
      <c r="C11" s="206">
        <v>1.0</v>
      </c>
      <c r="D11" s="130"/>
      <c r="E11" s="56"/>
      <c r="F11" s="130"/>
      <c r="G11" s="56"/>
      <c r="H11" s="197"/>
      <c r="I11" s="98"/>
      <c r="J11" s="207"/>
      <c r="K11" s="200"/>
      <c r="L11" s="130" t="s">
        <v>5788</v>
      </c>
      <c r="M11" s="69"/>
      <c r="N11" s="35" t="s">
        <v>5796</v>
      </c>
      <c r="O11" s="111">
        <v>1974.0</v>
      </c>
      <c r="P11" s="177" t="s">
        <v>5790</v>
      </c>
      <c r="Q11" s="130"/>
      <c r="R11" s="198"/>
      <c r="S11" s="208"/>
      <c r="T11" s="197"/>
      <c r="U11" s="197"/>
      <c r="V11" s="124"/>
      <c r="W11" s="143"/>
      <c r="X11" s="9" t="s">
        <v>35</v>
      </c>
      <c r="Y11" s="104" t="s">
        <v>35</v>
      </c>
      <c r="Z11" s="179"/>
      <c r="AA11" s="104" t="s">
        <v>5797</v>
      </c>
      <c r="AB11" s="179"/>
      <c r="AC11" s="104" t="s">
        <v>5793</v>
      </c>
      <c r="AD11" s="104" t="s">
        <v>1939</v>
      </c>
      <c r="AE11" s="120"/>
      <c r="AF11" s="104"/>
      <c r="AG11" s="120"/>
      <c r="AH11" s="35"/>
      <c r="AI11" s="120"/>
      <c r="AJ11" s="200"/>
      <c r="AK11" s="120"/>
      <c r="AL11" s="200"/>
      <c r="AM11" s="200"/>
      <c r="AN11" s="143"/>
      <c r="AO11" s="143"/>
      <c r="AP11" s="143"/>
      <c r="AQ11" s="197"/>
      <c r="AR11" s="200"/>
      <c r="AS11" s="197"/>
      <c r="AT11" s="210"/>
      <c r="AU11" s="98"/>
      <c r="AV11" s="111">
        <v>1.0</v>
      </c>
      <c r="AW11" s="104" t="s">
        <v>5798</v>
      </c>
      <c r="AX11" s="98"/>
      <c r="AY11" s="98"/>
      <c r="AZ11" s="177" t="s">
        <v>5799</v>
      </c>
      <c r="BA11" s="198"/>
      <c r="BB11" s="198"/>
      <c r="BC11" s="198"/>
      <c r="BD11" s="198"/>
      <c r="BE11" s="56"/>
      <c r="BF11" s="198"/>
      <c r="BG11" s="198"/>
      <c r="BH11" s="56"/>
      <c r="BI11" s="56"/>
      <c r="BJ11" s="56"/>
      <c r="BS11" s="10"/>
      <c r="BT11" s="197"/>
      <c r="BU11" s="56"/>
      <c r="BV11" s="56"/>
      <c r="BW11" s="56"/>
    </row>
    <row r="12">
      <c r="A12" s="111">
        <v>1.0</v>
      </c>
      <c r="B12" s="35" t="s">
        <v>18</v>
      </c>
      <c r="C12" s="206">
        <v>1.0</v>
      </c>
      <c r="D12" s="130" t="s">
        <v>24</v>
      </c>
      <c r="E12" s="56"/>
      <c r="F12" s="200"/>
      <c r="G12" s="56"/>
      <c r="H12" s="197"/>
      <c r="I12" s="98"/>
      <c r="J12" s="207"/>
      <c r="K12" s="200"/>
      <c r="L12" s="200"/>
      <c r="M12" s="69"/>
      <c r="N12" s="35" t="s">
        <v>5800</v>
      </c>
      <c r="O12" s="111">
        <v>1975.0</v>
      </c>
      <c r="P12" s="30" t="s">
        <v>5801</v>
      </c>
      <c r="Q12" s="130"/>
      <c r="R12" s="198"/>
      <c r="S12" s="208"/>
      <c r="T12" s="197"/>
      <c r="U12" s="197"/>
      <c r="V12" s="124"/>
      <c r="W12" s="143"/>
      <c r="X12" s="209" t="s">
        <v>5802</v>
      </c>
      <c r="Y12" s="104" t="s">
        <v>35</v>
      </c>
      <c r="Z12" s="179"/>
      <c r="AA12" s="104" t="s">
        <v>3613</v>
      </c>
      <c r="AB12" s="180" t="s">
        <v>5801</v>
      </c>
      <c r="AC12" s="104" t="s">
        <v>5803</v>
      </c>
      <c r="AD12" s="104" t="s">
        <v>5804</v>
      </c>
      <c r="AE12" s="120"/>
      <c r="AF12" s="120"/>
      <c r="AG12" s="120"/>
      <c r="AH12" s="35" t="s">
        <v>5805</v>
      </c>
      <c r="AI12" s="120"/>
      <c r="AJ12" s="200"/>
      <c r="AK12" s="120"/>
      <c r="AL12" s="200"/>
      <c r="AM12" s="200"/>
      <c r="AN12" s="143"/>
      <c r="AO12" s="143"/>
      <c r="AP12" s="143"/>
      <c r="AQ12" s="197"/>
      <c r="AR12" s="200"/>
      <c r="AS12" s="197"/>
      <c r="AT12" s="210"/>
      <c r="AU12" s="98"/>
      <c r="AV12" s="111">
        <v>1.0</v>
      </c>
      <c r="AW12" s="104" t="s">
        <v>5806</v>
      </c>
      <c r="AX12" s="98"/>
      <c r="AY12" s="98"/>
      <c r="AZ12" s="69"/>
      <c r="BA12" s="198"/>
      <c r="BB12" s="198"/>
      <c r="BC12" s="198"/>
      <c r="BD12" s="198"/>
      <c r="BE12" s="56"/>
      <c r="BF12" s="198"/>
      <c r="BG12" s="198"/>
      <c r="BH12" s="56"/>
      <c r="BI12" s="56"/>
      <c r="BJ12" s="56"/>
      <c r="BS12" s="10"/>
      <c r="BT12" s="197"/>
      <c r="BU12" s="56"/>
      <c r="BV12" s="56"/>
      <c r="BW12" s="56"/>
    </row>
    <row r="13">
      <c r="A13" s="111">
        <v>1.0</v>
      </c>
      <c r="B13" s="35" t="s">
        <v>18</v>
      </c>
      <c r="C13" s="206">
        <v>0.001</v>
      </c>
      <c r="D13" s="130"/>
      <c r="E13" s="56"/>
      <c r="F13" s="200"/>
      <c r="G13" s="56"/>
      <c r="H13" s="197"/>
      <c r="I13" s="98"/>
      <c r="J13" s="207"/>
      <c r="K13" s="200"/>
      <c r="L13" s="130" t="s">
        <v>5807</v>
      </c>
      <c r="M13" s="69"/>
      <c r="N13" s="35" t="s">
        <v>5808</v>
      </c>
      <c r="O13" s="111">
        <v>1975.0</v>
      </c>
      <c r="P13" s="177" t="s">
        <v>5809</v>
      </c>
      <c r="Q13" s="130"/>
      <c r="R13" s="198"/>
      <c r="S13" s="208"/>
      <c r="T13" s="197"/>
      <c r="U13" s="197"/>
      <c r="V13" s="124"/>
      <c r="W13" s="143"/>
      <c r="X13" s="209" t="s">
        <v>5798</v>
      </c>
      <c r="Y13" s="104"/>
      <c r="Z13" s="179"/>
      <c r="AA13" s="104"/>
      <c r="AB13" s="179"/>
      <c r="AC13" s="104"/>
      <c r="AD13" s="104" t="s">
        <v>1939</v>
      </c>
      <c r="AE13" s="120"/>
      <c r="AF13" s="112" t="s">
        <v>5757</v>
      </c>
      <c r="AG13" s="120"/>
      <c r="AH13" s="35"/>
      <c r="AI13" s="120"/>
      <c r="AJ13" s="200"/>
      <c r="AK13" s="120"/>
      <c r="AL13" s="200"/>
      <c r="AM13" s="200"/>
      <c r="AN13" s="143"/>
      <c r="AO13" s="143"/>
      <c r="AP13" s="143"/>
      <c r="AQ13" s="197"/>
      <c r="AR13" s="200"/>
      <c r="AS13" s="197"/>
      <c r="AT13" s="210"/>
      <c r="AU13" s="98"/>
      <c r="AV13" s="111">
        <v>1.0</v>
      </c>
      <c r="AW13" s="104" t="s">
        <v>115</v>
      </c>
      <c r="AX13" s="98"/>
      <c r="AY13" s="98"/>
      <c r="AZ13" s="211" t="s">
        <v>5810</v>
      </c>
      <c r="BA13" s="198"/>
      <c r="BB13" s="198"/>
      <c r="BC13" s="198"/>
      <c r="BD13" s="198"/>
      <c r="BE13" s="56"/>
      <c r="BF13" s="198"/>
      <c r="BG13" s="198"/>
      <c r="BH13" s="56"/>
      <c r="BI13" s="56"/>
      <c r="BJ13" s="56"/>
      <c r="BS13" s="10"/>
      <c r="BT13" s="197"/>
      <c r="BU13" s="56"/>
      <c r="BV13" s="56"/>
      <c r="BW13" s="56"/>
    </row>
    <row r="14">
      <c r="A14" s="111">
        <v>1.0</v>
      </c>
      <c r="B14" s="35" t="s">
        <v>18</v>
      </c>
      <c r="C14" s="206">
        <v>1.0</v>
      </c>
      <c r="D14" s="130"/>
      <c r="E14" s="56"/>
      <c r="F14" s="200"/>
      <c r="G14" s="56"/>
      <c r="H14" s="197"/>
      <c r="I14" s="98"/>
      <c r="J14" s="207"/>
      <c r="K14" s="200"/>
      <c r="L14" s="200"/>
      <c r="M14" s="69"/>
      <c r="N14" s="35" t="s">
        <v>5811</v>
      </c>
      <c r="O14" s="111">
        <v>1975.0</v>
      </c>
      <c r="P14" s="177" t="s">
        <v>5812</v>
      </c>
      <c r="Q14" s="130"/>
      <c r="R14" s="198"/>
      <c r="S14" s="208"/>
      <c r="T14" s="197"/>
      <c r="U14" s="197"/>
      <c r="V14" s="124"/>
      <c r="W14" s="143"/>
      <c r="X14" s="9" t="s">
        <v>5813</v>
      </c>
      <c r="Y14" s="104" t="s">
        <v>5813</v>
      </c>
      <c r="Z14" s="179"/>
      <c r="AA14" s="104" t="s">
        <v>3613</v>
      </c>
      <c r="AB14" s="180" t="s">
        <v>5812</v>
      </c>
      <c r="AC14" s="104"/>
      <c r="AD14" s="104" t="s">
        <v>1939</v>
      </c>
      <c r="AE14" s="120"/>
      <c r="AF14" s="112" t="s">
        <v>5757</v>
      </c>
      <c r="AG14" s="120"/>
      <c r="AH14" s="35"/>
      <c r="AI14" s="120"/>
      <c r="AJ14" s="200"/>
      <c r="AK14" s="120"/>
      <c r="AL14" s="200"/>
      <c r="AM14" s="200"/>
      <c r="AN14" s="143"/>
      <c r="AO14" s="143"/>
      <c r="AP14" s="143"/>
      <c r="AQ14" s="197"/>
      <c r="AR14" s="200"/>
      <c r="AS14" s="197"/>
      <c r="AT14" s="210"/>
      <c r="AU14" s="98"/>
      <c r="AV14" s="111">
        <v>1.0</v>
      </c>
      <c r="AW14" s="104" t="s">
        <v>5769</v>
      </c>
      <c r="AX14" s="98"/>
      <c r="AY14" s="98"/>
      <c r="AZ14" s="177" t="s">
        <v>5814</v>
      </c>
      <c r="BA14" s="198"/>
      <c r="BB14" s="198"/>
      <c r="BC14" s="198"/>
      <c r="BD14" s="198"/>
      <c r="BE14" s="56"/>
      <c r="BF14" s="198"/>
      <c r="BG14" s="198"/>
      <c r="BH14" s="56"/>
      <c r="BI14" s="56"/>
      <c r="BJ14" s="56"/>
      <c r="BS14" s="10"/>
      <c r="BT14" s="197"/>
      <c r="BU14" s="56"/>
      <c r="BV14" s="56"/>
      <c r="BW14" s="56"/>
    </row>
    <row r="15">
      <c r="A15" s="111">
        <v>1.0</v>
      </c>
      <c r="B15" s="35" t="s">
        <v>18</v>
      </c>
      <c r="C15" s="206">
        <v>0.001</v>
      </c>
      <c r="D15" s="130"/>
      <c r="E15" s="56"/>
      <c r="F15" s="130"/>
      <c r="G15" s="56"/>
      <c r="H15" s="197"/>
      <c r="I15" s="98"/>
      <c r="J15" s="207"/>
      <c r="K15" s="200"/>
      <c r="L15" s="200"/>
      <c r="M15" s="69"/>
      <c r="N15" s="35" t="s">
        <v>5815</v>
      </c>
      <c r="O15" s="111">
        <v>1975.0</v>
      </c>
      <c r="P15" s="177" t="s">
        <v>5816</v>
      </c>
      <c r="Q15" s="130"/>
      <c r="R15" s="198"/>
      <c r="S15" s="208"/>
      <c r="T15" s="197"/>
      <c r="U15" s="197"/>
      <c r="V15" s="124"/>
      <c r="W15" s="143"/>
      <c r="X15" s="9"/>
      <c r="Y15" s="104"/>
      <c r="Z15" s="179"/>
      <c r="AA15" s="104"/>
      <c r="AB15" s="179"/>
      <c r="AC15" s="104"/>
      <c r="AD15" s="104"/>
      <c r="AE15" s="120"/>
      <c r="AF15" s="104"/>
      <c r="AG15" s="120"/>
      <c r="AH15" s="35"/>
      <c r="AI15" s="120"/>
      <c r="AJ15" s="200"/>
      <c r="AK15" s="120"/>
      <c r="AL15" s="200"/>
      <c r="AM15" s="200"/>
      <c r="AN15" s="143"/>
      <c r="AO15" s="143"/>
      <c r="AP15" s="143"/>
      <c r="AQ15" s="197"/>
      <c r="AR15" s="200"/>
      <c r="AS15" s="197"/>
      <c r="AT15" s="210"/>
      <c r="AU15" s="98"/>
      <c r="AV15" s="111"/>
      <c r="AW15" s="104"/>
      <c r="AX15" s="98"/>
      <c r="AY15" s="98"/>
      <c r="AZ15" s="211"/>
      <c r="BA15" s="198"/>
      <c r="BB15" s="198"/>
      <c r="BC15" s="198"/>
      <c r="BD15" s="198"/>
      <c r="BE15" s="56"/>
      <c r="BF15" s="198"/>
      <c r="BG15" s="198"/>
      <c r="BH15" s="56"/>
      <c r="BI15" s="56"/>
      <c r="BJ15" s="56"/>
      <c r="BS15" s="10"/>
      <c r="BT15" s="197"/>
      <c r="BU15" s="56"/>
      <c r="BV15" s="56"/>
      <c r="BW15" s="56"/>
    </row>
    <row r="16">
      <c r="A16" s="111">
        <v>1.0</v>
      </c>
      <c r="B16" s="35" t="s">
        <v>18</v>
      </c>
      <c r="C16" s="206">
        <v>1.0</v>
      </c>
      <c r="D16" s="130"/>
      <c r="E16" s="56"/>
      <c r="F16" s="130"/>
      <c r="G16" s="56"/>
      <c r="H16" s="197"/>
      <c r="I16" s="98"/>
      <c r="J16" s="207"/>
      <c r="K16" s="200"/>
      <c r="L16" s="200"/>
      <c r="M16" s="69"/>
      <c r="N16" s="35" t="s">
        <v>5817</v>
      </c>
      <c r="O16" s="111">
        <v>1977.0</v>
      </c>
      <c r="P16" s="177" t="s">
        <v>5818</v>
      </c>
      <c r="Q16" s="130"/>
      <c r="R16" s="198"/>
      <c r="S16" s="208"/>
      <c r="T16" s="197"/>
      <c r="U16" s="197"/>
      <c r="V16" s="124"/>
      <c r="W16" s="143"/>
      <c r="X16" s="9" t="s">
        <v>5798</v>
      </c>
      <c r="Y16" s="104" t="s">
        <v>2382</v>
      </c>
      <c r="Z16" s="179"/>
      <c r="AA16" s="104" t="s">
        <v>3613</v>
      </c>
      <c r="AB16" s="179"/>
      <c r="AC16" s="104"/>
      <c r="AD16" s="104" t="s">
        <v>5819</v>
      </c>
      <c r="AE16" s="120"/>
      <c r="AF16" s="180" t="s">
        <v>5818</v>
      </c>
      <c r="AG16" s="120"/>
      <c r="AH16" s="35" t="s">
        <v>5820</v>
      </c>
      <c r="AI16" s="120"/>
      <c r="AJ16" s="200"/>
      <c r="AK16" s="120"/>
      <c r="AL16" s="200"/>
      <c r="AM16" s="200"/>
      <c r="AN16" s="143"/>
      <c r="AO16" s="143"/>
      <c r="AP16" s="143"/>
      <c r="AQ16" s="197"/>
      <c r="AR16" s="200"/>
      <c r="AS16" s="197"/>
      <c r="AT16" s="210"/>
      <c r="AU16" s="98"/>
      <c r="AV16" s="111">
        <v>1.0</v>
      </c>
      <c r="AW16" s="104" t="s">
        <v>22</v>
      </c>
      <c r="AX16" s="98"/>
      <c r="AY16" s="98"/>
      <c r="AZ16" s="9" t="s">
        <v>5821</v>
      </c>
      <c r="BA16" s="198"/>
      <c r="BB16" s="198"/>
      <c r="BC16" s="198"/>
      <c r="BD16" s="198"/>
      <c r="BE16" s="56"/>
      <c r="BF16" s="198"/>
      <c r="BG16" s="198"/>
      <c r="BH16" s="56"/>
      <c r="BI16" s="56"/>
      <c r="BJ16" s="56"/>
      <c r="BS16" s="10"/>
      <c r="BT16" s="197"/>
      <c r="BU16" s="56"/>
      <c r="BV16" s="56"/>
      <c r="BW16" s="56"/>
    </row>
    <row r="17">
      <c r="A17" s="111">
        <v>1.0</v>
      </c>
      <c r="B17" s="35" t="s">
        <v>18</v>
      </c>
      <c r="C17" s="206">
        <v>1.0</v>
      </c>
      <c r="D17" s="130"/>
      <c r="E17" s="56"/>
      <c r="F17" s="130" t="s">
        <v>5822</v>
      </c>
      <c r="G17" s="56"/>
      <c r="H17" s="197"/>
      <c r="I17" s="98"/>
      <c r="J17" s="207"/>
      <c r="K17" s="200"/>
      <c r="L17" s="200"/>
      <c r="M17" s="69"/>
      <c r="N17" s="35" t="s">
        <v>5823</v>
      </c>
      <c r="O17" s="111">
        <v>1977.0</v>
      </c>
      <c r="P17" s="177" t="s">
        <v>5818</v>
      </c>
      <c r="Q17" s="130"/>
      <c r="R17" s="198"/>
      <c r="S17" s="208"/>
      <c r="T17" s="197"/>
      <c r="U17" s="197"/>
      <c r="V17" s="124"/>
      <c r="W17" s="143"/>
      <c r="X17" s="9" t="s">
        <v>5824</v>
      </c>
      <c r="Y17" s="104" t="s">
        <v>2382</v>
      </c>
      <c r="Z17" s="179"/>
      <c r="AA17" s="104" t="s">
        <v>5825</v>
      </c>
      <c r="AB17" s="179"/>
      <c r="AC17" s="104"/>
      <c r="AD17" s="104" t="s">
        <v>5826</v>
      </c>
      <c r="AE17" s="120"/>
      <c r="AF17" s="112" t="s">
        <v>5757</v>
      </c>
      <c r="AG17" s="120"/>
      <c r="AH17" s="35" t="s">
        <v>5820</v>
      </c>
      <c r="AI17" s="120"/>
      <c r="AJ17" s="200"/>
      <c r="AK17" s="120"/>
      <c r="AL17" s="200"/>
      <c r="AM17" s="200"/>
      <c r="AN17" s="143"/>
      <c r="AO17" s="143"/>
      <c r="AP17" s="143"/>
      <c r="AQ17" s="197"/>
      <c r="AR17" s="200"/>
      <c r="AS17" s="197"/>
      <c r="AT17" s="210"/>
      <c r="AU17" s="98"/>
      <c r="AV17" s="111">
        <v>1.0</v>
      </c>
      <c r="AW17" s="212" t="s">
        <v>5827</v>
      </c>
      <c r="AX17" s="98"/>
      <c r="AY17" s="98"/>
      <c r="AZ17" s="211" t="s">
        <v>5828</v>
      </c>
      <c r="BA17" s="198"/>
      <c r="BB17" s="198"/>
      <c r="BC17" s="198"/>
      <c r="BD17" s="198"/>
      <c r="BE17" s="56"/>
      <c r="BF17" s="198"/>
      <c r="BG17" s="198"/>
      <c r="BH17" s="56"/>
      <c r="BI17" s="56"/>
      <c r="BJ17" s="56"/>
      <c r="BS17" s="10"/>
      <c r="BT17" s="197"/>
      <c r="BU17" s="56"/>
      <c r="BV17" s="56"/>
      <c r="BW17" s="56"/>
    </row>
    <row r="18">
      <c r="A18" s="111">
        <v>1.0</v>
      </c>
      <c r="B18" s="35" t="s">
        <v>18</v>
      </c>
      <c r="C18" s="206">
        <v>1.0</v>
      </c>
      <c r="D18" s="130"/>
      <c r="E18" s="56"/>
      <c r="F18" s="130" t="s">
        <v>5829</v>
      </c>
      <c r="G18" s="56"/>
      <c r="H18" s="197"/>
      <c r="I18" s="98"/>
      <c r="J18" s="207"/>
      <c r="K18" s="200"/>
      <c r="L18" s="200"/>
      <c r="M18" s="69"/>
      <c r="N18" s="35" t="s">
        <v>5830</v>
      </c>
      <c r="O18" s="111">
        <v>1977.0</v>
      </c>
      <c r="P18" s="177" t="s">
        <v>5831</v>
      </c>
      <c r="Q18" s="130"/>
      <c r="R18" s="198"/>
      <c r="S18" s="208"/>
      <c r="T18" s="197"/>
      <c r="U18" s="197"/>
      <c r="V18" s="124"/>
      <c r="W18" s="143"/>
      <c r="X18" s="9" t="s">
        <v>5798</v>
      </c>
      <c r="Y18" s="104"/>
      <c r="Z18" s="179"/>
      <c r="AA18" s="104"/>
      <c r="AB18" s="179"/>
      <c r="AC18" s="104"/>
      <c r="AD18" s="104" t="s">
        <v>1939</v>
      </c>
      <c r="AE18" s="120"/>
      <c r="AF18" s="104"/>
      <c r="AG18" s="120"/>
      <c r="AH18" s="35" t="s">
        <v>5832</v>
      </c>
      <c r="AI18" s="120"/>
      <c r="AJ18" s="200"/>
      <c r="AK18" s="120"/>
      <c r="AL18" s="200"/>
      <c r="AM18" s="200"/>
      <c r="AN18" s="143"/>
      <c r="AO18" s="143"/>
      <c r="AP18" s="143"/>
      <c r="AQ18" s="197"/>
      <c r="AR18" s="200"/>
      <c r="AS18" s="197"/>
      <c r="AT18" s="210"/>
      <c r="AU18" s="98"/>
      <c r="AV18" s="111">
        <v>1.0</v>
      </c>
      <c r="AW18" s="104" t="s">
        <v>5833</v>
      </c>
      <c r="AX18" s="98"/>
      <c r="AY18" s="98"/>
      <c r="AZ18" s="211"/>
      <c r="BA18" s="198"/>
      <c r="BB18" s="198"/>
      <c r="BC18" s="198"/>
      <c r="BD18" s="198"/>
      <c r="BE18" s="56"/>
      <c r="BF18" s="198"/>
      <c r="BG18" s="198"/>
      <c r="BH18" s="56"/>
      <c r="BI18" s="56"/>
      <c r="BJ18" s="56"/>
      <c r="BS18" s="10"/>
      <c r="BT18" s="197"/>
      <c r="BU18" s="56"/>
      <c r="BV18" s="56"/>
      <c r="BW18" s="56"/>
    </row>
    <row r="19">
      <c r="A19" s="111">
        <v>1.0</v>
      </c>
      <c r="B19" s="35" t="s">
        <v>18</v>
      </c>
      <c r="C19" s="206">
        <v>1.0</v>
      </c>
      <c r="D19" s="130"/>
      <c r="E19" s="56"/>
      <c r="F19" s="130" t="s">
        <v>5834</v>
      </c>
      <c r="G19" s="56"/>
      <c r="H19" s="197"/>
      <c r="I19" s="98"/>
      <c r="J19" s="207"/>
      <c r="K19" s="200"/>
      <c r="L19" s="200"/>
      <c r="M19" s="69"/>
      <c r="N19" s="35" t="s">
        <v>5830</v>
      </c>
      <c r="O19" s="111">
        <v>1977.0</v>
      </c>
      <c r="P19" s="177" t="s">
        <v>5831</v>
      </c>
      <c r="Q19" s="130"/>
      <c r="R19" s="198"/>
      <c r="S19" s="208"/>
      <c r="T19" s="197"/>
      <c r="U19" s="197"/>
      <c r="V19" s="124"/>
      <c r="W19" s="143"/>
      <c r="X19" s="9" t="s">
        <v>5798</v>
      </c>
      <c r="Y19" s="104"/>
      <c r="Z19" s="179"/>
      <c r="AA19" s="104"/>
      <c r="AB19" s="179"/>
      <c r="AC19" s="104"/>
      <c r="AD19" s="104" t="s">
        <v>5835</v>
      </c>
      <c r="AE19" s="120"/>
      <c r="AF19" s="104"/>
      <c r="AG19" s="120"/>
      <c r="AH19" s="35" t="s">
        <v>5836</v>
      </c>
      <c r="AI19" s="120"/>
      <c r="AJ19" s="200"/>
      <c r="AK19" s="120"/>
      <c r="AL19" s="200"/>
      <c r="AM19" s="200"/>
      <c r="AN19" s="143"/>
      <c r="AO19" s="143"/>
      <c r="AP19" s="143"/>
      <c r="AQ19" s="197"/>
      <c r="AR19" s="200"/>
      <c r="AS19" s="197"/>
      <c r="AT19" s="210"/>
      <c r="AU19" s="98"/>
      <c r="AV19" s="111">
        <v>1.0</v>
      </c>
      <c r="AW19" s="104" t="s">
        <v>5837</v>
      </c>
      <c r="AX19" s="98"/>
      <c r="AY19" s="98"/>
      <c r="AZ19" s="211"/>
      <c r="BA19" s="198"/>
      <c r="BB19" s="198"/>
      <c r="BC19" s="198"/>
      <c r="BD19" s="198"/>
      <c r="BE19" s="56"/>
      <c r="BF19" s="198"/>
      <c r="BG19" s="198"/>
      <c r="BH19" s="56"/>
      <c r="BI19" s="56"/>
      <c r="BJ19" s="56"/>
      <c r="BS19" s="10"/>
      <c r="BT19" s="197"/>
      <c r="BU19" s="56"/>
      <c r="BV19" s="56"/>
      <c r="BW19" s="56"/>
    </row>
    <row r="20">
      <c r="A20" s="111">
        <v>1.0</v>
      </c>
      <c r="B20" s="35" t="s">
        <v>18</v>
      </c>
      <c r="C20" s="206">
        <v>1.0</v>
      </c>
      <c r="D20" s="130"/>
      <c r="E20" s="56"/>
      <c r="F20" s="130"/>
      <c r="G20" s="56"/>
      <c r="H20" s="197"/>
      <c r="I20" s="98"/>
      <c r="J20" s="207"/>
      <c r="K20" s="200"/>
      <c r="L20" s="200"/>
      <c r="M20" s="69"/>
      <c r="N20" s="35" t="s">
        <v>5838</v>
      </c>
      <c r="O20" s="111">
        <v>1977.0</v>
      </c>
      <c r="P20" s="177" t="s">
        <v>5839</v>
      </c>
      <c r="Q20" s="130"/>
      <c r="R20" s="198"/>
      <c r="S20" s="125"/>
      <c r="T20" s="197"/>
      <c r="U20" s="197"/>
      <c r="V20" s="124"/>
      <c r="W20" s="143"/>
      <c r="X20" s="9" t="s">
        <v>5840</v>
      </c>
      <c r="Y20" s="104" t="s">
        <v>5840</v>
      </c>
      <c r="Z20" s="179"/>
      <c r="AA20" s="104" t="s">
        <v>5841</v>
      </c>
      <c r="AB20" s="179"/>
      <c r="AC20" s="104" t="s">
        <v>5842</v>
      </c>
      <c r="AD20" s="104" t="s">
        <v>5843</v>
      </c>
      <c r="AE20" s="120"/>
      <c r="AF20" s="104"/>
      <c r="AG20" s="120"/>
      <c r="AH20" s="35" t="s">
        <v>5844</v>
      </c>
      <c r="AI20" s="120"/>
      <c r="AJ20" s="200"/>
      <c r="AK20" s="120"/>
      <c r="AL20" s="200"/>
      <c r="AM20" s="200"/>
      <c r="AN20" s="143"/>
      <c r="AO20" s="143"/>
      <c r="AP20" s="143"/>
      <c r="AQ20" s="197"/>
      <c r="AR20" s="200"/>
      <c r="AS20" s="197"/>
      <c r="AT20" s="210"/>
      <c r="AU20" s="98"/>
      <c r="AV20" s="111">
        <v>1.0</v>
      </c>
      <c r="AW20" s="104" t="s">
        <v>22</v>
      </c>
      <c r="AX20" s="98"/>
      <c r="AY20" s="98"/>
      <c r="AZ20" s="211" t="s">
        <v>5845</v>
      </c>
      <c r="BA20" s="198"/>
      <c r="BB20" s="198"/>
      <c r="BC20" s="198"/>
      <c r="BD20" s="198"/>
      <c r="BE20" s="56"/>
      <c r="BF20" s="198"/>
      <c r="BG20" s="198"/>
      <c r="BH20" s="56"/>
      <c r="BI20" s="56"/>
      <c r="BJ20" s="56"/>
      <c r="BS20" s="10"/>
      <c r="BT20" s="197"/>
      <c r="BU20" s="56"/>
      <c r="BV20" s="56"/>
      <c r="BW20" s="56"/>
    </row>
    <row r="21">
      <c r="A21" s="111">
        <v>1.0</v>
      </c>
      <c r="B21" s="35" t="s">
        <v>18</v>
      </c>
      <c r="C21" s="206">
        <v>1.0</v>
      </c>
      <c r="D21" s="130"/>
      <c r="E21" s="56"/>
      <c r="F21" s="130"/>
      <c r="G21" s="56"/>
      <c r="H21" s="197"/>
      <c r="I21" s="98"/>
      <c r="J21" s="207"/>
      <c r="K21" s="200"/>
      <c r="L21" s="200"/>
      <c r="M21" s="69"/>
      <c r="N21" s="35" t="s">
        <v>5846</v>
      </c>
      <c r="O21" s="111">
        <v>1977.0</v>
      </c>
      <c r="P21" s="177" t="s">
        <v>5839</v>
      </c>
      <c r="Q21" s="130"/>
      <c r="R21" s="198"/>
      <c r="S21" s="125"/>
      <c r="T21" s="197"/>
      <c r="U21" s="197"/>
      <c r="V21" s="124"/>
      <c r="W21" s="143"/>
      <c r="X21" s="9" t="s">
        <v>5840</v>
      </c>
      <c r="Y21" s="104" t="s">
        <v>5840</v>
      </c>
      <c r="Z21" s="179"/>
      <c r="AA21" s="104" t="s">
        <v>5841</v>
      </c>
      <c r="AB21" s="179"/>
      <c r="AC21" s="104" t="s">
        <v>5847</v>
      </c>
      <c r="AD21" s="104" t="s">
        <v>5843</v>
      </c>
      <c r="AE21" s="120"/>
      <c r="AF21" s="104"/>
      <c r="AG21" s="120"/>
      <c r="AH21" s="35" t="s">
        <v>5844</v>
      </c>
      <c r="AI21" s="120"/>
      <c r="AJ21" s="200"/>
      <c r="AK21" s="120"/>
      <c r="AL21" s="200"/>
      <c r="AM21" s="200"/>
      <c r="AN21" s="143"/>
      <c r="AO21" s="143"/>
      <c r="AP21" s="143"/>
      <c r="AQ21" s="197"/>
      <c r="AR21" s="200"/>
      <c r="AS21" s="197"/>
      <c r="AT21" s="210"/>
      <c r="AU21" s="98"/>
      <c r="AV21" s="111">
        <v>1.0</v>
      </c>
      <c r="AW21" s="104" t="s">
        <v>22</v>
      </c>
      <c r="AX21" s="98"/>
      <c r="AY21" s="98"/>
      <c r="AZ21" s="211" t="s">
        <v>5845</v>
      </c>
      <c r="BA21" s="198"/>
      <c r="BB21" s="198"/>
      <c r="BC21" s="198"/>
      <c r="BD21" s="198"/>
      <c r="BE21" s="56"/>
      <c r="BF21" s="198"/>
      <c r="BG21" s="198"/>
      <c r="BH21" s="56"/>
      <c r="BI21" s="56"/>
      <c r="BJ21" s="56"/>
      <c r="BS21" s="10"/>
      <c r="BT21" s="197"/>
      <c r="BU21" s="56"/>
      <c r="BV21" s="56"/>
      <c r="BW21" s="56"/>
    </row>
    <row r="22">
      <c r="A22" s="111">
        <v>1.0</v>
      </c>
      <c r="B22" s="35" t="s">
        <v>18</v>
      </c>
      <c r="C22" s="206">
        <v>0.001</v>
      </c>
      <c r="D22" s="130"/>
      <c r="E22" s="56"/>
      <c r="F22" s="130"/>
      <c r="G22" s="56"/>
      <c r="H22" s="197"/>
      <c r="I22" s="98"/>
      <c r="J22" s="207"/>
      <c r="K22" s="200"/>
      <c r="L22" s="200"/>
      <c r="N22" s="35" t="s">
        <v>5848</v>
      </c>
      <c r="O22" s="111">
        <v>1977.0</v>
      </c>
      <c r="P22" s="177" t="s">
        <v>5849</v>
      </c>
      <c r="Q22" s="130"/>
      <c r="R22" s="198"/>
      <c r="S22" s="208"/>
      <c r="T22" s="197"/>
      <c r="U22" s="197"/>
      <c r="V22" s="124"/>
      <c r="W22" s="143"/>
      <c r="X22" s="9" t="s">
        <v>2933</v>
      </c>
      <c r="Y22" s="104"/>
      <c r="Z22" s="179"/>
      <c r="AA22" s="104"/>
      <c r="AB22" s="179"/>
      <c r="AC22" s="104"/>
      <c r="AD22" s="104"/>
      <c r="AE22" s="120"/>
      <c r="AF22" s="104"/>
      <c r="AG22" s="120"/>
      <c r="AH22" s="35" t="s">
        <v>5805</v>
      </c>
      <c r="AI22" s="120"/>
      <c r="AJ22" s="200"/>
      <c r="AK22" s="120"/>
      <c r="AL22" s="200"/>
      <c r="AM22" s="200"/>
      <c r="AN22" s="143"/>
      <c r="AO22" s="143"/>
      <c r="AP22" s="143"/>
      <c r="AQ22" s="197"/>
      <c r="AR22" s="200"/>
      <c r="AS22" s="197"/>
      <c r="AT22" s="210"/>
      <c r="AU22" s="98"/>
      <c r="AV22" s="111"/>
      <c r="AW22" s="104"/>
      <c r="AX22" s="98"/>
      <c r="AY22" s="98"/>
      <c r="AZ22" s="211"/>
      <c r="BA22" s="198"/>
      <c r="BB22" s="198"/>
      <c r="BC22" s="198"/>
      <c r="BD22" s="198"/>
      <c r="BE22" s="56"/>
      <c r="BF22" s="198"/>
      <c r="BG22" s="198"/>
      <c r="BH22" s="56"/>
      <c r="BI22" s="56"/>
      <c r="BJ22" s="56"/>
      <c r="BS22" s="10"/>
      <c r="BT22" s="197"/>
      <c r="BU22" s="56"/>
      <c r="BV22" s="56"/>
      <c r="BW22" s="56"/>
    </row>
    <row r="23">
      <c r="A23" s="111">
        <v>1.0</v>
      </c>
      <c r="B23" s="35" t="s">
        <v>18</v>
      </c>
      <c r="C23" s="206">
        <v>0.0</v>
      </c>
      <c r="D23" s="130"/>
      <c r="E23" s="56"/>
      <c r="F23" s="130" t="s">
        <v>5850</v>
      </c>
      <c r="G23" s="56"/>
      <c r="H23" s="197"/>
      <c r="I23" s="98"/>
      <c r="J23" s="207"/>
      <c r="K23" s="200"/>
      <c r="L23" s="200"/>
      <c r="M23" s="69"/>
      <c r="N23" s="35" t="s">
        <v>5851</v>
      </c>
      <c r="O23" s="111">
        <v>1978.0</v>
      </c>
      <c r="P23" s="177" t="s">
        <v>5852</v>
      </c>
      <c r="Q23" s="130"/>
      <c r="R23" s="198"/>
      <c r="S23" s="208"/>
      <c r="T23" s="197"/>
      <c r="U23" s="197"/>
      <c r="V23" s="124"/>
      <c r="W23" s="143"/>
      <c r="X23" s="9"/>
      <c r="Y23" s="104"/>
      <c r="Z23" s="179"/>
      <c r="AA23" s="104"/>
      <c r="AB23" s="179"/>
      <c r="AC23" s="104"/>
      <c r="AD23" s="104"/>
      <c r="AE23" s="120"/>
      <c r="AF23" s="104"/>
      <c r="AG23" s="120"/>
      <c r="AH23" s="35"/>
      <c r="AI23" s="120"/>
      <c r="AJ23" s="200"/>
      <c r="AK23" s="120"/>
      <c r="AL23" s="200"/>
      <c r="AM23" s="200"/>
      <c r="AN23" s="143"/>
      <c r="AO23" s="143"/>
      <c r="AP23" s="143"/>
      <c r="AQ23" s="197"/>
      <c r="AR23" s="200"/>
      <c r="AS23" s="197"/>
      <c r="AT23" s="210"/>
      <c r="AU23" s="98"/>
      <c r="AV23" s="111"/>
      <c r="AW23" s="104"/>
      <c r="AX23" s="98"/>
      <c r="AY23" s="98"/>
      <c r="AZ23" s="211"/>
      <c r="BA23" s="198"/>
      <c r="BB23" s="198"/>
      <c r="BC23" s="198"/>
      <c r="BD23" s="198"/>
      <c r="BE23" s="56"/>
      <c r="BF23" s="198"/>
      <c r="BG23" s="198"/>
      <c r="BH23" s="56"/>
      <c r="BI23" s="56"/>
      <c r="BJ23" s="56"/>
      <c r="BS23" s="10"/>
      <c r="BT23" s="197"/>
      <c r="BU23" s="56"/>
      <c r="BV23" s="56"/>
      <c r="BW23" s="56"/>
    </row>
    <row r="24">
      <c r="A24" s="111">
        <v>1.0</v>
      </c>
      <c r="B24" s="35" t="s">
        <v>18</v>
      </c>
      <c r="C24" s="206">
        <v>1.0</v>
      </c>
      <c r="D24" s="130"/>
      <c r="E24" s="56"/>
      <c r="F24" s="130" t="s">
        <v>5853</v>
      </c>
      <c r="G24" s="56"/>
      <c r="H24" s="197"/>
      <c r="I24" s="98"/>
      <c r="K24" s="200"/>
      <c r="L24" s="200"/>
      <c r="M24" s="69"/>
      <c r="N24" s="35" t="s">
        <v>5854</v>
      </c>
      <c r="O24" s="111">
        <v>1979.0</v>
      </c>
      <c r="P24" s="177" t="s">
        <v>5855</v>
      </c>
      <c r="Q24" s="130"/>
      <c r="R24" s="198"/>
      <c r="S24" s="208"/>
      <c r="T24" s="197"/>
      <c r="U24" s="197"/>
      <c r="V24" s="124"/>
      <c r="W24" s="143"/>
      <c r="X24" s="209" t="s">
        <v>35</v>
      </c>
      <c r="Y24" s="104" t="s">
        <v>35</v>
      </c>
      <c r="Z24" s="179"/>
      <c r="AA24" s="104" t="s">
        <v>115</v>
      </c>
      <c r="AB24" s="180" t="s">
        <v>5855</v>
      </c>
      <c r="AC24" s="104" t="s">
        <v>5856</v>
      </c>
      <c r="AD24" s="104" t="s">
        <v>5857</v>
      </c>
      <c r="AE24" s="120"/>
      <c r="AF24" s="104"/>
      <c r="AG24" s="120"/>
      <c r="AH24" s="35"/>
      <c r="AI24" s="120"/>
      <c r="AJ24" s="200"/>
      <c r="AK24" s="120"/>
      <c r="AL24" s="200"/>
      <c r="AM24" s="200"/>
      <c r="AN24" s="143"/>
      <c r="AO24" s="143"/>
      <c r="AP24" s="143"/>
      <c r="AQ24" s="197"/>
      <c r="AR24" s="200"/>
      <c r="AS24" s="197"/>
      <c r="AT24" s="210"/>
      <c r="AU24" s="98"/>
      <c r="AV24" s="111"/>
      <c r="AW24" s="104" t="s">
        <v>5858</v>
      </c>
      <c r="AX24" s="98"/>
      <c r="AY24" s="98"/>
      <c r="AZ24" s="211"/>
      <c r="BA24" s="198"/>
      <c r="BB24" s="198"/>
      <c r="BC24" s="198"/>
      <c r="BD24" s="198"/>
      <c r="BE24" s="56"/>
      <c r="BF24" s="198"/>
      <c r="BG24" s="198"/>
      <c r="BH24" s="56"/>
      <c r="BI24" s="56"/>
      <c r="BJ24" s="56"/>
      <c r="BS24" s="10"/>
      <c r="BT24" s="197"/>
      <c r="BU24" s="56"/>
      <c r="BV24" s="56"/>
      <c r="BW24" s="56"/>
    </row>
    <row r="25">
      <c r="A25" s="111">
        <v>1.0</v>
      </c>
      <c r="B25" s="35" t="s">
        <v>18</v>
      </c>
      <c r="C25" s="206">
        <v>1.0</v>
      </c>
      <c r="D25" s="130"/>
      <c r="E25" s="56"/>
      <c r="F25" s="130" t="s">
        <v>5859</v>
      </c>
      <c r="G25" s="56"/>
      <c r="H25" s="197"/>
      <c r="I25" s="98"/>
      <c r="J25" s="207"/>
      <c r="K25" s="200"/>
      <c r="L25" s="200"/>
      <c r="M25" s="69"/>
      <c r="N25" s="35" t="s">
        <v>5860</v>
      </c>
      <c r="O25" s="111">
        <v>1979.0</v>
      </c>
      <c r="P25" s="177" t="s">
        <v>5861</v>
      </c>
      <c r="Q25" s="130"/>
      <c r="R25" s="198"/>
      <c r="S25" s="208"/>
      <c r="T25" s="197"/>
      <c r="U25" s="197"/>
      <c r="V25" s="124"/>
      <c r="W25" s="143"/>
      <c r="X25" s="9" t="s">
        <v>5840</v>
      </c>
      <c r="Y25" s="104" t="s">
        <v>5840</v>
      </c>
      <c r="Z25" s="179"/>
      <c r="AA25" s="104" t="s">
        <v>834</v>
      </c>
      <c r="AB25" s="179"/>
      <c r="AC25" s="104"/>
      <c r="AD25" s="104" t="s">
        <v>1939</v>
      </c>
      <c r="AE25" s="120"/>
      <c r="AF25" s="104"/>
      <c r="AG25" s="120"/>
      <c r="AH25" s="35" t="s">
        <v>5805</v>
      </c>
      <c r="AI25" s="120"/>
      <c r="AJ25" s="200"/>
      <c r="AK25" s="120"/>
      <c r="AL25" s="200"/>
      <c r="AM25" s="200"/>
      <c r="AN25" s="143"/>
      <c r="AO25" s="143"/>
      <c r="AP25" s="143"/>
      <c r="AQ25" s="197"/>
      <c r="AR25" s="200"/>
      <c r="AS25" s="197"/>
      <c r="AT25" s="210"/>
      <c r="AU25" s="98"/>
      <c r="AV25" s="111"/>
      <c r="AW25" s="104" t="s">
        <v>22</v>
      </c>
      <c r="AX25" s="98"/>
      <c r="AY25" s="98"/>
      <c r="AZ25" s="211"/>
      <c r="BA25" s="198"/>
      <c r="BB25" s="198"/>
      <c r="BC25" s="198"/>
      <c r="BD25" s="198"/>
      <c r="BE25" s="56"/>
      <c r="BF25" s="198"/>
      <c r="BG25" s="198"/>
      <c r="BH25" s="56"/>
      <c r="BI25" s="56"/>
      <c r="BJ25" s="56"/>
      <c r="BS25" s="10"/>
      <c r="BT25" s="197"/>
      <c r="BU25" s="56"/>
      <c r="BV25" s="56"/>
      <c r="BW25" s="56"/>
    </row>
    <row r="26">
      <c r="A26" s="111">
        <v>1.0</v>
      </c>
      <c r="B26" s="35" t="s">
        <v>18</v>
      </c>
      <c r="C26" s="206">
        <v>0.0</v>
      </c>
      <c r="D26" s="130"/>
      <c r="E26" s="56"/>
      <c r="F26" s="130" t="s">
        <v>5862</v>
      </c>
      <c r="G26" s="56"/>
      <c r="H26" s="197"/>
      <c r="I26" s="98"/>
      <c r="J26" s="207"/>
      <c r="K26" s="200"/>
      <c r="L26" s="200"/>
      <c r="M26" s="69"/>
      <c r="N26" s="35" t="s">
        <v>5863</v>
      </c>
      <c r="O26" s="111">
        <v>1979.0</v>
      </c>
      <c r="P26" s="211" t="s">
        <v>5864</v>
      </c>
      <c r="Q26" s="130"/>
      <c r="R26" s="198"/>
      <c r="S26" s="208"/>
      <c r="T26" s="197"/>
      <c r="U26" s="197"/>
      <c r="V26" s="124"/>
      <c r="W26" s="143"/>
      <c r="X26" s="9"/>
      <c r="Y26" s="104"/>
      <c r="Z26" s="179"/>
      <c r="AA26" s="104"/>
      <c r="AB26" s="179"/>
      <c r="AC26" s="104"/>
      <c r="AD26" s="104"/>
      <c r="AE26" s="120"/>
      <c r="AF26" s="104"/>
      <c r="AG26" s="120"/>
      <c r="AH26" s="35"/>
      <c r="AI26" s="120"/>
      <c r="AJ26" s="200"/>
      <c r="AK26" s="120"/>
      <c r="AL26" s="200"/>
      <c r="AM26" s="200"/>
      <c r="AN26" s="143"/>
      <c r="AO26" s="143"/>
      <c r="AP26" s="143"/>
      <c r="AQ26" s="197"/>
      <c r="AR26" s="200"/>
      <c r="AS26" s="197"/>
      <c r="AT26" s="210"/>
      <c r="AU26" s="98"/>
      <c r="AV26" s="111"/>
      <c r="AW26" s="104"/>
      <c r="AX26" s="98"/>
      <c r="AY26" s="98"/>
      <c r="AZ26" s="177" t="s">
        <v>5865</v>
      </c>
      <c r="BA26" s="198"/>
      <c r="BB26" s="198"/>
      <c r="BC26" s="198"/>
      <c r="BD26" s="198"/>
      <c r="BE26" s="56"/>
      <c r="BF26" s="198"/>
      <c r="BG26" s="198"/>
      <c r="BH26" s="56"/>
      <c r="BI26" s="56"/>
      <c r="BJ26" s="56"/>
      <c r="BS26" s="10"/>
      <c r="BT26" s="197"/>
      <c r="BU26" s="56"/>
      <c r="BV26" s="56"/>
      <c r="BW26" s="56"/>
    </row>
    <row r="27">
      <c r="A27" s="111">
        <v>1.0</v>
      </c>
      <c r="B27" s="35" t="s">
        <v>18</v>
      </c>
      <c r="C27" s="206">
        <v>1.0</v>
      </c>
      <c r="D27" s="130"/>
      <c r="E27" s="56"/>
      <c r="F27" s="104" t="s">
        <v>5866</v>
      </c>
      <c r="G27" s="56"/>
      <c r="H27" s="197"/>
      <c r="I27" s="98"/>
      <c r="J27" s="207"/>
      <c r="K27" s="200"/>
      <c r="L27" s="200"/>
      <c r="M27" s="69"/>
      <c r="N27" s="35" t="s">
        <v>5867</v>
      </c>
      <c r="O27" s="111">
        <v>1980.0</v>
      </c>
      <c r="P27" s="177" t="s">
        <v>5868</v>
      </c>
      <c r="Q27" s="130"/>
      <c r="R27" s="198"/>
      <c r="S27" s="208"/>
      <c r="T27" s="197"/>
      <c r="U27" s="197"/>
      <c r="V27" s="124"/>
      <c r="W27" s="143"/>
      <c r="X27" s="9" t="s">
        <v>5869</v>
      </c>
      <c r="Y27" s="104" t="s">
        <v>5869</v>
      </c>
      <c r="Z27" s="179"/>
      <c r="AA27" s="104" t="s">
        <v>5870</v>
      </c>
      <c r="AB27" s="179"/>
      <c r="AC27" s="104" t="s">
        <v>5871</v>
      </c>
      <c r="AD27" s="104" t="s">
        <v>5872</v>
      </c>
      <c r="AE27" s="120"/>
      <c r="AF27" s="104"/>
      <c r="AG27" s="120"/>
      <c r="AH27" s="35"/>
      <c r="AI27" s="120"/>
      <c r="AJ27" s="200"/>
      <c r="AK27" s="120"/>
      <c r="AL27" s="200"/>
      <c r="AM27" s="200"/>
      <c r="AN27" s="143"/>
      <c r="AO27" s="143"/>
      <c r="AP27" s="143"/>
      <c r="AQ27" s="197"/>
      <c r="AR27" s="200"/>
      <c r="AS27" s="197"/>
      <c r="AT27" s="210"/>
      <c r="AU27" s="98"/>
      <c r="AV27" s="111"/>
      <c r="AW27" s="104" t="s">
        <v>3737</v>
      </c>
      <c r="AX27" s="98"/>
      <c r="AY27" s="98"/>
      <c r="AZ27" s="211"/>
      <c r="BA27" s="198"/>
      <c r="BB27" s="198"/>
      <c r="BC27" s="198"/>
      <c r="BD27" s="198"/>
      <c r="BE27" s="56"/>
      <c r="BF27" s="198"/>
      <c r="BG27" s="198"/>
      <c r="BH27" s="56"/>
      <c r="BI27" s="56"/>
      <c r="BJ27" s="56"/>
      <c r="BS27" s="10"/>
      <c r="BT27" s="197"/>
      <c r="BU27" s="56"/>
      <c r="BV27" s="56"/>
      <c r="BW27" s="56"/>
    </row>
    <row r="28">
      <c r="A28" s="111">
        <v>1.0</v>
      </c>
      <c r="B28" s="35" t="s">
        <v>18</v>
      </c>
      <c r="C28" s="206">
        <v>1.0</v>
      </c>
      <c r="D28" s="130"/>
      <c r="E28" s="56"/>
      <c r="F28" s="104" t="s">
        <v>5866</v>
      </c>
      <c r="G28" s="56"/>
      <c r="H28" s="197"/>
      <c r="I28" s="98"/>
      <c r="J28" s="207"/>
      <c r="K28" s="200"/>
      <c r="L28" s="200"/>
      <c r="M28" s="69"/>
      <c r="N28" s="35" t="s">
        <v>5873</v>
      </c>
      <c r="O28" s="111">
        <v>1980.0</v>
      </c>
      <c r="P28" s="177" t="s">
        <v>5868</v>
      </c>
      <c r="Q28" s="130"/>
      <c r="R28" s="198"/>
      <c r="S28" s="208"/>
      <c r="T28" s="197"/>
      <c r="U28" s="197"/>
      <c r="V28" s="124"/>
      <c r="W28" s="143"/>
      <c r="X28" s="9" t="s">
        <v>5874</v>
      </c>
      <c r="Y28" s="104" t="s">
        <v>5874</v>
      </c>
      <c r="Z28" s="179"/>
      <c r="AA28" s="104" t="s">
        <v>5875</v>
      </c>
      <c r="AB28" s="179"/>
      <c r="AC28" s="104" t="s">
        <v>5871</v>
      </c>
      <c r="AD28" s="104" t="s">
        <v>5876</v>
      </c>
      <c r="AE28" s="120"/>
      <c r="AF28" s="104"/>
      <c r="AG28" s="120"/>
      <c r="AH28" s="35"/>
      <c r="AI28" s="120"/>
      <c r="AJ28" s="200"/>
      <c r="AK28" s="120"/>
      <c r="AL28" s="200"/>
      <c r="AM28" s="200"/>
      <c r="AN28" s="143"/>
      <c r="AO28" s="143"/>
      <c r="AP28" s="143"/>
      <c r="AQ28" s="197"/>
      <c r="AR28" s="200"/>
      <c r="AS28" s="197"/>
      <c r="AT28" s="210"/>
      <c r="AU28" s="98"/>
      <c r="AV28" s="111"/>
      <c r="AW28" s="104" t="s">
        <v>3737</v>
      </c>
      <c r="AX28" s="98"/>
      <c r="AY28" s="98"/>
      <c r="AZ28" s="211"/>
      <c r="BA28" s="198"/>
      <c r="BB28" s="198"/>
      <c r="BC28" s="198"/>
      <c r="BD28" s="198"/>
      <c r="BE28" s="56"/>
      <c r="BF28" s="198"/>
      <c r="BG28" s="198"/>
      <c r="BH28" s="56"/>
      <c r="BI28" s="56"/>
      <c r="BJ28" s="56"/>
      <c r="BS28" s="10"/>
      <c r="BT28" s="197"/>
      <c r="BU28" s="56"/>
      <c r="BV28" s="56"/>
      <c r="BW28" s="56"/>
    </row>
    <row r="29">
      <c r="A29" s="111">
        <v>1.0</v>
      </c>
      <c r="B29" s="35" t="s">
        <v>18</v>
      </c>
      <c r="C29" s="206">
        <v>1.0</v>
      </c>
      <c r="D29" s="130"/>
      <c r="E29" s="56"/>
      <c r="F29" s="104" t="s">
        <v>5877</v>
      </c>
      <c r="G29" s="56"/>
      <c r="H29" s="197"/>
      <c r="I29" s="98"/>
      <c r="J29" s="207"/>
      <c r="K29" s="200"/>
      <c r="L29" s="200"/>
      <c r="M29" s="69"/>
      <c r="N29" s="35" t="s">
        <v>5878</v>
      </c>
      <c r="O29" s="111">
        <v>1980.0</v>
      </c>
      <c r="P29" s="177" t="s">
        <v>5868</v>
      </c>
      <c r="Q29" s="130"/>
      <c r="R29" s="198"/>
      <c r="S29" s="208"/>
      <c r="T29" s="197"/>
      <c r="U29" s="197"/>
      <c r="V29" s="124"/>
      <c r="W29" s="143"/>
      <c r="X29" s="9" t="s">
        <v>5879</v>
      </c>
      <c r="Y29" s="104" t="s">
        <v>5879</v>
      </c>
      <c r="Z29" s="179"/>
      <c r="AA29" s="104" t="s">
        <v>5880</v>
      </c>
      <c r="AB29" s="179"/>
      <c r="AC29" s="104" t="s">
        <v>5871</v>
      </c>
      <c r="AD29" s="104" t="s">
        <v>5872</v>
      </c>
      <c r="AE29" s="120"/>
      <c r="AF29" s="104"/>
      <c r="AG29" s="120"/>
      <c r="AH29" s="35"/>
      <c r="AI29" s="120"/>
      <c r="AJ29" s="200"/>
      <c r="AK29" s="120"/>
      <c r="AL29" s="200"/>
      <c r="AM29" s="200"/>
      <c r="AN29" s="143"/>
      <c r="AO29" s="143"/>
      <c r="AP29" s="143"/>
      <c r="AQ29" s="197"/>
      <c r="AR29" s="200"/>
      <c r="AS29" s="197"/>
      <c r="AT29" s="210"/>
      <c r="AU29" s="98"/>
      <c r="AV29" s="111"/>
      <c r="AW29" s="104" t="s">
        <v>3737</v>
      </c>
      <c r="AX29" s="98"/>
      <c r="AY29" s="98"/>
      <c r="AZ29" s="211"/>
      <c r="BA29" s="198"/>
      <c r="BB29" s="198"/>
      <c r="BC29" s="198"/>
      <c r="BD29" s="198"/>
      <c r="BE29" s="56"/>
      <c r="BF29" s="198"/>
      <c r="BG29" s="198"/>
      <c r="BH29" s="56"/>
      <c r="BI29" s="56"/>
      <c r="BJ29" s="56"/>
      <c r="BS29" s="10"/>
      <c r="BT29" s="197"/>
      <c r="BU29" s="56"/>
      <c r="BV29" s="56"/>
      <c r="BW29" s="56"/>
    </row>
    <row r="30">
      <c r="A30" s="111">
        <v>1.0</v>
      </c>
      <c r="B30" s="35" t="s">
        <v>18</v>
      </c>
      <c r="C30" s="206">
        <v>0.001</v>
      </c>
      <c r="D30" s="130"/>
      <c r="E30" s="56"/>
      <c r="F30" s="130"/>
      <c r="G30" s="56"/>
      <c r="H30" s="197"/>
      <c r="I30" s="98"/>
      <c r="J30" s="207"/>
      <c r="K30" s="200"/>
      <c r="L30" s="200"/>
      <c r="M30" s="69"/>
      <c r="N30" s="35" t="s">
        <v>5881</v>
      </c>
      <c r="O30" s="111">
        <v>1980.0</v>
      </c>
      <c r="P30" s="177" t="s">
        <v>5882</v>
      </c>
      <c r="Q30" s="130"/>
      <c r="R30" s="198"/>
      <c r="S30" s="208"/>
      <c r="T30" s="197"/>
      <c r="U30" s="197"/>
      <c r="V30" s="124"/>
      <c r="W30" s="143"/>
      <c r="X30" s="9"/>
      <c r="Y30" s="104"/>
      <c r="Z30" s="179"/>
      <c r="AA30" s="104"/>
      <c r="AB30" s="179"/>
      <c r="AC30" s="104"/>
      <c r="AD30" s="104"/>
      <c r="AE30" s="120"/>
      <c r="AF30" s="104"/>
      <c r="AG30" s="120"/>
      <c r="AH30" s="35"/>
      <c r="AI30" s="120"/>
      <c r="AJ30" s="200"/>
      <c r="AK30" s="120"/>
      <c r="AL30" s="200"/>
      <c r="AM30" s="200"/>
      <c r="AN30" s="143"/>
      <c r="AO30" s="143"/>
      <c r="AP30" s="143"/>
      <c r="AQ30" s="197"/>
      <c r="AR30" s="200"/>
      <c r="AS30" s="197"/>
      <c r="AT30" s="210"/>
      <c r="AU30" s="98"/>
      <c r="AV30" s="111"/>
      <c r="AW30" s="104"/>
      <c r="AX30" s="98"/>
      <c r="AY30" s="98"/>
      <c r="AZ30" s="211"/>
      <c r="BA30" s="198"/>
      <c r="BB30" s="198"/>
      <c r="BC30" s="198"/>
      <c r="BD30" s="198"/>
      <c r="BE30" s="56"/>
      <c r="BF30" s="198"/>
      <c r="BG30" s="198"/>
      <c r="BH30" s="56"/>
      <c r="BI30" s="56"/>
      <c r="BJ30" s="56"/>
      <c r="BS30" s="10"/>
      <c r="BT30" s="197"/>
      <c r="BU30" s="56"/>
      <c r="BV30" s="56"/>
      <c r="BW30" s="56"/>
    </row>
    <row r="31">
      <c r="A31" s="111">
        <v>1.0</v>
      </c>
      <c r="B31" s="35" t="s">
        <v>18</v>
      </c>
      <c r="C31" s="206">
        <v>0.001</v>
      </c>
      <c r="D31" s="130"/>
      <c r="E31" s="56"/>
      <c r="F31" s="130" t="s">
        <v>5862</v>
      </c>
      <c r="G31" s="56"/>
      <c r="H31" s="197"/>
      <c r="I31" s="98"/>
      <c r="J31" s="207"/>
      <c r="K31" s="200"/>
      <c r="L31" s="200"/>
      <c r="M31" s="69"/>
      <c r="N31" s="35" t="s">
        <v>5883</v>
      </c>
      <c r="O31" s="111">
        <v>1980.0</v>
      </c>
      <c r="P31" s="177" t="s">
        <v>5884</v>
      </c>
      <c r="Q31" s="130"/>
      <c r="R31" s="198"/>
      <c r="S31" s="208"/>
      <c r="T31" s="197"/>
      <c r="U31" s="197"/>
      <c r="V31" s="124"/>
      <c r="W31" s="143"/>
      <c r="X31" s="9"/>
      <c r="Y31" s="104"/>
      <c r="Z31" s="179"/>
      <c r="AA31" s="104"/>
      <c r="AB31" s="179"/>
      <c r="AC31" s="104"/>
      <c r="AD31" s="104"/>
      <c r="AE31" s="120"/>
      <c r="AF31" s="104"/>
      <c r="AG31" s="120"/>
      <c r="AH31" s="35"/>
      <c r="AI31" s="120"/>
      <c r="AJ31" s="200"/>
      <c r="AK31" s="120"/>
      <c r="AL31" s="200"/>
      <c r="AM31" s="200"/>
      <c r="AN31" s="143"/>
      <c r="AO31" s="143"/>
      <c r="AP31" s="143"/>
      <c r="AQ31" s="197"/>
      <c r="AR31" s="200"/>
      <c r="AS31" s="197"/>
      <c r="AT31" s="210"/>
      <c r="AU31" s="98"/>
      <c r="AV31" s="111"/>
      <c r="AW31" s="104"/>
      <c r="AX31" s="98"/>
      <c r="AY31" s="98"/>
      <c r="AZ31" s="177" t="s">
        <v>5885</v>
      </c>
      <c r="BA31" s="198"/>
      <c r="BB31" s="198"/>
      <c r="BC31" s="198"/>
      <c r="BD31" s="198"/>
      <c r="BE31" s="56"/>
      <c r="BF31" s="198"/>
      <c r="BG31" s="198"/>
      <c r="BH31" s="56"/>
      <c r="BI31" s="56"/>
      <c r="BJ31" s="56"/>
      <c r="BS31" s="10"/>
      <c r="BT31" s="197"/>
      <c r="BU31" s="56"/>
      <c r="BV31" s="56"/>
      <c r="BW31" s="56"/>
    </row>
    <row r="32">
      <c r="A32" s="111">
        <v>1.0</v>
      </c>
      <c r="B32" s="35" t="s">
        <v>18</v>
      </c>
      <c r="C32" s="206">
        <v>1.0</v>
      </c>
      <c r="D32" s="130"/>
      <c r="E32" s="56"/>
      <c r="F32" s="130" t="s">
        <v>5886</v>
      </c>
      <c r="G32" s="56"/>
      <c r="H32" s="197"/>
      <c r="I32" s="98"/>
      <c r="J32" s="207"/>
      <c r="K32" s="200"/>
      <c r="L32" s="200"/>
      <c r="M32" s="69"/>
      <c r="N32" s="35" t="s">
        <v>5887</v>
      </c>
      <c r="O32" s="111">
        <v>1981.0</v>
      </c>
      <c r="P32" s="177" t="s">
        <v>5888</v>
      </c>
      <c r="Q32" s="130"/>
      <c r="R32" s="198"/>
      <c r="S32" s="208"/>
      <c r="T32" s="197"/>
      <c r="U32" s="197"/>
      <c r="V32" s="124"/>
      <c r="W32" s="143"/>
      <c r="X32" s="9" t="s">
        <v>5889</v>
      </c>
      <c r="Y32" s="104" t="s">
        <v>34</v>
      </c>
      <c r="Z32" s="179"/>
      <c r="AA32" s="104" t="s">
        <v>5890</v>
      </c>
      <c r="AB32" s="179"/>
      <c r="AC32" s="104"/>
      <c r="AD32" s="104"/>
      <c r="AE32" s="120"/>
      <c r="AF32" s="112" t="s">
        <v>5891</v>
      </c>
      <c r="AG32" s="120"/>
      <c r="AH32" s="35"/>
      <c r="AI32" s="120"/>
      <c r="AJ32" s="200"/>
      <c r="AK32" s="120"/>
      <c r="AL32" s="200"/>
      <c r="AM32" s="200"/>
      <c r="AN32" s="143"/>
      <c r="AO32" s="143"/>
      <c r="AP32" s="143"/>
      <c r="AQ32" s="197"/>
      <c r="AR32" s="200"/>
      <c r="AS32" s="197"/>
      <c r="AT32" s="210"/>
      <c r="AU32" s="98"/>
      <c r="AV32" s="111">
        <v>1.0</v>
      </c>
      <c r="AW32" s="104" t="s">
        <v>5890</v>
      </c>
      <c r="AX32" s="98"/>
      <c r="AY32" s="98"/>
      <c r="AZ32" s="177" t="s">
        <v>5892</v>
      </c>
      <c r="BA32" s="198"/>
      <c r="BB32" s="198"/>
      <c r="BC32" s="198"/>
      <c r="BD32" s="198"/>
      <c r="BE32" s="56"/>
      <c r="BF32" s="198"/>
      <c r="BG32" s="198"/>
      <c r="BH32" s="56"/>
      <c r="BI32" s="56"/>
      <c r="BJ32" s="56"/>
      <c r="BS32" s="10"/>
      <c r="BT32" s="197"/>
      <c r="BU32" s="56"/>
      <c r="BV32" s="56"/>
      <c r="BW32" s="56"/>
    </row>
    <row r="33">
      <c r="A33" s="111">
        <v>1.0</v>
      </c>
      <c r="B33" s="35" t="s">
        <v>18</v>
      </c>
      <c r="C33" s="206">
        <v>0.0</v>
      </c>
      <c r="D33" s="130"/>
      <c r="E33" s="56"/>
      <c r="F33" s="130"/>
      <c r="G33" s="56"/>
      <c r="H33" s="197"/>
      <c r="I33" s="98"/>
      <c r="J33" s="207"/>
      <c r="K33" s="200"/>
      <c r="L33" s="200"/>
      <c r="M33" s="69"/>
      <c r="N33" s="35" t="s">
        <v>5893</v>
      </c>
      <c r="O33" s="111">
        <v>1981.0</v>
      </c>
      <c r="P33" s="177" t="s">
        <v>5894</v>
      </c>
      <c r="Q33" s="130"/>
      <c r="R33" s="198"/>
      <c r="S33" s="208"/>
      <c r="T33" s="197"/>
      <c r="U33" s="197"/>
      <c r="V33" s="124"/>
      <c r="W33" s="143"/>
      <c r="X33" s="9"/>
      <c r="Y33" s="104"/>
      <c r="Z33" s="179"/>
      <c r="AA33" s="104"/>
      <c r="AB33" s="179"/>
      <c r="AC33" s="104"/>
      <c r="AD33" s="104"/>
      <c r="AE33" s="120"/>
      <c r="AF33" s="104"/>
      <c r="AG33" s="120"/>
      <c r="AH33" s="35"/>
      <c r="AI33" s="120"/>
      <c r="AJ33" s="200"/>
      <c r="AK33" s="120"/>
      <c r="AL33" s="200"/>
      <c r="AM33" s="200"/>
      <c r="AN33" s="143"/>
      <c r="AO33" s="143"/>
      <c r="AP33" s="143"/>
      <c r="AQ33" s="197"/>
      <c r="AR33" s="200"/>
      <c r="AS33" s="197"/>
      <c r="AT33" s="210"/>
      <c r="AU33" s="98"/>
      <c r="AV33" s="111"/>
      <c r="AW33" s="104"/>
      <c r="AX33" s="98"/>
      <c r="AY33" s="98"/>
      <c r="AZ33" s="211"/>
      <c r="BA33" s="198"/>
      <c r="BB33" s="198"/>
      <c r="BC33" s="198"/>
      <c r="BD33" s="198"/>
      <c r="BE33" s="56"/>
      <c r="BF33" s="198"/>
      <c r="BG33" s="198"/>
      <c r="BH33" s="56"/>
      <c r="BI33" s="56"/>
      <c r="BJ33" s="56"/>
      <c r="BS33" s="10"/>
      <c r="BT33" s="197"/>
      <c r="BU33" s="56"/>
      <c r="BV33" s="56"/>
      <c r="BW33" s="56"/>
    </row>
    <row r="34">
      <c r="A34" s="111">
        <v>1.0</v>
      </c>
      <c r="B34" s="35" t="s">
        <v>18</v>
      </c>
      <c r="C34" s="206">
        <v>0.0</v>
      </c>
      <c r="D34" s="130"/>
      <c r="E34" s="56"/>
      <c r="F34" s="130"/>
      <c r="G34" s="56"/>
      <c r="H34" s="197"/>
      <c r="I34" s="98"/>
      <c r="J34" s="207"/>
      <c r="K34" s="200"/>
      <c r="L34" s="200"/>
      <c r="M34" s="69"/>
      <c r="N34" s="35" t="s">
        <v>5895</v>
      </c>
      <c r="O34" s="111">
        <v>1981.0</v>
      </c>
      <c r="P34" s="177" t="s">
        <v>5896</v>
      </c>
      <c r="Q34" s="130"/>
      <c r="R34" s="198"/>
      <c r="S34" s="208"/>
      <c r="T34" s="197"/>
      <c r="U34" s="197"/>
      <c r="V34" s="124"/>
      <c r="W34" s="143"/>
      <c r="X34" s="9"/>
      <c r="Y34" s="104"/>
      <c r="Z34" s="179"/>
      <c r="AA34" s="104"/>
      <c r="AB34" s="179"/>
      <c r="AC34" s="104"/>
      <c r="AD34" s="104"/>
      <c r="AE34" s="120"/>
      <c r="AF34" s="104"/>
      <c r="AG34" s="120"/>
      <c r="AH34" s="35"/>
      <c r="AI34" s="120"/>
      <c r="AJ34" s="200"/>
      <c r="AK34" s="120"/>
      <c r="AL34" s="200"/>
      <c r="AM34" s="200"/>
      <c r="AN34" s="143"/>
      <c r="AO34" s="143"/>
      <c r="AP34" s="143"/>
      <c r="AQ34" s="197"/>
      <c r="AR34" s="200"/>
      <c r="AS34" s="197"/>
      <c r="AT34" s="210"/>
      <c r="AU34" s="98"/>
      <c r="AV34" s="111"/>
      <c r="AW34" s="104"/>
      <c r="AX34" s="98"/>
      <c r="AY34" s="98"/>
      <c r="AZ34" s="211"/>
      <c r="BA34" s="198"/>
      <c r="BB34" s="198"/>
      <c r="BC34" s="198"/>
      <c r="BD34" s="198"/>
      <c r="BE34" s="56"/>
      <c r="BF34" s="198"/>
      <c r="BG34" s="198"/>
      <c r="BH34" s="56"/>
      <c r="BI34" s="56"/>
      <c r="BJ34" s="56"/>
      <c r="BS34" s="10"/>
      <c r="BT34" s="197"/>
      <c r="BU34" s="56"/>
      <c r="BV34" s="56"/>
      <c r="BW34" s="56"/>
    </row>
    <row r="35">
      <c r="A35" s="111">
        <v>1.0</v>
      </c>
      <c r="B35" s="35" t="s">
        <v>18</v>
      </c>
      <c r="C35" s="206">
        <v>1.0</v>
      </c>
      <c r="D35" s="130"/>
      <c r="E35" s="56"/>
      <c r="F35" s="130"/>
      <c r="G35" s="56"/>
      <c r="H35" s="197"/>
      <c r="I35" s="98"/>
      <c r="J35" s="207"/>
      <c r="K35" s="200"/>
      <c r="L35" s="200"/>
      <c r="M35" s="69"/>
      <c r="N35" s="35" t="s">
        <v>5897</v>
      </c>
      <c r="O35" s="111">
        <v>1981.0</v>
      </c>
      <c r="P35" s="177" t="s">
        <v>5898</v>
      </c>
      <c r="Q35" s="130"/>
      <c r="R35" s="198"/>
      <c r="S35" s="208"/>
      <c r="T35" s="197"/>
      <c r="U35" s="197"/>
      <c r="V35" s="124"/>
      <c r="W35" s="143"/>
      <c r="X35" s="9" t="s">
        <v>5899</v>
      </c>
      <c r="Y35" s="104" t="s">
        <v>2382</v>
      </c>
      <c r="Z35" s="179"/>
      <c r="AA35" s="104" t="s">
        <v>5900</v>
      </c>
      <c r="AB35" s="179"/>
      <c r="AC35" s="104" t="s">
        <v>5901</v>
      </c>
      <c r="AD35" s="104" t="s">
        <v>5794</v>
      </c>
      <c r="AE35" s="120"/>
      <c r="AF35" s="104"/>
      <c r="AG35" s="120"/>
      <c r="AH35" s="35" t="s">
        <v>5902</v>
      </c>
      <c r="AI35" s="120"/>
      <c r="AJ35" s="200"/>
      <c r="AK35" s="120"/>
      <c r="AL35" s="200"/>
      <c r="AM35" s="200"/>
      <c r="AN35" s="143"/>
      <c r="AO35" s="143"/>
      <c r="AP35" s="143"/>
      <c r="AQ35" s="197"/>
      <c r="AR35" s="200"/>
      <c r="AS35" s="197"/>
      <c r="AT35" s="210"/>
      <c r="AU35" s="98"/>
      <c r="AV35" s="111">
        <v>1.0</v>
      </c>
      <c r="AW35" s="104" t="s">
        <v>3737</v>
      </c>
      <c r="AX35" s="98"/>
      <c r="AY35" s="98"/>
      <c r="AZ35" s="211"/>
      <c r="BA35" s="198"/>
      <c r="BB35" s="198"/>
      <c r="BC35" s="198"/>
      <c r="BD35" s="198"/>
      <c r="BE35" s="56"/>
      <c r="BF35" s="198"/>
      <c r="BG35" s="198"/>
      <c r="BH35" s="56"/>
      <c r="BI35" s="56"/>
      <c r="BJ35" s="56"/>
      <c r="BS35" s="10"/>
      <c r="BT35" s="197"/>
      <c r="BU35" s="56"/>
      <c r="BV35" s="56"/>
      <c r="BW35" s="56"/>
    </row>
    <row r="36">
      <c r="A36" s="111">
        <v>1.0</v>
      </c>
      <c r="B36" s="35" t="s">
        <v>18</v>
      </c>
      <c r="C36" s="206">
        <v>0.0</v>
      </c>
      <c r="D36" s="130"/>
      <c r="E36" s="56"/>
      <c r="F36" s="130" t="s">
        <v>5903</v>
      </c>
      <c r="G36" s="56"/>
      <c r="H36" s="197"/>
      <c r="I36" s="98"/>
      <c r="J36" s="209" t="s">
        <v>2382</v>
      </c>
      <c r="K36" s="200"/>
      <c r="L36" s="213" t="s">
        <v>5904</v>
      </c>
      <c r="M36" s="69"/>
      <c r="N36" s="35" t="s">
        <v>5905</v>
      </c>
      <c r="O36" s="111">
        <v>1981.0</v>
      </c>
      <c r="P36" s="177" t="s">
        <v>5904</v>
      </c>
      <c r="Q36" s="130"/>
      <c r="R36" s="198"/>
      <c r="S36" s="208"/>
      <c r="T36" s="197"/>
      <c r="U36" s="197"/>
      <c r="V36" s="124"/>
      <c r="W36" s="143"/>
      <c r="X36" s="9"/>
      <c r="Y36" s="104"/>
      <c r="Z36" s="179"/>
      <c r="AA36" s="104"/>
      <c r="AB36" s="179"/>
      <c r="AC36" s="104"/>
      <c r="AD36" s="104"/>
      <c r="AE36" s="120"/>
      <c r="AF36" s="104"/>
      <c r="AG36" s="120"/>
      <c r="AH36" s="35" t="s">
        <v>5906</v>
      </c>
      <c r="AI36" s="120"/>
      <c r="AJ36" s="200"/>
      <c r="AK36" s="120"/>
      <c r="AL36" s="200"/>
      <c r="AM36" s="200"/>
      <c r="AN36" s="143"/>
      <c r="AO36" s="143"/>
      <c r="AP36" s="143"/>
      <c r="AQ36" s="111">
        <v>1.0</v>
      </c>
      <c r="AR36" s="200"/>
      <c r="AS36" s="197"/>
      <c r="AT36" s="210"/>
      <c r="AU36" s="98"/>
      <c r="AV36" s="111"/>
      <c r="AW36" s="104" t="s">
        <v>22</v>
      </c>
      <c r="AX36" s="98"/>
      <c r="AY36" s="98"/>
      <c r="AZ36" s="177" t="s">
        <v>5907</v>
      </c>
      <c r="BA36" s="198"/>
      <c r="BB36" s="198"/>
      <c r="BC36" s="198"/>
      <c r="BD36" s="198"/>
      <c r="BE36" s="56"/>
      <c r="BF36" s="198"/>
      <c r="BG36" s="198"/>
      <c r="BH36" s="56"/>
      <c r="BI36" s="56"/>
      <c r="BJ36" s="56"/>
      <c r="BS36" s="10"/>
      <c r="BT36" s="197"/>
      <c r="BU36" s="56"/>
      <c r="BV36" s="56"/>
      <c r="BW36" s="56"/>
    </row>
    <row r="37">
      <c r="A37" s="111">
        <v>1.0</v>
      </c>
      <c r="B37" s="35" t="s">
        <v>18</v>
      </c>
      <c r="C37" s="206">
        <v>0.0</v>
      </c>
      <c r="D37" s="130"/>
      <c r="E37" s="56"/>
      <c r="F37" s="130"/>
      <c r="G37" s="56"/>
      <c r="H37" s="197"/>
      <c r="I37" s="98"/>
      <c r="J37" s="207"/>
      <c r="K37" s="200"/>
      <c r="L37" s="200"/>
      <c r="M37" s="69"/>
      <c r="N37" s="35" t="s">
        <v>5908</v>
      </c>
      <c r="O37" s="111">
        <v>1982.0</v>
      </c>
      <c r="P37" s="177" t="s">
        <v>5909</v>
      </c>
      <c r="Q37" s="130"/>
      <c r="R37" s="198"/>
      <c r="S37" s="208"/>
      <c r="T37" s="197"/>
      <c r="U37" s="197"/>
      <c r="V37" s="124"/>
      <c r="W37" s="143"/>
      <c r="X37" s="9"/>
      <c r="Y37" s="104"/>
      <c r="Z37" s="179"/>
      <c r="AA37" s="104"/>
      <c r="AB37" s="179"/>
      <c r="AC37" s="104"/>
      <c r="AD37" s="104"/>
      <c r="AE37" s="120"/>
      <c r="AF37" s="104"/>
      <c r="AG37" s="120"/>
      <c r="AH37" s="35"/>
      <c r="AI37" s="120"/>
      <c r="AJ37" s="200"/>
      <c r="AK37" s="120"/>
      <c r="AL37" s="200"/>
      <c r="AM37" s="200"/>
      <c r="AN37" s="143"/>
      <c r="AO37" s="143"/>
      <c r="AP37" s="143"/>
      <c r="AQ37" s="197"/>
      <c r="AR37" s="200"/>
      <c r="AS37" s="197"/>
      <c r="AT37" s="210"/>
      <c r="AU37" s="98"/>
      <c r="AV37" s="111"/>
      <c r="AW37" s="104"/>
      <c r="AX37" s="98"/>
      <c r="AY37" s="98"/>
      <c r="AZ37" s="177" t="s">
        <v>5910</v>
      </c>
      <c r="BA37" s="198"/>
      <c r="BB37" s="198"/>
      <c r="BC37" s="198"/>
      <c r="BD37" s="198"/>
      <c r="BE37" s="56"/>
      <c r="BF37" s="198"/>
      <c r="BG37" s="198"/>
      <c r="BH37" s="56"/>
      <c r="BI37" s="56"/>
      <c r="BJ37" s="56"/>
      <c r="BS37" s="10"/>
      <c r="BT37" s="197"/>
      <c r="BU37" s="56"/>
      <c r="BV37" s="56"/>
      <c r="BW37" s="56"/>
    </row>
    <row r="38">
      <c r="A38" s="111">
        <v>1.0</v>
      </c>
      <c r="B38" s="35" t="s">
        <v>18</v>
      </c>
      <c r="C38" s="206">
        <v>0.0</v>
      </c>
      <c r="D38" s="130"/>
      <c r="E38" s="56"/>
      <c r="F38" s="130"/>
      <c r="G38" s="56"/>
      <c r="H38" s="197"/>
      <c r="I38" s="98"/>
      <c r="J38" s="207"/>
      <c r="K38" s="200"/>
      <c r="L38" s="200"/>
      <c r="M38" s="69"/>
      <c r="N38" s="35" t="s">
        <v>5911</v>
      </c>
      <c r="O38" s="111">
        <v>1982.0</v>
      </c>
      <c r="P38" s="177" t="s">
        <v>5912</v>
      </c>
      <c r="Q38" s="130"/>
      <c r="R38" s="198"/>
      <c r="S38" s="208"/>
      <c r="T38" s="197"/>
      <c r="U38" s="197"/>
      <c r="V38" s="124"/>
      <c r="W38" s="143"/>
      <c r="X38" s="9"/>
      <c r="Y38" s="104"/>
      <c r="Z38" s="179"/>
      <c r="AA38" s="104"/>
      <c r="AB38" s="179"/>
      <c r="AC38" s="104"/>
      <c r="AD38" s="104"/>
      <c r="AE38" s="120"/>
      <c r="AF38" s="104"/>
      <c r="AG38" s="120"/>
      <c r="AH38" s="35"/>
      <c r="AI38" s="120"/>
      <c r="AJ38" s="200"/>
      <c r="AK38" s="120"/>
      <c r="AL38" s="200"/>
      <c r="AM38" s="200"/>
      <c r="AN38" s="143"/>
      <c r="AO38" s="143"/>
      <c r="AP38" s="143"/>
      <c r="AQ38" s="197"/>
      <c r="AR38" s="200"/>
      <c r="AS38" s="197"/>
      <c r="AT38" s="210"/>
      <c r="AU38" s="98"/>
      <c r="AV38" s="111"/>
      <c r="AW38" s="104"/>
      <c r="AX38" s="98"/>
      <c r="AY38" s="98"/>
      <c r="AZ38" s="211"/>
      <c r="BA38" s="198"/>
      <c r="BB38" s="198"/>
      <c r="BC38" s="198"/>
      <c r="BD38" s="198"/>
      <c r="BE38" s="56"/>
      <c r="BF38" s="198"/>
      <c r="BG38" s="198"/>
      <c r="BH38" s="56"/>
      <c r="BI38" s="56"/>
      <c r="BJ38" s="56"/>
      <c r="BS38" s="10"/>
      <c r="BT38" s="197"/>
      <c r="BU38" s="56"/>
      <c r="BV38" s="56"/>
      <c r="BW38" s="56"/>
    </row>
    <row r="39">
      <c r="A39" s="111">
        <v>1.0</v>
      </c>
      <c r="B39" s="35" t="s">
        <v>18</v>
      </c>
      <c r="C39" s="206">
        <v>0.0</v>
      </c>
      <c r="D39" s="130"/>
      <c r="E39" s="56"/>
      <c r="F39" s="130" t="s">
        <v>5913</v>
      </c>
      <c r="G39" s="56"/>
      <c r="H39" s="197"/>
      <c r="I39" s="98"/>
      <c r="J39" s="207"/>
      <c r="K39" s="200"/>
      <c r="L39" s="200"/>
      <c r="M39" s="69"/>
      <c r="N39" s="35" t="s">
        <v>5914</v>
      </c>
      <c r="O39" s="111">
        <v>1982.0</v>
      </c>
      <c r="P39" s="177" t="s">
        <v>5915</v>
      </c>
      <c r="Q39" s="130"/>
      <c r="R39" s="198"/>
      <c r="S39" s="208"/>
      <c r="T39" s="197"/>
      <c r="U39" s="197"/>
      <c r="V39" s="124"/>
      <c r="W39" s="143"/>
      <c r="X39" s="9"/>
      <c r="Y39" s="104"/>
      <c r="Z39" s="179"/>
      <c r="AA39" s="104"/>
      <c r="AB39" s="179"/>
      <c r="AC39" s="104"/>
      <c r="AD39" s="104"/>
      <c r="AE39" s="120"/>
      <c r="AF39" s="104"/>
      <c r="AG39" s="120"/>
      <c r="AH39" s="35"/>
      <c r="AI39" s="120"/>
      <c r="AJ39" s="200"/>
      <c r="AK39" s="120"/>
      <c r="AL39" s="200"/>
      <c r="AM39" s="200"/>
      <c r="AN39" s="143"/>
      <c r="AO39" s="143"/>
      <c r="AP39" s="143"/>
      <c r="AQ39" s="197"/>
      <c r="AR39" s="200"/>
      <c r="AS39" s="197"/>
      <c r="AT39" s="210"/>
      <c r="AU39" s="98"/>
      <c r="AV39" s="111"/>
      <c r="AW39" s="104"/>
      <c r="AX39" s="98"/>
      <c r="AY39" s="98"/>
      <c r="AZ39" s="211"/>
      <c r="BA39" s="198"/>
      <c r="BB39" s="198"/>
      <c r="BC39" s="198"/>
      <c r="BD39" s="198"/>
      <c r="BE39" s="56"/>
      <c r="BF39" s="198"/>
      <c r="BG39" s="198"/>
      <c r="BH39" s="56"/>
      <c r="BI39" s="56"/>
      <c r="BJ39" s="56"/>
      <c r="BS39" s="10"/>
      <c r="BT39" s="197"/>
      <c r="BU39" s="56"/>
      <c r="BV39" s="56"/>
      <c r="BW39" s="56"/>
    </row>
    <row r="40">
      <c r="A40" s="111">
        <v>1.0</v>
      </c>
      <c r="B40" s="35" t="s">
        <v>18</v>
      </c>
      <c r="C40" s="206">
        <v>0.0</v>
      </c>
      <c r="D40" s="130"/>
      <c r="E40" s="56"/>
      <c r="F40" s="130"/>
      <c r="G40" s="56"/>
      <c r="H40" s="197"/>
      <c r="I40" s="98"/>
      <c r="J40" s="207"/>
      <c r="K40" s="200"/>
      <c r="L40" s="200"/>
      <c r="M40" s="69"/>
      <c r="N40" s="35" t="s">
        <v>5916</v>
      </c>
      <c r="O40" s="111">
        <v>1982.0</v>
      </c>
      <c r="P40" s="177" t="s">
        <v>5917</v>
      </c>
      <c r="Q40" s="130"/>
      <c r="R40" s="198"/>
      <c r="S40" s="208"/>
      <c r="T40" s="197"/>
      <c r="U40" s="197"/>
      <c r="V40" s="124"/>
      <c r="W40" s="143"/>
      <c r="X40" s="9"/>
      <c r="Y40" s="104"/>
      <c r="Z40" s="179"/>
      <c r="AA40" s="104"/>
      <c r="AB40" s="179"/>
      <c r="AC40" s="104"/>
      <c r="AD40" s="104"/>
      <c r="AE40" s="120"/>
      <c r="AF40" s="104"/>
      <c r="AG40" s="120"/>
      <c r="AH40" s="35"/>
      <c r="AI40" s="120"/>
      <c r="AJ40" s="200"/>
      <c r="AK40" s="120"/>
      <c r="AL40" s="200"/>
      <c r="AM40" s="200"/>
      <c r="AN40" s="143"/>
      <c r="AO40" s="143"/>
      <c r="AP40" s="143"/>
      <c r="AQ40" s="197"/>
      <c r="AR40" s="200"/>
      <c r="AS40" s="197"/>
      <c r="AT40" s="210"/>
      <c r="AU40" s="98"/>
      <c r="AV40" s="111"/>
      <c r="AW40" s="104"/>
      <c r="AX40" s="98"/>
      <c r="AY40" s="98"/>
      <c r="AZ40" s="211"/>
      <c r="BA40" s="198"/>
      <c r="BB40" s="198"/>
      <c r="BC40" s="198"/>
      <c r="BD40" s="198"/>
      <c r="BE40" s="56"/>
      <c r="BF40" s="198"/>
      <c r="BG40" s="198"/>
      <c r="BH40" s="56"/>
      <c r="BI40" s="56"/>
      <c r="BJ40" s="56"/>
      <c r="BS40" s="10"/>
      <c r="BT40" s="197"/>
      <c r="BU40" s="56"/>
      <c r="BV40" s="56"/>
      <c r="BW40" s="56"/>
    </row>
    <row r="41">
      <c r="A41" s="111">
        <v>1.0</v>
      </c>
      <c r="B41" s="35" t="s">
        <v>18</v>
      </c>
      <c r="C41" s="206">
        <v>0.0</v>
      </c>
      <c r="D41" s="130"/>
      <c r="E41" s="56"/>
      <c r="F41" s="130"/>
      <c r="G41" s="56"/>
      <c r="H41" s="197"/>
      <c r="I41" s="98"/>
      <c r="J41" s="207"/>
      <c r="K41" s="200"/>
      <c r="L41" s="200"/>
      <c r="M41" s="69"/>
      <c r="N41" s="35" t="s">
        <v>5918</v>
      </c>
      <c r="O41" s="111">
        <v>1982.0</v>
      </c>
      <c r="P41" s="177" t="s">
        <v>5919</v>
      </c>
      <c r="Q41" s="130"/>
      <c r="R41" s="198"/>
      <c r="S41" s="208"/>
      <c r="T41" s="197"/>
      <c r="U41" s="197"/>
      <c r="V41" s="124"/>
      <c r="W41" s="143"/>
      <c r="X41" s="9"/>
      <c r="Y41" s="104"/>
      <c r="Z41" s="179"/>
      <c r="AA41" s="104"/>
      <c r="AB41" s="179"/>
      <c r="AC41" s="104"/>
      <c r="AD41" s="104"/>
      <c r="AE41" s="120"/>
      <c r="AF41" s="104"/>
      <c r="AG41" s="120"/>
      <c r="AH41" s="35"/>
      <c r="AI41" s="120"/>
      <c r="AJ41" s="200"/>
      <c r="AK41" s="120"/>
      <c r="AL41" s="200"/>
      <c r="AM41" s="200"/>
      <c r="AN41" s="143"/>
      <c r="AO41" s="143"/>
      <c r="AP41" s="143"/>
      <c r="AQ41" s="197"/>
      <c r="AR41" s="200"/>
      <c r="AS41" s="197"/>
      <c r="AT41" s="210"/>
      <c r="AU41" s="98"/>
      <c r="AV41" s="111"/>
      <c r="AW41" s="104"/>
      <c r="AX41" s="98"/>
      <c r="AY41" s="98"/>
      <c r="AZ41" s="211"/>
      <c r="BA41" s="198"/>
      <c r="BB41" s="198"/>
      <c r="BC41" s="198"/>
      <c r="BD41" s="198"/>
      <c r="BE41" s="56"/>
      <c r="BF41" s="198"/>
      <c r="BG41" s="198"/>
      <c r="BH41" s="56"/>
      <c r="BI41" s="56"/>
      <c r="BJ41" s="56"/>
      <c r="BS41" s="10"/>
      <c r="BT41" s="197"/>
      <c r="BU41" s="56"/>
      <c r="BV41" s="56"/>
      <c r="BW41" s="56"/>
    </row>
    <row r="42">
      <c r="A42" s="111">
        <v>1.0</v>
      </c>
      <c r="B42" s="35" t="s">
        <v>18</v>
      </c>
      <c r="C42" s="206">
        <v>1.0</v>
      </c>
      <c r="D42" s="104" t="s">
        <v>24</v>
      </c>
      <c r="E42" s="197"/>
      <c r="F42" s="104" t="s">
        <v>5920</v>
      </c>
      <c r="G42" s="56"/>
      <c r="H42" s="197"/>
      <c r="I42" s="197"/>
      <c r="J42" s="214"/>
      <c r="K42" s="110"/>
      <c r="L42" s="120"/>
      <c r="M42" s="69"/>
      <c r="N42" s="35" t="s">
        <v>5921</v>
      </c>
      <c r="O42" s="111">
        <v>1983.0</v>
      </c>
      <c r="P42" s="30" t="s">
        <v>5922</v>
      </c>
      <c r="Q42" s="35" t="s">
        <v>5923</v>
      </c>
      <c r="R42" s="198"/>
      <c r="S42" s="215" t="s">
        <v>5922</v>
      </c>
      <c r="T42" s="197"/>
      <c r="U42" s="197"/>
      <c r="V42" s="199"/>
      <c r="W42" s="120"/>
      <c r="X42" s="35" t="s">
        <v>5798</v>
      </c>
      <c r="Y42" s="104" t="s">
        <v>5924</v>
      </c>
      <c r="Z42" s="216" t="s">
        <v>5922</v>
      </c>
      <c r="AA42" s="104" t="s">
        <v>5925</v>
      </c>
      <c r="AB42" s="216" t="s">
        <v>5922</v>
      </c>
      <c r="AC42" s="104"/>
      <c r="AD42" s="104" t="s">
        <v>1939</v>
      </c>
      <c r="AE42" s="104" t="s">
        <v>22</v>
      </c>
      <c r="AF42" s="120"/>
      <c r="AG42" s="120"/>
      <c r="AH42" s="104" t="s">
        <v>5926</v>
      </c>
      <c r="AI42" s="120"/>
      <c r="AJ42" s="120"/>
      <c r="AK42" s="120"/>
      <c r="AL42" s="120"/>
      <c r="AM42" s="120"/>
      <c r="AN42" s="199"/>
      <c r="AO42" s="199"/>
      <c r="AP42" s="200"/>
      <c r="AQ42" s="111"/>
      <c r="AR42" s="200"/>
      <c r="AS42" s="197"/>
      <c r="AT42" s="200"/>
      <c r="AU42" s="197"/>
      <c r="AV42" s="111">
        <v>1.0</v>
      </c>
      <c r="AW42" s="104" t="s">
        <v>5833</v>
      </c>
      <c r="AX42" s="197"/>
      <c r="AY42" s="197"/>
      <c r="AZ42" s="183"/>
      <c r="BA42" s="198"/>
      <c r="BB42" s="198"/>
      <c r="BC42" s="198"/>
      <c r="BD42" s="198"/>
      <c r="BE42" s="56"/>
      <c r="BF42" s="198"/>
      <c r="BG42" s="198"/>
      <c r="BH42" s="56"/>
      <c r="BI42" s="56"/>
      <c r="BJ42" s="56"/>
      <c r="BS42" s="10"/>
      <c r="BT42" s="197"/>
      <c r="BU42" s="56"/>
      <c r="BV42" s="56"/>
      <c r="BW42" s="56"/>
    </row>
    <row r="43">
      <c r="A43" s="111">
        <v>1.0</v>
      </c>
      <c r="B43" s="35" t="s">
        <v>18</v>
      </c>
      <c r="C43" s="206">
        <v>0.0</v>
      </c>
      <c r="D43" s="130"/>
      <c r="E43" s="56"/>
      <c r="F43" s="130"/>
      <c r="G43" s="56"/>
      <c r="H43" s="197"/>
      <c r="I43" s="98"/>
      <c r="J43" s="207"/>
      <c r="K43" s="200"/>
      <c r="L43" s="200"/>
      <c r="M43" s="69"/>
      <c r="N43" s="35" t="s">
        <v>5927</v>
      </c>
      <c r="O43" s="111">
        <v>1983.0</v>
      </c>
      <c r="P43" s="211" t="s">
        <v>5928</v>
      </c>
      <c r="Q43" s="130"/>
      <c r="R43" s="198"/>
      <c r="S43" s="208"/>
      <c r="T43" s="197"/>
      <c r="U43" s="197"/>
      <c r="V43" s="124"/>
      <c r="W43" s="143"/>
      <c r="X43" s="9"/>
      <c r="Y43" s="104"/>
      <c r="Z43" s="179"/>
      <c r="AA43" s="104"/>
      <c r="AB43" s="179"/>
      <c r="AC43" s="104"/>
      <c r="AD43" s="104"/>
      <c r="AE43" s="120"/>
      <c r="AF43" s="104"/>
      <c r="AG43" s="120"/>
      <c r="AH43" s="35"/>
      <c r="AI43" s="120"/>
      <c r="AJ43" s="200"/>
      <c r="AK43" s="120"/>
      <c r="AL43" s="200"/>
      <c r="AM43" s="200"/>
      <c r="AN43" s="143"/>
      <c r="AO43" s="143"/>
      <c r="AP43" s="143"/>
      <c r="AQ43" s="197"/>
      <c r="AR43" s="200"/>
      <c r="AS43" s="197"/>
      <c r="AT43" s="210"/>
      <c r="AU43" s="98"/>
      <c r="AV43" s="111"/>
      <c r="AW43" s="104"/>
      <c r="AX43" s="98"/>
      <c r="AY43" s="98"/>
      <c r="AZ43" s="211"/>
      <c r="BA43" s="198"/>
      <c r="BB43" s="198"/>
      <c r="BC43" s="198"/>
      <c r="BD43" s="198"/>
      <c r="BE43" s="56"/>
      <c r="BF43" s="198"/>
      <c r="BG43" s="198"/>
      <c r="BH43" s="56"/>
      <c r="BI43" s="56"/>
      <c r="BJ43" s="56"/>
      <c r="BS43" s="10"/>
      <c r="BT43" s="197"/>
      <c r="BU43" s="56"/>
      <c r="BV43" s="56"/>
      <c r="BW43" s="56"/>
    </row>
    <row r="44">
      <c r="A44" s="111">
        <v>1.0</v>
      </c>
      <c r="B44" s="35" t="s">
        <v>18</v>
      </c>
      <c r="C44" s="206">
        <v>0.0</v>
      </c>
      <c r="D44" s="130"/>
      <c r="E44" s="56"/>
      <c r="F44" s="130"/>
      <c r="G44" s="56"/>
      <c r="H44" s="197"/>
      <c r="I44" s="98"/>
      <c r="J44" s="207"/>
      <c r="K44" s="200"/>
      <c r="L44" s="200"/>
      <c r="M44" s="69"/>
      <c r="N44" s="35" t="s">
        <v>5929</v>
      </c>
      <c r="O44" s="111">
        <v>1983.0</v>
      </c>
      <c r="P44" s="177" t="s">
        <v>5922</v>
      </c>
      <c r="Q44" s="130"/>
      <c r="R44" s="198"/>
      <c r="S44" s="208"/>
      <c r="T44" s="197"/>
      <c r="U44" s="197"/>
      <c r="V44" s="124"/>
      <c r="W44" s="143"/>
      <c r="X44" s="9"/>
      <c r="Y44" s="104"/>
      <c r="Z44" s="179"/>
      <c r="AA44" s="104"/>
      <c r="AB44" s="179"/>
      <c r="AC44" s="104"/>
      <c r="AD44" s="104"/>
      <c r="AE44" s="120"/>
      <c r="AF44" s="104"/>
      <c r="AG44" s="120"/>
      <c r="AH44" s="35"/>
      <c r="AI44" s="120"/>
      <c r="AJ44" s="200"/>
      <c r="AK44" s="120"/>
      <c r="AL44" s="200"/>
      <c r="AM44" s="200"/>
      <c r="AN44" s="143"/>
      <c r="AO44" s="143"/>
      <c r="AP44" s="143"/>
      <c r="AQ44" s="197"/>
      <c r="AR44" s="200"/>
      <c r="AS44" s="197"/>
      <c r="AT44" s="210"/>
      <c r="AU44" s="98"/>
      <c r="AV44" s="111"/>
      <c r="AW44" s="104"/>
      <c r="AX44" s="98"/>
      <c r="AY44" s="98"/>
      <c r="AZ44" s="211"/>
      <c r="BA44" s="198"/>
      <c r="BB44" s="198"/>
      <c r="BC44" s="198"/>
      <c r="BD44" s="198"/>
      <c r="BE44" s="56"/>
      <c r="BF44" s="198"/>
      <c r="BG44" s="198"/>
      <c r="BH44" s="56"/>
      <c r="BI44" s="56"/>
      <c r="BJ44" s="56"/>
      <c r="BS44" s="10"/>
      <c r="BT44" s="197"/>
      <c r="BU44" s="56"/>
      <c r="BV44" s="56"/>
      <c r="BW44" s="56"/>
    </row>
    <row r="45">
      <c r="A45" s="111">
        <v>1.0</v>
      </c>
      <c r="B45" s="35" t="s">
        <v>18</v>
      </c>
      <c r="C45" s="206">
        <v>0.0</v>
      </c>
      <c r="D45" s="130"/>
      <c r="E45" s="56"/>
      <c r="F45" s="130"/>
      <c r="G45" s="56"/>
      <c r="H45" s="197"/>
      <c r="I45" s="98"/>
      <c r="J45" s="207"/>
      <c r="K45" s="200"/>
      <c r="L45" s="200"/>
      <c r="M45" s="69"/>
      <c r="N45" s="35" t="s">
        <v>5930</v>
      </c>
      <c r="O45" s="111">
        <v>1983.0</v>
      </c>
      <c r="P45" s="177" t="s">
        <v>5931</v>
      </c>
      <c r="Q45" s="130"/>
      <c r="R45" s="198"/>
      <c r="S45" s="208"/>
      <c r="T45" s="197"/>
      <c r="U45" s="197"/>
      <c r="V45" s="124"/>
      <c r="W45" s="143"/>
      <c r="X45" s="9"/>
      <c r="Y45" s="104"/>
      <c r="Z45" s="179"/>
      <c r="AA45" s="104"/>
      <c r="AB45" s="179"/>
      <c r="AC45" s="104"/>
      <c r="AD45" s="104"/>
      <c r="AE45" s="120"/>
      <c r="AF45" s="104"/>
      <c r="AG45" s="120"/>
      <c r="AH45" s="35"/>
      <c r="AI45" s="120"/>
      <c r="AJ45" s="200"/>
      <c r="AK45" s="120"/>
      <c r="AL45" s="200"/>
      <c r="AM45" s="200"/>
      <c r="AN45" s="143"/>
      <c r="AO45" s="143"/>
      <c r="AP45" s="143"/>
      <c r="AQ45" s="197"/>
      <c r="AR45" s="200"/>
      <c r="AS45" s="197"/>
      <c r="AT45" s="210"/>
      <c r="AU45" s="98"/>
      <c r="AV45" s="111"/>
      <c r="AW45" s="104"/>
      <c r="AX45" s="98"/>
      <c r="AY45" s="98"/>
      <c r="AZ45" s="211"/>
      <c r="BA45" s="198"/>
      <c r="BB45" s="198"/>
      <c r="BC45" s="198"/>
      <c r="BD45" s="198"/>
      <c r="BE45" s="56"/>
      <c r="BF45" s="198"/>
      <c r="BG45" s="198"/>
      <c r="BH45" s="56"/>
      <c r="BI45" s="56"/>
      <c r="BJ45" s="56"/>
      <c r="BS45" s="10"/>
      <c r="BT45" s="197"/>
      <c r="BU45" s="56"/>
      <c r="BV45" s="56"/>
      <c r="BW45" s="56"/>
    </row>
    <row r="46">
      <c r="A46" s="111">
        <v>1.0</v>
      </c>
      <c r="B46" s="35" t="s">
        <v>18</v>
      </c>
      <c r="C46" s="206">
        <v>1.0</v>
      </c>
      <c r="D46" s="130"/>
      <c r="E46" s="56"/>
      <c r="F46" s="130"/>
      <c r="G46" s="56"/>
      <c r="H46" s="197"/>
      <c r="I46" s="98"/>
      <c r="J46" s="207"/>
      <c r="K46" s="200"/>
      <c r="L46" s="200"/>
      <c r="M46" s="69"/>
      <c r="N46" s="35" t="s">
        <v>5932</v>
      </c>
      <c r="O46" s="111">
        <v>1983.0</v>
      </c>
      <c r="P46" s="177" t="s">
        <v>5933</v>
      </c>
      <c r="Q46" s="130"/>
      <c r="R46" s="198"/>
      <c r="S46" s="208"/>
      <c r="T46" s="197"/>
      <c r="U46" s="197"/>
      <c r="V46" s="124"/>
      <c r="W46" s="143"/>
      <c r="X46" s="9" t="s">
        <v>5934</v>
      </c>
      <c r="Y46" s="104" t="s">
        <v>5935</v>
      </c>
      <c r="Z46" s="216" t="s">
        <v>5933</v>
      </c>
      <c r="AA46" s="104" t="s">
        <v>5936</v>
      </c>
      <c r="AB46" s="179"/>
      <c r="AC46" s="104"/>
      <c r="AD46" s="104" t="s">
        <v>5937</v>
      </c>
      <c r="AE46" s="120"/>
      <c r="AF46" s="104"/>
      <c r="AG46" s="120"/>
      <c r="AH46" s="35" t="s">
        <v>2486</v>
      </c>
      <c r="AI46" s="120"/>
      <c r="AJ46" s="200"/>
      <c r="AK46" s="120"/>
      <c r="AL46" s="200"/>
      <c r="AM46" s="200"/>
      <c r="AN46" s="143"/>
      <c r="AO46" s="143"/>
      <c r="AP46" s="143"/>
      <c r="AQ46" s="197"/>
      <c r="AR46" s="200"/>
      <c r="AS46" s="197"/>
      <c r="AT46" s="210"/>
      <c r="AU46" s="98"/>
      <c r="AV46" s="111"/>
      <c r="AW46" s="104" t="s">
        <v>22</v>
      </c>
      <c r="AX46" s="98"/>
      <c r="AY46" s="98"/>
      <c r="AZ46" s="211"/>
      <c r="BA46" s="198"/>
      <c r="BB46" s="198"/>
      <c r="BC46" s="198"/>
      <c r="BD46" s="198"/>
      <c r="BE46" s="56"/>
      <c r="BF46" s="198"/>
      <c r="BG46" s="198"/>
      <c r="BH46" s="56"/>
      <c r="BI46" s="56"/>
      <c r="BJ46" s="56"/>
      <c r="BS46" s="10"/>
      <c r="BT46" s="197"/>
      <c r="BU46" s="56"/>
      <c r="BV46" s="56"/>
      <c r="BW46" s="56"/>
    </row>
    <row r="47">
      <c r="A47" s="111">
        <v>1.0</v>
      </c>
      <c r="B47" s="35" t="s">
        <v>18</v>
      </c>
      <c r="C47" s="206">
        <v>0.0</v>
      </c>
      <c r="D47" s="130"/>
      <c r="E47" s="56"/>
      <c r="F47" s="130"/>
      <c r="G47" s="56"/>
      <c r="H47" s="197"/>
      <c r="I47" s="98"/>
      <c r="J47" s="207"/>
      <c r="K47" s="200"/>
      <c r="L47" s="200"/>
      <c r="M47" s="69"/>
      <c r="N47" s="35" t="s">
        <v>5938</v>
      </c>
      <c r="O47" s="111">
        <v>1983.0</v>
      </c>
      <c r="P47" s="177" t="s">
        <v>5939</v>
      </c>
      <c r="Q47" s="130"/>
      <c r="R47" s="198"/>
      <c r="S47" s="208"/>
      <c r="T47" s="197"/>
      <c r="U47" s="197"/>
      <c r="V47" s="124"/>
      <c r="W47" s="143"/>
      <c r="X47" s="9"/>
      <c r="Y47" s="104"/>
      <c r="Z47" s="179"/>
      <c r="AA47" s="104"/>
      <c r="AB47" s="179"/>
      <c r="AC47" s="104"/>
      <c r="AD47" s="104"/>
      <c r="AE47" s="120"/>
      <c r="AF47" s="104"/>
      <c r="AG47" s="120"/>
      <c r="AH47" s="35"/>
      <c r="AI47" s="120"/>
      <c r="AJ47" s="200"/>
      <c r="AK47" s="120"/>
      <c r="AL47" s="200"/>
      <c r="AM47" s="200"/>
      <c r="AN47" s="143"/>
      <c r="AO47" s="143"/>
      <c r="AP47" s="143"/>
      <c r="AQ47" s="197"/>
      <c r="AR47" s="200"/>
      <c r="AS47" s="197"/>
      <c r="AT47" s="210"/>
      <c r="AU47" s="98"/>
      <c r="AV47" s="111"/>
      <c r="AW47" s="104"/>
      <c r="AX47" s="98"/>
      <c r="AY47" s="98"/>
      <c r="AZ47" s="211"/>
      <c r="BA47" s="198"/>
      <c r="BB47" s="198"/>
      <c r="BC47" s="198"/>
      <c r="BD47" s="198"/>
      <c r="BE47" s="56"/>
      <c r="BF47" s="198"/>
      <c r="BG47" s="198"/>
      <c r="BH47" s="56"/>
      <c r="BI47" s="56"/>
      <c r="BJ47" s="56"/>
      <c r="BS47" s="10"/>
      <c r="BT47" s="197"/>
      <c r="BU47" s="56"/>
      <c r="BV47" s="56"/>
      <c r="BW47" s="56"/>
    </row>
    <row r="48">
      <c r="A48" s="111">
        <v>1.0</v>
      </c>
      <c r="B48" s="35" t="s">
        <v>18</v>
      </c>
      <c r="C48" s="206">
        <v>0.0</v>
      </c>
      <c r="D48" s="130"/>
      <c r="E48" s="56"/>
      <c r="F48" s="130"/>
      <c r="G48" s="56"/>
      <c r="H48" s="197"/>
      <c r="I48" s="98"/>
      <c r="J48" s="207"/>
      <c r="K48" s="200"/>
      <c r="L48" s="200"/>
      <c r="M48" s="69"/>
      <c r="N48" s="35" t="s">
        <v>5940</v>
      </c>
      <c r="O48" s="111">
        <v>1983.0</v>
      </c>
      <c r="P48" s="211" t="s">
        <v>5941</v>
      </c>
      <c r="Q48" s="130"/>
      <c r="R48" s="198"/>
      <c r="S48" s="208"/>
      <c r="T48" s="197"/>
      <c r="U48" s="197"/>
      <c r="V48" s="124"/>
      <c r="W48" s="143"/>
      <c r="X48" s="9"/>
      <c r="Y48" s="104"/>
      <c r="Z48" s="179"/>
      <c r="AA48" s="104"/>
      <c r="AB48" s="179"/>
      <c r="AC48" s="104"/>
      <c r="AD48" s="104"/>
      <c r="AE48" s="120"/>
      <c r="AF48" s="104"/>
      <c r="AG48" s="120"/>
      <c r="AH48" s="35"/>
      <c r="AI48" s="120"/>
      <c r="AJ48" s="200"/>
      <c r="AK48" s="120"/>
      <c r="AL48" s="200"/>
      <c r="AM48" s="200"/>
      <c r="AN48" s="143"/>
      <c r="AO48" s="143"/>
      <c r="AP48" s="143"/>
      <c r="AQ48" s="197"/>
      <c r="AR48" s="200"/>
      <c r="AS48" s="197"/>
      <c r="AT48" s="210"/>
      <c r="AU48" s="98"/>
      <c r="AV48" s="111"/>
      <c r="AW48" s="104"/>
      <c r="AX48" s="98"/>
      <c r="AY48" s="98"/>
      <c r="AZ48" s="211"/>
      <c r="BA48" s="198"/>
      <c r="BB48" s="198"/>
      <c r="BC48" s="198"/>
      <c r="BD48" s="198"/>
      <c r="BE48" s="56"/>
      <c r="BF48" s="198"/>
      <c r="BG48" s="198"/>
      <c r="BH48" s="56"/>
      <c r="BI48" s="56"/>
      <c r="BJ48" s="56"/>
      <c r="BS48" s="10"/>
      <c r="BT48" s="197"/>
      <c r="BU48" s="56"/>
      <c r="BV48" s="56"/>
      <c r="BW48" s="56"/>
    </row>
    <row r="49">
      <c r="A49" s="111">
        <v>1.0</v>
      </c>
      <c r="B49" s="35" t="s">
        <v>18</v>
      </c>
      <c r="C49" s="206">
        <v>0.0</v>
      </c>
      <c r="D49" s="130"/>
      <c r="E49" s="56"/>
      <c r="F49" s="130" t="s">
        <v>5903</v>
      </c>
      <c r="G49" s="56"/>
      <c r="H49" s="197"/>
      <c r="I49" s="98"/>
      <c r="J49" s="207"/>
      <c r="K49" s="200"/>
      <c r="L49" s="200"/>
      <c r="M49" s="69"/>
      <c r="N49" s="35" t="s">
        <v>5942</v>
      </c>
      <c r="O49" s="111">
        <v>1983.0</v>
      </c>
      <c r="P49" s="177" t="s">
        <v>5943</v>
      </c>
      <c r="Q49" s="130"/>
      <c r="R49" s="198"/>
      <c r="S49" s="208"/>
      <c r="T49" s="197"/>
      <c r="U49" s="197"/>
      <c r="V49" s="124"/>
      <c r="W49" s="143"/>
      <c r="X49" s="9"/>
      <c r="Y49" s="104"/>
      <c r="Z49" s="179"/>
      <c r="AA49" s="104"/>
      <c r="AB49" s="179"/>
      <c r="AC49" s="104"/>
      <c r="AD49" s="104"/>
      <c r="AE49" s="120"/>
      <c r="AF49" s="104"/>
      <c r="AG49" s="120"/>
      <c r="AH49" s="35"/>
      <c r="AI49" s="120"/>
      <c r="AJ49" s="200"/>
      <c r="AK49" s="120"/>
      <c r="AL49" s="200"/>
      <c r="AM49" s="200"/>
      <c r="AN49" s="143"/>
      <c r="AO49" s="143"/>
      <c r="AP49" s="143"/>
      <c r="AQ49" s="197"/>
      <c r="AR49" s="200"/>
      <c r="AS49" s="197"/>
      <c r="AT49" s="210"/>
      <c r="AU49" s="98"/>
      <c r="AV49" s="111"/>
      <c r="AW49" s="104"/>
      <c r="AX49" s="98"/>
      <c r="AY49" s="98"/>
      <c r="AZ49" s="177" t="s">
        <v>5944</v>
      </c>
      <c r="BA49" s="198"/>
      <c r="BB49" s="198"/>
      <c r="BC49" s="198"/>
      <c r="BD49" s="198"/>
      <c r="BE49" s="56"/>
      <c r="BF49" s="198"/>
      <c r="BG49" s="198"/>
      <c r="BH49" s="56"/>
      <c r="BI49" s="56"/>
      <c r="BJ49" s="56"/>
      <c r="BS49" s="10"/>
      <c r="BT49" s="197"/>
      <c r="BU49" s="56"/>
      <c r="BV49" s="56"/>
      <c r="BW49" s="56"/>
    </row>
    <row r="50">
      <c r="A50" s="111">
        <v>1.0</v>
      </c>
      <c r="B50" s="35" t="s">
        <v>18</v>
      </c>
      <c r="C50" s="206">
        <v>1.0</v>
      </c>
      <c r="D50" s="130"/>
      <c r="E50" s="56"/>
      <c r="F50" s="130" t="s">
        <v>5886</v>
      </c>
      <c r="G50" s="56"/>
      <c r="H50" s="197"/>
      <c r="I50" s="98"/>
      <c r="J50" s="207"/>
      <c r="K50" s="200"/>
      <c r="L50" s="200"/>
      <c r="M50" s="69"/>
      <c r="N50" s="35" t="s">
        <v>5945</v>
      </c>
      <c r="O50" s="111">
        <v>1983.0</v>
      </c>
      <c r="P50" s="177" t="s">
        <v>5946</v>
      </c>
      <c r="Q50" s="130"/>
      <c r="R50" s="198"/>
      <c r="S50" s="208"/>
      <c r="T50" s="197"/>
      <c r="U50" s="197"/>
      <c r="V50" s="124"/>
      <c r="W50" s="143"/>
      <c r="X50" s="9" t="s">
        <v>5889</v>
      </c>
      <c r="Y50" s="104" t="s">
        <v>34</v>
      </c>
      <c r="Z50" s="179"/>
      <c r="AA50" s="104" t="s">
        <v>5890</v>
      </c>
      <c r="AB50" s="179"/>
      <c r="AC50" s="104"/>
      <c r="AD50" s="104"/>
      <c r="AE50" s="120"/>
      <c r="AF50" s="112" t="s">
        <v>5891</v>
      </c>
      <c r="AG50" s="120"/>
      <c r="AH50" s="35"/>
      <c r="AI50" s="120"/>
      <c r="AJ50" s="200"/>
      <c r="AK50" s="120"/>
      <c r="AL50" s="200"/>
      <c r="AM50" s="200"/>
      <c r="AN50" s="143"/>
      <c r="AO50" s="143"/>
      <c r="AP50" s="143"/>
      <c r="AQ50" s="197"/>
      <c r="AR50" s="200"/>
      <c r="AS50" s="197"/>
      <c r="AT50" s="210"/>
      <c r="AU50" s="98"/>
      <c r="AV50" s="111">
        <v>1.0</v>
      </c>
      <c r="AW50" s="104" t="s">
        <v>5890</v>
      </c>
      <c r="AX50" s="98"/>
      <c r="AY50" s="98"/>
      <c r="AZ50" s="177" t="s">
        <v>5947</v>
      </c>
      <c r="BA50" s="198"/>
      <c r="BB50" s="198"/>
      <c r="BC50" s="198"/>
      <c r="BD50" s="198"/>
      <c r="BE50" s="56"/>
      <c r="BF50" s="198"/>
      <c r="BG50" s="198"/>
      <c r="BH50" s="56"/>
      <c r="BI50" s="56"/>
      <c r="BJ50" s="56"/>
      <c r="BS50" s="10"/>
      <c r="BT50" s="197"/>
      <c r="BU50" s="56"/>
      <c r="BV50" s="56"/>
      <c r="BW50" s="56"/>
    </row>
    <row r="51">
      <c r="A51" s="197">
        <v>1.0</v>
      </c>
      <c r="B51" s="34" t="s">
        <v>18</v>
      </c>
      <c r="C51" s="206">
        <v>0.001</v>
      </c>
      <c r="D51" s="120" t="s">
        <v>29</v>
      </c>
      <c r="E51" s="197">
        <v>25.0</v>
      </c>
      <c r="F51" s="120"/>
      <c r="G51" s="56"/>
      <c r="H51" s="197">
        <v>1.0</v>
      </c>
      <c r="I51" s="197">
        <v>1.0</v>
      </c>
      <c r="J51" s="214" t="s">
        <v>35</v>
      </c>
      <c r="K51" s="110" t="s">
        <v>3618</v>
      </c>
      <c r="L51" s="120" t="s">
        <v>3623</v>
      </c>
      <c r="M51" s="69" t="str">
        <f>CONCATENATE("[",P51," ",N51," (",O51,")","]")</f>
        <v>[https://link.springer.com/chapter/10.1007/978-94-009-2794-0_11 Spaghetti Sort Parallel Implementation - Steiglitz (1984)]</v>
      </c>
      <c r="N51" s="35" t="s">
        <v>5948</v>
      </c>
      <c r="O51" s="197">
        <v>1984.0</v>
      </c>
      <c r="P51" s="26" t="s">
        <v>3625</v>
      </c>
      <c r="Q51" s="198"/>
      <c r="R51" s="198"/>
      <c r="S51" s="198"/>
      <c r="T51" s="197">
        <v>0.0</v>
      </c>
      <c r="U51" s="197">
        <v>0.0</v>
      </c>
      <c r="V51" s="199">
        <f>IFERROR(__xludf.DUMMYFUNCTION("INDEX(SPLIT(SUBSTITUTE(W51,CHAR(10), """"),"",:""), MATCH(AE51, SPLIT(SUBSTITUTE(W51,CHAR(10), """"),"",:""), 0) + 1)"),3.0)</f>
        <v>3</v>
      </c>
      <c r="W51" s="120" t="s">
        <v>1763</v>
      </c>
      <c r="X51" s="34" t="s">
        <v>35</v>
      </c>
      <c r="Y51" s="120"/>
      <c r="Z51" s="120"/>
      <c r="AA51" s="120"/>
      <c r="AB51" s="120"/>
      <c r="AC51" s="120"/>
      <c r="AD51" s="120" t="s">
        <v>1939</v>
      </c>
      <c r="AE51" s="120" t="str">
        <f t="array" ref="AE51">INDEX(Problems!J:J, MATCH(1, (Problems!B:B=B51)*1, 0))</f>
        <v>n</v>
      </c>
      <c r="AF51" s="120"/>
      <c r="AG51" s="120"/>
      <c r="AH51" s="120" t="s">
        <v>3403</v>
      </c>
      <c r="AI51" s="120" t="s">
        <v>1814</v>
      </c>
      <c r="AJ51" s="120">
        <f>IFERROR(__xludf.DUMMYFUNCTION("INDEX(SPLIT(SUBSTITUTE(AK51,CHAR(10), """"),"",:""), MATCH(AE51, SPLIT(SUBSTITUTE(AK51,CHAR(10), """"),"",:""), 0) + 1)"),1.0)</f>
        <v>1</v>
      </c>
      <c r="AK51" s="120" t="s">
        <v>1774</v>
      </c>
      <c r="AL51" s="120" t="s">
        <v>3626</v>
      </c>
      <c r="AM51" s="120" t="s">
        <v>3627</v>
      </c>
      <c r="AN51" s="199">
        <v>1.0</v>
      </c>
      <c r="AO51" s="199">
        <v>0.0</v>
      </c>
      <c r="AP51" s="200"/>
      <c r="AQ51" s="197">
        <v>0.0</v>
      </c>
      <c r="AR51" s="200"/>
      <c r="AS51" s="197">
        <v>0.0</v>
      </c>
      <c r="AT51" s="200"/>
      <c r="AU51" s="197">
        <v>0.0</v>
      </c>
      <c r="AV51" s="197">
        <v>1.0</v>
      </c>
      <c r="AW51" s="110"/>
      <c r="AX51" s="197">
        <v>0.0</v>
      </c>
      <c r="AY51" s="197">
        <v>0.0</v>
      </c>
      <c r="AZ51" s="183" t="s">
        <v>3628</v>
      </c>
      <c r="BA51" s="198" t="s">
        <v>1942</v>
      </c>
      <c r="BB51" s="198"/>
      <c r="BC51" s="198"/>
      <c r="BD51" s="198"/>
      <c r="BE51" s="56"/>
      <c r="BF51" s="198"/>
      <c r="BG51" s="198"/>
      <c r="BH51" s="56"/>
      <c r="BI51" s="56"/>
      <c r="BJ51" s="56"/>
      <c r="BS51" s="10"/>
      <c r="BT51" s="197"/>
      <c r="BU51" s="56"/>
      <c r="BV51" s="56"/>
      <c r="BW51" s="56"/>
    </row>
    <row r="52">
      <c r="A52" s="111">
        <v>1.0</v>
      </c>
      <c r="B52" s="35" t="s">
        <v>18</v>
      </c>
      <c r="C52" s="206">
        <v>0.0</v>
      </c>
      <c r="D52" s="120"/>
      <c r="E52" s="197"/>
      <c r="F52" s="120"/>
      <c r="G52" s="56"/>
      <c r="H52" s="197"/>
      <c r="I52" s="197"/>
      <c r="J52" s="214"/>
      <c r="K52" s="110"/>
      <c r="L52" s="120"/>
      <c r="M52" s="69"/>
      <c r="N52" s="35" t="s">
        <v>5949</v>
      </c>
      <c r="O52" s="111">
        <v>1984.0</v>
      </c>
      <c r="P52" s="30" t="s">
        <v>5950</v>
      </c>
      <c r="Q52" s="198"/>
      <c r="R52" s="198"/>
      <c r="S52" s="198"/>
      <c r="T52" s="197"/>
      <c r="U52" s="197"/>
      <c r="V52" s="199"/>
      <c r="W52" s="120"/>
      <c r="X52" s="34"/>
      <c r="Y52" s="120"/>
      <c r="Z52" s="120"/>
      <c r="AA52" s="120"/>
      <c r="AB52" s="120"/>
      <c r="AC52" s="120"/>
      <c r="AD52" s="120"/>
      <c r="AE52" s="120"/>
      <c r="AF52" s="120"/>
      <c r="AG52" s="120"/>
      <c r="AH52" s="120"/>
      <c r="AI52" s="120"/>
      <c r="AJ52" s="120"/>
      <c r="AK52" s="120"/>
      <c r="AL52" s="120"/>
      <c r="AM52" s="120"/>
      <c r="AN52" s="199"/>
      <c r="AO52" s="199"/>
      <c r="AP52" s="200"/>
      <c r="AQ52" s="197"/>
      <c r="AR52" s="200"/>
      <c r="AS52" s="197"/>
      <c r="AT52" s="200"/>
      <c r="AU52" s="197"/>
      <c r="AV52" s="197"/>
      <c r="AW52" s="110"/>
      <c r="AX52" s="197"/>
      <c r="AY52" s="197"/>
      <c r="AZ52" s="183"/>
      <c r="BA52" s="198"/>
      <c r="BB52" s="198"/>
      <c r="BC52" s="198"/>
      <c r="BD52" s="198"/>
      <c r="BE52" s="56"/>
      <c r="BF52" s="198"/>
      <c r="BG52" s="198"/>
      <c r="BH52" s="56"/>
      <c r="BI52" s="56"/>
      <c r="BJ52" s="56"/>
      <c r="BS52" s="10"/>
      <c r="BT52" s="197"/>
      <c r="BU52" s="56"/>
      <c r="BV52" s="56"/>
      <c r="BW52" s="56"/>
    </row>
    <row r="53">
      <c r="A53" s="111">
        <v>1.0</v>
      </c>
      <c r="B53" s="35" t="s">
        <v>18</v>
      </c>
      <c r="C53" s="206">
        <v>0.001</v>
      </c>
      <c r="D53" s="104" t="s">
        <v>29</v>
      </c>
      <c r="E53" s="197"/>
      <c r="F53" s="104" t="s">
        <v>5951</v>
      </c>
      <c r="G53" s="56"/>
      <c r="H53" s="197"/>
      <c r="I53" s="197"/>
      <c r="J53" s="214"/>
      <c r="K53" s="110"/>
      <c r="L53" s="120"/>
      <c r="M53" s="69"/>
      <c r="N53" s="35" t="s">
        <v>5952</v>
      </c>
      <c r="O53" s="111">
        <v>1985.0</v>
      </c>
      <c r="P53" s="30" t="s">
        <v>5953</v>
      </c>
      <c r="Q53" s="198"/>
      <c r="R53" s="198"/>
      <c r="S53" s="198"/>
      <c r="T53" s="197"/>
      <c r="U53" s="197"/>
      <c r="V53" s="199"/>
      <c r="W53" s="120"/>
      <c r="X53" s="35" t="s">
        <v>5798</v>
      </c>
      <c r="Y53" s="104" t="s">
        <v>5924</v>
      </c>
      <c r="Z53" s="120"/>
      <c r="AA53" s="104" t="s">
        <v>5954</v>
      </c>
      <c r="AB53" s="120"/>
      <c r="AC53" s="104" t="s">
        <v>5955</v>
      </c>
      <c r="AD53" s="104" t="s">
        <v>1939</v>
      </c>
      <c r="AE53" s="120"/>
      <c r="AF53" s="120"/>
      <c r="AG53" s="120"/>
      <c r="AH53" s="104" t="s">
        <v>2674</v>
      </c>
      <c r="AI53" s="120"/>
      <c r="AJ53" s="120"/>
      <c r="AK53" s="120"/>
      <c r="AL53" s="120"/>
      <c r="AM53" s="120"/>
      <c r="AN53" s="199"/>
      <c r="AO53" s="199"/>
      <c r="AP53" s="200"/>
      <c r="AQ53" s="111">
        <v>1.0</v>
      </c>
      <c r="AR53" s="200"/>
      <c r="AS53" s="197"/>
      <c r="AT53" s="200"/>
      <c r="AU53" s="197"/>
      <c r="AV53" s="197"/>
      <c r="AW53" s="104" t="s">
        <v>2704</v>
      </c>
      <c r="AX53" s="197"/>
      <c r="AY53" s="197"/>
      <c r="AZ53" s="183"/>
      <c r="BA53" s="198"/>
      <c r="BB53" s="198"/>
      <c r="BC53" s="198"/>
      <c r="BD53" s="198"/>
      <c r="BE53" s="56"/>
      <c r="BF53" s="198"/>
      <c r="BG53" s="198"/>
      <c r="BH53" s="56"/>
      <c r="BI53" s="56"/>
      <c r="BJ53" s="56"/>
      <c r="BS53" s="10"/>
      <c r="BT53" s="197"/>
      <c r="BU53" s="56"/>
      <c r="BV53" s="56"/>
      <c r="BW53" s="56"/>
    </row>
    <row r="54">
      <c r="A54" s="111">
        <v>1.0</v>
      </c>
      <c r="B54" s="35" t="s">
        <v>18</v>
      </c>
      <c r="C54" s="206">
        <v>0.0</v>
      </c>
      <c r="D54" s="130"/>
      <c r="E54" s="56"/>
      <c r="F54" s="130"/>
      <c r="G54" s="56"/>
      <c r="H54" s="197"/>
      <c r="I54" s="98"/>
      <c r="J54" s="207"/>
      <c r="K54" s="200"/>
      <c r="L54" s="200"/>
      <c r="M54" s="69"/>
      <c r="N54" s="35" t="s">
        <v>5905</v>
      </c>
      <c r="O54" s="111">
        <v>1985.0</v>
      </c>
      <c r="P54" s="177" t="s">
        <v>5956</v>
      </c>
      <c r="Q54" s="130"/>
      <c r="R54" s="198"/>
      <c r="S54" s="208"/>
      <c r="T54" s="197"/>
      <c r="U54" s="197"/>
      <c r="V54" s="124"/>
      <c r="W54" s="143"/>
      <c r="X54" s="9"/>
      <c r="Y54" s="104"/>
      <c r="Z54" s="179"/>
      <c r="AA54" s="104"/>
      <c r="AB54" s="179"/>
      <c r="AC54" s="104"/>
      <c r="AD54" s="104"/>
      <c r="AE54" s="120"/>
      <c r="AF54" s="104"/>
      <c r="AG54" s="120"/>
      <c r="AH54" s="35"/>
      <c r="AI54" s="120"/>
      <c r="AJ54" s="200"/>
      <c r="AK54" s="120"/>
      <c r="AL54" s="200"/>
      <c r="AM54" s="200"/>
      <c r="AN54" s="143"/>
      <c r="AO54" s="143"/>
      <c r="AP54" s="143"/>
      <c r="AQ54" s="197"/>
      <c r="AR54" s="200"/>
      <c r="AS54" s="197"/>
      <c r="AT54" s="210"/>
      <c r="AU54" s="98"/>
      <c r="AV54" s="111"/>
      <c r="AW54" s="104"/>
      <c r="AX54" s="98"/>
      <c r="AY54" s="98"/>
      <c r="AZ54" s="211"/>
      <c r="BA54" s="198"/>
      <c r="BB54" s="198"/>
      <c r="BC54" s="198"/>
      <c r="BD54" s="198"/>
      <c r="BE54" s="56"/>
      <c r="BF54" s="198"/>
      <c r="BG54" s="198"/>
      <c r="BH54" s="56"/>
      <c r="BI54" s="56"/>
      <c r="BJ54" s="56"/>
      <c r="BS54" s="10"/>
      <c r="BT54" s="197"/>
      <c r="BU54" s="56"/>
      <c r="BV54" s="56"/>
      <c r="BW54" s="56"/>
    </row>
    <row r="55">
      <c r="A55" s="111">
        <v>1.0</v>
      </c>
      <c r="B55" s="35" t="s">
        <v>18</v>
      </c>
      <c r="C55" s="206">
        <v>0.0</v>
      </c>
      <c r="D55" s="130"/>
      <c r="E55" s="56"/>
      <c r="F55" s="130"/>
      <c r="G55" s="56"/>
      <c r="H55" s="197"/>
      <c r="I55" s="98"/>
      <c r="J55" s="207"/>
      <c r="K55" s="200"/>
      <c r="L55" s="200"/>
      <c r="M55" s="69"/>
      <c r="N55" s="35" t="s">
        <v>5957</v>
      </c>
      <c r="O55" s="111">
        <v>1985.0</v>
      </c>
      <c r="P55" s="177" t="s">
        <v>5958</v>
      </c>
      <c r="Q55" s="130"/>
      <c r="R55" s="198"/>
      <c r="S55" s="208"/>
      <c r="T55" s="197"/>
      <c r="U55" s="197"/>
      <c r="V55" s="124"/>
      <c r="W55" s="143"/>
      <c r="X55" s="9"/>
      <c r="Y55" s="104"/>
      <c r="Z55" s="179"/>
      <c r="AA55" s="104"/>
      <c r="AB55" s="179"/>
      <c r="AC55" s="104"/>
      <c r="AD55" s="104"/>
      <c r="AE55" s="120"/>
      <c r="AF55" s="104"/>
      <c r="AG55" s="120"/>
      <c r="AH55" s="35"/>
      <c r="AI55" s="120"/>
      <c r="AJ55" s="200"/>
      <c r="AK55" s="120"/>
      <c r="AL55" s="200"/>
      <c r="AM55" s="200"/>
      <c r="AN55" s="143"/>
      <c r="AO55" s="143"/>
      <c r="AP55" s="143"/>
      <c r="AQ55" s="197"/>
      <c r="AR55" s="200"/>
      <c r="AS55" s="197"/>
      <c r="AT55" s="210"/>
      <c r="AU55" s="98"/>
      <c r="AV55" s="111"/>
      <c r="AW55" s="104"/>
      <c r="AX55" s="98"/>
      <c r="AY55" s="98"/>
      <c r="AZ55" s="211"/>
      <c r="BA55" s="198"/>
      <c r="BB55" s="198"/>
      <c r="BC55" s="198"/>
      <c r="BD55" s="198"/>
      <c r="BE55" s="56"/>
      <c r="BF55" s="198"/>
      <c r="BG55" s="198"/>
      <c r="BH55" s="56"/>
      <c r="BI55" s="56"/>
      <c r="BJ55" s="56"/>
      <c r="BS55" s="10"/>
      <c r="BT55" s="197"/>
      <c r="BU55" s="56"/>
      <c r="BV55" s="56"/>
      <c r="BW55" s="56"/>
    </row>
    <row r="56">
      <c r="A56" s="111">
        <v>1.0</v>
      </c>
      <c r="B56" s="35" t="s">
        <v>18</v>
      </c>
      <c r="C56" s="206">
        <v>0.0</v>
      </c>
      <c r="D56" s="130"/>
      <c r="E56" s="56"/>
      <c r="F56" s="130"/>
      <c r="G56" s="56"/>
      <c r="H56" s="197"/>
      <c r="I56" s="98"/>
      <c r="J56" s="207"/>
      <c r="K56" s="200"/>
      <c r="L56" s="200"/>
      <c r="M56" s="69"/>
      <c r="N56" s="35" t="s">
        <v>5959</v>
      </c>
      <c r="O56" s="111">
        <v>1986.0</v>
      </c>
      <c r="P56" s="177" t="s">
        <v>5960</v>
      </c>
      <c r="Q56" s="130"/>
      <c r="R56" s="198"/>
      <c r="S56" s="208"/>
      <c r="T56" s="197"/>
      <c r="U56" s="197"/>
      <c r="V56" s="124"/>
      <c r="W56" s="143"/>
      <c r="X56" s="9"/>
      <c r="Y56" s="104"/>
      <c r="Z56" s="179"/>
      <c r="AA56" s="104"/>
      <c r="AB56" s="179"/>
      <c r="AC56" s="104"/>
      <c r="AD56" s="104"/>
      <c r="AE56" s="120"/>
      <c r="AF56" s="104"/>
      <c r="AG56" s="120"/>
      <c r="AH56" s="35"/>
      <c r="AI56" s="120"/>
      <c r="AJ56" s="200"/>
      <c r="AK56" s="120"/>
      <c r="AL56" s="200"/>
      <c r="AM56" s="200"/>
      <c r="AN56" s="143"/>
      <c r="AO56" s="143"/>
      <c r="AP56" s="143"/>
      <c r="AQ56" s="197"/>
      <c r="AR56" s="200"/>
      <c r="AS56" s="197"/>
      <c r="AT56" s="210"/>
      <c r="AU56" s="98"/>
      <c r="AV56" s="111"/>
      <c r="AW56" s="104"/>
      <c r="AX56" s="98"/>
      <c r="AY56" s="98"/>
      <c r="AZ56" s="211"/>
      <c r="BA56" s="198"/>
      <c r="BB56" s="198"/>
      <c r="BC56" s="198"/>
      <c r="BD56" s="198"/>
      <c r="BE56" s="56"/>
      <c r="BF56" s="198"/>
      <c r="BG56" s="198"/>
      <c r="BH56" s="56"/>
      <c r="BI56" s="56"/>
      <c r="BJ56" s="56"/>
      <c r="BS56" s="10"/>
      <c r="BT56" s="197"/>
      <c r="BU56" s="56"/>
      <c r="BV56" s="56"/>
      <c r="BW56" s="56"/>
    </row>
    <row r="57">
      <c r="A57" s="111">
        <v>1.0</v>
      </c>
      <c r="B57" s="35" t="s">
        <v>18</v>
      </c>
      <c r="C57" s="206">
        <v>0.0</v>
      </c>
      <c r="D57" s="130"/>
      <c r="E57" s="56"/>
      <c r="F57" s="130"/>
      <c r="G57" s="56"/>
      <c r="H57" s="197"/>
      <c r="I57" s="98"/>
      <c r="J57" s="207"/>
      <c r="K57" s="200"/>
      <c r="L57" s="200"/>
      <c r="M57" s="69"/>
      <c r="N57" s="35" t="s">
        <v>5961</v>
      </c>
      <c r="O57" s="111">
        <v>1986.0</v>
      </c>
      <c r="P57" s="177" t="s">
        <v>5962</v>
      </c>
      <c r="Q57" s="130"/>
      <c r="R57" s="198"/>
      <c r="S57" s="208"/>
      <c r="T57" s="197"/>
      <c r="U57" s="197"/>
      <c r="V57" s="124"/>
      <c r="W57" s="143"/>
      <c r="X57" s="9"/>
      <c r="Y57" s="104"/>
      <c r="Z57" s="179"/>
      <c r="AA57" s="104"/>
      <c r="AB57" s="179"/>
      <c r="AC57" s="104"/>
      <c r="AD57" s="104"/>
      <c r="AE57" s="120"/>
      <c r="AF57" s="104"/>
      <c r="AG57" s="120"/>
      <c r="AH57" s="35"/>
      <c r="AI57" s="120"/>
      <c r="AJ57" s="200"/>
      <c r="AK57" s="120"/>
      <c r="AL57" s="200"/>
      <c r="AM57" s="200"/>
      <c r="AN57" s="143"/>
      <c r="AO57" s="143"/>
      <c r="AP57" s="143"/>
      <c r="AQ57" s="197"/>
      <c r="AR57" s="200"/>
      <c r="AS57" s="197"/>
      <c r="AT57" s="210"/>
      <c r="AU57" s="98"/>
      <c r="AV57" s="111"/>
      <c r="AW57" s="104"/>
      <c r="AX57" s="98"/>
      <c r="AY57" s="98"/>
      <c r="AZ57" s="211"/>
      <c r="BA57" s="198"/>
      <c r="BB57" s="198"/>
      <c r="BC57" s="198"/>
      <c r="BD57" s="198"/>
      <c r="BE57" s="56"/>
      <c r="BF57" s="198"/>
      <c r="BG57" s="198"/>
      <c r="BH57" s="56"/>
      <c r="BI57" s="56"/>
      <c r="BJ57" s="56"/>
      <c r="BS57" s="10"/>
      <c r="BT57" s="197"/>
      <c r="BU57" s="56"/>
      <c r="BV57" s="56"/>
      <c r="BW57" s="56"/>
    </row>
    <row r="58">
      <c r="A58" s="111">
        <v>1.0</v>
      </c>
      <c r="B58" s="35" t="s">
        <v>18</v>
      </c>
      <c r="C58" s="206">
        <v>0.0</v>
      </c>
      <c r="D58" s="130"/>
      <c r="E58" s="56"/>
      <c r="F58" s="130"/>
      <c r="G58" s="56"/>
      <c r="H58" s="197"/>
      <c r="I58" s="98"/>
      <c r="J58" s="207"/>
      <c r="K58" s="200"/>
      <c r="L58" s="200"/>
      <c r="M58" s="69"/>
      <c r="N58" s="35" t="s">
        <v>5963</v>
      </c>
      <c r="O58" s="111">
        <v>1986.0</v>
      </c>
      <c r="P58" s="177" t="s">
        <v>5964</v>
      </c>
      <c r="Q58" s="130"/>
      <c r="R58" s="198"/>
      <c r="S58" s="208"/>
      <c r="T58" s="197"/>
      <c r="U58" s="197"/>
      <c r="V58" s="124"/>
      <c r="W58" s="143"/>
      <c r="X58" s="9"/>
      <c r="Y58" s="104"/>
      <c r="Z58" s="179"/>
      <c r="AA58" s="104"/>
      <c r="AB58" s="179"/>
      <c r="AC58" s="104"/>
      <c r="AD58" s="104"/>
      <c r="AE58" s="120"/>
      <c r="AF58" s="104"/>
      <c r="AG58" s="120"/>
      <c r="AH58" s="35"/>
      <c r="AI58" s="120"/>
      <c r="AJ58" s="200"/>
      <c r="AK58" s="120"/>
      <c r="AL58" s="200"/>
      <c r="AM58" s="200"/>
      <c r="AN58" s="143"/>
      <c r="AO58" s="143"/>
      <c r="AP58" s="143"/>
      <c r="AQ58" s="197"/>
      <c r="AR58" s="200"/>
      <c r="AS58" s="197"/>
      <c r="AT58" s="210"/>
      <c r="AU58" s="98"/>
      <c r="AV58" s="111"/>
      <c r="AW58" s="104"/>
      <c r="AX58" s="98"/>
      <c r="AY58" s="98"/>
      <c r="AZ58" s="211"/>
      <c r="BA58" s="198"/>
      <c r="BB58" s="198"/>
      <c r="BC58" s="198"/>
      <c r="BD58" s="198"/>
      <c r="BE58" s="56"/>
      <c r="BF58" s="198"/>
      <c r="BG58" s="198"/>
      <c r="BH58" s="56"/>
      <c r="BI58" s="56"/>
      <c r="BJ58" s="56"/>
      <c r="BS58" s="10"/>
      <c r="BT58" s="197"/>
      <c r="BU58" s="56"/>
      <c r="BV58" s="56"/>
      <c r="BW58" s="56"/>
    </row>
    <row r="59">
      <c r="A59" s="111">
        <v>1.0</v>
      </c>
      <c r="B59" s="35" t="s">
        <v>18</v>
      </c>
      <c r="C59" s="206">
        <v>0.0</v>
      </c>
      <c r="D59" s="130"/>
      <c r="E59" s="56"/>
      <c r="F59" s="130"/>
      <c r="G59" s="56"/>
      <c r="H59" s="197"/>
      <c r="I59" s="98"/>
      <c r="J59" s="207"/>
      <c r="K59" s="200"/>
      <c r="L59" s="200"/>
      <c r="M59" s="69"/>
      <c r="N59" s="35" t="s">
        <v>5965</v>
      </c>
      <c r="O59" s="111">
        <v>1987.0</v>
      </c>
      <c r="P59" s="177" t="s">
        <v>5966</v>
      </c>
      <c r="Q59" s="130"/>
      <c r="R59" s="198"/>
      <c r="S59" s="208"/>
      <c r="T59" s="197"/>
      <c r="U59" s="197"/>
      <c r="V59" s="124"/>
      <c r="W59" s="143"/>
      <c r="X59" s="9"/>
      <c r="Y59" s="104"/>
      <c r="Z59" s="179"/>
      <c r="AA59" s="104"/>
      <c r="AB59" s="179"/>
      <c r="AC59" s="104"/>
      <c r="AD59" s="104"/>
      <c r="AE59" s="120"/>
      <c r="AF59" s="104"/>
      <c r="AG59" s="120"/>
      <c r="AH59" s="35"/>
      <c r="AI59" s="120"/>
      <c r="AJ59" s="200"/>
      <c r="AK59" s="120"/>
      <c r="AL59" s="200"/>
      <c r="AM59" s="200"/>
      <c r="AN59" s="143"/>
      <c r="AO59" s="143"/>
      <c r="AP59" s="143"/>
      <c r="AQ59" s="197"/>
      <c r="AR59" s="200"/>
      <c r="AS59" s="197"/>
      <c r="AT59" s="210"/>
      <c r="AU59" s="98"/>
      <c r="AV59" s="111"/>
      <c r="AW59" s="104"/>
      <c r="AX59" s="98"/>
      <c r="AY59" s="98"/>
      <c r="AZ59" s="211"/>
      <c r="BA59" s="198"/>
      <c r="BB59" s="198"/>
      <c r="BC59" s="198"/>
      <c r="BD59" s="198"/>
      <c r="BE59" s="56"/>
      <c r="BF59" s="198"/>
      <c r="BG59" s="198"/>
      <c r="BH59" s="56"/>
      <c r="BI59" s="56"/>
      <c r="BJ59" s="56"/>
      <c r="BS59" s="10"/>
      <c r="BT59" s="197"/>
      <c r="BU59" s="56"/>
      <c r="BV59" s="56"/>
      <c r="BW59" s="56"/>
    </row>
    <row r="60">
      <c r="A60" s="111">
        <v>1.0</v>
      </c>
      <c r="B60" s="35" t="s">
        <v>18</v>
      </c>
      <c r="C60" s="206">
        <v>0.0</v>
      </c>
      <c r="D60" s="130"/>
      <c r="E60" s="56"/>
      <c r="F60" s="130"/>
      <c r="G60" s="56"/>
      <c r="H60" s="197"/>
      <c r="I60" s="98"/>
      <c r="J60" s="207"/>
      <c r="K60" s="200"/>
      <c r="L60" s="200"/>
      <c r="M60" s="69"/>
      <c r="N60" s="35" t="s">
        <v>5967</v>
      </c>
      <c r="O60" s="111">
        <v>1987.0</v>
      </c>
      <c r="P60" s="177" t="s">
        <v>5968</v>
      </c>
      <c r="Q60" s="130"/>
      <c r="R60" s="198"/>
      <c r="S60" s="208"/>
      <c r="T60" s="197"/>
      <c r="U60" s="197"/>
      <c r="V60" s="124"/>
      <c r="W60" s="143"/>
      <c r="X60" s="9"/>
      <c r="Y60" s="104"/>
      <c r="Z60" s="179"/>
      <c r="AA60" s="104"/>
      <c r="AB60" s="179"/>
      <c r="AC60" s="104"/>
      <c r="AD60" s="104"/>
      <c r="AE60" s="120"/>
      <c r="AF60" s="104"/>
      <c r="AG60" s="120"/>
      <c r="AH60" s="35"/>
      <c r="AI60" s="120"/>
      <c r="AJ60" s="200"/>
      <c r="AK60" s="120"/>
      <c r="AL60" s="200"/>
      <c r="AM60" s="200"/>
      <c r="AN60" s="143"/>
      <c r="AO60" s="143"/>
      <c r="AP60" s="143"/>
      <c r="AQ60" s="197"/>
      <c r="AR60" s="200"/>
      <c r="AS60" s="197"/>
      <c r="AT60" s="210"/>
      <c r="AU60" s="98"/>
      <c r="AV60" s="111"/>
      <c r="AW60" s="104"/>
      <c r="AX60" s="98"/>
      <c r="AY60" s="98"/>
      <c r="AZ60" s="211"/>
      <c r="BA60" s="198"/>
      <c r="BB60" s="198"/>
      <c r="BC60" s="198"/>
      <c r="BD60" s="198"/>
      <c r="BE60" s="56"/>
      <c r="BF60" s="198"/>
      <c r="BG60" s="198"/>
      <c r="BH60" s="56"/>
      <c r="BI60" s="56"/>
      <c r="BJ60" s="56"/>
      <c r="BS60" s="10"/>
      <c r="BT60" s="197"/>
      <c r="BU60" s="56"/>
      <c r="BV60" s="56"/>
      <c r="BW60" s="56"/>
    </row>
    <row r="61">
      <c r="A61" s="111">
        <v>1.0</v>
      </c>
      <c r="B61" s="35" t="s">
        <v>18</v>
      </c>
      <c r="C61" s="206">
        <v>0.0</v>
      </c>
      <c r="D61" s="130"/>
      <c r="E61" s="56"/>
      <c r="F61" s="130"/>
      <c r="G61" s="56"/>
      <c r="H61" s="197"/>
      <c r="I61" s="98"/>
      <c r="J61" s="207"/>
      <c r="K61" s="200"/>
      <c r="L61" s="200"/>
      <c r="M61" s="69"/>
      <c r="N61" s="35" t="s">
        <v>5969</v>
      </c>
      <c r="O61" s="111">
        <v>1988.0</v>
      </c>
      <c r="P61" s="177" t="s">
        <v>5970</v>
      </c>
      <c r="Q61" s="130"/>
      <c r="R61" s="198"/>
      <c r="S61" s="208"/>
      <c r="T61" s="197"/>
      <c r="U61" s="197"/>
      <c r="V61" s="124"/>
      <c r="W61" s="143"/>
      <c r="X61" s="9"/>
      <c r="Y61" s="104"/>
      <c r="Z61" s="179"/>
      <c r="AA61" s="104"/>
      <c r="AB61" s="179"/>
      <c r="AC61" s="104"/>
      <c r="AD61" s="104"/>
      <c r="AE61" s="120"/>
      <c r="AF61" s="104"/>
      <c r="AG61" s="120"/>
      <c r="AH61" s="35"/>
      <c r="AI61" s="120"/>
      <c r="AJ61" s="200"/>
      <c r="AK61" s="120"/>
      <c r="AL61" s="200"/>
      <c r="AM61" s="200"/>
      <c r="AN61" s="143"/>
      <c r="AO61" s="143"/>
      <c r="AP61" s="143"/>
      <c r="AQ61" s="197"/>
      <c r="AR61" s="200"/>
      <c r="AS61" s="197"/>
      <c r="AT61" s="210"/>
      <c r="AU61" s="98"/>
      <c r="AV61" s="111"/>
      <c r="AW61" s="104"/>
      <c r="AX61" s="98"/>
      <c r="AY61" s="98"/>
      <c r="AZ61" s="211"/>
      <c r="BA61" s="198"/>
      <c r="BB61" s="198"/>
      <c r="BC61" s="198"/>
      <c r="BD61" s="198"/>
      <c r="BE61" s="56"/>
      <c r="BF61" s="198"/>
      <c r="BG61" s="198"/>
      <c r="BH61" s="56"/>
      <c r="BI61" s="56"/>
      <c r="BJ61" s="56"/>
      <c r="BS61" s="10"/>
      <c r="BT61" s="197"/>
      <c r="BU61" s="56"/>
      <c r="BV61" s="56"/>
      <c r="BW61" s="56"/>
    </row>
    <row r="62">
      <c r="A62" s="197">
        <v>1.0</v>
      </c>
      <c r="B62" s="35" t="s">
        <v>18</v>
      </c>
      <c r="C62" s="206">
        <v>1.0</v>
      </c>
      <c r="D62" s="200"/>
      <c r="E62" s="56"/>
      <c r="F62" s="200"/>
      <c r="G62" s="56"/>
      <c r="H62" s="197">
        <v>1.0</v>
      </c>
      <c r="I62" s="98">
        <v>1.0</v>
      </c>
      <c r="J62" s="207" t="s">
        <v>1963</v>
      </c>
      <c r="K62" s="200"/>
      <c r="L62" s="200"/>
      <c r="M62" s="69" t="str">
        <f t="shared" ref="M62:M63" si="2">CONCATENATE("[",P62," ",N62," (",O62,")","]")</f>
        <v>[https://epubs.siam.org/doi/abs/10.1137/0217049 Parallel Merge Sort - Cole (1) (1988)]</v>
      </c>
      <c r="N62" s="69" t="s">
        <v>5971</v>
      </c>
      <c r="O62" s="98">
        <v>1988.0</v>
      </c>
      <c r="P62" s="217" t="s">
        <v>5972</v>
      </c>
      <c r="Q62" s="218">
        <v>45048.0</v>
      </c>
      <c r="R62" s="198"/>
      <c r="S62" s="208" t="s">
        <v>5972</v>
      </c>
      <c r="T62" s="98"/>
      <c r="U62" s="197"/>
      <c r="V62" s="124"/>
      <c r="W62" s="143"/>
      <c r="X62" s="214" t="s">
        <v>1963</v>
      </c>
      <c r="Y62" s="104" t="s">
        <v>5973</v>
      </c>
      <c r="Z62" s="180" t="s">
        <v>5972</v>
      </c>
      <c r="AA62" s="104" t="s">
        <v>5974</v>
      </c>
      <c r="AB62" s="180" t="s">
        <v>5972</v>
      </c>
      <c r="AC62" s="104" t="s">
        <v>5975</v>
      </c>
      <c r="AD62" s="120" t="s">
        <v>1939</v>
      </c>
      <c r="AE62" s="120"/>
      <c r="AF62" s="120"/>
      <c r="AG62" s="120"/>
      <c r="AH62" s="120" t="s">
        <v>2486</v>
      </c>
      <c r="AI62" s="120" t="s">
        <v>1814</v>
      </c>
      <c r="AJ62" s="200"/>
      <c r="AK62" s="120"/>
      <c r="AL62" s="200"/>
      <c r="AM62" s="200"/>
      <c r="AN62" s="143"/>
      <c r="AO62" s="143"/>
      <c r="AP62" s="143"/>
      <c r="AQ62" s="197">
        <v>0.0</v>
      </c>
      <c r="AR62" s="200"/>
      <c r="AS62" s="197">
        <v>0.0</v>
      </c>
      <c r="AT62" s="210"/>
      <c r="AU62" s="98">
        <v>0.0</v>
      </c>
      <c r="AV62" s="98">
        <v>1.0</v>
      </c>
      <c r="AW62" s="104" t="s">
        <v>22</v>
      </c>
      <c r="AX62" s="98">
        <v>0.0</v>
      </c>
      <c r="AY62" s="98">
        <v>0.0</v>
      </c>
      <c r="AZ62" s="69"/>
      <c r="BA62" s="198" t="s">
        <v>1942</v>
      </c>
      <c r="BB62" s="198"/>
      <c r="BC62" s="198"/>
      <c r="BD62" s="198"/>
      <c r="BE62" s="56"/>
      <c r="BF62" s="198"/>
      <c r="BG62" s="198"/>
      <c r="BH62" s="56"/>
      <c r="BI62" s="56"/>
      <c r="BJ62" s="56"/>
      <c r="BS62" s="10"/>
      <c r="BT62" s="197"/>
      <c r="BU62" s="56"/>
      <c r="BV62" s="56"/>
      <c r="BW62" s="56"/>
    </row>
    <row r="63">
      <c r="A63" s="197">
        <v>1.0</v>
      </c>
      <c r="B63" s="35" t="s">
        <v>5976</v>
      </c>
      <c r="C63" s="206">
        <v>1.0</v>
      </c>
      <c r="D63" s="200"/>
      <c r="E63" s="56"/>
      <c r="F63" s="200"/>
      <c r="G63" s="56"/>
      <c r="H63" s="197">
        <v>1.0</v>
      </c>
      <c r="I63" s="98">
        <v>1.0</v>
      </c>
      <c r="J63" s="207" t="s">
        <v>1963</v>
      </c>
      <c r="K63" s="200"/>
      <c r="L63" s="200"/>
      <c r="M63" s="69" t="str">
        <f t="shared" si="2"/>
        <v>[https://epubs.siam.org/doi/abs/10.1137/0217049 Parallel Merge Sort - Cole (2) (1988)]</v>
      </c>
      <c r="N63" s="69" t="s">
        <v>5977</v>
      </c>
      <c r="O63" s="98">
        <v>1988.0</v>
      </c>
      <c r="P63" s="183" t="s">
        <v>5972</v>
      </c>
      <c r="Q63" s="130">
        <v>5.0</v>
      </c>
      <c r="R63" s="198"/>
      <c r="S63" s="208" t="s">
        <v>5972</v>
      </c>
      <c r="T63" s="197"/>
      <c r="U63" s="197"/>
      <c r="V63" s="124"/>
      <c r="W63" s="143"/>
      <c r="X63" s="214" t="s">
        <v>1963</v>
      </c>
      <c r="Y63" s="104" t="s">
        <v>5973</v>
      </c>
      <c r="Z63" s="180" t="s">
        <v>5972</v>
      </c>
      <c r="AA63" s="104" t="s">
        <v>5974</v>
      </c>
      <c r="AB63" s="180" t="s">
        <v>5972</v>
      </c>
      <c r="AC63" s="104" t="s">
        <v>5975</v>
      </c>
      <c r="AD63" s="110" t="s">
        <v>1939</v>
      </c>
      <c r="AE63" s="120"/>
      <c r="AF63" s="120"/>
      <c r="AG63" s="120"/>
      <c r="AH63" s="120" t="s">
        <v>2436</v>
      </c>
      <c r="AI63" s="120" t="s">
        <v>1814</v>
      </c>
      <c r="AJ63" s="200"/>
      <c r="AK63" s="120"/>
      <c r="AL63" s="200"/>
      <c r="AM63" s="200"/>
      <c r="AN63" s="143"/>
      <c r="AO63" s="143"/>
      <c r="AP63" s="143"/>
      <c r="AQ63" s="197">
        <v>0.0</v>
      </c>
      <c r="AR63" s="200"/>
      <c r="AS63" s="197">
        <v>0.0</v>
      </c>
      <c r="AT63" s="210"/>
      <c r="AU63" s="98">
        <v>0.0</v>
      </c>
      <c r="AV63" s="98">
        <v>1.0</v>
      </c>
      <c r="AW63" s="104" t="s">
        <v>22</v>
      </c>
      <c r="AX63" s="98">
        <v>0.0</v>
      </c>
      <c r="AY63" s="98">
        <v>0.0</v>
      </c>
      <c r="AZ63" s="69"/>
      <c r="BA63" s="198" t="s">
        <v>1942</v>
      </c>
      <c r="BB63" s="198"/>
      <c r="BC63" s="198"/>
      <c r="BD63" s="198"/>
      <c r="BE63" s="56"/>
      <c r="BF63" s="198"/>
      <c r="BG63" s="198"/>
      <c r="BH63" s="56"/>
      <c r="BI63" s="56"/>
      <c r="BJ63" s="56"/>
      <c r="BS63" s="10"/>
      <c r="BT63" s="197"/>
      <c r="BU63" s="56"/>
      <c r="BV63" s="56"/>
      <c r="BW63" s="56"/>
    </row>
    <row r="64">
      <c r="A64" s="111">
        <v>1.0</v>
      </c>
      <c r="B64" s="35" t="s">
        <v>18</v>
      </c>
      <c r="C64" s="206">
        <v>0.0</v>
      </c>
      <c r="D64" s="200"/>
      <c r="E64" s="56"/>
      <c r="F64" s="200"/>
      <c r="G64" s="56"/>
      <c r="H64" s="197"/>
      <c r="I64" s="98"/>
      <c r="J64" s="207"/>
      <c r="K64" s="200"/>
      <c r="L64" s="200"/>
      <c r="M64" s="69"/>
      <c r="N64" s="35" t="s">
        <v>5978</v>
      </c>
      <c r="O64" s="111">
        <v>1988.0</v>
      </c>
      <c r="P64" s="30" t="s">
        <v>5979</v>
      </c>
      <c r="Q64" s="130"/>
      <c r="R64" s="198"/>
      <c r="S64" s="208"/>
      <c r="T64" s="197"/>
      <c r="U64" s="197"/>
      <c r="V64" s="124"/>
      <c r="W64" s="143"/>
      <c r="X64" s="214"/>
      <c r="Y64" s="104"/>
      <c r="Z64" s="179"/>
      <c r="AA64" s="104"/>
      <c r="AB64" s="179"/>
      <c r="AC64" s="104"/>
      <c r="AD64" s="110"/>
      <c r="AE64" s="120"/>
      <c r="AF64" s="120"/>
      <c r="AG64" s="120"/>
      <c r="AH64" s="120"/>
      <c r="AI64" s="120"/>
      <c r="AJ64" s="200"/>
      <c r="AK64" s="120"/>
      <c r="AL64" s="200"/>
      <c r="AM64" s="200"/>
      <c r="AN64" s="143"/>
      <c r="AO64" s="143"/>
      <c r="AP64" s="143"/>
      <c r="AQ64" s="197"/>
      <c r="AR64" s="200"/>
      <c r="AS64" s="197"/>
      <c r="AT64" s="210"/>
      <c r="AU64" s="98"/>
      <c r="AV64" s="98"/>
      <c r="AW64" s="104"/>
      <c r="AX64" s="98"/>
      <c r="AY64" s="98"/>
      <c r="AZ64" s="69"/>
      <c r="BA64" s="198"/>
      <c r="BB64" s="198"/>
      <c r="BC64" s="198"/>
      <c r="BD64" s="198"/>
      <c r="BE64" s="56"/>
      <c r="BF64" s="198"/>
      <c r="BG64" s="198"/>
      <c r="BH64" s="56"/>
      <c r="BI64" s="56"/>
      <c r="BJ64" s="56"/>
      <c r="BS64" s="10"/>
      <c r="BT64" s="197"/>
      <c r="BU64" s="56"/>
      <c r="BV64" s="56"/>
      <c r="BW64" s="56"/>
    </row>
    <row r="65">
      <c r="A65" s="111">
        <v>1.0</v>
      </c>
      <c r="B65" s="35" t="s">
        <v>18</v>
      </c>
      <c r="C65" s="206">
        <v>0.0</v>
      </c>
      <c r="D65" s="200"/>
      <c r="E65" s="56"/>
      <c r="F65" s="200"/>
      <c r="G65" s="56"/>
      <c r="H65" s="197"/>
      <c r="I65" s="98"/>
      <c r="J65" s="207"/>
      <c r="K65" s="200"/>
      <c r="L65" s="200"/>
      <c r="M65" s="69"/>
      <c r="N65" s="35" t="s">
        <v>5980</v>
      </c>
      <c r="O65" s="111">
        <v>1989.0</v>
      </c>
      <c r="P65" s="30" t="s">
        <v>5981</v>
      </c>
      <c r="Q65" s="130"/>
      <c r="R65" s="198"/>
      <c r="S65" s="208"/>
      <c r="T65" s="197"/>
      <c r="U65" s="197"/>
      <c r="V65" s="124"/>
      <c r="W65" s="143"/>
      <c r="X65" s="214"/>
      <c r="Y65" s="104"/>
      <c r="Z65" s="179"/>
      <c r="AA65" s="104"/>
      <c r="AB65" s="179"/>
      <c r="AC65" s="104"/>
      <c r="AD65" s="110"/>
      <c r="AE65" s="120"/>
      <c r="AF65" s="120"/>
      <c r="AG65" s="120"/>
      <c r="AH65" s="120"/>
      <c r="AI65" s="120"/>
      <c r="AJ65" s="200"/>
      <c r="AK65" s="120"/>
      <c r="AL65" s="200"/>
      <c r="AM65" s="200"/>
      <c r="AN65" s="143"/>
      <c r="AO65" s="143"/>
      <c r="AP65" s="143"/>
      <c r="AQ65" s="197"/>
      <c r="AR65" s="200"/>
      <c r="AS65" s="197"/>
      <c r="AT65" s="210"/>
      <c r="AU65" s="98"/>
      <c r="AV65" s="98"/>
      <c r="AW65" s="104"/>
      <c r="AX65" s="98"/>
      <c r="AY65" s="98"/>
      <c r="AZ65" s="69"/>
      <c r="BA65" s="198"/>
      <c r="BB65" s="198"/>
      <c r="BC65" s="198"/>
      <c r="BD65" s="198"/>
      <c r="BE65" s="56"/>
      <c r="BF65" s="198"/>
      <c r="BG65" s="198"/>
      <c r="BH65" s="56"/>
      <c r="BI65" s="56"/>
      <c r="BJ65" s="56"/>
      <c r="BS65" s="10"/>
      <c r="BT65" s="197"/>
      <c r="BU65" s="56"/>
      <c r="BV65" s="56"/>
      <c r="BW65" s="56"/>
    </row>
    <row r="66">
      <c r="A66" s="111">
        <v>1.0</v>
      </c>
      <c r="B66" s="35" t="s">
        <v>18</v>
      </c>
      <c r="C66" s="206">
        <v>0.0</v>
      </c>
      <c r="D66" s="200"/>
      <c r="E66" s="56"/>
      <c r="F66" s="200"/>
      <c r="G66" s="56"/>
      <c r="H66" s="197"/>
      <c r="I66" s="98"/>
      <c r="J66" s="207"/>
      <c r="K66" s="200"/>
      <c r="L66" s="200"/>
      <c r="M66" s="69"/>
      <c r="N66" s="35" t="s">
        <v>5982</v>
      </c>
      <c r="O66" s="111">
        <v>1989.0</v>
      </c>
      <c r="P66" s="30" t="s">
        <v>5983</v>
      </c>
      <c r="Q66" s="130"/>
      <c r="R66" s="198"/>
      <c r="S66" s="208"/>
      <c r="T66" s="197"/>
      <c r="U66" s="197"/>
      <c r="V66" s="124"/>
      <c r="W66" s="143"/>
      <c r="X66" s="214"/>
      <c r="Y66" s="104"/>
      <c r="Z66" s="179"/>
      <c r="AA66" s="104"/>
      <c r="AB66" s="179"/>
      <c r="AC66" s="104"/>
      <c r="AD66" s="110"/>
      <c r="AE66" s="120"/>
      <c r="AF66" s="120"/>
      <c r="AG66" s="120"/>
      <c r="AH66" s="120"/>
      <c r="AI66" s="120"/>
      <c r="AJ66" s="200"/>
      <c r="AK66" s="120"/>
      <c r="AL66" s="200"/>
      <c r="AM66" s="200"/>
      <c r="AN66" s="143"/>
      <c r="AO66" s="143"/>
      <c r="AP66" s="143"/>
      <c r="AQ66" s="197"/>
      <c r="AR66" s="200"/>
      <c r="AS66" s="197"/>
      <c r="AT66" s="210"/>
      <c r="AU66" s="98"/>
      <c r="AV66" s="98"/>
      <c r="AW66" s="104"/>
      <c r="AX66" s="98"/>
      <c r="AY66" s="98"/>
      <c r="AZ66" s="69"/>
      <c r="BA66" s="198"/>
      <c r="BB66" s="198"/>
      <c r="BC66" s="198"/>
      <c r="BD66" s="198"/>
      <c r="BE66" s="56"/>
      <c r="BF66" s="198"/>
      <c r="BG66" s="198"/>
      <c r="BH66" s="56"/>
      <c r="BI66" s="56"/>
      <c r="BJ66" s="56"/>
      <c r="BS66" s="10"/>
      <c r="BT66" s="197"/>
      <c r="BU66" s="56"/>
      <c r="BV66" s="56"/>
      <c r="BW66" s="56"/>
    </row>
    <row r="67">
      <c r="A67" s="111">
        <v>1.0</v>
      </c>
      <c r="B67" s="35" t="s">
        <v>18</v>
      </c>
      <c r="C67" s="206">
        <v>0.0</v>
      </c>
      <c r="D67" s="200"/>
      <c r="E67" s="56"/>
      <c r="F67" s="200"/>
      <c r="G67" s="56"/>
      <c r="H67" s="197"/>
      <c r="I67" s="98"/>
      <c r="J67" s="207"/>
      <c r="K67" s="200"/>
      <c r="L67" s="200"/>
      <c r="M67" s="69"/>
      <c r="N67" s="35" t="s">
        <v>5984</v>
      </c>
      <c r="O67" s="111">
        <v>1989.0</v>
      </c>
      <c r="P67" s="30" t="s">
        <v>5985</v>
      </c>
      <c r="Q67" s="130"/>
      <c r="R67" s="198"/>
      <c r="S67" s="208"/>
      <c r="T67" s="197"/>
      <c r="U67" s="197"/>
      <c r="V67" s="124"/>
      <c r="W67" s="143"/>
      <c r="X67" s="214"/>
      <c r="Y67" s="104"/>
      <c r="Z67" s="179"/>
      <c r="AA67" s="104"/>
      <c r="AB67" s="179"/>
      <c r="AC67" s="104"/>
      <c r="AD67" s="110"/>
      <c r="AE67" s="120"/>
      <c r="AF67" s="120"/>
      <c r="AG67" s="120"/>
      <c r="AH67" s="120"/>
      <c r="AI67" s="120"/>
      <c r="AJ67" s="200"/>
      <c r="AK67" s="120"/>
      <c r="AL67" s="200"/>
      <c r="AM67" s="200"/>
      <c r="AN67" s="143"/>
      <c r="AO67" s="143"/>
      <c r="AP67" s="143"/>
      <c r="AQ67" s="197"/>
      <c r="AR67" s="200"/>
      <c r="AS67" s="197"/>
      <c r="AT67" s="210"/>
      <c r="AU67" s="98"/>
      <c r="AV67" s="98"/>
      <c r="AW67" s="104"/>
      <c r="AX67" s="98"/>
      <c r="AY67" s="98"/>
      <c r="AZ67" s="69"/>
      <c r="BA67" s="198"/>
      <c r="BB67" s="198"/>
      <c r="BC67" s="198"/>
      <c r="BD67" s="198"/>
      <c r="BE67" s="56"/>
      <c r="BF67" s="198"/>
      <c r="BG67" s="198"/>
      <c r="BH67" s="56"/>
      <c r="BI67" s="56"/>
      <c r="BJ67" s="56"/>
      <c r="BS67" s="10"/>
      <c r="BT67" s="197"/>
      <c r="BU67" s="56"/>
      <c r="BV67" s="56"/>
      <c r="BW67" s="56"/>
    </row>
    <row r="68">
      <c r="A68" s="197">
        <v>1.0</v>
      </c>
      <c r="B68" s="34" t="s">
        <v>18</v>
      </c>
      <c r="C68" s="206">
        <v>1.0</v>
      </c>
      <c r="D68" s="120" t="s">
        <v>24</v>
      </c>
      <c r="E68" s="197">
        <v>17.0</v>
      </c>
      <c r="F68" s="120"/>
      <c r="G68" s="56"/>
      <c r="H68" s="197">
        <v>1.0</v>
      </c>
      <c r="I68" s="197">
        <v>1.0</v>
      </c>
      <c r="J68" s="209" t="s">
        <v>5986</v>
      </c>
      <c r="K68" s="120"/>
      <c r="L68" s="120"/>
      <c r="M68" s="69" t="str">
        <f>CONCATENATE("[",P68," ",N68," (",O68,")","]")</f>
        <v>[https://epubs.siam.org/doi/abs/10.1137/0218014 Bitonic Merge Sort Parallel Implementation - Bilardi, Nicolau (1989)]</v>
      </c>
      <c r="N68" s="35" t="s">
        <v>5987</v>
      </c>
      <c r="O68" s="111">
        <v>1989.0</v>
      </c>
      <c r="P68" s="26" t="s">
        <v>2700</v>
      </c>
      <c r="Q68" s="130">
        <v>2.0</v>
      </c>
      <c r="R68" s="198"/>
      <c r="S68" s="219" t="s">
        <v>2700</v>
      </c>
      <c r="T68" s="197">
        <v>0.0</v>
      </c>
      <c r="U68" s="197">
        <v>0.0</v>
      </c>
      <c r="V68" s="199">
        <f>IFERROR(__xludf.DUMMYFUNCTION("INDEX(SPLIT(SUBSTITUTE(W68,CHAR(10), """"),"",:""), MATCH(AE68, SPLIT(SUBSTITUTE(W68,CHAR(10), """"),"",:""), 0) + 1)"),2.0)</f>
        <v>2</v>
      </c>
      <c r="W68" s="120" t="s">
        <v>1962</v>
      </c>
      <c r="X68" s="35" t="s">
        <v>5988</v>
      </c>
      <c r="Y68" s="104" t="s">
        <v>5989</v>
      </c>
      <c r="Z68" s="180" t="s">
        <v>2700</v>
      </c>
      <c r="AA68" s="104" t="s">
        <v>5974</v>
      </c>
      <c r="AB68" s="180" t="s">
        <v>2700</v>
      </c>
      <c r="AC68" s="104" t="s">
        <v>5990</v>
      </c>
      <c r="AD68" s="104" t="s">
        <v>5794</v>
      </c>
      <c r="AE68" s="120" t="str">
        <f t="array" ref="AE68">INDEX(Problems!J:J, MATCH(1, (Problems!B:B=B68)*1, 0))</f>
        <v>n</v>
      </c>
      <c r="AF68" s="120"/>
      <c r="AG68" s="120"/>
      <c r="AH68" s="120" t="s">
        <v>2702</v>
      </c>
      <c r="AI68" s="120" t="s">
        <v>1814</v>
      </c>
      <c r="AJ68" s="120">
        <f>IFERROR(__xludf.DUMMYFUNCTION("INDEX(SPLIT(SUBSTITUTE(AK68,CHAR(10), """"),"",:""), MATCH(AE68, SPLIT(SUBSTITUTE(AK68,CHAR(10), """"),"",:""), 0) + 1)"),1.0)</f>
        <v>1</v>
      </c>
      <c r="AK68" s="120" t="s">
        <v>1774</v>
      </c>
      <c r="AL68" s="120" t="s">
        <v>34</v>
      </c>
      <c r="AM68" s="120" t="s">
        <v>2703</v>
      </c>
      <c r="AN68" s="199">
        <v>0.0</v>
      </c>
      <c r="AO68" s="199">
        <v>1.0</v>
      </c>
      <c r="AP68" s="200"/>
      <c r="AQ68" s="197">
        <v>0.0</v>
      </c>
      <c r="AR68" s="200"/>
      <c r="AS68" s="197">
        <v>0.0</v>
      </c>
      <c r="AT68" s="200"/>
      <c r="AU68" s="197">
        <v>0.0</v>
      </c>
      <c r="AV68" s="197">
        <v>1.0</v>
      </c>
      <c r="AW68" s="104" t="s">
        <v>5991</v>
      </c>
      <c r="AX68" s="98">
        <v>0.0</v>
      </c>
      <c r="AY68" s="98">
        <v>0.0</v>
      </c>
      <c r="AZ68" s="69" t="s">
        <v>1937</v>
      </c>
      <c r="BA68" s="198" t="s">
        <v>1942</v>
      </c>
      <c r="BB68" s="98">
        <v>1.0</v>
      </c>
      <c r="BC68" s="198" t="s">
        <v>1943</v>
      </c>
      <c r="BD68" s="56"/>
      <c r="BE68" s="56"/>
      <c r="BF68" s="56"/>
      <c r="BG68" s="56"/>
      <c r="BH68" s="56"/>
      <c r="BI68" s="56"/>
      <c r="BJ68" s="56"/>
      <c r="BK68" s="197">
        <v>9965.0</v>
      </c>
      <c r="BL68" s="98">
        <f>1000000/BK68</f>
        <v>100.3512293</v>
      </c>
      <c r="BM68" s="198"/>
      <c r="BN68" s="198"/>
      <c r="BO68" s="198"/>
      <c r="BP68" s="198"/>
      <c r="BQ68" s="198"/>
      <c r="BR68" s="198"/>
      <c r="BS68" s="56"/>
      <c r="BT68" s="197">
        <v>4.0</v>
      </c>
      <c r="BU68" s="198"/>
      <c r="BV68" s="56"/>
      <c r="BW68" s="56" t="s">
        <v>23</v>
      </c>
    </row>
    <row r="69">
      <c r="A69" s="111">
        <v>1.0</v>
      </c>
      <c r="B69" s="35" t="s">
        <v>18</v>
      </c>
      <c r="C69" s="206">
        <v>0.0</v>
      </c>
      <c r="D69" s="200"/>
      <c r="E69" s="56"/>
      <c r="F69" s="200"/>
      <c r="G69" s="56"/>
      <c r="H69" s="197"/>
      <c r="I69" s="98"/>
      <c r="J69" s="207"/>
      <c r="K69" s="200"/>
      <c r="L69" s="200"/>
      <c r="M69" s="69"/>
      <c r="N69" s="35" t="s">
        <v>5992</v>
      </c>
      <c r="O69" s="111">
        <v>1990.0</v>
      </c>
      <c r="P69" s="30" t="s">
        <v>5993</v>
      </c>
      <c r="Q69" s="130"/>
      <c r="R69" s="198"/>
      <c r="S69" s="208"/>
      <c r="T69" s="197"/>
      <c r="U69" s="197"/>
      <c r="V69" s="124"/>
      <c r="W69" s="143"/>
      <c r="X69" s="214"/>
      <c r="Y69" s="104"/>
      <c r="Z69" s="179"/>
      <c r="AA69" s="104"/>
      <c r="AB69" s="179"/>
      <c r="AC69" s="104"/>
      <c r="AD69" s="110"/>
      <c r="AE69" s="120"/>
      <c r="AF69" s="120"/>
      <c r="AG69" s="120"/>
      <c r="AH69" s="120"/>
      <c r="AI69" s="120"/>
      <c r="AJ69" s="200"/>
      <c r="AK69" s="120"/>
      <c r="AL69" s="200"/>
      <c r="AM69" s="200"/>
      <c r="AN69" s="143"/>
      <c r="AO69" s="143"/>
      <c r="AP69" s="143"/>
      <c r="AQ69" s="197"/>
      <c r="AR69" s="200"/>
      <c r="AS69" s="197"/>
      <c r="AT69" s="210"/>
      <c r="AU69" s="98"/>
      <c r="AV69" s="98"/>
      <c r="AW69" s="104"/>
      <c r="AX69" s="98"/>
      <c r="AY69" s="98"/>
      <c r="AZ69" s="69"/>
      <c r="BA69" s="198"/>
      <c r="BB69" s="198"/>
      <c r="BC69" s="198"/>
      <c r="BD69" s="198"/>
      <c r="BE69" s="56"/>
      <c r="BF69" s="198"/>
      <c r="BG69" s="198"/>
      <c r="BH69" s="56"/>
      <c r="BI69" s="56"/>
      <c r="BJ69" s="56"/>
      <c r="BS69" s="10"/>
      <c r="BT69" s="197"/>
      <c r="BU69" s="56"/>
      <c r="BV69" s="56"/>
      <c r="BW69" s="56"/>
    </row>
    <row r="70">
      <c r="A70" s="111">
        <v>1.0</v>
      </c>
      <c r="B70" s="35" t="s">
        <v>18</v>
      </c>
      <c r="C70" s="206">
        <v>0.0</v>
      </c>
      <c r="D70" s="200"/>
      <c r="E70" s="56"/>
      <c r="F70" s="200"/>
      <c r="G70" s="56"/>
      <c r="H70" s="197"/>
      <c r="I70" s="98"/>
      <c r="J70" s="207"/>
      <c r="K70" s="200"/>
      <c r="L70" s="200"/>
      <c r="M70" s="69"/>
      <c r="N70" s="35" t="s">
        <v>5994</v>
      </c>
      <c r="O70" s="111">
        <v>1990.0</v>
      </c>
      <c r="P70" s="30" t="s">
        <v>5995</v>
      </c>
      <c r="Q70" s="130"/>
      <c r="R70" s="198"/>
      <c r="S70" s="208"/>
      <c r="T70" s="197"/>
      <c r="U70" s="197"/>
      <c r="V70" s="124"/>
      <c r="W70" s="143"/>
      <c r="X70" s="214"/>
      <c r="Y70" s="104"/>
      <c r="Z70" s="179"/>
      <c r="AA70" s="104"/>
      <c r="AB70" s="179"/>
      <c r="AC70" s="104"/>
      <c r="AD70" s="110"/>
      <c r="AE70" s="120"/>
      <c r="AF70" s="120"/>
      <c r="AG70" s="120"/>
      <c r="AH70" s="120"/>
      <c r="AI70" s="120"/>
      <c r="AJ70" s="200"/>
      <c r="AK70" s="120"/>
      <c r="AL70" s="200"/>
      <c r="AM70" s="200"/>
      <c r="AN70" s="143"/>
      <c r="AO70" s="143"/>
      <c r="AP70" s="143"/>
      <c r="AQ70" s="197"/>
      <c r="AR70" s="200"/>
      <c r="AS70" s="197"/>
      <c r="AT70" s="210"/>
      <c r="AU70" s="98"/>
      <c r="AV70" s="98"/>
      <c r="AW70" s="104"/>
      <c r="AX70" s="98"/>
      <c r="AY70" s="98"/>
      <c r="AZ70" s="69"/>
      <c r="BA70" s="198"/>
      <c r="BB70" s="198"/>
      <c r="BC70" s="198"/>
      <c r="BD70" s="198"/>
      <c r="BE70" s="56"/>
      <c r="BF70" s="198"/>
      <c r="BG70" s="198"/>
      <c r="BH70" s="56"/>
      <c r="BI70" s="56"/>
      <c r="BJ70" s="56"/>
      <c r="BS70" s="10"/>
      <c r="BT70" s="197"/>
      <c r="BU70" s="56"/>
      <c r="BV70" s="56"/>
      <c r="BW70" s="56"/>
    </row>
    <row r="71">
      <c r="A71" s="111">
        <v>1.0</v>
      </c>
      <c r="B71" s="35" t="s">
        <v>18</v>
      </c>
      <c r="C71" s="206">
        <v>0.0</v>
      </c>
      <c r="D71" s="200"/>
      <c r="E71" s="56"/>
      <c r="F71" s="200"/>
      <c r="G71" s="56"/>
      <c r="H71" s="197"/>
      <c r="I71" s="98"/>
      <c r="J71" s="207"/>
      <c r="K71" s="200"/>
      <c r="L71" s="200"/>
      <c r="M71" s="69"/>
      <c r="N71" s="35" t="s">
        <v>5996</v>
      </c>
      <c r="O71" s="111">
        <v>1990.0</v>
      </c>
      <c r="P71" s="30" t="s">
        <v>5997</v>
      </c>
      <c r="Q71" s="130"/>
      <c r="R71" s="198"/>
      <c r="S71" s="208"/>
      <c r="T71" s="197"/>
      <c r="U71" s="197"/>
      <c r="V71" s="124"/>
      <c r="W71" s="143"/>
      <c r="X71" s="214"/>
      <c r="Y71" s="104"/>
      <c r="Z71" s="179"/>
      <c r="AA71" s="104"/>
      <c r="AB71" s="179"/>
      <c r="AC71" s="104"/>
      <c r="AD71" s="110"/>
      <c r="AE71" s="120"/>
      <c r="AF71" s="120"/>
      <c r="AG71" s="120"/>
      <c r="AH71" s="120"/>
      <c r="AI71" s="120"/>
      <c r="AJ71" s="200"/>
      <c r="AK71" s="120"/>
      <c r="AL71" s="200"/>
      <c r="AM71" s="200"/>
      <c r="AN71" s="143"/>
      <c r="AO71" s="143"/>
      <c r="AP71" s="143"/>
      <c r="AQ71" s="197"/>
      <c r="AR71" s="200"/>
      <c r="AS71" s="197"/>
      <c r="AT71" s="210"/>
      <c r="AU71" s="98"/>
      <c r="AV71" s="98"/>
      <c r="AW71" s="104"/>
      <c r="AX71" s="98"/>
      <c r="AY71" s="98"/>
      <c r="AZ71" s="69"/>
      <c r="BA71" s="198"/>
      <c r="BB71" s="198"/>
      <c r="BC71" s="198"/>
      <c r="BD71" s="198"/>
      <c r="BE71" s="56"/>
      <c r="BF71" s="198"/>
      <c r="BG71" s="198"/>
      <c r="BH71" s="56"/>
      <c r="BI71" s="56"/>
      <c r="BJ71" s="56"/>
      <c r="BS71" s="10"/>
      <c r="BT71" s="197"/>
      <c r="BU71" s="56"/>
      <c r="BV71" s="56"/>
      <c r="BW71" s="56"/>
    </row>
    <row r="72">
      <c r="A72" s="111">
        <v>1.0</v>
      </c>
      <c r="B72" s="35" t="s">
        <v>18</v>
      </c>
      <c r="C72" s="206">
        <v>0.0</v>
      </c>
      <c r="D72" s="200"/>
      <c r="E72" s="56"/>
      <c r="F72" s="200"/>
      <c r="G72" s="56"/>
      <c r="H72" s="197"/>
      <c r="I72" s="98"/>
      <c r="J72" s="207"/>
      <c r="K72" s="200"/>
      <c r="L72" s="200"/>
      <c r="M72" s="69"/>
      <c r="N72" s="35" t="s">
        <v>5998</v>
      </c>
      <c r="O72" s="111">
        <v>1990.0</v>
      </c>
      <c r="P72" s="30" t="s">
        <v>5999</v>
      </c>
      <c r="Q72" s="130"/>
      <c r="R72" s="198"/>
      <c r="S72" s="208"/>
      <c r="T72" s="197"/>
      <c r="U72" s="197"/>
      <c r="V72" s="124"/>
      <c r="W72" s="143"/>
      <c r="X72" s="214"/>
      <c r="Y72" s="104"/>
      <c r="Z72" s="179"/>
      <c r="AA72" s="104"/>
      <c r="AB72" s="179"/>
      <c r="AC72" s="104"/>
      <c r="AD72" s="110"/>
      <c r="AE72" s="120"/>
      <c r="AF72" s="120"/>
      <c r="AG72" s="120"/>
      <c r="AH72" s="120"/>
      <c r="AI72" s="120"/>
      <c r="AJ72" s="200"/>
      <c r="AK72" s="120"/>
      <c r="AL72" s="200"/>
      <c r="AM72" s="200"/>
      <c r="AN72" s="143"/>
      <c r="AO72" s="143"/>
      <c r="AP72" s="143"/>
      <c r="AQ72" s="197"/>
      <c r="AR72" s="200"/>
      <c r="AS72" s="197"/>
      <c r="AT72" s="210"/>
      <c r="AU72" s="98"/>
      <c r="AV72" s="98"/>
      <c r="AW72" s="104"/>
      <c r="AX72" s="98"/>
      <c r="AY72" s="98"/>
      <c r="AZ72" s="69"/>
      <c r="BA72" s="198"/>
      <c r="BB72" s="198"/>
      <c r="BC72" s="198"/>
      <c r="BD72" s="198"/>
      <c r="BE72" s="56"/>
      <c r="BF72" s="198"/>
      <c r="BG72" s="198"/>
      <c r="BH72" s="56"/>
      <c r="BI72" s="56"/>
      <c r="BJ72" s="56"/>
      <c r="BS72" s="10"/>
      <c r="BT72" s="197"/>
      <c r="BU72" s="56"/>
      <c r="BV72" s="56"/>
      <c r="BW72" s="56"/>
    </row>
    <row r="73">
      <c r="A73" s="111">
        <v>1.0</v>
      </c>
      <c r="B73" s="35" t="s">
        <v>18</v>
      </c>
      <c r="C73" s="206">
        <v>0.0</v>
      </c>
      <c r="D73" s="200"/>
      <c r="E73" s="56"/>
      <c r="F73" s="200"/>
      <c r="G73" s="56"/>
      <c r="H73" s="197"/>
      <c r="I73" s="98"/>
      <c r="J73" s="207"/>
      <c r="K73" s="200"/>
      <c r="L73" s="200"/>
      <c r="M73" s="69"/>
      <c r="N73" s="35" t="s">
        <v>6000</v>
      </c>
      <c r="O73" s="111">
        <v>1990.0</v>
      </c>
      <c r="P73" s="30" t="s">
        <v>6001</v>
      </c>
      <c r="Q73" s="130"/>
      <c r="R73" s="198"/>
      <c r="S73" s="208"/>
      <c r="T73" s="197"/>
      <c r="U73" s="197"/>
      <c r="V73" s="124"/>
      <c r="W73" s="143"/>
      <c r="X73" s="214"/>
      <c r="Y73" s="104"/>
      <c r="Z73" s="179"/>
      <c r="AA73" s="104"/>
      <c r="AB73" s="179"/>
      <c r="AC73" s="104"/>
      <c r="AD73" s="110"/>
      <c r="AE73" s="120"/>
      <c r="AF73" s="120"/>
      <c r="AG73" s="120"/>
      <c r="AH73" s="120"/>
      <c r="AI73" s="120"/>
      <c r="AJ73" s="200"/>
      <c r="AK73" s="120"/>
      <c r="AL73" s="200"/>
      <c r="AM73" s="200"/>
      <c r="AN73" s="143"/>
      <c r="AO73" s="143"/>
      <c r="AP73" s="143"/>
      <c r="AQ73" s="197"/>
      <c r="AR73" s="200"/>
      <c r="AS73" s="197"/>
      <c r="AT73" s="210"/>
      <c r="AU73" s="98"/>
      <c r="AV73" s="98"/>
      <c r="AW73" s="104"/>
      <c r="AX73" s="98"/>
      <c r="AY73" s="98"/>
      <c r="AZ73" s="69"/>
      <c r="BA73" s="198"/>
      <c r="BB73" s="198"/>
      <c r="BC73" s="198"/>
      <c r="BD73" s="198"/>
      <c r="BE73" s="56"/>
      <c r="BF73" s="198"/>
      <c r="BG73" s="198"/>
      <c r="BH73" s="56"/>
      <c r="BI73" s="56"/>
      <c r="BJ73" s="56"/>
      <c r="BS73" s="10"/>
      <c r="BT73" s="197"/>
      <c r="BU73" s="56"/>
      <c r="BV73" s="56"/>
      <c r="BW73" s="56"/>
    </row>
    <row r="74">
      <c r="A74" s="111">
        <v>1.0</v>
      </c>
      <c r="B74" s="35" t="s">
        <v>18</v>
      </c>
      <c r="C74" s="206">
        <v>0.0</v>
      </c>
      <c r="D74" s="200"/>
      <c r="E74" s="56"/>
      <c r="F74" s="200"/>
      <c r="G74" s="56"/>
      <c r="H74" s="197"/>
      <c r="I74" s="98"/>
      <c r="J74" s="207"/>
      <c r="K74" s="200"/>
      <c r="L74" s="200"/>
      <c r="M74" s="69"/>
      <c r="N74" s="35" t="s">
        <v>6002</v>
      </c>
      <c r="O74" s="111">
        <v>1991.0</v>
      </c>
      <c r="P74" s="30" t="s">
        <v>6003</v>
      </c>
      <c r="Q74" s="130"/>
      <c r="R74" s="198"/>
      <c r="S74" s="208"/>
      <c r="T74" s="197"/>
      <c r="U74" s="197"/>
      <c r="V74" s="124"/>
      <c r="W74" s="143"/>
      <c r="X74" s="214"/>
      <c r="Y74" s="104"/>
      <c r="Z74" s="179"/>
      <c r="AA74" s="104"/>
      <c r="AB74" s="179"/>
      <c r="AC74" s="104"/>
      <c r="AD74" s="110"/>
      <c r="AE74" s="120"/>
      <c r="AF74" s="120"/>
      <c r="AG74" s="120"/>
      <c r="AH74" s="120"/>
      <c r="AI74" s="120"/>
      <c r="AJ74" s="200"/>
      <c r="AK74" s="120"/>
      <c r="AL74" s="200"/>
      <c r="AM74" s="200"/>
      <c r="AN74" s="143"/>
      <c r="AO74" s="143"/>
      <c r="AP74" s="143"/>
      <c r="AQ74" s="197"/>
      <c r="AR74" s="200"/>
      <c r="AS74" s="197"/>
      <c r="AT74" s="210"/>
      <c r="AU74" s="98"/>
      <c r="AV74" s="98"/>
      <c r="AW74" s="104"/>
      <c r="AX74" s="98"/>
      <c r="AY74" s="98"/>
      <c r="AZ74" s="69"/>
      <c r="BA74" s="198"/>
      <c r="BB74" s="198"/>
      <c r="BC74" s="198"/>
      <c r="BD74" s="198"/>
      <c r="BE74" s="56"/>
      <c r="BF74" s="198"/>
      <c r="BG74" s="198"/>
      <c r="BH74" s="56"/>
      <c r="BI74" s="56"/>
      <c r="BJ74" s="56"/>
      <c r="BS74" s="10"/>
      <c r="BT74" s="197"/>
      <c r="BU74" s="56"/>
      <c r="BV74" s="56"/>
      <c r="BW74" s="56"/>
    </row>
    <row r="75">
      <c r="A75" s="111">
        <v>1.0</v>
      </c>
      <c r="B75" s="35" t="s">
        <v>18</v>
      </c>
      <c r="C75" s="206">
        <v>0.0</v>
      </c>
      <c r="D75" s="200"/>
      <c r="E75" s="56"/>
      <c r="F75" s="200"/>
      <c r="G75" s="56"/>
      <c r="H75" s="197"/>
      <c r="I75" s="98"/>
      <c r="J75" s="207"/>
      <c r="K75" s="200"/>
      <c r="L75" s="200"/>
      <c r="M75" s="69"/>
      <c r="N75" s="35" t="s">
        <v>6004</v>
      </c>
      <c r="O75" s="111">
        <v>1991.0</v>
      </c>
      <c r="P75" s="30" t="s">
        <v>6005</v>
      </c>
      <c r="Q75" s="130"/>
      <c r="R75" s="198"/>
      <c r="S75" s="208"/>
      <c r="T75" s="197"/>
      <c r="U75" s="197"/>
      <c r="V75" s="124"/>
      <c r="W75" s="143"/>
      <c r="X75" s="214"/>
      <c r="Y75" s="104"/>
      <c r="Z75" s="179"/>
      <c r="AA75" s="104"/>
      <c r="AB75" s="179"/>
      <c r="AC75" s="104"/>
      <c r="AD75" s="110"/>
      <c r="AE75" s="120"/>
      <c r="AF75" s="120"/>
      <c r="AG75" s="120"/>
      <c r="AH75" s="120"/>
      <c r="AI75" s="120"/>
      <c r="AJ75" s="200"/>
      <c r="AK75" s="120"/>
      <c r="AL75" s="200"/>
      <c r="AM75" s="200"/>
      <c r="AN75" s="143"/>
      <c r="AO75" s="143"/>
      <c r="AP75" s="143"/>
      <c r="AQ75" s="197"/>
      <c r="AR75" s="200"/>
      <c r="AS75" s="197"/>
      <c r="AT75" s="210"/>
      <c r="AU75" s="98"/>
      <c r="AV75" s="98"/>
      <c r="AW75" s="104"/>
      <c r="AX75" s="98"/>
      <c r="AY75" s="98"/>
      <c r="AZ75" s="69"/>
      <c r="BA75" s="198"/>
      <c r="BB75" s="198"/>
      <c r="BC75" s="198"/>
      <c r="BD75" s="198"/>
      <c r="BE75" s="56"/>
      <c r="BF75" s="198"/>
      <c r="BG75" s="198"/>
      <c r="BH75" s="56"/>
      <c r="BI75" s="56"/>
      <c r="BJ75" s="56"/>
      <c r="BS75" s="10"/>
      <c r="BT75" s="197"/>
      <c r="BU75" s="56"/>
      <c r="BV75" s="56"/>
      <c r="BW75" s="56"/>
    </row>
    <row r="76">
      <c r="A76" s="111">
        <v>1.0</v>
      </c>
      <c r="B76" s="35" t="s">
        <v>18</v>
      </c>
      <c r="C76" s="206">
        <v>0.0</v>
      </c>
      <c r="D76" s="200"/>
      <c r="E76" s="56"/>
      <c r="F76" s="200"/>
      <c r="G76" s="56"/>
      <c r="H76" s="197"/>
      <c r="I76" s="98"/>
      <c r="J76" s="207"/>
      <c r="K76" s="200"/>
      <c r="L76" s="200"/>
      <c r="M76" s="69"/>
      <c r="N76" s="35" t="s">
        <v>5965</v>
      </c>
      <c r="O76" s="111">
        <v>1991.0</v>
      </c>
      <c r="P76" s="30" t="s">
        <v>6006</v>
      </c>
      <c r="Q76" s="130"/>
      <c r="R76" s="198"/>
      <c r="S76" s="208"/>
      <c r="T76" s="197"/>
      <c r="U76" s="197"/>
      <c r="V76" s="124"/>
      <c r="W76" s="143"/>
      <c r="X76" s="214"/>
      <c r="Y76" s="104"/>
      <c r="Z76" s="179"/>
      <c r="AA76" s="104"/>
      <c r="AB76" s="179"/>
      <c r="AC76" s="104"/>
      <c r="AD76" s="110"/>
      <c r="AE76" s="120"/>
      <c r="AF76" s="120"/>
      <c r="AG76" s="120"/>
      <c r="AH76" s="120"/>
      <c r="AI76" s="120"/>
      <c r="AJ76" s="200"/>
      <c r="AK76" s="120"/>
      <c r="AL76" s="200"/>
      <c r="AM76" s="200"/>
      <c r="AN76" s="143"/>
      <c r="AO76" s="143"/>
      <c r="AP76" s="143"/>
      <c r="AQ76" s="197"/>
      <c r="AR76" s="200"/>
      <c r="AS76" s="197"/>
      <c r="AT76" s="210"/>
      <c r="AU76" s="98"/>
      <c r="AV76" s="98"/>
      <c r="AW76" s="104"/>
      <c r="AX76" s="98"/>
      <c r="AY76" s="98"/>
      <c r="AZ76" s="69"/>
      <c r="BA76" s="198"/>
      <c r="BB76" s="198"/>
      <c r="BC76" s="198"/>
      <c r="BD76" s="198"/>
      <c r="BE76" s="56"/>
      <c r="BF76" s="198"/>
      <c r="BG76" s="198"/>
      <c r="BH76" s="56"/>
      <c r="BI76" s="56"/>
      <c r="BJ76" s="56"/>
      <c r="BS76" s="10"/>
      <c r="BT76" s="197"/>
      <c r="BU76" s="56"/>
      <c r="BV76" s="56"/>
      <c r="BW76" s="56"/>
    </row>
    <row r="77">
      <c r="A77" s="111">
        <v>1.0</v>
      </c>
      <c r="B77" s="35" t="s">
        <v>18</v>
      </c>
      <c r="C77" s="206">
        <v>0.0</v>
      </c>
      <c r="D77" s="200"/>
      <c r="E77" s="56"/>
      <c r="F77" s="200"/>
      <c r="G77" s="56"/>
      <c r="H77" s="197"/>
      <c r="I77" s="98"/>
      <c r="J77" s="207"/>
      <c r="K77" s="200"/>
      <c r="L77" s="200"/>
      <c r="M77" s="69"/>
      <c r="N77" s="35" t="s">
        <v>5965</v>
      </c>
      <c r="O77" s="111">
        <v>1991.0</v>
      </c>
      <c r="P77" s="30" t="s">
        <v>6007</v>
      </c>
      <c r="Q77" s="130"/>
      <c r="R77" s="198"/>
      <c r="S77" s="208"/>
      <c r="T77" s="197"/>
      <c r="U77" s="197"/>
      <c r="V77" s="124"/>
      <c r="W77" s="143"/>
      <c r="X77" s="214"/>
      <c r="Y77" s="104"/>
      <c r="Z77" s="179"/>
      <c r="AA77" s="104"/>
      <c r="AB77" s="179"/>
      <c r="AC77" s="104"/>
      <c r="AD77" s="110"/>
      <c r="AE77" s="120"/>
      <c r="AF77" s="120"/>
      <c r="AG77" s="120"/>
      <c r="AH77" s="120"/>
      <c r="AI77" s="120"/>
      <c r="AJ77" s="200"/>
      <c r="AK77" s="120"/>
      <c r="AL77" s="200"/>
      <c r="AM77" s="200"/>
      <c r="AN77" s="143"/>
      <c r="AO77" s="143"/>
      <c r="AP77" s="143"/>
      <c r="AQ77" s="197"/>
      <c r="AR77" s="200"/>
      <c r="AS77" s="197"/>
      <c r="AT77" s="210"/>
      <c r="AU77" s="98"/>
      <c r="AV77" s="98"/>
      <c r="AW77" s="104"/>
      <c r="AX77" s="98"/>
      <c r="AY77" s="98"/>
      <c r="AZ77" s="69"/>
      <c r="BA77" s="198"/>
      <c r="BB77" s="198"/>
      <c r="BC77" s="198"/>
      <c r="BD77" s="198"/>
      <c r="BE77" s="56"/>
      <c r="BF77" s="198"/>
      <c r="BG77" s="198"/>
      <c r="BH77" s="56"/>
      <c r="BI77" s="56"/>
      <c r="BJ77" s="56"/>
      <c r="BS77" s="10"/>
      <c r="BT77" s="197"/>
      <c r="BU77" s="56"/>
      <c r="BV77" s="56"/>
      <c r="BW77" s="56"/>
    </row>
    <row r="78">
      <c r="A78" s="111">
        <v>1.0</v>
      </c>
      <c r="B78" s="35" t="s">
        <v>18</v>
      </c>
      <c r="C78" s="206">
        <v>0.0</v>
      </c>
      <c r="D78" s="200"/>
      <c r="E78" s="56"/>
      <c r="F78" s="200"/>
      <c r="G78" s="56"/>
      <c r="H78" s="197"/>
      <c r="I78" s="98"/>
      <c r="J78" s="207"/>
      <c r="K78" s="200"/>
      <c r="L78" s="200"/>
      <c r="M78" s="69"/>
      <c r="N78" s="35" t="s">
        <v>6008</v>
      </c>
      <c r="O78" s="111">
        <v>1991.0</v>
      </c>
      <c r="P78" s="30" t="s">
        <v>6009</v>
      </c>
      <c r="Q78" s="130"/>
      <c r="R78" s="198"/>
      <c r="S78" s="208"/>
      <c r="T78" s="197"/>
      <c r="U78" s="197"/>
      <c r="V78" s="124"/>
      <c r="W78" s="143"/>
      <c r="X78" s="214"/>
      <c r="Y78" s="104"/>
      <c r="Z78" s="179"/>
      <c r="AA78" s="104"/>
      <c r="AB78" s="179"/>
      <c r="AC78" s="104"/>
      <c r="AD78" s="110"/>
      <c r="AE78" s="120"/>
      <c r="AF78" s="120"/>
      <c r="AG78" s="120"/>
      <c r="AH78" s="120"/>
      <c r="AI78" s="120"/>
      <c r="AJ78" s="200"/>
      <c r="AK78" s="120"/>
      <c r="AL78" s="200"/>
      <c r="AM78" s="200"/>
      <c r="AN78" s="143"/>
      <c r="AO78" s="143"/>
      <c r="AP78" s="143"/>
      <c r="AQ78" s="197"/>
      <c r="AR78" s="200"/>
      <c r="AS78" s="197"/>
      <c r="AT78" s="210"/>
      <c r="AU78" s="98"/>
      <c r="AV78" s="98"/>
      <c r="AW78" s="104"/>
      <c r="AX78" s="98"/>
      <c r="AY78" s="98"/>
      <c r="AZ78" s="69"/>
      <c r="BA78" s="198"/>
      <c r="BB78" s="198"/>
      <c r="BC78" s="198"/>
      <c r="BD78" s="198"/>
      <c r="BE78" s="56"/>
      <c r="BF78" s="198"/>
      <c r="BG78" s="198"/>
      <c r="BH78" s="56"/>
      <c r="BI78" s="56"/>
      <c r="BJ78" s="56"/>
      <c r="BS78" s="10"/>
      <c r="BT78" s="197"/>
      <c r="BU78" s="56"/>
      <c r="BV78" s="56"/>
      <c r="BW78" s="56"/>
    </row>
    <row r="79">
      <c r="A79" s="197">
        <v>1.0</v>
      </c>
      <c r="B79" s="34" t="s">
        <v>18</v>
      </c>
      <c r="C79" s="206">
        <v>1.0</v>
      </c>
      <c r="D79" s="120" t="s">
        <v>24</v>
      </c>
      <c r="E79" s="197">
        <v>10.0</v>
      </c>
      <c r="F79" s="120"/>
      <c r="G79" s="56"/>
      <c r="H79" s="197">
        <v>1.0</v>
      </c>
      <c r="I79" s="197">
        <v>1.0</v>
      </c>
      <c r="J79" s="209" t="s">
        <v>1788</v>
      </c>
      <c r="K79" s="200"/>
      <c r="L79" s="200"/>
      <c r="M79" s="69" t="str">
        <f>CONCATENATE("[",P79," ",N79," (",O79,")","]")</f>
        <v>[https://www.sciencedirect.com/science/article/pii/0196677492900166?via%3Dihub Cube Sort Parallel Implementation - Cypher, Sanz (1992)]</v>
      </c>
      <c r="N79" s="35" t="s">
        <v>6010</v>
      </c>
      <c r="O79" s="197">
        <v>1992.0</v>
      </c>
      <c r="P79" s="220" t="s">
        <v>2673</v>
      </c>
      <c r="Q79" s="198"/>
      <c r="R79" s="198"/>
      <c r="S79" s="198"/>
      <c r="T79" s="197">
        <v>0.0</v>
      </c>
      <c r="U79" s="197">
        <v>0.0</v>
      </c>
      <c r="V79" s="199">
        <f>IFERROR(__xludf.DUMMYFUNCTION("INDEX(SPLIT(SUBSTITUTE(W79,CHAR(10), """"),"",:""), MATCH(AE79, SPLIT(SUBSTITUTE(W79,CHAR(10), """"),"",:""), 0) + 1)"),4.0)</f>
        <v>4</v>
      </c>
      <c r="W79" s="120" t="s">
        <v>1791</v>
      </c>
      <c r="X79" s="104" t="s">
        <v>6011</v>
      </c>
      <c r="Y79" s="61" t="s">
        <v>6011</v>
      </c>
      <c r="Z79" s="180" t="s">
        <v>2673</v>
      </c>
      <c r="AA79" s="120"/>
      <c r="AB79" s="180" t="s">
        <v>2673</v>
      </c>
      <c r="AC79" s="120"/>
      <c r="AD79" s="104" t="s">
        <v>5794</v>
      </c>
      <c r="AE79" s="120" t="str">
        <f t="array" ref="AE79">INDEX(Problems!J:J, MATCH(1, (Problems!B:B=B79)*1, 0))</f>
        <v>n</v>
      </c>
      <c r="AF79" s="120"/>
      <c r="AG79" s="120"/>
      <c r="AH79" s="120" t="s">
        <v>2674</v>
      </c>
      <c r="AI79" s="120" t="s">
        <v>1814</v>
      </c>
      <c r="AJ79" s="120">
        <f>IFERROR(__xludf.DUMMYFUNCTION("INDEX(SPLIT(SUBSTITUTE(AK79,CHAR(10), """"),"",:""), MATCH(AE79, SPLIT(SUBSTITUTE(AK79,CHAR(10), """"),"",:""), 0) + 1)"),3.0)</f>
        <v>3</v>
      </c>
      <c r="AK79" s="120" t="s">
        <v>1763</v>
      </c>
      <c r="AL79" s="120" t="s">
        <v>35</v>
      </c>
      <c r="AM79" s="120" t="s">
        <v>1956</v>
      </c>
      <c r="AN79" s="199">
        <v>1.0</v>
      </c>
      <c r="AO79" s="199">
        <v>0.0</v>
      </c>
      <c r="AP79" s="200"/>
      <c r="AQ79" s="197">
        <v>0.0</v>
      </c>
      <c r="AR79" s="200"/>
      <c r="AS79" s="197">
        <v>0.0</v>
      </c>
      <c r="AT79" s="200"/>
      <c r="AU79" s="197">
        <v>0.0</v>
      </c>
      <c r="AV79" s="197">
        <v>1.0</v>
      </c>
      <c r="AW79" s="104" t="s">
        <v>3737</v>
      </c>
      <c r="AX79" s="98">
        <v>0.0</v>
      </c>
      <c r="AY79" s="98">
        <v>0.0</v>
      </c>
      <c r="AZ79" s="26" t="s">
        <v>2675</v>
      </c>
      <c r="BA79" s="198" t="s">
        <v>1942</v>
      </c>
      <c r="BB79" s="198"/>
      <c r="BC79" s="198"/>
      <c r="BD79" s="198"/>
      <c r="BE79" s="56"/>
      <c r="BF79" s="198"/>
      <c r="BG79" s="198"/>
      <c r="BH79" s="56"/>
      <c r="BI79" s="56"/>
      <c r="BJ79" s="56"/>
      <c r="BS79" s="10"/>
      <c r="BT79" s="197"/>
      <c r="BU79" s="56"/>
      <c r="BV79" s="56"/>
      <c r="BW79" s="56"/>
    </row>
    <row r="80">
      <c r="A80" s="197">
        <v>1.0</v>
      </c>
      <c r="B80" s="34" t="s">
        <v>18</v>
      </c>
      <c r="C80" s="206">
        <v>0.001</v>
      </c>
      <c r="D80" s="120"/>
      <c r="E80" s="197"/>
      <c r="F80" s="120"/>
      <c r="G80" s="56"/>
      <c r="H80" s="197"/>
      <c r="I80" s="197"/>
      <c r="J80" s="209"/>
      <c r="K80" s="200"/>
      <c r="L80" s="200"/>
      <c r="M80" s="69"/>
      <c r="N80" s="35" t="s">
        <v>6012</v>
      </c>
      <c r="O80" s="111">
        <v>1992.0</v>
      </c>
      <c r="P80" s="30" t="s">
        <v>6013</v>
      </c>
      <c r="Q80" s="198"/>
      <c r="R80" s="198"/>
      <c r="S80" s="198"/>
      <c r="T80" s="197"/>
      <c r="U80" s="197"/>
      <c r="V80" s="199"/>
      <c r="W80" s="120"/>
      <c r="X80" s="104" t="s">
        <v>6014</v>
      </c>
      <c r="Y80" s="104"/>
      <c r="Z80" s="179"/>
      <c r="AA80" s="120"/>
      <c r="AB80" s="179"/>
      <c r="AC80" s="120"/>
      <c r="AD80" s="104" t="s">
        <v>5794</v>
      </c>
      <c r="AE80" s="120"/>
      <c r="AF80" s="120"/>
      <c r="AG80" s="120"/>
      <c r="AH80" s="120"/>
      <c r="AI80" s="120"/>
      <c r="AJ80" s="120"/>
      <c r="AK80" s="120"/>
      <c r="AL80" s="120"/>
      <c r="AM80" s="120"/>
      <c r="AN80" s="199"/>
      <c r="AO80" s="199"/>
      <c r="AP80" s="200"/>
      <c r="AQ80" s="197"/>
      <c r="AR80" s="200"/>
      <c r="AS80" s="197"/>
      <c r="AT80" s="200"/>
      <c r="AU80" s="197"/>
      <c r="AV80" s="197"/>
      <c r="AW80" s="104" t="s">
        <v>3737</v>
      </c>
      <c r="AX80" s="98"/>
      <c r="AY80" s="98"/>
      <c r="AZ80" s="26"/>
      <c r="BA80" s="198"/>
      <c r="BB80" s="198"/>
      <c r="BC80" s="198"/>
      <c r="BD80" s="198"/>
      <c r="BE80" s="56"/>
      <c r="BF80" s="198"/>
      <c r="BG80" s="198"/>
      <c r="BH80" s="56"/>
      <c r="BI80" s="56"/>
      <c r="BJ80" s="56"/>
      <c r="BS80" s="10"/>
      <c r="BT80" s="197"/>
      <c r="BU80" s="56"/>
      <c r="BV80" s="56"/>
      <c r="BW80" s="56"/>
    </row>
    <row r="81">
      <c r="A81" s="197">
        <v>1.0</v>
      </c>
      <c r="B81" s="34" t="s">
        <v>18</v>
      </c>
      <c r="C81" s="206">
        <v>0.0</v>
      </c>
      <c r="D81" s="120"/>
      <c r="E81" s="197"/>
      <c r="F81" s="120"/>
      <c r="G81" s="56"/>
      <c r="H81" s="197"/>
      <c r="I81" s="197"/>
      <c r="J81" s="209"/>
      <c r="K81" s="200"/>
      <c r="L81" s="200"/>
      <c r="M81" s="69"/>
      <c r="N81" s="35" t="s">
        <v>6015</v>
      </c>
      <c r="O81" s="111">
        <v>1992.0</v>
      </c>
      <c r="P81" s="30" t="s">
        <v>6016</v>
      </c>
      <c r="Q81" s="198"/>
      <c r="R81" s="198"/>
      <c r="S81" s="198"/>
      <c r="T81" s="197"/>
      <c r="U81" s="197"/>
      <c r="V81" s="199"/>
      <c r="W81" s="120"/>
      <c r="X81" s="104"/>
      <c r="Y81" s="104"/>
      <c r="Z81" s="179"/>
      <c r="AA81" s="120"/>
      <c r="AB81" s="179"/>
      <c r="AC81" s="104" t="s">
        <v>6017</v>
      </c>
      <c r="AD81" s="104" t="s">
        <v>5794</v>
      </c>
      <c r="AE81" s="120"/>
      <c r="AF81" s="120"/>
      <c r="AG81" s="120"/>
      <c r="AH81" s="104" t="s">
        <v>6018</v>
      </c>
      <c r="AI81" s="120"/>
      <c r="AJ81" s="120"/>
      <c r="AK81" s="120"/>
      <c r="AL81" s="120"/>
      <c r="AM81" s="120"/>
      <c r="AN81" s="199"/>
      <c r="AO81" s="199"/>
      <c r="AP81" s="200"/>
      <c r="AQ81" s="197"/>
      <c r="AR81" s="200"/>
      <c r="AS81" s="197"/>
      <c r="AT81" s="200"/>
      <c r="AU81" s="197"/>
      <c r="AV81" s="197"/>
      <c r="AW81" s="104"/>
      <c r="AX81" s="98"/>
      <c r="AY81" s="98"/>
      <c r="AZ81" s="26"/>
      <c r="BA81" s="198"/>
      <c r="BB81" s="198"/>
      <c r="BC81" s="198"/>
      <c r="BD81" s="198"/>
      <c r="BE81" s="56"/>
      <c r="BF81" s="198"/>
      <c r="BG81" s="198"/>
      <c r="BH81" s="56"/>
      <c r="BI81" s="56"/>
      <c r="BJ81" s="56"/>
      <c r="BS81" s="10"/>
      <c r="BT81" s="197"/>
      <c r="BU81" s="56"/>
      <c r="BV81" s="56"/>
      <c r="BW81" s="56"/>
    </row>
    <row r="82">
      <c r="A82" s="197">
        <v>1.0</v>
      </c>
      <c r="B82" s="34" t="s">
        <v>18</v>
      </c>
      <c r="C82" s="206">
        <v>0.0</v>
      </c>
      <c r="D82" s="120"/>
      <c r="E82" s="197"/>
      <c r="F82" s="120"/>
      <c r="G82" s="56"/>
      <c r="H82" s="197"/>
      <c r="I82" s="197"/>
      <c r="J82" s="209"/>
      <c r="K82" s="200"/>
      <c r="L82" s="200"/>
      <c r="M82" s="69"/>
      <c r="N82" s="35" t="s">
        <v>6019</v>
      </c>
      <c r="O82" s="111">
        <v>1992.0</v>
      </c>
      <c r="P82" s="30" t="s">
        <v>6020</v>
      </c>
      <c r="Q82" s="198"/>
      <c r="R82" s="198"/>
      <c r="S82" s="198"/>
      <c r="T82" s="197"/>
      <c r="U82" s="197"/>
      <c r="V82" s="199"/>
      <c r="W82" s="120"/>
      <c r="X82" s="104"/>
      <c r="Y82" s="104"/>
      <c r="Z82" s="179"/>
      <c r="AA82" s="120"/>
      <c r="AB82" s="179"/>
      <c r="AC82" s="104"/>
      <c r="AD82" s="104"/>
      <c r="AE82" s="120"/>
      <c r="AF82" s="120"/>
      <c r="AG82" s="120"/>
      <c r="AH82" s="104"/>
      <c r="AI82" s="120"/>
      <c r="AJ82" s="120"/>
      <c r="AK82" s="120"/>
      <c r="AL82" s="120"/>
      <c r="AM82" s="120"/>
      <c r="AN82" s="199"/>
      <c r="AO82" s="199"/>
      <c r="AP82" s="200"/>
      <c r="AQ82" s="197"/>
      <c r="AR82" s="200"/>
      <c r="AS82" s="197"/>
      <c r="AT82" s="200"/>
      <c r="AU82" s="197"/>
      <c r="AV82" s="197"/>
      <c r="AW82" s="104"/>
      <c r="AX82" s="98"/>
      <c r="AY82" s="98"/>
      <c r="AZ82" s="26"/>
      <c r="BA82" s="198"/>
      <c r="BB82" s="198"/>
      <c r="BC82" s="198"/>
      <c r="BD82" s="198"/>
      <c r="BE82" s="56"/>
      <c r="BF82" s="198"/>
      <c r="BG82" s="198"/>
      <c r="BH82" s="56"/>
      <c r="BI82" s="56"/>
      <c r="BJ82" s="56"/>
      <c r="BS82" s="10"/>
      <c r="BT82" s="197"/>
      <c r="BU82" s="56"/>
      <c r="BV82" s="56"/>
      <c r="BW82" s="56"/>
    </row>
    <row r="83">
      <c r="A83" s="197">
        <v>1.0</v>
      </c>
      <c r="B83" s="34" t="s">
        <v>18</v>
      </c>
      <c r="C83" s="206">
        <v>0.0</v>
      </c>
      <c r="D83" s="120"/>
      <c r="E83" s="197"/>
      <c r="F83" s="120"/>
      <c r="G83" s="56"/>
      <c r="H83" s="197"/>
      <c r="I83" s="197"/>
      <c r="J83" s="209"/>
      <c r="K83" s="200"/>
      <c r="L83" s="200"/>
      <c r="M83" s="69"/>
      <c r="N83" s="35" t="s">
        <v>6021</v>
      </c>
      <c r="O83" s="111">
        <v>1992.0</v>
      </c>
      <c r="P83" s="30" t="s">
        <v>6022</v>
      </c>
      <c r="Q83" s="198"/>
      <c r="R83" s="198"/>
      <c r="S83" s="198"/>
      <c r="T83" s="197"/>
      <c r="U83" s="197"/>
      <c r="V83" s="199"/>
      <c r="W83" s="120"/>
      <c r="X83" s="104"/>
      <c r="Y83" s="104"/>
      <c r="Z83" s="179"/>
      <c r="AA83" s="120"/>
      <c r="AB83" s="179"/>
      <c r="AC83" s="104"/>
      <c r="AD83" s="104"/>
      <c r="AE83" s="120"/>
      <c r="AF83" s="120"/>
      <c r="AG83" s="120"/>
      <c r="AH83" s="104"/>
      <c r="AI83" s="120"/>
      <c r="AJ83" s="120"/>
      <c r="AK83" s="120"/>
      <c r="AL83" s="120"/>
      <c r="AM83" s="120"/>
      <c r="AN83" s="199"/>
      <c r="AO83" s="199"/>
      <c r="AP83" s="200"/>
      <c r="AQ83" s="197"/>
      <c r="AR83" s="200"/>
      <c r="AS83" s="197"/>
      <c r="AT83" s="200"/>
      <c r="AU83" s="197"/>
      <c r="AV83" s="197"/>
      <c r="AW83" s="104"/>
      <c r="AX83" s="98"/>
      <c r="AY83" s="98"/>
      <c r="AZ83" s="26"/>
      <c r="BA83" s="198"/>
      <c r="BB83" s="198"/>
      <c r="BC83" s="198"/>
      <c r="BD83" s="198"/>
      <c r="BE83" s="56"/>
      <c r="BF83" s="198"/>
      <c r="BG83" s="198"/>
      <c r="BH83" s="56"/>
      <c r="BI83" s="56"/>
      <c r="BJ83" s="56"/>
      <c r="BS83" s="10"/>
      <c r="BT83" s="197"/>
      <c r="BU83" s="56"/>
      <c r="BV83" s="56"/>
      <c r="BW83" s="56"/>
    </row>
    <row r="84">
      <c r="A84" s="197">
        <v>1.0</v>
      </c>
      <c r="B84" s="34" t="s">
        <v>18</v>
      </c>
      <c r="C84" s="206">
        <v>0.0</v>
      </c>
      <c r="D84" s="120"/>
      <c r="E84" s="197"/>
      <c r="F84" s="120"/>
      <c r="G84" s="56"/>
      <c r="H84" s="197"/>
      <c r="I84" s="197"/>
      <c r="J84" s="209"/>
      <c r="K84" s="200"/>
      <c r="L84" s="200"/>
      <c r="M84" s="69"/>
      <c r="N84" s="35" t="s">
        <v>6023</v>
      </c>
      <c r="O84" s="111">
        <v>1992.0</v>
      </c>
      <c r="P84" s="30" t="s">
        <v>6024</v>
      </c>
      <c r="Q84" s="198"/>
      <c r="R84" s="198"/>
      <c r="S84" s="198"/>
      <c r="T84" s="197"/>
      <c r="U84" s="197"/>
      <c r="V84" s="199"/>
      <c r="W84" s="120"/>
      <c r="X84" s="104"/>
      <c r="Y84" s="104"/>
      <c r="Z84" s="179"/>
      <c r="AA84" s="120"/>
      <c r="AB84" s="179"/>
      <c r="AC84" s="104"/>
      <c r="AD84" s="104"/>
      <c r="AE84" s="120"/>
      <c r="AF84" s="120"/>
      <c r="AG84" s="120"/>
      <c r="AH84" s="104"/>
      <c r="AI84" s="120"/>
      <c r="AJ84" s="120"/>
      <c r="AK84" s="120"/>
      <c r="AL84" s="120"/>
      <c r="AM84" s="120"/>
      <c r="AN84" s="199"/>
      <c r="AO84" s="199"/>
      <c r="AP84" s="200"/>
      <c r="AQ84" s="197"/>
      <c r="AR84" s="200"/>
      <c r="AS84" s="197"/>
      <c r="AT84" s="200"/>
      <c r="AU84" s="197"/>
      <c r="AV84" s="197"/>
      <c r="AW84" s="104"/>
      <c r="AX84" s="98"/>
      <c r="AY84" s="98"/>
      <c r="AZ84" s="26"/>
      <c r="BA84" s="198"/>
      <c r="BB84" s="198"/>
      <c r="BC84" s="198"/>
      <c r="BD84" s="198"/>
      <c r="BE84" s="56"/>
      <c r="BF84" s="198"/>
      <c r="BG84" s="198"/>
      <c r="BH84" s="56"/>
      <c r="BI84" s="56"/>
      <c r="BJ84" s="56"/>
      <c r="BS84" s="10"/>
      <c r="BT84" s="197"/>
      <c r="BU84" s="56"/>
      <c r="BV84" s="56"/>
      <c r="BW84" s="56"/>
    </row>
    <row r="85">
      <c r="A85" s="197">
        <v>1.0</v>
      </c>
      <c r="B85" s="34" t="s">
        <v>18</v>
      </c>
      <c r="C85" s="206">
        <v>0.0</v>
      </c>
      <c r="D85" s="120"/>
      <c r="E85" s="197"/>
      <c r="F85" s="120"/>
      <c r="G85" s="56"/>
      <c r="H85" s="197"/>
      <c r="I85" s="197"/>
      <c r="J85" s="209"/>
      <c r="K85" s="200"/>
      <c r="L85" s="200"/>
      <c r="M85" s="69"/>
      <c r="N85" s="35" t="s">
        <v>6023</v>
      </c>
      <c r="O85" s="111">
        <v>1993.0</v>
      </c>
      <c r="P85" s="30" t="s">
        <v>6025</v>
      </c>
      <c r="Q85" s="198"/>
      <c r="R85" s="198"/>
      <c r="S85" s="198"/>
      <c r="T85" s="197"/>
      <c r="U85" s="197"/>
      <c r="V85" s="199"/>
      <c r="W85" s="120"/>
      <c r="X85" s="104"/>
      <c r="Y85" s="104"/>
      <c r="Z85" s="179"/>
      <c r="AA85" s="120"/>
      <c r="AB85" s="179"/>
      <c r="AC85" s="104"/>
      <c r="AD85" s="104"/>
      <c r="AE85" s="120"/>
      <c r="AF85" s="120"/>
      <c r="AG85" s="120"/>
      <c r="AH85" s="104"/>
      <c r="AI85" s="120"/>
      <c r="AJ85" s="120"/>
      <c r="AK85" s="120"/>
      <c r="AL85" s="120"/>
      <c r="AM85" s="120"/>
      <c r="AN85" s="199"/>
      <c r="AO85" s="199"/>
      <c r="AP85" s="200"/>
      <c r="AQ85" s="197"/>
      <c r="AR85" s="200"/>
      <c r="AS85" s="197"/>
      <c r="AT85" s="200"/>
      <c r="AU85" s="197"/>
      <c r="AV85" s="197"/>
      <c r="AW85" s="104"/>
      <c r="AX85" s="98"/>
      <c r="AY85" s="98"/>
      <c r="AZ85" s="26"/>
      <c r="BA85" s="198"/>
      <c r="BB85" s="198"/>
      <c r="BC85" s="198"/>
      <c r="BD85" s="198"/>
      <c r="BE85" s="56"/>
      <c r="BF85" s="198"/>
      <c r="BG85" s="198"/>
      <c r="BH85" s="56"/>
      <c r="BI85" s="56"/>
      <c r="BJ85" s="56"/>
      <c r="BS85" s="10"/>
      <c r="BT85" s="197"/>
      <c r="BU85" s="56"/>
      <c r="BV85" s="56"/>
      <c r="BW85" s="56"/>
    </row>
    <row r="86">
      <c r="A86" s="197">
        <v>1.0</v>
      </c>
      <c r="B86" s="34" t="s">
        <v>18</v>
      </c>
      <c r="C86" s="206">
        <v>0.0</v>
      </c>
      <c r="D86" s="120"/>
      <c r="E86" s="197"/>
      <c r="F86" s="120"/>
      <c r="G86" s="56"/>
      <c r="H86" s="197"/>
      <c r="I86" s="197"/>
      <c r="J86" s="209"/>
      <c r="K86" s="200"/>
      <c r="L86" s="200"/>
      <c r="M86" s="69"/>
      <c r="N86" s="35" t="s">
        <v>6026</v>
      </c>
      <c r="O86" s="111">
        <v>1993.0</v>
      </c>
      <c r="P86" s="30" t="s">
        <v>6027</v>
      </c>
      <c r="Q86" s="198"/>
      <c r="R86" s="198"/>
      <c r="S86" s="198"/>
      <c r="T86" s="197"/>
      <c r="U86" s="197"/>
      <c r="V86" s="199"/>
      <c r="W86" s="120"/>
      <c r="X86" s="104"/>
      <c r="Y86" s="104"/>
      <c r="Z86" s="179"/>
      <c r="AA86" s="120"/>
      <c r="AB86" s="179"/>
      <c r="AC86" s="120"/>
      <c r="AD86" s="104"/>
      <c r="AE86" s="120"/>
      <c r="AF86" s="120"/>
      <c r="AG86" s="120"/>
      <c r="AH86" s="104" t="s">
        <v>6018</v>
      </c>
      <c r="AI86" s="120"/>
      <c r="AJ86" s="120"/>
      <c r="AK86" s="120"/>
      <c r="AL86" s="120"/>
      <c r="AM86" s="120"/>
      <c r="AN86" s="199"/>
      <c r="AO86" s="199"/>
      <c r="AP86" s="200"/>
      <c r="AQ86" s="197"/>
      <c r="AR86" s="200"/>
      <c r="AS86" s="197"/>
      <c r="AT86" s="200"/>
      <c r="AU86" s="197"/>
      <c r="AV86" s="197"/>
      <c r="AW86" s="104"/>
      <c r="AX86" s="98"/>
      <c r="AY86" s="98"/>
      <c r="AZ86" s="26"/>
      <c r="BA86" s="198"/>
      <c r="BB86" s="198"/>
      <c r="BC86" s="198"/>
      <c r="BD86" s="198"/>
      <c r="BE86" s="56"/>
      <c r="BF86" s="198"/>
      <c r="BG86" s="198"/>
      <c r="BH86" s="56"/>
      <c r="BI86" s="56"/>
      <c r="BJ86" s="56"/>
      <c r="BS86" s="10"/>
      <c r="BT86" s="197"/>
      <c r="BU86" s="56"/>
      <c r="BV86" s="56"/>
      <c r="BW86" s="56"/>
    </row>
    <row r="87">
      <c r="A87" s="197">
        <v>1.0</v>
      </c>
      <c r="B87" s="34" t="s">
        <v>18</v>
      </c>
      <c r="C87" s="206">
        <v>0.0</v>
      </c>
      <c r="D87" s="120"/>
      <c r="E87" s="197"/>
      <c r="F87" s="120"/>
      <c r="G87" s="56"/>
      <c r="H87" s="197"/>
      <c r="I87" s="197"/>
      <c r="J87" s="209"/>
      <c r="K87" s="200"/>
      <c r="L87" s="200"/>
      <c r="M87" s="69"/>
      <c r="N87" s="221" t="s">
        <v>6028</v>
      </c>
      <c r="O87" s="111">
        <v>1993.0</v>
      </c>
      <c r="P87" s="30" t="s">
        <v>6029</v>
      </c>
      <c r="Q87" s="198"/>
      <c r="R87" s="198"/>
      <c r="S87" s="198"/>
      <c r="T87" s="197"/>
      <c r="U87" s="197"/>
      <c r="V87" s="199"/>
      <c r="W87" s="120"/>
      <c r="X87" s="104"/>
      <c r="Y87" s="104"/>
      <c r="Z87" s="179"/>
      <c r="AA87" s="120"/>
      <c r="AB87" s="179"/>
      <c r="AC87" s="120"/>
      <c r="AD87" s="104"/>
      <c r="AE87" s="120"/>
      <c r="AF87" s="120"/>
      <c r="AG87" s="120"/>
      <c r="AH87" s="104"/>
      <c r="AI87" s="120"/>
      <c r="AJ87" s="120"/>
      <c r="AK87" s="120"/>
      <c r="AL87" s="120"/>
      <c r="AM87" s="120"/>
      <c r="AN87" s="199"/>
      <c r="AO87" s="199"/>
      <c r="AP87" s="200"/>
      <c r="AQ87" s="197"/>
      <c r="AR87" s="200"/>
      <c r="AS87" s="197"/>
      <c r="AT87" s="200"/>
      <c r="AU87" s="197"/>
      <c r="AV87" s="197"/>
      <c r="AW87" s="104"/>
      <c r="AX87" s="98"/>
      <c r="AY87" s="98"/>
      <c r="AZ87" s="26"/>
      <c r="BA87" s="198"/>
      <c r="BB87" s="198"/>
      <c r="BC87" s="198"/>
      <c r="BD87" s="198"/>
      <c r="BE87" s="56"/>
      <c r="BF87" s="198"/>
      <c r="BG87" s="198"/>
      <c r="BH87" s="56"/>
      <c r="BI87" s="56"/>
      <c r="BJ87" s="56"/>
      <c r="BS87" s="10"/>
      <c r="BT87" s="197"/>
      <c r="BU87" s="56"/>
      <c r="BV87" s="56"/>
      <c r="BW87" s="56"/>
    </row>
    <row r="88">
      <c r="A88" s="197">
        <v>1.0</v>
      </c>
      <c r="B88" s="34" t="s">
        <v>18</v>
      </c>
      <c r="C88" s="206">
        <v>0.0</v>
      </c>
      <c r="D88" s="120"/>
      <c r="E88" s="197"/>
      <c r="F88" s="120"/>
      <c r="G88" s="56"/>
      <c r="H88" s="197"/>
      <c r="I88" s="197"/>
      <c r="J88" s="209"/>
      <c r="K88" s="200"/>
      <c r="L88" s="200"/>
      <c r="M88" s="69"/>
      <c r="N88" s="35" t="s">
        <v>6030</v>
      </c>
      <c r="O88" s="111">
        <v>1994.0</v>
      </c>
      <c r="P88" s="30" t="s">
        <v>6031</v>
      </c>
      <c r="Q88" s="198"/>
      <c r="R88" s="198"/>
      <c r="S88" s="198"/>
      <c r="T88" s="197"/>
      <c r="U88" s="197"/>
      <c r="V88" s="199"/>
      <c r="W88" s="120"/>
      <c r="X88" s="104"/>
      <c r="Y88" s="104"/>
      <c r="Z88" s="179"/>
      <c r="AA88" s="120"/>
      <c r="AB88" s="179"/>
      <c r="AC88" s="120"/>
      <c r="AD88" s="104"/>
      <c r="AE88" s="120"/>
      <c r="AF88" s="120"/>
      <c r="AG88" s="120"/>
      <c r="AH88" s="104"/>
      <c r="AI88" s="120"/>
      <c r="AJ88" s="120"/>
      <c r="AK88" s="120"/>
      <c r="AL88" s="120"/>
      <c r="AM88" s="120"/>
      <c r="AN88" s="199"/>
      <c r="AO88" s="199"/>
      <c r="AP88" s="200"/>
      <c r="AQ88" s="197"/>
      <c r="AR88" s="200"/>
      <c r="AS88" s="197"/>
      <c r="AT88" s="200"/>
      <c r="AU88" s="197"/>
      <c r="AV88" s="197"/>
      <c r="AW88" s="104"/>
      <c r="AX88" s="98"/>
      <c r="AY88" s="98"/>
      <c r="AZ88" s="26"/>
      <c r="BA88" s="198"/>
      <c r="BB88" s="198"/>
      <c r="BC88" s="198"/>
      <c r="BD88" s="198"/>
      <c r="BE88" s="56"/>
      <c r="BF88" s="198"/>
      <c r="BG88" s="198"/>
      <c r="BH88" s="56"/>
      <c r="BI88" s="56"/>
      <c r="BJ88" s="56"/>
      <c r="BS88" s="10"/>
      <c r="BT88" s="197"/>
      <c r="BU88" s="56"/>
      <c r="BV88" s="56"/>
      <c r="BW88" s="56"/>
    </row>
    <row r="89">
      <c r="A89" s="197">
        <v>1.0</v>
      </c>
      <c r="B89" s="34" t="s">
        <v>18</v>
      </c>
      <c r="C89" s="206">
        <v>0.0</v>
      </c>
      <c r="D89" s="120"/>
      <c r="E89" s="197"/>
      <c r="F89" s="120"/>
      <c r="G89" s="56"/>
      <c r="H89" s="197"/>
      <c r="I89" s="197"/>
      <c r="J89" s="209"/>
      <c r="K89" s="200"/>
      <c r="L89" s="200"/>
      <c r="M89" s="69"/>
      <c r="N89" s="35" t="s">
        <v>6032</v>
      </c>
      <c r="O89" s="111">
        <v>1994.0</v>
      </c>
      <c r="P89" s="30" t="s">
        <v>6033</v>
      </c>
      <c r="Q89" s="198"/>
      <c r="R89" s="198"/>
      <c r="S89" s="198"/>
      <c r="T89" s="197"/>
      <c r="U89" s="197"/>
      <c r="V89" s="199"/>
      <c r="W89" s="120"/>
      <c r="X89" s="104"/>
      <c r="Y89" s="104"/>
      <c r="Z89" s="179"/>
      <c r="AA89" s="120"/>
      <c r="AB89" s="179"/>
      <c r="AC89" s="120"/>
      <c r="AD89" s="104"/>
      <c r="AE89" s="120"/>
      <c r="AF89" s="120"/>
      <c r="AG89" s="120"/>
      <c r="AH89" s="104"/>
      <c r="AI89" s="120"/>
      <c r="AJ89" s="120"/>
      <c r="AK89" s="120"/>
      <c r="AL89" s="120"/>
      <c r="AM89" s="120"/>
      <c r="AN89" s="199"/>
      <c r="AO89" s="199"/>
      <c r="AP89" s="200"/>
      <c r="AQ89" s="197"/>
      <c r="AR89" s="200"/>
      <c r="AS89" s="197"/>
      <c r="AT89" s="200"/>
      <c r="AU89" s="197"/>
      <c r="AV89" s="197"/>
      <c r="AW89" s="104"/>
      <c r="AX89" s="98"/>
      <c r="AY89" s="98"/>
      <c r="AZ89" s="26"/>
      <c r="BA89" s="198"/>
      <c r="BB89" s="198"/>
      <c r="BC89" s="198"/>
      <c r="BD89" s="198"/>
      <c r="BE89" s="56"/>
      <c r="BF89" s="198"/>
      <c r="BG89" s="198"/>
      <c r="BH89" s="56"/>
      <c r="BI89" s="56"/>
      <c r="BJ89" s="56"/>
      <c r="BS89" s="10"/>
      <c r="BT89" s="197"/>
      <c r="BU89" s="56"/>
      <c r="BV89" s="56"/>
      <c r="BW89" s="56"/>
    </row>
    <row r="90">
      <c r="A90" s="111">
        <v>1.0</v>
      </c>
      <c r="B90" s="35" t="s">
        <v>18</v>
      </c>
      <c r="C90" s="206">
        <v>1.0</v>
      </c>
      <c r="D90" s="104" t="s">
        <v>6034</v>
      </c>
      <c r="E90" s="197"/>
      <c r="F90" s="120"/>
      <c r="G90" s="56"/>
      <c r="H90" s="197"/>
      <c r="I90" s="197"/>
      <c r="J90" s="209"/>
      <c r="K90" s="200"/>
      <c r="L90" s="200"/>
      <c r="M90" s="69"/>
      <c r="N90" s="35" t="s">
        <v>6035</v>
      </c>
      <c r="O90" s="111">
        <v>1995.0</v>
      </c>
      <c r="P90" s="30" t="s">
        <v>6036</v>
      </c>
      <c r="Q90" s="198"/>
      <c r="R90" s="198"/>
      <c r="S90" s="198"/>
      <c r="T90" s="197"/>
      <c r="U90" s="197"/>
      <c r="V90" s="199"/>
      <c r="W90" s="120"/>
      <c r="X90" s="104" t="s">
        <v>6037</v>
      </c>
      <c r="Y90" s="104" t="s">
        <v>2382</v>
      </c>
      <c r="Z90" s="179"/>
      <c r="AA90" s="104" t="s">
        <v>6038</v>
      </c>
      <c r="AB90" s="180" t="s">
        <v>6036</v>
      </c>
      <c r="AC90" s="104" t="s">
        <v>5793</v>
      </c>
      <c r="AD90" s="104" t="s">
        <v>6039</v>
      </c>
      <c r="AE90" s="120"/>
      <c r="AF90" s="120"/>
      <c r="AG90" s="120"/>
      <c r="AH90" s="104" t="s">
        <v>6040</v>
      </c>
      <c r="AI90" s="120"/>
      <c r="AJ90" s="120"/>
      <c r="AK90" s="120"/>
      <c r="AL90" s="120"/>
      <c r="AM90" s="120"/>
      <c r="AN90" s="199"/>
      <c r="AO90" s="199"/>
      <c r="AP90" s="200"/>
      <c r="AQ90" s="197"/>
      <c r="AR90" s="200"/>
      <c r="AS90" s="197"/>
      <c r="AT90" s="200"/>
      <c r="AU90" s="197"/>
      <c r="AV90" s="111">
        <v>1.0</v>
      </c>
      <c r="AW90" s="104" t="s">
        <v>3737</v>
      </c>
      <c r="AX90" s="98"/>
      <c r="AY90" s="98"/>
      <c r="AZ90" s="26"/>
      <c r="BA90" s="198"/>
      <c r="BB90" s="198"/>
      <c r="BC90" s="198"/>
      <c r="BD90" s="198"/>
      <c r="BE90" s="56"/>
      <c r="BF90" s="198"/>
      <c r="BG90" s="198"/>
      <c r="BH90" s="56"/>
      <c r="BI90" s="56"/>
      <c r="BJ90" s="56"/>
      <c r="BS90" s="10"/>
      <c r="BT90" s="197"/>
      <c r="BU90" s="56"/>
      <c r="BV90" s="56"/>
      <c r="BW90" s="56"/>
    </row>
    <row r="91">
      <c r="A91" s="111">
        <v>1.0</v>
      </c>
      <c r="B91" s="35" t="s">
        <v>18</v>
      </c>
      <c r="C91" s="206">
        <v>0.001</v>
      </c>
      <c r="D91" s="104"/>
      <c r="E91" s="197"/>
      <c r="F91" s="120"/>
      <c r="G91" s="56"/>
      <c r="H91" s="197"/>
      <c r="I91" s="197"/>
      <c r="J91" s="209"/>
      <c r="K91" s="200"/>
      <c r="L91" s="200"/>
      <c r="M91" s="69"/>
      <c r="N91" s="35" t="s">
        <v>6041</v>
      </c>
      <c r="O91" s="111">
        <v>1995.0</v>
      </c>
      <c r="P91" s="30" t="s">
        <v>6042</v>
      </c>
      <c r="Q91" s="198"/>
      <c r="R91" s="198"/>
      <c r="S91" s="198"/>
      <c r="T91" s="197"/>
      <c r="U91" s="197"/>
      <c r="V91" s="199"/>
      <c r="W91" s="120"/>
      <c r="X91" s="104"/>
      <c r="Y91" s="104"/>
      <c r="Z91" s="179"/>
      <c r="AA91" s="104"/>
      <c r="AB91" s="179"/>
      <c r="AC91" s="104"/>
      <c r="AD91" s="104"/>
      <c r="AE91" s="120"/>
      <c r="AF91" s="120"/>
      <c r="AG91" s="120"/>
      <c r="AH91" s="104"/>
      <c r="AI91" s="120"/>
      <c r="AJ91" s="120"/>
      <c r="AK91" s="120"/>
      <c r="AL91" s="120"/>
      <c r="AM91" s="120"/>
      <c r="AN91" s="199"/>
      <c r="AO91" s="199"/>
      <c r="AP91" s="200"/>
      <c r="AQ91" s="197"/>
      <c r="AR91" s="200"/>
      <c r="AS91" s="197"/>
      <c r="AT91" s="200"/>
      <c r="AU91" s="197"/>
      <c r="AV91" s="111"/>
      <c r="AW91" s="104"/>
      <c r="AX91" s="98"/>
      <c r="AY91" s="98"/>
      <c r="AZ91" s="26"/>
      <c r="BA91" s="198"/>
      <c r="BB91" s="198"/>
      <c r="BC91" s="198"/>
      <c r="BD91" s="198"/>
      <c r="BE91" s="56"/>
      <c r="BF91" s="198"/>
      <c r="BG91" s="198"/>
      <c r="BH91" s="56"/>
      <c r="BI91" s="56"/>
      <c r="BJ91" s="56"/>
      <c r="BS91" s="10"/>
      <c r="BT91" s="197"/>
      <c r="BU91" s="56"/>
      <c r="BV91" s="56"/>
      <c r="BW91" s="56"/>
    </row>
    <row r="92">
      <c r="A92" s="111">
        <v>1.0</v>
      </c>
      <c r="B92" s="35" t="s">
        <v>18</v>
      </c>
      <c r="C92" s="206">
        <v>0.001</v>
      </c>
      <c r="D92" s="120"/>
      <c r="E92" s="197"/>
      <c r="F92" s="120"/>
      <c r="G92" s="56"/>
      <c r="H92" s="197"/>
      <c r="I92" s="197"/>
      <c r="J92" s="209"/>
      <c r="K92" s="200"/>
      <c r="L92" s="200"/>
      <c r="M92" s="69"/>
      <c r="N92" s="35" t="s">
        <v>6043</v>
      </c>
      <c r="O92" s="111">
        <v>1996.0</v>
      </c>
      <c r="P92" s="177" t="s">
        <v>6044</v>
      </c>
      <c r="Q92" s="222"/>
      <c r="R92" s="198"/>
      <c r="S92" s="30"/>
      <c r="T92" s="197"/>
      <c r="U92" s="197"/>
      <c r="V92" s="199"/>
      <c r="W92" s="120"/>
      <c r="X92" s="104" t="s">
        <v>6045</v>
      </c>
      <c r="Y92" s="104"/>
      <c r="Z92" s="179"/>
      <c r="AA92" s="120"/>
      <c r="AB92" s="179"/>
      <c r="AC92" s="120"/>
      <c r="AD92" s="104" t="s">
        <v>1939</v>
      </c>
      <c r="AE92" s="120"/>
      <c r="AF92" s="120"/>
      <c r="AG92" s="120"/>
      <c r="AH92" s="104"/>
      <c r="AI92" s="120"/>
      <c r="AJ92" s="120"/>
      <c r="AK92" s="120"/>
      <c r="AL92" s="120"/>
      <c r="AM92" s="120"/>
      <c r="AN92" s="199"/>
      <c r="AO92" s="199"/>
      <c r="AP92" s="200"/>
      <c r="AQ92" s="197"/>
      <c r="AR92" s="200"/>
      <c r="AS92" s="197"/>
      <c r="AT92" s="200"/>
      <c r="AU92" s="197"/>
      <c r="AV92" s="197"/>
      <c r="AW92" s="104"/>
      <c r="AX92" s="98"/>
      <c r="AY92" s="98"/>
      <c r="AZ92" s="26"/>
      <c r="BA92" s="198"/>
      <c r="BB92" s="198"/>
      <c r="BC92" s="198"/>
      <c r="BD92" s="198"/>
      <c r="BE92" s="56"/>
      <c r="BF92" s="198"/>
      <c r="BG92" s="198"/>
      <c r="BH92" s="56"/>
      <c r="BI92" s="56"/>
      <c r="BJ92" s="56"/>
      <c r="BS92" s="10"/>
      <c r="BT92" s="197"/>
      <c r="BU92" s="56"/>
      <c r="BV92" s="56"/>
      <c r="BW92" s="56"/>
    </row>
    <row r="93">
      <c r="A93" s="197">
        <v>1.0</v>
      </c>
      <c r="B93" s="34" t="s">
        <v>18</v>
      </c>
      <c r="C93" s="206">
        <v>0.0</v>
      </c>
      <c r="D93" s="120"/>
      <c r="E93" s="197"/>
      <c r="F93" s="120"/>
      <c r="G93" s="56"/>
      <c r="H93" s="197"/>
      <c r="I93" s="197"/>
      <c r="J93" s="209"/>
      <c r="K93" s="200"/>
      <c r="L93" s="200"/>
      <c r="M93" s="69"/>
      <c r="N93" s="35" t="s">
        <v>2934</v>
      </c>
      <c r="O93" s="111">
        <v>1996.0</v>
      </c>
      <c r="P93" s="177" t="s">
        <v>6046</v>
      </c>
      <c r="Q93" s="222"/>
      <c r="R93" s="198"/>
      <c r="S93" s="30"/>
      <c r="T93" s="197"/>
      <c r="U93" s="197"/>
      <c r="V93" s="199"/>
      <c r="W93" s="120"/>
      <c r="X93" s="104"/>
      <c r="Y93" s="104"/>
      <c r="Z93" s="179"/>
      <c r="AA93" s="120"/>
      <c r="AB93" s="179"/>
      <c r="AC93" s="120"/>
      <c r="AD93" s="104"/>
      <c r="AE93" s="120"/>
      <c r="AF93" s="120"/>
      <c r="AG93" s="120"/>
      <c r="AH93" s="104"/>
      <c r="AI93" s="120"/>
      <c r="AJ93" s="120"/>
      <c r="AK93" s="120"/>
      <c r="AL93" s="120"/>
      <c r="AM93" s="120"/>
      <c r="AN93" s="199"/>
      <c r="AO93" s="199"/>
      <c r="AP93" s="200"/>
      <c r="AQ93" s="197"/>
      <c r="AR93" s="200"/>
      <c r="AS93" s="197"/>
      <c r="AT93" s="200"/>
      <c r="AU93" s="197"/>
      <c r="AV93" s="197"/>
      <c r="AW93" s="104"/>
      <c r="AX93" s="98"/>
      <c r="AY93" s="98"/>
      <c r="AZ93" s="26"/>
      <c r="BA93" s="198"/>
      <c r="BB93" s="198"/>
      <c r="BC93" s="198"/>
      <c r="BD93" s="198"/>
      <c r="BE93" s="56"/>
      <c r="BF93" s="198"/>
      <c r="BG93" s="198"/>
      <c r="BH93" s="56"/>
      <c r="BI93" s="56"/>
      <c r="BJ93" s="56"/>
      <c r="BS93" s="10"/>
      <c r="BT93" s="197"/>
      <c r="BU93" s="56"/>
      <c r="BV93" s="56"/>
      <c r="BW93" s="56"/>
    </row>
    <row r="94">
      <c r="A94" s="111">
        <v>1.0</v>
      </c>
      <c r="B94" s="35" t="s">
        <v>18</v>
      </c>
      <c r="C94" s="206">
        <v>0.001</v>
      </c>
      <c r="D94" s="120"/>
      <c r="E94" s="197"/>
      <c r="F94" s="120"/>
      <c r="G94" s="56"/>
      <c r="H94" s="197"/>
      <c r="I94" s="197"/>
      <c r="J94" s="209"/>
      <c r="K94" s="200"/>
      <c r="L94" s="200"/>
      <c r="M94" s="69"/>
      <c r="N94" s="35" t="s">
        <v>6047</v>
      </c>
      <c r="O94" s="111">
        <v>1997.0</v>
      </c>
      <c r="P94" s="30" t="s">
        <v>6048</v>
      </c>
      <c r="Q94" s="222">
        <v>58.0</v>
      </c>
      <c r="R94" s="198"/>
      <c r="S94" s="30" t="s">
        <v>6048</v>
      </c>
      <c r="T94" s="197"/>
      <c r="U94" s="197"/>
      <c r="V94" s="199"/>
      <c r="W94" s="120"/>
      <c r="X94" s="104" t="s">
        <v>6049</v>
      </c>
      <c r="Y94" s="104" t="s">
        <v>6049</v>
      </c>
      <c r="Z94" s="179"/>
      <c r="AA94" s="120"/>
      <c r="AB94" s="179"/>
      <c r="AC94" s="120"/>
      <c r="AD94" s="104"/>
      <c r="AE94" s="120"/>
      <c r="AF94" s="120"/>
      <c r="AG94" s="120"/>
      <c r="AH94" s="104" t="s">
        <v>5805</v>
      </c>
      <c r="AI94" s="120"/>
      <c r="AJ94" s="120"/>
      <c r="AK94" s="120"/>
      <c r="AL94" s="120"/>
      <c r="AM94" s="120"/>
      <c r="AN94" s="199"/>
      <c r="AO94" s="199"/>
      <c r="AP94" s="200"/>
      <c r="AQ94" s="197"/>
      <c r="AR94" s="200"/>
      <c r="AS94" s="197"/>
      <c r="AT94" s="200"/>
      <c r="AU94" s="197"/>
      <c r="AV94" s="111">
        <v>1.0</v>
      </c>
      <c r="AW94" s="104" t="s">
        <v>6050</v>
      </c>
      <c r="AX94" s="98"/>
      <c r="AY94" s="98"/>
      <c r="AZ94" s="26"/>
      <c r="BA94" s="198"/>
      <c r="BB94" s="198"/>
      <c r="BC94" s="198"/>
      <c r="BD94" s="198"/>
      <c r="BE94" s="56"/>
      <c r="BF94" s="198"/>
      <c r="BG94" s="198"/>
      <c r="BH94" s="56"/>
      <c r="BI94" s="56"/>
      <c r="BJ94" s="56"/>
      <c r="BS94" s="10"/>
      <c r="BT94" s="197"/>
      <c r="BU94" s="56"/>
      <c r="BV94" s="56"/>
      <c r="BW94" s="56"/>
    </row>
    <row r="95">
      <c r="A95" s="111">
        <v>1.0</v>
      </c>
      <c r="B95" s="35" t="s">
        <v>18</v>
      </c>
      <c r="C95" s="206">
        <v>1.0</v>
      </c>
      <c r="D95" s="104" t="s">
        <v>6034</v>
      </c>
      <c r="E95" s="197"/>
      <c r="F95" s="120"/>
      <c r="G95" s="56"/>
      <c r="H95" s="197"/>
      <c r="I95" s="197"/>
      <c r="J95" s="209"/>
      <c r="K95" s="200"/>
      <c r="L95" s="200"/>
      <c r="M95" s="69"/>
      <c r="N95" s="35" t="s">
        <v>6051</v>
      </c>
      <c r="O95" s="111">
        <v>1997.0</v>
      </c>
      <c r="P95" s="30" t="s">
        <v>6052</v>
      </c>
      <c r="Q95" s="198"/>
      <c r="R95" s="198"/>
      <c r="S95" s="198"/>
      <c r="T95" s="197"/>
      <c r="U95" s="197"/>
      <c r="V95" s="199"/>
      <c r="W95" s="120"/>
      <c r="X95" s="104" t="s">
        <v>6053</v>
      </c>
      <c r="Y95" s="104" t="s">
        <v>6054</v>
      </c>
      <c r="Z95" s="179"/>
      <c r="AA95" s="104" t="s">
        <v>6055</v>
      </c>
      <c r="AB95" s="180" t="s">
        <v>6052</v>
      </c>
      <c r="AC95" s="120"/>
      <c r="AD95" s="104" t="s">
        <v>6056</v>
      </c>
      <c r="AE95" s="120"/>
      <c r="AF95" s="120"/>
      <c r="AG95" s="120"/>
      <c r="AH95" s="104" t="s">
        <v>2436</v>
      </c>
      <c r="AI95" s="120"/>
      <c r="AJ95" s="120"/>
      <c r="AK95" s="120"/>
      <c r="AL95" s="120"/>
      <c r="AM95" s="120"/>
      <c r="AN95" s="199"/>
      <c r="AO95" s="199"/>
      <c r="AP95" s="200"/>
      <c r="AQ95" s="197"/>
      <c r="AR95" s="200"/>
      <c r="AS95" s="197"/>
      <c r="AT95" s="200"/>
      <c r="AU95" s="197"/>
      <c r="AV95" s="111">
        <v>1.0</v>
      </c>
      <c r="AW95" s="104"/>
      <c r="AX95" s="98"/>
      <c r="AY95" s="98"/>
      <c r="AZ95" s="26"/>
      <c r="BA95" s="198"/>
      <c r="BB95" s="198"/>
      <c r="BC95" s="198"/>
      <c r="BD95" s="198"/>
      <c r="BE95" s="56"/>
      <c r="BF95" s="198"/>
      <c r="BG95" s="198"/>
      <c r="BH95" s="56"/>
      <c r="BI95" s="56"/>
      <c r="BJ95" s="56"/>
      <c r="BS95" s="10"/>
      <c r="BT95" s="197"/>
      <c r="BU95" s="56"/>
      <c r="BV95" s="56"/>
      <c r="BW95" s="56"/>
    </row>
    <row r="96">
      <c r="A96" s="111">
        <v>1.0</v>
      </c>
      <c r="B96" s="35" t="s">
        <v>18</v>
      </c>
      <c r="C96" s="206">
        <v>1.0</v>
      </c>
      <c r="D96" s="104" t="s">
        <v>6034</v>
      </c>
      <c r="E96" s="197"/>
      <c r="F96" s="120"/>
      <c r="G96" s="56"/>
      <c r="H96" s="197"/>
      <c r="I96" s="197"/>
      <c r="J96" s="209"/>
      <c r="K96" s="200"/>
      <c r="L96" s="200"/>
      <c r="M96" s="69"/>
      <c r="N96" s="35" t="s">
        <v>6057</v>
      </c>
      <c r="O96" s="111">
        <v>1997.0</v>
      </c>
      <c r="P96" s="30" t="s">
        <v>6052</v>
      </c>
      <c r="Q96" s="198"/>
      <c r="R96" s="198"/>
      <c r="S96" s="198"/>
      <c r="T96" s="197"/>
      <c r="U96" s="197"/>
      <c r="V96" s="199"/>
      <c r="W96" s="120"/>
      <c r="X96" s="104" t="s">
        <v>6058</v>
      </c>
      <c r="Y96" s="104" t="s">
        <v>2382</v>
      </c>
      <c r="Z96" s="179"/>
      <c r="AA96" s="104" t="s">
        <v>6059</v>
      </c>
      <c r="AB96" s="180" t="s">
        <v>6052</v>
      </c>
      <c r="AC96" s="120"/>
      <c r="AD96" s="104" t="s">
        <v>6060</v>
      </c>
      <c r="AE96" s="120"/>
      <c r="AF96" s="120"/>
      <c r="AG96" s="120"/>
      <c r="AH96" s="104" t="s">
        <v>2486</v>
      </c>
      <c r="AI96" s="120"/>
      <c r="AJ96" s="120"/>
      <c r="AK96" s="120"/>
      <c r="AL96" s="120"/>
      <c r="AM96" s="120"/>
      <c r="AN96" s="199"/>
      <c r="AO96" s="199"/>
      <c r="AP96" s="200"/>
      <c r="AQ96" s="197"/>
      <c r="AR96" s="200"/>
      <c r="AS96" s="197"/>
      <c r="AT96" s="200"/>
      <c r="AU96" s="197"/>
      <c r="AV96" s="111">
        <v>1.0</v>
      </c>
      <c r="AW96" s="104"/>
      <c r="AX96" s="98"/>
      <c r="AY96" s="98"/>
      <c r="AZ96" s="26"/>
      <c r="BA96" s="198"/>
      <c r="BB96" s="198"/>
      <c r="BC96" s="198"/>
      <c r="BD96" s="198"/>
      <c r="BE96" s="56"/>
      <c r="BF96" s="198"/>
      <c r="BG96" s="198"/>
      <c r="BH96" s="56"/>
      <c r="BI96" s="56"/>
      <c r="BJ96" s="56"/>
      <c r="BS96" s="10"/>
      <c r="BT96" s="197"/>
      <c r="BU96" s="56"/>
      <c r="BV96" s="56"/>
      <c r="BW96" s="56"/>
    </row>
    <row r="97">
      <c r="A97" s="111">
        <v>1.0</v>
      </c>
      <c r="B97" s="35" t="s">
        <v>18</v>
      </c>
      <c r="C97" s="206">
        <v>1.0</v>
      </c>
      <c r="D97" s="104" t="s">
        <v>6034</v>
      </c>
      <c r="E97" s="197"/>
      <c r="F97" s="120"/>
      <c r="G97" s="56"/>
      <c r="H97" s="197"/>
      <c r="I97" s="197"/>
      <c r="J97" s="209"/>
      <c r="K97" s="200"/>
      <c r="L97" s="200"/>
      <c r="M97" s="69"/>
      <c r="N97" s="35" t="s">
        <v>6061</v>
      </c>
      <c r="O97" s="111">
        <v>1997.0</v>
      </c>
      <c r="P97" s="30" t="s">
        <v>6052</v>
      </c>
      <c r="Q97" s="198"/>
      <c r="R97" s="198"/>
      <c r="S97" s="198"/>
      <c r="T97" s="197"/>
      <c r="U97" s="197"/>
      <c r="V97" s="199"/>
      <c r="W97" s="120"/>
      <c r="X97" s="104" t="s">
        <v>2933</v>
      </c>
      <c r="Y97" s="104" t="s">
        <v>2933</v>
      </c>
      <c r="Z97" s="179"/>
      <c r="AA97" s="104" t="s">
        <v>35</v>
      </c>
      <c r="AB97" s="180" t="s">
        <v>6052</v>
      </c>
      <c r="AC97" s="120"/>
      <c r="AD97" s="104" t="s">
        <v>6062</v>
      </c>
      <c r="AE97" s="120"/>
      <c r="AF97" s="120"/>
      <c r="AG97" s="120"/>
      <c r="AH97" s="104" t="s">
        <v>6063</v>
      </c>
      <c r="AI97" s="120"/>
      <c r="AJ97" s="120"/>
      <c r="AK97" s="120"/>
      <c r="AL97" s="120"/>
      <c r="AM97" s="120"/>
      <c r="AN97" s="199"/>
      <c r="AO97" s="199"/>
      <c r="AP97" s="200"/>
      <c r="AQ97" s="197"/>
      <c r="AR97" s="200"/>
      <c r="AS97" s="197"/>
      <c r="AT97" s="200"/>
      <c r="AU97" s="197"/>
      <c r="AV97" s="111">
        <v>1.0</v>
      </c>
      <c r="AW97" s="104"/>
      <c r="AX97" s="98"/>
      <c r="AY97" s="98"/>
      <c r="AZ97" s="26"/>
      <c r="BA97" s="198"/>
      <c r="BB97" s="198"/>
      <c r="BC97" s="198"/>
      <c r="BD97" s="198"/>
      <c r="BE97" s="56"/>
      <c r="BF97" s="198"/>
      <c r="BG97" s="198"/>
      <c r="BH97" s="56"/>
      <c r="BI97" s="56"/>
      <c r="BJ97" s="56"/>
      <c r="BS97" s="10"/>
      <c r="BT97" s="197"/>
      <c r="BU97" s="56"/>
      <c r="BV97" s="56"/>
      <c r="BW97" s="56"/>
    </row>
    <row r="98">
      <c r="A98" s="111">
        <v>1.0</v>
      </c>
      <c r="B98" s="35" t="s">
        <v>18</v>
      </c>
      <c r="C98" s="206">
        <v>0.0</v>
      </c>
      <c r="D98" s="104" t="s">
        <v>5903</v>
      </c>
      <c r="E98" s="197"/>
      <c r="F98" s="120"/>
      <c r="G98" s="56"/>
      <c r="H98" s="197"/>
      <c r="I98" s="197"/>
      <c r="J98" s="209"/>
      <c r="K98" s="200"/>
      <c r="L98" s="200"/>
      <c r="M98" s="69"/>
      <c r="N98" s="35" t="s">
        <v>6064</v>
      </c>
      <c r="O98" s="111">
        <v>1998.0</v>
      </c>
      <c r="P98" s="30" t="s">
        <v>6065</v>
      </c>
      <c r="Q98" s="198"/>
      <c r="R98" s="198"/>
      <c r="S98" s="198"/>
      <c r="T98" s="197"/>
      <c r="U98" s="197"/>
      <c r="V98" s="199"/>
      <c r="W98" s="120"/>
      <c r="X98" s="104"/>
      <c r="Y98" s="104"/>
      <c r="Z98" s="179"/>
      <c r="AA98" s="120"/>
      <c r="AB98" s="179"/>
      <c r="AC98" s="120"/>
      <c r="AD98" s="104"/>
      <c r="AE98" s="120"/>
      <c r="AF98" s="120"/>
      <c r="AG98" s="120"/>
      <c r="AH98" s="120"/>
      <c r="AI98" s="120"/>
      <c r="AJ98" s="120"/>
      <c r="AK98" s="120"/>
      <c r="AL98" s="120"/>
      <c r="AM98" s="120"/>
      <c r="AN98" s="199"/>
      <c r="AO98" s="199"/>
      <c r="AP98" s="200"/>
      <c r="AQ98" s="197"/>
      <c r="AR98" s="200"/>
      <c r="AS98" s="197"/>
      <c r="AT98" s="200"/>
      <c r="AU98" s="197"/>
      <c r="AV98" s="197"/>
      <c r="AW98" s="104"/>
      <c r="AX98" s="98"/>
      <c r="AY98" s="98"/>
      <c r="AZ98" s="26"/>
      <c r="BA98" s="198"/>
      <c r="BB98" s="198"/>
      <c r="BC98" s="198"/>
      <c r="BD98" s="198"/>
      <c r="BE98" s="56"/>
      <c r="BF98" s="198"/>
      <c r="BG98" s="198"/>
      <c r="BH98" s="56"/>
      <c r="BI98" s="56"/>
      <c r="BJ98" s="56"/>
      <c r="BS98" s="10"/>
      <c r="BT98" s="197"/>
      <c r="BU98" s="56"/>
      <c r="BV98" s="56"/>
      <c r="BW98" s="56"/>
    </row>
    <row r="99">
      <c r="A99" s="111">
        <v>1.0</v>
      </c>
      <c r="B99" s="35" t="s">
        <v>18</v>
      </c>
      <c r="C99" s="206">
        <v>0.001</v>
      </c>
      <c r="D99" s="104"/>
      <c r="E99" s="197"/>
      <c r="F99" s="120"/>
      <c r="G99" s="56"/>
      <c r="H99" s="197"/>
      <c r="I99" s="197"/>
      <c r="J99" s="209"/>
      <c r="K99" s="200"/>
      <c r="L99" s="200"/>
      <c r="M99" s="69"/>
      <c r="N99" s="35" t="s">
        <v>6066</v>
      </c>
      <c r="O99" s="111">
        <v>1998.0</v>
      </c>
      <c r="P99" s="30" t="s">
        <v>6067</v>
      </c>
      <c r="Q99" s="198"/>
      <c r="R99" s="198"/>
      <c r="S99" s="198"/>
      <c r="T99" s="197"/>
      <c r="U99" s="197"/>
      <c r="V99" s="199"/>
      <c r="W99" s="120"/>
      <c r="X99" s="104"/>
      <c r="Y99" s="104"/>
      <c r="Z99" s="179"/>
      <c r="AA99" s="120"/>
      <c r="AB99" s="179"/>
      <c r="AC99" s="120"/>
      <c r="AD99" s="104"/>
      <c r="AE99" s="120"/>
      <c r="AF99" s="120"/>
      <c r="AG99" s="120"/>
      <c r="AH99" s="104" t="s">
        <v>2436</v>
      </c>
      <c r="AI99" s="120"/>
      <c r="AJ99" s="120"/>
      <c r="AK99" s="120"/>
      <c r="AL99" s="120"/>
      <c r="AM99" s="120"/>
      <c r="AN99" s="199"/>
      <c r="AO99" s="199"/>
      <c r="AP99" s="200"/>
      <c r="AQ99" s="197"/>
      <c r="AR99" s="200"/>
      <c r="AS99" s="197"/>
      <c r="AT99" s="200"/>
      <c r="AU99" s="197"/>
      <c r="AV99" s="197"/>
      <c r="AW99" s="104"/>
      <c r="AX99" s="98"/>
      <c r="AY99" s="98"/>
      <c r="AZ99" s="26"/>
      <c r="BA99" s="198"/>
      <c r="BB99" s="198"/>
      <c r="BC99" s="198"/>
      <c r="BD99" s="198"/>
      <c r="BE99" s="56"/>
      <c r="BF99" s="198"/>
      <c r="BG99" s="198"/>
      <c r="BH99" s="56"/>
      <c r="BI99" s="56"/>
      <c r="BJ99" s="56"/>
      <c r="BS99" s="10"/>
      <c r="BT99" s="197"/>
      <c r="BU99" s="56"/>
      <c r="BV99" s="56"/>
      <c r="BW99" s="56"/>
    </row>
    <row r="100">
      <c r="A100" s="111">
        <v>1.0</v>
      </c>
      <c r="B100" s="35" t="s">
        <v>18</v>
      </c>
      <c r="C100" s="206">
        <v>0.0</v>
      </c>
      <c r="D100" s="104"/>
      <c r="E100" s="197"/>
      <c r="F100" s="120"/>
      <c r="G100" s="56"/>
      <c r="H100" s="197"/>
      <c r="I100" s="197"/>
      <c r="J100" s="209"/>
      <c r="K100" s="200"/>
      <c r="L100" s="200"/>
      <c r="M100" s="69"/>
      <c r="N100" s="35" t="s">
        <v>6068</v>
      </c>
      <c r="O100" s="111">
        <v>1998.0</v>
      </c>
      <c r="P100" s="30" t="s">
        <v>6069</v>
      </c>
      <c r="Q100" s="198"/>
      <c r="R100" s="198"/>
      <c r="S100" s="198"/>
      <c r="T100" s="197"/>
      <c r="U100" s="197"/>
      <c r="V100" s="199"/>
      <c r="W100" s="120"/>
      <c r="X100" s="104"/>
      <c r="Y100" s="104"/>
      <c r="Z100" s="179"/>
      <c r="AA100" s="120"/>
      <c r="AB100" s="179"/>
      <c r="AC100" s="120"/>
      <c r="AD100" s="104"/>
      <c r="AE100" s="120"/>
      <c r="AF100" s="120"/>
      <c r="AG100" s="120"/>
      <c r="AH100" s="104"/>
      <c r="AI100" s="120"/>
      <c r="AJ100" s="120"/>
      <c r="AK100" s="120"/>
      <c r="AL100" s="120"/>
      <c r="AM100" s="120"/>
      <c r="AN100" s="199"/>
      <c r="AO100" s="199"/>
      <c r="AP100" s="200"/>
      <c r="AQ100" s="197"/>
      <c r="AR100" s="200"/>
      <c r="AS100" s="197"/>
      <c r="AT100" s="200"/>
      <c r="AU100" s="197"/>
      <c r="AV100" s="197"/>
      <c r="AW100" s="104"/>
      <c r="AX100" s="98"/>
      <c r="AY100" s="98"/>
      <c r="AZ100" s="26"/>
      <c r="BA100" s="198"/>
      <c r="BB100" s="198"/>
      <c r="BC100" s="198"/>
      <c r="BD100" s="198"/>
      <c r="BE100" s="56"/>
      <c r="BF100" s="198"/>
      <c r="BG100" s="198"/>
      <c r="BH100" s="56"/>
      <c r="BI100" s="56"/>
      <c r="BJ100" s="56"/>
      <c r="BS100" s="10"/>
      <c r="BT100" s="197"/>
      <c r="BU100" s="56"/>
      <c r="BV100" s="56"/>
      <c r="BW100" s="56"/>
    </row>
    <row r="101">
      <c r="A101" s="111">
        <v>1.0</v>
      </c>
      <c r="B101" s="35" t="s">
        <v>18</v>
      </c>
      <c r="C101" s="206">
        <v>1.0</v>
      </c>
      <c r="D101" s="104"/>
      <c r="E101" s="197"/>
      <c r="F101" s="120"/>
      <c r="G101" s="56"/>
      <c r="H101" s="197"/>
      <c r="I101" s="197"/>
      <c r="J101" s="209"/>
      <c r="K101" s="200"/>
      <c r="L101" s="200"/>
      <c r="M101" s="69"/>
      <c r="N101" s="35" t="s">
        <v>6070</v>
      </c>
      <c r="O101" s="111">
        <v>2007.0</v>
      </c>
      <c r="P101" s="30" t="s">
        <v>6071</v>
      </c>
      <c r="Q101" s="198"/>
      <c r="R101" s="198"/>
      <c r="S101" s="198"/>
      <c r="T101" s="197"/>
      <c r="U101" s="197"/>
      <c r="V101" s="199"/>
      <c r="W101" s="120"/>
      <c r="X101" s="104" t="s">
        <v>6072</v>
      </c>
      <c r="Y101" s="104" t="s">
        <v>6073</v>
      </c>
      <c r="Z101" s="179"/>
      <c r="AA101" s="104" t="s">
        <v>6074</v>
      </c>
      <c r="AB101" s="179"/>
      <c r="AC101" s="104" t="s">
        <v>5793</v>
      </c>
      <c r="AD101" s="104" t="s">
        <v>6075</v>
      </c>
      <c r="AE101" s="120"/>
      <c r="AF101" s="120"/>
      <c r="AG101" s="120"/>
      <c r="AH101" s="120"/>
      <c r="AI101" s="120"/>
      <c r="AJ101" s="120"/>
      <c r="AK101" s="120"/>
      <c r="AL101" s="120"/>
      <c r="AM101" s="120"/>
      <c r="AN101" s="199"/>
      <c r="AO101" s="199"/>
      <c r="AP101" s="200"/>
      <c r="AQ101" s="197"/>
      <c r="AR101" s="200"/>
      <c r="AS101" s="197"/>
      <c r="AT101" s="200"/>
      <c r="AU101" s="197"/>
      <c r="AV101" s="111">
        <v>1.0</v>
      </c>
      <c r="AW101" s="104" t="s">
        <v>3737</v>
      </c>
      <c r="AX101" s="98"/>
      <c r="AY101" s="98"/>
      <c r="AZ101" s="35" t="s">
        <v>6076</v>
      </c>
      <c r="BA101" s="198"/>
      <c r="BB101" s="198"/>
      <c r="BC101" s="198"/>
      <c r="BD101" s="198"/>
      <c r="BE101" s="56"/>
      <c r="BF101" s="198"/>
      <c r="BG101" s="198"/>
      <c r="BH101" s="56"/>
      <c r="BI101" s="56"/>
      <c r="BJ101" s="56"/>
      <c r="BS101" s="10"/>
      <c r="BT101" s="197"/>
      <c r="BU101" s="56"/>
      <c r="BV101" s="56"/>
      <c r="BW101" s="56"/>
    </row>
    <row r="102">
      <c r="A102" s="111">
        <v>1.0</v>
      </c>
      <c r="B102" s="35" t="s">
        <v>18</v>
      </c>
      <c r="C102" s="206">
        <v>1.0</v>
      </c>
      <c r="D102" s="104"/>
      <c r="E102" s="197"/>
      <c r="F102" s="120"/>
      <c r="G102" s="56"/>
      <c r="H102" s="197"/>
      <c r="I102" s="197"/>
      <c r="J102" s="209"/>
      <c r="K102" s="200"/>
      <c r="L102" s="200"/>
      <c r="M102" s="69"/>
      <c r="N102" s="221" t="s">
        <v>6077</v>
      </c>
      <c r="O102" s="111">
        <v>2007.0</v>
      </c>
      <c r="P102" s="30" t="s">
        <v>6078</v>
      </c>
      <c r="Q102" s="198"/>
      <c r="R102" s="198"/>
      <c r="S102" s="198"/>
      <c r="T102" s="197"/>
      <c r="U102" s="197"/>
      <c r="V102" s="199"/>
      <c r="W102" s="120"/>
      <c r="X102" s="104" t="s">
        <v>6079</v>
      </c>
      <c r="Y102" s="104" t="s">
        <v>35</v>
      </c>
      <c r="Z102" s="179"/>
      <c r="AA102" s="104" t="s">
        <v>6080</v>
      </c>
      <c r="AB102" s="179"/>
      <c r="AC102" s="104" t="s">
        <v>5793</v>
      </c>
      <c r="AD102" s="104" t="s">
        <v>5794</v>
      </c>
      <c r="AE102" s="120"/>
      <c r="AF102" s="120"/>
      <c r="AG102" s="120"/>
      <c r="AH102" s="120"/>
      <c r="AI102" s="120"/>
      <c r="AJ102" s="120"/>
      <c r="AK102" s="120"/>
      <c r="AL102" s="120"/>
      <c r="AM102" s="120"/>
      <c r="AN102" s="199"/>
      <c r="AO102" s="199"/>
      <c r="AP102" s="200"/>
      <c r="AQ102" s="197"/>
      <c r="AR102" s="200"/>
      <c r="AS102" s="197"/>
      <c r="AT102" s="200"/>
      <c r="AU102" s="197"/>
      <c r="AV102" s="111">
        <v>1.0</v>
      </c>
      <c r="AW102" s="104" t="s">
        <v>3737</v>
      </c>
      <c r="AX102" s="98"/>
      <c r="AY102" s="98"/>
      <c r="AZ102" s="26"/>
      <c r="BA102" s="198"/>
      <c r="BB102" s="198"/>
      <c r="BC102" s="198"/>
      <c r="BD102" s="198"/>
      <c r="BE102" s="56"/>
      <c r="BF102" s="198"/>
      <c r="BG102" s="198"/>
      <c r="BH102" s="56"/>
      <c r="BI102" s="56"/>
      <c r="BJ102" s="56"/>
      <c r="BS102" s="10"/>
      <c r="BT102" s="197"/>
      <c r="BU102" s="56"/>
      <c r="BV102" s="56"/>
      <c r="BW102" s="56"/>
    </row>
    <row r="103">
      <c r="A103" s="111">
        <v>1.0</v>
      </c>
      <c r="B103" s="35" t="s">
        <v>18</v>
      </c>
      <c r="C103" s="206">
        <v>1.0</v>
      </c>
      <c r="D103" s="120"/>
      <c r="E103" s="197"/>
      <c r="F103" s="120"/>
      <c r="G103" s="56"/>
      <c r="H103" s="197"/>
      <c r="I103" s="197"/>
      <c r="J103" s="209"/>
      <c r="K103" s="200"/>
      <c r="L103" s="200"/>
      <c r="M103" s="69"/>
      <c r="N103" s="35" t="s">
        <v>6081</v>
      </c>
      <c r="O103" s="111">
        <v>2010.0</v>
      </c>
      <c r="P103" s="177" t="s">
        <v>6082</v>
      </c>
      <c r="Q103" s="198"/>
      <c r="R103" s="198"/>
      <c r="S103" s="198"/>
      <c r="T103" s="197"/>
      <c r="U103" s="197"/>
      <c r="V103" s="199"/>
      <c r="W103" s="120"/>
      <c r="X103" s="104" t="s">
        <v>6049</v>
      </c>
      <c r="Y103" s="104" t="s">
        <v>6049</v>
      </c>
      <c r="Z103" s="179"/>
      <c r="AA103" s="104" t="s">
        <v>6083</v>
      </c>
      <c r="AB103" s="179"/>
      <c r="AC103" s="120"/>
      <c r="AD103" s="104" t="s">
        <v>1939</v>
      </c>
      <c r="AE103" s="120"/>
      <c r="AF103" s="120"/>
      <c r="AG103" s="120"/>
      <c r="AH103" s="104" t="s">
        <v>6084</v>
      </c>
      <c r="AI103" s="120"/>
      <c r="AJ103" s="120"/>
      <c r="AK103" s="120"/>
      <c r="AL103" s="120"/>
      <c r="AM103" s="120"/>
      <c r="AN103" s="199"/>
      <c r="AO103" s="199"/>
      <c r="AP103" s="200"/>
      <c r="AQ103" s="197"/>
      <c r="AR103" s="200"/>
      <c r="AS103" s="197"/>
      <c r="AT103" s="200"/>
      <c r="AU103" s="197"/>
      <c r="AV103" s="197"/>
      <c r="AW103" s="104" t="s">
        <v>6085</v>
      </c>
      <c r="AX103" s="98"/>
      <c r="AY103" s="98"/>
      <c r="AZ103" s="26"/>
      <c r="BA103" s="198"/>
      <c r="BB103" s="198"/>
      <c r="BC103" s="198"/>
      <c r="BD103" s="198"/>
      <c r="BE103" s="56"/>
      <c r="BF103" s="198"/>
      <c r="BG103" s="198"/>
      <c r="BH103" s="56"/>
      <c r="BI103" s="56"/>
      <c r="BJ103" s="56"/>
      <c r="BS103" s="10"/>
      <c r="BT103" s="197"/>
      <c r="BU103" s="56"/>
      <c r="BV103" s="56"/>
      <c r="BW103" s="56"/>
    </row>
    <row r="104">
      <c r="A104" s="111">
        <v>1.0</v>
      </c>
      <c r="B104" s="35" t="s">
        <v>18</v>
      </c>
      <c r="C104" s="206">
        <v>0.0</v>
      </c>
      <c r="D104" s="120"/>
      <c r="E104" s="197"/>
      <c r="F104" s="120"/>
      <c r="G104" s="56"/>
      <c r="H104" s="197"/>
      <c r="I104" s="197"/>
      <c r="J104" s="209"/>
      <c r="K104" s="200"/>
      <c r="L104" s="200"/>
      <c r="M104" s="69"/>
      <c r="N104" s="221" t="s">
        <v>6086</v>
      </c>
      <c r="O104" s="111">
        <v>2011.0</v>
      </c>
      <c r="P104" s="30" t="s">
        <v>6087</v>
      </c>
      <c r="Q104" s="198"/>
      <c r="R104" s="198"/>
      <c r="S104" s="198"/>
      <c r="T104" s="197"/>
      <c r="U104" s="197"/>
      <c r="V104" s="199"/>
      <c r="W104" s="120"/>
      <c r="X104" s="104"/>
      <c r="Y104" s="104"/>
      <c r="Z104" s="179"/>
      <c r="AA104" s="120"/>
      <c r="AB104" s="179"/>
      <c r="AC104" s="120"/>
      <c r="AD104" s="104"/>
      <c r="AE104" s="120"/>
      <c r="AF104" s="120"/>
      <c r="AG104" s="120"/>
      <c r="AH104" s="120"/>
      <c r="AI104" s="120"/>
      <c r="AJ104" s="120"/>
      <c r="AK104" s="120"/>
      <c r="AL104" s="120"/>
      <c r="AM104" s="120"/>
      <c r="AN104" s="199"/>
      <c r="AO104" s="199"/>
      <c r="AP104" s="200"/>
      <c r="AQ104" s="197"/>
      <c r="AR104" s="200"/>
      <c r="AS104" s="197"/>
      <c r="AT104" s="200"/>
      <c r="AU104" s="197"/>
      <c r="AV104" s="197"/>
      <c r="AW104" s="104"/>
      <c r="AX104" s="98"/>
      <c r="AY104" s="98"/>
      <c r="AZ104" s="26"/>
      <c r="BA104" s="198"/>
      <c r="BB104" s="198"/>
      <c r="BC104" s="198"/>
      <c r="BD104" s="198"/>
      <c r="BE104" s="56"/>
      <c r="BF104" s="198"/>
      <c r="BG104" s="198"/>
      <c r="BH104" s="56"/>
      <c r="BI104" s="56"/>
      <c r="BJ104" s="56"/>
      <c r="BS104" s="10"/>
      <c r="BT104" s="197"/>
      <c r="BU104" s="56"/>
      <c r="BV104" s="56"/>
      <c r="BW104" s="56"/>
    </row>
    <row r="105">
      <c r="A105" s="197">
        <v>3.0</v>
      </c>
      <c r="B105" s="34" t="s">
        <v>39</v>
      </c>
      <c r="C105" s="206">
        <v>1.0</v>
      </c>
      <c r="D105" s="200" t="s">
        <v>47</v>
      </c>
      <c r="E105" s="197">
        <v>35.0</v>
      </c>
      <c r="F105" s="120"/>
      <c r="G105" s="56"/>
      <c r="H105" s="197">
        <v>1.0</v>
      </c>
      <c r="I105" s="197">
        <v>0.0</v>
      </c>
      <c r="J105" s="35" t="s">
        <v>2430</v>
      </c>
      <c r="K105" s="120"/>
      <c r="L105" s="120"/>
      <c r="M105" s="69" t="str">
        <f t="shared" ref="M105:M117" si="3">CONCATENATE("[",P105," ",N105," (",O105,")","]")</f>
        <v>[https://citeseerx.ist.psu.edu/viewdoc/download?doi=10.1.1.218.8168&amp;rep=rep1&amp;type=pdf Czumaj (1996)]</v>
      </c>
      <c r="N105" s="34" t="s">
        <v>2484</v>
      </c>
      <c r="O105" s="98">
        <v>1996.0</v>
      </c>
      <c r="P105" s="220" t="s">
        <v>50</v>
      </c>
      <c r="Q105" s="198"/>
      <c r="R105" s="198"/>
      <c r="S105" s="198"/>
      <c r="T105" s="197">
        <v>0.0</v>
      </c>
      <c r="U105" s="197">
        <v>0.0</v>
      </c>
      <c r="V105" s="199">
        <f>IFERROR(__xludf.DUMMYFUNCTION("INDEX(SPLIT(SUBSTITUTE(W105,CHAR(10), """"),"",:""), MATCH(AE105, SPLIT(SUBSTITUTE(W105,CHAR(10), """"),"",:""), 0) + 1)"),2.0)</f>
        <v>2</v>
      </c>
      <c r="W105" s="120" t="s">
        <v>1962</v>
      </c>
      <c r="X105" s="34" t="s">
        <v>2483</v>
      </c>
      <c r="Y105" s="104" t="s">
        <v>5973</v>
      </c>
      <c r="Z105" s="180" t="s">
        <v>50</v>
      </c>
      <c r="AA105" s="104" t="s">
        <v>584</v>
      </c>
      <c r="AB105" s="180" t="s">
        <v>50</v>
      </c>
      <c r="AC105" s="104" t="s">
        <v>6088</v>
      </c>
      <c r="AD105" s="120" t="s">
        <v>2485</v>
      </c>
      <c r="AE105" s="120" t="str">
        <f t="array" ref="AE105">INDEX(Problems!J:J, MATCH(1, (Problems!B:B=B105)*1, 0))</f>
        <v>n</v>
      </c>
      <c r="AF105" s="120"/>
      <c r="AG105" s="120"/>
      <c r="AH105" s="120" t="s">
        <v>2486</v>
      </c>
      <c r="AI105" s="120" t="s">
        <v>2487</v>
      </c>
      <c r="AJ105" s="120">
        <f>IFERROR(__xludf.DUMMYFUNCTION("INDEX(SPLIT(SUBSTITUTE(AK105,CHAR(10), """"),"",:""), MATCH(AE105, SPLIT(SUBSTITUTE(AK105,CHAR(10), """"),"",:""), 0) + 1)"),3.0)</f>
        <v>3</v>
      </c>
      <c r="AK105" s="120" t="s">
        <v>1763</v>
      </c>
      <c r="AL105" s="120" t="s">
        <v>584</v>
      </c>
      <c r="AM105" s="120" t="s">
        <v>2488</v>
      </c>
      <c r="AN105" s="199">
        <v>1.0</v>
      </c>
      <c r="AO105" s="199">
        <v>0.0</v>
      </c>
      <c r="AP105" s="210"/>
      <c r="AQ105" s="98">
        <v>0.0</v>
      </c>
      <c r="AR105" s="105" t="s">
        <v>2489</v>
      </c>
      <c r="AS105" s="98">
        <v>1.0</v>
      </c>
      <c r="AT105" s="199">
        <v>1.1547</v>
      </c>
      <c r="AU105" s="98">
        <v>0.0</v>
      </c>
      <c r="AV105" s="98">
        <v>1.0</v>
      </c>
      <c r="AW105" s="110" t="s">
        <v>2490</v>
      </c>
      <c r="AX105" s="98">
        <v>0.0</v>
      </c>
      <c r="AY105" s="98">
        <v>0.0</v>
      </c>
      <c r="AZ105" s="198"/>
      <c r="BA105" s="56" t="s">
        <v>2005</v>
      </c>
      <c r="BB105" s="198"/>
      <c r="BC105" s="198"/>
      <c r="BD105" s="56"/>
      <c r="BE105" s="56"/>
      <c r="BF105" s="56"/>
      <c r="BG105" s="56"/>
      <c r="BH105" s="56"/>
      <c r="BI105" s="56"/>
      <c r="BJ105" s="56"/>
      <c r="BK105" s="197">
        <v>9.965</v>
      </c>
      <c r="BL105" s="198" t="s">
        <v>1781</v>
      </c>
      <c r="BM105" s="198"/>
      <c r="BN105" s="198"/>
      <c r="BO105" s="198"/>
      <c r="BP105" s="198"/>
      <c r="BQ105" s="198"/>
      <c r="BR105" s="198"/>
      <c r="BS105" s="56"/>
      <c r="BT105" s="197">
        <v>1.0</v>
      </c>
      <c r="BU105" s="198"/>
      <c r="BV105" s="56"/>
      <c r="BW105" s="34" t="s">
        <v>23</v>
      </c>
    </row>
    <row r="106">
      <c r="A106" s="197">
        <v>3.0</v>
      </c>
      <c r="B106" s="34" t="s">
        <v>39</v>
      </c>
      <c r="C106" s="206">
        <v>1.0</v>
      </c>
      <c r="D106" s="200" t="s">
        <v>47</v>
      </c>
      <c r="E106" s="197">
        <v>35.1</v>
      </c>
      <c r="F106" s="120"/>
      <c r="G106" s="56"/>
      <c r="H106" s="197">
        <v>1.0</v>
      </c>
      <c r="I106" s="197">
        <v>0.0</v>
      </c>
      <c r="J106" s="35" t="s">
        <v>6089</v>
      </c>
      <c r="K106" s="120"/>
      <c r="L106" s="120"/>
      <c r="M106" s="69" t="str">
        <f t="shared" si="3"/>
        <v>[https://citeseerx.ist.psu.edu/viewdoc/download?doi=10.1.1.218.8168&amp;rep=rep1&amp;type=pdf Czumaj (1996)]</v>
      </c>
      <c r="N106" s="34" t="s">
        <v>2484</v>
      </c>
      <c r="O106" s="197">
        <v>1996.0</v>
      </c>
      <c r="P106" s="26" t="s">
        <v>50</v>
      </c>
      <c r="Q106" s="198"/>
      <c r="R106" s="198"/>
      <c r="S106" s="198"/>
      <c r="T106" s="197">
        <v>0.0</v>
      </c>
      <c r="U106" s="197">
        <v>0.0</v>
      </c>
      <c r="V106" s="199">
        <f>IFERROR(__xludf.DUMMYFUNCTION("INDEX(SPLIT(SUBSTITUTE(W106,CHAR(10), """"),"",:""), MATCH(AE106, SPLIT(SUBSTITUTE(W106,CHAR(10), """"),"",:""), 0) + 1)"),1.99)</f>
        <v>1.99</v>
      </c>
      <c r="W106" s="120" t="s">
        <v>2491</v>
      </c>
      <c r="X106" s="69" t="s">
        <v>49</v>
      </c>
      <c r="Y106" s="104" t="s">
        <v>6090</v>
      </c>
      <c r="Z106" s="180" t="s">
        <v>50</v>
      </c>
      <c r="AA106" s="104" t="s">
        <v>584</v>
      </c>
      <c r="AB106" s="180" t="s">
        <v>50</v>
      </c>
      <c r="AC106" s="104" t="s">
        <v>6088</v>
      </c>
      <c r="AD106" s="120" t="s">
        <v>2485</v>
      </c>
      <c r="AE106" s="120" t="str">
        <f t="array" ref="AE106">INDEX(Problems!J:J, MATCH(1, (Problems!B:B=B106)*1, 0))</f>
        <v>n</v>
      </c>
      <c r="AF106" s="120"/>
      <c r="AG106" s="120"/>
      <c r="AH106" s="120" t="s">
        <v>2492</v>
      </c>
      <c r="AI106" s="120" t="s">
        <v>2487</v>
      </c>
      <c r="AJ106" s="120">
        <f>IFERROR(__xludf.DUMMYFUNCTION("INDEX(SPLIT(SUBSTITUTE(AK106,CHAR(10), """"),"",:""), MATCH(AE106, SPLIT(SUBSTITUTE(AK106,CHAR(10), """"),"",:""), 0) + 1)"),3.0)</f>
        <v>3</v>
      </c>
      <c r="AK106" s="120" t="s">
        <v>1763</v>
      </c>
      <c r="AL106" s="120" t="s">
        <v>584</v>
      </c>
      <c r="AM106" s="120" t="s">
        <v>2488</v>
      </c>
      <c r="AN106" s="199">
        <v>1.0</v>
      </c>
      <c r="AO106" s="199">
        <v>0.0</v>
      </c>
      <c r="AP106" s="200"/>
      <c r="AQ106" s="197">
        <v>0.0</v>
      </c>
      <c r="AR106" s="199" t="s">
        <v>2489</v>
      </c>
      <c r="AS106" s="197">
        <v>1.0</v>
      </c>
      <c r="AT106" s="199">
        <v>1.1547</v>
      </c>
      <c r="AU106" s="197">
        <v>0.0</v>
      </c>
      <c r="AV106" s="197">
        <v>1.0</v>
      </c>
      <c r="AW106" s="110" t="s">
        <v>2493</v>
      </c>
      <c r="AX106" s="98">
        <v>0.0</v>
      </c>
      <c r="AY106" s="98">
        <v>0.0</v>
      </c>
      <c r="AZ106" s="198"/>
      <c r="BA106" s="198" t="s">
        <v>2005</v>
      </c>
      <c r="BB106" s="198"/>
      <c r="BC106" s="198"/>
      <c r="BD106" s="56"/>
      <c r="BE106" s="56"/>
      <c r="BF106" s="56"/>
      <c r="BG106" s="56"/>
      <c r="BH106" s="56"/>
      <c r="BI106" s="56"/>
      <c r="BJ106" s="56"/>
      <c r="BK106" s="197">
        <v>9.965</v>
      </c>
      <c r="BL106" s="198" t="s">
        <v>1781</v>
      </c>
      <c r="BM106" s="198"/>
      <c r="BN106" s="198"/>
      <c r="BO106" s="198"/>
      <c r="BP106" s="198"/>
      <c r="BQ106" s="198"/>
      <c r="BR106" s="198"/>
      <c r="BS106" s="56"/>
      <c r="BT106" s="197">
        <v>1.0</v>
      </c>
      <c r="BU106" s="198"/>
      <c r="BV106" s="56"/>
      <c r="BW106" s="56" t="s">
        <v>23</v>
      </c>
    </row>
    <row r="107">
      <c r="A107" s="197">
        <v>3.0</v>
      </c>
      <c r="B107" s="34" t="s">
        <v>39</v>
      </c>
      <c r="C107" s="206">
        <v>0.001</v>
      </c>
      <c r="D107" s="200" t="s">
        <v>59</v>
      </c>
      <c r="E107" s="197">
        <v>32.0</v>
      </c>
      <c r="F107" s="120"/>
      <c r="G107" s="56"/>
      <c r="H107" s="197">
        <v>1.0</v>
      </c>
      <c r="I107" s="197">
        <v>1.0</v>
      </c>
      <c r="J107" s="34" t="s">
        <v>115</v>
      </c>
      <c r="K107" s="120"/>
      <c r="L107" s="120"/>
      <c r="M107" s="69" t="str">
        <f t="shared" si="3"/>
        <v>[http://citeseerx.ist.psu.edu/viewdoc/download?doi=10.1.1.56.222&amp;rep=rep1&amp;type=pdf Heejo Lee; Jong Kim; Sungje Hong; and Sunggu Lee (1997)]</v>
      </c>
      <c r="N107" s="34" t="s">
        <v>3629</v>
      </c>
      <c r="O107" s="98">
        <v>1997.0</v>
      </c>
      <c r="P107" s="26" t="s">
        <v>62</v>
      </c>
      <c r="Q107" s="56"/>
      <c r="R107" s="56"/>
      <c r="S107" s="56"/>
      <c r="T107" s="197">
        <v>0.0</v>
      </c>
      <c r="U107" s="197">
        <v>0.0</v>
      </c>
      <c r="V107" s="199">
        <f>IFERROR(__xludf.DUMMYFUNCTION("INDEX(SPLIT(SUBSTITUTE(W107,CHAR(10), """"),"",:""), MATCH(AE107, SPLIT(SUBSTITUTE(W107,CHAR(10), """"),"",:""), 0) + 1)"),5.0)</f>
        <v>5</v>
      </c>
      <c r="W107" s="120" t="s">
        <v>1938</v>
      </c>
      <c r="X107" s="104" t="s">
        <v>6091</v>
      </c>
      <c r="Y107" s="120"/>
      <c r="Z107" s="120"/>
      <c r="AA107" s="120"/>
      <c r="AB107" s="120"/>
      <c r="AC107" s="120"/>
      <c r="AD107" s="120" t="s">
        <v>55</v>
      </c>
      <c r="AE107" s="120" t="str">
        <f t="array" ref="AE107">INDEX(Problems!J:J, MATCH(1, (Problems!B:B=B107)*1, 0))</f>
        <v>n</v>
      </c>
      <c r="AF107" s="120"/>
      <c r="AG107" s="120"/>
      <c r="AH107" s="104" t="s">
        <v>6092</v>
      </c>
      <c r="AI107" s="120" t="s">
        <v>1814</v>
      </c>
      <c r="AJ107" s="120">
        <f>IFERROR(__xludf.DUMMYFUNCTION("INDEX(SPLIT(SUBSTITUTE(AK107,CHAR(10), """"),"",:""), MATCH(AE107, SPLIT(SUBSTITUTE(AK107,CHAR(10), """"),"",:""), 0) + 1)"),5.0)</f>
        <v>5</v>
      </c>
      <c r="AK107" s="120" t="s">
        <v>1938</v>
      </c>
      <c r="AL107" s="120" t="s">
        <v>3630</v>
      </c>
      <c r="AM107" s="120" t="s">
        <v>3631</v>
      </c>
      <c r="AN107" s="199">
        <v>1.0</v>
      </c>
      <c r="AO107" s="199">
        <v>0.0</v>
      </c>
      <c r="AP107" s="210"/>
      <c r="AQ107" s="98">
        <v>0.0</v>
      </c>
      <c r="AR107" s="200"/>
      <c r="AS107" s="223">
        <v>1.0</v>
      </c>
      <c r="AT107" s="120" t="s">
        <v>3632</v>
      </c>
      <c r="AU107" s="197">
        <v>0.0</v>
      </c>
      <c r="AV107" s="111">
        <v>1.0</v>
      </c>
      <c r="AW107" s="104" t="s">
        <v>6093</v>
      </c>
      <c r="AX107" s="98">
        <v>0.0</v>
      </c>
      <c r="AY107" s="98">
        <v>0.0</v>
      </c>
      <c r="AZ107" s="198"/>
      <c r="BA107" s="56" t="s">
        <v>2005</v>
      </c>
      <c r="BB107" s="198"/>
      <c r="BC107" s="198"/>
      <c r="BD107" s="56"/>
      <c r="BE107" s="56"/>
      <c r="BF107" s="56"/>
      <c r="BG107" s="56"/>
      <c r="BH107" s="56"/>
      <c r="BI107" s="56"/>
      <c r="BJ107" s="56"/>
      <c r="BK107" s="197">
        <v>1000000.0</v>
      </c>
      <c r="BL107" s="198" t="s">
        <v>1781</v>
      </c>
      <c r="BM107" s="198"/>
      <c r="BN107" s="198"/>
      <c r="BO107" s="198"/>
      <c r="BP107" s="198"/>
      <c r="BQ107" s="198"/>
      <c r="BR107" s="198"/>
      <c r="BS107" s="56"/>
      <c r="BT107" s="197">
        <v>1.0</v>
      </c>
      <c r="BU107" s="198"/>
      <c r="BV107" s="56"/>
      <c r="BW107" s="56" t="s">
        <v>23</v>
      </c>
    </row>
    <row r="108">
      <c r="A108" s="197">
        <v>3.0</v>
      </c>
      <c r="B108" s="34" t="s">
        <v>39</v>
      </c>
      <c r="C108" s="206">
        <v>1.0</v>
      </c>
      <c r="D108" s="200" t="s">
        <v>47</v>
      </c>
      <c r="E108" s="197">
        <v>33.0</v>
      </c>
      <c r="F108" s="120"/>
      <c r="G108" s="56"/>
      <c r="H108" s="197">
        <v>1.0</v>
      </c>
      <c r="I108" s="197">
        <v>1.0</v>
      </c>
      <c r="J108" s="120" t="s">
        <v>3634</v>
      </c>
      <c r="K108" s="120"/>
      <c r="L108" s="120"/>
      <c r="M108" s="69" t="str">
        <f t="shared" si="3"/>
        <v>[https://epubs.siam.org/doi/abs/10.1137/0225039 Prakesh Ramanan (1996)]</v>
      </c>
      <c r="N108" s="34" t="s">
        <v>3635</v>
      </c>
      <c r="O108" s="98">
        <v>1996.0</v>
      </c>
      <c r="P108" s="26" t="s">
        <v>3636</v>
      </c>
      <c r="Q108" s="198"/>
      <c r="R108" s="198"/>
      <c r="S108" s="198"/>
      <c r="T108" s="197">
        <v>0.0</v>
      </c>
      <c r="U108" s="197">
        <v>0.0</v>
      </c>
      <c r="V108" s="199">
        <f>IFERROR(__xludf.DUMMYFUNCTION("INDEX(SPLIT(SUBSTITUTE(W108,CHAR(10), """"),"",:""), MATCH(AE108, SPLIT(SUBSTITUTE(W108,CHAR(10), """"),"",:""), 0) + 1)"),2.03)</f>
        <v>2.03</v>
      </c>
      <c r="W108" s="120" t="s">
        <v>3637</v>
      </c>
      <c r="X108" s="104" t="s">
        <v>6094</v>
      </c>
      <c r="Y108" s="104" t="s">
        <v>6094</v>
      </c>
      <c r="Z108" s="180" t="s">
        <v>3636</v>
      </c>
      <c r="AA108" s="104" t="s">
        <v>6095</v>
      </c>
      <c r="AB108" s="180" t="s">
        <v>3636</v>
      </c>
      <c r="AC108" s="104" t="s">
        <v>5990</v>
      </c>
      <c r="AD108" s="120" t="s">
        <v>44</v>
      </c>
      <c r="AE108" s="120" t="str">
        <f t="array" ref="AE108">INDEX(Problems!J:J, MATCH(1, (Problems!B:B=B108)*1, 0))</f>
        <v>n</v>
      </c>
      <c r="AF108" s="120"/>
      <c r="AG108" s="120"/>
      <c r="AH108" s="120" t="s">
        <v>2486</v>
      </c>
      <c r="AI108" s="120" t="s">
        <v>1814</v>
      </c>
      <c r="AJ108" s="120">
        <f>IFERROR(__xludf.DUMMYFUNCTION("INDEX(SPLIT(SUBSTITUTE(AK108,CHAR(10), """"),"",:""), MATCH(AE108, SPLIT(SUBSTITUTE(AK108,CHAR(10), """"),"",:""), 0) + 1)"),3.0)</f>
        <v>3</v>
      </c>
      <c r="AK108" s="120" t="s">
        <v>1763</v>
      </c>
      <c r="AL108" s="120" t="s">
        <v>2496</v>
      </c>
      <c r="AM108" s="120" t="s">
        <v>3638</v>
      </c>
      <c r="AN108" s="199">
        <v>1.0</v>
      </c>
      <c r="AO108" s="199">
        <v>0.0</v>
      </c>
      <c r="AP108" s="210"/>
      <c r="AQ108" s="98">
        <v>0.0</v>
      </c>
      <c r="AR108" s="200"/>
      <c r="AS108" s="197">
        <v>0.0</v>
      </c>
      <c r="AT108" s="210"/>
      <c r="AU108" s="197">
        <v>0.0</v>
      </c>
      <c r="AV108" s="197">
        <v>1.0</v>
      </c>
      <c r="AW108" s="110" t="s">
        <v>3639</v>
      </c>
      <c r="AX108" s="98">
        <v>0.0</v>
      </c>
      <c r="AY108" s="98">
        <v>0.0</v>
      </c>
      <c r="AZ108" s="198"/>
      <c r="BA108" s="56" t="s">
        <v>2005</v>
      </c>
      <c r="BB108" s="198"/>
      <c r="BC108" s="198"/>
      <c r="BD108" s="56"/>
      <c r="BE108" s="56"/>
      <c r="BF108" s="56"/>
      <c r="BG108" s="56"/>
      <c r="BH108" s="56"/>
      <c r="BI108" s="56"/>
      <c r="BJ108" s="56"/>
      <c r="BK108" s="197">
        <v>99.0</v>
      </c>
      <c r="BL108" s="198" t="s">
        <v>1781</v>
      </c>
      <c r="BM108" s="198"/>
      <c r="BN108" s="198"/>
      <c r="BO108" s="198"/>
      <c r="BP108" s="198"/>
      <c r="BQ108" s="198"/>
      <c r="BR108" s="198"/>
      <c r="BS108" s="56"/>
      <c r="BT108" s="197">
        <v>1.0</v>
      </c>
      <c r="BU108" s="198"/>
      <c r="BV108" s="56"/>
      <c r="BW108" s="56" t="s">
        <v>23</v>
      </c>
    </row>
    <row r="109">
      <c r="A109" s="197">
        <v>3.0</v>
      </c>
      <c r="B109" s="34" t="s">
        <v>39</v>
      </c>
      <c r="C109" s="206">
        <v>1.0</v>
      </c>
      <c r="D109" s="200" t="s">
        <v>51</v>
      </c>
      <c r="E109" s="197">
        <v>34.0</v>
      </c>
      <c r="F109" s="120"/>
      <c r="G109" s="56"/>
      <c r="H109" s="197">
        <v>1.0</v>
      </c>
      <c r="I109" s="98">
        <v>1.0</v>
      </c>
      <c r="J109" s="69" t="s">
        <v>3640</v>
      </c>
      <c r="K109" s="120"/>
      <c r="L109" s="120"/>
      <c r="M109" s="69" t="str">
        <f t="shared" si="3"/>
        <v>[https://citeseerx.ist.psu.edu/viewdoc/download?doi=10.1.1.54.9426&amp;rep=rep1&amp;type=pdf Czumaj (1993)]</v>
      </c>
      <c r="N109" s="69" t="s">
        <v>2484</v>
      </c>
      <c r="O109" s="98">
        <v>1993.0</v>
      </c>
      <c r="P109" s="183" t="s">
        <v>57</v>
      </c>
      <c r="Q109" s="56"/>
      <c r="R109" s="56"/>
      <c r="S109" s="56"/>
      <c r="T109" s="98">
        <v>0.0</v>
      </c>
      <c r="U109" s="98">
        <v>0.0</v>
      </c>
      <c r="V109" s="199">
        <f>IFERROR(__xludf.DUMMYFUNCTION("INDEX(SPLIT(SUBSTITUTE(W109,CHAR(10), """"),"",:""), MATCH(AE109, SPLIT(SUBSTITUTE(W109,CHAR(10), """"),"",:""), 0) + 1)"),2.02)</f>
        <v>2.02</v>
      </c>
      <c r="W109" s="120" t="s">
        <v>3641</v>
      </c>
      <c r="X109" s="34" t="s">
        <v>3642</v>
      </c>
      <c r="Y109" s="104" t="s">
        <v>6096</v>
      </c>
      <c r="Z109" s="180" t="s">
        <v>57</v>
      </c>
      <c r="AA109" s="104" t="s">
        <v>61</v>
      </c>
      <c r="AB109" s="180" t="s">
        <v>57</v>
      </c>
      <c r="AC109" s="104" t="s">
        <v>6097</v>
      </c>
      <c r="AD109" s="120" t="s">
        <v>44</v>
      </c>
      <c r="AE109" s="120" t="str">
        <f t="array" ref="AE109">INDEX(Problems!J:J, MATCH(1, (Problems!B:B=B109)*1, 0))</f>
        <v>n</v>
      </c>
      <c r="AF109" s="120"/>
      <c r="AG109" s="120"/>
      <c r="AH109" s="120" t="s">
        <v>2486</v>
      </c>
      <c r="AI109" s="120" t="s">
        <v>1814</v>
      </c>
      <c r="AJ109" s="120">
        <f>IFERROR(__xludf.DUMMYFUNCTION("INDEX(SPLIT(SUBSTITUTE(AK109,CHAR(10), """"),"",:""), MATCH(AE109, SPLIT(SUBSTITUTE(AK109,CHAR(10), """"),"",:""), 0) + 1)"),5.0)</f>
        <v>5</v>
      </c>
      <c r="AK109" s="120" t="s">
        <v>1938</v>
      </c>
      <c r="AL109" s="120" t="s">
        <v>3630</v>
      </c>
      <c r="AM109" s="120" t="s">
        <v>3643</v>
      </c>
      <c r="AN109" s="199">
        <v>1.0</v>
      </c>
      <c r="AO109" s="199">
        <v>0.0</v>
      </c>
      <c r="AP109" s="210"/>
      <c r="AQ109" s="98">
        <v>0.0</v>
      </c>
      <c r="AR109" s="210"/>
      <c r="AS109" s="98">
        <v>0.0</v>
      </c>
      <c r="AT109" s="210"/>
      <c r="AU109" s="98">
        <v>0.0</v>
      </c>
      <c r="AV109" s="98">
        <v>1.0</v>
      </c>
      <c r="AW109" s="110" t="s">
        <v>3644</v>
      </c>
      <c r="AX109" s="98">
        <v>0.0</v>
      </c>
      <c r="AY109" s="98">
        <v>0.0</v>
      </c>
      <c r="AZ109" s="198"/>
      <c r="BA109" s="56" t="s">
        <v>2005</v>
      </c>
      <c r="BB109" s="56"/>
      <c r="BC109" s="56"/>
      <c r="BD109" s="56"/>
      <c r="BE109" s="56"/>
      <c r="BF109" s="56"/>
      <c r="BG109" s="56"/>
      <c r="BH109" s="56"/>
      <c r="BI109" s="56"/>
      <c r="BJ109" s="56"/>
      <c r="BK109" s="197">
        <v>989.0</v>
      </c>
      <c r="BL109" s="198" t="s">
        <v>1781</v>
      </c>
      <c r="BM109" s="56"/>
      <c r="BN109" s="56"/>
      <c r="BO109" s="56"/>
      <c r="BP109" s="56"/>
      <c r="BQ109" s="56"/>
      <c r="BR109" s="56"/>
      <c r="BS109" s="56"/>
      <c r="BT109" s="197">
        <v>1.0</v>
      </c>
      <c r="BU109" s="56"/>
      <c r="BV109" s="56"/>
      <c r="BW109" s="56" t="s">
        <v>23</v>
      </c>
    </row>
    <row r="110">
      <c r="A110" s="111">
        <v>4.0</v>
      </c>
      <c r="B110" s="35" t="s">
        <v>6098</v>
      </c>
      <c r="C110" s="206">
        <v>1.0</v>
      </c>
      <c r="D110" s="200" t="s">
        <v>64</v>
      </c>
      <c r="E110" s="56"/>
      <c r="F110" s="200"/>
      <c r="G110" s="56"/>
      <c r="H110" s="197"/>
      <c r="I110" s="98"/>
      <c r="J110" s="69"/>
      <c r="K110" s="200"/>
      <c r="L110" s="200"/>
      <c r="M110" s="69" t="str">
        <f t="shared" si="3"/>
        <v>[https://ieeexplore.ieee.org/document/298210 Lu &amp; Lin (1994)]</v>
      </c>
      <c r="N110" s="35" t="s">
        <v>6099</v>
      </c>
      <c r="O110" s="111">
        <v>1994.0</v>
      </c>
      <c r="P110" s="224" t="s">
        <v>6100</v>
      </c>
      <c r="Q110" s="198"/>
      <c r="R110" s="198"/>
      <c r="S110" s="198"/>
      <c r="T110" s="98"/>
      <c r="U110" s="197"/>
      <c r="V110" s="200"/>
      <c r="W110" s="143"/>
      <c r="X110" s="225" t="s">
        <v>6101</v>
      </c>
      <c r="Y110" s="104" t="s">
        <v>6101</v>
      </c>
      <c r="Z110" s="125" t="s">
        <v>6100</v>
      </c>
      <c r="AA110" s="104" t="s">
        <v>6102</v>
      </c>
      <c r="AB110" s="125" t="s">
        <v>6100</v>
      </c>
      <c r="AC110" s="104" t="s">
        <v>6097</v>
      </c>
      <c r="AD110" s="104" t="s">
        <v>6103</v>
      </c>
      <c r="AE110" s="120"/>
      <c r="AF110" s="120"/>
      <c r="AG110" s="120"/>
      <c r="AH110" s="104" t="s">
        <v>2486</v>
      </c>
      <c r="AI110" s="120"/>
      <c r="AJ110" s="120"/>
      <c r="AK110" s="200"/>
      <c r="AL110" s="120"/>
      <c r="AM110" s="200"/>
      <c r="AN110" s="143"/>
      <c r="AO110" s="143"/>
      <c r="AP110" s="143"/>
      <c r="AQ110" s="111">
        <v>0.0</v>
      </c>
      <c r="AR110" s="200"/>
      <c r="AS110" s="111">
        <v>0.0</v>
      </c>
      <c r="AT110" s="210"/>
      <c r="AU110" s="111">
        <v>0.0</v>
      </c>
      <c r="AV110" s="111">
        <v>1.0</v>
      </c>
      <c r="AW110" s="104" t="s">
        <v>6104</v>
      </c>
      <c r="AX110" s="111">
        <v>0.0</v>
      </c>
      <c r="AY110" s="111">
        <v>0.0</v>
      </c>
      <c r="AZ110" s="69"/>
      <c r="BA110" s="14" t="s">
        <v>65</v>
      </c>
      <c r="BB110" s="198"/>
      <c r="BC110" s="198"/>
      <c r="BD110" s="198"/>
      <c r="BE110" s="56"/>
      <c r="BF110" s="198"/>
      <c r="BG110" s="198"/>
      <c r="BH110" s="56"/>
      <c r="BI110" s="56"/>
      <c r="BJ110" s="56"/>
      <c r="BS110" s="10"/>
      <c r="BT110" s="197"/>
      <c r="BU110" s="56"/>
      <c r="BV110" s="56"/>
      <c r="BW110" s="56"/>
    </row>
    <row r="111">
      <c r="A111" s="111">
        <v>4.0</v>
      </c>
      <c r="B111" s="35" t="s">
        <v>6098</v>
      </c>
      <c r="C111" s="206">
        <v>1.0</v>
      </c>
      <c r="D111" s="200" t="s">
        <v>64</v>
      </c>
      <c r="E111" s="56"/>
      <c r="F111" s="200"/>
      <c r="G111" s="56"/>
      <c r="H111" s="197"/>
      <c r="I111" s="98"/>
      <c r="J111" s="69"/>
      <c r="K111" s="200"/>
      <c r="L111" s="200"/>
      <c r="M111" s="69" t="str">
        <f t="shared" si="3"/>
        <v>[https://ieeexplore.ieee.org/document/298210 Lu &amp; Lin (1994)]</v>
      </c>
      <c r="N111" s="35" t="s">
        <v>6099</v>
      </c>
      <c r="O111" s="111">
        <v>1994.0</v>
      </c>
      <c r="P111" s="226" t="s">
        <v>6100</v>
      </c>
      <c r="Q111" s="198"/>
      <c r="R111" s="198"/>
      <c r="S111" s="198"/>
      <c r="T111" s="98"/>
      <c r="U111" s="197"/>
      <c r="V111" s="200"/>
      <c r="W111" s="143"/>
      <c r="X111" s="225" t="s">
        <v>6105</v>
      </c>
      <c r="Y111" s="165" t="s">
        <v>6106</v>
      </c>
      <c r="Z111" s="125" t="s">
        <v>6100</v>
      </c>
      <c r="AA111" s="104" t="s">
        <v>399</v>
      </c>
      <c r="AB111" s="125" t="s">
        <v>6100</v>
      </c>
      <c r="AC111" s="104" t="s">
        <v>6097</v>
      </c>
      <c r="AD111" s="104" t="s">
        <v>6103</v>
      </c>
      <c r="AE111" s="120"/>
      <c r="AF111" s="120"/>
      <c r="AG111" s="120"/>
      <c r="AH111" s="104" t="s">
        <v>2486</v>
      </c>
      <c r="AI111" s="120"/>
      <c r="AJ111" s="120"/>
      <c r="AK111" s="200"/>
      <c r="AL111" s="120"/>
      <c r="AM111" s="200"/>
      <c r="AN111" s="143"/>
      <c r="AO111" s="143"/>
      <c r="AP111" s="143"/>
      <c r="AQ111" s="111">
        <v>0.0</v>
      </c>
      <c r="AR111" s="200"/>
      <c r="AS111" s="111">
        <v>0.0</v>
      </c>
      <c r="AT111" s="210"/>
      <c r="AU111" s="111">
        <v>0.0</v>
      </c>
      <c r="AV111" s="111">
        <v>1.0</v>
      </c>
      <c r="AW111" s="104" t="s">
        <v>6107</v>
      </c>
      <c r="AX111" s="111">
        <v>0.0</v>
      </c>
      <c r="AY111" s="111">
        <v>0.0</v>
      </c>
      <c r="AZ111" s="69"/>
      <c r="BA111" s="14" t="s">
        <v>65</v>
      </c>
      <c r="BB111" s="198"/>
      <c r="BC111" s="198"/>
      <c r="BD111" s="198"/>
      <c r="BE111" s="56"/>
      <c r="BF111" s="198"/>
      <c r="BG111" s="198"/>
      <c r="BH111" s="56"/>
      <c r="BI111" s="56"/>
      <c r="BJ111" s="56"/>
      <c r="BS111" s="10"/>
      <c r="BT111" s="197"/>
      <c r="BU111" s="56"/>
      <c r="BV111" s="56"/>
      <c r="BW111" s="56"/>
    </row>
    <row r="112">
      <c r="A112" s="111">
        <v>4.0</v>
      </c>
      <c r="B112" s="35" t="s">
        <v>6098</v>
      </c>
      <c r="C112" s="206">
        <v>1.0</v>
      </c>
      <c r="D112" s="200" t="s">
        <v>64</v>
      </c>
      <c r="E112" s="56"/>
      <c r="F112" s="200"/>
      <c r="G112" s="56"/>
      <c r="H112" s="197"/>
      <c r="I112" s="98"/>
      <c r="J112" s="69"/>
      <c r="K112" s="200"/>
      <c r="L112" s="200"/>
      <c r="M112" s="69" t="str">
        <f t="shared" si="3"/>
        <v>[https://ieeexplore.ieee.org/document/21966 Aggarwal &amp; Park (1988)]</v>
      </c>
      <c r="N112" s="35" t="s">
        <v>6108</v>
      </c>
      <c r="O112" s="111">
        <v>1988.0</v>
      </c>
      <c r="P112" s="30" t="s">
        <v>6109</v>
      </c>
      <c r="Q112" s="198"/>
      <c r="R112" s="198"/>
      <c r="S112" s="198"/>
      <c r="T112" s="98"/>
      <c r="U112" s="197"/>
      <c r="V112" s="200"/>
      <c r="W112" s="143"/>
      <c r="X112" s="225" t="s">
        <v>6110</v>
      </c>
      <c r="Y112" s="104" t="s">
        <v>6110</v>
      </c>
      <c r="Z112" s="125" t="s">
        <v>6109</v>
      </c>
      <c r="AA112" s="104" t="s">
        <v>6111</v>
      </c>
      <c r="AB112" s="125" t="s">
        <v>6109</v>
      </c>
      <c r="AC112" s="104" t="s">
        <v>6097</v>
      </c>
      <c r="AD112" s="104" t="s">
        <v>6103</v>
      </c>
      <c r="AE112" s="120"/>
      <c r="AF112" s="120"/>
      <c r="AG112" s="120"/>
      <c r="AH112" s="104" t="s">
        <v>2486</v>
      </c>
      <c r="AI112" s="120"/>
      <c r="AJ112" s="120"/>
      <c r="AK112" s="200"/>
      <c r="AL112" s="120"/>
      <c r="AM112" s="200"/>
      <c r="AN112" s="143"/>
      <c r="AO112" s="143"/>
      <c r="AP112" s="143"/>
      <c r="AQ112" s="111">
        <v>0.0</v>
      </c>
      <c r="AR112" s="200"/>
      <c r="AS112" s="111">
        <v>0.0</v>
      </c>
      <c r="AT112" s="210"/>
      <c r="AU112" s="111">
        <v>0.0</v>
      </c>
      <c r="AV112" s="111">
        <v>1.0</v>
      </c>
      <c r="AW112" s="104" t="s">
        <v>6104</v>
      </c>
      <c r="AX112" s="111">
        <v>0.0</v>
      </c>
      <c r="AY112" s="111">
        <v>0.0</v>
      </c>
      <c r="AZ112" s="69"/>
      <c r="BA112" s="14" t="s">
        <v>65</v>
      </c>
      <c r="BB112" s="198"/>
      <c r="BC112" s="198"/>
      <c r="BD112" s="198"/>
      <c r="BE112" s="56"/>
      <c r="BF112" s="198"/>
      <c r="BG112" s="198"/>
      <c r="BH112" s="56"/>
      <c r="BI112" s="56"/>
      <c r="BJ112" s="56"/>
      <c r="BS112" s="10"/>
      <c r="BT112" s="197"/>
      <c r="BU112" s="56"/>
      <c r="BV112" s="56"/>
      <c r="BW112" s="56"/>
    </row>
    <row r="113">
      <c r="A113" s="111">
        <v>4.0</v>
      </c>
      <c r="B113" s="35" t="s">
        <v>6098</v>
      </c>
      <c r="C113" s="206">
        <v>1.0</v>
      </c>
      <c r="D113" s="200" t="s">
        <v>64</v>
      </c>
      <c r="E113" s="56"/>
      <c r="F113" s="200"/>
      <c r="G113" s="56"/>
      <c r="H113" s="197"/>
      <c r="I113" s="98"/>
      <c r="J113" s="69"/>
      <c r="K113" s="200"/>
      <c r="L113" s="200"/>
      <c r="M113" s="69" t="str">
        <f t="shared" si="3"/>
        <v>[https://www.proquest.com/openview/efa7264fa824ce7768c53ccdcc6d1458/1?pq-origsite=gscholar&amp;cbl=666313 Apostolico (1990)]</v>
      </c>
      <c r="N113" s="35" t="s">
        <v>6112</v>
      </c>
      <c r="O113" s="111">
        <v>1990.0</v>
      </c>
      <c r="P113" s="30" t="s">
        <v>6113</v>
      </c>
      <c r="Q113" s="198"/>
      <c r="R113" s="198"/>
      <c r="S113" s="198"/>
      <c r="T113" s="98"/>
      <c r="U113" s="197"/>
      <c r="V113" s="200"/>
      <c r="W113" s="143"/>
      <c r="X113" s="225" t="s">
        <v>6110</v>
      </c>
      <c r="Y113" s="104" t="s">
        <v>6110</v>
      </c>
      <c r="Z113" s="125" t="s">
        <v>6113</v>
      </c>
      <c r="AA113" s="104" t="s">
        <v>6111</v>
      </c>
      <c r="AB113" s="125" t="s">
        <v>6113</v>
      </c>
      <c r="AC113" s="104" t="s">
        <v>6097</v>
      </c>
      <c r="AD113" s="104" t="s">
        <v>6103</v>
      </c>
      <c r="AE113" s="120"/>
      <c r="AF113" s="120"/>
      <c r="AG113" s="120"/>
      <c r="AH113" s="104" t="s">
        <v>2486</v>
      </c>
      <c r="AI113" s="120"/>
      <c r="AJ113" s="120"/>
      <c r="AK113" s="200"/>
      <c r="AL113" s="120"/>
      <c r="AM113" s="200"/>
      <c r="AN113" s="143"/>
      <c r="AO113" s="143"/>
      <c r="AP113" s="143"/>
      <c r="AQ113" s="111">
        <v>0.0</v>
      </c>
      <c r="AR113" s="200"/>
      <c r="AS113" s="111">
        <v>0.0</v>
      </c>
      <c r="AT113" s="210"/>
      <c r="AU113" s="111">
        <v>0.0</v>
      </c>
      <c r="AV113" s="111">
        <v>1.0</v>
      </c>
      <c r="AW113" s="104" t="s">
        <v>6104</v>
      </c>
      <c r="AX113" s="111">
        <v>0.0</v>
      </c>
      <c r="AY113" s="111">
        <v>0.0</v>
      </c>
      <c r="AZ113" s="69"/>
      <c r="BA113" s="14" t="s">
        <v>65</v>
      </c>
      <c r="BB113" s="198"/>
      <c r="BC113" s="198"/>
      <c r="BD113" s="198"/>
      <c r="BE113" s="56"/>
      <c r="BF113" s="198"/>
      <c r="BG113" s="198"/>
      <c r="BH113" s="56"/>
      <c r="BI113" s="56"/>
      <c r="BJ113" s="56"/>
      <c r="BS113" s="10"/>
      <c r="BT113" s="197"/>
      <c r="BU113" s="56"/>
      <c r="BV113" s="56"/>
      <c r="BW113" s="56"/>
    </row>
    <row r="114">
      <c r="A114" s="111">
        <v>4.0</v>
      </c>
      <c r="B114" s="35" t="s">
        <v>6098</v>
      </c>
      <c r="C114" s="206">
        <v>1.0</v>
      </c>
      <c r="D114" s="200" t="s">
        <v>64</v>
      </c>
      <c r="E114" s="56"/>
      <c r="F114" s="200"/>
      <c r="G114" s="56"/>
      <c r="H114" s="197"/>
      <c r="I114" s="98"/>
      <c r="J114" s="69"/>
      <c r="K114" s="200"/>
      <c r="L114" s="200"/>
      <c r="M114" s="69" t="str">
        <f t="shared" si="3"/>
        <v>[https://kilthub.cmu.edu/articles/journal_contribution/A_fast_parallel_algorithm_to_determine_edit_distance/6587387/1 Mathies (1988)]</v>
      </c>
      <c r="N114" s="35" t="s">
        <v>6114</v>
      </c>
      <c r="O114" s="111">
        <v>1988.0</v>
      </c>
      <c r="P114" s="30" t="s">
        <v>6115</v>
      </c>
      <c r="Q114" s="198"/>
      <c r="R114" s="198"/>
      <c r="S114" s="198"/>
      <c r="T114" s="98"/>
      <c r="U114" s="197"/>
      <c r="V114" s="200"/>
      <c r="W114" s="143"/>
      <c r="X114" s="225" t="s">
        <v>6110</v>
      </c>
      <c r="Y114" s="104" t="s">
        <v>6110</v>
      </c>
      <c r="Z114" s="125" t="s">
        <v>6115</v>
      </c>
      <c r="AA114" s="104" t="s">
        <v>6116</v>
      </c>
      <c r="AB114" s="125" t="s">
        <v>6115</v>
      </c>
      <c r="AC114" s="104" t="s">
        <v>6097</v>
      </c>
      <c r="AD114" s="104" t="s">
        <v>6103</v>
      </c>
      <c r="AE114" s="120"/>
      <c r="AF114" s="120"/>
      <c r="AG114" s="120"/>
      <c r="AH114" s="104" t="s">
        <v>4915</v>
      </c>
      <c r="AI114" s="120"/>
      <c r="AJ114" s="120"/>
      <c r="AK114" s="200"/>
      <c r="AL114" s="120"/>
      <c r="AM114" s="200"/>
      <c r="AN114" s="143"/>
      <c r="AO114" s="143"/>
      <c r="AP114" s="143"/>
      <c r="AQ114" s="111">
        <v>0.0</v>
      </c>
      <c r="AR114" s="200"/>
      <c r="AS114" s="111">
        <v>0.0</v>
      </c>
      <c r="AT114" s="210"/>
      <c r="AU114" s="111">
        <v>0.0</v>
      </c>
      <c r="AV114" s="111">
        <v>1.0</v>
      </c>
      <c r="AW114" s="104" t="s">
        <v>399</v>
      </c>
      <c r="AX114" s="111">
        <v>0.0</v>
      </c>
      <c r="AY114" s="111">
        <v>0.0</v>
      </c>
      <c r="AZ114" s="69"/>
      <c r="BA114" s="14" t="s">
        <v>65</v>
      </c>
      <c r="BB114" s="198"/>
      <c r="BC114" s="198"/>
      <c r="BD114" s="198"/>
      <c r="BE114" s="56"/>
      <c r="BF114" s="198"/>
      <c r="BG114" s="198"/>
      <c r="BH114" s="56"/>
      <c r="BI114" s="56"/>
      <c r="BJ114" s="56"/>
      <c r="BS114" s="10"/>
      <c r="BT114" s="197"/>
      <c r="BU114" s="56"/>
      <c r="BV114" s="56"/>
      <c r="BW114" s="56"/>
    </row>
    <row r="115">
      <c r="A115" s="197">
        <v>5.0</v>
      </c>
      <c r="B115" s="34" t="s">
        <v>76</v>
      </c>
      <c r="C115" s="206">
        <v>1.0</v>
      </c>
      <c r="D115" s="200"/>
      <c r="E115" s="56"/>
      <c r="F115" s="200"/>
      <c r="G115" s="56"/>
      <c r="H115" s="197">
        <v>1.0</v>
      </c>
      <c r="I115" s="98">
        <v>1.0</v>
      </c>
      <c r="J115" s="69" t="s">
        <v>6117</v>
      </c>
      <c r="K115" s="200" t="s">
        <v>6118</v>
      </c>
      <c r="L115" s="200"/>
      <c r="M115" s="69" t="str">
        <f t="shared" si="3"/>
        <v>[http://users.umiacs.umd.edu/~vishkin/TEACHING/4CLASS/SV82-maxflow.pdf Shiloach (1981)]</v>
      </c>
      <c r="N115" s="69" t="s">
        <v>6119</v>
      </c>
      <c r="O115" s="98">
        <v>1981.0</v>
      </c>
      <c r="P115" s="26" t="s">
        <v>6120</v>
      </c>
      <c r="Q115" s="198"/>
      <c r="R115" s="198"/>
      <c r="S115" s="198"/>
      <c r="T115" s="98"/>
      <c r="U115" s="197">
        <v>0.0</v>
      </c>
      <c r="V115" s="200"/>
      <c r="W115" s="143"/>
      <c r="X115" s="227" t="s">
        <v>6117</v>
      </c>
      <c r="Y115" s="61" t="s">
        <v>6121</v>
      </c>
      <c r="Z115" s="219" t="s">
        <v>6120</v>
      </c>
      <c r="AA115" s="104" t="s">
        <v>6122</v>
      </c>
      <c r="AB115" s="219" t="s">
        <v>6120</v>
      </c>
      <c r="AC115" s="104" t="s">
        <v>6123</v>
      </c>
      <c r="AD115" s="104" t="s">
        <v>6124</v>
      </c>
      <c r="AE115" s="120"/>
      <c r="AF115" s="120"/>
      <c r="AG115" s="120"/>
      <c r="AH115" s="120" t="s">
        <v>6125</v>
      </c>
      <c r="AI115" s="120" t="s">
        <v>1814</v>
      </c>
      <c r="AJ115" s="120" t="s">
        <v>92</v>
      </c>
      <c r="AK115" s="200" t="s">
        <v>2185</v>
      </c>
      <c r="AL115" s="120" t="s">
        <v>2735</v>
      </c>
      <c r="AM115" s="200"/>
      <c r="AN115" s="143"/>
      <c r="AO115" s="143"/>
      <c r="AP115" s="143"/>
      <c r="AQ115" s="197">
        <v>0.0</v>
      </c>
      <c r="AR115" s="200"/>
      <c r="AS115" s="197">
        <v>0.0</v>
      </c>
      <c r="AT115" s="210"/>
      <c r="AU115" s="98">
        <v>0.0</v>
      </c>
      <c r="AV115" s="98">
        <v>1.0</v>
      </c>
      <c r="AW115" s="110" t="s">
        <v>3737</v>
      </c>
      <c r="AX115" s="98">
        <v>0.0</v>
      </c>
      <c r="AY115" s="98">
        <v>0.0</v>
      </c>
      <c r="AZ115" s="69"/>
      <c r="BA115" s="69" t="s">
        <v>2024</v>
      </c>
      <c r="BB115" s="198"/>
      <c r="BC115" s="198"/>
      <c r="BD115" s="198"/>
      <c r="BE115" s="56"/>
      <c r="BF115" s="198"/>
      <c r="BG115" s="198"/>
      <c r="BH115" s="56"/>
      <c r="BI115" s="56"/>
      <c r="BJ115" s="56"/>
      <c r="BS115" s="10"/>
      <c r="BT115" s="197">
        <v>2.0</v>
      </c>
      <c r="BU115" s="56"/>
      <c r="BV115" s="56"/>
      <c r="BW115" s="56" t="s">
        <v>23</v>
      </c>
    </row>
    <row r="116">
      <c r="A116" s="197">
        <v>5.0</v>
      </c>
      <c r="B116" s="34" t="s">
        <v>76</v>
      </c>
      <c r="C116" s="206">
        <v>1.0</v>
      </c>
      <c r="D116" s="200" t="s">
        <v>84</v>
      </c>
      <c r="E116" s="56"/>
      <c r="F116" s="200"/>
      <c r="G116" s="56"/>
      <c r="H116" s="197">
        <v>1.0</v>
      </c>
      <c r="I116" s="98">
        <v>1.0</v>
      </c>
      <c r="J116" s="69" t="s">
        <v>6126</v>
      </c>
      <c r="K116" s="200" t="s">
        <v>6118</v>
      </c>
      <c r="L116" s="200"/>
      <c r="M116" s="69" t="str">
        <f t="shared" si="3"/>
        <v>[https://dl.acm.org/citation.cfm?id=290181 Goldberg &amp; Rao (Parallel) (1997)]</v>
      </c>
      <c r="N116" s="69" t="s">
        <v>6127</v>
      </c>
      <c r="O116" s="98">
        <v>1997.0</v>
      </c>
      <c r="P116" s="217" t="s">
        <v>2817</v>
      </c>
      <c r="Q116" s="56"/>
      <c r="R116" s="56"/>
      <c r="S116" s="198"/>
      <c r="T116" s="98"/>
      <c r="U116" s="98">
        <v>0.0</v>
      </c>
      <c r="V116" s="199">
        <v>4.66</v>
      </c>
      <c r="W116" s="143"/>
      <c r="X116" s="34" t="s">
        <v>6126</v>
      </c>
      <c r="Y116" s="104" t="s">
        <v>6128</v>
      </c>
      <c r="Z116" s="208" t="s">
        <v>2817</v>
      </c>
      <c r="AA116" s="104" t="s">
        <v>6129</v>
      </c>
      <c r="AB116" s="104" t="s">
        <v>6130</v>
      </c>
      <c r="AC116" s="104"/>
      <c r="AD116" s="110" t="s">
        <v>2031</v>
      </c>
      <c r="AE116" s="120"/>
      <c r="AF116" s="120"/>
      <c r="AG116" s="120"/>
      <c r="AH116" s="120" t="s">
        <v>5906</v>
      </c>
      <c r="AI116" s="120" t="s">
        <v>1814</v>
      </c>
      <c r="AJ116" s="120" t="s">
        <v>251</v>
      </c>
      <c r="AK116" s="228" t="s">
        <v>3038</v>
      </c>
      <c r="AL116" s="219" t="s">
        <v>2817</v>
      </c>
      <c r="AM116" s="200"/>
      <c r="AN116" s="143"/>
      <c r="AO116" s="143"/>
      <c r="AP116" s="143"/>
      <c r="AQ116" s="229">
        <v>0.0</v>
      </c>
      <c r="AR116" s="200"/>
      <c r="AS116" s="197">
        <v>0.0</v>
      </c>
      <c r="AT116" s="210"/>
      <c r="AU116" s="98">
        <v>0.0</v>
      </c>
      <c r="AV116" s="98">
        <v>1.0</v>
      </c>
      <c r="AW116" s="110" t="s">
        <v>268</v>
      </c>
      <c r="AX116" s="98">
        <v>0.0</v>
      </c>
      <c r="AY116" s="98">
        <v>0.0</v>
      </c>
      <c r="AZ116" s="69"/>
      <c r="BA116" s="69" t="s">
        <v>2024</v>
      </c>
      <c r="BB116" s="198"/>
      <c r="BC116" s="198"/>
      <c r="BD116" s="198"/>
      <c r="BE116" s="56"/>
      <c r="BF116" s="198"/>
      <c r="BG116" s="198"/>
      <c r="BH116" s="56"/>
      <c r="BI116" s="56"/>
      <c r="BJ116" s="56"/>
      <c r="BO116" s="10"/>
      <c r="BR116" s="10"/>
      <c r="BS116" s="10"/>
      <c r="BT116" s="197">
        <v>2.0</v>
      </c>
      <c r="BU116" s="56"/>
      <c r="BV116" s="56"/>
      <c r="BW116" s="56" t="s">
        <v>23</v>
      </c>
    </row>
    <row r="117">
      <c r="A117" s="197">
        <v>5.0</v>
      </c>
      <c r="B117" s="195" t="s">
        <v>76</v>
      </c>
      <c r="C117" s="206">
        <v>1.0</v>
      </c>
      <c r="D117" s="200" t="s">
        <v>84</v>
      </c>
      <c r="E117" s="56"/>
      <c r="F117" s="200"/>
      <c r="G117" s="56"/>
      <c r="H117" s="197">
        <v>1.0</v>
      </c>
      <c r="I117" s="98">
        <v>1.0</v>
      </c>
      <c r="J117" s="34" t="s">
        <v>6131</v>
      </c>
      <c r="K117" s="200" t="s">
        <v>6118</v>
      </c>
      <c r="L117" s="200"/>
      <c r="M117" s="69" t="str">
        <f t="shared" si="3"/>
        <v>[https://dl.acm.org/citation.cfm?id=290181 Goldberg &amp; Rao (Parallel) (1997)]</v>
      </c>
      <c r="N117" s="34" t="s">
        <v>6127</v>
      </c>
      <c r="O117" s="98">
        <v>1997.0</v>
      </c>
      <c r="P117" s="26" t="s">
        <v>2817</v>
      </c>
      <c r="Q117" s="198"/>
      <c r="R117" s="198"/>
      <c r="S117" s="198"/>
      <c r="T117" s="98"/>
      <c r="U117" s="98">
        <v>0.0</v>
      </c>
      <c r="V117" s="199">
        <v>5.0</v>
      </c>
      <c r="W117" s="143"/>
      <c r="X117" s="34" t="s">
        <v>6131</v>
      </c>
      <c r="Y117" s="104" t="s">
        <v>6132</v>
      </c>
      <c r="Z117" s="219" t="s">
        <v>2817</v>
      </c>
      <c r="AA117" s="104" t="s">
        <v>6133</v>
      </c>
      <c r="AB117" s="104" t="s">
        <v>6130</v>
      </c>
      <c r="AC117" s="104"/>
      <c r="AD117" s="120" t="s">
        <v>2031</v>
      </c>
      <c r="AE117" s="120"/>
      <c r="AF117" s="120"/>
      <c r="AG117" s="120"/>
      <c r="AH117" s="120" t="s">
        <v>5906</v>
      </c>
      <c r="AI117" s="120" t="s">
        <v>1814</v>
      </c>
      <c r="AJ117" s="120" t="s">
        <v>251</v>
      </c>
      <c r="AK117" s="228" t="s">
        <v>3038</v>
      </c>
      <c r="AL117" s="219" t="s">
        <v>2817</v>
      </c>
      <c r="AM117" s="200"/>
      <c r="AN117" s="143"/>
      <c r="AO117" s="143"/>
      <c r="AP117" s="143"/>
      <c r="AQ117" s="229">
        <v>0.0</v>
      </c>
      <c r="AR117" s="200"/>
      <c r="AS117" s="197">
        <v>0.0</v>
      </c>
      <c r="AT117" s="210"/>
      <c r="AU117" s="98">
        <v>0.0</v>
      </c>
      <c r="AV117" s="98">
        <v>1.0</v>
      </c>
      <c r="AW117" s="110" t="s">
        <v>268</v>
      </c>
      <c r="AX117" s="98">
        <v>0.0</v>
      </c>
      <c r="AY117" s="98">
        <v>0.0</v>
      </c>
      <c r="AZ117" s="69"/>
      <c r="BA117" s="69" t="s">
        <v>2024</v>
      </c>
      <c r="BB117" s="198"/>
      <c r="BC117" s="198"/>
      <c r="BD117" s="198"/>
      <c r="BE117" s="56"/>
      <c r="BF117" s="198"/>
      <c r="BG117" s="198"/>
      <c r="BH117" s="56"/>
      <c r="BI117" s="56"/>
      <c r="BJ117" s="56"/>
      <c r="BT117" s="197">
        <v>2.0</v>
      </c>
      <c r="BU117" s="56"/>
      <c r="BV117" s="56"/>
      <c r="BW117" s="56" t="s">
        <v>23</v>
      </c>
    </row>
    <row r="118">
      <c r="A118" s="10"/>
      <c r="B118" s="9" t="s">
        <v>109</v>
      </c>
      <c r="C118" s="9">
        <v>0.0</v>
      </c>
      <c r="D118" s="10"/>
      <c r="E118" s="10"/>
      <c r="F118" s="69"/>
      <c r="G118" s="10"/>
      <c r="H118" s="10"/>
      <c r="J118" s="10"/>
      <c r="K118" s="10"/>
      <c r="L118" s="10"/>
      <c r="N118" s="35" t="s">
        <v>6134</v>
      </c>
      <c r="O118" s="98">
        <v>1981.0</v>
      </c>
      <c r="P118" s="183" t="s">
        <v>6135</v>
      </c>
      <c r="V118" s="10"/>
      <c r="W118" s="10"/>
      <c r="X118" s="34"/>
      <c r="Y118" s="10"/>
      <c r="Z118" s="10"/>
      <c r="AA118" s="10"/>
      <c r="AB118" s="10"/>
      <c r="AC118" s="10"/>
      <c r="AD118" s="10"/>
      <c r="AE118" s="10"/>
      <c r="AF118" s="10"/>
      <c r="AG118" s="10"/>
      <c r="AH118" s="9" t="s">
        <v>6136</v>
      </c>
      <c r="AI118" s="10"/>
      <c r="AJ118" s="10"/>
      <c r="AK118" s="10"/>
      <c r="AL118" s="10"/>
      <c r="AM118" s="10"/>
      <c r="AN118" s="10"/>
      <c r="AO118" s="10"/>
      <c r="AV118" s="98">
        <v>1.0</v>
      </c>
      <c r="AZ118" s="177" t="s">
        <v>6137</v>
      </c>
      <c r="BA118" s="10"/>
      <c r="BD118" s="10"/>
      <c r="BE118" s="10"/>
      <c r="BF118" s="10"/>
      <c r="BG118" s="10"/>
      <c r="BH118" s="10"/>
      <c r="BI118" s="10"/>
      <c r="BJ118" s="10"/>
      <c r="BK118" s="10"/>
      <c r="BS118" s="10"/>
      <c r="BT118" s="10"/>
      <c r="BV118" s="10"/>
      <c r="BW118" s="10"/>
    </row>
    <row r="119">
      <c r="A119" s="10"/>
      <c r="B119" s="9" t="s">
        <v>109</v>
      </c>
      <c r="C119" s="9">
        <v>0.0</v>
      </c>
      <c r="D119" s="10"/>
      <c r="E119" s="10"/>
      <c r="F119" s="35" t="s">
        <v>6138</v>
      </c>
      <c r="G119" s="10"/>
      <c r="H119" s="10"/>
      <c r="J119" s="10"/>
      <c r="K119" s="10"/>
      <c r="L119" s="10"/>
      <c r="N119" s="35" t="s">
        <v>2494</v>
      </c>
      <c r="O119" s="111">
        <v>1976.0</v>
      </c>
      <c r="P119" s="30" t="s">
        <v>6139</v>
      </c>
      <c r="V119" s="10"/>
      <c r="W119" s="10"/>
      <c r="X119" s="9" t="s">
        <v>6140</v>
      </c>
      <c r="Y119" s="10"/>
      <c r="Z119" s="10"/>
      <c r="AA119" s="10"/>
      <c r="AB119" s="10"/>
      <c r="AC119" s="10"/>
      <c r="AD119" s="10"/>
      <c r="AE119" s="10"/>
      <c r="AF119" s="10"/>
      <c r="AG119" s="10"/>
      <c r="AH119" s="9"/>
      <c r="AI119" s="10"/>
      <c r="AJ119" s="10"/>
      <c r="AK119" s="10"/>
      <c r="AL119" s="10"/>
      <c r="AM119" s="10"/>
      <c r="AN119" s="10"/>
      <c r="AO119" s="10"/>
      <c r="AV119" s="98"/>
      <c r="AZ119" s="211"/>
      <c r="BA119" s="10"/>
      <c r="BD119" s="10"/>
      <c r="BE119" s="10"/>
      <c r="BF119" s="10"/>
      <c r="BG119" s="10"/>
      <c r="BH119" s="10"/>
      <c r="BI119" s="10"/>
      <c r="BJ119" s="10"/>
      <c r="BK119" s="10"/>
      <c r="BS119" s="10"/>
      <c r="BT119" s="10"/>
      <c r="BV119" s="10"/>
      <c r="BW119" s="10"/>
    </row>
    <row r="120">
      <c r="A120" s="10"/>
      <c r="B120" s="9" t="s">
        <v>109</v>
      </c>
      <c r="C120" s="9">
        <v>0.0</v>
      </c>
      <c r="D120" s="6"/>
      <c r="E120" s="36"/>
      <c r="F120" s="36"/>
      <c r="G120" s="36"/>
      <c r="H120" s="36"/>
      <c r="I120" s="13"/>
      <c r="J120" s="6"/>
      <c r="K120" s="6"/>
      <c r="L120" s="36"/>
      <c r="M120" s="13"/>
      <c r="N120" s="6" t="s">
        <v>6141</v>
      </c>
      <c r="O120" s="6">
        <v>1984.0</v>
      </c>
      <c r="P120" s="18" t="s">
        <v>6142</v>
      </c>
      <c r="Q120" s="36"/>
      <c r="R120" s="36"/>
      <c r="S120" s="36"/>
      <c r="T120" s="13"/>
      <c r="U120" s="13"/>
      <c r="V120" s="36"/>
      <c r="W120" s="36"/>
      <c r="X120" s="6"/>
      <c r="Y120" s="6"/>
      <c r="Z120" s="36"/>
      <c r="AA120" s="6"/>
      <c r="AB120" s="36"/>
      <c r="AC120" s="36"/>
      <c r="AD120" s="9"/>
      <c r="AE120" s="36"/>
      <c r="AF120" s="36"/>
      <c r="AG120" s="36"/>
      <c r="AH120" s="6"/>
      <c r="AI120" s="36"/>
      <c r="AJ120" s="36"/>
      <c r="AK120" s="36"/>
      <c r="AL120" s="36"/>
      <c r="AM120" s="36"/>
      <c r="AN120" s="36"/>
      <c r="AO120" s="36"/>
      <c r="AP120" s="13"/>
      <c r="AQ120" s="13"/>
      <c r="AR120" s="13"/>
      <c r="AS120" s="13"/>
      <c r="AT120" s="13"/>
      <c r="AU120" s="13"/>
      <c r="AV120" s="6"/>
      <c r="AW120" s="41"/>
      <c r="AX120" s="13"/>
      <c r="AY120" s="13"/>
      <c r="AZ120" s="13"/>
      <c r="BA120" s="36"/>
      <c r="BD120" s="10"/>
      <c r="BE120" s="10"/>
      <c r="BF120" s="10"/>
      <c r="BG120" s="10"/>
      <c r="BH120" s="10"/>
      <c r="BI120" s="10"/>
      <c r="BJ120" s="10"/>
      <c r="BK120" s="10"/>
      <c r="BM120" s="10"/>
      <c r="BN120" s="10"/>
      <c r="BO120" s="10"/>
      <c r="BR120" s="10"/>
      <c r="BS120" s="10"/>
      <c r="BT120" s="10"/>
      <c r="BU120" s="10"/>
      <c r="BV120" s="10"/>
      <c r="BW120" s="10"/>
    </row>
    <row r="121">
      <c r="A121" s="10"/>
      <c r="B121" s="9" t="s">
        <v>109</v>
      </c>
      <c r="C121" s="9">
        <v>0.0</v>
      </c>
      <c r="D121" s="36"/>
      <c r="E121" s="36"/>
      <c r="F121" s="69"/>
      <c r="G121" s="36"/>
      <c r="H121" s="36"/>
      <c r="I121" s="13"/>
      <c r="J121" s="13"/>
      <c r="K121" s="36"/>
      <c r="L121" s="36"/>
      <c r="M121" s="13"/>
      <c r="N121" s="6" t="s">
        <v>6143</v>
      </c>
      <c r="O121" s="6">
        <v>2011.0</v>
      </c>
      <c r="P121" s="18" t="s">
        <v>6144</v>
      </c>
      <c r="Q121" s="36"/>
      <c r="R121" s="36"/>
      <c r="S121" s="36"/>
      <c r="T121" s="13"/>
      <c r="U121" s="13"/>
      <c r="V121" s="36"/>
      <c r="W121" s="36"/>
      <c r="X121" s="13"/>
      <c r="Y121" s="36"/>
      <c r="Z121" s="36"/>
      <c r="AA121" s="36"/>
      <c r="AB121" s="36"/>
      <c r="AC121" s="36"/>
      <c r="AD121" s="36"/>
      <c r="AE121" s="36"/>
      <c r="AF121" s="36"/>
      <c r="AG121" s="36"/>
      <c r="AH121" s="36"/>
      <c r="AI121" s="36"/>
      <c r="AJ121" s="36"/>
      <c r="AK121" s="36"/>
      <c r="AL121" s="36"/>
      <c r="AM121" s="36"/>
      <c r="AN121" s="36"/>
      <c r="AO121" s="36"/>
      <c r="AP121" s="13"/>
      <c r="AQ121" s="13"/>
      <c r="AR121" s="13"/>
      <c r="AS121" s="13"/>
      <c r="AT121" s="13"/>
      <c r="AU121" s="13"/>
      <c r="AV121" s="13"/>
      <c r="AW121" s="99"/>
      <c r="AX121" s="13"/>
      <c r="AY121" s="13"/>
      <c r="AZ121" s="13"/>
      <c r="BA121" s="36"/>
      <c r="BD121" s="10"/>
      <c r="BE121" s="10"/>
      <c r="BF121" s="10"/>
      <c r="BG121" s="10"/>
      <c r="BH121" s="10"/>
      <c r="BI121" s="10"/>
      <c r="BJ121" s="10"/>
      <c r="BK121" s="10"/>
      <c r="BO121" s="10"/>
      <c r="BR121" s="10"/>
      <c r="BS121" s="10"/>
      <c r="BT121" s="10"/>
      <c r="BV121" s="10"/>
      <c r="BW121" s="10"/>
    </row>
    <row r="122">
      <c r="A122" s="111">
        <v>10.0</v>
      </c>
      <c r="B122" s="35" t="s">
        <v>166</v>
      </c>
      <c r="C122" s="206">
        <v>1.0</v>
      </c>
      <c r="D122" s="130" t="s">
        <v>167</v>
      </c>
      <c r="E122" s="197"/>
      <c r="F122" s="120"/>
      <c r="G122" s="56"/>
      <c r="H122" s="197"/>
      <c r="I122" s="197"/>
      <c r="J122" s="120"/>
      <c r="K122" s="120"/>
      <c r="L122" s="120"/>
      <c r="M122" s="69" t="str">
        <f t="shared" ref="M122:M134" si="4">CONCATENATE("[",P122," ",N122," (",O122,")","]")</f>
        <v>[https://epubs.siam.org/doi/pdf/10.1137/S0097539792234858 Ajtai &amp; Megiddo (1996)]</v>
      </c>
      <c r="N122" s="35" t="s">
        <v>6145</v>
      </c>
      <c r="O122" s="111">
        <v>1996.0</v>
      </c>
      <c r="P122" s="30" t="s">
        <v>6146</v>
      </c>
      <c r="Q122" s="198"/>
      <c r="R122" s="198"/>
      <c r="S122" s="198"/>
      <c r="T122" s="197"/>
      <c r="U122" s="197"/>
      <c r="V122" s="199"/>
      <c r="W122" s="120"/>
      <c r="X122" s="104" t="s">
        <v>6147</v>
      </c>
      <c r="Y122" s="104" t="s">
        <v>6147</v>
      </c>
      <c r="Z122" s="125" t="s">
        <v>6146</v>
      </c>
      <c r="AA122" s="230" t="s">
        <v>6148</v>
      </c>
      <c r="AB122" s="231" t="s">
        <v>6130</v>
      </c>
      <c r="AC122" s="230" t="s">
        <v>5990</v>
      </c>
      <c r="AD122" s="104" t="s">
        <v>6149</v>
      </c>
      <c r="AE122" s="120"/>
      <c r="AF122" s="120"/>
      <c r="AG122" s="120"/>
      <c r="AH122" s="104" t="s">
        <v>4915</v>
      </c>
      <c r="AI122" s="120"/>
      <c r="AJ122" s="120"/>
      <c r="AK122" s="120"/>
      <c r="AL122" s="120"/>
      <c r="AM122" s="120"/>
      <c r="AN122" s="199"/>
      <c r="AO122" s="199"/>
      <c r="AP122" s="200"/>
      <c r="AQ122" s="111">
        <v>0.0</v>
      </c>
      <c r="AR122" s="200"/>
      <c r="AS122" s="111">
        <v>0.0</v>
      </c>
      <c r="AT122" s="210"/>
      <c r="AU122" s="111">
        <v>0.0</v>
      </c>
      <c r="AV122" s="111">
        <v>1.0</v>
      </c>
      <c r="AW122" s="232" t="s">
        <v>35</v>
      </c>
      <c r="AX122" s="111">
        <v>0.0</v>
      </c>
      <c r="AY122" s="111">
        <v>0.0</v>
      </c>
      <c r="AZ122" s="69"/>
      <c r="BA122" s="7" t="s">
        <v>168</v>
      </c>
      <c r="BB122" s="198"/>
      <c r="BC122" s="198"/>
      <c r="BD122" s="56"/>
      <c r="BE122" s="56"/>
      <c r="BF122" s="56"/>
      <c r="BG122" s="56"/>
      <c r="BH122" s="56"/>
      <c r="BI122" s="56"/>
      <c r="BJ122" s="56"/>
      <c r="BK122" s="197"/>
      <c r="BL122" s="98"/>
      <c r="BM122" s="198"/>
      <c r="BN122" s="198"/>
      <c r="BO122" s="198"/>
      <c r="BP122" s="198"/>
      <c r="BQ122" s="198"/>
      <c r="BR122" s="198"/>
      <c r="BS122" s="56"/>
      <c r="BT122" s="197"/>
      <c r="BU122" s="198"/>
      <c r="BV122" s="56"/>
      <c r="BW122" s="56"/>
    </row>
    <row r="123">
      <c r="A123" s="111">
        <v>10.0</v>
      </c>
      <c r="B123" s="35" t="s">
        <v>166</v>
      </c>
      <c r="C123" s="206">
        <v>1.0</v>
      </c>
      <c r="D123" s="130" t="s">
        <v>167</v>
      </c>
      <c r="E123" s="197"/>
      <c r="F123" s="120"/>
      <c r="G123" s="56"/>
      <c r="H123" s="197"/>
      <c r="I123" s="197"/>
      <c r="J123" s="120"/>
      <c r="K123" s="120"/>
      <c r="L123" s="120"/>
      <c r="M123" s="69" t="str">
        <f t="shared" si="4"/>
        <v>[https://dl.acm.org/doi/pdf/10.1145/167088.167211 Dyer (1993)]</v>
      </c>
      <c r="N123" s="35" t="s">
        <v>3101</v>
      </c>
      <c r="O123" s="111">
        <v>1993.0</v>
      </c>
      <c r="P123" s="30" t="s">
        <v>6150</v>
      </c>
      <c r="Q123" s="198"/>
      <c r="R123" s="198"/>
      <c r="S123" s="198"/>
      <c r="T123" s="197"/>
      <c r="U123" s="197"/>
      <c r="V123" s="199"/>
      <c r="W123" s="120"/>
      <c r="X123" s="104" t="s">
        <v>6151</v>
      </c>
      <c r="Y123" s="104" t="s">
        <v>6151</v>
      </c>
      <c r="Z123" s="125" t="s">
        <v>6150</v>
      </c>
      <c r="AA123" s="230" t="s">
        <v>6152</v>
      </c>
      <c r="AB123" s="231" t="s">
        <v>6130</v>
      </c>
      <c r="AC123" s="230" t="s">
        <v>5990</v>
      </c>
      <c r="AD123" s="104" t="s">
        <v>6149</v>
      </c>
      <c r="AE123" s="120"/>
      <c r="AF123" s="120"/>
      <c r="AG123" s="120"/>
      <c r="AH123" s="104" t="s">
        <v>2436</v>
      </c>
      <c r="AI123" s="120"/>
      <c r="AJ123" s="120"/>
      <c r="AK123" s="120"/>
      <c r="AL123" s="120"/>
      <c r="AM123" s="120"/>
      <c r="AN123" s="199"/>
      <c r="AO123" s="199"/>
      <c r="AP123" s="200"/>
      <c r="AQ123" s="111">
        <v>0.0</v>
      </c>
      <c r="AR123" s="200"/>
      <c r="AS123" s="111">
        <v>0.0</v>
      </c>
      <c r="AT123" s="210"/>
      <c r="AU123" s="111">
        <v>0.0</v>
      </c>
      <c r="AV123" s="111">
        <v>1.0</v>
      </c>
      <c r="AW123" s="232" t="s">
        <v>35</v>
      </c>
      <c r="AX123" s="111">
        <v>0.0</v>
      </c>
      <c r="AY123" s="111">
        <v>0.0</v>
      </c>
      <c r="AZ123" s="69"/>
      <c r="BA123" s="7" t="s">
        <v>168</v>
      </c>
      <c r="BB123" s="198"/>
      <c r="BC123" s="198"/>
      <c r="BD123" s="56"/>
      <c r="BE123" s="56"/>
      <c r="BF123" s="56"/>
      <c r="BG123" s="56"/>
      <c r="BH123" s="56"/>
      <c r="BI123" s="56"/>
      <c r="BJ123" s="56"/>
      <c r="BK123" s="197"/>
      <c r="BL123" s="98"/>
      <c r="BM123" s="198"/>
      <c r="BN123" s="198"/>
      <c r="BO123" s="198"/>
      <c r="BP123" s="198"/>
      <c r="BQ123" s="198"/>
      <c r="BR123" s="198"/>
      <c r="BS123" s="56"/>
      <c r="BT123" s="197"/>
      <c r="BU123" s="198"/>
      <c r="BV123" s="56"/>
      <c r="BW123" s="56"/>
    </row>
    <row r="124">
      <c r="A124" s="111">
        <v>10.0</v>
      </c>
      <c r="B124" s="35" t="s">
        <v>166</v>
      </c>
      <c r="C124" s="206">
        <v>1.0</v>
      </c>
      <c r="D124" s="130" t="s">
        <v>6153</v>
      </c>
      <c r="E124" s="197"/>
      <c r="F124" s="120"/>
      <c r="G124" s="56"/>
      <c r="H124" s="197"/>
      <c r="I124" s="197"/>
      <c r="J124" s="120"/>
      <c r="K124" s="120"/>
      <c r="L124" s="120"/>
      <c r="M124" s="69" t="str">
        <f t="shared" si="4"/>
        <v>[https://ieeexplore.ieee.org/document/89578 Alon &amp; Megiddo (1990)]</v>
      </c>
      <c r="N124" s="35" t="s">
        <v>6154</v>
      </c>
      <c r="O124" s="111">
        <v>1990.0</v>
      </c>
      <c r="P124" s="30" t="s">
        <v>6155</v>
      </c>
      <c r="Q124" s="198"/>
      <c r="R124" s="198"/>
      <c r="S124" s="198"/>
      <c r="T124" s="197"/>
      <c r="U124" s="197"/>
      <c r="V124" s="199"/>
      <c r="W124" s="120"/>
      <c r="X124" s="104" t="s">
        <v>6156</v>
      </c>
      <c r="Y124" s="104" t="s">
        <v>6156</v>
      </c>
      <c r="Z124" s="180" t="s">
        <v>6155</v>
      </c>
      <c r="AA124" s="230" t="s">
        <v>6157</v>
      </c>
      <c r="AB124" s="180" t="s">
        <v>6155</v>
      </c>
      <c r="AC124" s="230" t="s">
        <v>5793</v>
      </c>
      <c r="AD124" s="104" t="s">
        <v>6149</v>
      </c>
      <c r="AE124" s="120"/>
      <c r="AF124" s="120"/>
      <c r="AG124" s="120"/>
      <c r="AH124" s="104" t="s">
        <v>4915</v>
      </c>
      <c r="AI124" s="120"/>
      <c r="AJ124" s="120"/>
      <c r="AK124" s="120"/>
      <c r="AL124" s="120"/>
      <c r="AM124" s="120"/>
      <c r="AN124" s="199"/>
      <c r="AO124" s="199"/>
      <c r="AP124" s="200"/>
      <c r="AQ124" s="111">
        <v>0.0</v>
      </c>
      <c r="AR124" s="200"/>
      <c r="AS124" s="111">
        <v>0.0</v>
      </c>
      <c r="AT124" s="210"/>
      <c r="AU124" s="111">
        <v>0.0</v>
      </c>
      <c r="AV124" s="111">
        <v>1.0</v>
      </c>
      <c r="AW124" s="232" t="s">
        <v>6158</v>
      </c>
      <c r="AX124" s="111">
        <v>0.0</v>
      </c>
      <c r="AY124" s="111">
        <v>0.0</v>
      </c>
      <c r="AZ124" s="69"/>
      <c r="BA124" s="7" t="s">
        <v>168</v>
      </c>
      <c r="BB124" s="198"/>
      <c r="BC124" s="198"/>
      <c r="BD124" s="56"/>
      <c r="BE124" s="56"/>
      <c r="BF124" s="56"/>
      <c r="BG124" s="56"/>
      <c r="BH124" s="56"/>
      <c r="BI124" s="56"/>
      <c r="BJ124" s="56"/>
      <c r="BK124" s="197"/>
      <c r="BL124" s="98"/>
      <c r="BM124" s="198"/>
      <c r="BN124" s="198"/>
      <c r="BO124" s="198"/>
      <c r="BP124" s="198"/>
      <c r="BQ124" s="198"/>
      <c r="BR124" s="198"/>
      <c r="BS124" s="56"/>
      <c r="BT124" s="197"/>
      <c r="BU124" s="198"/>
      <c r="BV124" s="56"/>
      <c r="BW124" s="56"/>
    </row>
    <row r="125">
      <c r="A125" s="111">
        <v>10.0</v>
      </c>
      <c r="B125" s="35" t="s">
        <v>166</v>
      </c>
      <c r="C125" s="206">
        <v>1.0</v>
      </c>
      <c r="D125" s="130" t="s">
        <v>6159</v>
      </c>
      <c r="E125" s="197"/>
      <c r="F125" s="120"/>
      <c r="G125" s="56"/>
      <c r="H125" s="197"/>
      <c r="I125" s="197"/>
      <c r="J125" s="120"/>
      <c r="K125" s="120"/>
      <c r="L125" s="120"/>
      <c r="M125" s="69" t="str">
        <f t="shared" si="4"/>
        <v>[https://www.sciencedirect.com/science/article/pii/002001909090026T?ref=pdf_download&amp;fr=RR-2&amp;rr=7d29f5c94c8e2249 Deng (1990)]</v>
      </c>
      <c r="N125" s="35" t="s">
        <v>6160</v>
      </c>
      <c r="O125" s="111">
        <v>1990.0</v>
      </c>
      <c r="P125" s="30" t="s">
        <v>6161</v>
      </c>
      <c r="Q125" s="198"/>
      <c r="R125" s="198"/>
      <c r="S125" s="198"/>
      <c r="T125" s="197"/>
      <c r="U125" s="197"/>
      <c r="V125" s="199"/>
      <c r="W125" s="120"/>
      <c r="X125" s="104" t="s">
        <v>2382</v>
      </c>
      <c r="Y125" s="104" t="s">
        <v>2382</v>
      </c>
      <c r="Z125" s="180" t="s">
        <v>6161</v>
      </c>
      <c r="AA125" s="230" t="s">
        <v>35</v>
      </c>
      <c r="AB125" s="180" t="s">
        <v>6161</v>
      </c>
      <c r="AC125" s="230" t="s">
        <v>5793</v>
      </c>
      <c r="AD125" s="104" t="s">
        <v>6162</v>
      </c>
      <c r="AE125" s="120"/>
      <c r="AF125" s="120"/>
      <c r="AG125" s="120"/>
      <c r="AH125" s="104" t="s">
        <v>4915</v>
      </c>
      <c r="AI125" s="120"/>
      <c r="AJ125" s="120"/>
      <c r="AK125" s="120"/>
      <c r="AL125" s="120"/>
      <c r="AM125" s="120"/>
      <c r="AN125" s="199"/>
      <c r="AO125" s="199"/>
      <c r="AP125" s="200"/>
      <c r="AQ125" s="111">
        <v>0.0</v>
      </c>
      <c r="AR125" s="200"/>
      <c r="AS125" s="111">
        <v>0.0</v>
      </c>
      <c r="AT125" s="210"/>
      <c r="AU125" s="111">
        <v>0.0</v>
      </c>
      <c r="AV125" s="111">
        <v>1.0</v>
      </c>
      <c r="AW125" s="232" t="s">
        <v>2438</v>
      </c>
      <c r="AX125" s="111">
        <v>0.0</v>
      </c>
      <c r="AY125" s="111">
        <v>0.0</v>
      </c>
      <c r="AZ125" s="69"/>
      <c r="BA125" s="7" t="s">
        <v>168</v>
      </c>
      <c r="BB125" s="198"/>
      <c r="BC125" s="198"/>
      <c r="BD125" s="56"/>
      <c r="BE125" s="56"/>
      <c r="BF125" s="56"/>
      <c r="BG125" s="56"/>
      <c r="BH125" s="56"/>
      <c r="BI125" s="56"/>
      <c r="BJ125" s="56"/>
      <c r="BK125" s="197"/>
      <c r="BL125" s="98"/>
      <c r="BM125" s="198"/>
      <c r="BN125" s="198"/>
      <c r="BO125" s="198"/>
      <c r="BP125" s="198"/>
      <c r="BQ125" s="198"/>
      <c r="BR125" s="198"/>
      <c r="BS125" s="56"/>
      <c r="BT125" s="197"/>
      <c r="BU125" s="198"/>
      <c r="BV125" s="56"/>
      <c r="BW125" s="56"/>
    </row>
    <row r="126">
      <c r="A126" s="197">
        <v>11.0</v>
      </c>
      <c r="B126" s="34" t="s">
        <v>186</v>
      </c>
      <c r="C126" s="206">
        <v>1.0</v>
      </c>
      <c r="D126" s="200" t="s">
        <v>187</v>
      </c>
      <c r="E126" s="197">
        <v>126.0</v>
      </c>
      <c r="F126" s="120"/>
      <c r="G126" s="56"/>
      <c r="H126" s="197">
        <v>1.0</v>
      </c>
      <c r="I126" s="197">
        <v>1.0</v>
      </c>
      <c r="J126" s="120" t="s">
        <v>2933</v>
      </c>
      <c r="K126" s="120"/>
      <c r="L126" s="120"/>
      <c r="M126" s="69" t="str">
        <f t="shared" si="4"/>
        <v>[https://dl.acm.org/citation.cfm?id=72950 Goodrich (1989)]</v>
      </c>
      <c r="N126" s="69" t="s">
        <v>2934</v>
      </c>
      <c r="O126" s="98">
        <v>1989.0</v>
      </c>
      <c r="P126" s="26" t="s">
        <v>2935</v>
      </c>
      <c r="Q126" s="198"/>
      <c r="R126" s="198"/>
      <c r="S126" s="198"/>
      <c r="T126" s="197">
        <v>0.0</v>
      </c>
      <c r="U126" s="197">
        <v>0.0</v>
      </c>
      <c r="V126" s="199">
        <f>IFERROR(__xludf.DUMMYFUNCTION("INDEX(SPLIT(SUBSTITUTE(W126,CHAR(10), """"),"",:""), MATCH(AE126, SPLIT(SUBSTITUTE(W126,CHAR(10), """"),"",:""), 0) + 1)"),2.0)</f>
        <v>2</v>
      </c>
      <c r="W126" s="120" t="s">
        <v>1962</v>
      </c>
      <c r="X126" s="120" t="s">
        <v>2936</v>
      </c>
      <c r="Y126" s="120" t="s">
        <v>2936</v>
      </c>
      <c r="Z126" s="180" t="s">
        <v>2935</v>
      </c>
      <c r="AA126" s="230" t="s">
        <v>6163</v>
      </c>
      <c r="AB126" s="180" t="s">
        <v>2935</v>
      </c>
      <c r="AC126" s="230" t="s">
        <v>6164</v>
      </c>
      <c r="AD126" s="120" t="s">
        <v>2151</v>
      </c>
      <c r="AE126" s="120" t="str">
        <f t="array" ref="AE126">INDEX(Problems!J:J, MATCH(1, (Problems!B:B=B126)*1, 0))</f>
        <v>n</v>
      </c>
      <c r="AF126" s="120"/>
      <c r="AG126" s="120"/>
      <c r="AH126" s="120" t="s">
        <v>2486</v>
      </c>
      <c r="AI126" s="120" t="s">
        <v>1814</v>
      </c>
      <c r="AJ126" s="120">
        <f>IFERROR(__xludf.DUMMYFUNCTION("INDEX(SPLIT(SUBSTITUTE(AK126,CHAR(10), """"),"",:""), MATCH(AE126, SPLIT(SUBSTITUTE(AK126,CHAR(10), """"),"",:""), 0) + 1)"),3.0)</f>
        <v>3</v>
      </c>
      <c r="AK126" s="120" t="s">
        <v>1975</v>
      </c>
      <c r="AL126" s="120" t="s">
        <v>2915</v>
      </c>
      <c r="AM126" s="120" t="s">
        <v>2937</v>
      </c>
      <c r="AN126" s="199">
        <v>1.0</v>
      </c>
      <c r="AO126" s="199">
        <v>0.0</v>
      </c>
      <c r="AP126" s="200"/>
      <c r="AQ126" s="197">
        <v>0.0</v>
      </c>
      <c r="AR126" s="200"/>
      <c r="AS126" s="197">
        <v>0.0</v>
      </c>
      <c r="AT126" s="210"/>
      <c r="AU126" s="197">
        <v>0.0</v>
      </c>
      <c r="AV126" s="197">
        <v>1.0</v>
      </c>
      <c r="AW126" s="233" t="s">
        <v>2938</v>
      </c>
      <c r="AX126" s="98">
        <v>0.0</v>
      </c>
      <c r="AY126" s="98">
        <v>0.0</v>
      </c>
      <c r="AZ126" s="69"/>
      <c r="BA126" s="110" t="s">
        <v>2153</v>
      </c>
      <c r="BB126" s="198"/>
      <c r="BC126" s="198"/>
      <c r="BD126" s="56"/>
      <c r="BE126" s="56"/>
      <c r="BF126" s="56"/>
      <c r="BG126" s="56"/>
      <c r="BH126" s="56"/>
      <c r="BI126" s="56"/>
      <c r="BJ126" s="56"/>
      <c r="BK126" s="197">
        <v>99.3</v>
      </c>
      <c r="BL126" s="98">
        <f>1000000/BK126</f>
        <v>10070.49345</v>
      </c>
      <c r="BM126" s="198"/>
      <c r="BN126" s="198"/>
      <c r="BO126" s="198"/>
      <c r="BP126" s="198"/>
      <c r="BQ126" s="198"/>
      <c r="BR126" s="198"/>
      <c r="BS126" s="56"/>
      <c r="BT126" s="197">
        <v>4.0</v>
      </c>
      <c r="BU126" s="198"/>
      <c r="BV126" s="56"/>
      <c r="BW126" s="56" t="s">
        <v>196</v>
      </c>
    </row>
    <row r="127">
      <c r="A127" s="197">
        <v>12.0</v>
      </c>
      <c r="B127" s="34" t="s">
        <v>213</v>
      </c>
      <c r="C127" s="206">
        <v>1.0</v>
      </c>
      <c r="D127" s="200" t="s">
        <v>2161</v>
      </c>
      <c r="E127" s="197">
        <v>136.0</v>
      </c>
      <c r="F127" s="120"/>
      <c r="G127" s="56"/>
      <c r="H127" s="197">
        <v>1.0</v>
      </c>
      <c r="I127" s="197">
        <v>1.0</v>
      </c>
      <c r="J127" s="69" t="s">
        <v>2960</v>
      </c>
      <c r="K127" s="120"/>
      <c r="L127" s="120"/>
      <c r="M127" s="69" t="str">
        <f t="shared" si="4"/>
        <v>[https://cse.buffalo.edu/faculty/miller/Papers/IEEETC88a.pdf Miller; Stout (1988)]</v>
      </c>
      <c r="N127" s="34" t="s">
        <v>2961</v>
      </c>
      <c r="O127" s="98">
        <v>1988.0</v>
      </c>
      <c r="P127" s="220" t="s">
        <v>2962</v>
      </c>
      <c r="Q127" s="198"/>
      <c r="R127" s="198"/>
      <c r="S127" s="198"/>
      <c r="T127" s="197">
        <v>1.0</v>
      </c>
      <c r="U127" s="34" t="s">
        <v>2963</v>
      </c>
      <c r="V127" s="199" t="str">
        <f>IFERROR(__xludf.DUMMYFUNCTION("INDEX(SPLIT(SUBSTITUTE(W127,CHAR(10), """"),"",:""), MATCH(AE127, SPLIT(SUBSTITUTE(W127,CHAR(10), """"),"",:""), 0) + 1)"),"#VALUE!")</f>
        <v>#VALUE!</v>
      </c>
      <c r="W127" s="120"/>
      <c r="X127" s="69" t="s">
        <v>2964</v>
      </c>
      <c r="Y127" s="104" t="s">
        <v>2483</v>
      </c>
      <c r="Z127" s="180" t="s">
        <v>2962</v>
      </c>
      <c r="AA127" s="104" t="s">
        <v>45</v>
      </c>
      <c r="AB127" s="180" t="s">
        <v>2962</v>
      </c>
      <c r="AC127" s="104" t="s">
        <v>6165</v>
      </c>
      <c r="AD127" s="120" t="s">
        <v>2163</v>
      </c>
      <c r="AE127" s="120" t="str">
        <f t="array" ref="AE127">INDEX(Problems!J:J, MATCH(1, (Problems!B:B=B127)*1, 0))</f>
        <v>n</v>
      </c>
      <c r="AF127" s="120"/>
      <c r="AG127" s="120"/>
      <c r="AH127" s="120" t="s">
        <v>2965</v>
      </c>
      <c r="AI127" s="120" t="s">
        <v>1814</v>
      </c>
      <c r="AJ127" s="120">
        <f>IFERROR(__xludf.DUMMYFUNCTION("INDEX(SPLIT(SUBSTITUTE(AK127,CHAR(10), """"),"",:""), MATCH(AE127, SPLIT(SUBSTITUTE(AK127,CHAR(10), """"),"",:""), 0) + 1)"),3.0)</f>
        <v>3</v>
      </c>
      <c r="AK127" s="120" t="s">
        <v>1763</v>
      </c>
      <c r="AL127" s="120" t="s">
        <v>2966</v>
      </c>
      <c r="AM127" s="120" t="s">
        <v>2951</v>
      </c>
      <c r="AN127" s="199">
        <v>1.0</v>
      </c>
      <c r="AO127" s="199">
        <v>0.0</v>
      </c>
      <c r="AP127" s="200"/>
      <c r="AQ127" s="197">
        <v>0.0</v>
      </c>
      <c r="AR127" s="200"/>
      <c r="AS127" s="197">
        <v>0.0</v>
      </c>
      <c r="AT127" s="210"/>
      <c r="AU127" s="98">
        <v>0.0</v>
      </c>
      <c r="AV127" s="98">
        <v>1.0</v>
      </c>
      <c r="AW127" s="110" t="s">
        <v>35</v>
      </c>
      <c r="AX127" s="98">
        <v>0.0</v>
      </c>
      <c r="AY127" s="98">
        <v>0.0</v>
      </c>
      <c r="AZ127" s="69"/>
      <c r="BA127" s="198" t="s">
        <v>2164</v>
      </c>
      <c r="BB127" s="198"/>
      <c r="BC127" s="198"/>
      <c r="BD127" s="56" t="s">
        <v>2165</v>
      </c>
      <c r="BE127" s="198"/>
      <c r="BF127" s="198"/>
      <c r="BG127" s="198"/>
      <c r="BH127" s="198"/>
      <c r="BI127" s="198"/>
      <c r="BJ127" s="198"/>
      <c r="BK127" s="98">
        <v>9.965</v>
      </c>
      <c r="BL127" s="98">
        <f>1000000000/BK127</f>
        <v>100351229.3</v>
      </c>
      <c r="BM127" s="198"/>
      <c r="BN127" s="198"/>
      <c r="BO127" s="198"/>
      <c r="BP127" s="198"/>
      <c r="BQ127" s="198"/>
      <c r="BR127" s="198"/>
      <c r="BS127" s="56"/>
      <c r="BT127" s="197">
        <v>3.0</v>
      </c>
      <c r="BU127" s="56"/>
      <c r="BV127" s="56"/>
      <c r="BW127" s="56" t="s">
        <v>196</v>
      </c>
    </row>
    <row r="128">
      <c r="A128" s="197">
        <v>13.0</v>
      </c>
      <c r="B128" s="34" t="s">
        <v>241</v>
      </c>
      <c r="C128" s="206">
        <v>1.0</v>
      </c>
      <c r="D128" s="200" t="s">
        <v>242</v>
      </c>
      <c r="E128" s="197">
        <v>140.0</v>
      </c>
      <c r="F128" s="120"/>
      <c r="G128" s="56"/>
      <c r="H128" s="197">
        <v>1.0</v>
      </c>
      <c r="I128" s="197">
        <v>1.0</v>
      </c>
      <c r="J128" s="120" t="s">
        <v>2982</v>
      </c>
      <c r="K128" s="120"/>
      <c r="L128" s="120"/>
      <c r="M128" s="69" t="str">
        <f t="shared" si="4"/>
        <v>[https://ldhulipala.github.io/readings/sequential-scc.pdf Fleischer forward-backward (FB) algorithm (2003)]</v>
      </c>
      <c r="N128" s="34" t="s">
        <v>2983</v>
      </c>
      <c r="O128" s="98">
        <v>2003.0</v>
      </c>
      <c r="P128" s="220" t="s">
        <v>2984</v>
      </c>
      <c r="Q128" s="198"/>
      <c r="R128" s="198"/>
      <c r="S128" s="198"/>
      <c r="T128" s="197">
        <v>0.0</v>
      </c>
      <c r="U128" s="197">
        <v>0.0</v>
      </c>
      <c r="V128" s="199">
        <f>IFERROR(__xludf.DUMMYFUNCTION("INDEX(SPLIT(SUBSTITUTE(W128,CHAR(10), """"),"",:""), MATCH(AE128, SPLIT(SUBSTITUTE(W128,CHAR(10), """"),"",:""), 0) + 1)"),5.01)</f>
        <v>5.01</v>
      </c>
      <c r="W128" s="120" t="s">
        <v>2985</v>
      </c>
      <c r="X128" s="120" t="s">
        <v>2986</v>
      </c>
      <c r="Y128" s="104" t="s">
        <v>6166</v>
      </c>
      <c r="Z128" s="174" t="s">
        <v>3004</v>
      </c>
      <c r="AA128" s="104" t="s">
        <v>6167</v>
      </c>
      <c r="AB128" s="174" t="s">
        <v>3004</v>
      </c>
      <c r="AC128" s="104" t="s">
        <v>5990</v>
      </c>
      <c r="AD128" s="120" t="s">
        <v>2542</v>
      </c>
      <c r="AE128" s="120" t="str">
        <f t="array" ref="AE128">INDEX(Problems!J:J, MATCH(1, (Problems!B:B=B128)*1, 0))</f>
        <v>V</v>
      </c>
      <c r="AF128" s="120"/>
      <c r="AG128" s="120"/>
      <c r="AH128" s="120" t="s">
        <v>1813</v>
      </c>
      <c r="AI128" s="120" t="s">
        <v>1814</v>
      </c>
      <c r="AJ128" s="120">
        <f>IFERROR(__xludf.DUMMYFUNCTION("INDEX(SPLIT(SUBSTITUTE(AK128,CHAR(10), """"),"",:""), MATCH(AE128, SPLIT(SUBSTITUTE(AK128,CHAR(10), """"),"",:""), 0) + 1)"),3.0)</f>
        <v>3</v>
      </c>
      <c r="AK128" s="120" t="s">
        <v>2987</v>
      </c>
      <c r="AL128" s="120" t="s">
        <v>245</v>
      </c>
      <c r="AM128" s="234" t="s">
        <v>2988</v>
      </c>
      <c r="AN128" s="199">
        <v>1.0</v>
      </c>
      <c r="AO128" s="199">
        <v>0.0</v>
      </c>
      <c r="AP128" s="200"/>
      <c r="AQ128" s="197">
        <v>0.0</v>
      </c>
      <c r="AR128" s="200"/>
      <c r="AS128" s="197">
        <v>0.0</v>
      </c>
      <c r="AT128" s="210"/>
      <c r="AU128" s="98">
        <v>0.0</v>
      </c>
      <c r="AV128" s="98">
        <v>1.0</v>
      </c>
      <c r="AW128" s="104" t="s">
        <v>584</v>
      </c>
      <c r="AX128" s="98">
        <v>0.0</v>
      </c>
      <c r="AY128" s="98">
        <v>0.0</v>
      </c>
      <c r="AZ128" s="34"/>
      <c r="BA128" s="198" t="s">
        <v>2971</v>
      </c>
      <c r="BB128" s="198"/>
      <c r="BC128" s="198"/>
      <c r="BD128" s="56" t="s">
        <v>2972</v>
      </c>
      <c r="BE128" s="198"/>
      <c r="BF128" s="198"/>
      <c r="BG128" s="198"/>
      <c r="BH128" s="198"/>
      <c r="BI128" s="198"/>
      <c r="BJ128" s="198"/>
      <c r="BK128" s="98">
        <v>428571.0</v>
      </c>
      <c r="BL128" s="98">
        <f t="shared" ref="BL128:BL133" si="5">1000/BK128</f>
        <v>0.002333335667</v>
      </c>
      <c r="BM128" s="198"/>
      <c r="BN128" s="198"/>
      <c r="BO128" s="198"/>
      <c r="BP128" s="198"/>
      <c r="BQ128" s="198"/>
      <c r="BR128" s="198"/>
      <c r="BS128" s="56"/>
      <c r="BT128" s="197">
        <v>4.0</v>
      </c>
      <c r="BU128" s="56"/>
      <c r="BV128" s="56"/>
      <c r="BW128" s="56" t="s">
        <v>23</v>
      </c>
    </row>
    <row r="129">
      <c r="A129" s="197">
        <v>13.0</v>
      </c>
      <c r="B129" s="34" t="s">
        <v>241</v>
      </c>
      <c r="C129" s="206">
        <v>0.001</v>
      </c>
      <c r="D129" s="200" t="s">
        <v>242</v>
      </c>
      <c r="E129" s="197">
        <v>144.0</v>
      </c>
      <c r="F129" s="120"/>
      <c r="G129" s="56"/>
      <c r="H129" s="197">
        <v>1.0</v>
      </c>
      <c r="I129" s="197">
        <v>1.0</v>
      </c>
      <c r="J129" s="120" t="s">
        <v>251</v>
      </c>
      <c r="K129" s="120"/>
      <c r="L129" s="120"/>
      <c r="M129" s="69" t="str">
        <f t="shared" si="4"/>
        <v>[http://www.cs.ox.ac.uk/people/gavin.lowe/parallelDFS.html Lowe’s Algorithm (2014)]</v>
      </c>
      <c r="N129" s="34" t="s">
        <v>2999</v>
      </c>
      <c r="O129" s="197">
        <v>2014.0</v>
      </c>
      <c r="P129" s="177" t="s">
        <v>3000</v>
      </c>
      <c r="Q129" s="198"/>
      <c r="R129" s="198"/>
      <c r="S129" s="198"/>
      <c r="T129" s="197">
        <v>0.0</v>
      </c>
      <c r="U129" s="197">
        <v>0.0</v>
      </c>
      <c r="V129" s="199">
        <f>IFERROR(__xludf.DUMMYFUNCTION("INDEX(SPLIT(SUBSTITUTE(W129,CHAR(10), """"),"",:""), MATCH(AE129, SPLIT(SUBSTITUTE(W129,CHAR(10), """"),"",:""), 0) + 1)"),5.0)</f>
        <v>5</v>
      </c>
      <c r="W129" s="120" t="s">
        <v>2185</v>
      </c>
      <c r="X129" s="120" t="s">
        <v>3001</v>
      </c>
      <c r="Y129" s="104" t="s">
        <v>6168</v>
      </c>
      <c r="Z129" s="112" t="s">
        <v>3004</v>
      </c>
      <c r="AA129" s="120" t="s">
        <v>3001</v>
      </c>
      <c r="AB129" s="112" t="s">
        <v>3004</v>
      </c>
      <c r="AC129" s="104" t="s">
        <v>5990</v>
      </c>
      <c r="AD129" s="120" t="s">
        <v>3002</v>
      </c>
      <c r="AE129" s="120" t="str">
        <f t="array" ref="AE129">INDEX(Problems!J:J, MATCH(1, (Problems!B:B=B129)*1, 0))</f>
        <v>V</v>
      </c>
      <c r="AF129" s="120"/>
      <c r="AG129" s="120"/>
      <c r="AH129" s="120" t="s">
        <v>1813</v>
      </c>
      <c r="AI129" s="120" t="s">
        <v>1814</v>
      </c>
      <c r="AJ129" s="120">
        <f>IFERROR(__xludf.DUMMYFUNCTION("INDEX(SPLIT(SUBSTITUTE(AK129,CHAR(10), """"),"",:""), MATCH(AE129, SPLIT(SUBSTITUTE(AK129,CHAR(10), """"),"",:""), 0) + 1)"),3.0)</f>
        <v>3</v>
      </c>
      <c r="AK129" s="120" t="s">
        <v>2977</v>
      </c>
      <c r="AL129" s="120" t="s">
        <v>3003</v>
      </c>
      <c r="AM129" s="120" t="s">
        <v>2725</v>
      </c>
      <c r="AN129" s="199">
        <v>1.0</v>
      </c>
      <c r="AO129" s="199">
        <v>0.0</v>
      </c>
      <c r="AP129" s="200"/>
      <c r="AQ129" s="197">
        <v>0.0</v>
      </c>
      <c r="AR129" s="200"/>
      <c r="AS129" s="197">
        <v>0.0</v>
      </c>
      <c r="AT129" s="200"/>
      <c r="AU129" s="98">
        <v>0.0</v>
      </c>
      <c r="AV129" s="98">
        <v>1.0</v>
      </c>
      <c r="AW129" s="110"/>
      <c r="AX129" s="98">
        <v>0.0</v>
      </c>
      <c r="AY129" s="98">
        <v>0.0</v>
      </c>
      <c r="AZ129" s="26" t="s">
        <v>3004</v>
      </c>
      <c r="BA129" s="198" t="s">
        <v>2971</v>
      </c>
      <c r="BB129" s="198"/>
      <c r="BC129" s="198"/>
      <c r="BD129" s="56" t="s">
        <v>2972</v>
      </c>
      <c r="BE129" s="198"/>
      <c r="BF129" s="198"/>
      <c r="BG129" s="198"/>
      <c r="BH129" s="198"/>
      <c r="BI129" s="198"/>
      <c r="BJ129" s="198"/>
      <c r="BK129" s="98">
        <v>184244.0</v>
      </c>
      <c r="BL129" s="98">
        <f t="shared" si="5"/>
        <v>0.005427585159</v>
      </c>
      <c r="BM129" s="198"/>
      <c r="BN129" s="198"/>
      <c r="BO129" s="198"/>
      <c r="BP129" s="198"/>
      <c r="BQ129" s="198"/>
      <c r="BR129" s="198"/>
      <c r="BS129" s="56"/>
      <c r="BT129" s="197">
        <v>4.0</v>
      </c>
      <c r="BU129" s="198"/>
      <c r="BV129" s="56"/>
      <c r="BW129" s="56" t="s">
        <v>23</v>
      </c>
    </row>
    <row r="130">
      <c r="A130" s="197">
        <v>13.0</v>
      </c>
      <c r="B130" s="34" t="s">
        <v>241</v>
      </c>
      <c r="C130" s="206">
        <v>1.0</v>
      </c>
      <c r="D130" s="200" t="s">
        <v>242</v>
      </c>
      <c r="E130" s="197">
        <v>145.0</v>
      </c>
      <c r="F130" s="120"/>
      <c r="G130" s="56"/>
      <c r="H130" s="197">
        <v>1.0</v>
      </c>
      <c r="I130" s="197">
        <v>1.0</v>
      </c>
      <c r="J130" s="120" t="s">
        <v>3005</v>
      </c>
      <c r="K130" s="120"/>
      <c r="L130" s="120"/>
      <c r="M130" s="69" t="str">
        <f t="shared" si="4"/>
        <v>[https://link.springer.com/chapter/10.1007/978-3-642-45221-5_44 Renault’s Algorithm (2009)]</v>
      </c>
      <c r="N130" s="34" t="s">
        <v>3006</v>
      </c>
      <c r="O130" s="98">
        <v>2009.0</v>
      </c>
      <c r="P130" s="26" t="s">
        <v>3007</v>
      </c>
      <c r="Q130" s="198"/>
      <c r="R130" s="198"/>
      <c r="S130" s="198"/>
      <c r="T130" s="197">
        <v>0.0</v>
      </c>
      <c r="U130" s="197">
        <v>0.0</v>
      </c>
      <c r="V130" s="199">
        <f>IFERROR(__xludf.DUMMYFUNCTION("INDEX(SPLIT(SUBSTITUTE(W130,CHAR(10), """"),"",:""), MATCH(AE130, SPLIT(SUBSTITUTE(W130,CHAR(10), """"),"",:""), 0) + 1)"),5.0)</f>
        <v>5</v>
      </c>
      <c r="W130" s="120" t="s">
        <v>3008</v>
      </c>
      <c r="X130" s="120" t="s">
        <v>3009</v>
      </c>
      <c r="Y130" s="104" t="s">
        <v>6169</v>
      </c>
      <c r="Z130" s="112" t="s">
        <v>3004</v>
      </c>
      <c r="AA130" s="120" t="s">
        <v>3009</v>
      </c>
      <c r="AB130" s="112" t="s">
        <v>3004</v>
      </c>
      <c r="AC130" s="104" t="s">
        <v>5990</v>
      </c>
      <c r="AD130" s="120" t="s">
        <v>3002</v>
      </c>
      <c r="AE130" s="120" t="str">
        <f t="array" ref="AE130">INDEX(Problems!J:J, MATCH(1, (Problems!B:B=B130)*1, 0))</f>
        <v>V</v>
      </c>
      <c r="AF130" s="120"/>
      <c r="AG130" s="120"/>
      <c r="AH130" s="120" t="s">
        <v>1813</v>
      </c>
      <c r="AI130" s="120" t="s">
        <v>1814</v>
      </c>
      <c r="AJ130" s="120">
        <f>IFERROR(__xludf.DUMMYFUNCTION("INDEX(SPLIT(SUBSTITUTE(AK130,CHAR(10), """"),"",:""), MATCH(AE130, SPLIT(SUBSTITUTE(AK130,CHAR(10), """"),"",:""), 0) + 1)"),3.0)</f>
        <v>3</v>
      </c>
      <c r="AK130" s="120" t="s">
        <v>2977</v>
      </c>
      <c r="AL130" s="120" t="s">
        <v>3003</v>
      </c>
      <c r="AM130" s="120" t="s">
        <v>2725</v>
      </c>
      <c r="AN130" s="199">
        <v>1.0</v>
      </c>
      <c r="AO130" s="199">
        <v>0.0</v>
      </c>
      <c r="AP130" s="200"/>
      <c r="AQ130" s="197">
        <v>0.0</v>
      </c>
      <c r="AR130" s="200"/>
      <c r="AS130" s="197">
        <v>0.0</v>
      </c>
      <c r="AT130" s="210"/>
      <c r="AU130" s="98">
        <v>0.0</v>
      </c>
      <c r="AV130" s="98">
        <v>1.0</v>
      </c>
      <c r="AW130" s="104" t="s">
        <v>6170</v>
      </c>
      <c r="AX130" s="98">
        <v>0.0</v>
      </c>
      <c r="AY130" s="98">
        <v>0.0</v>
      </c>
      <c r="AZ130" s="26" t="s">
        <v>3004</v>
      </c>
      <c r="BA130" s="198" t="s">
        <v>2971</v>
      </c>
      <c r="BB130" s="198"/>
      <c r="BC130" s="198"/>
      <c r="BD130" s="56" t="s">
        <v>2972</v>
      </c>
      <c r="BE130" s="198"/>
      <c r="BF130" s="198"/>
      <c r="BG130" s="198"/>
      <c r="BH130" s="198"/>
      <c r="BI130" s="198"/>
      <c r="BJ130" s="198"/>
      <c r="BK130" s="98">
        <v>183673.0</v>
      </c>
      <c r="BL130" s="98">
        <f t="shared" si="5"/>
        <v>0.005444458358</v>
      </c>
      <c r="BM130" s="198"/>
      <c r="BN130" s="198"/>
      <c r="BO130" s="198"/>
      <c r="BP130" s="198"/>
      <c r="BQ130" s="198"/>
      <c r="BR130" s="198"/>
      <c r="BS130" s="56"/>
      <c r="BT130" s="197">
        <v>4.0</v>
      </c>
      <c r="BU130" s="198"/>
      <c r="BV130" s="56"/>
      <c r="BW130" s="56" t="s">
        <v>23</v>
      </c>
    </row>
    <row r="131">
      <c r="A131" s="197">
        <v>13.0</v>
      </c>
      <c r="B131" s="34" t="s">
        <v>241</v>
      </c>
      <c r="C131" s="206">
        <v>1.0</v>
      </c>
      <c r="D131" s="200" t="s">
        <v>242</v>
      </c>
      <c r="E131" s="197">
        <v>148.0</v>
      </c>
      <c r="F131" s="120"/>
      <c r="G131" s="56"/>
      <c r="H131" s="197">
        <v>1.0</v>
      </c>
      <c r="I131" s="197">
        <v>1.0</v>
      </c>
      <c r="J131" s="34" t="s">
        <v>3016</v>
      </c>
      <c r="K131" s="120"/>
      <c r="L131" s="120"/>
      <c r="M131" s="69" t="str">
        <f t="shared" si="4"/>
        <v>[https://ieeexplore.ieee.org/document/8133154 OBF Algorithm (2011)]</v>
      </c>
      <c r="N131" s="34" t="s">
        <v>3017</v>
      </c>
      <c r="O131" s="98">
        <v>2011.0</v>
      </c>
      <c r="P131" s="26" t="s">
        <v>3018</v>
      </c>
      <c r="Q131" s="198"/>
      <c r="R131" s="198"/>
      <c r="S131" s="198"/>
      <c r="T131" s="197">
        <v>0.0</v>
      </c>
      <c r="U131" s="197">
        <v>0.0</v>
      </c>
      <c r="V131" s="199">
        <f>IFERROR(__xludf.DUMMYFUNCTION("INDEX(SPLIT(SUBSTITUTE(W131,CHAR(10), """"),"",:""), MATCH(AE131, SPLIT(SUBSTITUTE(W131,CHAR(10), """"),"",:""), 0) + 1)"),6.0)</f>
        <v>6</v>
      </c>
      <c r="W131" s="120" t="s">
        <v>3019</v>
      </c>
      <c r="X131" s="34" t="s">
        <v>3020</v>
      </c>
      <c r="Y131" s="104" t="s">
        <v>6171</v>
      </c>
      <c r="Z131" s="112" t="s">
        <v>3004</v>
      </c>
      <c r="AA131" s="104" t="s">
        <v>6167</v>
      </c>
      <c r="AB131" s="112" t="s">
        <v>3004</v>
      </c>
      <c r="AC131" s="104" t="s">
        <v>5990</v>
      </c>
      <c r="AD131" s="120" t="s">
        <v>3002</v>
      </c>
      <c r="AE131" s="120" t="str">
        <f t="array" ref="AE131">INDEX(Problems!J:J, MATCH(1, (Problems!B:B=B131)*1, 0))</f>
        <v>V</v>
      </c>
      <c r="AF131" s="120"/>
      <c r="AG131" s="120"/>
      <c r="AH131" s="120" t="s">
        <v>1813</v>
      </c>
      <c r="AI131" s="120" t="s">
        <v>1814</v>
      </c>
      <c r="AJ131" s="120">
        <f>IFERROR(__xludf.DUMMYFUNCTION("INDEX(SPLIT(SUBSTITUTE(AK131,CHAR(10), """"),"",:""), MATCH(AE131, SPLIT(SUBSTITUTE(AK131,CHAR(10), """"),"",:""), 0) + 1)"),5.0)</f>
        <v>5</v>
      </c>
      <c r="AK131" s="120" t="s">
        <v>2185</v>
      </c>
      <c r="AL131" s="120" t="s">
        <v>3021</v>
      </c>
      <c r="AM131" s="219" t="s">
        <v>3022</v>
      </c>
      <c r="AN131" s="199">
        <v>0.0</v>
      </c>
      <c r="AO131" s="199">
        <v>1.0</v>
      </c>
      <c r="AP131" s="200"/>
      <c r="AQ131" s="197">
        <v>0.0</v>
      </c>
      <c r="AR131" s="200"/>
      <c r="AS131" s="197">
        <v>0.0</v>
      </c>
      <c r="AT131" s="210"/>
      <c r="AU131" s="98">
        <v>0.0</v>
      </c>
      <c r="AV131" s="98">
        <v>1.0</v>
      </c>
      <c r="AW131" s="104" t="s">
        <v>584</v>
      </c>
      <c r="AX131" s="98">
        <v>0.0</v>
      </c>
      <c r="AY131" s="98">
        <v>0.0</v>
      </c>
      <c r="AZ131" s="69"/>
      <c r="BA131" s="198" t="s">
        <v>2971</v>
      </c>
      <c r="BB131" s="198"/>
      <c r="BC131" s="198"/>
      <c r="BD131" s="56" t="s">
        <v>2972</v>
      </c>
      <c r="BE131" s="198"/>
      <c r="BF131" s="198"/>
      <c r="BG131" s="198"/>
      <c r="BH131" s="198"/>
      <c r="BI131" s="198"/>
      <c r="BJ131" s="198"/>
      <c r="BK131" s="98">
        <v>428571.0</v>
      </c>
      <c r="BL131" s="98">
        <f t="shared" si="5"/>
        <v>0.002333335667</v>
      </c>
      <c r="BM131" s="198"/>
      <c r="BN131" s="198"/>
      <c r="BO131" s="198"/>
      <c r="BP131" s="198"/>
      <c r="BQ131" s="198"/>
      <c r="BR131" s="198"/>
      <c r="BS131" s="56"/>
      <c r="BT131" s="197">
        <v>4.0</v>
      </c>
      <c r="BU131" s="198"/>
      <c r="BV131" s="56"/>
      <c r="BW131" s="56" t="s">
        <v>23</v>
      </c>
    </row>
    <row r="132">
      <c r="A132" s="197">
        <v>13.0</v>
      </c>
      <c r="B132" s="34" t="s">
        <v>241</v>
      </c>
      <c r="C132" s="206">
        <v>1.0</v>
      </c>
      <c r="D132" s="200" t="s">
        <v>242</v>
      </c>
      <c r="E132" s="197">
        <v>149.0</v>
      </c>
      <c r="F132" s="120"/>
      <c r="G132" s="56"/>
      <c r="H132" s="197">
        <v>1.0</v>
      </c>
      <c r="I132" s="197">
        <v>1.0</v>
      </c>
      <c r="J132" s="34" t="s">
        <v>2825</v>
      </c>
      <c r="K132" s="120"/>
      <c r="L132" s="120"/>
      <c r="M132" s="69" t="str">
        <f t="shared" si="4"/>
        <v>[https://research.vu.nl/en/publications/on-distributed-verification-and-verified-distribution CH Algorithm (2004)]</v>
      </c>
      <c r="N132" s="34" t="s">
        <v>3023</v>
      </c>
      <c r="O132" s="98">
        <v>2004.0</v>
      </c>
      <c r="P132" s="26" t="s">
        <v>3024</v>
      </c>
      <c r="Q132" s="198"/>
      <c r="R132" s="198"/>
      <c r="S132" s="198"/>
      <c r="T132" s="197">
        <v>0.0</v>
      </c>
      <c r="U132" s="197">
        <v>0.0</v>
      </c>
      <c r="V132" s="199">
        <f>IFERROR(__xludf.DUMMYFUNCTION("INDEX(SPLIT(SUBSTITUTE(W132,CHAR(10), """"),"",:""), MATCH(AE132, SPLIT(SUBSTITUTE(W132,CHAR(10), """"),"",:""), 0) + 1)"),6.0)</f>
        <v>6</v>
      </c>
      <c r="W132" s="120" t="s">
        <v>3019</v>
      </c>
      <c r="X132" s="34" t="s">
        <v>960</v>
      </c>
      <c r="Y132" s="104" t="s">
        <v>6172</v>
      </c>
      <c r="Z132" s="180" t="s">
        <v>6173</v>
      </c>
      <c r="AA132" s="120" t="s">
        <v>960</v>
      </c>
      <c r="AB132" s="180" t="s">
        <v>6174</v>
      </c>
      <c r="AC132" s="104" t="s">
        <v>5990</v>
      </c>
      <c r="AD132" s="120" t="s">
        <v>3002</v>
      </c>
      <c r="AE132" s="120" t="str">
        <f t="array" ref="AE132">INDEX(Problems!J:J, MATCH(1, (Problems!B:B=B132)*1, 0))</f>
        <v>V</v>
      </c>
      <c r="AF132" s="120"/>
      <c r="AG132" s="120"/>
      <c r="AH132" s="120" t="s">
        <v>1813</v>
      </c>
      <c r="AI132" s="120" t="s">
        <v>1814</v>
      </c>
      <c r="AJ132" s="120">
        <f>IFERROR(__xludf.DUMMYFUNCTION("INDEX(SPLIT(SUBSTITUTE(AK132,CHAR(10), """"),"",:""), MATCH(AE132, SPLIT(SUBSTITUTE(AK132,CHAR(10), """"),"",:""), 0) + 1)"),3.0)</f>
        <v>3</v>
      </c>
      <c r="AK132" s="120" t="s">
        <v>2987</v>
      </c>
      <c r="AL132" s="234" t="s">
        <v>3025</v>
      </c>
      <c r="AM132" s="234" t="s">
        <v>3026</v>
      </c>
      <c r="AN132" s="199">
        <v>1.0</v>
      </c>
      <c r="AO132" s="199">
        <v>0.0</v>
      </c>
      <c r="AP132" s="200"/>
      <c r="AQ132" s="197">
        <v>0.0</v>
      </c>
      <c r="AR132" s="200"/>
      <c r="AS132" s="197">
        <v>0.0</v>
      </c>
      <c r="AT132" s="210"/>
      <c r="AU132" s="98">
        <v>0.0</v>
      </c>
      <c r="AV132" s="98">
        <v>1.0</v>
      </c>
      <c r="AW132" s="104" t="s">
        <v>584</v>
      </c>
      <c r="AX132" s="98">
        <v>0.0</v>
      </c>
      <c r="AY132" s="98">
        <v>0.0</v>
      </c>
      <c r="AZ132" s="69"/>
      <c r="BA132" s="198" t="s">
        <v>2971</v>
      </c>
      <c r="BB132" s="198"/>
      <c r="BC132" s="198"/>
      <c r="BD132" s="56" t="s">
        <v>2972</v>
      </c>
      <c r="BE132" s="198"/>
      <c r="BF132" s="198"/>
      <c r="BG132" s="198"/>
      <c r="BH132" s="198"/>
      <c r="BI132" s="198"/>
      <c r="BJ132" s="198"/>
      <c r="BK132" s="98">
        <v>244897.0</v>
      </c>
      <c r="BL132" s="98">
        <f t="shared" si="5"/>
        <v>0.004083349326</v>
      </c>
      <c r="BM132" s="198"/>
      <c r="BN132" s="198"/>
      <c r="BO132" s="198"/>
      <c r="BP132" s="198"/>
      <c r="BQ132" s="198"/>
      <c r="BR132" s="198"/>
      <c r="BS132" s="56"/>
      <c r="BT132" s="197">
        <v>4.0</v>
      </c>
      <c r="BU132" s="198"/>
      <c r="BV132" s="56"/>
      <c r="BW132" s="56" t="s">
        <v>23</v>
      </c>
    </row>
    <row r="133">
      <c r="A133" s="197">
        <v>13.0</v>
      </c>
      <c r="B133" s="34" t="s">
        <v>241</v>
      </c>
      <c r="C133" s="206">
        <v>1.0</v>
      </c>
      <c r="D133" s="200" t="s">
        <v>242</v>
      </c>
      <c r="E133" s="197">
        <v>150.0</v>
      </c>
      <c r="F133" s="120"/>
      <c r="G133" s="56"/>
      <c r="H133" s="197">
        <v>1.0</v>
      </c>
      <c r="I133" s="197">
        <v>1.0</v>
      </c>
      <c r="J133" s="34" t="s">
        <v>3016</v>
      </c>
      <c r="K133" s="120"/>
      <c r="L133" s="120"/>
      <c r="M133" s="69" t="str">
        <f t="shared" si="4"/>
        <v>[https://stanford-ppl.github.io/website/papers/sc13-hong.pdf Hong’s algorithm (2013)]</v>
      </c>
      <c r="N133" s="34" t="s">
        <v>3027</v>
      </c>
      <c r="O133" s="98">
        <v>2013.0</v>
      </c>
      <c r="P133" s="26" t="s">
        <v>3028</v>
      </c>
      <c r="Q133" s="198"/>
      <c r="R133" s="198"/>
      <c r="S133" s="198"/>
      <c r="T133" s="197">
        <v>0.0</v>
      </c>
      <c r="U133" s="197">
        <v>0.0</v>
      </c>
      <c r="V133" s="199">
        <f>IFERROR(__xludf.DUMMYFUNCTION("INDEX(SPLIT(SUBSTITUTE(W133,CHAR(10), """"),"",:""), MATCH(AE133, SPLIT(SUBSTITUTE(W133,CHAR(10), """"),"",:""), 0) + 1)"),6.0)</f>
        <v>6</v>
      </c>
      <c r="W133" s="120" t="s">
        <v>3019</v>
      </c>
      <c r="X133" s="34" t="s">
        <v>3020</v>
      </c>
      <c r="Y133" s="104" t="s">
        <v>6171</v>
      </c>
      <c r="Z133" s="112" t="s">
        <v>3004</v>
      </c>
      <c r="AA133" s="104" t="s">
        <v>6167</v>
      </c>
      <c r="AB133" s="112" t="s">
        <v>3004</v>
      </c>
      <c r="AC133" s="104" t="s">
        <v>5990</v>
      </c>
      <c r="AD133" s="120" t="s">
        <v>3002</v>
      </c>
      <c r="AE133" s="120" t="str">
        <f t="array" ref="AE133">INDEX(Problems!J:J, MATCH(1, (Problems!B:B=B133)*1, 0))</f>
        <v>V</v>
      </c>
      <c r="AF133" s="120"/>
      <c r="AG133" s="120"/>
      <c r="AH133" s="120" t="s">
        <v>1813</v>
      </c>
      <c r="AI133" s="120" t="s">
        <v>1814</v>
      </c>
      <c r="AJ133" s="120">
        <f>IFERROR(__xludf.DUMMYFUNCTION("INDEX(SPLIT(SUBSTITUTE(AK133,CHAR(10), """"),"",:""), MATCH(AE133, SPLIT(SUBSTITUTE(AK133,CHAR(10), """"),"",:""), 0) + 1)"),3.0)</f>
        <v>3</v>
      </c>
      <c r="AK133" s="120" t="s">
        <v>2987</v>
      </c>
      <c r="AL133" s="234" t="s">
        <v>3025</v>
      </c>
      <c r="AM133" s="234" t="s">
        <v>3029</v>
      </c>
      <c r="AN133" s="199">
        <v>1.0</v>
      </c>
      <c r="AO133" s="199">
        <v>0.0</v>
      </c>
      <c r="AP133" s="200"/>
      <c r="AQ133" s="197">
        <v>0.0</v>
      </c>
      <c r="AR133" s="200"/>
      <c r="AS133" s="197">
        <v>0.0</v>
      </c>
      <c r="AT133" s="210"/>
      <c r="AU133" s="98">
        <v>0.0</v>
      </c>
      <c r="AV133" s="98">
        <v>1.0</v>
      </c>
      <c r="AW133" s="104" t="s">
        <v>584</v>
      </c>
      <c r="AX133" s="98">
        <v>0.0</v>
      </c>
      <c r="AY133" s="98">
        <v>0.0</v>
      </c>
      <c r="AZ133" s="69"/>
      <c r="BA133" s="198" t="s">
        <v>2971</v>
      </c>
      <c r="BB133" s="198"/>
      <c r="BC133" s="198"/>
      <c r="BD133" s="56" t="s">
        <v>2972</v>
      </c>
      <c r="BE133" s="198"/>
      <c r="BF133" s="198"/>
      <c r="BG133" s="198"/>
      <c r="BH133" s="198"/>
      <c r="BI133" s="198"/>
      <c r="BJ133" s="198"/>
      <c r="BK133" s="98">
        <v>428571.0</v>
      </c>
      <c r="BL133" s="98">
        <f t="shared" si="5"/>
        <v>0.002333335667</v>
      </c>
      <c r="BM133" s="198"/>
      <c r="BN133" s="198"/>
      <c r="BO133" s="198"/>
      <c r="BP133" s="198"/>
      <c r="BQ133" s="198"/>
      <c r="BR133" s="198"/>
      <c r="BS133" s="56"/>
      <c r="BT133" s="197">
        <v>4.0</v>
      </c>
      <c r="BU133" s="198"/>
      <c r="BV133" s="56"/>
      <c r="BW133" s="56" t="s">
        <v>23</v>
      </c>
    </row>
    <row r="134">
      <c r="A134" s="197">
        <v>13.0</v>
      </c>
      <c r="B134" s="34" t="s">
        <v>241</v>
      </c>
      <c r="C134" s="206">
        <v>0.001</v>
      </c>
      <c r="D134" s="200" t="s">
        <v>242</v>
      </c>
      <c r="E134" s="56"/>
      <c r="F134" s="200"/>
      <c r="G134" s="56"/>
      <c r="H134" s="197">
        <v>1.0</v>
      </c>
      <c r="I134" s="98">
        <v>1.0</v>
      </c>
      <c r="J134" s="34" t="s">
        <v>245</v>
      </c>
      <c r="K134" s="200"/>
      <c r="L134" s="200"/>
      <c r="M134" s="69" t="str">
        <f t="shared" si="4"/>
        <v>[https://www.semanticscholar.org/paper/Depth-First-Search-and-Linear-Graph-Algorithms-Tarjan/385742fffcf113656f0d3cf6c06ef95cb8439dc6 Geldenhuys-Valmari (2004)]</v>
      </c>
      <c r="N134" s="69" t="s">
        <v>6175</v>
      </c>
      <c r="O134" s="98">
        <v>2004.0</v>
      </c>
      <c r="P134" s="183" t="s">
        <v>2975</v>
      </c>
      <c r="Q134" s="198"/>
      <c r="R134" s="198"/>
      <c r="S134" s="198"/>
      <c r="T134" s="98"/>
      <c r="U134" s="69"/>
      <c r="V134" s="120"/>
      <c r="W134" s="143"/>
      <c r="X134" s="34" t="s">
        <v>245</v>
      </c>
      <c r="Y134" s="120"/>
      <c r="Z134" s="104"/>
      <c r="AA134" s="120"/>
      <c r="AB134" s="120"/>
      <c r="AC134" s="120"/>
      <c r="AD134" s="120" t="s">
        <v>2542</v>
      </c>
      <c r="AE134" s="120"/>
      <c r="AF134" s="120"/>
      <c r="AG134" s="120"/>
      <c r="AH134" s="120" t="s">
        <v>1813</v>
      </c>
      <c r="AI134" s="120" t="s">
        <v>1814</v>
      </c>
      <c r="AJ134" s="120" t="s">
        <v>2562</v>
      </c>
      <c r="AK134" s="200" t="s">
        <v>2534</v>
      </c>
      <c r="AL134" s="120" t="s">
        <v>6176</v>
      </c>
      <c r="AM134" s="200"/>
      <c r="AN134" s="143"/>
      <c r="AO134" s="143"/>
      <c r="AP134" s="143"/>
      <c r="AQ134" s="197">
        <v>0.0</v>
      </c>
      <c r="AR134" s="200"/>
      <c r="AS134" s="197">
        <v>0.0</v>
      </c>
      <c r="AT134" s="210"/>
      <c r="AU134" s="98">
        <v>0.0</v>
      </c>
      <c r="AV134" s="98">
        <v>1.0</v>
      </c>
      <c r="AW134" s="110"/>
      <c r="AX134" s="98">
        <v>0.0</v>
      </c>
      <c r="AY134" s="98">
        <v>0.0</v>
      </c>
      <c r="AZ134" s="69"/>
      <c r="BA134" s="198" t="s">
        <v>2971</v>
      </c>
      <c r="BB134" s="198"/>
      <c r="BC134" s="198"/>
      <c r="BD134" s="198"/>
      <c r="BE134" s="56"/>
      <c r="BF134" s="198"/>
      <c r="BG134" s="198"/>
      <c r="BH134" s="56"/>
      <c r="BI134" s="56"/>
      <c r="BJ134" s="56"/>
      <c r="BT134" s="56"/>
      <c r="BU134" s="56"/>
      <c r="BV134" s="56"/>
      <c r="BW134" s="56" t="s">
        <v>23</v>
      </c>
    </row>
    <row r="135">
      <c r="A135" s="197">
        <v>13.0</v>
      </c>
      <c r="B135" s="34" t="s">
        <v>241</v>
      </c>
      <c r="C135" s="206">
        <v>1.0</v>
      </c>
      <c r="D135" s="130" t="s">
        <v>242</v>
      </c>
      <c r="E135" s="56"/>
      <c r="F135" s="130" t="s">
        <v>6177</v>
      </c>
      <c r="G135" s="56"/>
      <c r="H135" s="197"/>
      <c r="I135" s="98"/>
      <c r="J135" s="34"/>
      <c r="K135" s="200"/>
      <c r="L135" s="200"/>
      <c r="M135" s="69"/>
      <c r="N135" s="35" t="s">
        <v>6178</v>
      </c>
      <c r="O135" s="111">
        <v>1978.0</v>
      </c>
      <c r="P135" s="183" t="s">
        <v>6179</v>
      </c>
      <c r="Q135" s="198"/>
      <c r="R135" s="198"/>
      <c r="S135" s="198"/>
      <c r="T135" s="98"/>
      <c r="U135" s="69"/>
      <c r="V135" s="120"/>
      <c r="W135" s="143"/>
      <c r="X135" s="34" t="s">
        <v>6180</v>
      </c>
      <c r="Y135" s="104" t="s">
        <v>35</v>
      </c>
      <c r="Z135" s="104"/>
      <c r="AA135" s="104" t="s">
        <v>4441</v>
      </c>
      <c r="AB135" s="120"/>
      <c r="AC135" s="104" t="s">
        <v>6181</v>
      </c>
      <c r="AD135" s="9" t="s">
        <v>6182</v>
      </c>
      <c r="AE135" s="120"/>
      <c r="AF135" s="120"/>
      <c r="AG135" s="120"/>
      <c r="AH135" s="6" t="s">
        <v>6183</v>
      </c>
      <c r="AI135" s="120"/>
      <c r="AJ135" s="120"/>
      <c r="AK135" s="200"/>
      <c r="AL135" s="120"/>
      <c r="AM135" s="200"/>
      <c r="AN135" s="143"/>
      <c r="AO135" s="143"/>
      <c r="AP135" s="143"/>
      <c r="AQ135" s="197"/>
      <c r="AR135" s="200"/>
      <c r="AS135" s="197"/>
      <c r="AT135" s="210"/>
      <c r="AU135" s="98"/>
      <c r="AV135" s="111">
        <v>1.0</v>
      </c>
      <c r="AW135" s="35" t="s">
        <v>3737</v>
      </c>
      <c r="AX135" s="98"/>
      <c r="AY135" s="98"/>
      <c r="AZ135" s="177" t="s">
        <v>6184</v>
      </c>
      <c r="BA135" s="198"/>
      <c r="BB135" s="198"/>
      <c r="BC135" s="198"/>
      <c r="BD135" s="198"/>
      <c r="BE135" s="56"/>
      <c r="BF135" s="198"/>
      <c r="BG135" s="198"/>
      <c r="BH135" s="56"/>
      <c r="BI135" s="56"/>
      <c r="BJ135" s="56"/>
      <c r="BT135" s="56"/>
      <c r="BU135" s="56"/>
      <c r="BV135" s="56"/>
      <c r="BW135" s="56"/>
    </row>
    <row r="136">
      <c r="A136" s="197">
        <v>13.0</v>
      </c>
      <c r="B136" s="34" t="s">
        <v>241</v>
      </c>
      <c r="C136" s="206">
        <v>1.0</v>
      </c>
      <c r="D136" s="16" t="s">
        <v>6185</v>
      </c>
      <c r="E136" s="56"/>
      <c r="F136" s="130" t="s">
        <v>6186</v>
      </c>
      <c r="G136" s="56"/>
      <c r="H136" s="197"/>
      <c r="I136" s="98"/>
      <c r="J136" s="34"/>
      <c r="K136" s="200"/>
      <c r="L136" s="200"/>
      <c r="M136" s="69"/>
      <c r="N136" s="35" t="s">
        <v>6178</v>
      </c>
      <c r="O136" s="111">
        <v>1978.0</v>
      </c>
      <c r="P136" s="183" t="s">
        <v>6179</v>
      </c>
      <c r="Q136" s="198"/>
      <c r="R136" s="198"/>
      <c r="S136" s="198"/>
      <c r="T136" s="98"/>
      <c r="U136" s="69"/>
      <c r="V136" s="120"/>
      <c r="W136" s="143"/>
      <c r="X136" s="34" t="s">
        <v>2933</v>
      </c>
      <c r="Y136" s="104" t="s">
        <v>2933</v>
      </c>
      <c r="Z136" s="120"/>
      <c r="AA136" s="120"/>
      <c r="AB136" s="120"/>
      <c r="AC136" s="120"/>
      <c r="AD136" s="9" t="s">
        <v>3397</v>
      </c>
      <c r="AE136" s="120"/>
      <c r="AF136" s="120"/>
      <c r="AG136" s="120"/>
      <c r="AH136" s="6" t="s">
        <v>6183</v>
      </c>
      <c r="AI136" s="120"/>
      <c r="AJ136" s="120"/>
      <c r="AK136" s="200"/>
      <c r="AL136" s="120"/>
      <c r="AM136" s="200"/>
      <c r="AN136" s="143"/>
      <c r="AO136" s="143"/>
      <c r="AP136" s="143"/>
      <c r="AQ136" s="197"/>
      <c r="AR136" s="200"/>
      <c r="AS136" s="197"/>
      <c r="AT136" s="210"/>
      <c r="AU136" s="98"/>
      <c r="AV136" s="111">
        <v>1.0</v>
      </c>
      <c r="AW136" s="35" t="s">
        <v>6187</v>
      </c>
      <c r="AX136" s="98"/>
      <c r="AY136" s="98"/>
      <c r="AZ136" s="211" t="s">
        <v>6188</v>
      </c>
      <c r="BA136" s="198"/>
      <c r="BB136" s="198"/>
      <c r="BC136" s="198"/>
      <c r="BD136" s="198"/>
      <c r="BE136" s="56"/>
      <c r="BF136" s="198"/>
      <c r="BG136" s="198"/>
      <c r="BH136" s="56"/>
      <c r="BI136" s="56"/>
      <c r="BJ136" s="56"/>
      <c r="BT136" s="56"/>
      <c r="BU136" s="56"/>
      <c r="BV136" s="56"/>
      <c r="BW136" s="56"/>
    </row>
    <row r="137">
      <c r="A137" s="197">
        <v>13.0</v>
      </c>
      <c r="B137" s="34" t="s">
        <v>241</v>
      </c>
      <c r="C137" s="206">
        <v>0.0</v>
      </c>
      <c r="E137" s="56"/>
      <c r="F137" s="130" t="s">
        <v>6186</v>
      </c>
      <c r="G137" s="56"/>
      <c r="H137" s="197"/>
      <c r="I137" s="98"/>
      <c r="J137" s="34"/>
      <c r="K137" s="200"/>
      <c r="L137" s="200"/>
      <c r="M137" s="69"/>
      <c r="N137" s="69" t="s">
        <v>2494</v>
      </c>
      <c r="O137" s="111">
        <v>1976.0</v>
      </c>
      <c r="P137" s="183" t="s">
        <v>6189</v>
      </c>
      <c r="Q137" s="198"/>
      <c r="R137" s="198"/>
      <c r="S137" s="198"/>
      <c r="T137" s="98"/>
      <c r="U137" s="69"/>
      <c r="V137" s="120"/>
      <c r="W137" s="143"/>
      <c r="X137" s="34" t="s">
        <v>2933</v>
      </c>
      <c r="Y137" s="120"/>
      <c r="Z137" s="120"/>
      <c r="AA137" s="120"/>
      <c r="AB137" s="120"/>
      <c r="AC137" s="120"/>
      <c r="AD137" s="235"/>
      <c r="AE137" s="120"/>
      <c r="AF137" s="120"/>
      <c r="AG137" s="120"/>
      <c r="AH137" s="6" t="s">
        <v>6183</v>
      </c>
      <c r="AI137" s="120"/>
      <c r="AJ137" s="120"/>
      <c r="AK137" s="200"/>
      <c r="AL137" s="120"/>
      <c r="AM137" s="200"/>
      <c r="AN137" s="143"/>
      <c r="AO137" s="143"/>
      <c r="AP137" s="143"/>
      <c r="AQ137" s="197"/>
      <c r="AR137" s="200"/>
      <c r="AS137" s="197"/>
      <c r="AT137" s="210"/>
      <c r="AU137" s="98"/>
      <c r="AV137" s="111">
        <v>1.0</v>
      </c>
      <c r="AW137" s="35" t="s">
        <v>6190</v>
      </c>
      <c r="AX137" s="98"/>
      <c r="AY137" s="98"/>
      <c r="AZ137" s="177" t="s">
        <v>6191</v>
      </c>
      <c r="BA137" s="198"/>
      <c r="BB137" s="198"/>
      <c r="BC137" s="198"/>
      <c r="BD137" s="198"/>
      <c r="BE137" s="56"/>
      <c r="BF137" s="198"/>
      <c r="BG137" s="198"/>
      <c r="BH137" s="56"/>
      <c r="BI137" s="56"/>
      <c r="BJ137" s="56"/>
      <c r="BT137" s="56"/>
      <c r="BU137" s="56"/>
      <c r="BV137" s="56"/>
      <c r="BW137" s="56"/>
    </row>
    <row r="138">
      <c r="A138" s="197">
        <v>13.0</v>
      </c>
      <c r="B138" s="34" t="s">
        <v>241</v>
      </c>
      <c r="C138" s="206">
        <v>1.0</v>
      </c>
      <c r="D138" s="16" t="s">
        <v>248</v>
      </c>
      <c r="E138" s="56"/>
      <c r="F138" s="130" t="s">
        <v>6192</v>
      </c>
      <c r="G138" s="56"/>
      <c r="H138" s="197"/>
      <c r="I138" s="98"/>
      <c r="J138" s="34"/>
      <c r="K138" s="200"/>
      <c r="L138" s="200"/>
      <c r="M138" s="69"/>
      <c r="N138" s="69" t="s">
        <v>3675</v>
      </c>
      <c r="O138" s="111">
        <v>1976.0</v>
      </c>
      <c r="P138" s="183" t="s">
        <v>6193</v>
      </c>
      <c r="Q138" s="198"/>
      <c r="R138" s="198"/>
      <c r="S138" s="198"/>
      <c r="T138" s="98"/>
      <c r="U138" s="69"/>
      <c r="V138" s="120"/>
      <c r="W138" s="143"/>
      <c r="X138" s="34" t="s">
        <v>2933</v>
      </c>
      <c r="Y138" s="104" t="s">
        <v>6194</v>
      </c>
      <c r="Z138" s="120"/>
      <c r="AA138" s="104" t="s">
        <v>6195</v>
      </c>
      <c r="AB138" s="120"/>
      <c r="AC138" s="120"/>
      <c r="AD138" s="235"/>
      <c r="AE138" s="120"/>
      <c r="AF138" s="120"/>
      <c r="AG138" s="120"/>
      <c r="AH138" s="6" t="s">
        <v>6183</v>
      </c>
      <c r="AI138" s="120"/>
      <c r="AJ138" s="120"/>
      <c r="AK138" s="200"/>
      <c r="AL138" s="120"/>
      <c r="AM138" s="200"/>
      <c r="AN138" s="143"/>
      <c r="AO138" s="143"/>
      <c r="AP138" s="143"/>
      <c r="AQ138" s="197"/>
      <c r="AR138" s="200"/>
      <c r="AS138" s="197"/>
      <c r="AT138" s="210"/>
      <c r="AU138" s="98"/>
      <c r="AV138" s="111">
        <v>1.0</v>
      </c>
      <c r="AW138" s="35" t="s">
        <v>6187</v>
      </c>
      <c r="AX138" s="98"/>
      <c r="AY138" s="98"/>
      <c r="AZ138" s="177" t="s">
        <v>6196</v>
      </c>
      <c r="BA138" s="198"/>
      <c r="BB138" s="198"/>
      <c r="BC138" s="198"/>
      <c r="BD138" s="198"/>
      <c r="BE138" s="56"/>
      <c r="BF138" s="198"/>
      <c r="BG138" s="198"/>
      <c r="BH138" s="56"/>
      <c r="BI138" s="56"/>
      <c r="BJ138" s="56"/>
      <c r="BT138" s="56"/>
      <c r="BU138" s="56"/>
      <c r="BV138" s="56"/>
      <c r="BW138" s="56"/>
    </row>
    <row r="139">
      <c r="A139" s="197">
        <v>13.0</v>
      </c>
      <c r="B139" s="34" t="s">
        <v>241</v>
      </c>
      <c r="C139" s="206">
        <v>1.0</v>
      </c>
      <c r="D139" s="16" t="s">
        <v>242</v>
      </c>
      <c r="E139" s="56"/>
      <c r="F139" s="130" t="s">
        <v>6192</v>
      </c>
      <c r="G139" s="56"/>
      <c r="H139" s="197"/>
      <c r="I139" s="98"/>
      <c r="J139" s="34"/>
      <c r="K139" s="200"/>
      <c r="L139" s="200"/>
      <c r="M139" s="69"/>
      <c r="N139" s="69" t="s">
        <v>3675</v>
      </c>
      <c r="O139" s="111">
        <v>1976.0</v>
      </c>
      <c r="P139" s="183" t="s">
        <v>6193</v>
      </c>
      <c r="Q139" s="198"/>
      <c r="R139" s="198"/>
      <c r="S139" s="198"/>
      <c r="T139" s="98"/>
      <c r="U139" s="69"/>
      <c r="V139" s="120"/>
      <c r="W139" s="143"/>
      <c r="X139" s="34" t="s">
        <v>2933</v>
      </c>
      <c r="Y139" s="104" t="s">
        <v>2933</v>
      </c>
      <c r="Z139" s="120"/>
      <c r="AA139" s="104" t="s">
        <v>6197</v>
      </c>
      <c r="AB139" s="120"/>
      <c r="AC139" s="104"/>
      <c r="AD139" s="9" t="s">
        <v>3397</v>
      </c>
      <c r="AE139" s="120"/>
      <c r="AF139" s="120"/>
      <c r="AG139" s="120"/>
      <c r="AH139" s="6" t="s">
        <v>6183</v>
      </c>
      <c r="AI139" s="120"/>
      <c r="AJ139" s="120"/>
      <c r="AK139" s="200"/>
      <c r="AL139" s="120"/>
      <c r="AM139" s="200"/>
      <c r="AN139" s="143"/>
      <c r="AO139" s="143"/>
      <c r="AP139" s="143"/>
      <c r="AQ139" s="197"/>
      <c r="AR139" s="200"/>
      <c r="AS139" s="197"/>
      <c r="AT139" s="210"/>
      <c r="AU139" s="98"/>
      <c r="AV139" s="111">
        <v>1.0</v>
      </c>
      <c r="AW139" s="35" t="s">
        <v>114</v>
      </c>
      <c r="AX139" s="98"/>
      <c r="AY139" s="98"/>
      <c r="AZ139" s="177" t="s">
        <v>6198</v>
      </c>
      <c r="BA139" s="198"/>
      <c r="BB139" s="198"/>
      <c r="BC139" s="198"/>
      <c r="BD139" s="198"/>
      <c r="BE139" s="56"/>
      <c r="BF139" s="198"/>
      <c r="BG139" s="198"/>
      <c r="BH139" s="56"/>
      <c r="BI139" s="56"/>
      <c r="BJ139" s="56"/>
      <c r="BT139" s="56"/>
      <c r="BU139" s="56"/>
      <c r="BV139" s="56"/>
      <c r="BW139" s="56"/>
    </row>
    <row r="140">
      <c r="A140" s="197">
        <v>13.0</v>
      </c>
      <c r="B140" s="34" t="s">
        <v>241</v>
      </c>
      <c r="C140" s="206">
        <v>1.0</v>
      </c>
      <c r="D140" s="16" t="s">
        <v>6185</v>
      </c>
      <c r="E140" s="56"/>
      <c r="F140" s="130" t="s">
        <v>6192</v>
      </c>
      <c r="G140" s="56"/>
      <c r="H140" s="197"/>
      <c r="I140" s="98"/>
      <c r="J140" s="34"/>
      <c r="K140" s="200"/>
      <c r="L140" s="200"/>
      <c r="M140" s="69"/>
      <c r="N140" s="69" t="s">
        <v>6199</v>
      </c>
      <c r="O140" s="111">
        <v>1979.0</v>
      </c>
      <c r="P140" s="183" t="s">
        <v>6200</v>
      </c>
      <c r="Q140" s="198"/>
      <c r="R140" s="198"/>
      <c r="S140" s="198"/>
      <c r="T140" s="98"/>
      <c r="U140" s="69"/>
      <c r="V140" s="120"/>
      <c r="W140" s="143"/>
      <c r="X140" s="34" t="s">
        <v>2933</v>
      </c>
      <c r="Y140" s="104" t="s">
        <v>2933</v>
      </c>
      <c r="Z140" s="180" t="s">
        <v>6200</v>
      </c>
      <c r="AA140" s="104" t="s">
        <v>6201</v>
      </c>
      <c r="AB140" s="120"/>
      <c r="AC140" s="120"/>
      <c r="AD140" s="9" t="s">
        <v>3397</v>
      </c>
      <c r="AE140" s="120"/>
      <c r="AF140" s="120"/>
      <c r="AG140" s="120"/>
      <c r="AH140" s="6" t="s">
        <v>6183</v>
      </c>
      <c r="AI140" s="120"/>
      <c r="AJ140" s="120"/>
      <c r="AK140" s="200"/>
      <c r="AL140" s="120"/>
      <c r="AM140" s="200"/>
      <c r="AN140" s="143"/>
      <c r="AO140" s="143"/>
      <c r="AP140" s="143"/>
      <c r="AQ140" s="197"/>
      <c r="AR140" s="200"/>
      <c r="AS140" s="197"/>
      <c r="AT140" s="210"/>
      <c r="AU140" s="98"/>
      <c r="AV140" s="111">
        <v>1.0</v>
      </c>
      <c r="AW140" s="35" t="s">
        <v>6202</v>
      </c>
      <c r="AX140" s="98"/>
      <c r="AY140" s="98"/>
      <c r="AZ140" s="177" t="s">
        <v>6203</v>
      </c>
      <c r="BA140" s="198"/>
      <c r="BB140" s="198"/>
      <c r="BC140" s="198"/>
      <c r="BD140" s="198"/>
      <c r="BE140" s="56"/>
      <c r="BF140" s="198"/>
      <c r="BG140" s="198"/>
      <c r="BH140" s="56"/>
      <c r="BI140" s="56"/>
      <c r="BJ140" s="56"/>
      <c r="BT140" s="56"/>
      <c r="BU140" s="56"/>
      <c r="BV140" s="56"/>
      <c r="BW140" s="56"/>
    </row>
    <row r="141">
      <c r="A141" s="197">
        <v>13.0</v>
      </c>
      <c r="B141" s="34" t="s">
        <v>241</v>
      </c>
      <c r="C141" s="206">
        <v>0.0</v>
      </c>
      <c r="E141" s="56"/>
      <c r="F141" s="130" t="s">
        <v>6192</v>
      </c>
      <c r="G141" s="56"/>
      <c r="H141" s="197"/>
      <c r="I141" s="98"/>
      <c r="J141" s="34"/>
      <c r="K141" s="200"/>
      <c r="L141" s="200"/>
      <c r="M141" s="69"/>
      <c r="N141" s="69" t="s">
        <v>6204</v>
      </c>
      <c r="O141" s="111">
        <v>1979.0</v>
      </c>
      <c r="P141" s="183" t="s">
        <v>6205</v>
      </c>
      <c r="Q141" s="198"/>
      <c r="R141" s="198"/>
      <c r="S141" s="198"/>
      <c r="T141" s="98"/>
      <c r="U141" s="69"/>
      <c r="V141" s="120"/>
      <c r="W141" s="143"/>
      <c r="X141" s="34" t="s">
        <v>2933</v>
      </c>
      <c r="Y141" s="120"/>
      <c r="Z141" s="120"/>
      <c r="AA141" s="120"/>
      <c r="AB141" s="120"/>
      <c r="AC141" s="120"/>
      <c r="AD141" s="235"/>
      <c r="AE141" s="120"/>
      <c r="AF141" s="120"/>
      <c r="AG141" s="120"/>
      <c r="AH141" s="9" t="s">
        <v>6206</v>
      </c>
      <c r="AI141" s="120"/>
      <c r="AJ141" s="120"/>
      <c r="AK141" s="200"/>
      <c r="AL141" s="120"/>
      <c r="AM141" s="200"/>
      <c r="AN141" s="143"/>
      <c r="AO141" s="143"/>
      <c r="AP141" s="143"/>
      <c r="AQ141" s="197"/>
      <c r="AR141" s="200"/>
      <c r="AS141" s="197"/>
      <c r="AT141" s="210"/>
      <c r="AU141" s="98"/>
      <c r="AV141" s="111">
        <v>1.0</v>
      </c>
      <c r="AW141" s="35" t="s">
        <v>6207</v>
      </c>
      <c r="AX141" s="98"/>
      <c r="AY141" s="98"/>
      <c r="AZ141" s="177" t="s">
        <v>6208</v>
      </c>
      <c r="BA141" s="198"/>
      <c r="BB141" s="198"/>
      <c r="BC141" s="198"/>
      <c r="BD141" s="198"/>
      <c r="BE141" s="56"/>
      <c r="BF141" s="198"/>
      <c r="BG141" s="198"/>
      <c r="BH141" s="56"/>
      <c r="BI141" s="56"/>
      <c r="BJ141" s="56"/>
      <c r="BT141" s="56"/>
      <c r="BU141" s="56"/>
      <c r="BV141" s="56"/>
      <c r="BW141" s="56"/>
    </row>
    <row r="142">
      <c r="A142" s="197">
        <v>13.0</v>
      </c>
      <c r="B142" s="34" t="s">
        <v>241</v>
      </c>
      <c r="C142" s="206">
        <v>0.0</v>
      </c>
      <c r="E142" s="56"/>
      <c r="F142" s="130" t="s">
        <v>6192</v>
      </c>
      <c r="G142" s="56"/>
      <c r="H142" s="197"/>
      <c r="I142" s="98"/>
      <c r="J142" s="34"/>
      <c r="K142" s="200"/>
      <c r="L142" s="200"/>
      <c r="M142" s="69"/>
      <c r="N142" s="69" t="s">
        <v>5860</v>
      </c>
      <c r="O142" s="111">
        <v>1980.0</v>
      </c>
      <c r="P142" s="183" t="s">
        <v>6209</v>
      </c>
      <c r="Q142" s="198"/>
      <c r="R142" s="198"/>
      <c r="S142" s="198"/>
      <c r="T142" s="98"/>
      <c r="U142" s="69"/>
      <c r="V142" s="120"/>
      <c r="W142" s="143"/>
      <c r="X142" s="34" t="s">
        <v>6210</v>
      </c>
      <c r="Y142" s="120"/>
      <c r="Z142" s="120"/>
      <c r="AA142" s="120"/>
      <c r="AB142" s="120"/>
      <c r="AC142" s="120"/>
      <c r="AD142" s="235"/>
      <c r="AE142" s="120"/>
      <c r="AF142" s="120"/>
      <c r="AG142" s="120"/>
      <c r="AH142" s="6" t="s">
        <v>6183</v>
      </c>
      <c r="AI142" s="120"/>
      <c r="AJ142" s="120"/>
      <c r="AK142" s="200"/>
      <c r="AL142" s="120"/>
      <c r="AM142" s="200"/>
      <c r="AN142" s="143"/>
      <c r="AO142" s="143"/>
      <c r="AP142" s="143"/>
      <c r="AQ142" s="197"/>
      <c r="AR142" s="200"/>
      <c r="AS142" s="197"/>
      <c r="AT142" s="210"/>
      <c r="AU142" s="98"/>
      <c r="AV142" s="111">
        <v>1.0</v>
      </c>
      <c r="AW142" s="35" t="s">
        <v>22</v>
      </c>
      <c r="AX142" s="98"/>
      <c r="AY142" s="98"/>
      <c r="AZ142" s="177" t="s">
        <v>6211</v>
      </c>
      <c r="BA142" s="198"/>
      <c r="BB142" s="198"/>
      <c r="BC142" s="198"/>
      <c r="BD142" s="198"/>
      <c r="BE142" s="56"/>
      <c r="BF142" s="198"/>
      <c r="BG142" s="198"/>
      <c r="BH142" s="56"/>
      <c r="BI142" s="56"/>
      <c r="BJ142" s="56"/>
      <c r="BT142" s="56"/>
      <c r="BU142" s="56"/>
      <c r="BV142" s="56"/>
      <c r="BW142" s="56"/>
    </row>
    <row r="143">
      <c r="A143" s="197">
        <v>13.0</v>
      </c>
      <c r="B143" s="34" t="s">
        <v>241</v>
      </c>
      <c r="C143" s="206">
        <v>1.0</v>
      </c>
      <c r="D143" s="16" t="s">
        <v>6185</v>
      </c>
      <c r="E143" s="56"/>
      <c r="F143" s="130"/>
      <c r="G143" s="56"/>
      <c r="H143" s="197"/>
      <c r="I143" s="98"/>
      <c r="J143" s="34"/>
      <c r="K143" s="200"/>
      <c r="L143" s="200"/>
      <c r="M143" s="69"/>
      <c r="N143" s="69" t="s">
        <v>6212</v>
      </c>
      <c r="O143" s="111">
        <v>1982.0</v>
      </c>
      <c r="P143" s="30" t="s">
        <v>6213</v>
      </c>
      <c r="Q143" s="198"/>
      <c r="R143" s="198"/>
      <c r="S143" s="198"/>
      <c r="T143" s="98"/>
      <c r="U143" s="69"/>
      <c r="V143" s="120"/>
      <c r="W143" s="143"/>
      <c r="X143" s="34" t="s">
        <v>2933</v>
      </c>
      <c r="Y143" s="104" t="s">
        <v>2933</v>
      </c>
      <c r="Z143" s="120"/>
      <c r="AA143" s="120"/>
      <c r="AB143" s="120"/>
      <c r="AC143" s="120"/>
      <c r="AD143" s="235"/>
      <c r="AE143" s="120"/>
      <c r="AF143" s="120"/>
      <c r="AG143" s="120"/>
      <c r="AH143" s="6" t="s">
        <v>6183</v>
      </c>
      <c r="AI143" s="120"/>
      <c r="AJ143" s="120"/>
      <c r="AK143" s="200"/>
      <c r="AL143" s="120"/>
      <c r="AM143" s="200"/>
      <c r="AN143" s="143"/>
      <c r="AO143" s="143"/>
      <c r="AP143" s="143"/>
      <c r="AQ143" s="197"/>
      <c r="AR143" s="200"/>
      <c r="AS143" s="197"/>
      <c r="AT143" s="210"/>
      <c r="AU143" s="98"/>
      <c r="AV143" s="111">
        <v>1.0</v>
      </c>
      <c r="AW143" s="35" t="s">
        <v>6214</v>
      </c>
      <c r="AX143" s="98"/>
      <c r="AY143" s="98"/>
      <c r="AZ143" s="211" t="s">
        <v>6215</v>
      </c>
      <c r="BA143" s="198"/>
      <c r="BB143" s="198"/>
      <c r="BC143" s="198"/>
      <c r="BD143" s="198"/>
      <c r="BE143" s="56"/>
      <c r="BF143" s="198"/>
      <c r="BG143" s="198"/>
      <c r="BH143" s="56"/>
      <c r="BI143" s="56"/>
      <c r="BJ143" s="56"/>
      <c r="BT143" s="56"/>
      <c r="BU143" s="56"/>
      <c r="BV143" s="56"/>
      <c r="BW143" s="56"/>
    </row>
    <row r="144">
      <c r="A144" s="197">
        <v>13.0</v>
      </c>
      <c r="B144" s="34" t="s">
        <v>241</v>
      </c>
      <c r="C144" s="206">
        <v>0.0</v>
      </c>
      <c r="E144" s="56"/>
      <c r="F144" s="130" t="s">
        <v>6192</v>
      </c>
      <c r="G144" s="56"/>
      <c r="H144" s="197"/>
      <c r="I144" s="98"/>
      <c r="J144" s="34"/>
      <c r="K144" s="200"/>
      <c r="L144" s="200"/>
      <c r="M144" s="69"/>
      <c r="N144" s="69" t="s">
        <v>6216</v>
      </c>
      <c r="O144" s="111">
        <v>1981.0</v>
      </c>
      <c r="P144" s="183" t="s">
        <v>6217</v>
      </c>
      <c r="Q144" s="198"/>
      <c r="R144" s="198"/>
      <c r="S144" s="198"/>
      <c r="T144" s="98"/>
      <c r="U144" s="69"/>
      <c r="V144" s="120"/>
      <c r="W144" s="143"/>
      <c r="X144" s="34" t="s">
        <v>6218</v>
      </c>
      <c r="Y144" s="120"/>
      <c r="Z144" s="120"/>
      <c r="AA144" s="120"/>
      <c r="AB144" s="120"/>
      <c r="AC144" s="120"/>
      <c r="AD144" s="235"/>
      <c r="AE144" s="120"/>
      <c r="AF144" s="120"/>
      <c r="AG144" s="120"/>
      <c r="AH144" s="6" t="s">
        <v>6183</v>
      </c>
      <c r="AI144" s="120"/>
      <c r="AJ144" s="120"/>
      <c r="AK144" s="200"/>
      <c r="AL144" s="120"/>
      <c r="AM144" s="200"/>
      <c r="AN144" s="143"/>
      <c r="AO144" s="143"/>
      <c r="AP144" s="143"/>
      <c r="AQ144" s="197"/>
      <c r="AR144" s="200"/>
      <c r="AS144" s="197"/>
      <c r="AT144" s="210"/>
      <c r="AU144" s="98"/>
      <c r="AV144" s="111">
        <v>1.0</v>
      </c>
      <c r="AW144" s="35" t="s">
        <v>6219</v>
      </c>
      <c r="AX144" s="98"/>
      <c r="AY144" s="98"/>
      <c r="AZ144" s="177" t="s">
        <v>6220</v>
      </c>
      <c r="BA144" s="198"/>
      <c r="BB144" s="198"/>
      <c r="BC144" s="198"/>
      <c r="BD144" s="198"/>
      <c r="BE144" s="56"/>
      <c r="BF144" s="198"/>
      <c r="BG144" s="198"/>
      <c r="BH144" s="56"/>
      <c r="BI144" s="56"/>
      <c r="BJ144" s="56"/>
      <c r="BT144" s="56"/>
      <c r="BU144" s="56"/>
      <c r="BV144" s="56"/>
      <c r="BW144" s="56"/>
    </row>
    <row r="145">
      <c r="A145" s="197">
        <v>13.0</v>
      </c>
      <c r="B145" s="34" t="s">
        <v>241</v>
      </c>
      <c r="C145" s="206">
        <v>0.0</v>
      </c>
      <c r="E145" s="56"/>
      <c r="F145" s="130" t="s">
        <v>6192</v>
      </c>
      <c r="G145" s="56"/>
      <c r="H145" s="197"/>
      <c r="I145" s="98"/>
      <c r="J145" s="34"/>
      <c r="K145" s="200"/>
      <c r="L145" s="200"/>
      <c r="M145" s="69"/>
      <c r="N145" s="69" t="s">
        <v>6216</v>
      </c>
      <c r="O145" s="111">
        <v>1981.0</v>
      </c>
      <c r="P145" s="183" t="s">
        <v>6217</v>
      </c>
      <c r="Q145" s="198"/>
      <c r="R145" s="198"/>
      <c r="S145" s="198"/>
      <c r="T145" s="98"/>
      <c r="U145" s="69"/>
      <c r="V145" s="120"/>
      <c r="W145" s="143"/>
      <c r="X145" s="34" t="s">
        <v>2933</v>
      </c>
      <c r="Y145" s="120"/>
      <c r="Z145" s="120"/>
      <c r="AA145" s="120"/>
      <c r="AB145" s="120"/>
      <c r="AC145" s="120"/>
      <c r="AD145" s="235"/>
      <c r="AE145" s="120"/>
      <c r="AF145" s="120"/>
      <c r="AG145" s="120"/>
      <c r="AH145" s="6" t="s">
        <v>6183</v>
      </c>
      <c r="AI145" s="120"/>
      <c r="AJ145" s="120"/>
      <c r="AK145" s="200"/>
      <c r="AL145" s="120"/>
      <c r="AM145" s="200"/>
      <c r="AN145" s="143"/>
      <c r="AO145" s="143"/>
      <c r="AP145" s="143"/>
      <c r="AQ145" s="197"/>
      <c r="AR145" s="200"/>
      <c r="AS145" s="197"/>
      <c r="AT145" s="210"/>
      <c r="AU145" s="98"/>
      <c r="AV145" s="111">
        <v>1.0</v>
      </c>
      <c r="AW145" s="35" t="s">
        <v>6221</v>
      </c>
      <c r="AX145" s="98"/>
      <c r="AY145" s="98"/>
      <c r="AZ145" s="177" t="s">
        <v>6222</v>
      </c>
      <c r="BA145" s="198"/>
      <c r="BB145" s="198"/>
      <c r="BC145" s="198"/>
      <c r="BD145" s="198"/>
      <c r="BE145" s="56"/>
      <c r="BF145" s="198"/>
      <c r="BG145" s="198"/>
      <c r="BH145" s="56"/>
      <c r="BI145" s="56"/>
      <c r="BJ145" s="56"/>
      <c r="BT145" s="56"/>
      <c r="BU145" s="56"/>
      <c r="BV145" s="56"/>
      <c r="BW145" s="56"/>
    </row>
    <row r="146">
      <c r="A146" s="197">
        <v>13.0</v>
      </c>
      <c r="B146" s="34" t="s">
        <v>241</v>
      </c>
      <c r="C146" s="206">
        <v>0.0</v>
      </c>
      <c r="E146" s="56"/>
      <c r="F146" s="130" t="s">
        <v>6192</v>
      </c>
      <c r="G146" s="56"/>
      <c r="H146" s="197"/>
      <c r="I146" s="98"/>
      <c r="J146" s="34"/>
      <c r="K146" s="200"/>
      <c r="L146" s="200"/>
      <c r="M146" s="69"/>
      <c r="N146" s="69" t="s">
        <v>6223</v>
      </c>
      <c r="O146" s="111">
        <v>1981.0</v>
      </c>
      <c r="P146" s="183" t="s">
        <v>6224</v>
      </c>
      <c r="Q146" s="198"/>
      <c r="R146" s="198"/>
      <c r="S146" s="198"/>
      <c r="T146" s="98"/>
      <c r="U146" s="69"/>
      <c r="V146" s="120"/>
      <c r="W146" s="143"/>
      <c r="X146" s="34" t="s">
        <v>1095</v>
      </c>
      <c r="Y146" s="120"/>
      <c r="Z146" s="120"/>
      <c r="AA146" s="120"/>
      <c r="AB146" s="120"/>
      <c r="AC146" s="120"/>
      <c r="AD146" s="235"/>
      <c r="AE146" s="120"/>
      <c r="AF146" s="120"/>
      <c r="AG146" s="120"/>
      <c r="AH146" s="9" t="s">
        <v>6225</v>
      </c>
      <c r="AI146" s="120"/>
      <c r="AJ146" s="120"/>
      <c r="AK146" s="200"/>
      <c r="AL146" s="120"/>
      <c r="AM146" s="200"/>
      <c r="AN146" s="143"/>
      <c r="AO146" s="143"/>
      <c r="AP146" s="143"/>
      <c r="AQ146" s="197"/>
      <c r="AR146" s="200"/>
      <c r="AS146" s="197"/>
      <c r="AT146" s="210"/>
      <c r="AU146" s="98"/>
      <c r="AV146" s="111">
        <v>1.0</v>
      </c>
      <c r="AW146" s="35" t="s">
        <v>6226</v>
      </c>
      <c r="AX146" s="98"/>
      <c r="AY146" s="98"/>
      <c r="AZ146" s="177" t="s">
        <v>6227</v>
      </c>
      <c r="BA146" s="198"/>
      <c r="BB146" s="198"/>
      <c r="BC146" s="198"/>
      <c r="BD146" s="198"/>
      <c r="BE146" s="56"/>
      <c r="BF146" s="198"/>
      <c r="BG146" s="198"/>
      <c r="BH146" s="56"/>
      <c r="BI146" s="56"/>
      <c r="BJ146" s="56"/>
      <c r="BT146" s="56"/>
      <c r="BU146" s="56"/>
      <c r="BV146" s="56"/>
      <c r="BW146" s="56"/>
    </row>
    <row r="147">
      <c r="A147" s="197">
        <v>13.0</v>
      </c>
      <c r="B147" s="34" t="s">
        <v>241</v>
      </c>
      <c r="C147" s="206">
        <v>0.0</v>
      </c>
      <c r="E147" s="56"/>
      <c r="F147" s="130" t="s">
        <v>6192</v>
      </c>
      <c r="G147" s="56"/>
      <c r="H147" s="197"/>
      <c r="I147" s="98"/>
      <c r="J147" s="34"/>
      <c r="K147" s="200"/>
      <c r="L147" s="200"/>
      <c r="M147" s="69"/>
      <c r="N147" s="69" t="s">
        <v>6228</v>
      </c>
      <c r="O147" s="111">
        <v>1982.0</v>
      </c>
      <c r="P147" s="183" t="s">
        <v>6229</v>
      </c>
      <c r="Q147" s="198"/>
      <c r="R147" s="198"/>
      <c r="S147" s="198"/>
      <c r="T147" s="98"/>
      <c r="U147" s="69"/>
      <c r="V147" s="120"/>
      <c r="W147" s="143"/>
      <c r="X147" s="34" t="s">
        <v>2933</v>
      </c>
      <c r="Y147" s="120"/>
      <c r="Z147" s="120"/>
      <c r="AA147" s="120"/>
      <c r="AB147" s="120"/>
      <c r="AC147" s="120"/>
      <c r="AD147" s="235"/>
      <c r="AE147" s="120"/>
      <c r="AF147" s="120"/>
      <c r="AG147" s="120"/>
      <c r="AH147" s="6" t="s">
        <v>6230</v>
      </c>
      <c r="AI147" s="120"/>
      <c r="AJ147" s="120"/>
      <c r="AK147" s="200"/>
      <c r="AL147" s="120"/>
      <c r="AM147" s="200"/>
      <c r="AN147" s="143"/>
      <c r="AO147" s="143"/>
      <c r="AP147" s="143"/>
      <c r="AQ147" s="197"/>
      <c r="AR147" s="200"/>
      <c r="AS147" s="197"/>
      <c r="AT147" s="210"/>
      <c r="AU147" s="98"/>
      <c r="AV147" s="111">
        <v>1.0</v>
      </c>
      <c r="AW147" s="35" t="s">
        <v>6221</v>
      </c>
      <c r="AX147" s="98"/>
      <c r="AY147" s="98"/>
      <c r="AZ147" s="177" t="s">
        <v>6231</v>
      </c>
      <c r="BA147" s="198"/>
      <c r="BB147" s="198"/>
      <c r="BC147" s="198"/>
      <c r="BD147" s="198"/>
      <c r="BE147" s="56"/>
      <c r="BF147" s="198"/>
      <c r="BG147" s="198"/>
      <c r="BH147" s="56"/>
      <c r="BI147" s="56"/>
      <c r="BJ147" s="56"/>
      <c r="BT147" s="56"/>
      <c r="BU147" s="56"/>
      <c r="BV147" s="56"/>
      <c r="BW147" s="56"/>
    </row>
    <row r="148">
      <c r="A148" s="197">
        <v>13.0</v>
      </c>
      <c r="B148" s="34" t="s">
        <v>241</v>
      </c>
      <c r="C148" s="206">
        <v>0.0</v>
      </c>
      <c r="E148" s="56"/>
      <c r="F148" s="130" t="s">
        <v>6192</v>
      </c>
      <c r="G148" s="56"/>
      <c r="H148" s="197"/>
      <c r="I148" s="98"/>
      <c r="J148" s="34"/>
      <c r="K148" s="200"/>
      <c r="L148" s="200"/>
      <c r="M148" s="69"/>
      <c r="N148" s="69" t="s">
        <v>5897</v>
      </c>
      <c r="O148" s="111">
        <v>1982.0</v>
      </c>
      <c r="P148" s="34" t="s">
        <v>6232</v>
      </c>
      <c r="Q148" s="198"/>
      <c r="R148" s="198"/>
      <c r="S148" s="198"/>
      <c r="T148" s="98"/>
      <c r="U148" s="69"/>
      <c r="V148" s="120"/>
      <c r="W148" s="143"/>
      <c r="X148" s="34" t="s">
        <v>5798</v>
      </c>
      <c r="Y148" s="120"/>
      <c r="Z148" s="120"/>
      <c r="AA148" s="120"/>
      <c r="AB148" s="120"/>
      <c r="AC148" s="120"/>
      <c r="AD148" s="235"/>
      <c r="AE148" s="120"/>
      <c r="AF148" s="120"/>
      <c r="AG148" s="120"/>
      <c r="AH148" s="6" t="s">
        <v>6233</v>
      </c>
      <c r="AI148" s="120"/>
      <c r="AJ148" s="120"/>
      <c r="AK148" s="200"/>
      <c r="AL148" s="120"/>
      <c r="AM148" s="200"/>
      <c r="AN148" s="143"/>
      <c r="AO148" s="143"/>
      <c r="AP148" s="143"/>
      <c r="AQ148" s="197"/>
      <c r="AR148" s="200"/>
      <c r="AS148" s="197"/>
      <c r="AT148" s="210"/>
      <c r="AU148" s="98"/>
      <c r="AV148" s="111">
        <v>1.0</v>
      </c>
      <c r="AW148" s="35" t="s">
        <v>6207</v>
      </c>
      <c r="AX148" s="98"/>
      <c r="AY148" s="98"/>
      <c r="AZ148" s="177" t="s">
        <v>6234</v>
      </c>
      <c r="BA148" s="198"/>
      <c r="BB148" s="198"/>
      <c r="BC148" s="198"/>
      <c r="BD148" s="198"/>
      <c r="BE148" s="56"/>
      <c r="BF148" s="198"/>
      <c r="BG148" s="198"/>
      <c r="BH148" s="56"/>
      <c r="BI148" s="56"/>
      <c r="BJ148" s="56"/>
      <c r="BT148" s="56"/>
      <c r="BU148" s="56"/>
      <c r="BV148" s="56"/>
      <c r="BW148" s="56"/>
    </row>
    <row r="149">
      <c r="A149" s="197">
        <v>13.0</v>
      </c>
      <c r="B149" s="34" t="s">
        <v>241</v>
      </c>
      <c r="C149" s="206">
        <v>0.0</v>
      </c>
      <c r="E149" s="56"/>
      <c r="F149" s="130" t="s">
        <v>6186</v>
      </c>
      <c r="G149" s="56"/>
      <c r="H149" s="197"/>
      <c r="I149" s="98"/>
      <c r="J149" s="34"/>
      <c r="K149" s="200"/>
      <c r="L149" s="200"/>
      <c r="M149" s="69"/>
      <c r="N149" s="69" t="s">
        <v>6235</v>
      </c>
      <c r="O149" s="111">
        <v>1982.0</v>
      </c>
      <c r="P149" s="183" t="s">
        <v>6236</v>
      </c>
      <c r="Q149" s="198"/>
      <c r="R149" s="198"/>
      <c r="S149" s="198"/>
      <c r="T149" s="98"/>
      <c r="U149" s="69"/>
      <c r="V149" s="120"/>
      <c r="W149" s="143"/>
      <c r="X149" s="34" t="s">
        <v>5798</v>
      </c>
      <c r="Y149" s="120"/>
      <c r="Z149" s="120"/>
      <c r="AA149" s="120"/>
      <c r="AB149" s="120"/>
      <c r="AC149" s="120"/>
      <c r="AD149" s="235"/>
      <c r="AE149" s="120"/>
      <c r="AF149" s="120"/>
      <c r="AG149" s="120"/>
      <c r="AH149" s="6" t="s">
        <v>6237</v>
      </c>
      <c r="AI149" s="120"/>
      <c r="AJ149" s="120"/>
      <c r="AK149" s="200"/>
      <c r="AL149" s="120"/>
      <c r="AM149" s="200"/>
      <c r="AN149" s="143"/>
      <c r="AO149" s="143"/>
      <c r="AP149" s="143"/>
      <c r="AQ149" s="197"/>
      <c r="AR149" s="200"/>
      <c r="AS149" s="197"/>
      <c r="AT149" s="210"/>
      <c r="AU149" s="98"/>
      <c r="AV149" s="111">
        <v>1.0</v>
      </c>
      <c r="AW149" s="35" t="s">
        <v>6238</v>
      </c>
      <c r="AX149" s="98"/>
      <c r="AY149" s="98"/>
      <c r="AZ149" s="177" t="s">
        <v>6239</v>
      </c>
      <c r="BA149" s="198"/>
      <c r="BB149" s="198"/>
      <c r="BC149" s="198"/>
      <c r="BD149" s="198"/>
      <c r="BE149" s="56"/>
      <c r="BF149" s="198"/>
      <c r="BG149" s="198"/>
      <c r="BH149" s="56"/>
      <c r="BI149" s="56"/>
      <c r="BJ149" s="56"/>
      <c r="BT149" s="56"/>
      <c r="BU149" s="56"/>
      <c r="BV149" s="56"/>
      <c r="BW149" s="56"/>
    </row>
    <row r="150">
      <c r="A150" s="197">
        <v>13.0</v>
      </c>
      <c r="B150" s="34" t="s">
        <v>241</v>
      </c>
      <c r="C150" s="206">
        <v>0.0</v>
      </c>
      <c r="E150" s="56"/>
      <c r="F150" s="130" t="s">
        <v>6192</v>
      </c>
      <c r="G150" s="56"/>
      <c r="H150" s="197"/>
      <c r="I150" s="98"/>
      <c r="J150" s="34"/>
      <c r="K150" s="200"/>
      <c r="L150" s="200"/>
      <c r="M150" s="69"/>
      <c r="N150" s="69" t="s">
        <v>6240</v>
      </c>
      <c r="O150" s="111">
        <v>1982.0</v>
      </c>
      <c r="P150" s="183" t="s">
        <v>6241</v>
      </c>
      <c r="Q150" s="198"/>
      <c r="R150" s="198"/>
      <c r="S150" s="198"/>
      <c r="T150" s="98"/>
      <c r="U150" s="69"/>
      <c r="V150" s="120"/>
      <c r="W150" s="143"/>
      <c r="X150" s="34" t="s">
        <v>6242</v>
      </c>
      <c r="Y150" s="120"/>
      <c r="Z150" s="120"/>
      <c r="AA150" s="120"/>
      <c r="AB150" s="120"/>
      <c r="AC150" s="120"/>
      <c r="AD150" s="235"/>
      <c r="AE150" s="120"/>
      <c r="AF150" s="120"/>
      <c r="AG150" s="120"/>
      <c r="AH150" s="6" t="s">
        <v>6233</v>
      </c>
      <c r="AI150" s="120"/>
      <c r="AJ150" s="120"/>
      <c r="AK150" s="200"/>
      <c r="AL150" s="120"/>
      <c r="AM150" s="200"/>
      <c r="AN150" s="143"/>
      <c r="AO150" s="143"/>
      <c r="AP150" s="143"/>
      <c r="AQ150" s="197"/>
      <c r="AR150" s="200"/>
      <c r="AS150" s="197"/>
      <c r="AT150" s="210"/>
      <c r="AU150" s="98"/>
      <c r="AV150" s="111">
        <v>1.0</v>
      </c>
      <c r="AW150" s="35" t="s">
        <v>6243</v>
      </c>
      <c r="AX150" s="98"/>
      <c r="AY150" s="98"/>
      <c r="AZ150" s="177" t="s">
        <v>6244</v>
      </c>
      <c r="BA150" s="198"/>
      <c r="BB150" s="198"/>
      <c r="BC150" s="198"/>
      <c r="BD150" s="198"/>
      <c r="BE150" s="56"/>
      <c r="BF150" s="198"/>
      <c r="BG150" s="198"/>
      <c r="BH150" s="56"/>
      <c r="BI150" s="56"/>
      <c r="BJ150" s="56"/>
      <c r="BT150" s="56"/>
      <c r="BU150" s="56"/>
      <c r="BV150" s="56"/>
      <c r="BW150" s="56"/>
    </row>
    <row r="151">
      <c r="A151" s="197">
        <v>13.0</v>
      </c>
      <c r="B151" s="34" t="s">
        <v>241</v>
      </c>
      <c r="C151" s="206">
        <v>0.0</v>
      </c>
      <c r="E151" s="56"/>
      <c r="F151" s="130" t="s">
        <v>6192</v>
      </c>
      <c r="G151" s="56"/>
      <c r="H151" s="197"/>
      <c r="I151" s="98"/>
      <c r="J151" s="34"/>
      <c r="K151" s="200"/>
      <c r="L151" s="200"/>
      <c r="M151" s="69"/>
      <c r="N151" s="69" t="s">
        <v>6245</v>
      </c>
      <c r="O151" s="111">
        <v>1982.0</v>
      </c>
      <c r="P151" s="183" t="s">
        <v>6246</v>
      </c>
      <c r="Q151" s="198"/>
      <c r="R151" s="198"/>
      <c r="S151" s="198"/>
      <c r="T151" s="98"/>
      <c r="U151" s="69"/>
      <c r="V151" s="120"/>
      <c r="W151" s="143"/>
      <c r="X151" s="34" t="s">
        <v>6247</v>
      </c>
      <c r="Y151" s="120"/>
      <c r="Z151" s="120"/>
      <c r="AA151" s="120"/>
      <c r="AB151" s="120"/>
      <c r="AC151" s="120"/>
      <c r="AD151" s="235"/>
      <c r="AE151" s="120"/>
      <c r="AF151" s="120"/>
      <c r="AG151" s="120"/>
      <c r="AH151" s="9" t="s">
        <v>6225</v>
      </c>
      <c r="AI151" s="120"/>
      <c r="AJ151" s="120"/>
      <c r="AK151" s="200"/>
      <c r="AL151" s="120"/>
      <c r="AM151" s="200"/>
      <c r="AN151" s="143"/>
      <c r="AO151" s="143"/>
      <c r="AP151" s="143"/>
      <c r="AQ151" s="197"/>
      <c r="AR151" s="200"/>
      <c r="AS151" s="197"/>
      <c r="AT151" s="210"/>
      <c r="AU151" s="98"/>
      <c r="AV151" s="111">
        <v>1.0</v>
      </c>
      <c r="AW151" s="35" t="s">
        <v>22</v>
      </c>
      <c r="AX151" s="98"/>
      <c r="AY151" s="98"/>
      <c r="AZ151" s="177" t="s">
        <v>6248</v>
      </c>
      <c r="BA151" s="198"/>
      <c r="BB151" s="198"/>
      <c r="BC151" s="198"/>
      <c r="BD151" s="198"/>
      <c r="BE151" s="56"/>
      <c r="BF151" s="198"/>
      <c r="BG151" s="198"/>
      <c r="BH151" s="56"/>
      <c r="BI151" s="56"/>
      <c r="BJ151" s="56"/>
      <c r="BT151" s="56"/>
      <c r="BU151" s="56"/>
      <c r="BV151" s="56"/>
      <c r="BW151" s="56"/>
    </row>
    <row r="152">
      <c r="A152" s="197">
        <v>14.0</v>
      </c>
      <c r="B152" s="34" t="s">
        <v>263</v>
      </c>
      <c r="C152" s="206">
        <v>1.0</v>
      </c>
      <c r="D152" s="120" t="s">
        <v>264</v>
      </c>
      <c r="E152" s="197">
        <v>163.0</v>
      </c>
      <c r="F152" s="120" t="s">
        <v>3728</v>
      </c>
      <c r="G152" s="56"/>
      <c r="H152" s="197">
        <v>1.0</v>
      </c>
      <c r="I152" s="98">
        <v>1.0</v>
      </c>
      <c r="J152" s="110" t="s">
        <v>3729</v>
      </c>
      <c r="K152" s="120"/>
      <c r="L152" s="120"/>
      <c r="M152" s="69" t="str">
        <f t="shared" ref="M152:M153" si="6">CONCATENATE("[",P152," ",N152," (",O152,")","]")</f>
        <v>[https://www.sciencedirect.com/science/article/pii/S0743731506001262 Bader &amp; Cong Parallel Implementation  (2006)]</v>
      </c>
      <c r="N152" s="69" t="s">
        <v>6249</v>
      </c>
      <c r="O152" s="98">
        <v>2006.0</v>
      </c>
      <c r="P152" s="226" t="s">
        <v>3731</v>
      </c>
      <c r="Q152" s="198"/>
      <c r="R152" s="198"/>
      <c r="S152" s="198"/>
      <c r="T152" s="98">
        <v>0.0</v>
      </c>
      <c r="U152" s="98">
        <v>0.0</v>
      </c>
      <c r="V152" s="199">
        <f>IFERROR(__xludf.DUMMYFUNCTION("INDEX(SPLIT(SUBSTITUTE(W152,CHAR(10), """"),"",:""), MATCH(AE152, SPLIT(SUBSTITUTE(W152,CHAR(10), """"),"",:""), 0) + 1)"),5.01)</f>
        <v>5.01</v>
      </c>
      <c r="W152" s="120" t="s">
        <v>2985</v>
      </c>
      <c r="X152" s="120" t="s">
        <v>3732</v>
      </c>
      <c r="Y152" s="104" t="s">
        <v>6250</v>
      </c>
      <c r="Z152" s="180" t="s">
        <v>3731</v>
      </c>
      <c r="AA152" s="104" t="s">
        <v>6251</v>
      </c>
      <c r="AB152" s="180" t="s">
        <v>3731</v>
      </c>
      <c r="AC152" s="104" t="s">
        <v>6252</v>
      </c>
      <c r="AD152" s="120" t="s">
        <v>3733</v>
      </c>
      <c r="AE152" s="120" t="str">
        <f t="array" ref="AE152">INDEX(Problems!J:J, MATCH(1, (Problems!B:B=B152)*1, 0))</f>
        <v>V</v>
      </c>
      <c r="AF152" s="219" t="s">
        <v>3731</v>
      </c>
      <c r="AG152" s="199">
        <v>0.0</v>
      </c>
      <c r="AH152" s="120" t="s">
        <v>3734</v>
      </c>
      <c r="AI152" s="120" t="s">
        <v>1814</v>
      </c>
      <c r="AJ152" s="120">
        <f>IFERROR(__xludf.DUMMYFUNCTION("INDEX(SPLIT(SUBSTITUTE(AK152,CHAR(10), """"),"",:""), MATCH(AE152, SPLIT(SUBSTITUTE(AK152,CHAR(10), """"),"",:""), 0) + 1)"),3.0)</f>
        <v>3</v>
      </c>
      <c r="AK152" s="120" t="s">
        <v>2977</v>
      </c>
      <c r="AL152" s="120" t="s">
        <v>3735</v>
      </c>
      <c r="AM152" s="120" t="s">
        <v>3736</v>
      </c>
      <c r="AN152" s="199">
        <v>1.0</v>
      </c>
      <c r="AO152" s="199">
        <v>0.0</v>
      </c>
      <c r="AP152" s="210"/>
      <c r="AQ152" s="98">
        <v>0.0</v>
      </c>
      <c r="AR152" s="210"/>
      <c r="AS152" s="98">
        <v>0.0</v>
      </c>
      <c r="AT152" s="210"/>
      <c r="AU152" s="98">
        <v>0.0</v>
      </c>
      <c r="AV152" s="98">
        <v>1.0</v>
      </c>
      <c r="AW152" s="110" t="s">
        <v>3737</v>
      </c>
      <c r="AX152" s="98">
        <v>0.0</v>
      </c>
      <c r="AY152" s="98">
        <v>0.0</v>
      </c>
      <c r="AZ152" s="69"/>
      <c r="BA152" s="56" t="s">
        <v>2178</v>
      </c>
      <c r="BB152" s="56"/>
      <c r="BC152" s="56"/>
      <c r="BD152" s="56" t="s">
        <v>2179</v>
      </c>
      <c r="BE152" s="56"/>
      <c r="BF152" s="56"/>
      <c r="BG152" s="56"/>
      <c r="BH152" s="56"/>
      <c r="BI152" s="56"/>
      <c r="BJ152" s="56"/>
      <c r="BK152" s="197">
        <v>8.7</v>
      </c>
      <c r="BL152" s="98">
        <f>5075/BK152</f>
        <v>583.3333333</v>
      </c>
      <c r="BM152" s="198"/>
      <c r="BN152" s="198"/>
      <c r="BO152" s="198"/>
      <c r="BP152" s="198"/>
      <c r="BQ152" s="198"/>
      <c r="BR152" s="198"/>
      <c r="BS152" s="56"/>
      <c r="BT152" s="197">
        <v>5.0</v>
      </c>
      <c r="BU152" s="198"/>
      <c r="BV152" s="56"/>
      <c r="BW152" s="56" t="s">
        <v>23</v>
      </c>
    </row>
    <row r="153">
      <c r="A153" s="9">
        <v>14.0</v>
      </c>
      <c r="B153" s="9" t="s">
        <v>263</v>
      </c>
      <c r="C153" s="9">
        <v>0.001</v>
      </c>
      <c r="D153" s="34"/>
      <c r="E153" s="10"/>
      <c r="F153" s="120"/>
      <c r="G153" s="10"/>
      <c r="H153" s="10"/>
      <c r="J153" s="10"/>
      <c r="K153" s="10"/>
      <c r="L153" s="10"/>
      <c r="M153" s="69" t="str">
        <f t="shared" si="6"/>
        <v>[https://dl.acm.org/doi/pdf/10.1145/2145816.2145842 Nobari, Cao, Karras, Bressan (2012)]</v>
      </c>
      <c r="N153" s="9" t="s">
        <v>6253</v>
      </c>
      <c r="O153" s="9">
        <v>2012.0</v>
      </c>
      <c r="P153" s="32" t="s">
        <v>6254</v>
      </c>
      <c r="Q153" s="10"/>
      <c r="R153" s="10"/>
      <c r="T153" s="10"/>
      <c r="U153" s="10"/>
      <c r="V153" s="10"/>
      <c r="W153" s="10"/>
      <c r="X153" s="9" t="s">
        <v>6255</v>
      </c>
      <c r="Y153" s="10"/>
      <c r="Z153" s="10"/>
      <c r="AA153" s="10"/>
      <c r="AB153" s="10"/>
      <c r="AC153" s="10"/>
      <c r="AD153" s="10"/>
      <c r="AE153" s="10"/>
      <c r="AF153" s="10"/>
      <c r="AG153" s="10"/>
      <c r="AH153" s="10"/>
      <c r="AI153" s="10"/>
      <c r="AJ153" s="10"/>
      <c r="AK153" s="10"/>
      <c r="AL153" s="10"/>
      <c r="AM153" s="10"/>
      <c r="AN153" s="10"/>
      <c r="AO153" s="10"/>
      <c r="AV153" s="98">
        <v>1.0</v>
      </c>
      <c r="BA153" s="10"/>
      <c r="BD153" s="10"/>
      <c r="BE153" s="10"/>
      <c r="BF153" s="10"/>
      <c r="BG153" s="10"/>
      <c r="BH153" s="10"/>
      <c r="BI153" s="10"/>
      <c r="BJ153" s="10"/>
      <c r="BK153" s="10"/>
      <c r="BL153" s="10"/>
      <c r="BM153" s="10"/>
      <c r="BN153" s="10"/>
      <c r="BO153" s="10"/>
      <c r="BP153" s="10"/>
      <c r="BQ153" s="10"/>
      <c r="BR153" s="10"/>
      <c r="BS153" s="10"/>
      <c r="BT153" s="10"/>
      <c r="BV153" s="10"/>
      <c r="BW153" s="10"/>
    </row>
    <row r="154">
      <c r="A154" s="9">
        <v>14.0</v>
      </c>
      <c r="B154" s="9" t="s">
        <v>263</v>
      </c>
      <c r="C154" s="9">
        <v>1.0</v>
      </c>
      <c r="E154" s="10"/>
      <c r="F154" s="34" t="s">
        <v>6256</v>
      </c>
      <c r="G154" s="10"/>
      <c r="H154" s="10"/>
      <c r="J154" s="10"/>
      <c r="K154" s="10"/>
      <c r="L154" s="10"/>
      <c r="M154" s="69"/>
      <c r="N154" s="9" t="s">
        <v>6257</v>
      </c>
      <c r="O154" s="9">
        <v>1972.0</v>
      </c>
      <c r="P154" s="32" t="s">
        <v>6258</v>
      </c>
      <c r="Q154" s="10"/>
      <c r="R154" s="10"/>
      <c r="T154" s="10"/>
      <c r="U154" s="10"/>
      <c r="V154" s="10"/>
      <c r="W154" s="10"/>
      <c r="X154" s="9" t="s">
        <v>115</v>
      </c>
      <c r="Y154" s="9" t="s">
        <v>35</v>
      </c>
      <c r="Z154" s="10"/>
      <c r="AA154" s="9" t="s">
        <v>834</v>
      </c>
      <c r="AB154" s="10"/>
      <c r="AC154" s="10"/>
      <c r="AD154" s="9" t="s">
        <v>3397</v>
      </c>
      <c r="AE154" s="10"/>
      <c r="AF154" s="10"/>
      <c r="AG154" s="10"/>
      <c r="AH154" s="9" t="s">
        <v>6259</v>
      </c>
      <c r="AI154" s="10"/>
      <c r="AJ154" s="10"/>
      <c r="AK154" s="10"/>
      <c r="AL154" s="10"/>
      <c r="AM154" s="10"/>
      <c r="AN154" s="10"/>
      <c r="AO154" s="10"/>
      <c r="AQ154" s="9">
        <v>0.0</v>
      </c>
      <c r="AS154" s="9">
        <v>0.0</v>
      </c>
      <c r="AU154" s="9">
        <v>0.0</v>
      </c>
      <c r="AV154" s="98">
        <v>1.0</v>
      </c>
      <c r="AW154" s="9" t="s">
        <v>115</v>
      </c>
      <c r="AX154" s="9">
        <v>0.0</v>
      </c>
      <c r="AZ154" s="177" t="s">
        <v>6260</v>
      </c>
      <c r="BA154" s="10"/>
      <c r="BD154" s="10"/>
      <c r="BE154" s="10"/>
      <c r="BF154" s="10"/>
      <c r="BG154" s="10"/>
      <c r="BH154" s="10"/>
      <c r="BI154" s="10"/>
      <c r="BJ154" s="10"/>
      <c r="BK154" s="10"/>
      <c r="BL154" s="10"/>
      <c r="BM154" s="10"/>
      <c r="BN154" s="10"/>
      <c r="BO154" s="10"/>
      <c r="BP154" s="10"/>
      <c r="BQ154" s="10"/>
      <c r="BR154" s="10"/>
      <c r="BS154" s="10"/>
      <c r="BT154" s="10"/>
      <c r="BV154" s="10"/>
      <c r="BW154" s="10"/>
    </row>
    <row r="155">
      <c r="A155" s="9">
        <v>14.0</v>
      </c>
      <c r="B155" s="9" t="s">
        <v>263</v>
      </c>
      <c r="C155" s="9">
        <v>1.0</v>
      </c>
      <c r="E155" s="10"/>
      <c r="F155" s="34"/>
      <c r="G155" s="10"/>
      <c r="H155" s="10"/>
      <c r="J155" s="10"/>
      <c r="K155" s="10"/>
      <c r="L155" s="10"/>
      <c r="M155" s="69"/>
      <c r="N155" s="9" t="s">
        <v>6257</v>
      </c>
      <c r="O155" s="9">
        <v>1972.0</v>
      </c>
      <c r="P155" s="32" t="s">
        <v>6258</v>
      </c>
      <c r="Q155" s="10"/>
      <c r="R155" s="10"/>
      <c r="T155" s="10"/>
      <c r="U155" s="10"/>
      <c r="V155" s="10"/>
      <c r="W155" s="10"/>
      <c r="Y155" s="9" t="s">
        <v>6261</v>
      </c>
      <c r="Z155" s="10"/>
      <c r="AA155" s="9" t="s">
        <v>6262</v>
      </c>
      <c r="AB155" s="10"/>
      <c r="AC155" s="10"/>
      <c r="AD155" s="9" t="s">
        <v>6263</v>
      </c>
      <c r="AE155" s="10"/>
      <c r="AF155" s="10"/>
      <c r="AG155" s="10"/>
      <c r="AH155" s="9" t="s">
        <v>6259</v>
      </c>
      <c r="AI155" s="10"/>
      <c r="AJ155" s="10"/>
      <c r="AK155" s="10"/>
      <c r="AL155" s="10"/>
      <c r="AM155" s="10"/>
      <c r="AN155" s="10"/>
      <c r="AO155" s="10"/>
      <c r="AQ155" s="9">
        <v>0.0</v>
      </c>
      <c r="AS155" s="9">
        <v>0.0</v>
      </c>
      <c r="AU155" s="9">
        <v>0.0</v>
      </c>
      <c r="AV155" s="98">
        <v>1.0</v>
      </c>
      <c r="AW155" s="9" t="s">
        <v>115</v>
      </c>
      <c r="AX155" s="9">
        <v>0.0</v>
      </c>
      <c r="AZ155" s="177" t="s">
        <v>6264</v>
      </c>
      <c r="BA155" s="10"/>
      <c r="BD155" s="10"/>
      <c r="BE155" s="10"/>
      <c r="BF155" s="10"/>
      <c r="BG155" s="10"/>
      <c r="BH155" s="10"/>
      <c r="BI155" s="10"/>
      <c r="BJ155" s="10"/>
      <c r="BK155" s="10"/>
      <c r="BL155" s="10"/>
      <c r="BM155" s="10"/>
      <c r="BN155" s="10"/>
      <c r="BO155" s="10"/>
      <c r="BP155" s="10"/>
      <c r="BQ155" s="10"/>
      <c r="BR155" s="10"/>
      <c r="BS155" s="10"/>
      <c r="BT155" s="10"/>
      <c r="BV155" s="10"/>
      <c r="BW155" s="10"/>
    </row>
    <row r="156">
      <c r="A156" s="9">
        <v>14.0</v>
      </c>
      <c r="B156" s="9" t="s">
        <v>263</v>
      </c>
      <c r="C156" s="9">
        <v>1.0</v>
      </c>
      <c r="E156" s="10"/>
      <c r="F156" s="35" t="s">
        <v>6265</v>
      </c>
      <c r="G156" s="10"/>
      <c r="H156" s="10"/>
      <c r="J156" s="10"/>
      <c r="K156" s="10"/>
      <c r="L156" s="10"/>
      <c r="M156" s="69"/>
      <c r="N156" s="9" t="s">
        <v>6257</v>
      </c>
      <c r="O156" s="9">
        <v>1972.0</v>
      </c>
      <c r="P156" s="32" t="s">
        <v>6258</v>
      </c>
      <c r="Q156" s="10"/>
      <c r="R156" s="10"/>
      <c r="T156" s="10"/>
      <c r="U156" s="10"/>
      <c r="V156" s="10"/>
      <c r="W156" s="10"/>
      <c r="Y156" s="9" t="s">
        <v>2382</v>
      </c>
      <c r="Z156" s="10"/>
      <c r="AA156" s="9" t="s">
        <v>6266</v>
      </c>
      <c r="AB156" s="10"/>
      <c r="AC156" s="10"/>
      <c r="AD156" s="9" t="s">
        <v>3397</v>
      </c>
      <c r="AE156" s="10"/>
      <c r="AF156" s="10"/>
      <c r="AG156" s="10"/>
      <c r="AH156" s="9" t="s">
        <v>6259</v>
      </c>
      <c r="AI156" s="10"/>
      <c r="AJ156" s="10"/>
      <c r="AK156" s="10"/>
      <c r="AL156" s="10"/>
      <c r="AM156" s="10"/>
      <c r="AN156" s="10"/>
      <c r="AO156" s="10"/>
      <c r="AQ156" s="9">
        <v>0.0</v>
      </c>
      <c r="AS156" s="9">
        <v>0.0</v>
      </c>
      <c r="AU156" s="9">
        <v>0.0</v>
      </c>
      <c r="AV156" s="98">
        <v>1.0</v>
      </c>
      <c r="AW156" s="9" t="s">
        <v>115</v>
      </c>
      <c r="AX156" s="9">
        <v>0.0</v>
      </c>
      <c r="AZ156" s="177" t="s">
        <v>6267</v>
      </c>
      <c r="BA156" s="10"/>
      <c r="BD156" s="10"/>
      <c r="BE156" s="10"/>
      <c r="BF156" s="10"/>
      <c r="BG156" s="10"/>
      <c r="BH156" s="10"/>
      <c r="BI156" s="10"/>
      <c r="BJ156" s="10"/>
      <c r="BK156" s="10"/>
      <c r="BL156" s="10"/>
      <c r="BM156" s="10"/>
      <c r="BN156" s="10"/>
      <c r="BO156" s="10"/>
      <c r="BP156" s="10"/>
      <c r="BQ156" s="10"/>
      <c r="BR156" s="10"/>
      <c r="BS156" s="10"/>
      <c r="BT156" s="10"/>
      <c r="BV156" s="10"/>
      <c r="BW156" s="10"/>
    </row>
    <row r="157">
      <c r="A157" s="9">
        <v>14.0</v>
      </c>
      <c r="B157" s="9" t="s">
        <v>263</v>
      </c>
      <c r="C157" s="9">
        <v>0.001</v>
      </c>
      <c r="D157" s="35" t="s">
        <v>6268</v>
      </c>
      <c r="E157" s="10"/>
      <c r="F157" s="35" t="s">
        <v>6265</v>
      </c>
      <c r="G157" s="10"/>
      <c r="H157" s="10"/>
      <c r="J157" s="10"/>
      <c r="K157" s="10"/>
      <c r="L157" s="10"/>
      <c r="M157" s="69"/>
      <c r="N157" s="9" t="s">
        <v>6223</v>
      </c>
      <c r="O157" s="9">
        <v>1977.0</v>
      </c>
      <c r="P157" s="32" t="s">
        <v>6269</v>
      </c>
      <c r="Q157" s="10"/>
      <c r="R157" s="10"/>
      <c r="T157" s="10"/>
      <c r="U157" s="10"/>
      <c r="V157" s="10"/>
      <c r="W157" s="10"/>
      <c r="X157" s="9" t="s">
        <v>2933</v>
      </c>
      <c r="Y157" s="10"/>
      <c r="Z157" s="10"/>
      <c r="AA157" s="9" t="s">
        <v>6270</v>
      </c>
      <c r="AB157" s="10"/>
      <c r="AC157" s="9" t="s">
        <v>6271</v>
      </c>
      <c r="AD157" s="9" t="s">
        <v>3397</v>
      </c>
      <c r="AE157" s="10"/>
      <c r="AF157" s="10"/>
      <c r="AG157" s="10"/>
      <c r="AH157" s="6" t="s">
        <v>6183</v>
      </c>
      <c r="AI157" s="10"/>
      <c r="AJ157" s="10"/>
      <c r="AK157" s="10"/>
      <c r="AL157" s="10"/>
      <c r="AM157" s="10"/>
      <c r="AN157" s="10"/>
      <c r="AO157" s="10"/>
      <c r="AV157" s="98">
        <v>1.0</v>
      </c>
      <c r="AW157" s="9" t="s">
        <v>6272</v>
      </c>
      <c r="AZ157" s="177" t="s">
        <v>6273</v>
      </c>
      <c r="BA157" s="10"/>
      <c r="BD157" s="10"/>
      <c r="BE157" s="10"/>
      <c r="BF157" s="10"/>
      <c r="BG157" s="10"/>
      <c r="BH157" s="10"/>
      <c r="BI157" s="10"/>
      <c r="BJ157" s="10"/>
      <c r="BK157" s="10"/>
      <c r="BL157" s="10"/>
      <c r="BM157" s="10"/>
      <c r="BN157" s="10"/>
      <c r="BO157" s="10"/>
      <c r="BP157" s="10"/>
      <c r="BQ157" s="10"/>
      <c r="BR157" s="10"/>
      <c r="BS157" s="10"/>
      <c r="BT157" s="10"/>
      <c r="BV157" s="10"/>
      <c r="BW157" s="10"/>
    </row>
    <row r="158">
      <c r="A158" s="9">
        <v>14.0</v>
      </c>
      <c r="B158" s="9" t="s">
        <v>263</v>
      </c>
      <c r="C158" s="9">
        <v>0.0</v>
      </c>
      <c r="E158" s="10"/>
      <c r="F158" s="34" t="s">
        <v>6274</v>
      </c>
      <c r="G158" s="10"/>
      <c r="H158" s="10"/>
      <c r="J158" s="10"/>
      <c r="K158" s="10"/>
      <c r="L158" s="10"/>
      <c r="M158" s="69"/>
      <c r="N158" s="9" t="s">
        <v>3090</v>
      </c>
      <c r="O158" s="9">
        <v>1980.0</v>
      </c>
      <c r="P158" s="32" t="s">
        <v>6275</v>
      </c>
      <c r="Q158" s="10"/>
      <c r="R158" s="10"/>
      <c r="T158" s="10"/>
      <c r="U158" s="10"/>
      <c r="V158" s="10"/>
      <c r="W158" s="10"/>
      <c r="X158" s="9" t="s">
        <v>6276</v>
      </c>
      <c r="Y158" s="10"/>
      <c r="Z158" s="10"/>
      <c r="AA158" s="10"/>
      <c r="AB158" s="10"/>
      <c r="AC158" s="10"/>
      <c r="AD158" s="9" t="s">
        <v>3397</v>
      </c>
      <c r="AE158" s="10"/>
      <c r="AF158" s="10"/>
      <c r="AG158" s="10"/>
      <c r="AH158" s="9" t="s">
        <v>6277</v>
      </c>
      <c r="AI158" s="10"/>
      <c r="AJ158" s="10"/>
      <c r="AK158" s="10"/>
      <c r="AL158" s="10"/>
      <c r="AM158" s="10"/>
      <c r="AN158" s="10"/>
      <c r="AO158" s="10"/>
      <c r="AV158" s="98">
        <v>1.0</v>
      </c>
      <c r="AW158" s="9" t="s">
        <v>2704</v>
      </c>
      <c r="AZ158" s="177" t="s">
        <v>6278</v>
      </c>
      <c r="BA158" s="10"/>
      <c r="BD158" s="10"/>
      <c r="BE158" s="10"/>
      <c r="BF158" s="10"/>
      <c r="BG158" s="10"/>
      <c r="BH158" s="10"/>
      <c r="BI158" s="10"/>
      <c r="BJ158" s="10"/>
      <c r="BK158" s="10"/>
      <c r="BL158" s="10"/>
      <c r="BM158" s="10"/>
      <c r="BN158" s="10"/>
      <c r="BO158" s="10"/>
      <c r="BP158" s="10"/>
      <c r="BQ158" s="10"/>
      <c r="BR158" s="10"/>
      <c r="BS158" s="10"/>
      <c r="BT158" s="10"/>
      <c r="BV158" s="10"/>
      <c r="BW158" s="10"/>
    </row>
    <row r="159">
      <c r="A159" s="9">
        <v>14.0</v>
      </c>
      <c r="B159" s="9" t="s">
        <v>263</v>
      </c>
      <c r="C159" s="9">
        <v>0.0</v>
      </c>
      <c r="E159" s="10"/>
      <c r="F159" s="34" t="s">
        <v>6279</v>
      </c>
      <c r="G159" s="10"/>
      <c r="H159" s="10"/>
      <c r="J159" s="10"/>
      <c r="K159" s="10"/>
      <c r="L159" s="10"/>
      <c r="M159" s="69"/>
      <c r="N159" s="9" t="s">
        <v>6280</v>
      </c>
      <c r="O159" s="9">
        <v>1981.0</v>
      </c>
      <c r="P159" s="9" t="s">
        <v>6281</v>
      </c>
      <c r="Q159" s="10"/>
      <c r="R159" s="10"/>
      <c r="T159" s="10"/>
      <c r="U159" s="10"/>
      <c r="V159" s="10"/>
      <c r="W159" s="10"/>
      <c r="X159" s="9"/>
      <c r="Y159" s="10"/>
      <c r="Z159" s="10"/>
      <c r="AA159" s="10"/>
      <c r="AB159" s="10"/>
      <c r="AC159" s="10"/>
      <c r="AE159" s="10"/>
      <c r="AF159" s="10"/>
      <c r="AG159" s="10"/>
      <c r="AH159" s="9" t="s">
        <v>6282</v>
      </c>
      <c r="AI159" s="10"/>
      <c r="AJ159" s="10"/>
      <c r="AK159" s="10"/>
      <c r="AL159" s="10"/>
      <c r="AM159" s="10"/>
      <c r="AN159" s="10"/>
      <c r="AO159" s="10"/>
      <c r="AV159" s="98">
        <v>1.0</v>
      </c>
      <c r="AW159" s="9"/>
      <c r="AZ159" s="177" t="s">
        <v>6283</v>
      </c>
      <c r="BA159" s="10"/>
      <c r="BD159" s="10"/>
      <c r="BE159" s="10"/>
      <c r="BF159" s="10"/>
      <c r="BG159" s="10"/>
      <c r="BH159" s="10"/>
      <c r="BI159" s="10"/>
      <c r="BJ159" s="10"/>
      <c r="BK159" s="10"/>
      <c r="BL159" s="10"/>
      <c r="BM159" s="10"/>
      <c r="BN159" s="10"/>
      <c r="BO159" s="10"/>
      <c r="BP159" s="10"/>
      <c r="BQ159" s="10"/>
      <c r="BR159" s="10"/>
      <c r="BS159" s="10"/>
      <c r="BT159" s="10"/>
      <c r="BV159" s="10"/>
      <c r="BW159" s="10"/>
    </row>
    <row r="160">
      <c r="A160" s="9">
        <v>14.0</v>
      </c>
      <c r="B160" s="9" t="s">
        <v>263</v>
      </c>
      <c r="C160" s="9">
        <v>0.0</v>
      </c>
      <c r="E160" s="10"/>
      <c r="F160" s="34" t="s">
        <v>6265</v>
      </c>
      <c r="G160" s="10"/>
      <c r="H160" s="10"/>
      <c r="J160" s="10"/>
      <c r="K160" s="10"/>
      <c r="L160" s="10"/>
      <c r="M160" s="69"/>
      <c r="N160" s="9" t="s">
        <v>6216</v>
      </c>
      <c r="O160" s="9">
        <v>1981.0</v>
      </c>
      <c r="P160" s="32" t="s">
        <v>6217</v>
      </c>
      <c r="Q160" s="10"/>
      <c r="R160" s="10"/>
      <c r="T160" s="10"/>
      <c r="U160" s="10"/>
      <c r="V160" s="10"/>
      <c r="W160" s="10"/>
      <c r="X160" s="9" t="s">
        <v>2933</v>
      </c>
      <c r="Y160" s="10"/>
      <c r="Z160" s="10"/>
      <c r="AA160" s="10"/>
      <c r="AB160" s="10"/>
      <c r="AC160" s="10"/>
      <c r="AD160" s="9" t="s">
        <v>3397</v>
      </c>
      <c r="AE160" s="10"/>
      <c r="AF160" s="10"/>
      <c r="AG160" s="10"/>
      <c r="AH160" s="9" t="s">
        <v>6284</v>
      </c>
      <c r="AI160" s="10"/>
      <c r="AJ160" s="10"/>
      <c r="AK160" s="10"/>
      <c r="AL160" s="10"/>
      <c r="AM160" s="10"/>
      <c r="AN160" s="10"/>
      <c r="AO160" s="10"/>
      <c r="AV160" s="98">
        <v>1.0</v>
      </c>
      <c r="AW160" s="9" t="s">
        <v>114</v>
      </c>
      <c r="AZ160" s="177" t="s">
        <v>6285</v>
      </c>
      <c r="BA160" s="10"/>
      <c r="BD160" s="10"/>
      <c r="BE160" s="10"/>
      <c r="BF160" s="10"/>
      <c r="BG160" s="10"/>
      <c r="BH160" s="10"/>
      <c r="BI160" s="10"/>
      <c r="BJ160" s="10"/>
      <c r="BK160" s="10"/>
      <c r="BL160" s="10"/>
      <c r="BM160" s="10"/>
      <c r="BN160" s="10"/>
      <c r="BO160" s="10"/>
      <c r="BP160" s="10"/>
      <c r="BQ160" s="10"/>
      <c r="BR160" s="10"/>
      <c r="BS160" s="10"/>
      <c r="BT160" s="10"/>
      <c r="BV160" s="10"/>
      <c r="BW160" s="10"/>
    </row>
    <row r="161">
      <c r="A161" s="9">
        <v>14.0</v>
      </c>
      <c r="B161" s="9" t="s">
        <v>263</v>
      </c>
      <c r="C161" s="9">
        <v>0.0</v>
      </c>
      <c r="E161" s="10"/>
      <c r="F161" s="34" t="s">
        <v>6265</v>
      </c>
      <c r="G161" s="10"/>
      <c r="H161" s="10"/>
      <c r="J161" s="10"/>
      <c r="K161" s="10"/>
      <c r="L161" s="10"/>
      <c r="M161" s="69"/>
      <c r="N161" s="9" t="s">
        <v>6228</v>
      </c>
      <c r="O161" s="9">
        <v>1982.0</v>
      </c>
      <c r="P161" s="32" t="s">
        <v>6229</v>
      </c>
      <c r="Q161" s="10"/>
      <c r="R161" s="10"/>
      <c r="T161" s="10"/>
      <c r="U161" s="10"/>
      <c r="V161" s="10"/>
      <c r="W161" s="10"/>
      <c r="X161" s="9" t="s">
        <v>2933</v>
      </c>
      <c r="Y161" s="10"/>
      <c r="Z161" s="10"/>
      <c r="AA161" s="10"/>
      <c r="AB161" s="10"/>
      <c r="AC161" s="10"/>
      <c r="AD161" s="9" t="s">
        <v>3397</v>
      </c>
      <c r="AE161" s="10"/>
      <c r="AF161" s="10"/>
      <c r="AG161" s="10"/>
      <c r="AH161" s="6" t="s">
        <v>6230</v>
      </c>
      <c r="AI161" s="10"/>
      <c r="AJ161" s="10"/>
      <c r="AK161" s="10"/>
      <c r="AL161" s="10"/>
      <c r="AM161" s="10"/>
      <c r="AN161" s="10"/>
      <c r="AO161" s="10"/>
      <c r="AV161" s="98">
        <v>1.0</v>
      </c>
      <c r="AW161" s="9" t="s">
        <v>6272</v>
      </c>
      <c r="AZ161" s="177" t="s">
        <v>6286</v>
      </c>
      <c r="BA161" s="10"/>
      <c r="BD161" s="10"/>
      <c r="BE161" s="10"/>
      <c r="BF161" s="10"/>
      <c r="BG161" s="10"/>
      <c r="BH161" s="10"/>
      <c r="BI161" s="10"/>
      <c r="BJ161" s="10"/>
      <c r="BK161" s="10"/>
      <c r="BL161" s="10"/>
      <c r="BM161" s="10"/>
      <c r="BN161" s="10"/>
      <c r="BO161" s="10"/>
      <c r="BP161" s="10"/>
      <c r="BQ161" s="10"/>
      <c r="BR161" s="10"/>
      <c r="BS161" s="10"/>
      <c r="BT161" s="10"/>
      <c r="BV161" s="10"/>
      <c r="BW161" s="10"/>
    </row>
    <row r="162">
      <c r="A162" s="9">
        <v>14.0</v>
      </c>
      <c r="B162" s="9" t="s">
        <v>263</v>
      </c>
      <c r="C162" s="9">
        <v>0.0</v>
      </c>
      <c r="E162" s="10"/>
      <c r="F162" s="34" t="s">
        <v>6256</v>
      </c>
      <c r="G162" s="10"/>
      <c r="H162" s="10"/>
      <c r="J162" s="10"/>
      <c r="K162" s="10"/>
      <c r="L162" s="10"/>
      <c r="M162" s="69"/>
      <c r="N162" s="9" t="s">
        <v>6235</v>
      </c>
      <c r="O162" s="9">
        <v>1982.0</v>
      </c>
      <c r="P162" s="20" t="s">
        <v>6236</v>
      </c>
      <c r="Q162" s="10"/>
      <c r="R162" s="10"/>
      <c r="T162" s="10"/>
      <c r="U162" s="10"/>
      <c r="V162" s="10"/>
      <c r="W162" s="10"/>
      <c r="X162" s="9" t="s">
        <v>6287</v>
      </c>
      <c r="Y162" s="10"/>
      <c r="Z162" s="10"/>
      <c r="AA162" s="10"/>
      <c r="AB162" s="10"/>
      <c r="AC162" s="10"/>
      <c r="AD162" s="9" t="s">
        <v>6288</v>
      </c>
      <c r="AE162" s="10"/>
      <c r="AF162" s="10"/>
      <c r="AG162" s="10"/>
      <c r="AH162" s="6" t="s">
        <v>6237</v>
      </c>
      <c r="AI162" s="10"/>
      <c r="AJ162" s="10"/>
      <c r="AK162" s="10"/>
      <c r="AL162" s="10"/>
      <c r="AM162" s="10"/>
      <c r="AN162" s="10"/>
      <c r="AO162" s="10"/>
      <c r="AV162" s="98">
        <v>1.0</v>
      </c>
      <c r="AW162" s="9" t="s">
        <v>6289</v>
      </c>
      <c r="AZ162" s="177" t="s">
        <v>6290</v>
      </c>
      <c r="BA162" s="10"/>
      <c r="BD162" s="10"/>
      <c r="BE162" s="10"/>
      <c r="BF162" s="10"/>
      <c r="BG162" s="10"/>
      <c r="BH162" s="10"/>
      <c r="BI162" s="10"/>
      <c r="BJ162" s="10"/>
      <c r="BK162" s="10"/>
      <c r="BL162" s="10"/>
      <c r="BM162" s="10"/>
      <c r="BN162" s="10"/>
      <c r="BO162" s="10"/>
      <c r="BP162" s="10"/>
      <c r="BQ162" s="10"/>
      <c r="BR162" s="10"/>
      <c r="BS162" s="10"/>
      <c r="BT162" s="10"/>
      <c r="BV162" s="10"/>
      <c r="BW162" s="10"/>
    </row>
    <row r="163">
      <c r="A163" s="9">
        <v>14.0</v>
      </c>
      <c r="B163" s="9" t="s">
        <v>263</v>
      </c>
      <c r="C163" s="9">
        <v>1.0</v>
      </c>
      <c r="E163" s="10"/>
      <c r="F163" s="34" t="s">
        <v>6265</v>
      </c>
      <c r="G163" s="10"/>
      <c r="H163" s="10"/>
      <c r="J163" s="10"/>
      <c r="K163" s="10"/>
      <c r="L163" s="10"/>
      <c r="M163" s="69"/>
      <c r="N163" s="9" t="s">
        <v>6212</v>
      </c>
      <c r="O163" s="9">
        <v>1982.0</v>
      </c>
      <c r="P163" s="20" t="s">
        <v>6291</v>
      </c>
      <c r="Q163" s="10"/>
      <c r="R163" s="10"/>
      <c r="T163" s="10"/>
      <c r="U163" s="10"/>
      <c r="V163" s="10"/>
      <c r="W163" s="10"/>
      <c r="X163" s="9" t="s">
        <v>2933</v>
      </c>
      <c r="Y163" s="9" t="s">
        <v>2933</v>
      </c>
      <c r="Z163" s="10"/>
      <c r="AA163" s="10"/>
      <c r="AB163" s="10"/>
      <c r="AC163" s="10"/>
      <c r="AD163" s="9" t="s">
        <v>3397</v>
      </c>
      <c r="AE163" s="10"/>
      <c r="AF163" s="10"/>
      <c r="AG163" s="10"/>
      <c r="AH163" s="6" t="s">
        <v>6183</v>
      </c>
      <c r="AI163" s="10"/>
      <c r="AJ163" s="10"/>
      <c r="AK163" s="10"/>
      <c r="AL163" s="10"/>
      <c r="AM163" s="10"/>
      <c r="AN163" s="10"/>
      <c r="AO163" s="10"/>
      <c r="AV163" s="98">
        <v>1.0</v>
      </c>
      <c r="AW163" s="9" t="s">
        <v>6292</v>
      </c>
      <c r="AZ163" s="177" t="s">
        <v>6293</v>
      </c>
      <c r="BA163" s="10"/>
      <c r="BD163" s="10"/>
      <c r="BE163" s="10"/>
      <c r="BF163" s="10"/>
      <c r="BG163" s="10"/>
      <c r="BH163" s="10"/>
      <c r="BI163" s="10"/>
      <c r="BJ163" s="10"/>
      <c r="BK163" s="10"/>
      <c r="BL163" s="10"/>
      <c r="BM163" s="10"/>
      <c r="BN163" s="10"/>
      <c r="BO163" s="10"/>
      <c r="BP163" s="10"/>
      <c r="BQ163" s="10"/>
      <c r="BR163" s="10"/>
      <c r="BS163" s="10"/>
      <c r="BT163" s="10"/>
      <c r="BV163" s="10"/>
      <c r="BW163" s="10"/>
    </row>
    <row r="164">
      <c r="A164" s="9">
        <v>14.0</v>
      </c>
      <c r="B164" s="9" t="s">
        <v>263</v>
      </c>
      <c r="C164" s="9">
        <v>0.0</v>
      </c>
      <c r="E164" s="10"/>
      <c r="F164" s="34" t="s">
        <v>6265</v>
      </c>
      <c r="G164" s="10"/>
      <c r="H164" s="10"/>
      <c r="J164" s="10"/>
      <c r="K164" s="10"/>
      <c r="L164" s="10"/>
      <c r="M164" s="69"/>
      <c r="N164" s="9" t="s">
        <v>6245</v>
      </c>
      <c r="O164" s="9">
        <v>1982.0</v>
      </c>
      <c r="P164" s="20" t="s">
        <v>6246</v>
      </c>
      <c r="Q164" s="10"/>
      <c r="R164" s="10"/>
      <c r="T164" s="10"/>
      <c r="U164" s="10"/>
      <c r="V164" s="10"/>
      <c r="W164" s="10"/>
      <c r="X164" s="9" t="s">
        <v>35</v>
      </c>
      <c r="Y164" s="10"/>
      <c r="Z164" s="10"/>
      <c r="AA164" s="10"/>
      <c r="AB164" s="10"/>
      <c r="AC164" s="10"/>
      <c r="AD164" s="9" t="s">
        <v>3397</v>
      </c>
      <c r="AE164" s="10"/>
      <c r="AF164" s="10"/>
      <c r="AG164" s="10"/>
      <c r="AH164" s="9" t="s">
        <v>6259</v>
      </c>
      <c r="AI164" s="10"/>
      <c r="AJ164" s="10"/>
      <c r="AK164" s="10"/>
      <c r="AL164" s="10"/>
      <c r="AM164" s="10"/>
      <c r="AN164" s="10"/>
      <c r="AO164" s="10"/>
      <c r="AV164" s="98">
        <v>1.0</v>
      </c>
      <c r="AW164" s="9" t="s">
        <v>114</v>
      </c>
      <c r="AZ164" s="177" t="s">
        <v>6294</v>
      </c>
      <c r="BA164" s="10"/>
      <c r="BD164" s="10"/>
      <c r="BE164" s="10"/>
      <c r="BF164" s="10"/>
      <c r="BG164" s="10"/>
      <c r="BH164" s="10"/>
      <c r="BI164" s="10"/>
      <c r="BJ164" s="10"/>
      <c r="BK164" s="10"/>
      <c r="BL164" s="10"/>
      <c r="BM164" s="10"/>
      <c r="BN164" s="10"/>
      <c r="BO164" s="10"/>
      <c r="BP164" s="10"/>
      <c r="BQ164" s="10"/>
      <c r="BR164" s="10"/>
      <c r="BS164" s="10"/>
      <c r="BT164" s="10"/>
      <c r="BV164" s="10"/>
      <c r="BW164" s="10"/>
    </row>
    <row r="165">
      <c r="A165" s="9">
        <v>14.0</v>
      </c>
      <c r="B165" s="9" t="s">
        <v>263</v>
      </c>
      <c r="C165" s="9">
        <v>0.0</v>
      </c>
      <c r="E165" s="10"/>
      <c r="F165" s="34" t="s">
        <v>6265</v>
      </c>
      <c r="G165" s="10"/>
      <c r="H165" s="10"/>
      <c r="J165" s="10"/>
      <c r="K165" s="10"/>
      <c r="L165" s="10"/>
      <c r="M165" s="69"/>
      <c r="N165" s="9" t="s">
        <v>3675</v>
      </c>
      <c r="O165" s="236">
        <v>1982.0</v>
      </c>
      <c r="P165" s="237" t="s">
        <v>6295</v>
      </c>
      <c r="Q165" s="10"/>
      <c r="R165" s="10"/>
      <c r="T165" s="10"/>
      <c r="U165" s="10"/>
      <c r="V165" s="10"/>
      <c r="W165" s="10"/>
      <c r="X165" s="9" t="s">
        <v>5798</v>
      </c>
      <c r="Y165" s="10"/>
      <c r="Z165" s="10"/>
      <c r="AA165" s="10"/>
      <c r="AB165" s="10"/>
      <c r="AC165" s="10"/>
      <c r="AD165" s="9" t="s">
        <v>3397</v>
      </c>
      <c r="AE165" s="10"/>
      <c r="AF165" s="10"/>
      <c r="AG165" s="10"/>
      <c r="AH165" s="6" t="s">
        <v>6237</v>
      </c>
      <c r="AI165" s="10"/>
      <c r="AJ165" s="10"/>
      <c r="AK165" s="10"/>
      <c r="AL165" s="10"/>
      <c r="AM165" s="10"/>
      <c r="AN165" s="10"/>
      <c r="AO165" s="10"/>
      <c r="AV165" s="98">
        <v>1.0</v>
      </c>
      <c r="AW165" s="9" t="s">
        <v>834</v>
      </c>
      <c r="AZ165" s="177" t="s">
        <v>6296</v>
      </c>
      <c r="BA165" s="10"/>
      <c r="BD165" s="10"/>
      <c r="BE165" s="10"/>
      <c r="BF165" s="10"/>
      <c r="BG165" s="10"/>
      <c r="BH165" s="10"/>
      <c r="BI165" s="10"/>
      <c r="BJ165" s="10"/>
      <c r="BK165" s="10"/>
      <c r="BL165" s="10"/>
      <c r="BM165" s="10"/>
      <c r="BN165" s="10"/>
      <c r="BO165" s="10"/>
      <c r="BP165" s="10"/>
      <c r="BQ165" s="10"/>
      <c r="BR165" s="10"/>
      <c r="BS165" s="10"/>
      <c r="BT165" s="10"/>
      <c r="BV165" s="10"/>
      <c r="BW165" s="10"/>
    </row>
    <row r="166">
      <c r="A166" s="9">
        <v>14.0</v>
      </c>
      <c r="B166" s="9" t="s">
        <v>263</v>
      </c>
      <c r="C166" s="9">
        <v>0.0</v>
      </c>
      <c r="E166" s="10"/>
      <c r="F166" s="34" t="s">
        <v>6256</v>
      </c>
      <c r="G166" s="10"/>
      <c r="H166" s="10"/>
      <c r="J166" s="10"/>
      <c r="K166" s="10"/>
      <c r="L166" s="10"/>
      <c r="M166" s="69"/>
      <c r="N166" s="9" t="s">
        <v>6297</v>
      </c>
      <c r="O166" s="236">
        <v>1983.0</v>
      </c>
      <c r="P166" s="20" t="s">
        <v>6298</v>
      </c>
      <c r="Q166" s="10"/>
      <c r="R166" s="10"/>
      <c r="T166" s="10"/>
      <c r="U166" s="10"/>
      <c r="V166" s="10"/>
      <c r="W166" s="10"/>
      <c r="X166" s="9" t="s">
        <v>148</v>
      </c>
      <c r="Y166" s="10"/>
      <c r="Z166" s="10"/>
      <c r="AA166" s="10"/>
      <c r="AB166" s="10"/>
      <c r="AC166" s="10"/>
      <c r="AD166" s="9" t="s">
        <v>6299</v>
      </c>
      <c r="AE166" s="10"/>
      <c r="AF166" s="10"/>
      <c r="AG166" s="10"/>
      <c r="AH166" s="9" t="s">
        <v>6282</v>
      </c>
      <c r="AI166" s="10"/>
      <c r="AJ166" s="10"/>
      <c r="AK166" s="10"/>
      <c r="AL166" s="10"/>
      <c r="AM166" s="10"/>
      <c r="AN166" s="10"/>
      <c r="AO166" s="10"/>
      <c r="AV166" s="98">
        <v>1.0</v>
      </c>
      <c r="AW166" s="9" t="s">
        <v>148</v>
      </c>
      <c r="AZ166" s="177" t="s">
        <v>6300</v>
      </c>
      <c r="BA166" s="10"/>
      <c r="BD166" s="10"/>
      <c r="BE166" s="10"/>
      <c r="BF166" s="10"/>
      <c r="BG166" s="10"/>
      <c r="BH166" s="10"/>
      <c r="BI166" s="10"/>
      <c r="BJ166" s="10"/>
      <c r="BK166" s="10"/>
      <c r="BL166" s="10"/>
      <c r="BM166" s="10"/>
      <c r="BN166" s="10"/>
      <c r="BO166" s="10"/>
      <c r="BP166" s="10"/>
      <c r="BQ166" s="10"/>
      <c r="BR166" s="10"/>
      <c r="BS166" s="10"/>
      <c r="BT166" s="10"/>
      <c r="BV166" s="10"/>
      <c r="BW166" s="10"/>
    </row>
    <row r="167">
      <c r="A167" s="111">
        <v>15.0</v>
      </c>
      <c r="B167" s="35" t="s">
        <v>291</v>
      </c>
      <c r="C167" s="206">
        <v>1.0</v>
      </c>
      <c r="D167" s="7" t="s">
        <v>302</v>
      </c>
      <c r="E167" s="197"/>
      <c r="F167" s="120"/>
      <c r="G167" s="56"/>
      <c r="H167" s="197"/>
      <c r="I167" s="197"/>
      <c r="J167" s="34"/>
      <c r="K167" s="120"/>
      <c r="L167" s="120"/>
      <c r="M167" s="69" t="str">
        <f t="shared" ref="M167:M198" si="7">CONCATENATE("[",P167," ",N167," (",O167,")","]")</f>
        <v>[https://link.springer.com/article/10.1007/BF01758749 Cole &amp; Gooddrich (1988)]</v>
      </c>
      <c r="N167" s="35" t="s">
        <v>6301</v>
      </c>
      <c r="O167" s="111">
        <v>1988.0</v>
      </c>
      <c r="P167" s="30" t="s">
        <v>6302</v>
      </c>
      <c r="Q167" s="198"/>
      <c r="R167" s="198"/>
      <c r="S167" s="198"/>
      <c r="T167" s="197"/>
      <c r="U167" s="197"/>
      <c r="V167" s="199"/>
      <c r="W167" s="120"/>
      <c r="X167" s="35" t="s">
        <v>2382</v>
      </c>
      <c r="Y167" s="104" t="s">
        <v>2382</v>
      </c>
      <c r="Z167" s="180" t="s">
        <v>6302</v>
      </c>
      <c r="AA167" s="104" t="s">
        <v>3613</v>
      </c>
      <c r="AB167" s="180" t="s">
        <v>6302</v>
      </c>
      <c r="AC167" s="104" t="s">
        <v>5990</v>
      </c>
      <c r="AD167" s="104" t="s">
        <v>3096</v>
      </c>
      <c r="AE167" s="120"/>
      <c r="AF167" s="120"/>
      <c r="AG167" s="120"/>
      <c r="AH167" s="104" t="s">
        <v>2436</v>
      </c>
      <c r="AI167" s="120"/>
      <c r="AJ167" s="120"/>
      <c r="AK167" s="120"/>
      <c r="AL167" s="120"/>
      <c r="AM167" s="219"/>
      <c r="AN167" s="199"/>
      <c r="AO167" s="199"/>
      <c r="AP167" s="200"/>
      <c r="AQ167" s="111">
        <v>0.0</v>
      </c>
      <c r="AR167" s="200"/>
      <c r="AS167" s="111">
        <v>0.0</v>
      </c>
      <c r="AT167" s="130"/>
      <c r="AU167" s="111">
        <v>0.0</v>
      </c>
      <c r="AV167" s="111">
        <v>1.0</v>
      </c>
      <c r="AW167" s="104" t="s">
        <v>35</v>
      </c>
      <c r="AX167" s="111">
        <v>0.0</v>
      </c>
      <c r="AY167" s="111">
        <v>0.0</v>
      </c>
      <c r="AZ167" s="69"/>
      <c r="BA167" s="7" t="s">
        <v>303</v>
      </c>
      <c r="BB167" s="198"/>
      <c r="BC167" s="198"/>
      <c r="BD167" s="56"/>
      <c r="BE167" s="198"/>
      <c r="BF167" s="198"/>
      <c r="BG167" s="198"/>
      <c r="BH167" s="198"/>
      <c r="BI167" s="198"/>
      <c r="BJ167" s="198"/>
      <c r="BK167" s="98"/>
      <c r="BL167" s="98"/>
      <c r="BM167" s="198"/>
      <c r="BN167" s="198"/>
      <c r="BO167" s="198"/>
      <c r="BP167" s="198"/>
      <c r="BQ167" s="198"/>
      <c r="BR167" s="198"/>
      <c r="BS167" s="56"/>
      <c r="BT167" s="197"/>
      <c r="BU167" s="198"/>
      <c r="BV167" s="56"/>
      <c r="BW167" s="56"/>
    </row>
    <row r="168">
      <c r="A168" s="111">
        <v>15.0</v>
      </c>
      <c r="B168" s="35" t="s">
        <v>291</v>
      </c>
      <c r="C168" s="206">
        <v>1.0</v>
      </c>
      <c r="D168" s="21" t="s">
        <v>292</v>
      </c>
      <c r="E168" s="197"/>
      <c r="F168" s="120"/>
      <c r="G168" s="56"/>
      <c r="H168" s="197"/>
      <c r="I168" s="197"/>
      <c r="J168" s="34"/>
      <c r="K168" s="120"/>
      <c r="L168" s="120"/>
      <c r="M168" s="69" t="str">
        <f t="shared" si="7"/>
        <v>[https://pure.mpg.de/pubman/faces/ViewItemOverviewPage.jsp?itemId=item_1834886 Lenhof &amp; Smid (1992)]</v>
      </c>
      <c r="N168" s="35" t="s">
        <v>6303</v>
      </c>
      <c r="O168" s="111">
        <v>1992.0</v>
      </c>
      <c r="P168" s="30" t="s">
        <v>6304</v>
      </c>
      <c r="Q168" s="198"/>
      <c r="R168" s="198"/>
      <c r="S168" s="198"/>
      <c r="T168" s="197"/>
      <c r="U168" s="197"/>
      <c r="V168" s="199"/>
      <c r="W168" s="120"/>
      <c r="X168" s="35" t="s">
        <v>6305</v>
      </c>
      <c r="Y168" s="104" t="s">
        <v>6305</v>
      </c>
      <c r="Z168" s="180" t="s">
        <v>6304</v>
      </c>
      <c r="AA168" s="104" t="s">
        <v>6306</v>
      </c>
      <c r="AB168" s="180" t="s">
        <v>6304</v>
      </c>
      <c r="AC168" s="104" t="s">
        <v>5990</v>
      </c>
      <c r="AD168" s="104" t="s">
        <v>6307</v>
      </c>
      <c r="AE168" s="120"/>
      <c r="AF168" s="120"/>
      <c r="AG168" s="120"/>
      <c r="AH168" s="104" t="s">
        <v>4915</v>
      </c>
      <c r="AI168" s="120"/>
      <c r="AJ168" s="120"/>
      <c r="AK168" s="120"/>
      <c r="AL168" s="120"/>
      <c r="AM168" s="219"/>
      <c r="AN168" s="199"/>
      <c r="AO168" s="199"/>
      <c r="AP168" s="200"/>
      <c r="AQ168" s="111">
        <v>0.0</v>
      </c>
      <c r="AR168" s="200"/>
      <c r="AS168" s="111">
        <v>0.0</v>
      </c>
      <c r="AT168" s="130"/>
      <c r="AU168" s="111">
        <v>0.0</v>
      </c>
      <c r="AV168" s="111">
        <v>1.0</v>
      </c>
      <c r="AW168" s="104" t="s">
        <v>6308</v>
      </c>
      <c r="AX168" s="111">
        <v>0.0</v>
      </c>
      <c r="AY168" s="111">
        <v>0.0</v>
      </c>
      <c r="AZ168" s="69"/>
      <c r="BA168" s="7" t="s">
        <v>293</v>
      </c>
      <c r="BB168" s="198"/>
      <c r="BC168" s="198"/>
      <c r="BD168" s="56"/>
      <c r="BE168" s="198"/>
      <c r="BF168" s="198"/>
      <c r="BG168" s="198"/>
      <c r="BH168" s="198"/>
      <c r="BI168" s="198"/>
      <c r="BJ168" s="198"/>
      <c r="BK168" s="98"/>
      <c r="BL168" s="98"/>
      <c r="BM168" s="198"/>
      <c r="BN168" s="198"/>
      <c r="BO168" s="198"/>
      <c r="BP168" s="198"/>
      <c r="BQ168" s="198"/>
      <c r="BR168" s="198"/>
      <c r="BS168" s="56"/>
      <c r="BT168" s="197"/>
      <c r="BU168" s="198"/>
      <c r="BV168" s="56"/>
      <c r="BW168" s="56"/>
    </row>
    <row r="169">
      <c r="A169" s="197">
        <v>15.0</v>
      </c>
      <c r="B169" s="34" t="s">
        <v>291</v>
      </c>
      <c r="C169" s="206">
        <v>1.0</v>
      </c>
      <c r="D169" s="120" t="s">
        <v>305</v>
      </c>
      <c r="E169" s="197">
        <v>173.0</v>
      </c>
      <c r="F169" s="120"/>
      <c r="G169" s="56"/>
      <c r="H169" s="197">
        <v>1.0</v>
      </c>
      <c r="I169" s="197">
        <v>1.0</v>
      </c>
      <c r="J169" s="34" t="s">
        <v>3100</v>
      </c>
      <c r="K169" s="120"/>
      <c r="L169" s="120"/>
      <c r="M169" s="69" t="str">
        <f t="shared" si="7"/>
        <v>[https://www.sciencedirect.com/science/article/pii/0020019080900356 Dyer (1980)]</v>
      </c>
      <c r="N169" s="34" t="s">
        <v>3101</v>
      </c>
      <c r="O169" s="98">
        <v>1980.0</v>
      </c>
      <c r="P169" s="26" t="s">
        <v>307</v>
      </c>
      <c r="Q169" s="198"/>
      <c r="R169" s="198"/>
      <c r="S169" s="198"/>
      <c r="T169" s="197">
        <v>0.0</v>
      </c>
      <c r="U169" s="197">
        <v>0.0</v>
      </c>
      <c r="V169" s="199">
        <f>IFERROR(__xludf.DUMMYFUNCTION("INDEX(SPLIT(SUBSTITUTE(W169,CHAR(10), """"),"",:""), MATCH(AE169, SPLIT(SUBSTITUTE(W169,CHAR(10), """"),"",:""), 0) + 1)"),3.0)</f>
        <v>3</v>
      </c>
      <c r="W169" s="120" t="s">
        <v>1763</v>
      </c>
      <c r="X169" s="34" t="s">
        <v>3102</v>
      </c>
      <c r="Y169" s="104" t="s">
        <v>584</v>
      </c>
      <c r="Z169" s="180" t="s">
        <v>307</v>
      </c>
      <c r="AA169" s="104" t="s">
        <v>3630</v>
      </c>
      <c r="AB169" s="180" t="s">
        <v>307</v>
      </c>
      <c r="AC169" s="104" t="s">
        <v>5990</v>
      </c>
      <c r="AD169" s="120" t="s">
        <v>3096</v>
      </c>
      <c r="AE169" s="120" t="str">
        <f t="array" ref="AE169">INDEX(Problems!J:J, MATCH(1, (Problems!B:B=B169)*1, 0))</f>
        <v>n</v>
      </c>
      <c r="AF169" s="120"/>
      <c r="AG169" s="120"/>
      <c r="AH169" s="120" t="s">
        <v>3103</v>
      </c>
      <c r="AI169" s="120" t="s">
        <v>1814</v>
      </c>
      <c r="AJ169" s="120">
        <f>IFERROR(__xludf.DUMMYFUNCTION("INDEX(SPLIT(SUBSTITUTE(AK169,CHAR(10), """"),"",:""), MATCH(AE169, SPLIT(SUBSTITUTE(AK169,CHAR(10), """"),"",:""), 0) + 1)"),5.0)</f>
        <v>5</v>
      </c>
      <c r="AK169" s="120" t="s">
        <v>1938</v>
      </c>
      <c r="AL169" s="120" t="s">
        <v>115</v>
      </c>
      <c r="AM169" s="219" t="s">
        <v>307</v>
      </c>
      <c r="AN169" s="199">
        <v>0.0</v>
      </c>
      <c r="AO169" s="199">
        <v>1.0</v>
      </c>
      <c r="AP169" s="200"/>
      <c r="AQ169" s="197">
        <v>0.0</v>
      </c>
      <c r="AR169" s="200"/>
      <c r="AS169" s="197">
        <v>0.0</v>
      </c>
      <c r="AT169" s="210"/>
      <c r="AU169" s="98">
        <v>0.0</v>
      </c>
      <c r="AV169" s="98">
        <v>1.0</v>
      </c>
      <c r="AW169" s="110" t="s">
        <v>115</v>
      </c>
      <c r="AX169" s="98">
        <v>0.0</v>
      </c>
      <c r="AY169" s="98">
        <v>0.0</v>
      </c>
      <c r="AZ169" s="69"/>
      <c r="BA169" s="198" t="s">
        <v>2192</v>
      </c>
      <c r="BB169" s="198"/>
      <c r="BC169" s="198"/>
      <c r="BD169" s="56"/>
      <c r="BE169" s="198"/>
      <c r="BF169" s="198"/>
      <c r="BG169" s="198"/>
      <c r="BH169" s="198"/>
      <c r="BI169" s="198"/>
      <c r="BJ169" s="198"/>
      <c r="BK169" s="98">
        <v>1000.0</v>
      </c>
      <c r="BL169" s="98">
        <f>1000000/BK169</f>
        <v>1000</v>
      </c>
      <c r="BM169" s="198"/>
      <c r="BN169" s="198"/>
      <c r="BO169" s="198"/>
      <c r="BP169" s="198"/>
      <c r="BQ169" s="198"/>
      <c r="BR169" s="198"/>
      <c r="BS169" s="56"/>
      <c r="BT169" s="197">
        <v>4.0</v>
      </c>
      <c r="BU169" s="198"/>
      <c r="BV169" s="56"/>
      <c r="BW169" s="56" t="s">
        <v>196</v>
      </c>
    </row>
    <row r="170">
      <c r="A170" s="197">
        <v>19.0</v>
      </c>
      <c r="B170" s="34" t="s">
        <v>377</v>
      </c>
      <c r="C170" s="206">
        <v>0.001</v>
      </c>
      <c r="D170" s="120" t="s">
        <v>385</v>
      </c>
      <c r="E170" s="197">
        <v>204.0</v>
      </c>
      <c r="F170" s="120"/>
      <c r="G170" s="56"/>
      <c r="H170" s="197">
        <v>1.0</v>
      </c>
      <c r="I170" s="98">
        <v>1.0</v>
      </c>
      <c r="J170" s="110" t="s">
        <v>3251</v>
      </c>
      <c r="K170" s="200"/>
      <c r="L170" s="200"/>
      <c r="M170" s="69" t="str">
        <f t="shared" si="7"/>
        <v>[https://www.ams.org/journals/mcom/1993-61-203/S0025-5718-1993-1182953-4/S0025-5718-1993-1182953-4.pdf Rational sieve (1993)]</v>
      </c>
      <c r="N170" s="69" t="s">
        <v>3252</v>
      </c>
      <c r="O170" s="98">
        <v>1993.0</v>
      </c>
      <c r="P170" s="217" t="s">
        <v>3253</v>
      </c>
      <c r="Q170" s="198"/>
      <c r="R170" s="198"/>
      <c r="S170" s="198"/>
      <c r="T170" s="98">
        <v>0.0</v>
      </c>
      <c r="U170" s="98">
        <v>0.0</v>
      </c>
      <c r="V170" s="199">
        <f>IFERROR(__xludf.DUMMYFUNCTION("INDEX(SPLIT(SUBSTITUTE(W170,CHAR(10), """"),"",:""), MATCH(AE170, SPLIT(SUBSTITUTE(W170,CHAR(10), """"),"",:""), 0) + 1)"),8.0)</f>
        <v>8</v>
      </c>
      <c r="W170" s="120" t="s">
        <v>2001</v>
      </c>
      <c r="X170" s="110" t="s">
        <v>3251</v>
      </c>
      <c r="Y170" s="120"/>
      <c r="Z170" s="120"/>
      <c r="AA170" s="120"/>
      <c r="AB170" s="120"/>
      <c r="AC170" s="104" t="s">
        <v>5990</v>
      </c>
      <c r="AD170" s="120" t="s">
        <v>3238</v>
      </c>
      <c r="AE170" s="120" t="str">
        <f t="array" ref="AE170">INDEX(Problems!J:J, MATCH(1, (Problems!B:B=B170)*1, 0))</f>
        <v>n</v>
      </c>
      <c r="AF170" s="120"/>
      <c r="AG170" s="120"/>
      <c r="AH170" s="120" t="s">
        <v>2337</v>
      </c>
      <c r="AI170" s="120" t="s">
        <v>2338</v>
      </c>
      <c r="AJ170" s="120">
        <f>IFERROR(__xludf.DUMMYFUNCTION("INDEX(SPLIT(SUBSTITUTE(AK170,CHAR(10), """"),"",:""), MATCH(AE170, SPLIT(SUBSTITUTE(AK170,CHAR(10), """"),"",:""), 0) + 1)"),3.0)</f>
        <v>3</v>
      </c>
      <c r="AK170" s="120" t="s">
        <v>3239</v>
      </c>
      <c r="AL170" s="120" t="s">
        <v>3240</v>
      </c>
      <c r="AM170" s="238" t="s">
        <v>3250</v>
      </c>
      <c r="AN170" s="199">
        <v>1.0</v>
      </c>
      <c r="AO170" s="199">
        <v>0.0</v>
      </c>
      <c r="AP170" s="210"/>
      <c r="AQ170" s="98">
        <v>0.0</v>
      </c>
      <c r="AR170" s="210"/>
      <c r="AS170" s="98">
        <v>0.0</v>
      </c>
      <c r="AT170" s="200"/>
      <c r="AU170" s="98">
        <v>0.0</v>
      </c>
      <c r="AV170" s="98">
        <v>1.0</v>
      </c>
      <c r="AW170" s="110"/>
      <c r="AX170" s="98">
        <v>0.0</v>
      </c>
      <c r="AY170" s="98">
        <v>0.0</v>
      </c>
      <c r="AZ170" s="69"/>
      <c r="BA170" s="198" t="s">
        <v>3242</v>
      </c>
      <c r="BB170" s="198"/>
      <c r="BC170" s="198"/>
      <c r="BD170" s="56"/>
      <c r="BE170" s="56"/>
      <c r="BF170" s="56"/>
      <c r="BG170" s="56"/>
      <c r="BH170" s="56"/>
      <c r="BI170" s="56"/>
      <c r="BJ170" s="56"/>
      <c r="BK170" s="56"/>
      <c r="BL170" s="198"/>
      <c r="BM170" s="198"/>
      <c r="BN170" s="198"/>
      <c r="BO170" s="198"/>
      <c r="BP170" s="198"/>
      <c r="BQ170" s="198"/>
      <c r="BR170" s="198"/>
      <c r="BS170" s="56"/>
      <c r="BT170" s="197">
        <v>4.0</v>
      </c>
      <c r="BU170" s="198"/>
      <c r="BV170" s="56"/>
      <c r="BW170" s="56" t="s">
        <v>144</v>
      </c>
    </row>
    <row r="171">
      <c r="A171" s="197">
        <v>22.0</v>
      </c>
      <c r="B171" s="34" t="s">
        <v>412</v>
      </c>
      <c r="C171" s="206">
        <v>0.001</v>
      </c>
      <c r="D171" s="120" t="s">
        <v>413</v>
      </c>
      <c r="E171" s="197">
        <v>243.0</v>
      </c>
      <c r="F171" s="120"/>
      <c r="G171" s="56"/>
      <c r="H171" s="197">
        <v>1.0</v>
      </c>
      <c r="I171" s="98">
        <v>1.0</v>
      </c>
      <c r="J171" s="198" t="s">
        <v>3770</v>
      </c>
      <c r="K171" s="120"/>
      <c r="L171" s="120"/>
      <c r="M171" s="69" t="str">
        <f t="shared" si="7"/>
        <v>[https://link.springer.com/chapter/10.1007/BFb0030778 Backward Non-Deterministic DAWG Matching (BNDM) (1998)]</v>
      </c>
      <c r="N171" s="69" t="s">
        <v>3771</v>
      </c>
      <c r="O171" s="98">
        <v>1998.0</v>
      </c>
      <c r="P171" s="183" t="s">
        <v>3772</v>
      </c>
      <c r="Q171" s="198"/>
      <c r="R171" s="198"/>
      <c r="S171" s="198"/>
      <c r="T171" s="197">
        <v>0.0</v>
      </c>
      <c r="U171" s="197">
        <v>0.0</v>
      </c>
      <c r="V171" s="199">
        <f>IFERROR(__xludf.DUMMYFUNCTION("INDEX(SPLIT(SUBSTITUTE(W171,CHAR(10), """"),"",:""), MATCH(AE171, SPLIT(SUBSTITUTE(W171,CHAR(10), """"),"",:""), 0) + 1)"),3.0)</f>
        <v>3</v>
      </c>
      <c r="W171" s="120" t="s">
        <v>3755</v>
      </c>
      <c r="X171" s="34" t="s">
        <v>1095</v>
      </c>
      <c r="Y171" s="120"/>
      <c r="Z171" s="120"/>
      <c r="AA171" s="120"/>
      <c r="AB171" s="120"/>
      <c r="AC171" s="120"/>
      <c r="AD171" s="120" t="s">
        <v>416</v>
      </c>
      <c r="AE171" s="120" t="str">
        <f t="array" ref="AE171">INDEX(Problems!J:J, MATCH(1, (Problems!B:B=B171)*1, 0))</f>
        <v>m+n</v>
      </c>
      <c r="AF171" s="120"/>
      <c r="AG171" s="120"/>
      <c r="AH171" s="104" t="s">
        <v>6309</v>
      </c>
      <c r="AI171" s="120" t="s">
        <v>1814</v>
      </c>
      <c r="AJ171" s="120">
        <f>IFERROR(__xludf.DUMMYFUNCTION("INDEX(SPLIT(SUBSTITUTE(AK171,CHAR(10), """"),"",:""), MATCH(AE171, SPLIT(SUBSTITUTE(AK171,CHAR(10), """"),"",:""), 0) + 1)"),3.0)</f>
        <v>3</v>
      </c>
      <c r="AK171" s="120" t="s">
        <v>3292</v>
      </c>
      <c r="AL171" s="120" t="s">
        <v>3773</v>
      </c>
      <c r="AM171" s="219" t="s">
        <v>3772</v>
      </c>
      <c r="AN171" s="199">
        <v>0.0</v>
      </c>
      <c r="AO171" s="199">
        <v>1.0</v>
      </c>
      <c r="AP171" s="210"/>
      <c r="AQ171" s="98">
        <v>0.0</v>
      </c>
      <c r="AR171" s="110"/>
      <c r="AS171" s="98">
        <v>0.0</v>
      </c>
      <c r="AT171" s="210"/>
      <c r="AU171" s="98">
        <v>0.0</v>
      </c>
      <c r="AV171" s="98">
        <v>1.0</v>
      </c>
      <c r="AW171" s="110"/>
      <c r="AX171" s="98">
        <v>0.0</v>
      </c>
      <c r="AY171" s="98">
        <v>0.0</v>
      </c>
      <c r="AZ171" s="69"/>
      <c r="BA171" s="56" t="s">
        <v>2249</v>
      </c>
      <c r="BB171" s="56"/>
      <c r="BC171" s="56"/>
      <c r="BD171" s="198" t="s">
        <v>2658</v>
      </c>
      <c r="BE171" s="56"/>
      <c r="BF171" s="56"/>
      <c r="BG171" s="56"/>
      <c r="BH171" s="56"/>
      <c r="BI171" s="56"/>
      <c r="BJ171" s="56"/>
      <c r="BK171" s="56"/>
      <c r="BL171" s="198"/>
      <c r="BM171" s="198"/>
      <c r="BN171" s="198"/>
      <c r="BO171" s="198"/>
      <c r="BP171" s="198"/>
      <c r="BQ171" s="198"/>
      <c r="BR171" s="198"/>
      <c r="BS171" s="56"/>
      <c r="BT171" s="197">
        <v>4.0</v>
      </c>
      <c r="BU171" s="198"/>
      <c r="BV171" s="56"/>
      <c r="BW171" s="56" t="s">
        <v>23</v>
      </c>
    </row>
    <row r="172">
      <c r="A172" s="197">
        <v>25.0</v>
      </c>
      <c r="B172" s="34" t="s">
        <v>441</v>
      </c>
      <c r="C172" s="206">
        <v>0.001</v>
      </c>
      <c r="D172" s="120" t="s">
        <v>3306</v>
      </c>
      <c r="E172" s="197">
        <v>271.0</v>
      </c>
      <c r="F172" s="120"/>
      <c r="G172" s="56"/>
      <c r="H172" s="197">
        <v>1.0</v>
      </c>
      <c r="I172" s="98">
        <v>1.0</v>
      </c>
      <c r="J172" s="120" t="s">
        <v>3307</v>
      </c>
      <c r="K172" s="110" t="s">
        <v>2027</v>
      </c>
      <c r="L172" s="110" t="s">
        <v>2027</v>
      </c>
      <c r="M172" s="69" t="str">
        <f t="shared" si="7"/>
        <v>[https://onlinelibrary.wiley.com/doi/abs/10.1111/1467-8659.1510061 Skala (1996)]</v>
      </c>
      <c r="N172" s="34" t="s">
        <v>3308</v>
      </c>
      <c r="O172" s="98">
        <v>1996.0</v>
      </c>
      <c r="P172" s="217" t="s">
        <v>459</v>
      </c>
      <c r="Q172" s="198"/>
      <c r="R172" s="198"/>
      <c r="S172" s="198"/>
      <c r="T172" s="199">
        <v>0.0</v>
      </c>
      <c r="U172" s="199">
        <v>0.0</v>
      </c>
      <c r="V172" s="199">
        <f>IFERROR(__xludf.DUMMYFUNCTION("INDEX(SPLIT(SUBSTITUTE(W172,CHAR(10), """"),"",:""), MATCH(AE172, SPLIT(SUBSTITUTE(W172,CHAR(10), """"),"",:""), 0) + 1)"),3.0)</f>
        <v>3</v>
      </c>
      <c r="W172" s="120" t="s">
        <v>2319</v>
      </c>
      <c r="X172" s="120" t="s">
        <v>3307</v>
      </c>
      <c r="Y172" s="120"/>
      <c r="Z172" s="120"/>
      <c r="AA172" s="120"/>
      <c r="AB172" s="120"/>
      <c r="AC172" s="120"/>
      <c r="AD172" s="120" t="s">
        <v>3309</v>
      </c>
      <c r="AE172" s="120" t="str">
        <f t="array" ref="AE172">INDEX(Problems!J:J, MATCH(1, (Problems!B:B=B172)*1, 0))</f>
        <v>n</v>
      </c>
      <c r="AF172" s="120"/>
      <c r="AG172" s="120"/>
      <c r="AH172" s="120" t="s">
        <v>2312</v>
      </c>
      <c r="AI172" s="120" t="s">
        <v>1814</v>
      </c>
      <c r="AJ172" s="120">
        <f>IFERROR(__xludf.DUMMYFUNCTION("INDEX(SPLIT(SUBSTITUTE(AK172,CHAR(10), """"),"",:""), MATCH(AE172, SPLIT(SUBSTITUTE(AK172,CHAR(10), """"),"",:""), 0) + 1)"),1.0)</f>
        <v>1</v>
      </c>
      <c r="AK172" s="120" t="s">
        <v>1774</v>
      </c>
      <c r="AL172" s="120" t="s">
        <v>3310</v>
      </c>
      <c r="AM172" s="110" t="s">
        <v>2321</v>
      </c>
      <c r="AN172" s="199">
        <v>1.0</v>
      </c>
      <c r="AO172" s="199">
        <v>0.0</v>
      </c>
      <c r="AP172" s="200"/>
      <c r="AQ172" s="197">
        <v>0.0</v>
      </c>
      <c r="AR172" s="210"/>
      <c r="AS172" s="98">
        <v>0.0</v>
      </c>
      <c r="AT172" s="200"/>
      <c r="AU172" s="197">
        <v>0.0</v>
      </c>
      <c r="AV172" s="197">
        <v>1.0</v>
      </c>
      <c r="AW172" s="110"/>
      <c r="AX172" s="98">
        <v>0.0</v>
      </c>
      <c r="AY172" s="98">
        <v>0.0</v>
      </c>
      <c r="AZ172" s="34"/>
      <c r="BA172" s="198" t="s">
        <v>2314</v>
      </c>
      <c r="BB172" s="198"/>
      <c r="BC172" s="198"/>
      <c r="BD172" s="56"/>
      <c r="BE172" s="198"/>
      <c r="BF172" s="198"/>
      <c r="BG172" s="198"/>
      <c r="BH172" s="198"/>
      <c r="BI172" s="198"/>
      <c r="BJ172" s="198"/>
      <c r="BK172" s="98">
        <v>1.0</v>
      </c>
      <c r="BL172" s="98">
        <f>1000/BK172</f>
        <v>1000</v>
      </c>
      <c r="BM172" s="198"/>
      <c r="BN172" s="198"/>
      <c r="BO172" s="198"/>
      <c r="BP172" s="198"/>
      <c r="BQ172" s="198"/>
      <c r="BR172" s="198"/>
      <c r="BS172" s="56"/>
      <c r="BT172" s="197">
        <v>6.0</v>
      </c>
      <c r="BU172" s="198"/>
      <c r="BV172" s="198"/>
      <c r="BW172" s="56" t="s">
        <v>196</v>
      </c>
    </row>
    <row r="173">
      <c r="A173" s="197">
        <v>38.0</v>
      </c>
      <c r="B173" s="34" t="s">
        <v>544</v>
      </c>
      <c r="C173" s="206">
        <v>1.0</v>
      </c>
      <c r="D173" s="120" t="s">
        <v>549</v>
      </c>
      <c r="E173" s="197">
        <v>350.0</v>
      </c>
      <c r="F173" s="120"/>
      <c r="G173" s="56"/>
      <c r="H173" s="197">
        <v>1.0</v>
      </c>
      <c r="I173" s="98">
        <v>0.0</v>
      </c>
      <c r="J173" s="69" t="s">
        <v>1768</v>
      </c>
      <c r="K173" s="120"/>
      <c r="L173" s="120"/>
      <c r="M173" s="69" t="str">
        <f t="shared" si="7"/>
        <v>[https://citeseerx.ist.psu.edu/viewdoc/download?doi=10.1.1.54.6940&amp;rep=rep1&amp;type=pdf Karpinski (1996)]</v>
      </c>
      <c r="N173" s="69" t="s">
        <v>1769</v>
      </c>
      <c r="O173" s="98">
        <v>1996.0</v>
      </c>
      <c r="P173" s="26" t="s">
        <v>1770</v>
      </c>
      <c r="Q173" s="198"/>
      <c r="R173" s="198"/>
      <c r="S173" s="198"/>
      <c r="T173" s="197">
        <v>0.0</v>
      </c>
      <c r="U173" s="197">
        <v>0.0</v>
      </c>
      <c r="V173" s="199">
        <v>2.6</v>
      </c>
      <c r="W173" s="120" t="s">
        <v>1771</v>
      </c>
      <c r="X173" s="34" t="s">
        <v>1772</v>
      </c>
      <c r="Y173" s="104" t="s">
        <v>6310</v>
      </c>
      <c r="Z173" s="180" t="s">
        <v>1770</v>
      </c>
      <c r="AA173" s="104" t="s">
        <v>6311</v>
      </c>
      <c r="AB173" s="180" t="s">
        <v>1770</v>
      </c>
      <c r="AC173" s="104" t="s">
        <v>5990</v>
      </c>
      <c r="AD173" s="120" t="s">
        <v>1773</v>
      </c>
      <c r="AE173" s="120" t="str">
        <f t="array" ref="AE173">INDEX(Problems!J:J, MATCH(1, (Problems!B:B=B173)*1, 0))</f>
        <v>n</v>
      </c>
      <c r="AF173" s="120"/>
      <c r="AG173" s="120"/>
      <c r="AH173" s="104" t="s">
        <v>2486</v>
      </c>
      <c r="AI173" s="120"/>
      <c r="AJ173" s="120">
        <f>IFERROR(__xludf.DUMMYFUNCTION("INDEX(SPLIT(SUBSTITUTE(AK173,CHAR(10), """"),"",:""), MATCH(AE173, SPLIT(SUBSTITUTE(AK173,CHAR(10), """"),"",:""), 0) + 1)"),1.0)</f>
        <v>1</v>
      </c>
      <c r="AK173" s="120" t="s">
        <v>1774</v>
      </c>
      <c r="AL173" s="120" t="s">
        <v>34</v>
      </c>
      <c r="AM173" s="120" t="s">
        <v>1775</v>
      </c>
      <c r="AN173" s="199">
        <v>1.0</v>
      </c>
      <c r="AO173" s="199">
        <v>0.0</v>
      </c>
      <c r="AP173" s="210"/>
      <c r="AQ173" s="98">
        <v>0.0</v>
      </c>
      <c r="AR173" s="210"/>
      <c r="AS173" s="98">
        <v>1.0</v>
      </c>
      <c r="AT173" s="120" t="s">
        <v>1776</v>
      </c>
      <c r="AU173" s="98">
        <v>0.0</v>
      </c>
      <c r="AV173" s="98">
        <v>1.0</v>
      </c>
      <c r="AW173" s="110" t="s">
        <v>22</v>
      </c>
      <c r="AX173" s="98">
        <v>0.0</v>
      </c>
      <c r="AY173" s="98">
        <v>0.0</v>
      </c>
      <c r="AZ173" s="69"/>
      <c r="BA173" s="56" t="s">
        <v>1767</v>
      </c>
      <c r="BB173" s="198"/>
      <c r="BC173" s="198"/>
      <c r="BD173" s="56"/>
      <c r="BE173" s="56"/>
      <c r="BF173" s="56"/>
      <c r="BG173" s="56"/>
      <c r="BH173" s="56"/>
      <c r="BI173" s="56"/>
      <c r="BJ173" s="56"/>
      <c r="BK173" s="197">
        <v>63.0</v>
      </c>
      <c r="BL173" s="198"/>
      <c r="BM173" s="198"/>
      <c r="BN173" s="198"/>
      <c r="BO173" s="198"/>
      <c r="BP173" s="198"/>
      <c r="BQ173" s="198"/>
      <c r="BR173" s="198"/>
      <c r="BS173" s="56"/>
      <c r="BT173" s="197">
        <v>1.0</v>
      </c>
      <c r="BU173" s="198"/>
      <c r="BV173" s="56"/>
      <c r="BW173" s="56" t="s">
        <v>23</v>
      </c>
    </row>
    <row r="174">
      <c r="A174" s="197">
        <v>55.0</v>
      </c>
      <c r="B174" s="34" t="s">
        <v>677</v>
      </c>
      <c r="C174" s="206">
        <v>1.0</v>
      </c>
      <c r="D174" s="120"/>
      <c r="E174" s="197">
        <v>452.0</v>
      </c>
      <c r="F174" s="120"/>
      <c r="G174" s="197">
        <v>0.0</v>
      </c>
      <c r="H174" s="197">
        <v>1.0</v>
      </c>
      <c r="I174" s="98">
        <v>1.0</v>
      </c>
      <c r="J174" s="110" t="s">
        <v>2382</v>
      </c>
      <c r="K174" s="120" t="s">
        <v>4330</v>
      </c>
      <c r="L174" s="120" t="s">
        <v>4152</v>
      </c>
      <c r="M174" s="69" t="str">
        <f t="shared" si="7"/>
        <v>[http://i.stanford.edu/pub/cstr/reports/cs/tr/79/773/CS-TR-79-773.pdf Chan's algorithm Parallel Implementation (1979)]</v>
      </c>
      <c r="N174" s="69" t="s">
        <v>6312</v>
      </c>
      <c r="O174" s="98">
        <v>1979.0</v>
      </c>
      <c r="P174" s="183" t="s">
        <v>4396</v>
      </c>
      <c r="Q174" s="198"/>
      <c r="R174" s="198"/>
      <c r="S174" s="198"/>
      <c r="T174" s="98">
        <v>0.0</v>
      </c>
      <c r="U174" s="98">
        <v>0.0</v>
      </c>
      <c r="V174" s="199">
        <f>IFERROR(__xludf.DUMMYFUNCTION("INDEX(SPLIT(SUBSTITUTE(W174,CHAR(10), """"),"",:""), MATCH(AE174, SPLIT(SUBSTITUTE(W174,CHAR(10), """"),"",:""), 0) + 1)"),2.0)</f>
        <v>2</v>
      </c>
      <c r="W174" s="120" t="s">
        <v>1962</v>
      </c>
      <c r="X174" s="120" t="s">
        <v>2430</v>
      </c>
      <c r="Y174" s="104" t="s">
        <v>2483</v>
      </c>
      <c r="Z174" s="208" t="s">
        <v>4400</v>
      </c>
      <c r="AA174" s="104" t="s">
        <v>6313</v>
      </c>
      <c r="AB174" s="208" t="s">
        <v>4400</v>
      </c>
      <c r="AC174" s="104" t="s">
        <v>5990</v>
      </c>
      <c r="AD174" s="120" t="s">
        <v>4386</v>
      </c>
      <c r="AE174" s="120" t="str">
        <f t="array" ref="AE174">INDEX(Problems!J:J, MATCH(1, (Problems!B:B=B174)*1, 0))</f>
        <v>n</v>
      </c>
      <c r="AF174" s="120"/>
      <c r="AG174" s="120"/>
      <c r="AH174" s="120" t="s">
        <v>4397</v>
      </c>
      <c r="AI174" s="120" t="s">
        <v>1814</v>
      </c>
      <c r="AJ174" s="120">
        <f>IFERROR(__xludf.DUMMYFUNCTION("INDEX(SPLIT(SUBSTITUTE(AK174,CHAR(10), """"),"",:""), MATCH(AE174, SPLIT(SUBSTITUTE(AK174,CHAR(10), """"),"",:""), 0) + 1)"),3.0)</f>
        <v>3</v>
      </c>
      <c r="AK174" s="120" t="s">
        <v>1763</v>
      </c>
      <c r="AL174" s="120" t="s">
        <v>4398</v>
      </c>
      <c r="AM174" s="120" t="s">
        <v>4399</v>
      </c>
      <c r="AN174" s="199">
        <v>1.0</v>
      </c>
      <c r="AO174" s="199">
        <v>0.0</v>
      </c>
      <c r="AP174" s="210"/>
      <c r="AQ174" s="98">
        <v>0.0</v>
      </c>
      <c r="AR174" s="210"/>
      <c r="AS174" s="98">
        <v>0.0</v>
      </c>
      <c r="AT174" s="210"/>
      <c r="AU174" s="98">
        <v>0.0</v>
      </c>
      <c r="AV174" s="98">
        <v>1.0</v>
      </c>
      <c r="AW174" s="110" t="s">
        <v>35</v>
      </c>
      <c r="AX174" s="98">
        <v>0.0</v>
      </c>
      <c r="AY174" s="98">
        <v>0.0</v>
      </c>
      <c r="AZ174" s="208" t="s">
        <v>4400</v>
      </c>
      <c r="BA174" s="56"/>
      <c r="BB174" s="56"/>
      <c r="BC174" s="56"/>
      <c r="BD174" s="198"/>
      <c r="BE174" s="56"/>
      <c r="BF174" s="56"/>
      <c r="BG174" s="56"/>
      <c r="BH174" s="56"/>
      <c r="BI174" s="56"/>
      <c r="BJ174" s="56"/>
      <c r="BK174" s="197">
        <v>1.0</v>
      </c>
      <c r="BL174" s="198"/>
      <c r="BM174" s="198"/>
      <c r="BN174" s="198"/>
      <c r="BO174" s="198"/>
      <c r="BP174" s="198"/>
      <c r="BQ174" s="198"/>
      <c r="BR174" s="198"/>
      <c r="BS174" s="56"/>
      <c r="BT174" s="197">
        <v>6.0</v>
      </c>
      <c r="BU174" s="198"/>
      <c r="BV174" s="56"/>
      <c r="BW174" s="56" t="s">
        <v>144</v>
      </c>
    </row>
    <row r="175">
      <c r="A175" s="197">
        <v>56.0</v>
      </c>
      <c r="B175" s="34" t="s">
        <v>682</v>
      </c>
      <c r="C175" s="206">
        <v>1.0</v>
      </c>
      <c r="D175" s="120" t="s">
        <v>682</v>
      </c>
      <c r="E175" s="197">
        <v>455.0</v>
      </c>
      <c r="F175" s="120"/>
      <c r="G175" s="56"/>
      <c r="H175" s="197">
        <v>1.0</v>
      </c>
      <c r="I175" s="98">
        <v>1.0</v>
      </c>
      <c r="J175" s="69" t="str">
        <f>"O( log"&amp;CHAR(178)&amp;" V)"</f>
        <v>O( log² V)</v>
      </c>
      <c r="K175" s="120"/>
      <c r="L175" s="120"/>
      <c r="M175" s="69" t="str">
        <f t="shared" si="7"/>
        <v>[https://www.proquest.com/docview/920003939?pq-origsite=gscholar&amp;fromopenview=true Dekel; Nassimi &amp; Sahni Parallel Implementation  (1981)]</v>
      </c>
      <c r="N175" s="35" t="s">
        <v>6314</v>
      </c>
      <c r="O175" s="98">
        <v>1981.0</v>
      </c>
      <c r="P175" s="183" t="s">
        <v>4407</v>
      </c>
      <c r="Q175" s="198"/>
      <c r="R175" s="198"/>
      <c r="S175" s="198"/>
      <c r="T175" s="98">
        <v>0.0</v>
      </c>
      <c r="U175" s="98">
        <v>0.0</v>
      </c>
      <c r="V175" s="199">
        <f>IFERROR(__xludf.DUMMYFUNCTION("INDEX(SPLIT(SUBSTITUTE(W175,CHAR(10), """"),"",:""), MATCH(AE175, SPLIT(SUBSTITUTE(W175,CHAR(10), """"),"",:""), 0) + 1)"),2.0)</f>
        <v>2</v>
      </c>
      <c r="W175" s="120" t="s">
        <v>4408</v>
      </c>
      <c r="X175" s="34" t="s">
        <v>4409</v>
      </c>
      <c r="Y175" s="104" t="s">
        <v>6315</v>
      </c>
      <c r="Z175" s="112" t="s">
        <v>6316</v>
      </c>
      <c r="AA175" s="104" t="s">
        <v>6317</v>
      </c>
      <c r="AB175" s="112" t="s">
        <v>6316</v>
      </c>
      <c r="AC175" s="104" t="s">
        <v>5990</v>
      </c>
      <c r="AD175" s="120" t="s">
        <v>2542</v>
      </c>
      <c r="AE175" s="120" t="str">
        <f t="array" ref="AE175">INDEX(Problems!J:J, MATCH(1, (Problems!B:B=B175)*1, 0))</f>
        <v>V</v>
      </c>
      <c r="AF175" s="120"/>
      <c r="AG175" s="120"/>
      <c r="AH175" s="120" t="s">
        <v>4410</v>
      </c>
      <c r="AI175" s="120" t="s">
        <v>1814</v>
      </c>
      <c r="AJ175" s="120">
        <f>IFERROR(__xludf.DUMMYFUNCTION("INDEX(SPLIT(SUBSTITUTE(AK175,CHAR(10), """"),"",:""), MATCH(AE175, SPLIT(SUBSTITUTE(AK175,CHAR(10), """"),"",:""), 0) + 1)"),5.0)</f>
        <v>5</v>
      </c>
      <c r="AK175" s="120" t="s">
        <v>3038</v>
      </c>
      <c r="AL175" s="120" t="s">
        <v>3875</v>
      </c>
      <c r="AM175" s="120" t="s">
        <v>4411</v>
      </c>
      <c r="AN175" s="199">
        <v>1.0</v>
      </c>
      <c r="AO175" s="199">
        <v>0.0</v>
      </c>
      <c r="AP175" s="210"/>
      <c r="AQ175" s="98">
        <v>0.0</v>
      </c>
      <c r="AR175" s="210"/>
      <c r="AS175" s="98">
        <v>0.0</v>
      </c>
      <c r="AT175" s="210"/>
      <c r="AU175" s="98">
        <v>0.0</v>
      </c>
      <c r="AV175" s="98">
        <v>1.0</v>
      </c>
      <c r="AW175" s="110" t="s">
        <v>4412</v>
      </c>
      <c r="AX175" s="98">
        <v>0.0</v>
      </c>
      <c r="AY175" s="98">
        <v>0.0</v>
      </c>
      <c r="AZ175" s="69"/>
      <c r="BA175" s="56"/>
      <c r="BB175" s="56"/>
      <c r="BC175" s="56"/>
      <c r="BD175" s="198"/>
      <c r="BE175" s="56"/>
      <c r="BF175" s="56"/>
      <c r="BG175" s="56"/>
      <c r="BH175" s="56"/>
      <c r="BI175" s="56"/>
      <c r="BJ175" s="56"/>
      <c r="BK175" s="56"/>
      <c r="BL175" s="198"/>
      <c r="BM175" s="198"/>
      <c r="BN175" s="198"/>
      <c r="BO175" s="198"/>
      <c r="BP175" s="198"/>
      <c r="BQ175" s="198"/>
      <c r="BR175" s="198"/>
      <c r="BS175" s="56"/>
      <c r="BT175" s="197">
        <v>6.0</v>
      </c>
      <c r="BU175" s="198"/>
      <c r="BV175" s="56"/>
      <c r="BW175" s="56" t="s">
        <v>23</v>
      </c>
    </row>
    <row r="176">
      <c r="A176" s="197">
        <v>58.0</v>
      </c>
      <c r="B176" s="34" t="s">
        <v>694</v>
      </c>
      <c r="C176" s="206">
        <v>1.0</v>
      </c>
      <c r="D176" s="200" t="s">
        <v>701</v>
      </c>
      <c r="E176" s="56"/>
      <c r="F176" s="200"/>
      <c r="G176" s="56"/>
      <c r="H176" s="197">
        <v>1.0</v>
      </c>
      <c r="I176" s="98">
        <v>1.0</v>
      </c>
      <c r="J176" s="34" t="s">
        <v>6318</v>
      </c>
      <c r="K176" s="200"/>
      <c r="L176" s="200"/>
      <c r="M176" s="69" t="str">
        <f t="shared" si="7"/>
        <v>[https://epubs.siam.org/doi/abs/10.1137/0217079?journalCode=smjcat Schieber; Vishkin [Parallel] (1988)]</v>
      </c>
      <c r="N176" s="69" t="s">
        <v>6319</v>
      </c>
      <c r="O176" s="197">
        <v>1988.0</v>
      </c>
      <c r="P176" s="26" t="s">
        <v>4440</v>
      </c>
      <c r="Q176" s="198"/>
      <c r="R176" s="198"/>
      <c r="S176" s="198"/>
      <c r="T176" s="98">
        <v>0.0</v>
      </c>
      <c r="U176" s="98">
        <v>0.0</v>
      </c>
      <c r="V176" s="120"/>
      <c r="W176" s="143"/>
      <c r="X176" s="34" t="s">
        <v>6318</v>
      </c>
      <c r="Y176" s="130" t="s">
        <v>6320</v>
      </c>
      <c r="Z176" s="213" t="s">
        <v>6321</v>
      </c>
      <c r="AA176" s="130" t="s">
        <v>2256</v>
      </c>
      <c r="AB176" s="213" t="s">
        <v>6321</v>
      </c>
      <c r="AC176" s="130" t="s">
        <v>5990</v>
      </c>
      <c r="AD176" s="200" t="s">
        <v>4438</v>
      </c>
      <c r="AE176" s="200"/>
      <c r="AF176" s="200"/>
      <c r="AG176" s="200"/>
      <c r="AH176" s="200" t="s">
        <v>2436</v>
      </c>
      <c r="AI176" s="200" t="s">
        <v>1814</v>
      </c>
      <c r="AJ176" s="200" t="s">
        <v>6322</v>
      </c>
      <c r="AK176" s="216" t="s">
        <v>1763</v>
      </c>
      <c r="AL176" s="219" t="s">
        <v>6323</v>
      </c>
      <c r="AM176" s="200"/>
      <c r="AN176" s="143"/>
      <c r="AO176" s="143"/>
      <c r="AP176" s="143"/>
      <c r="AQ176" s="197">
        <v>0.0</v>
      </c>
      <c r="AR176" s="200"/>
      <c r="AS176" s="197">
        <v>0.0</v>
      </c>
      <c r="AT176" s="210"/>
      <c r="AU176" s="98">
        <v>0.0</v>
      </c>
      <c r="AV176" s="98">
        <v>1.0</v>
      </c>
      <c r="AW176" s="110" t="s">
        <v>2438</v>
      </c>
      <c r="AX176" s="98">
        <v>0.0</v>
      </c>
      <c r="AY176" s="98">
        <v>0.0</v>
      </c>
      <c r="AZ176" s="69"/>
      <c r="BA176" s="198"/>
      <c r="BB176" s="198"/>
      <c r="BC176" s="198"/>
      <c r="BD176" s="198"/>
      <c r="BE176" s="56"/>
      <c r="BF176" s="198"/>
      <c r="BG176" s="198"/>
      <c r="BH176" s="56"/>
      <c r="BI176" s="56"/>
      <c r="BJ176" s="56"/>
      <c r="BT176" s="56"/>
      <c r="BU176" s="56"/>
      <c r="BV176" s="56"/>
      <c r="BW176" s="56" t="s">
        <v>23</v>
      </c>
    </row>
    <row r="177">
      <c r="A177" s="197">
        <v>58.0</v>
      </c>
      <c r="B177" s="34" t="s">
        <v>694</v>
      </c>
      <c r="C177" s="206">
        <v>0.001</v>
      </c>
      <c r="D177" s="200" t="s">
        <v>701</v>
      </c>
      <c r="E177" s="56"/>
      <c r="F177" s="200"/>
      <c r="G177" s="56"/>
      <c r="H177" s="197">
        <v>1.0</v>
      </c>
      <c r="I177" s="98">
        <v>1.0</v>
      </c>
      <c r="J177" s="34" t="s">
        <v>562</v>
      </c>
      <c r="K177" s="200" t="s">
        <v>4330</v>
      </c>
      <c r="L177" s="200" t="s">
        <v>4436</v>
      </c>
      <c r="M177" s="69" t="str">
        <f t="shared" si="7"/>
        <v>[https://citeseerx.ist.psu.edu/viewdoc/summary?doi=10.1.1.64.5439 Fischer, Heun (2006)]</v>
      </c>
      <c r="N177" s="69" t="s">
        <v>6324</v>
      </c>
      <c r="O177" s="98">
        <v>2006.0</v>
      </c>
      <c r="P177" s="26" t="s">
        <v>6325</v>
      </c>
      <c r="Q177" s="198"/>
      <c r="R177" s="198"/>
      <c r="S177" s="198"/>
      <c r="T177" s="98">
        <v>0.0</v>
      </c>
      <c r="U177" s="98">
        <v>0.0</v>
      </c>
      <c r="V177" s="120"/>
      <c r="W177" s="143"/>
      <c r="X177" s="34" t="s">
        <v>562</v>
      </c>
      <c r="Y177" s="200"/>
      <c r="Z177" s="200"/>
      <c r="AA177" s="200"/>
      <c r="AB177" s="200"/>
      <c r="AC177" s="200"/>
      <c r="AD177" s="200" t="s">
        <v>4438</v>
      </c>
      <c r="AE177" s="200"/>
      <c r="AF177" s="200"/>
      <c r="AG177" s="200"/>
      <c r="AH177" s="200" t="s">
        <v>1813</v>
      </c>
      <c r="AI177" s="200" t="s">
        <v>1814</v>
      </c>
      <c r="AJ177" s="200" t="s">
        <v>35</v>
      </c>
      <c r="AK177" s="216" t="s">
        <v>1763</v>
      </c>
      <c r="AL177" s="219" t="s">
        <v>6325</v>
      </c>
      <c r="AM177" s="200"/>
      <c r="AN177" s="143"/>
      <c r="AO177" s="143"/>
      <c r="AP177" s="143"/>
      <c r="AQ177" s="197">
        <v>0.0</v>
      </c>
      <c r="AR177" s="200"/>
      <c r="AS177" s="197">
        <v>0.0</v>
      </c>
      <c r="AT177" s="210"/>
      <c r="AU177" s="98">
        <v>0.0</v>
      </c>
      <c r="AV177" s="98">
        <v>1.0</v>
      </c>
      <c r="AW177" s="110" t="s">
        <v>2438</v>
      </c>
      <c r="AX177" s="98">
        <v>0.0</v>
      </c>
      <c r="AY177" s="98">
        <v>0.0</v>
      </c>
      <c r="AZ177" s="69"/>
      <c r="BA177" s="198"/>
      <c r="BB177" s="198"/>
      <c r="BC177" s="198"/>
      <c r="BD177" s="198"/>
      <c r="BE177" s="56"/>
      <c r="BF177" s="198"/>
      <c r="BG177" s="198"/>
      <c r="BH177" s="56"/>
      <c r="BI177" s="56"/>
      <c r="BJ177" s="56"/>
      <c r="BT177" s="56"/>
      <c r="BU177" s="56"/>
      <c r="BV177" s="56"/>
      <c r="BW177" s="56" t="s">
        <v>23</v>
      </c>
    </row>
    <row r="178">
      <c r="A178" s="197">
        <v>58.0</v>
      </c>
      <c r="B178" s="34" t="s">
        <v>694</v>
      </c>
      <c r="C178" s="206">
        <v>0.001</v>
      </c>
      <c r="D178" s="200" t="s">
        <v>701</v>
      </c>
      <c r="E178" s="56"/>
      <c r="F178" s="200"/>
      <c r="G178" s="56"/>
      <c r="H178" s="197">
        <v>1.0</v>
      </c>
      <c r="I178" s="98">
        <v>1.0</v>
      </c>
      <c r="J178" s="34" t="s">
        <v>6326</v>
      </c>
      <c r="K178" s="200"/>
      <c r="L178" s="200"/>
      <c r="M178" s="69" t="str">
        <f t="shared" si="7"/>
        <v>[https://www.schoolofhaskell.com/user/edwardk/online-lca Kmett (2015)]</v>
      </c>
      <c r="N178" s="34" t="s">
        <v>6327</v>
      </c>
      <c r="O178" s="98">
        <v>2015.0</v>
      </c>
      <c r="P178" s="26" t="s">
        <v>6328</v>
      </c>
      <c r="Q178" s="198"/>
      <c r="R178" s="198"/>
      <c r="S178" s="198"/>
      <c r="T178" s="98">
        <v>0.0</v>
      </c>
      <c r="U178" s="98">
        <v>0.0</v>
      </c>
      <c r="V178" s="120"/>
      <c r="W178" s="143"/>
      <c r="X178" s="34" t="s">
        <v>6326</v>
      </c>
      <c r="Y178" s="200"/>
      <c r="Z178" s="200"/>
      <c r="AA178" s="200"/>
      <c r="AB178" s="200"/>
      <c r="AC178" s="200"/>
      <c r="AD178" s="200" t="s">
        <v>6329</v>
      </c>
      <c r="AE178" s="200"/>
      <c r="AF178" s="200"/>
      <c r="AG178" s="200"/>
      <c r="AH178" s="200" t="s">
        <v>1813</v>
      </c>
      <c r="AI178" s="200" t="s">
        <v>1814</v>
      </c>
      <c r="AJ178" s="200"/>
      <c r="AK178" s="120"/>
      <c r="AL178" s="200"/>
      <c r="AM178" s="200"/>
      <c r="AN178" s="143"/>
      <c r="AO178" s="143"/>
      <c r="AP178" s="143"/>
      <c r="AQ178" s="197">
        <v>0.0</v>
      </c>
      <c r="AR178" s="200"/>
      <c r="AS178" s="197">
        <v>0.0</v>
      </c>
      <c r="AT178" s="210"/>
      <c r="AU178" s="98">
        <v>0.0</v>
      </c>
      <c r="AV178" s="98">
        <v>1.0</v>
      </c>
      <c r="AW178" s="110" t="s">
        <v>2438</v>
      </c>
      <c r="AX178" s="98">
        <v>0.0</v>
      </c>
      <c r="AY178" s="98">
        <v>0.0</v>
      </c>
      <c r="AZ178" s="69"/>
      <c r="BA178" s="198"/>
      <c r="BB178" s="198"/>
      <c r="BC178" s="198"/>
      <c r="BD178" s="198"/>
      <c r="BE178" s="56"/>
      <c r="BF178" s="198"/>
      <c r="BG178" s="198"/>
      <c r="BH178" s="56"/>
      <c r="BI178" s="56"/>
      <c r="BJ178" s="56"/>
      <c r="BT178" s="56"/>
      <c r="BU178" s="56"/>
      <c r="BV178" s="56"/>
      <c r="BW178" s="56" t="s">
        <v>23</v>
      </c>
    </row>
    <row r="179">
      <c r="A179" s="197">
        <v>60.0</v>
      </c>
      <c r="B179" s="34" t="s">
        <v>719</v>
      </c>
      <c r="C179" s="206">
        <v>0.001</v>
      </c>
      <c r="D179" s="120" t="s">
        <v>720</v>
      </c>
      <c r="E179" s="197">
        <v>478.0</v>
      </c>
      <c r="F179" s="120"/>
      <c r="G179" s="56"/>
      <c r="H179" s="197">
        <v>1.0</v>
      </c>
      <c r="I179" s="98">
        <v>1.0</v>
      </c>
      <c r="J179" s="137" t="s">
        <v>4508</v>
      </c>
      <c r="K179" s="120"/>
      <c r="L179" s="120"/>
      <c r="M179" s="69" t="str">
        <f t="shared" si="7"/>
        <v>[https://arxiv.org/pdf/1801.00202.pdf Segundo; Artieda;  Strash Parallel (2011)]</v>
      </c>
      <c r="N179" s="69" t="s">
        <v>4509</v>
      </c>
      <c r="O179" s="98">
        <v>2011.0</v>
      </c>
      <c r="P179" s="183" t="s">
        <v>4510</v>
      </c>
      <c r="Q179" s="198"/>
      <c r="R179" s="198"/>
      <c r="S179" s="198"/>
      <c r="T179" s="98">
        <v>0.0</v>
      </c>
      <c r="U179" s="69" t="s">
        <v>1937</v>
      </c>
      <c r="V179" s="199">
        <f>IFERROR(__xludf.DUMMYFUNCTION("INDEX(SPLIT(SUBSTITUTE(W179,CHAR(10), """"),"",:""), MATCH(AE179, SPLIT(SUBSTITUTE(W179,CHAR(10), """"),"",:""), 0) + 1)"),8.0)</f>
        <v>8</v>
      </c>
      <c r="W179" s="120" t="s">
        <v>2001</v>
      </c>
      <c r="X179" s="239" t="s">
        <v>4511</v>
      </c>
      <c r="Y179" s="120"/>
      <c r="Z179" s="120"/>
      <c r="AA179" s="120"/>
      <c r="AB179" s="120"/>
      <c r="AC179" s="120"/>
      <c r="AD179" s="120" t="s">
        <v>2102</v>
      </c>
      <c r="AE179" s="120" t="str">
        <f t="array" ref="AE179">INDEX(Problems!J:J, MATCH(1, (Problems!B:B=B179)*1, 0))</f>
        <v>n</v>
      </c>
      <c r="AF179" s="120"/>
      <c r="AG179" s="120"/>
      <c r="AH179" s="104" t="s">
        <v>6309</v>
      </c>
      <c r="AI179" s="120" t="s">
        <v>1814</v>
      </c>
      <c r="AJ179" s="120">
        <f>IFERROR(__xludf.DUMMYFUNCTION("INDEX(SPLIT(SUBSTITUTE(AK179,CHAR(10), """"),"",:""), MATCH(AE179, SPLIT(SUBSTITUTE(AK179,CHAR(10), """"),"",:""), 0) + 1)"),5.0)</f>
        <v>5</v>
      </c>
      <c r="AK179" s="120" t="s">
        <v>1938</v>
      </c>
      <c r="AL179" s="120" t="s">
        <v>4512</v>
      </c>
      <c r="AM179" s="120" t="s">
        <v>4513</v>
      </c>
      <c r="AN179" s="199">
        <v>1.0</v>
      </c>
      <c r="AO179" s="199">
        <v>0.0</v>
      </c>
      <c r="AP179" s="210"/>
      <c r="AQ179" s="98">
        <v>0.0</v>
      </c>
      <c r="AR179" s="210"/>
      <c r="AS179" s="98">
        <v>0.0</v>
      </c>
      <c r="AT179" s="210"/>
      <c r="AU179" s="98">
        <v>0.0</v>
      </c>
      <c r="AV179" s="98">
        <v>1.0</v>
      </c>
      <c r="AW179" s="110"/>
      <c r="AX179" s="98">
        <v>0.0</v>
      </c>
      <c r="AY179" s="98">
        <v>0.0</v>
      </c>
      <c r="AZ179" s="69"/>
      <c r="BA179" s="56"/>
      <c r="BB179" s="56"/>
      <c r="BC179" s="56"/>
      <c r="BD179" s="56"/>
      <c r="BE179" s="56"/>
      <c r="BF179" s="56"/>
      <c r="BG179" s="56"/>
      <c r="BH179" s="56"/>
      <c r="BI179" s="56"/>
      <c r="BJ179" s="56"/>
      <c r="BK179" s="56"/>
      <c r="BL179" s="198"/>
      <c r="BM179" s="198"/>
      <c r="BN179" s="198"/>
      <c r="BO179" s="198"/>
      <c r="BP179" s="198"/>
      <c r="BQ179" s="198"/>
      <c r="BR179" s="198"/>
      <c r="BS179" s="56"/>
      <c r="BT179" s="197">
        <v>1.0</v>
      </c>
      <c r="BU179" s="198"/>
      <c r="BV179" s="56"/>
      <c r="BW179" s="56" t="s">
        <v>23</v>
      </c>
    </row>
    <row r="180">
      <c r="A180" s="197">
        <v>64.0</v>
      </c>
      <c r="B180" s="34" t="s">
        <v>768</v>
      </c>
      <c r="C180" s="206">
        <v>1.0</v>
      </c>
      <c r="D180" s="120" t="s">
        <v>4601</v>
      </c>
      <c r="E180" s="197">
        <v>524.0</v>
      </c>
      <c r="F180" s="120"/>
      <c r="G180" s="56"/>
      <c r="H180" s="197">
        <v>1.0</v>
      </c>
      <c r="I180" s="98">
        <v>1.0</v>
      </c>
      <c r="J180" s="34" t="s">
        <v>1788</v>
      </c>
      <c r="K180" s="120"/>
      <c r="L180" s="120"/>
      <c r="M180" s="69" t="str">
        <f t="shared" si="7"/>
        <v>[https://web.archive.org/web/20180425231851/https://www.cs.cmu.edu/~ygu1/paper/SPAA16/Incremental.pdf Belloch (2006)]</v>
      </c>
      <c r="N180" s="69" t="s">
        <v>4612</v>
      </c>
      <c r="O180" s="98">
        <v>2006.0</v>
      </c>
      <c r="P180" s="183" t="s">
        <v>4613</v>
      </c>
      <c r="Q180" s="198"/>
      <c r="R180" s="198"/>
      <c r="S180" s="198"/>
      <c r="T180" s="98">
        <v>0.0</v>
      </c>
      <c r="U180" s="98">
        <v>0.0</v>
      </c>
      <c r="V180" s="199">
        <f>IFERROR(__xludf.DUMMYFUNCTION("INDEX(SPLIT(SUBSTITUTE(W180,CHAR(10), """"),"",:""), MATCH(AE180, SPLIT(SUBSTITUTE(W180,CHAR(10), """"),"",:""), 0) + 1)"),4.0)</f>
        <v>4</v>
      </c>
      <c r="W180" s="120" t="s">
        <v>1791</v>
      </c>
      <c r="X180" s="104" t="s">
        <v>2701</v>
      </c>
      <c r="Y180" s="104" t="s">
        <v>2701</v>
      </c>
      <c r="Z180" s="112" t="s">
        <v>4613</v>
      </c>
      <c r="AA180" s="104" t="s">
        <v>6313</v>
      </c>
      <c r="AB180" s="112" t="s">
        <v>4613</v>
      </c>
      <c r="AC180" s="104" t="s">
        <v>5793</v>
      </c>
      <c r="AD180" s="120" t="s">
        <v>3096</v>
      </c>
      <c r="AE180" s="120" t="str">
        <f t="array" ref="AE180">INDEX(Problems!J:J, MATCH(1, (Problems!B:B=B180)*1, 0))</f>
        <v>n</v>
      </c>
      <c r="AF180" s="120"/>
      <c r="AG180" s="120"/>
      <c r="AH180" s="104" t="s">
        <v>4915</v>
      </c>
      <c r="AI180" s="120" t="s">
        <v>1814</v>
      </c>
      <c r="AJ180" s="120">
        <f>IFERROR(__xludf.DUMMYFUNCTION("INDEX(SPLIT(SUBSTITUTE(AK180,CHAR(10), """"),"",:""), MATCH(AE180, SPLIT(SUBSTITUTE(AK180,CHAR(10), """"),"",:""), 0) + 1)"),3.0)</f>
        <v>3</v>
      </c>
      <c r="AK180" s="120" t="s">
        <v>1763</v>
      </c>
      <c r="AL180" s="120" t="s">
        <v>35</v>
      </c>
      <c r="AM180" s="120" t="s">
        <v>4614</v>
      </c>
      <c r="AN180" s="199">
        <v>1.0</v>
      </c>
      <c r="AO180" s="199">
        <v>0.0</v>
      </c>
      <c r="AP180" s="210"/>
      <c r="AQ180" s="111">
        <v>1.0</v>
      </c>
      <c r="AR180" s="130" t="s">
        <v>6330</v>
      </c>
      <c r="AS180" s="98">
        <v>0.0</v>
      </c>
      <c r="AT180" s="210"/>
      <c r="AU180" s="98">
        <v>0.0</v>
      </c>
      <c r="AV180" s="98">
        <v>1.0</v>
      </c>
      <c r="AW180" s="104" t="s">
        <v>6331</v>
      </c>
      <c r="AX180" s="98">
        <v>0.0</v>
      </c>
      <c r="AY180" s="98">
        <v>0.0</v>
      </c>
      <c r="AZ180" s="69"/>
      <c r="BA180" s="56"/>
      <c r="BB180" s="56"/>
      <c r="BC180" s="56"/>
      <c r="BD180" s="56"/>
      <c r="BE180" s="56"/>
      <c r="BF180" s="56"/>
      <c r="BG180" s="56"/>
      <c r="BH180" s="56"/>
      <c r="BI180" s="56"/>
      <c r="BJ180" s="56"/>
      <c r="BK180" s="197">
        <v>9965.0</v>
      </c>
      <c r="BL180" s="198"/>
      <c r="BM180" s="198"/>
      <c r="BN180" s="198"/>
      <c r="BO180" s="198"/>
      <c r="BP180" s="198"/>
      <c r="BQ180" s="198"/>
      <c r="BR180" s="198"/>
      <c r="BS180" s="56"/>
      <c r="BT180" s="197">
        <v>4.0</v>
      </c>
      <c r="BU180" s="198"/>
      <c r="BV180" s="56"/>
      <c r="BW180" s="56" t="s">
        <v>23</v>
      </c>
    </row>
    <row r="181">
      <c r="A181" s="197">
        <v>78.0</v>
      </c>
      <c r="B181" s="240" t="s">
        <v>861</v>
      </c>
      <c r="C181" s="206">
        <v>0.001</v>
      </c>
      <c r="D181" s="120" t="s">
        <v>869</v>
      </c>
      <c r="E181" s="197">
        <v>619.0</v>
      </c>
      <c r="F181" s="120"/>
      <c r="G181" s="56"/>
      <c r="H181" s="197">
        <v>1.0</v>
      </c>
      <c r="I181" s="98">
        <v>0.0</v>
      </c>
      <c r="J181" s="69" t="s">
        <v>34</v>
      </c>
      <c r="K181" s="120"/>
      <c r="L181" s="120"/>
      <c r="M181" s="69" t="str">
        <f t="shared" si="7"/>
        <v>[https://arxiv.org/pdf/0812.4893.pdf Valentin Polishchuk, and Jukka Suomela (2008)]</v>
      </c>
      <c r="N181" s="34" t="s">
        <v>1869</v>
      </c>
      <c r="O181" s="197">
        <v>2008.0</v>
      </c>
      <c r="P181" s="220" t="s">
        <v>871</v>
      </c>
      <c r="Q181" s="198"/>
      <c r="R181" s="198"/>
      <c r="S181" s="198"/>
      <c r="T181" s="197">
        <v>0.0</v>
      </c>
      <c r="U181" s="197">
        <v>0.0</v>
      </c>
      <c r="V181" s="199">
        <v>1.0</v>
      </c>
      <c r="W181" s="120" t="s">
        <v>1774</v>
      </c>
      <c r="X181" s="104" t="s">
        <v>6332</v>
      </c>
      <c r="Y181" s="104" t="s">
        <v>6332</v>
      </c>
      <c r="Z181" s="112" t="s">
        <v>871</v>
      </c>
      <c r="AA181" s="104" t="s">
        <v>4010</v>
      </c>
      <c r="AB181" s="112" t="s">
        <v>871</v>
      </c>
      <c r="AC181" s="104" t="s">
        <v>5990</v>
      </c>
      <c r="AD181" s="104" t="s">
        <v>6333</v>
      </c>
      <c r="AE181" s="120" t="str">
        <f t="array" ref="AE181">INDEX(Problems!J:J, MATCH(1, (Problems!B:B=B181)*1, 0))</f>
        <v>n</v>
      </c>
      <c r="AF181" s="120"/>
      <c r="AG181" s="120"/>
      <c r="AH181" s="120" t="s">
        <v>1813</v>
      </c>
      <c r="AI181" s="120" t="s">
        <v>1814</v>
      </c>
      <c r="AJ181" s="120">
        <f>IFERROR(__xludf.DUMMYFUNCTION("INDEX(SPLIT(SUBSTITUTE(AK181,CHAR(10), """"),"",:""), MATCH(AE181, SPLIT(SUBSTITUTE(AK181,CHAR(10), """"),"",:""), 0) + 1)"),1.0)</f>
        <v>1</v>
      </c>
      <c r="AK181" s="120" t="s">
        <v>1774</v>
      </c>
      <c r="AL181" s="120" t="s">
        <v>34</v>
      </c>
      <c r="AM181" s="120" t="s">
        <v>1871</v>
      </c>
      <c r="AN181" s="199">
        <v>1.0</v>
      </c>
      <c r="AO181" s="199">
        <v>0.0</v>
      </c>
      <c r="AP181" s="210"/>
      <c r="AQ181" s="98">
        <v>0.0</v>
      </c>
      <c r="AR181" s="210"/>
      <c r="AS181" s="98">
        <v>1.0</v>
      </c>
      <c r="AT181" s="120" t="s">
        <v>1872</v>
      </c>
      <c r="AU181" s="98">
        <v>0.0</v>
      </c>
      <c r="AV181" s="197">
        <v>1.0</v>
      </c>
      <c r="AW181" s="120"/>
      <c r="AX181" s="98">
        <v>0.0</v>
      </c>
      <c r="AY181" s="98">
        <v>0.0</v>
      </c>
      <c r="AZ181" s="69"/>
      <c r="BA181" s="56"/>
      <c r="BB181" s="198"/>
      <c r="BC181" s="198"/>
      <c r="BD181" s="56"/>
      <c r="BE181" s="56"/>
      <c r="BF181" s="56"/>
      <c r="BG181" s="56"/>
      <c r="BH181" s="56"/>
      <c r="BI181" s="56"/>
      <c r="BJ181" s="56"/>
      <c r="BK181" s="197">
        <v>1.0</v>
      </c>
      <c r="BL181" s="198"/>
      <c r="BM181" s="198"/>
      <c r="BN181" s="198"/>
      <c r="BO181" s="198"/>
      <c r="BP181" s="198"/>
      <c r="BQ181" s="198"/>
      <c r="BR181" s="198"/>
      <c r="BS181" s="56"/>
      <c r="BT181" s="197">
        <v>4.0</v>
      </c>
      <c r="BU181" s="198"/>
      <c r="BV181" s="56"/>
      <c r="BW181" s="56" t="s">
        <v>23</v>
      </c>
    </row>
    <row r="182">
      <c r="A182" s="197">
        <v>78.0</v>
      </c>
      <c r="B182" s="34" t="s">
        <v>861</v>
      </c>
      <c r="C182" s="206">
        <v>0.001</v>
      </c>
      <c r="D182" s="120" t="s">
        <v>862</v>
      </c>
      <c r="E182" s="197">
        <v>618.0</v>
      </c>
      <c r="F182" s="120"/>
      <c r="G182" s="56"/>
      <c r="H182" s="197">
        <v>1.0</v>
      </c>
      <c r="I182" s="98">
        <v>1.0</v>
      </c>
      <c r="J182" s="69" t="s">
        <v>115</v>
      </c>
      <c r="K182" s="120"/>
      <c r="L182" s="120"/>
      <c r="M182" s="69" t="str">
        <f t="shared" si="7"/>
        <v>[https://link.springer.com/content/pdf/10.1007/BF02136029.pdf S. S. TSENG and R. C. T. LEE (1984)]</v>
      </c>
      <c r="N182" s="69" t="s">
        <v>4888</v>
      </c>
      <c r="O182" s="98">
        <v>1984.0</v>
      </c>
      <c r="P182" s="183" t="s">
        <v>4889</v>
      </c>
      <c r="Q182" s="198"/>
      <c r="R182" s="198"/>
      <c r="S182" s="198"/>
      <c r="T182" s="197">
        <v>0.0</v>
      </c>
      <c r="U182" s="197">
        <v>0.0</v>
      </c>
      <c r="V182" s="199">
        <f>IFERROR(__xludf.DUMMYFUNCTION("INDEX(SPLIT(SUBSTITUTE(W182,CHAR(10), """"),"",:""), MATCH(AE182, SPLIT(SUBSTITUTE(W182,CHAR(10), """"),"",:""), 0) + 1)"),5.0)</f>
        <v>5</v>
      </c>
      <c r="W182" s="120" t="s">
        <v>1938</v>
      </c>
      <c r="X182" s="69" t="s">
        <v>115</v>
      </c>
      <c r="Y182" s="120"/>
      <c r="Z182" s="120"/>
      <c r="AA182" s="120"/>
      <c r="AB182" s="120"/>
      <c r="AC182" s="120"/>
      <c r="AD182" s="120" t="s">
        <v>4869</v>
      </c>
      <c r="AE182" s="120" t="str">
        <f t="array" ref="AE182">INDEX(Problems!J:J, MATCH(1, (Problems!B:B=B182)*1, 0))</f>
        <v>n</v>
      </c>
      <c r="AF182" s="120"/>
      <c r="AG182" s="120"/>
      <c r="AH182" s="120" t="s">
        <v>1813</v>
      </c>
      <c r="AI182" s="120" t="s">
        <v>1814</v>
      </c>
      <c r="AJ182" s="120">
        <f>IFERROR(__xludf.DUMMYFUNCTION("INDEX(SPLIT(SUBSTITUTE(AK182,CHAR(10), """"),"",:""), MATCH(AE182, SPLIT(SUBSTITUTE(AK182,CHAR(10), """"),"",:""), 0) + 1)"),3.0)</f>
        <v>3</v>
      </c>
      <c r="AK182" s="120" t="s">
        <v>1763</v>
      </c>
      <c r="AL182" s="120" t="s">
        <v>4890</v>
      </c>
      <c r="AM182" s="120" t="s">
        <v>4870</v>
      </c>
      <c r="AN182" s="199">
        <v>1.0</v>
      </c>
      <c r="AO182" s="199">
        <v>0.0</v>
      </c>
      <c r="AP182" s="210"/>
      <c r="AQ182" s="98">
        <v>0.0</v>
      </c>
      <c r="AR182" s="210"/>
      <c r="AS182" s="98">
        <v>0.0</v>
      </c>
      <c r="AT182" s="210"/>
      <c r="AU182" s="98">
        <v>0.0</v>
      </c>
      <c r="AV182" s="98">
        <v>1.0</v>
      </c>
      <c r="AW182" s="110"/>
      <c r="AX182" s="98">
        <v>0.0</v>
      </c>
      <c r="AY182" s="98">
        <v>0.0</v>
      </c>
      <c r="AZ182" s="106" t="s">
        <v>6334</v>
      </c>
      <c r="BA182" s="56"/>
      <c r="BB182" s="56"/>
      <c r="BC182" s="56"/>
      <c r="BD182" s="56"/>
      <c r="BE182" s="56"/>
      <c r="BF182" s="56"/>
      <c r="BG182" s="56"/>
      <c r="BH182" s="56"/>
      <c r="BI182" s="56"/>
      <c r="BJ182" s="56"/>
      <c r="BK182" s="197">
        <v>1000000.0</v>
      </c>
      <c r="BL182" s="198"/>
      <c r="BM182" s="198"/>
      <c r="BN182" s="198"/>
      <c r="BO182" s="198"/>
      <c r="BP182" s="198"/>
      <c r="BQ182" s="198"/>
      <c r="BR182" s="198"/>
      <c r="BS182" s="56"/>
      <c r="BT182" s="197">
        <v>4.0</v>
      </c>
      <c r="BU182" s="198"/>
      <c r="BV182" s="56"/>
      <c r="BW182" s="56" t="s">
        <v>23</v>
      </c>
    </row>
    <row r="183">
      <c r="A183" s="197">
        <v>78.0</v>
      </c>
      <c r="B183" s="34" t="s">
        <v>861</v>
      </c>
      <c r="C183" s="206">
        <v>1.0</v>
      </c>
      <c r="D183" s="120" t="s">
        <v>862</v>
      </c>
      <c r="E183" s="197">
        <v>620.0</v>
      </c>
      <c r="F183" s="120"/>
      <c r="G183" s="56"/>
      <c r="H183" s="197">
        <v>1.0</v>
      </c>
      <c r="I183" s="98">
        <v>1.0</v>
      </c>
      <c r="J183" s="34" t="s">
        <v>3352</v>
      </c>
      <c r="K183" s="120"/>
      <c r="L183" s="120"/>
      <c r="M183" s="69" t="str">
        <f t="shared" si="7"/>
        <v>[http://theory.stanford.edu/~megiddo/pdf/soda94.pdf Tomas Feder, Nimrod Megiddo, Serge A. Plotkin (1994)]</v>
      </c>
      <c r="N183" s="35" t="s">
        <v>6335</v>
      </c>
      <c r="O183" s="98">
        <v>1994.0</v>
      </c>
      <c r="P183" s="183" t="s">
        <v>4892</v>
      </c>
      <c r="Q183" s="56"/>
      <c r="R183" s="56"/>
      <c r="S183" s="56"/>
      <c r="T183" s="197">
        <v>0.0</v>
      </c>
      <c r="U183" s="197">
        <v>0.0</v>
      </c>
      <c r="V183" s="199">
        <f>IFERROR(__xludf.DUMMYFUNCTION("INDEX(SPLIT(SUBSTITUTE(W183,CHAR(10), """"),"",:""), MATCH(AE183, SPLIT(SUBSTITUTE(W183,CHAR(10), """"),"",:""), 0) + 1)"),2.5)</f>
        <v>2.5</v>
      </c>
      <c r="W183" s="120" t="s">
        <v>3355</v>
      </c>
      <c r="X183" s="104" t="s">
        <v>6336</v>
      </c>
      <c r="Y183" s="104" t="s">
        <v>6336</v>
      </c>
      <c r="Z183" s="112" t="s">
        <v>4892</v>
      </c>
      <c r="AA183" s="104" t="s">
        <v>6337</v>
      </c>
      <c r="AB183" s="112" t="s">
        <v>4892</v>
      </c>
      <c r="AC183" s="104" t="s">
        <v>5990</v>
      </c>
      <c r="AD183" s="104" t="s">
        <v>6338</v>
      </c>
      <c r="AE183" s="120" t="str">
        <f t="array" ref="AE183">INDEX(Problems!J:J, MATCH(1, (Problems!B:B=B183)*1, 0))</f>
        <v>n</v>
      </c>
      <c r="AF183" s="120"/>
      <c r="AG183" s="120"/>
      <c r="AH183" s="120" t="s">
        <v>1813</v>
      </c>
      <c r="AI183" s="120" t="s">
        <v>1814</v>
      </c>
      <c r="AJ183" s="120">
        <f>IFERROR(__xludf.DUMMYFUNCTION("INDEX(SPLIT(SUBSTITUTE(AK183,CHAR(10), """"),"",:""), MATCH(AE183, SPLIT(SUBSTITUTE(AK183,CHAR(10), """"),"",:""), 0) + 1)"),2.5)</f>
        <v>2.5</v>
      </c>
      <c r="AK183" s="120" t="s">
        <v>3355</v>
      </c>
      <c r="AL183" s="120" t="s">
        <v>4894</v>
      </c>
      <c r="AM183" s="120" t="s">
        <v>4895</v>
      </c>
      <c r="AN183" s="199">
        <v>1.0</v>
      </c>
      <c r="AO183" s="199">
        <v>0.0</v>
      </c>
      <c r="AP183" s="210"/>
      <c r="AQ183" s="98">
        <v>0.0</v>
      </c>
      <c r="AR183" s="210"/>
      <c r="AS183" s="98">
        <v>0.0</v>
      </c>
      <c r="AT183" s="210"/>
      <c r="AU183" s="98">
        <v>0.0</v>
      </c>
      <c r="AV183" s="98">
        <v>1.0</v>
      </c>
      <c r="AW183" s="104" t="s">
        <v>6339</v>
      </c>
      <c r="AX183" s="98">
        <v>0.0</v>
      </c>
      <c r="AY183" s="98">
        <v>0.0</v>
      </c>
      <c r="AZ183" s="69"/>
      <c r="BA183" s="56"/>
      <c r="BB183" s="56"/>
      <c r="BC183" s="56"/>
      <c r="BD183" s="56"/>
      <c r="BE183" s="56"/>
      <c r="BF183" s="56"/>
      <c r="BG183" s="56"/>
      <c r="BH183" s="56"/>
      <c r="BI183" s="56"/>
      <c r="BJ183" s="56"/>
      <c r="BK183" s="197">
        <v>31.62</v>
      </c>
      <c r="BL183" s="198"/>
      <c r="BM183" s="56"/>
      <c r="BN183" s="56"/>
      <c r="BO183" s="198"/>
      <c r="BP183" s="56"/>
      <c r="BQ183" s="56"/>
      <c r="BR183" s="198"/>
      <c r="BS183" s="56"/>
      <c r="BT183" s="197">
        <v>4.0</v>
      </c>
      <c r="BU183" s="56"/>
      <c r="BV183" s="56"/>
      <c r="BW183" s="56" t="s">
        <v>23</v>
      </c>
    </row>
    <row r="184">
      <c r="A184" s="197">
        <v>80.0</v>
      </c>
      <c r="B184" s="34" t="s">
        <v>889</v>
      </c>
      <c r="C184" s="206">
        <v>1.0</v>
      </c>
      <c r="D184" s="120" t="s">
        <v>895</v>
      </c>
      <c r="E184" s="197">
        <v>628.0</v>
      </c>
      <c r="F184" s="120"/>
      <c r="G184" s="56"/>
      <c r="H184" s="197">
        <v>1.0</v>
      </c>
      <c r="I184" s="197">
        <v>1.0</v>
      </c>
      <c r="J184" s="110" t="s">
        <v>2382</v>
      </c>
      <c r="K184" s="120" t="s">
        <v>2117</v>
      </c>
      <c r="L184" s="120" t="s">
        <v>2117</v>
      </c>
      <c r="M184" s="69" t="str">
        <f t="shared" si="7"/>
        <v>[https://citeseerx.ist.psu.edu/viewdoc/download?doi=10.1.1.24.1291&amp;rep=rep1&amp;type=pdf Perumalla and Deo (1995)]</v>
      </c>
      <c r="N184" s="56" t="s">
        <v>2434</v>
      </c>
      <c r="O184" s="98">
        <v>1995.0</v>
      </c>
      <c r="P184" s="26" t="s">
        <v>2435</v>
      </c>
      <c r="Q184" s="198"/>
      <c r="R184" s="198"/>
      <c r="S184" s="198"/>
      <c r="T184" s="197">
        <v>0.0</v>
      </c>
      <c r="U184" s="197">
        <v>0.0</v>
      </c>
      <c r="V184" s="199">
        <f>IFERROR(__xludf.DUMMYFUNCTION("INDEX(SPLIT(SUBSTITUTE(W184,CHAR(10), """"),"",:""), MATCH(AE184, SPLIT(SUBSTITUTE(W184,CHAR(10), """"),"",:""), 0) + 1)"),2.0)</f>
        <v>2</v>
      </c>
      <c r="W184" s="120" t="s">
        <v>1962</v>
      </c>
      <c r="X184" s="110" t="s">
        <v>2430</v>
      </c>
      <c r="Y184" s="104" t="s">
        <v>2483</v>
      </c>
      <c r="Z184" s="112" t="s">
        <v>2435</v>
      </c>
      <c r="AA184" s="104" t="s">
        <v>584</v>
      </c>
      <c r="AB184" s="112" t="s">
        <v>2435</v>
      </c>
      <c r="AC184" s="104" t="s">
        <v>5793</v>
      </c>
      <c r="AD184" s="120" t="s">
        <v>2421</v>
      </c>
      <c r="AE184" s="120" t="str">
        <f t="array" ref="AE184">INDEX(Problems!J:J, MATCH(1, (Problems!B:B=B184)*(Problems!C:C=D184), 0))</f>
        <v>n</v>
      </c>
      <c r="AF184" s="120"/>
      <c r="AG184" s="120"/>
      <c r="AH184" s="120" t="s">
        <v>2436</v>
      </c>
      <c r="AI184" s="120" t="s">
        <v>1814</v>
      </c>
      <c r="AJ184" s="120">
        <f>IFERROR(__xludf.DUMMYFUNCTION("INDEX(SPLIT(SUBSTITUTE(AK184,CHAR(10), """"),"",:""), MATCH(AE184, SPLIT(SUBSTITUTE(AK184,CHAR(10), """"),"",:""), 0) + 1)"),3.0)</f>
        <v>3</v>
      </c>
      <c r="AK184" s="120" t="s">
        <v>1763</v>
      </c>
      <c r="AL184" s="120" t="s">
        <v>2103</v>
      </c>
      <c r="AM184" s="120" t="s">
        <v>2437</v>
      </c>
      <c r="AN184" s="199">
        <v>1.0</v>
      </c>
      <c r="AO184" s="199">
        <v>0.0</v>
      </c>
      <c r="AP184" s="210"/>
      <c r="AQ184" s="98">
        <v>0.0</v>
      </c>
      <c r="AR184" s="200"/>
      <c r="AS184" s="197">
        <v>0.0</v>
      </c>
      <c r="AT184" s="210"/>
      <c r="AU184" s="197">
        <v>0.0</v>
      </c>
      <c r="AV184" s="98">
        <v>1.0</v>
      </c>
      <c r="AW184" s="110" t="s">
        <v>2438</v>
      </c>
      <c r="AX184" s="98">
        <v>0.0</v>
      </c>
      <c r="AY184" s="98">
        <v>0.0</v>
      </c>
      <c r="AZ184" s="69"/>
      <c r="BA184" s="56"/>
      <c r="BB184" s="198"/>
      <c r="BC184" s="56"/>
      <c r="BD184" s="56"/>
      <c r="BE184" s="56"/>
      <c r="BF184" s="56"/>
      <c r="BG184" s="56"/>
      <c r="BH184" s="56"/>
      <c r="BI184" s="56"/>
      <c r="BJ184" s="56"/>
      <c r="BK184" s="197">
        <v>9965.0</v>
      </c>
      <c r="BL184" s="56"/>
      <c r="BM184" s="56"/>
      <c r="BN184" s="56"/>
      <c r="BO184" s="56"/>
      <c r="BP184" s="56"/>
      <c r="BQ184" s="56"/>
      <c r="BR184" s="56"/>
      <c r="BS184" s="56"/>
      <c r="BT184" s="197">
        <v>3.0</v>
      </c>
      <c r="BU184" s="198"/>
      <c r="BV184" s="56"/>
      <c r="BW184" s="56" t="s">
        <v>23</v>
      </c>
    </row>
    <row r="185">
      <c r="A185" s="194">
        <v>80.0</v>
      </c>
      <c r="B185" s="195" t="s">
        <v>889</v>
      </c>
      <c r="C185" s="206">
        <v>0.001</v>
      </c>
      <c r="D185" s="120" t="s">
        <v>895</v>
      </c>
      <c r="E185" s="197">
        <v>629.0</v>
      </c>
      <c r="F185" s="120"/>
      <c r="G185" s="56"/>
      <c r="H185" s="197">
        <v>1.0</v>
      </c>
      <c r="I185" s="98">
        <v>1.0</v>
      </c>
      <c r="J185" s="120" t="s">
        <v>2382</v>
      </c>
      <c r="K185" s="110" t="s">
        <v>2117</v>
      </c>
      <c r="L185" s="110" t="s">
        <v>2117</v>
      </c>
      <c r="M185" s="69" t="str">
        <f t="shared" si="7"/>
        <v>[https://ieeexplore.ieee.org/document/6972008 Ferreira, Camargo, Song (2014)]</v>
      </c>
      <c r="N185" s="34" t="s">
        <v>3404</v>
      </c>
      <c r="O185" s="98">
        <v>2014.0</v>
      </c>
      <c r="P185" s="183" t="s">
        <v>3405</v>
      </c>
      <c r="Q185" s="198"/>
      <c r="R185" s="198"/>
      <c r="S185" s="198"/>
      <c r="T185" s="197">
        <v>0.0</v>
      </c>
      <c r="U185" s="197">
        <v>0.0</v>
      </c>
      <c r="V185" s="199">
        <f>IFERROR(__xludf.DUMMYFUNCTION("INDEX(SPLIT(SUBSTITUTE(W185,CHAR(10), """"),"",:""), MATCH(AE185, SPLIT(SUBSTITUTE(W185,CHAR(10), """"),"",:""), 0) + 1)"),2.0)</f>
        <v>2</v>
      </c>
      <c r="W185" s="120" t="s">
        <v>1962</v>
      </c>
      <c r="X185" s="120" t="s">
        <v>2430</v>
      </c>
      <c r="Y185" s="120"/>
      <c r="Z185" s="120"/>
      <c r="AA185" s="120"/>
      <c r="AB185" s="120"/>
      <c r="AC185" s="120"/>
      <c r="AD185" s="120" t="s">
        <v>2421</v>
      </c>
      <c r="AE185" s="120" t="str">
        <f t="array" ref="AE185">INDEX(Problems!J:J, MATCH(1, (Problems!B:B=B185)*(Problems!C:C=D185), 0))</f>
        <v>n</v>
      </c>
      <c r="AF185" s="120"/>
      <c r="AG185" s="120"/>
      <c r="AH185" s="120" t="s">
        <v>3406</v>
      </c>
      <c r="AI185" s="120" t="s">
        <v>1814</v>
      </c>
      <c r="AJ185" s="120">
        <f>IFERROR(__xludf.DUMMYFUNCTION("INDEX(SPLIT(SUBSTITUTE(AK185,CHAR(10), """"),"",:""), MATCH(AE185, SPLIT(SUBSTITUTE(AK185,CHAR(10), """"),"",:""), 0) + 1)"),3.0)</f>
        <v>3</v>
      </c>
      <c r="AK185" s="120" t="s">
        <v>1763</v>
      </c>
      <c r="AL185" s="120" t="s">
        <v>2103</v>
      </c>
      <c r="AM185" s="120" t="s">
        <v>2437</v>
      </c>
      <c r="AN185" s="199">
        <v>1.0</v>
      </c>
      <c r="AO185" s="199">
        <v>0.0</v>
      </c>
      <c r="AP185" s="200"/>
      <c r="AQ185" s="197">
        <v>0.0</v>
      </c>
      <c r="AR185" s="210"/>
      <c r="AS185" s="98">
        <v>0.0</v>
      </c>
      <c r="AT185" s="200"/>
      <c r="AU185" s="197">
        <v>0.0</v>
      </c>
      <c r="AV185" s="197">
        <v>1.0</v>
      </c>
      <c r="AW185" s="110" t="s">
        <v>2438</v>
      </c>
      <c r="AX185" s="98">
        <v>0.0</v>
      </c>
      <c r="AY185" s="105">
        <v>1.0</v>
      </c>
      <c r="AZ185" s="34"/>
      <c r="BA185" s="198"/>
      <c r="BB185" s="198"/>
      <c r="BC185" s="198"/>
      <c r="BD185" s="198"/>
      <c r="BE185" s="198"/>
      <c r="BF185" s="198"/>
      <c r="BG185" s="198"/>
      <c r="BH185" s="198"/>
      <c r="BI185" s="198"/>
      <c r="BJ185" s="198"/>
      <c r="BK185" s="98">
        <v>9965.0</v>
      </c>
      <c r="BL185" s="198"/>
      <c r="BM185" s="198"/>
      <c r="BN185" s="198"/>
      <c r="BO185" s="198"/>
      <c r="BP185" s="198"/>
      <c r="BQ185" s="198"/>
      <c r="BR185" s="198"/>
      <c r="BS185" s="56"/>
      <c r="BT185" s="197">
        <v>3.0</v>
      </c>
      <c r="BU185" s="198"/>
      <c r="BV185" s="198"/>
      <c r="BW185" s="56" t="s">
        <v>23</v>
      </c>
    </row>
    <row r="186">
      <c r="A186" s="197">
        <v>80.0</v>
      </c>
      <c r="B186" s="34" t="s">
        <v>6340</v>
      </c>
      <c r="C186" s="206">
        <v>1.0</v>
      </c>
      <c r="D186" s="200" t="s">
        <v>6341</v>
      </c>
      <c r="E186" s="56"/>
      <c r="F186" s="200"/>
      <c r="G186" s="56"/>
      <c r="H186" s="197">
        <v>1.0</v>
      </c>
      <c r="I186" s="98">
        <v>1.0</v>
      </c>
      <c r="J186" s="34" t="s">
        <v>2382</v>
      </c>
      <c r="K186" s="120" t="s">
        <v>2419</v>
      </c>
      <c r="L186" s="120" t="s">
        <v>2420</v>
      </c>
      <c r="M186" s="69" t="str">
        <f t="shared" si="7"/>
        <v>[https://www.sciencedirect.com/science/article/abs/pii/016781919400063G Wen (1995)]</v>
      </c>
      <c r="N186" s="34" t="s">
        <v>6342</v>
      </c>
      <c r="O186" s="98">
        <v>1995.0</v>
      </c>
      <c r="P186" s="183" t="s">
        <v>6343</v>
      </c>
      <c r="Q186" s="198"/>
      <c r="R186" s="198"/>
      <c r="S186" s="198"/>
      <c r="T186" s="98"/>
      <c r="U186" s="98"/>
      <c r="V186" s="120"/>
      <c r="W186" s="143"/>
      <c r="X186" s="34" t="s">
        <v>2382</v>
      </c>
      <c r="Y186" s="130" t="s">
        <v>2483</v>
      </c>
      <c r="Z186" s="213" t="s">
        <v>6343</v>
      </c>
      <c r="AA186" s="130" t="s">
        <v>584</v>
      </c>
      <c r="AB186" s="213" t="s">
        <v>6343</v>
      </c>
      <c r="AC186" s="130" t="s">
        <v>4010</v>
      </c>
      <c r="AD186" s="200" t="s">
        <v>2421</v>
      </c>
      <c r="AE186" s="200"/>
      <c r="AF186" s="200"/>
      <c r="AG186" s="200"/>
      <c r="AH186" s="200" t="s">
        <v>2436</v>
      </c>
      <c r="AI186" s="200" t="s">
        <v>1814</v>
      </c>
      <c r="AJ186" s="120"/>
      <c r="AK186" s="200"/>
      <c r="AL186" s="200"/>
      <c r="AM186" s="200"/>
      <c r="AN186" s="143"/>
      <c r="AO186" s="143"/>
      <c r="AP186" s="143"/>
      <c r="AQ186" s="197">
        <v>0.0</v>
      </c>
      <c r="AR186" s="200"/>
      <c r="AS186" s="197">
        <v>0.0</v>
      </c>
      <c r="AT186" s="210"/>
      <c r="AU186" s="98">
        <v>0.0</v>
      </c>
      <c r="AV186" s="98">
        <v>1.0</v>
      </c>
      <c r="AW186" s="110" t="s">
        <v>2438</v>
      </c>
      <c r="AX186" s="98">
        <v>0.0</v>
      </c>
      <c r="AY186" s="98">
        <v>0.0</v>
      </c>
      <c r="AZ186" s="69"/>
      <c r="BA186" s="198"/>
      <c r="BB186" s="198"/>
      <c r="BC186" s="198"/>
      <c r="BD186" s="198"/>
      <c r="BE186" s="56"/>
      <c r="BF186" s="198"/>
      <c r="BG186" s="198"/>
      <c r="BH186" s="56"/>
      <c r="BI186" s="56"/>
      <c r="BJ186" s="56"/>
      <c r="BT186" s="197">
        <v>3.0</v>
      </c>
      <c r="BU186" s="56"/>
      <c r="BV186" s="56"/>
      <c r="BW186" s="56" t="s">
        <v>23</v>
      </c>
    </row>
    <row r="187">
      <c r="A187" s="197">
        <v>80.0</v>
      </c>
      <c r="B187" s="34" t="s">
        <v>6340</v>
      </c>
      <c r="C187" s="206">
        <v>1.0</v>
      </c>
      <c r="D187" s="200" t="s">
        <v>2161</v>
      </c>
      <c r="E187" s="56"/>
      <c r="F187" s="200"/>
      <c r="G187" s="56"/>
      <c r="H187" s="197">
        <v>1.0</v>
      </c>
      <c r="I187" s="98">
        <v>1.0</v>
      </c>
      <c r="J187" s="34" t="s">
        <v>6344</v>
      </c>
      <c r="K187" s="120" t="s">
        <v>2117</v>
      </c>
      <c r="L187" s="120" t="s">
        <v>2117</v>
      </c>
      <c r="M187" s="69" t="str">
        <f t="shared" si="7"/>
        <v>[https://www.sciencedirect.com/science/article/pii/0167642387900347 Smith (1987)]</v>
      </c>
      <c r="N187" s="34" t="s">
        <v>6345</v>
      </c>
      <c r="O187" s="98">
        <v>1987.0</v>
      </c>
      <c r="P187" s="183" t="s">
        <v>6346</v>
      </c>
      <c r="Q187" s="198"/>
      <c r="R187" s="198"/>
      <c r="S187" s="198"/>
      <c r="T187" s="197"/>
      <c r="U187" s="98"/>
      <c r="V187" s="120"/>
      <c r="W187" s="143"/>
      <c r="X187" s="34" t="s">
        <v>6344</v>
      </c>
      <c r="Y187" s="104" t="s">
        <v>2701</v>
      </c>
      <c r="Z187" s="112" t="s">
        <v>6346</v>
      </c>
      <c r="AA187" s="104" t="s">
        <v>3403</v>
      </c>
      <c r="AB187" s="112" t="s">
        <v>6346</v>
      </c>
      <c r="AC187" s="104" t="s">
        <v>6097</v>
      </c>
      <c r="AD187" s="120" t="s">
        <v>6347</v>
      </c>
      <c r="AE187" s="200"/>
      <c r="AF187" s="200"/>
      <c r="AG187" s="200"/>
      <c r="AH187" s="200" t="s">
        <v>6348</v>
      </c>
      <c r="AI187" s="200" t="s">
        <v>1814</v>
      </c>
      <c r="AJ187" s="120"/>
      <c r="AK187" s="200"/>
      <c r="AL187" s="200"/>
      <c r="AM187" s="200"/>
      <c r="AN187" s="143"/>
      <c r="AO187" s="143"/>
      <c r="AP187" s="143"/>
      <c r="AQ187" s="197">
        <v>0.0</v>
      </c>
      <c r="AR187" s="200"/>
      <c r="AS187" s="197">
        <v>0.0</v>
      </c>
      <c r="AT187" s="210"/>
      <c r="AU187" s="98">
        <v>0.0</v>
      </c>
      <c r="AV187" s="98">
        <v>1.0</v>
      </c>
      <c r="AW187" s="110" t="s">
        <v>1182</v>
      </c>
      <c r="AX187" s="98">
        <v>0.0</v>
      </c>
      <c r="AY187" s="98">
        <v>0.0</v>
      </c>
      <c r="AZ187" s="69"/>
      <c r="BA187" s="198"/>
      <c r="BB187" s="56"/>
      <c r="BC187" s="56"/>
      <c r="BD187" s="198"/>
      <c r="BE187" s="56"/>
      <c r="BF187" s="198"/>
      <c r="BG187" s="198"/>
      <c r="BH187" s="56"/>
      <c r="BI187" s="56"/>
      <c r="BJ187" s="56"/>
      <c r="BT187" s="56"/>
      <c r="BU187" s="56"/>
      <c r="BV187" s="56"/>
      <c r="BW187" s="56" t="s">
        <v>23</v>
      </c>
    </row>
    <row r="188">
      <c r="A188" s="197">
        <v>80.0</v>
      </c>
      <c r="B188" s="34" t="s">
        <v>6340</v>
      </c>
      <c r="C188" s="206">
        <v>1.0</v>
      </c>
      <c r="D188" s="200" t="s">
        <v>2161</v>
      </c>
      <c r="E188" s="56"/>
      <c r="F188" s="200"/>
      <c r="G188" s="56"/>
      <c r="H188" s="197">
        <v>1.0</v>
      </c>
      <c r="I188" s="98">
        <v>1.0</v>
      </c>
      <c r="J188" s="34" t="s">
        <v>2382</v>
      </c>
      <c r="K188" s="120" t="s">
        <v>2117</v>
      </c>
      <c r="L188" s="120" t="s">
        <v>2117</v>
      </c>
      <c r="M188" s="69" t="str">
        <f t="shared" si="7"/>
        <v>[https://citeseerx.ist.psu.edu/viewdoc/download?doi=10.1.1.24.1291&amp;rep=rep1&amp;type=pdf KALYAN PERUMALLA and NARSINGH DEO (1995)]</v>
      </c>
      <c r="N188" s="34" t="s">
        <v>6349</v>
      </c>
      <c r="O188" s="98">
        <v>1995.0</v>
      </c>
      <c r="P188" s="26" t="s">
        <v>2435</v>
      </c>
      <c r="Q188" s="198"/>
      <c r="R188" s="198"/>
      <c r="S188" s="198"/>
      <c r="T188" s="98"/>
      <c r="U188" s="98"/>
      <c r="V188" s="120"/>
      <c r="W188" s="143"/>
      <c r="X188" s="34" t="s">
        <v>2382</v>
      </c>
      <c r="Y188" s="104" t="s">
        <v>2483</v>
      </c>
      <c r="Z188" s="112" t="s">
        <v>2435</v>
      </c>
      <c r="AA188" s="104" t="s">
        <v>2112</v>
      </c>
      <c r="AB188" s="112" t="s">
        <v>2435</v>
      </c>
      <c r="AC188" s="104" t="s">
        <v>5793</v>
      </c>
      <c r="AD188" s="120" t="s">
        <v>6347</v>
      </c>
      <c r="AE188" s="200"/>
      <c r="AF188" s="200"/>
      <c r="AG188" s="200"/>
      <c r="AH188" s="200" t="s">
        <v>2486</v>
      </c>
      <c r="AI188" s="200" t="s">
        <v>1814</v>
      </c>
      <c r="AJ188" s="120"/>
      <c r="AK188" s="200"/>
      <c r="AL188" s="200"/>
      <c r="AM188" s="200"/>
      <c r="AN188" s="143"/>
      <c r="AO188" s="143"/>
      <c r="AP188" s="143"/>
      <c r="AQ188" s="197">
        <v>0.0</v>
      </c>
      <c r="AR188" s="200"/>
      <c r="AS188" s="197">
        <v>0.0</v>
      </c>
      <c r="AT188" s="210"/>
      <c r="AU188" s="98">
        <v>0.0</v>
      </c>
      <c r="AV188" s="98">
        <v>1.0</v>
      </c>
      <c r="AW188" s="110" t="s">
        <v>6350</v>
      </c>
      <c r="AX188" s="98">
        <v>0.0</v>
      </c>
      <c r="AY188" s="98">
        <v>0.0</v>
      </c>
      <c r="AZ188" s="34"/>
      <c r="BA188" s="198"/>
      <c r="BB188" s="198"/>
      <c r="BC188" s="198"/>
      <c r="BD188" s="198"/>
      <c r="BE188" s="56"/>
      <c r="BF188" s="198"/>
      <c r="BG188" s="198"/>
      <c r="BH188" s="56"/>
      <c r="BI188" s="56"/>
      <c r="BJ188" s="56"/>
      <c r="BT188" s="56"/>
      <c r="BU188" s="56"/>
      <c r="BV188" s="56"/>
      <c r="BW188" s="56" t="s">
        <v>23</v>
      </c>
    </row>
    <row r="189">
      <c r="A189" s="197">
        <v>80.0</v>
      </c>
      <c r="B189" s="34" t="s">
        <v>6340</v>
      </c>
      <c r="C189" s="206">
        <v>1.0</v>
      </c>
      <c r="D189" s="200" t="s">
        <v>2161</v>
      </c>
      <c r="E189" s="56"/>
      <c r="F189" s="200"/>
      <c r="G189" s="56"/>
      <c r="H189" s="197">
        <v>1.0</v>
      </c>
      <c r="I189" s="98">
        <v>1.0</v>
      </c>
      <c r="J189" s="34" t="s">
        <v>2382</v>
      </c>
      <c r="K189" s="120" t="s">
        <v>2117</v>
      </c>
      <c r="L189" s="120" t="s">
        <v>2117</v>
      </c>
      <c r="M189" s="69" t="str">
        <f t="shared" si="7"/>
        <v>[https://www.sciencedirect.com/science/article/abs/pii/016781919400063G Wen (1995)]</v>
      </c>
      <c r="N189" s="69" t="s">
        <v>6342</v>
      </c>
      <c r="O189" s="197">
        <v>1995.0</v>
      </c>
      <c r="P189" s="183" t="s">
        <v>6343</v>
      </c>
      <c r="Q189" s="56"/>
      <c r="R189" s="56"/>
      <c r="S189" s="198"/>
      <c r="T189" s="197"/>
      <c r="U189" s="197"/>
      <c r="V189" s="120"/>
      <c r="W189" s="143"/>
      <c r="X189" s="34" t="s">
        <v>2382</v>
      </c>
      <c r="Y189" s="130" t="s">
        <v>2483</v>
      </c>
      <c r="Z189" s="213" t="s">
        <v>6343</v>
      </c>
      <c r="AA189" s="104" t="s">
        <v>2112</v>
      </c>
      <c r="AB189" s="213" t="s">
        <v>6343</v>
      </c>
      <c r="AC189" s="130" t="s">
        <v>4010</v>
      </c>
      <c r="AD189" s="120" t="s">
        <v>6347</v>
      </c>
      <c r="AE189" s="200"/>
      <c r="AF189" s="200"/>
      <c r="AG189" s="200"/>
      <c r="AH189" s="200" t="s">
        <v>2436</v>
      </c>
      <c r="AI189" s="200" t="s">
        <v>1814</v>
      </c>
      <c r="AJ189" s="120"/>
      <c r="AK189" s="200"/>
      <c r="AL189" s="200"/>
      <c r="AM189" s="200"/>
      <c r="AN189" s="143"/>
      <c r="AO189" s="143"/>
      <c r="AP189" s="143"/>
      <c r="AQ189" s="197">
        <v>0.0</v>
      </c>
      <c r="AR189" s="200"/>
      <c r="AS189" s="197">
        <v>0.0</v>
      </c>
      <c r="AT189" s="210"/>
      <c r="AU189" s="98">
        <v>0.0</v>
      </c>
      <c r="AV189" s="98">
        <v>1.0</v>
      </c>
      <c r="AW189" s="110" t="s">
        <v>6350</v>
      </c>
      <c r="AX189" s="98">
        <v>0.0</v>
      </c>
      <c r="AY189" s="98">
        <v>0.0</v>
      </c>
      <c r="AZ189" s="69"/>
      <c r="BA189" s="198"/>
      <c r="BB189" s="198"/>
      <c r="BC189" s="198"/>
      <c r="BD189" s="198"/>
      <c r="BE189" s="56"/>
      <c r="BF189" s="198"/>
      <c r="BG189" s="198"/>
      <c r="BH189" s="56"/>
      <c r="BI189" s="56"/>
      <c r="BJ189" s="56"/>
      <c r="BO189" s="10"/>
      <c r="BP189" s="10"/>
      <c r="BQ189" s="10"/>
      <c r="BR189" s="10"/>
      <c r="BS189" s="10"/>
      <c r="BT189" s="56"/>
      <c r="BU189" s="56"/>
      <c r="BV189" s="56"/>
      <c r="BW189" s="56" t="s">
        <v>23</v>
      </c>
    </row>
    <row r="190">
      <c r="A190" s="197">
        <v>81.0</v>
      </c>
      <c r="B190" s="34" t="s">
        <v>910</v>
      </c>
      <c r="C190" s="206">
        <v>1.0</v>
      </c>
      <c r="D190" s="120" t="s">
        <v>910</v>
      </c>
      <c r="E190" s="197">
        <v>635.0</v>
      </c>
      <c r="F190" s="120"/>
      <c r="G190" s="56"/>
      <c r="H190" s="197">
        <v>1.0</v>
      </c>
      <c r="I190" s="98">
        <v>1.0</v>
      </c>
      <c r="J190" s="69" t="s">
        <v>4909</v>
      </c>
      <c r="K190" s="120"/>
      <c r="L190" s="120"/>
      <c r="M190" s="69" t="str">
        <f t="shared" si="7"/>
        <v>[https://www.sciencedirect.com/science/article/pii/S0022000097914963 Hariharan (1997)]</v>
      </c>
      <c r="N190" s="69" t="s">
        <v>4910</v>
      </c>
      <c r="O190" s="98">
        <v>1997.0</v>
      </c>
      <c r="P190" s="217" t="s">
        <v>4911</v>
      </c>
      <c r="Q190" s="56"/>
      <c r="R190" s="56"/>
      <c r="S190" s="56"/>
      <c r="T190" s="98">
        <v>0.0</v>
      </c>
      <c r="U190" s="98">
        <v>0.0</v>
      </c>
      <c r="V190" s="199">
        <f>IFERROR(__xludf.DUMMYFUNCTION("INDEX(SPLIT(SUBSTITUTE(W190,CHAR(10), """"),"",:""), MATCH(AE190, SPLIT(SUBSTITUTE(W190,CHAR(10), """"),"",:""), 0) + 1)"),2.03)</f>
        <v>2.03</v>
      </c>
      <c r="W190" s="120" t="s">
        <v>3637</v>
      </c>
      <c r="X190" s="34" t="s">
        <v>4909</v>
      </c>
      <c r="Y190" s="104" t="s">
        <v>6351</v>
      </c>
      <c r="Z190" s="112" t="s">
        <v>4911</v>
      </c>
      <c r="AA190" s="104" t="s">
        <v>584</v>
      </c>
      <c r="AB190" s="112" t="s">
        <v>4911</v>
      </c>
      <c r="AC190" s="104" t="s">
        <v>5793</v>
      </c>
      <c r="AD190" s="120" t="s">
        <v>4900</v>
      </c>
      <c r="AE190" s="120" t="str">
        <f t="array" ref="AE190">INDEX(Problems!J:J, MATCH(1, (Problems!B:B=B190)*1, 0))</f>
        <v>n</v>
      </c>
      <c r="AF190" s="120"/>
      <c r="AG190" s="120"/>
      <c r="AH190" s="120" t="s">
        <v>2486</v>
      </c>
      <c r="AI190" s="120" t="s">
        <v>1814</v>
      </c>
      <c r="AJ190" s="120">
        <f>IFERROR(__xludf.DUMMYFUNCTION("INDEX(SPLIT(SUBSTITUTE(AK190,CHAR(10), """"),"",:""), MATCH(AE190, SPLIT(SUBSTITUTE(AK190,CHAR(10), """"),"",:""), 0) + 1)"),3.0)</f>
        <v>3</v>
      </c>
      <c r="AK190" s="120" t="s">
        <v>1763</v>
      </c>
      <c r="AL190" s="120" t="s">
        <v>35</v>
      </c>
      <c r="AM190" s="219" t="s">
        <v>4911</v>
      </c>
      <c r="AN190" s="199">
        <v>0.0</v>
      </c>
      <c r="AO190" s="199">
        <v>1.0</v>
      </c>
      <c r="AP190" s="210"/>
      <c r="AQ190" s="98">
        <v>0.0</v>
      </c>
      <c r="AR190" s="210"/>
      <c r="AS190" s="98">
        <v>0.0</v>
      </c>
      <c r="AT190" s="210"/>
      <c r="AU190" s="98">
        <v>0.0</v>
      </c>
      <c r="AV190" s="98">
        <v>1.0</v>
      </c>
      <c r="AW190" s="104" t="s">
        <v>6352</v>
      </c>
      <c r="AX190" s="98">
        <v>0.0</v>
      </c>
      <c r="AY190" s="98">
        <v>0.0</v>
      </c>
      <c r="AZ190" s="69"/>
      <c r="BA190" s="56"/>
      <c r="BB190" s="56"/>
      <c r="BC190" s="56"/>
      <c r="BD190" s="56"/>
      <c r="BE190" s="56"/>
      <c r="BF190" s="56"/>
      <c r="BG190" s="56"/>
      <c r="BH190" s="56"/>
      <c r="BI190" s="56"/>
      <c r="BJ190" s="56"/>
      <c r="BK190" s="197">
        <v>9860.7</v>
      </c>
      <c r="BL190" s="198"/>
      <c r="BM190" s="56"/>
      <c r="BN190" s="56"/>
      <c r="BO190" s="56"/>
      <c r="BP190" s="56"/>
      <c r="BQ190" s="56"/>
      <c r="BR190" s="56"/>
      <c r="BS190" s="56"/>
      <c r="BT190" s="197">
        <v>4.0</v>
      </c>
      <c r="BU190" s="198"/>
      <c r="BV190" s="56"/>
      <c r="BW190" s="56" t="s">
        <v>23</v>
      </c>
    </row>
    <row r="191">
      <c r="A191" s="197">
        <v>81.0</v>
      </c>
      <c r="B191" s="34" t="s">
        <v>910</v>
      </c>
      <c r="C191" s="206">
        <v>1.0</v>
      </c>
      <c r="D191" s="120" t="s">
        <v>910</v>
      </c>
      <c r="E191" s="197">
        <v>636.0</v>
      </c>
      <c r="F191" s="120"/>
      <c r="G191" s="56"/>
      <c r="H191" s="197">
        <v>1.0</v>
      </c>
      <c r="I191" s="98">
        <v>1.0</v>
      </c>
      <c r="J191" s="69" t="s">
        <v>2933</v>
      </c>
      <c r="K191" s="120"/>
      <c r="L191" s="120"/>
      <c r="M191" s="69" t="str">
        <f t="shared" si="7"/>
        <v>[https://link.springer.com/content/pdf/10.1007/3-540-57811-0_3.pdf Süleyman Cenk Sahinalp ; Uzi Vishkin (1994)]</v>
      </c>
      <c r="N191" s="69" t="s">
        <v>4912</v>
      </c>
      <c r="O191" s="98">
        <v>1994.0</v>
      </c>
      <c r="P191" s="183" t="s">
        <v>4913</v>
      </c>
      <c r="Q191" s="198"/>
      <c r="R191" s="198"/>
      <c r="S191" s="198"/>
      <c r="T191" s="98">
        <v>1.0</v>
      </c>
      <c r="U191" s="98">
        <v>0.0</v>
      </c>
      <c r="V191" s="199">
        <f>IFERROR(__xludf.DUMMYFUNCTION("INDEX(SPLIT(SUBSTITUTE(W191,CHAR(10), """"),"",:""), MATCH(AE191, SPLIT(SUBSTITUTE(W191,CHAR(10), """"),"",:""), 0) + 1)"),2.01)</f>
        <v>2.01</v>
      </c>
      <c r="W191" s="120" t="s">
        <v>4914</v>
      </c>
      <c r="X191" s="104" t="s">
        <v>6353</v>
      </c>
      <c r="Y191" s="104" t="s">
        <v>6353</v>
      </c>
      <c r="Z191" s="112" t="s">
        <v>4913</v>
      </c>
      <c r="AA191" s="104" t="s">
        <v>6354</v>
      </c>
      <c r="AB191" s="112" t="s">
        <v>4913</v>
      </c>
      <c r="AC191" s="104" t="s">
        <v>5990</v>
      </c>
      <c r="AD191" s="104" t="s">
        <v>6355</v>
      </c>
      <c r="AE191" s="120" t="str">
        <f t="array" ref="AE191">INDEX(Problems!J:J, MATCH(1, (Problems!B:B=B191)*1, 0))</f>
        <v>n</v>
      </c>
      <c r="AF191" s="120"/>
      <c r="AG191" s="120"/>
      <c r="AH191" s="120" t="s">
        <v>4915</v>
      </c>
      <c r="AI191" s="120" t="s">
        <v>1814</v>
      </c>
      <c r="AJ191" s="120">
        <f>IFERROR(__xludf.DUMMYFUNCTION("INDEX(SPLIT(SUBSTITUTE(AK191,CHAR(10), """"),"",:""), MATCH(AE191, SPLIT(SUBSTITUTE(AK191,CHAR(10), """"),"",:""), 0) + 1)"),4.01)</f>
        <v>4.01</v>
      </c>
      <c r="AK191" s="120" t="s">
        <v>2691</v>
      </c>
      <c r="AL191" s="120" t="s">
        <v>4916</v>
      </c>
      <c r="AM191" s="219" t="s">
        <v>4913</v>
      </c>
      <c r="AN191" s="199">
        <v>0.0</v>
      </c>
      <c r="AO191" s="199">
        <v>1.0</v>
      </c>
      <c r="AP191" s="210"/>
      <c r="AQ191" s="98">
        <v>0.0</v>
      </c>
      <c r="AR191" s="210"/>
      <c r="AS191" s="98">
        <v>0.0</v>
      </c>
      <c r="AT191" s="210"/>
      <c r="AU191" s="98">
        <v>0.0</v>
      </c>
      <c r="AV191" s="98">
        <v>1.0</v>
      </c>
      <c r="AW191" s="110"/>
      <c r="AX191" s="98">
        <v>0.0</v>
      </c>
      <c r="AY191" s="98">
        <v>0.0</v>
      </c>
      <c r="AZ191" s="69"/>
      <c r="BA191" s="56"/>
      <c r="BB191" s="56"/>
      <c r="BC191" s="56"/>
      <c r="BD191" s="56"/>
      <c r="BE191" s="56"/>
      <c r="BF191" s="56"/>
      <c r="BG191" s="56"/>
      <c r="BH191" s="56"/>
      <c r="BI191" s="56"/>
      <c r="BJ191" s="56"/>
      <c r="BK191" s="197">
        <v>99.3</v>
      </c>
      <c r="BL191" s="98">
        <f>BK185/BK191</f>
        <v>100.3524673</v>
      </c>
      <c r="BM191" s="198"/>
      <c r="BN191" s="98">
        <f>POW(LOG(1000000,2),2)</f>
        <v>397.2674256</v>
      </c>
      <c r="BO191" s="98">
        <f>BN185/BN191</f>
        <v>0</v>
      </c>
      <c r="BP191" s="198"/>
      <c r="BQ191" s="98">
        <f>POW(LOG(1000000000,2),2)</f>
        <v>893.8517077</v>
      </c>
      <c r="BR191" s="98">
        <f>BQ185/BQ191</f>
        <v>0</v>
      </c>
      <c r="BS191" s="56"/>
      <c r="BT191" s="197">
        <v>4.0</v>
      </c>
      <c r="BU191" s="198"/>
      <c r="BV191" s="56"/>
      <c r="BW191" s="56" t="s">
        <v>23</v>
      </c>
    </row>
    <row r="192">
      <c r="A192" s="197">
        <v>81.0</v>
      </c>
      <c r="B192" s="34" t="s">
        <v>910</v>
      </c>
      <c r="C192" s="206">
        <v>1.0</v>
      </c>
      <c r="D192" s="120" t="s">
        <v>910</v>
      </c>
      <c r="E192" s="197">
        <v>637.0</v>
      </c>
      <c r="F192" s="120"/>
      <c r="G192" s="56"/>
      <c r="H192" s="197">
        <v>1.0</v>
      </c>
      <c r="I192" s="98">
        <v>1.0</v>
      </c>
      <c r="J192" s="110" t="s">
        <v>2382</v>
      </c>
      <c r="K192" s="120"/>
      <c r="L192" s="120"/>
      <c r="M192" s="69" t="str">
        <f t="shared" si="7"/>
        <v>[https://www.cs.rutgers.edu/~farach/pubs/PRAMSuffixICALP.pdf Farach (1997)]</v>
      </c>
      <c r="N192" s="34" t="s">
        <v>4917</v>
      </c>
      <c r="O192" s="98">
        <v>1997.0</v>
      </c>
      <c r="P192" s="183" t="s">
        <v>4918</v>
      </c>
      <c r="Q192" s="56"/>
      <c r="R192" s="56"/>
      <c r="S192" s="56"/>
      <c r="T192" s="98">
        <v>0.0</v>
      </c>
      <c r="U192" s="98">
        <v>0.0</v>
      </c>
      <c r="V192" s="199">
        <f>IFERROR(__xludf.DUMMYFUNCTION("INDEX(SPLIT(SUBSTITUTE(W192,CHAR(10), """"),"",:""), MATCH(AE192, SPLIT(SUBSTITUTE(W192,CHAR(10), """"),"",:""), 0) + 1)"),2.0)</f>
        <v>2</v>
      </c>
      <c r="W192" s="120" t="s">
        <v>1962</v>
      </c>
      <c r="X192" s="120" t="s">
        <v>2430</v>
      </c>
      <c r="Y192" s="104" t="s">
        <v>2483</v>
      </c>
      <c r="Z192" s="112" t="s">
        <v>6356</v>
      </c>
      <c r="AA192" s="104" t="s">
        <v>584</v>
      </c>
      <c r="AB192" s="112" t="s">
        <v>6356</v>
      </c>
      <c r="AC192" s="104" t="s">
        <v>5793</v>
      </c>
      <c r="AD192" s="120" t="s">
        <v>4900</v>
      </c>
      <c r="AE192" s="120" t="str">
        <f t="array" ref="AE192">INDEX(Problems!J:J, MATCH(1, (Problems!B:B=B192)*1, 0))</f>
        <v>n</v>
      </c>
      <c r="AF192" s="120"/>
      <c r="AG192" s="120"/>
      <c r="AH192" s="120" t="s">
        <v>4915</v>
      </c>
      <c r="AI192" s="120" t="s">
        <v>1814</v>
      </c>
      <c r="AJ192" s="120">
        <f>IFERROR(__xludf.DUMMYFUNCTION("INDEX(SPLIT(SUBSTITUTE(AK192,CHAR(10), """"),"",:""), MATCH(AE192, SPLIT(SUBSTITUTE(AK192,CHAR(10), """"),"",:""), 0) + 1)"),3.0)</f>
        <v>3</v>
      </c>
      <c r="AK192" s="120" t="s">
        <v>1763</v>
      </c>
      <c r="AL192" s="120" t="s">
        <v>35</v>
      </c>
      <c r="AM192" s="219" t="s">
        <v>4918</v>
      </c>
      <c r="AN192" s="199">
        <v>0.0</v>
      </c>
      <c r="AO192" s="199">
        <v>1.0</v>
      </c>
      <c r="AP192" s="105"/>
      <c r="AQ192" s="98">
        <v>1.0</v>
      </c>
      <c r="AR192" s="105" t="s">
        <v>2187</v>
      </c>
      <c r="AS192" s="98">
        <v>0.0</v>
      </c>
      <c r="AT192" s="210"/>
      <c r="AU192" s="98">
        <v>0.0</v>
      </c>
      <c r="AV192" s="105">
        <v>1.0</v>
      </c>
      <c r="AW192" s="104" t="s">
        <v>2496</v>
      </c>
      <c r="AX192" s="98">
        <v>0.0</v>
      </c>
      <c r="AY192" s="98">
        <v>0.0</v>
      </c>
      <c r="AZ192" s="69"/>
      <c r="BA192" s="56"/>
      <c r="BB192" s="198"/>
      <c r="BC192" s="198"/>
      <c r="BD192" s="56"/>
      <c r="BE192" s="56"/>
      <c r="BF192" s="56"/>
      <c r="BG192" s="56"/>
      <c r="BH192" s="56"/>
      <c r="BI192" s="56"/>
      <c r="BJ192" s="56"/>
      <c r="BK192" s="197">
        <v>1000.0</v>
      </c>
      <c r="BL192" s="56"/>
      <c r="BM192" s="56"/>
      <c r="BN192" s="56"/>
      <c r="BO192" s="56"/>
      <c r="BP192" s="56"/>
      <c r="BQ192" s="56"/>
      <c r="BR192" s="56"/>
      <c r="BS192" s="56"/>
      <c r="BT192" s="197">
        <v>4.0</v>
      </c>
      <c r="BU192" s="198"/>
      <c r="BV192" s="56"/>
      <c r="BW192" s="56" t="s">
        <v>23</v>
      </c>
    </row>
    <row r="193">
      <c r="A193" s="197">
        <v>81.0</v>
      </c>
      <c r="B193" s="34" t="s">
        <v>910</v>
      </c>
      <c r="C193" s="206">
        <v>1.0</v>
      </c>
      <c r="D193" s="120" t="s">
        <v>910</v>
      </c>
      <c r="E193" s="197">
        <v>638.0</v>
      </c>
      <c r="F193" s="120"/>
      <c r="G193" s="56"/>
      <c r="H193" s="197">
        <v>1.0</v>
      </c>
      <c r="I193" s="98">
        <v>1.0</v>
      </c>
      <c r="J193" s="69" t="s">
        <v>1963</v>
      </c>
      <c r="K193" s="120"/>
      <c r="L193" s="120"/>
      <c r="M193" s="69" t="str">
        <f t="shared" si="7"/>
        <v>[https://www.researchgate.net/publication/228945502_On_parallel_transformations_of_suffix_arrays_into_suffix_trees Rytter (2004)]</v>
      </c>
      <c r="N193" s="34" t="s">
        <v>4919</v>
      </c>
      <c r="O193" s="98">
        <v>2004.0</v>
      </c>
      <c r="P193" s="183" t="s">
        <v>4920</v>
      </c>
      <c r="Q193" s="198"/>
      <c r="R193" s="198"/>
      <c r="S193" s="198"/>
      <c r="T193" s="98">
        <v>1.0</v>
      </c>
      <c r="U193" s="69" t="s">
        <v>3364</v>
      </c>
      <c r="V193" s="199">
        <f>IFERROR(__xludf.DUMMYFUNCTION("INDEX(SPLIT(SUBSTITUTE(W193,CHAR(10), """"),"",:""), MATCH(AE193, SPLIT(SUBSTITUTE(W193,CHAR(10), """"),"",:""), 0) + 1)"),2.0)</f>
        <v>2</v>
      </c>
      <c r="W193" s="120" t="s">
        <v>1962</v>
      </c>
      <c r="X193" s="69" t="s">
        <v>2430</v>
      </c>
      <c r="Y193" s="104" t="s">
        <v>2483</v>
      </c>
      <c r="Z193" s="180" t="s">
        <v>4920</v>
      </c>
      <c r="AA193" s="104" t="s">
        <v>6313</v>
      </c>
      <c r="AB193" s="180" t="s">
        <v>4920</v>
      </c>
      <c r="AC193" s="104" t="s">
        <v>5990</v>
      </c>
      <c r="AD193" s="120" t="s">
        <v>4900</v>
      </c>
      <c r="AE193" s="120" t="str">
        <f t="array" ref="AE193">INDEX(Problems!J:J, MATCH(1, (Problems!B:B=B193)*1, 0))</f>
        <v>n</v>
      </c>
      <c r="AF193" s="120"/>
      <c r="AG193" s="120"/>
      <c r="AH193" s="120" t="s">
        <v>2486</v>
      </c>
      <c r="AI193" s="120" t="s">
        <v>1814</v>
      </c>
      <c r="AJ193" s="120">
        <f>IFERROR(__xludf.DUMMYFUNCTION("INDEX(SPLIT(SUBSTITUTE(AK193,CHAR(10), """"),"",:""), MATCH(AE193, SPLIT(SUBSTITUTE(AK193,CHAR(10), """"),"",:""), 0) + 1)"),3.0)</f>
        <v>3</v>
      </c>
      <c r="AK193" s="120" t="s">
        <v>1763</v>
      </c>
      <c r="AL193" s="120" t="s">
        <v>35</v>
      </c>
      <c r="AM193" s="219" t="s">
        <v>4920</v>
      </c>
      <c r="AN193" s="199">
        <v>0.0</v>
      </c>
      <c r="AO193" s="199">
        <v>1.0</v>
      </c>
      <c r="AP193" s="210"/>
      <c r="AQ193" s="98">
        <v>0.0</v>
      </c>
      <c r="AR193" s="210"/>
      <c r="AS193" s="98">
        <v>0.0</v>
      </c>
      <c r="AT193" s="210"/>
      <c r="AU193" s="98">
        <v>0.0</v>
      </c>
      <c r="AV193" s="98">
        <v>1.0</v>
      </c>
      <c r="AW193" s="104" t="s">
        <v>584</v>
      </c>
      <c r="AX193" s="98">
        <v>0.0</v>
      </c>
      <c r="AY193" s="98">
        <v>0.0</v>
      </c>
      <c r="AZ193" s="69"/>
      <c r="BA193" s="56"/>
      <c r="BB193" s="198"/>
      <c r="BC193" s="198"/>
      <c r="BD193" s="56"/>
      <c r="BE193" s="56"/>
      <c r="BF193" s="56"/>
      <c r="BG193" s="56"/>
      <c r="BH193" s="56"/>
      <c r="BI193" s="56"/>
      <c r="BJ193" s="56"/>
      <c r="BK193" s="197">
        <v>9.965</v>
      </c>
      <c r="BL193" s="197">
        <f>BK185/BK193</f>
        <v>1000</v>
      </c>
      <c r="BM193" s="198"/>
      <c r="BN193" s="98">
        <f>LOG(1000000,2)</f>
        <v>19.93156857</v>
      </c>
      <c r="BO193" s="98">
        <f>BN185/BN193</f>
        <v>0</v>
      </c>
      <c r="BP193" s="198"/>
      <c r="BQ193" s="98">
        <f>LOG(1000000000,2)</f>
        <v>29.89735285</v>
      </c>
      <c r="BR193" s="98">
        <f>BQ185/BQ193</f>
        <v>0</v>
      </c>
      <c r="BS193" s="56"/>
      <c r="BT193" s="197">
        <v>4.0</v>
      </c>
      <c r="BU193" s="198"/>
      <c r="BV193" s="56"/>
      <c r="BW193" s="56" t="s">
        <v>23</v>
      </c>
    </row>
    <row r="194">
      <c r="A194" s="197">
        <v>82.0</v>
      </c>
      <c r="B194" s="34" t="s">
        <v>914</v>
      </c>
      <c r="C194" s="206">
        <v>0.001</v>
      </c>
      <c r="D194" s="120"/>
      <c r="E194" s="197">
        <v>643.0</v>
      </c>
      <c r="F194" s="120"/>
      <c r="G194" s="56"/>
      <c r="H194" s="197">
        <v>0.0</v>
      </c>
      <c r="I194" s="98">
        <v>0.0</v>
      </c>
      <c r="J194" s="34" t="s">
        <v>115</v>
      </c>
      <c r="K194" s="110"/>
      <c r="L194" s="110"/>
      <c r="M194" s="69" t="str">
        <f t="shared" si="7"/>
        <v>[https://www.academia.edu/814419/A_New_Parallel_Algorithm_Provided_by_a_Computation_Time_Model J.-C. Nebel 1998 (1998)]</v>
      </c>
      <c r="N194" s="69" t="s">
        <v>3453</v>
      </c>
      <c r="O194" s="98">
        <v>1998.0</v>
      </c>
      <c r="P194" s="183" t="s">
        <v>3454</v>
      </c>
      <c r="Q194" s="198"/>
      <c r="R194" s="198"/>
      <c r="S194" s="198"/>
      <c r="T194" s="197">
        <v>0.0</v>
      </c>
      <c r="U194" s="197">
        <v>0.0</v>
      </c>
      <c r="V194" s="199">
        <f>IFERROR(__xludf.DUMMYFUNCTION("INDEX(SPLIT(SUBSTITUTE(W194,CHAR(10), """"),"",:""), MATCH(AE194, SPLIT(SUBSTITUTE(W194,CHAR(10), """"),"",:""), 0) + 1)"),5.0)</f>
        <v>5</v>
      </c>
      <c r="W194" s="120" t="s">
        <v>1938</v>
      </c>
      <c r="X194" s="34" t="s">
        <v>115</v>
      </c>
      <c r="Y194" s="120"/>
      <c r="Z194" s="120"/>
      <c r="AA194" s="120"/>
      <c r="AB194" s="120"/>
      <c r="AC194" s="120"/>
      <c r="AD194" s="120"/>
      <c r="AE194" s="120" t="str">
        <f t="array" ref="AE194">INDEX(Problems!J:J, MATCH(1, (Problems!B:B=B194)*1, 0))</f>
        <v>n</v>
      </c>
      <c r="AF194" s="120"/>
      <c r="AG194" s="120"/>
      <c r="AH194" s="120"/>
      <c r="AI194" s="120"/>
      <c r="AJ194" s="120" t="str">
        <f>IFERROR(__xludf.DUMMYFUNCTION("INDEX(SPLIT(SUBSTITUTE(AK194,CHAR(10), """"),"",:""), MATCH(AE194, SPLIT(SUBSTITUTE(AK194,CHAR(10), """"),"",:""), 0) + 1)"),"#VALUE!")</f>
        <v>#VALUE!</v>
      </c>
      <c r="AK194" s="200"/>
      <c r="AL194" s="120"/>
      <c r="AM194" s="120"/>
      <c r="AN194" s="200"/>
      <c r="AO194" s="199" t="s">
        <v>2520</v>
      </c>
      <c r="AP194" s="200"/>
      <c r="AQ194" s="197">
        <v>0.0</v>
      </c>
      <c r="AR194" s="105"/>
      <c r="AS194" s="98">
        <v>1.0</v>
      </c>
      <c r="AT194" s="200"/>
      <c r="AU194" s="197">
        <v>0.0</v>
      </c>
      <c r="AV194" s="199">
        <v>1.0</v>
      </c>
      <c r="AW194" s="110"/>
      <c r="AX194" s="98">
        <v>0.0</v>
      </c>
      <c r="AY194" s="98">
        <v>0.0</v>
      </c>
      <c r="AZ194" s="69"/>
      <c r="BA194" s="198"/>
      <c r="BB194" s="198"/>
      <c r="BC194" s="198"/>
      <c r="BD194" s="198"/>
      <c r="BE194" s="198"/>
      <c r="BF194" s="198"/>
      <c r="BG194" s="198"/>
      <c r="BH194" s="198"/>
      <c r="BI194" s="198"/>
      <c r="BJ194" s="198"/>
      <c r="BK194" s="98">
        <v>1000000.0</v>
      </c>
      <c r="BL194" s="198"/>
      <c r="BM194" s="198"/>
      <c r="BN194" s="198"/>
      <c r="BO194" s="198"/>
      <c r="BP194" s="198"/>
      <c r="BQ194" s="198"/>
      <c r="BR194" s="198"/>
      <c r="BS194" s="56"/>
      <c r="BT194" s="197">
        <v>4.0</v>
      </c>
      <c r="BU194" s="198"/>
      <c r="BV194" s="198"/>
      <c r="BW194" s="56" t="s">
        <v>196</v>
      </c>
    </row>
    <row r="195">
      <c r="A195" s="197">
        <v>82.0</v>
      </c>
      <c r="B195" s="34" t="s">
        <v>914</v>
      </c>
      <c r="C195" s="206">
        <v>0.001</v>
      </c>
      <c r="D195" s="120"/>
      <c r="E195" s="197">
        <v>644.0</v>
      </c>
      <c r="F195" s="120"/>
      <c r="G195" s="56"/>
      <c r="H195" s="197">
        <v>0.0</v>
      </c>
      <c r="I195" s="197">
        <v>0.0</v>
      </c>
      <c r="J195" s="34" t="s">
        <v>115</v>
      </c>
      <c r="K195" s="110"/>
      <c r="L195" s="110"/>
      <c r="M195" s="69" t="str">
        <f t="shared" si="7"/>
        <v>[ A. Chalmers; T. Davis; and E. Reinhard 2002 (2002)]</v>
      </c>
      <c r="N195" s="34" t="s">
        <v>3455</v>
      </c>
      <c r="O195" s="98">
        <v>2002.0</v>
      </c>
      <c r="P195" s="34"/>
      <c r="Q195" s="198"/>
      <c r="R195" s="198"/>
      <c r="S195" s="198"/>
      <c r="T195" s="197">
        <v>0.0</v>
      </c>
      <c r="U195" s="197">
        <v>0.0</v>
      </c>
      <c r="V195" s="199">
        <f>IFERROR(__xludf.DUMMYFUNCTION("INDEX(SPLIT(SUBSTITUTE(W195,CHAR(10), """"),"",:""), MATCH(AE195, SPLIT(SUBSTITUTE(W195,CHAR(10), """"),"",:""), 0) + 1)"),5.0)</f>
        <v>5</v>
      </c>
      <c r="W195" s="120" t="s">
        <v>1938</v>
      </c>
      <c r="X195" s="34" t="s">
        <v>115</v>
      </c>
      <c r="Y195" s="120"/>
      <c r="Z195" s="120"/>
      <c r="AA195" s="120"/>
      <c r="AB195" s="120"/>
      <c r="AC195" s="120"/>
      <c r="AD195" s="120"/>
      <c r="AE195" s="120" t="str">
        <f t="array" ref="AE195">INDEX(Problems!J:J, MATCH(1, (Problems!B:B=B195)*1, 0))</f>
        <v>n</v>
      </c>
      <c r="AF195" s="120"/>
      <c r="AG195" s="120"/>
      <c r="AH195" s="120"/>
      <c r="AI195" s="120"/>
      <c r="AJ195" s="120" t="str">
        <f>IFERROR(__xludf.DUMMYFUNCTION("INDEX(SPLIT(SUBSTITUTE(AK195,CHAR(10), """"),"",:""), MATCH(AE195, SPLIT(SUBSTITUTE(AK195,CHAR(10), """"),"",:""), 0) + 1)"),"#VALUE!")</f>
        <v>#VALUE!</v>
      </c>
      <c r="AK195" s="200"/>
      <c r="AL195" s="120"/>
      <c r="AM195" s="120"/>
      <c r="AN195" s="200"/>
      <c r="AO195" s="199" t="s">
        <v>2520</v>
      </c>
      <c r="AP195" s="200"/>
      <c r="AQ195" s="197">
        <v>0.0</v>
      </c>
      <c r="AR195" s="199"/>
      <c r="AS195" s="197">
        <v>1.0</v>
      </c>
      <c r="AT195" s="210"/>
      <c r="AU195" s="197">
        <v>0.0</v>
      </c>
      <c r="AV195" s="199">
        <v>1.0</v>
      </c>
      <c r="AW195" s="110"/>
      <c r="AX195" s="98">
        <v>0.0</v>
      </c>
      <c r="AY195" s="98">
        <v>0.0</v>
      </c>
      <c r="AZ195" s="69"/>
      <c r="BA195" s="198"/>
      <c r="BB195" s="198"/>
      <c r="BC195" s="198"/>
      <c r="BD195" s="198"/>
      <c r="BE195" s="56"/>
      <c r="BF195" s="56"/>
      <c r="BG195" s="56"/>
      <c r="BH195" s="56"/>
      <c r="BI195" s="56"/>
      <c r="BJ195" s="56"/>
      <c r="BK195" s="197">
        <v>1000000.0</v>
      </c>
      <c r="BL195" s="198"/>
      <c r="BM195" s="198"/>
      <c r="BN195" s="198"/>
      <c r="BO195" s="198"/>
      <c r="BP195" s="198"/>
      <c r="BQ195" s="198"/>
      <c r="BR195" s="198"/>
      <c r="BS195" s="56"/>
      <c r="BT195" s="197">
        <v>4.0</v>
      </c>
      <c r="BU195" s="198"/>
      <c r="BV195" s="198"/>
      <c r="BW195" s="56" t="s">
        <v>196</v>
      </c>
    </row>
    <row r="196">
      <c r="A196" s="197">
        <v>86.0</v>
      </c>
      <c r="B196" s="34" t="s">
        <v>934</v>
      </c>
      <c r="C196" s="206">
        <v>0.001</v>
      </c>
      <c r="D196" s="120" t="s">
        <v>4996</v>
      </c>
      <c r="E196" s="197">
        <v>665.0</v>
      </c>
      <c r="F196" s="120"/>
      <c r="G196" s="56"/>
      <c r="H196" s="197">
        <v>1.0</v>
      </c>
      <c r="I196" s="98">
        <v>1.0</v>
      </c>
      <c r="J196" s="69" t="s">
        <v>4997</v>
      </c>
      <c r="K196" s="120"/>
      <c r="L196" s="120"/>
      <c r="M196" s="69" t="str">
        <f t="shared" si="7"/>
        <v>[https://dl.acm.org/doi/10.1145/321921.321925 Ullman (1976)]</v>
      </c>
      <c r="N196" s="69" t="s">
        <v>4998</v>
      </c>
      <c r="O196" s="98">
        <v>1976.0</v>
      </c>
      <c r="P196" s="183" t="s">
        <v>4999</v>
      </c>
      <c r="Q196" s="198"/>
      <c r="R196" s="198"/>
      <c r="S196" s="198"/>
      <c r="T196" s="98">
        <v>1.0</v>
      </c>
      <c r="U196" s="98">
        <v>0.0</v>
      </c>
      <c r="V196" s="199" t="str">
        <f>IFERROR(__xludf.DUMMYFUNCTION("INDEX(SPLIT(SUBSTITUTE(W196,CHAR(10), """"),"",:""), MATCH(AE196, SPLIT(SUBSTITUTE(W196,CHAR(10), """"),"",:""), 0) + 1)"),"#VALUE!")</f>
        <v>#VALUE!</v>
      </c>
      <c r="W196" s="200"/>
      <c r="X196" s="69"/>
      <c r="Y196" s="120"/>
      <c r="Z196" s="120"/>
      <c r="AA196" s="120"/>
      <c r="AB196" s="120"/>
      <c r="AC196" s="120"/>
      <c r="AD196" s="120" t="s">
        <v>5000</v>
      </c>
      <c r="AE196" s="120" t="str">
        <f t="array" ref="AE196">INDEX(Problems!J:J, MATCH(1, (Problems!B:B=B196)*1, 0))</f>
        <v>n</v>
      </c>
      <c r="AF196" s="120"/>
      <c r="AG196" s="120"/>
      <c r="AH196" s="120" t="s">
        <v>1813</v>
      </c>
      <c r="AI196" s="120" t="s">
        <v>1814</v>
      </c>
      <c r="AJ196" s="120" t="str">
        <f>IFERROR(__xludf.DUMMYFUNCTION("INDEX(SPLIT(SUBSTITUTE(AK196,CHAR(10), """"),"",:""), MATCH(AE196, SPLIT(SUBSTITUTE(AK196,CHAR(10), """"),"",:""), 0) + 1)")," 3m")</f>
        <v> 3m</v>
      </c>
      <c r="AK196" s="120" t="s">
        <v>5001</v>
      </c>
      <c r="AL196" s="241" t="s">
        <v>3296</v>
      </c>
      <c r="AM196" s="120" t="s">
        <v>5002</v>
      </c>
      <c r="AN196" s="199">
        <v>1.0</v>
      </c>
      <c r="AO196" s="199">
        <v>0.0</v>
      </c>
      <c r="AP196" s="210"/>
      <c r="AQ196" s="98">
        <v>0.0</v>
      </c>
      <c r="AR196" s="110"/>
      <c r="AS196" s="98">
        <v>0.0</v>
      </c>
      <c r="AT196" s="210"/>
      <c r="AU196" s="98">
        <v>0.0</v>
      </c>
      <c r="AV196" s="98">
        <v>1.0</v>
      </c>
      <c r="AW196" s="110"/>
      <c r="AX196" s="98">
        <v>0.0</v>
      </c>
      <c r="AY196" s="98">
        <v>0.0</v>
      </c>
      <c r="AZ196" s="69"/>
      <c r="BA196" s="56"/>
      <c r="BB196" s="198"/>
      <c r="BC196" s="198"/>
      <c r="BD196" s="56"/>
      <c r="BE196" s="56"/>
      <c r="BF196" s="56"/>
      <c r="BG196" s="56"/>
      <c r="BH196" s="56"/>
      <c r="BI196" s="56"/>
      <c r="BJ196" s="56"/>
      <c r="BK196" s="56"/>
      <c r="BL196" s="56"/>
      <c r="BM196" s="198"/>
      <c r="BN196" s="56"/>
      <c r="BO196" s="56"/>
      <c r="BP196" s="198"/>
      <c r="BQ196" s="56"/>
      <c r="BR196" s="56"/>
      <c r="BS196" s="56"/>
      <c r="BT196" s="197">
        <v>1.0</v>
      </c>
      <c r="BU196" s="198"/>
      <c r="BV196" s="56"/>
      <c r="BW196" s="56" t="s">
        <v>23</v>
      </c>
    </row>
    <row r="197">
      <c r="A197" s="197">
        <v>98.0</v>
      </c>
      <c r="B197" s="34" t="s">
        <v>1002</v>
      </c>
      <c r="C197" s="206">
        <v>0.001</v>
      </c>
      <c r="D197" s="120"/>
      <c r="E197" s="197">
        <v>774.0</v>
      </c>
      <c r="F197" s="120"/>
      <c r="G197" s="34"/>
      <c r="H197" s="197">
        <v>1.0</v>
      </c>
      <c r="I197" s="98">
        <v>1.0</v>
      </c>
      <c r="J197" s="69" t="s">
        <v>115</v>
      </c>
      <c r="K197" s="200"/>
      <c r="L197" s="200"/>
      <c r="M197" s="69" t="str">
        <f t="shared" si="7"/>
        <v>[https://www.semanticscholar.org/paper/An-efficient-distributed-algorithm-for-computing-Cardoso-Abreu/ce32696c1176800c5b90fab026bf93f282e2b161 Cardoso; Nuno; Abreu; Rui (2014)]</v>
      </c>
      <c r="N197" s="69" t="s">
        <v>5202</v>
      </c>
      <c r="O197" s="98">
        <v>2014.0</v>
      </c>
      <c r="P197" s="183" t="s">
        <v>5203</v>
      </c>
      <c r="Q197" s="198"/>
      <c r="R197" s="198"/>
      <c r="S197" s="198"/>
      <c r="T197" s="98">
        <v>0.0</v>
      </c>
      <c r="U197" s="197">
        <v>0.0</v>
      </c>
      <c r="V197" s="199">
        <f>IFERROR(__xludf.DUMMYFUNCTION("INDEX(SPLIT(SUBSTITUTE(W197,CHAR(10), """"),"",:""), MATCH(AE197, SPLIT(SUBSTITUTE(W197,CHAR(10), """"),"",:""), 0) + 1)"),5.0)</f>
        <v>5</v>
      </c>
      <c r="W197" s="120" t="s">
        <v>1938</v>
      </c>
      <c r="X197" s="69" t="s">
        <v>115</v>
      </c>
      <c r="Y197" s="120"/>
      <c r="Z197" s="120"/>
      <c r="AA197" s="120"/>
      <c r="AB197" s="120"/>
      <c r="AC197" s="120"/>
      <c r="AD197" s="120"/>
      <c r="AE197" s="120" t="str">
        <f t="array" ref="AE197">INDEX(Problems!J:J, MATCH(1, (Problems!B:B=B197)*1, 0))</f>
        <v>n</v>
      </c>
      <c r="AF197" s="120"/>
      <c r="AG197" s="120"/>
      <c r="AH197" s="120"/>
      <c r="AI197" s="120"/>
      <c r="AJ197" s="120" t="str">
        <f>IFERROR(__xludf.DUMMYFUNCTION("INDEX(SPLIT(SUBSTITUTE(AK197,CHAR(10), """"),"",:""), MATCH(AE197, SPLIT(SUBSTITUTE(AK197,CHAR(10), """"),"",:""), 0) + 1)"),"#VALUE!")</f>
        <v>#VALUE!</v>
      </c>
      <c r="AK197" s="120"/>
      <c r="AL197" s="120"/>
      <c r="AM197" s="120"/>
      <c r="AN197" s="200"/>
      <c r="AO197" s="199" t="s">
        <v>2520</v>
      </c>
      <c r="AP197" s="210"/>
      <c r="AQ197" s="98">
        <v>0.0</v>
      </c>
      <c r="AR197" s="210"/>
      <c r="AS197" s="98">
        <v>0.0</v>
      </c>
      <c r="AT197" s="210"/>
      <c r="AU197" s="242">
        <v>1.0</v>
      </c>
      <c r="AV197" s="242">
        <v>1.0</v>
      </c>
      <c r="AW197" s="110"/>
      <c r="AX197" s="98">
        <v>0.0</v>
      </c>
      <c r="AY197" s="98">
        <v>0.0</v>
      </c>
      <c r="AZ197" s="69"/>
      <c r="BA197" s="56"/>
      <c r="BB197" s="198"/>
      <c r="BC197" s="198"/>
      <c r="BD197" s="56"/>
      <c r="BE197" s="34"/>
      <c r="BF197" s="34"/>
      <c r="BG197" s="34"/>
      <c r="BH197" s="34"/>
      <c r="BI197" s="34"/>
      <c r="BJ197" s="34"/>
      <c r="BK197" s="34"/>
      <c r="BL197" s="198"/>
      <c r="BM197" s="198"/>
      <c r="BN197" s="198"/>
      <c r="BO197" s="198"/>
      <c r="BP197" s="198"/>
      <c r="BQ197" s="198"/>
      <c r="BR197" s="198"/>
      <c r="BS197" s="34"/>
      <c r="BT197" s="197">
        <v>1.0</v>
      </c>
      <c r="BU197" s="198"/>
      <c r="BV197" s="56"/>
      <c r="BW197" s="34" t="s">
        <v>23</v>
      </c>
    </row>
    <row r="198">
      <c r="A198" s="197">
        <v>122.0</v>
      </c>
      <c r="B198" s="34" t="s">
        <v>1112</v>
      </c>
      <c r="C198" s="206">
        <v>0.001</v>
      </c>
      <c r="D198" s="120" t="s">
        <v>1112</v>
      </c>
      <c r="E198" s="197">
        <v>938.0</v>
      </c>
      <c r="F198" s="120"/>
      <c r="G198" s="56"/>
      <c r="H198" s="197">
        <v>1.0</v>
      </c>
      <c r="I198" s="98">
        <v>1.0</v>
      </c>
      <c r="J198" s="69" t="s">
        <v>5472</v>
      </c>
      <c r="K198" s="200"/>
      <c r="L198" s="200"/>
      <c r="M198" s="69" t="str">
        <f t="shared" si="7"/>
        <v>[https://www.ncbi.nlm.nih.gov/pubmed/30851095 Rautiainen, Marschall (2019)]</v>
      </c>
      <c r="N198" s="69" t="s">
        <v>5473</v>
      </c>
      <c r="O198" s="98">
        <v>2019.0</v>
      </c>
      <c r="P198" s="183" t="s">
        <v>5474</v>
      </c>
      <c r="Q198" s="198"/>
      <c r="R198" s="198"/>
      <c r="S198" s="198"/>
      <c r="T198" s="197">
        <v>0.0</v>
      </c>
      <c r="U198" s="197">
        <v>0.0</v>
      </c>
      <c r="V198" s="199">
        <f>IFERROR(__xludf.DUMMYFUNCTION("INDEX(SPLIT(SUBSTITUTE(W198,CHAR(10), """"),"",:""), MATCH(AE198, SPLIT(SUBSTITUTE(W198,CHAR(10), """"),"",:""), 0) + 1)"),5.0)</f>
        <v>5</v>
      </c>
      <c r="W198" s="120" t="s">
        <v>5448</v>
      </c>
      <c r="X198" s="104" t="s">
        <v>6357</v>
      </c>
      <c r="Y198" s="120"/>
      <c r="Z198" s="120"/>
      <c r="AA198" s="120"/>
      <c r="AB198" s="120"/>
      <c r="AC198" s="120"/>
      <c r="AD198" s="104" t="s">
        <v>6358</v>
      </c>
      <c r="AE198" s="120" t="str">
        <f t="array" ref="AE198">INDEX(Problems!J:J, MATCH(1, (Problems!B:B=B198)*1, 0))</f>
        <v>N</v>
      </c>
      <c r="AF198" s="219" t="s">
        <v>5474</v>
      </c>
      <c r="AG198" s="243">
        <v>0.0</v>
      </c>
      <c r="AH198" s="120" t="s">
        <v>1813</v>
      </c>
      <c r="AI198" s="120" t="s">
        <v>1814</v>
      </c>
      <c r="AJ198" s="120">
        <f>IFERROR(__xludf.DUMMYFUNCTION("INDEX(SPLIT(SUBSTITUTE(AK198,CHAR(10), """"),"",:""), MATCH(AE198, SPLIT(SUBSTITUTE(AK198,CHAR(10), """"),"",:""), 0) + 1)"),3.0)</f>
        <v>3</v>
      </c>
      <c r="AK198" s="120" t="s">
        <v>5464</v>
      </c>
      <c r="AL198" s="200" t="s">
        <v>5465</v>
      </c>
      <c r="AM198" s="120" t="s">
        <v>5475</v>
      </c>
      <c r="AN198" s="199">
        <v>1.0</v>
      </c>
      <c r="AO198" s="199">
        <v>0.0</v>
      </c>
      <c r="AP198" s="210"/>
      <c r="AQ198" s="98">
        <v>0.0</v>
      </c>
      <c r="AR198" s="210"/>
      <c r="AS198" s="98">
        <v>0.0</v>
      </c>
      <c r="AT198" s="210"/>
      <c r="AU198" s="98">
        <v>0.0</v>
      </c>
      <c r="AV198" s="98">
        <v>1.0</v>
      </c>
      <c r="AW198" s="110"/>
      <c r="AX198" s="98">
        <v>0.0</v>
      </c>
      <c r="AY198" s="98">
        <v>0.0</v>
      </c>
      <c r="AZ198" s="69"/>
      <c r="BA198" s="56"/>
      <c r="BB198" s="198"/>
      <c r="BC198" s="198"/>
      <c r="BD198" s="56"/>
      <c r="BE198" s="56"/>
      <c r="BF198" s="56"/>
      <c r="BG198" s="56"/>
      <c r="BH198" s="56"/>
      <c r="BI198" s="56"/>
      <c r="BJ198" s="56"/>
      <c r="BK198" s="56"/>
      <c r="BL198" s="198"/>
      <c r="BM198" s="198"/>
      <c r="BN198" s="198"/>
      <c r="BO198" s="198"/>
      <c r="BP198" s="198"/>
      <c r="BQ198" s="198"/>
      <c r="BR198" s="198"/>
      <c r="BS198" s="34"/>
      <c r="BT198" s="197">
        <v>3.0</v>
      </c>
      <c r="BU198" s="198"/>
      <c r="BV198" s="56"/>
      <c r="BW198" s="56" t="s">
        <v>23</v>
      </c>
    </row>
    <row r="199">
      <c r="B199" s="2" t="s">
        <v>342</v>
      </c>
      <c r="C199" s="9">
        <v>1.0</v>
      </c>
      <c r="D199" s="13"/>
      <c r="F199" s="69" t="s">
        <v>6359</v>
      </c>
      <c r="N199" s="69" t="s">
        <v>6360</v>
      </c>
      <c r="O199" s="98">
        <v>1972.0</v>
      </c>
      <c r="P199" s="183" t="s">
        <v>6258</v>
      </c>
      <c r="X199" s="34" t="s">
        <v>35</v>
      </c>
      <c r="Y199" s="9" t="s">
        <v>35</v>
      </c>
      <c r="AA199" s="9" t="s">
        <v>834</v>
      </c>
      <c r="AD199" s="9" t="s">
        <v>3397</v>
      </c>
      <c r="AH199" s="9" t="s">
        <v>6225</v>
      </c>
      <c r="AQ199" s="9">
        <v>0.0</v>
      </c>
      <c r="AS199" s="9">
        <v>0.0</v>
      </c>
      <c r="AU199" s="9">
        <v>0.0</v>
      </c>
      <c r="AV199" s="98">
        <v>1.0</v>
      </c>
      <c r="AW199" s="9" t="s">
        <v>114</v>
      </c>
      <c r="AX199" s="9">
        <v>0.0</v>
      </c>
      <c r="AZ199" s="177" t="s">
        <v>6361</v>
      </c>
    </row>
    <row r="200">
      <c r="A200" s="10"/>
      <c r="B200" s="2" t="s">
        <v>342</v>
      </c>
      <c r="C200" s="9">
        <v>0.0</v>
      </c>
      <c r="D200" s="36"/>
      <c r="E200" s="10"/>
      <c r="F200" s="69" t="s">
        <v>6359</v>
      </c>
      <c r="G200" s="10"/>
      <c r="H200" s="10"/>
      <c r="J200" s="10"/>
      <c r="K200" s="10"/>
      <c r="L200" s="10"/>
      <c r="N200" s="69" t="s">
        <v>6362</v>
      </c>
      <c r="O200" s="98">
        <v>1975.0</v>
      </c>
      <c r="P200" s="183" t="s">
        <v>6363</v>
      </c>
      <c r="Q200" s="10"/>
      <c r="R200" s="10"/>
      <c r="V200" s="10"/>
      <c r="W200" s="10"/>
      <c r="X200" s="34"/>
      <c r="Y200" s="10"/>
      <c r="Z200" s="10"/>
      <c r="AA200" s="10"/>
      <c r="AB200" s="10"/>
      <c r="AC200" s="10"/>
      <c r="AD200" s="10"/>
      <c r="AE200" s="10"/>
      <c r="AF200" s="10"/>
      <c r="AG200" s="10"/>
      <c r="AH200" s="9" t="s">
        <v>6282</v>
      </c>
      <c r="AI200" s="10"/>
      <c r="AJ200" s="10"/>
      <c r="AK200" s="10"/>
      <c r="AL200" s="10"/>
      <c r="AM200" s="10"/>
      <c r="AN200" s="10"/>
      <c r="AO200" s="10"/>
      <c r="AV200" s="98">
        <v>1.0</v>
      </c>
      <c r="AW200" s="9"/>
      <c r="AZ200" s="177" t="s">
        <v>6364</v>
      </c>
      <c r="BA200" s="10"/>
      <c r="BD200" s="10"/>
      <c r="BE200" s="10"/>
      <c r="BF200" s="10"/>
      <c r="BG200" s="10"/>
      <c r="BH200" s="10"/>
      <c r="BI200" s="10"/>
      <c r="BJ200" s="10"/>
      <c r="BK200" s="10"/>
      <c r="BO200" s="10"/>
      <c r="BR200" s="10"/>
      <c r="BS200" s="10"/>
      <c r="BT200" s="10"/>
      <c r="BV200" s="10"/>
      <c r="BW200" s="10"/>
    </row>
    <row r="201">
      <c r="A201" s="10"/>
      <c r="B201" s="2" t="s">
        <v>342</v>
      </c>
      <c r="C201" s="9">
        <v>1.0</v>
      </c>
      <c r="D201" s="36"/>
      <c r="E201" s="10"/>
      <c r="F201" s="69" t="s">
        <v>6365</v>
      </c>
      <c r="G201" s="10"/>
      <c r="H201" s="10"/>
      <c r="J201" s="10"/>
      <c r="K201" s="10"/>
      <c r="L201" s="10"/>
      <c r="N201" s="69" t="s">
        <v>6223</v>
      </c>
      <c r="O201" s="98">
        <v>1977.0</v>
      </c>
      <c r="P201" s="183" t="s">
        <v>6366</v>
      </c>
      <c r="V201" s="10"/>
      <c r="W201" s="10"/>
      <c r="X201" s="34" t="s">
        <v>2933</v>
      </c>
      <c r="Y201" s="34" t="s">
        <v>2933</v>
      </c>
      <c r="Z201" s="9" t="s">
        <v>6367</v>
      </c>
      <c r="AA201" s="9" t="s">
        <v>6368</v>
      </c>
      <c r="AB201" s="10"/>
      <c r="AC201" s="10"/>
      <c r="AD201" s="9" t="s">
        <v>3397</v>
      </c>
      <c r="AE201" s="10"/>
      <c r="AF201" s="10"/>
      <c r="AG201" s="10"/>
      <c r="AH201" s="6" t="s">
        <v>6183</v>
      </c>
      <c r="AI201" s="10"/>
      <c r="AJ201" s="10"/>
      <c r="AK201" s="10"/>
      <c r="AL201" s="10"/>
      <c r="AM201" s="10"/>
      <c r="AN201" s="10"/>
      <c r="AO201" s="10"/>
      <c r="AQ201" s="9">
        <v>0.0</v>
      </c>
      <c r="AS201" s="9">
        <v>0.0</v>
      </c>
      <c r="AU201" s="9">
        <v>0.0</v>
      </c>
      <c r="AV201" s="98">
        <v>1.0</v>
      </c>
      <c r="AW201" s="9" t="s">
        <v>6219</v>
      </c>
      <c r="AX201" s="9">
        <v>0.0</v>
      </c>
      <c r="AZ201" s="177" t="s">
        <v>6369</v>
      </c>
      <c r="BA201" s="10"/>
      <c r="BD201" s="10"/>
      <c r="BE201" s="10"/>
      <c r="BF201" s="10"/>
      <c r="BG201" s="10"/>
      <c r="BH201" s="10"/>
      <c r="BI201" s="10"/>
      <c r="BJ201" s="10"/>
      <c r="BK201" s="10"/>
      <c r="BS201" s="10"/>
      <c r="BT201" s="10"/>
      <c r="BV201" s="10"/>
      <c r="BW201" s="10"/>
    </row>
    <row r="202">
      <c r="A202" s="10"/>
      <c r="B202" s="2" t="s">
        <v>342</v>
      </c>
      <c r="C202" s="9">
        <v>0.0</v>
      </c>
      <c r="D202" s="36"/>
      <c r="E202" s="10"/>
      <c r="F202" s="69" t="s">
        <v>6359</v>
      </c>
      <c r="G202" s="10"/>
      <c r="H202" s="10"/>
      <c r="J202" s="10"/>
      <c r="K202" s="10"/>
      <c r="L202" s="10"/>
      <c r="N202" s="69" t="s">
        <v>6370</v>
      </c>
      <c r="O202" s="98">
        <v>1980.0</v>
      </c>
      <c r="P202" s="183" t="s">
        <v>6371</v>
      </c>
      <c r="V202" s="10"/>
      <c r="W202" s="10"/>
      <c r="X202" s="34" t="s">
        <v>6372</v>
      </c>
      <c r="Y202" s="10"/>
      <c r="Z202" s="10"/>
      <c r="AA202" s="10"/>
      <c r="AB202" s="10"/>
      <c r="AC202" s="10"/>
      <c r="AD202" s="10"/>
      <c r="AE202" s="10"/>
      <c r="AF202" s="10"/>
      <c r="AG202" s="10"/>
      <c r="AH202" s="9" t="s">
        <v>6282</v>
      </c>
      <c r="AI202" s="10"/>
      <c r="AJ202" s="10"/>
      <c r="AK202" s="10"/>
      <c r="AL202" s="10"/>
      <c r="AM202" s="10"/>
      <c r="AN202" s="10"/>
      <c r="AO202" s="10"/>
      <c r="AV202" s="98">
        <v>1.0</v>
      </c>
      <c r="AW202" s="9" t="s">
        <v>6373</v>
      </c>
      <c r="AZ202" s="177" t="s">
        <v>6374</v>
      </c>
      <c r="BA202" s="10"/>
      <c r="BD202" s="10"/>
      <c r="BE202" s="10"/>
      <c r="BF202" s="10"/>
      <c r="BG202" s="10"/>
      <c r="BH202" s="10"/>
      <c r="BI202" s="10"/>
      <c r="BJ202" s="10"/>
      <c r="BK202" s="10"/>
      <c r="BS202" s="10"/>
      <c r="BT202" s="10"/>
      <c r="BV202" s="10"/>
      <c r="BW202" s="10"/>
    </row>
    <row r="203">
      <c r="A203" s="10"/>
      <c r="B203" s="2" t="s">
        <v>342</v>
      </c>
      <c r="C203" s="9">
        <v>1.0</v>
      </c>
      <c r="D203" s="36"/>
      <c r="E203" s="10"/>
      <c r="F203" s="69" t="s">
        <v>6365</v>
      </c>
      <c r="G203" s="10"/>
      <c r="H203" s="10"/>
      <c r="J203" s="10"/>
      <c r="K203" s="10"/>
      <c r="L203" s="10"/>
      <c r="N203" s="35" t="s">
        <v>6134</v>
      </c>
      <c r="O203" s="98">
        <v>1981.0</v>
      </c>
      <c r="P203" s="183" t="s">
        <v>6135</v>
      </c>
      <c r="V203" s="10"/>
      <c r="W203" s="10"/>
      <c r="X203" s="34" t="s">
        <v>2933</v>
      </c>
      <c r="Y203" s="34" t="s">
        <v>2933</v>
      </c>
      <c r="Z203" s="10"/>
      <c r="AA203" s="9" t="s">
        <v>6375</v>
      </c>
      <c r="AB203" s="10"/>
      <c r="AC203" s="10"/>
      <c r="AD203" s="9" t="s">
        <v>3397</v>
      </c>
      <c r="AE203" s="10"/>
      <c r="AF203" s="10"/>
      <c r="AG203" s="10"/>
      <c r="AH203" s="9" t="s">
        <v>6136</v>
      </c>
      <c r="AI203" s="10"/>
      <c r="AJ203" s="10"/>
      <c r="AK203" s="10"/>
      <c r="AL203" s="10"/>
      <c r="AM203" s="10"/>
      <c r="AN203" s="10"/>
      <c r="AO203" s="10"/>
      <c r="AQ203" s="9">
        <v>0.0</v>
      </c>
      <c r="AS203" s="9">
        <v>0.0</v>
      </c>
      <c r="AU203" s="9">
        <v>0.0</v>
      </c>
      <c r="AV203" s="98">
        <v>1.0</v>
      </c>
      <c r="AW203" s="9" t="s">
        <v>6187</v>
      </c>
      <c r="AX203" s="9">
        <v>0.0</v>
      </c>
      <c r="AZ203" s="177" t="s">
        <v>6376</v>
      </c>
      <c r="BA203" s="10"/>
      <c r="BD203" s="10"/>
      <c r="BE203" s="10"/>
      <c r="BF203" s="10"/>
      <c r="BG203" s="10"/>
      <c r="BH203" s="10"/>
      <c r="BI203" s="10"/>
      <c r="BJ203" s="10"/>
      <c r="BK203" s="10"/>
      <c r="BS203" s="10"/>
      <c r="BT203" s="10"/>
      <c r="BV203" s="10"/>
      <c r="BW203" s="10"/>
    </row>
    <row r="204">
      <c r="A204" s="10"/>
      <c r="B204" s="2" t="s">
        <v>342</v>
      </c>
      <c r="C204" s="9">
        <v>1.0</v>
      </c>
      <c r="D204" s="36"/>
      <c r="E204" s="10"/>
      <c r="F204" s="69" t="s">
        <v>6365</v>
      </c>
      <c r="G204" s="10"/>
      <c r="H204" s="10"/>
      <c r="J204" s="10"/>
      <c r="K204" s="10"/>
      <c r="L204" s="10"/>
      <c r="N204" s="69" t="s">
        <v>6235</v>
      </c>
      <c r="O204" s="98">
        <v>1982.0</v>
      </c>
      <c r="P204" s="183" t="s">
        <v>6236</v>
      </c>
      <c r="T204" s="10"/>
      <c r="U204" s="10"/>
      <c r="V204" s="10"/>
      <c r="W204" s="10"/>
      <c r="X204" s="34" t="s">
        <v>5798</v>
      </c>
      <c r="Y204" s="34" t="s">
        <v>5798</v>
      </c>
      <c r="Z204" s="10"/>
      <c r="AA204" s="9" t="s">
        <v>6377</v>
      </c>
      <c r="AB204" s="10"/>
      <c r="AC204" s="10"/>
      <c r="AD204" s="9" t="s">
        <v>3397</v>
      </c>
      <c r="AE204" s="10"/>
      <c r="AF204" s="10"/>
      <c r="AG204" s="10"/>
      <c r="AH204" s="6" t="s">
        <v>6237</v>
      </c>
      <c r="AI204" s="10"/>
      <c r="AJ204" s="10"/>
      <c r="AK204" s="10"/>
      <c r="AL204" s="10"/>
      <c r="AM204" s="10"/>
      <c r="AN204" s="10"/>
      <c r="AO204" s="10"/>
      <c r="AQ204" s="9">
        <v>0.0</v>
      </c>
      <c r="AS204" s="9">
        <v>0.0</v>
      </c>
      <c r="AU204" s="9">
        <v>0.0</v>
      </c>
      <c r="AV204" s="98">
        <v>1.0</v>
      </c>
      <c r="AW204" s="9" t="s">
        <v>6238</v>
      </c>
      <c r="AX204" s="9">
        <v>0.0</v>
      </c>
      <c r="AZ204" s="177" t="s">
        <v>6378</v>
      </c>
      <c r="BA204" s="10"/>
      <c r="BD204" s="10"/>
      <c r="BE204" s="10"/>
      <c r="BF204" s="10"/>
      <c r="BG204" s="10"/>
      <c r="BH204" s="10"/>
      <c r="BI204" s="10"/>
      <c r="BJ204" s="10"/>
      <c r="BK204" s="10"/>
      <c r="BS204" s="10"/>
      <c r="BT204" s="10"/>
      <c r="BV204" s="10"/>
      <c r="BW204" s="10"/>
    </row>
    <row r="205">
      <c r="A205" s="10"/>
      <c r="B205" s="9" t="s">
        <v>342</v>
      </c>
      <c r="C205" s="9">
        <v>1.0</v>
      </c>
      <c r="D205" s="6"/>
      <c r="E205" s="36"/>
      <c r="F205" s="36"/>
      <c r="G205" s="36"/>
      <c r="H205" s="36"/>
      <c r="I205" s="13"/>
      <c r="J205" s="6" t="s">
        <v>6379</v>
      </c>
      <c r="K205" s="6" t="s">
        <v>6380</v>
      </c>
      <c r="L205" s="36"/>
      <c r="M205" s="13"/>
      <c r="N205" s="6" t="s">
        <v>6141</v>
      </c>
      <c r="O205" s="6">
        <v>1984.0</v>
      </c>
      <c r="P205" s="18" t="s">
        <v>6142</v>
      </c>
      <c r="Q205" s="36"/>
      <c r="R205" s="36"/>
      <c r="S205" s="36"/>
      <c r="T205" s="13"/>
      <c r="U205" s="13"/>
      <c r="V205" s="36"/>
      <c r="W205" s="36"/>
      <c r="X205" s="6"/>
      <c r="Y205" s="6"/>
      <c r="Z205" s="36"/>
      <c r="AA205" s="6"/>
      <c r="AB205" s="36"/>
      <c r="AC205" s="36"/>
      <c r="AD205" s="9" t="s">
        <v>3397</v>
      </c>
      <c r="AE205" s="36"/>
      <c r="AF205" s="36"/>
      <c r="AG205" s="36"/>
      <c r="AH205" s="6" t="s">
        <v>6381</v>
      </c>
      <c r="AI205" s="36"/>
      <c r="AJ205" s="36"/>
      <c r="AK205" s="36"/>
      <c r="AL205" s="36"/>
      <c r="AM205" s="36"/>
      <c r="AN205" s="36"/>
      <c r="AO205" s="36"/>
      <c r="AP205" s="13"/>
      <c r="AQ205" s="13"/>
      <c r="AR205" s="13"/>
      <c r="AS205" s="13"/>
      <c r="AT205" s="13"/>
      <c r="AU205" s="13"/>
      <c r="AV205" s="6">
        <v>1.0</v>
      </c>
      <c r="AW205" s="41" t="s">
        <v>6187</v>
      </c>
      <c r="AX205" s="6">
        <v>0.0</v>
      </c>
      <c r="AY205" s="13"/>
      <c r="AZ205" s="13"/>
      <c r="BA205" s="36"/>
      <c r="BD205" s="10"/>
      <c r="BE205" s="10"/>
      <c r="BF205" s="10"/>
      <c r="BG205" s="10"/>
      <c r="BH205" s="10"/>
      <c r="BI205" s="10"/>
      <c r="BJ205" s="10"/>
      <c r="BK205" s="10"/>
      <c r="BM205" s="10"/>
      <c r="BN205" s="10"/>
      <c r="BO205" s="10"/>
      <c r="BR205" s="10"/>
      <c r="BS205" s="10"/>
      <c r="BT205" s="10"/>
      <c r="BU205" s="10"/>
      <c r="BV205" s="10"/>
      <c r="BW205" s="10"/>
    </row>
    <row r="206">
      <c r="A206" s="10"/>
      <c r="B206" s="9" t="s">
        <v>342</v>
      </c>
      <c r="C206" s="9">
        <v>0.0</v>
      </c>
      <c r="D206" s="36"/>
      <c r="E206" s="36"/>
      <c r="F206" s="36"/>
      <c r="G206" s="36"/>
      <c r="H206" s="36"/>
      <c r="I206" s="13"/>
      <c r="J206" s="36"/>
      <c r="K206" s="36"/>
      <c r="L206" s="36"/>
      <c r="M206" s="13"/>
      <c r="N206" s="6" t="s">
        <v>6382</v>
      </c>
      <c r="O206" s="6">
        <v>1987.0</v>
      </c>
      <c r="P206" s="18" t="s">
        <v>6383</v>
      </c>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13"/>
      <c r="AQ206" s="13"/>
      <c r="AR206" s="13"/>
      <c r="AS206" s="13"/>
      <c r="AT206" s="13"/>
      <c r="AU206" s="13"/>
      <c r="AV206" s="13"/>
      <c r="AW206" s="6"/>
      <c r="AX206" s="13"/>
      <c r="AY206" s="13"/>
      <c r="AZ206" s="13"/>
      <c r="BA206" s="36"/>
      <c r="BD206" s="10"/>
      <c r="BE206" s="10"/>
      <c r="BF206" s="10"/>
      <c r="BG206" s="10"/>
      <c r="BH206" s="10"/>
      <c r="BI206" s="10"/>
      <c r="BJ206" s="10"/>
      <c r="BK206" s="10"/>
      <c r="BL206" s="10"/>
      <c r="BM206" s="10"/>
      <c r="BN206" s="10"/>
      <c r="BO206" s="10"/>
      <c r="BP206" s="10"/>
      <c r="BQ206" s="10"/>
      <c r="BR206" s="10"/>
      <c r="BS206" s="10"/>
      <c r="BT206" s="10"/>
      <c r="BV206" s="10"/>
      <c r="BW206" s="10"/>
    </row>
    <row r="207">
      <c r="A207" s="10"/>
      <c r="B207" s="9" t="s">
        <v>342</v>
      </c>
      <c r="C207" s="9">
        <v>0.0</v>
      </c>
      <c r="D207" s="36"/>
      <c r="E207" s="36"/>
      <c r="F207" s="36"/>
      <c r="G207" s="36"/>
      <c r="H207" s="36"/>
      <c r="I207" s="13"/>
      <c r="J207" s="9" t="s">
        <v>6384</v>
      </c>
      <c r="K207" s="6" t="s">
        <v>6385</v>
      </c>
      <c r="L207" s="36"/>
      <c r="M207" s="13"/>
      <c r="N207" s="6" t="s">
        <v>6386</v>
      </c>
      <c r="O207" s="6">
        <v>1989.0</v>
      </c>
      <c r="P207" s="19" t="s">
        <v>6387</v>
      </c>
      <c r="Q207" s="36"/>
      <c r="R207" s="36"/>
      <c r="S207" s="13"/>
      <c r="T207" s="36"/>
      <c r="U207" s="36"/>
      <c r="V207" s="36"/>
      <c r="W207" s="36"/>
      <c r="X207" s="34"/>
      <c r="Y207" s="34"/>
      <c r="Z207" s="36"/>
      <c r="AA207" s="6"/>
      <c r="AB207" s="36"/>
      <c r="AC207" s="36"/>
      <c r="AD207" s="36"/>
      <c r="AE207" s="36"/>
      <c r="AF207" s="36"/>
      <c r="AG207" s="36"/>
      <c r="AH207" s="6" t="s">
        <v>6388</v>
      </c>
      <c r="AI207" s="36"/>
      <c r="AJ207" s="36"/>
      <c r="AK207" s="36"/>
      <c r="AL207" s="36"/>
      <c r="AM207" s="36"/>
      <c r="AN207" s="36"/>
      <c r="AO207" s="36"/>
      <c r="AP207" s="13"/>
      <c r="AQ207" s="13"/>
      <c r="AR207" s="13"/>
      <c r="AS207" s="13"/>
      <c r="AT207" s="13"/>
      <c r="AU207" s="13"/>
      <c r="AV207" s="13"/>
      <c r="AW207" s="41" t="s">
        <v>6389</v>
      </c>
      <c r="AX207" s="13"/>
      <c r="AY207" s="13"/>
      <c r="AZ207" s="13"/>
      <c r="BA207" s="36"/>
      <c r="BD207" s="10"/>
      <c r="BE207" s="10"/>
      <c r="BF207" s="10"/>
      <c r="BG207" s="10"/>
      <c r="BH207" s="10"/>
      <c r="BI207" s="10"/>
      <c r="BJ207" s="10"/>
      <c r="BK207" s="10"/>
      <c r="BM207" s="10"/>
      <c r="BN207" s="10"/>
      <c r="BO207" s="10"/>
      <c r="BP207" s="10"/>
      <c r="BQ207" s="10"/>
      <c r="BR207" s="10"/>
      <c r="BS207" s="10"/>
      <c r="BT207" s="10"/>
      <c r="BV207" s="10"/>
      <c r="BW207" s="10"/>
    </row>
    <row r="208">
      <c r="A208" s="10"/>
      <c r="B208" s="9" t="s">
        <v>342</v>
      </c>
      <c r="C208" s="9">
        <v>1.0</v>
      </c>
      <c r="D208" s="36"/>
      <c r="E208" s="36"/>
      <c r="F208" s="36"/>
      <c r="G208" s="36"/>
      <c r="H208" s="36"/>
      <c r="I208" s="13"/>
      <c r="J208" s="13"/>
      <c r="K208" s="36"/>
      <c r="L208" s="36"/>
      <c r="M208" s="13"/>
      <c r="N208" s="6" t="s">
        <v>6386</v>
      </c>
      <c r="O208" s="6">
        <v>1992.0</v>
      </c>
      <c r="P208" s="19" t="s">
        <v>6390</v>
      </c>
      <c r="Q208" s="36"/>
      <c r="R208" s="36"/>
      <c r="S208" s="13"/>
      <c r="T208" s="36"/>
      <c r="U208" s="36"/>
      <c r="V208" s="36"/>
      <c r="W208" s="36"/>
      <c r="X208" s="34" t="s">
        <v>2933</v>
      </c>
      <c r="Y208" s="34" t="s">
        <v>2933</v>
      </c>
      <c r="Z208" s="36"/>
      <c r="AA208" s="6" t="s">
        <v>6391</v>
      </c>
      <c r="AB208" s="36"/>
      <c r="AC208" s="36"/>
      <c r="AD208" s="9" t="s">
        <v>3397</v>
      </c>
      <c r="AE208" s="36"/>
      <c r="AF208" s="36"/>
      <c r="AG208" s="36"/>
      <c r="AH208" s="6" t="s">
        <v>6392</v>
      </c>
      <c r="AI208" s="36"/>
      <c r="AJ208" s="36"/>
      <c r="AK208" s="36"/>
      <c r="AL208" s="36"/>
      <c r="AM208" s="36"/>
      <c r="AN208" s="36"/>
      <c r="AO208" s="36"/>
      <c r="AP208" s="13"/>
      <c r="AQ208" s="6">
        <v>0.0</v>
      </c>
      <c r="AR208" s="13"/>
      <c r="AS208" s="6">
        <v>0.0</v>
      </c>
      <c r="AT208" s="13"/>
      <c r="AU208" s="6">
        <v>0.0</v>
      </c>
      <c r="AV208" s="6">
        <v>1.0</v>
      </c>
      <c r="AW208" s="41" t="s">
        <v>6393</v>
      </c>
      <c r="AX208" s="6">
        <v>0.0</v>
      </c>
      <c r="AY208" s="13"/>
      <c r="AZ208" s="13"/>
      <c r="BA208" s="36"/>
      <c r="BD208" s="10"/>
      <c r="BE208" s="10"/>
      <c r="BF208" s="10"/>
      <c r="BG208" s="10"/>
      <c r="BH208" s="10"/>
      <c r="BI208" s="10"/>
      <c r="BJ208" s="10"/>
      <c r="BK208" s="10"/>
      <c r="BM208" s="10"/>
      <c r="BN208" s="10"/>
      <c r="BO208" s="10"/>
      <c r="BP208" s="10"/>
      <c r="BQ208" s="10"/>
      <c r="BR208" s="10"/>
      <c r="BS208" s="10"/>
      <c r="BT208" s="10"/>
      <c r="BV208" s="10"/>
      <c r="BW208" s="10"/>
    </row>
    <row r="209">
      <c r="A209" s="10"/>
      <c r="B209" s="9" t="s">
        <v>342</v>
      </c>
      <c r="C209" s="9">
        <v>1.0</v>
      </c>
      <c r="D209" s="36"/>
      <c r="E209" s="36"/>
      <c r="F209" s="36"/>
      <c r="G209" s="36"/>
      <c r="H209" s="36"/>
      <c r="I209" s="13"/>
      <c r="J209" s="13"/>
      <c r="K209" s="36"/>
      <c r="L209" s="36"/>
      <c r="M209" s="13"/>
      <c r="N209" s="6" t="s">
        <v>6394</v>
      </c>
      <c r="O209" s="6">
        <v>1992.0</v>
      </c>
      <c r="P209" s="18" t="s">
        <v>6395</v>
      </c>
      <c r="Q209" s="13"/>
      <c r="R209" s="13"/>
      <c r="S209" s="13"/>
      <c r="T209" s="36"/>
      <c r="U209" s="36"/>
      <c r="V209" s="36"/>
      <c r="W209" s="36"/>
      <c r="X209" s="6" t="s">
        <v>2933</v>
      </c>
      <c r="Y209" s="6" t="s">
        <v>2933</v>
      </c>
      <c r="Z209" s="36"/>
      <c r="AA209" s="6" t="s">
        <v>6396</v>
      </c>
      <c r="AB209" s="36"/>
      <c r="AC209" s="36"/>
      <c r="AD209" s="6" t="s">
        <v>6397</v>
      </c>
      <c r="AE209" s="36"/>
      <c r="AF209" s="36"/>
      <c r="AG209" s="36"/>
      <c r="AH209" s="6" t="s">
        <v>6392</v>
      </c>
      <c r="AI209" s="36"/>
      <c r="AJ209" s="36"/>
      <c r="AK209" s="36"/>
      <c r="AL209" s="36"/>
      <c r="AM209" s="36"/>
      <c r="AN209" s="36"/>
      <c r="AO209" s="36"/>
      <c r="AP209" s="13"/>
      <c r="AQ209" s="6">
        <v>0.0</v>
      </c>
      <c r="AR209" s="13"/>
      <c r="AS209" s="6">
        <v>0.0</v>
      </c>
      <c r="AT209" s="13"/>
      <c r="AU209" s="6">
        <v>0.0</v>
      </c>
      <c r="AV209" s="6">
        <v>1.0</v>
      </c>
      <c r="AW209" s="99"/>
      <c r="AX209" s="6">
        <v>0.0</v>
      </c>
      <c r="AY209" s="13"/>
      <c r="AZ209" s="13"/>
      <c r="BA209" s="36"/>
      <c r="BD209" s="10"/>
      <c r="BE209" s="10"/>
      <c r="BF209" s="10"/>
      <c r="BG209" s="10"/>
      <c r="BH209" s="10"/>
      <c r="BI209" s="10"/>
      <c r="BJ209" s="10"/>
      <c r="BK209" s="10"/>
      <c r="BT209" s="10"/>
      <c r="BV209" s="10"/>
      <c r="BW209" s="10"/>
    </row>
    <row r="210">
      <c r="A210" s="10"/>
      <c r="B210" s="9" t="s">
        <v>342</v>
      </c>
      <c r="C210" s="9">
        <v>1.0</v>
      </c>
      <c r="D210" s="36"/>
      <c r="E210" s="36"/>
      <c r="F210" s="36"/>
      <c r="G210" s="36"/>
      <c r="H210" s="36"/>
      <c r="I210" s="13"/>
      <c r="J210" s="13"/>
      <c r="K210" s="36"/>
      <c r="L210" s="36"/>
      <c r="M210" s="13"/>
      <c r="N210" s="6" t="s">
        <v>6394</v>
      </c>
      <c r="O210" s="6">
        <v>1992.0</v>
      </c>
      <c r="P210" s="18" t="s">
        <v>6395</v>
      </c>
      <c r="Q210" s="13"/>
      <c r="R210" s="13"/>
      <c r="S210" s="13"/>
      <c r="T210" s="36"/>
      <c r="U210" s="36"/>
      <c r="V210" s="36"/>
      <c r="W210" s="36"/>
      <c r="X210" s="6" t="s">
        <v>6398</v>
      </c>
      <c r="Y210" s="6" t="s">
        <v>6398</v>
      </c>
      <c r="Z210" s="36"/>
      <c r="AA210" s="6" t="s">
        <v>6396</v>
      </c>
      <c r="AB210" s="36"/>
      <c r="AC210" s="36"/>
      <c r="AD210" s="6" t="s">
        <v>6397</v>
      </c>
      <c r="AE210" s="36"/>
      <c r="AF210" s="36"/>
      <c r="AG210" s="36"/>
      <c r="AH210" s="6" t="s">
        <v>6399</v>
      </c>
      <c r="AI210" s="36"/>
      <c r="AJ210" s="36"/>
      <c r="AK210" s="36"/>
      <c r="AL210" s="36"/>
      <c r="AM210" s="36"/>
      <c r="AN210" s="36"/>
      <c r="AO210" s="36"/>
      <c r="AP210" s="13"/>
      <c r="AQ210" s="6">
        <v>0.0</v>
      </c>
      <c r="AR210" s="13"/>
      <c r="AS210" s="6">
        <v>0.0</v>
      </c>
      <c r="AT210" s="13"/>
      <c r="AU210" s="6">
        <v>0.0</v>
      </c>
      <c r="AV210" s="6">
        <v>1.0</v>
      </c>
      <c r="AW210" s="99"/>
      <c r="AX210" s="6">
        <v>0.0</v>
      </c>
      <c r="AY210" s="13"/>
      <c r="AZ210" s="13"/>
      <c r="BA210" s="36"/>
      <c r="BD210" s="10"/>
      <c r="BE210" s="10"/>
      <c r="BF210" s="10"/>
      <c r="BG210" s="10"/>
      <c r="BH210" s="10"/>
      <c r="BI210" s="10"/>
      <c r="BJ210" s="10"/>
      <c r="BK210" s="10"/>
      <c r="BT210" s="10"/>
      <c r="BV210" s="10"/>
      <c r="BW210" s="10"/>
    </row>
    <row r="211">
      <c r="A211" s="10"/>
      <c r="B211" s="9" t="s">
        <v>342</v>
      </c>
      <c r="C211" s="9">
        <v>1.0</v>
      </c>
      <c r="D211" s="36"/>
      <c r="E211" s="36"/>
      <c r="F211" s="36"/>
      <c r="G211" s="36"/>
      <c r="H211" s="36"/>
      <c r="I211" s="13"/>
      <c r="J211" s="13"/>
      <c r="K211" s="36"/>
      <c r="L211" s="36"/>
      <c r="M211" s="13"/>
      <c r="N211" s="6" t="s">
        <v>6394</v>
      </c>
      <c r="O211" s="6">
        <v>1992.0</v>
      </c>
      <c r="P211" s="18" t="s">
        <v>6395</v>
      </c>
      <c r="Q211" s="13"/>
      <c r="R211" s="13"/>
      <c r="S211" s="13"/>
      <c r="T211" s="36"/>
      <c r="U211" s="36"/>
      <c r="V211" s="36"/>
      <c r="W211" s="36"/>
      <c r="X211" s="6" t="s">
        <v>2382</v>
      </c>
      <c r="Y211" s="6" t="s">
        <v>2382</v>
      </c>
      <c r="Z211" s="36"/>
      <c r="AA211" s="6" t="s">
        <v>834</v>
      </c>
      <c r="AB211" s="36"/>
      <c r="AC211" s="36"/>
      <c r="AD211" s="6" t="s">
        <v>6397</v>
      </c>
      <c r="AE211" s="36"/>
      <c r="AF211" s="36"/>
      <c r="AG211" s="36"/>
      <c r="AH211" s="6" t="s">
        <v>6399</v>
      </c>
      <c r="AI211" s="36"/>
      <c r="AJ211" s="36"/>
      <c r="AK211" s="36"/>
      <c r="AL211" s="36"/>
      <c r="AM211" s="36"/>
      <c r="AN211" s="36"/>
      <c r="AO211" s="36"/>
      <c r="AP211" s="13"/>
      <c r="AQ211" s="6">
        <v>1.0</v>
      </c>
      <c r="AR211" s="13"/>
      <c r="AS211" s="13"/>
      <c r="AT211" s="13"/>
      <c r="AU211" s="13"/>
      <c r="AV211" s="6">
        <v>1.0</v>
      </c>
      <c r="AW211" s="41" t="s">
        <v>6187</v>
      </c>
      <c r="AX211" s="6">
        <v>0.0</v>
      </c>
      <c r="AY211" s="13"/>
      <c r="AZ211" s="13"/>
      <c r="BA211" s="36"/>
      <c r="BD211" s="10"/>
      <c r="BE211" s="10"/>
      <c r="BF211" s="10"/>
      <c r="BG211" s="10"/>
      <c r="BH211" s="10"/>
      <c r="BI211" s="10"/>
      <c r="BJ211" s="10"/>
      <c r="BK211" s="10"/>
      <c r="BT211" s="10"/>
      <c r="BV211" s="10"/>
      <c r="BW211" s="10"/>
    </row>
    <row r="212">
      <c r="A212" s="10"/>
      <c r="B212" s="9" t="s">
        <v>342</v>
      </c>
      <c r="C212" s="9">
        <v>0.0</v>
      </c>
      <c r="D212" s="36"/>
      <c r="E212" s="36"/>
      <c r="F212" s="36"/>
      <c r="G212" s="36"/>
      <c r="H212" s="36"/>
      <c r="I212" s="13"/>
      <c r="J212" s="13"/>
      <c r="K212" s="36"/>
      <c r="L212" s="36"/>
      <c r="M212" s="13"/>
      <c r="N212" s="6" t="s">
        <v>6400</v>
      </c>
      <c r="O212" s="6">
        <v>1997.0</v>
      </c>
      <c r="P212" s="18" t="s">
        <v>6401</v>
      </c>
      <c r="Q212" s="13"/>
      <c r="R212" s="13"/>
      <c r="S212" s="13"/>
      <c r="T212" s="13"/>
      <c r="U212" s="36"/>
      <c r="V212" s="36"/>
      <c r="W212" s="36"/>
      <c r="X212" s="13"/>
      <c r="Y212" s="36"/>
      <c r="Z212" s="36"/>
      <c r="AA212" s="36"/>
      <c r="AB212" s="36"/>
      <c r="AC212" s="36"/>
      <c r="AD212" s="36"/>
      <c r="AE212" s="36"/>
      <c r="AF212" s="36"/>
      <c r="AG212" s="36"/>
      <c r="AH212" s="36"/>
      <c r="AI212" s="36"/>
      <c r="AJ212" s="36"/>
      <c r="AK212" s="36"/>
      <c r="AL212" s="36"/>
      <c r="AM212" s="36"/>
      <c r="AN212" s="36"/>
      <c r="AO212" s="36"/>
      <c r="AP212" s="13"/>
      <c r="AQ212" s="13"/>
      <c r="AR212" s="13"/>
      <c r="AS212" s="13"/>
      <c r="AT212" s="13"/>
      <c r="AU212" s="13"/>
      <c r="AV212" s="13"/>
      <c r="AW212" s="99"/>
      <c r="AX212" s="13"/>
      <c r="AY212" s="13"/>
      <c r="AZ212" s="13"/>
      <c r="BA212" s="36"/>
      <c r="BD212" s="10"/>
      <c r="BE212" s="10"/>
      <c r="BF212" s="10"/>
      <c r="BG212" s="10"/>
      <c r="BH212" s="10"/>
      <c r="BI212" s="10"/>
      <c r="BJ212" s="10"/>
      <c r="BT212" s="10"/>
      <c r="BV212" s="10"/>
      <c r="BW212" s="10"/>
    </row>
    <row r="213">
      <c r="A213" s="10"/>
      <c r="B213" s="9" t="s">
        <v>342</v>
      </c>
      <c r="C213" s="9">
        <v>1.0</v>
      </c>
      <c r="D213" s="36"/>
      <c r="E213" s="36"/>
      <c r="F213" s="36"/>
      <c r="G213" s="36"/>
      <c r="H213" s="36"/>
      <c r="I213" s="13"/>
      <c r="J213" s="36"/>
      <c r="K213" s="36"/>
      <c r="L213" s="36"/>
      <c r="M213" s="13"/>
      <c r="N213" s="6" t="s">
        <v>6386</v>
      </c>
      <c r="O213" s="6">
        <v>1998.0</v>
      </c>
      <c r="P213" s="18" t="s">
        <v>6402</v>
      </c>
      <c r="Q213" s="36"/>
      <c r="R213" s="36"/>
      <c r="S213" s="13"/>
      <c r="T213" s="13"/>
      <c r="U213" s="36"/>
      <c r="V213" s="36"/>
      <c r="W213" s="36"/>
      <c r="X213" s="34" t="s">
        <v>2933</v>
      </c>
      <c r="Y213" s="34" t="s">
        <v>2933</v>
      </c>
      <c r="Z213" s="36"/>
      <c r="AA213" s="6" t="s">
        <v>6403</v>
      </c>
      <c r="AB213" s="36"/>
      <c r="AC213" s="36"/>
      <c r="AD213" s="9" t="s">
        <v>3397</v>
      </c>
      <c r="AE213" s="36"/>
      <c r="AF213" s="36"/>
      <c r="AG213" s="36"/>
      <c r="AH213" s="6" t="s">
        <v>6392</v>
      </c>
      <c r="AI213" s="36"/>
      <c r="AJ213" s="36"/>
      <c r="AK213" s="36"/>
      <c r="AL213" s="36"/>
      <c r="AM213" s="36"/>
      <c r="AN213" s="36"/>
      <c r="AO213" s="36"/>
      <c r="AP213" s="13"/>
      <c r="AQ213" s="6">
        <v>0.0</v>
      </c>
      <c r="AR213" s="13"/>
      <c r="AS213" s="6">
        <v>0.0</v>
      </c>
      <c r="AT213" s="13"/>
      <c r="AU213" s="6">
        <v>0.0</v>
      </c>
      <c r="AV213" s="6">
        <v>1.0</v>
      </c>
      <c r="AW213" s="41" t="s">
        <v>6404</v>
      </c>
      <c r="AX213" s="6">
        <v>0.0</v>
      </c>
      <c r="AY213" s="13"/>
      <c r="AZ213" s="13"/>
      <c r="BA213" s="36"/>
      <c r="BD213" s="10"/>
      <c r="BE213" s="10"/>
      <c r="BF213" s="10"/>
      <c r="BG213" s="10"/>
      <c r="BH213" s="10"/>
      <c r="BI213" s="10"/>
      <c r="BJ213" s="10"/>
      <c r="BK213" s="10"/>
      <c r="BM213" s="10"/>
      <c r="BN213" s="10"/>
      <c r="BO213" s="10"/>
      <c r="BP213" s="10"/>
      <c r="BQ213" s="10"/>
      <c r="BR213" s="10"/>
      <c r="BS213" s="10"/>
      <c r="BT213" s="10"/>
      <c r="BV213" s="10"/>
      <c r="BW213" s="10"/>
    </row>
    <row r="214">
      <c r="A214" s="10"/>
      <c r="B214" s="9" t="s">
        <v>342</v>
      </c>
      <c r="C214" s="9">
        <v>1.0</v>
      </c>
      <c r="D214" s="36"/>
      <c r="E214" s="36"/>
      <c r="F214" s="36"/>
      <c r="G214" s="36"/>
      <c r="H214" s="36"/>
      <c r="I214" s="13"/>
      <c r="J214" s="13"/>
      <c r="K214" s="36"/>
      <c r="L214" s="36"/>
      <c r="M214" s="13"/>
      <c r="N214" s="6" t="s">
        <v>6386</v>
      </c>
      <c r="O214" s="6">
        <v>2004.0</v>
      </c>
      <c r="P214" s="18" t="s">
        <v>6405</v>
      </c>
      <c r="Q214" s="13"/>
      <c r="R214" s="13"/>
      <c r="S214" s="13"/>
      <c r="T214" s="13"/>
      <c r="U214" s="36"/>
      <c r="V214" s="36"/>
      <c r="W214" s="36"/>
      <c r="X214" s="6" t="s">
        <v>6384</v>
      </c>
      <c r="Y214" s="6" t="s">
        <v>6384</v>
      </c>
      <c r="Z214" s="36"/>
      <c r="AA214" s="6" t="s">
        <v>6406</v>
      </c>
      <c r="AB214" s="36"/>
      <c r="AC214" s="36"/>
      <c r="AD214" s="9" t="s">
        <v>3397</v>
      </c>
      <c r="AE214" s="36"/>
      <c r="AF214" s="36"/>
      <c r="AG214" s="36"/>
      <c r="AH214" s="6" t="s">
        <v>6392</v>
      </c>
      <c r="AI214" s="36"/>
      <c r="AJ214" s="36"/>
      <c r="AK214" s="36"/>
      <c r="AL214" s="36"/>
      <c r="AM214" s="36"/>
      <c r="AN214" s="36"/>
      <c r="AO214" s="36"/>
      <c r="AP214" s="13"/>
      <c r="AQ214" s="6">
        <v>0.0</v>
      </c>
      <c r="AR214" s="13"/>
      <c r="AS214" s="6">
        <v>0.0</v>
      </c>
      <c r="AT214" s="13"/>
      <c r="AU214" s="6">
        <v>0.0</v>
      </c>
      <c r="AV214" s="6">
        <v>1.0</v>
      </c>
      <c r="AW214" s="41" t="s">
        <v>6407</v>
      </c>
      <c r="AX214" s="6">
        <v>0.0</v>
      </c>
      <c r="AY214" s="13"/>
      <c r="AZ214" s="13"/>
      <c r="BA214" s="36"/>
      <c r="BD214" s="10"/>
      <c r="BE214" s="10"/>
      <c r="BF214" s="10"/>
      <c r="BG214" s="10"/>
      <c r="BH214" s="10"/>
      <c r="BI214" s="10"/>
      <c r="BJ214" s="10"/>
      <c r="BK214" s="10"/>
      <c r="BS214" s="10"/>
      <c r="BT214" s="10"/>
      <c r="BV214" s="10"/>
      <c r="BW214" s="10"/>
    </row>
    <row r="215">
      <c r="A215" s="10"/>
      <c r="B215" s="9" t="s">
        <v>342</v>
      </c>
      <c r="C215" s="9">
        <v>1.0</v>
      </c>
      <c r="D215" s="6" t="s">
        <v>6408</v>
      </c>
      <c r="E215" s="36"/>
      <c r="F215" s="36"/>
      <c r="G215" s="36"/>
      <c r="H215" s="36"/>
      <c r="I215" s="13"/>
      <c r="J215" s="36"/>
      <c r="K215" s="36"/>
      <c r="L215" s="36"/>
      <c r="M215" s="13"/>
      <c r="N215" s="6" t="s">
        <v>6409</v>
      </c>
      <c r="O215" s="6">
        <v>2005.0</v>
      </c>
      <c r="P215" s="18" t="s">
        <v>6410</v>
      </c>
      <c r="Q215" s="36"/>
      <c r="R215" s="36"/>
      <c r="S215" s="36"/>
      <c r="T215" s="13"/>
      <c r="U215" s="36"/>
      <c r="V215" s="36"/>
      <c r="W215" s="36"/>
      <c r="X215" s="6" t="s">
        <v>6411</v>
      </c>
      <c r="Y215" s="6" t="s">
        <v>6411</v>
      </c>
      <c r="Z215" s="36"/>
      <c r="AA215" s="6" t="s">
        <v>6412</v>
      </c>
      <c r="AB215" s="36"/>
      <c r="AC215" s="36"/>
      <c r="AD215" s="6" t="s">
        <v>6397</v>
      </c>
      <c r="AE215" s="36"/>
      <c r="AF215" s="36"/>
      <c r="AG215" s="36"/>
      <c r="AH215" s="6" t="s">
        <v>6392</v>
      </c>
      <c r="AI215" s="36"/>
      <c r="AJ215" s="36"/>
      <c r="AK215" s="36"/>
      <c r="AL215" s="36"/>
      <c r="AM215" s="36"/>
      <c r="AN215" s="36"/>
      <c r="AO215" s="36"/>
      <c r="AP215" s="13"/>
      <c r="AQ215" s="6">
        <v>0.0</v>
      </c>
      <c r="AR215" s="13"/>
      <c r="AS215" s="6">
        <v>0.0</v>
      </c>
      <c r="AT215" s="13"/>
      <c r="AU215" s="6">
        <v>0.0</v>
      </c>
      <c r="AV215" s="6">
        <v>1.0</v>
      </c>
      <c r="AW215" s="41" t="s">
        <v>3737</v>
      </c>
      <c r="AX215" s="6">
        <v>0.0</v>
      </c>
      <c r="AY215" s="13"/>
      <c r="AZ215" s="36"/>
      <c r="BA215" s="36"/>
      <c r="BD215" s="10"/>
      <c r="BE215" s="10"/>
      <c r="BF215" s="10"/>
      <c r="BG215" s="10"/>
      <c r="BH215" s="10"/>
      <c r="BI215" s="10"/>
      <c r="BJ215" s="10"/>
      <c r="BK215" s="10"/>
      <c r="BL215" s="10"/>
      <c r="BM215" s="10"/>
      <c r="BN215" s="10"/>
      <c r="BO215" s="10"/>
      <c r="BP215" s="10"/>
      <c r="BQ215" s="10"/>
      <c r="BR215" s="10"/>
      <c r="BS215" s="10"/>
      <c r="BT215" s="10"/>
      <c r="BV215" s="10"/>
      <c r="BW215" s="10"/>
    </row>
    <row r="216">
      <c r="A216" s="10"/>
      <c r="B216" s="9" t="s">
        <v>342</v>
      </c>
      <c r="C216" s="9">
        <v>0.0</v>
      </c>
      <c r="D216" s="36"/>
      <c r="E216" s="36"/>
      <c r="F216" s="36"/>
      <c r="G216" s="36"/>
      <c r="H216" s="36"/>
      <c r="I216" s="13"/>
      <c r="J216" s="36"/>
      <c r="K216" s="36"/>
      <c r="L216" s="36"/>
      <c r="M216" s="13"/>
      <c r="N216" s="6" t="s">
        <v>6413</v>
      </c>
      <c r="O216" s="6">
        <v>2008.0</v>
      </c>
      <c r="P216" s="18" t="s">
        <v>6414</v>
      </c>
      <c r="Q216" s="13"/>
      <c r="R216" s="13"/>
      <c r="S216" s="13"/>
      <c r="T216" s="13"/>
      <c r="U216" s="13"/>
      <c r="V216" s="36"/>
      <c r="W216" s="36"/>
      <c r="X216" s="13"/>
      <c r="Y216" s="36"/>
      <c r="Z216" s="36"/>
      <c r="AA216" s="36"/>
      <c r="AB216" s="36"/>
      <c r="AC216" s="36"/>
      <c r="AD216" s="36"/>
      <c r="AE216" s="36"/>
      <c r="AF216" s="36"/>
      <c r="AG216" s="36"/>
      <c r="AH216" s="36"/>
      <c r="AI216" s="36"/>
      <c r="AJ216" s="36"/>
      <c r="AK216" s="36"/>
      <c r="AL216" s="36"/>
      <c r="AM216" s="36"/>
      <c r="AN216" s="36"/>
      <c r="AO216" s="36"/>
      <c r="AP216" s="13"/>
      <c r="AQ216" s="13"/>
      <c r="AR216" s="13"/>
      <c r="AS216" s="13"/>
      <c r="AT216" s="13"/>
      <c r="AU216" s="13"/>
      <c r="AV216" s="13"/>
      <c r="AW216" s="99"/>
      <c r="AX216" s="13"/>
      <c r="AY216" s="13"/>
      <c r="AZ216" s="13"/>
      <c r="BA216" s="36"/>
      <c r="BD216" s="10"/>
      <c r="BE216" s="10"/>
      <c r="BF216" s="10"/>
      <c r="BG216" s="10"/>
      <c r="BH216" s="10"/>
      <c r="BI216" s="10"/>
      <c r="BJ216" s="10"/>
      <c r="BK216" s="10"/>
      <c r="BS216" s="10"/>
      <c r="BT216" s="10"/>
      <c r="BV216" s="10"/>
      <c r="BW216" s="10"/>
    </row>
    <row r="217">
      <c r="A217" s="10"/>
      <c r="B217" s="9" t="s">
        <v>342</v>
      </c>
      <c r="C217" s="9">
        <v>0.0</v>
      </c>
      <c r="D217" s="36"/>
      <c r="E217" s="36"/>
      <c r="F217" s="36"/>
      <c r="G217" s="36"/>
      <c r="H217" s="36"/>
      <c r="I217" s="13"/>
      <c r="J217" s="13"/>
      <c r="K217" s="36"/>
      <c r="L217" s="36"/>
      <c r="M217" s="13"/>
      <c r="N217" s="6" t="s">
        <v>6415</v>
      </c>
      <c r="O217" s="6">
        <v>2010.0</v>
      </c>
      <c r="P217" s="18" t="s">
        <v>6416</v>
      </c>
      <c r="Q217" s="13"/>
      <c r="R217" s="13"/>
      <c r="S217" s="13"/>
      <c r="T217" s="13"/>
      <c r="U217" s="36"/>
      <c r="V217" s="36"/>
      <c r="W217" s="36"/>
      <c r="X217" s="36"/>
      <c r="Y217" s="36"/>
      <c r="Z217" s="36"/>
      <c r="AA217" s="36"/>
      <c r="AB217" s="36"/>
      <c r="AC217" s="36"/>
      <c r="AD217" s="36"/>
      <c r="AE217" s="36"/>
      <c r="AF217" s="36"/>
      <c r="AG217" s="36"/>
      <c r="AH217" s="36"/>
      <c r="AI217" s="36"/>
      <c r="AJ217" s="36"/>
      <c r="AK217" s="36"/>
      <c r="AL217" s="36"/>
      <c r="AM217" s="36"/>
      <c r="AN217" s="36"/>
      <c r="AO217" s="36"/>
      <c r="AP217" s="13"/>
      <c r="AQ217" s="13"/>
      <c r="AR217" s="13"/>
      <c r="AS217" s="13"/>
      <c r="AT217" s="13"/>
      <c r="AU217" s="13"/>
      <c r="AV217" s="13"/>
      <c r="AW217" s="99"/>
      <c r="AX217" s="13"/>
      <c r="AY217" s="13"/>
      <c r="AZ217" s="13"/>
      <c r="BA217" s="36"/>
      <c r="BD217" s="10"/>
      <c r="BE217" s="10"/>
      <c r="BF217" s="10"/>
      <c r="BG217" s="10"/>
      <c r="BH217" s="10"/>
      <c r="BI217" s="10"/>
      <c r="BJ217" s="10"/>
      <c r="BK217" s="10"/>
      <c r="BS217" s="10"/>
      <c r="BT217" s="10"/>
      <c r="BV217" s="10"/>
      <c r="BW217" s="10"/>
    </row>
    <row r="218">
      <c r="A218" s="10"/>
      <c r="B218" s="9" t="s">
        <v>342</v>
      </c>
      <c r="C218" s="9">
        <v>1.0</v>
      </c>
      <c r="D218" s="36"/>
      <c r="E218" s="36"/>
      <c r="F218" s="69" t="s">
        <v>6365</v>
      </c>
      <c r="G218" s="36"/>
      <c r="H218" s="36"/>
      <c r="I218" s="13"/>
      <c r="J218" s="13"/>
      <c r="K218" s="36"/>
      <c r="L218" s="36"/>
      <c r="M218" s="13"/>
      <c r="N218" s="6" t="s">
        <v>6143</v>
      </c>
      <c r="O218" s="6">
        <v>2011.0</v>
      </c>
      <c r="P218" s="18" t="s">
        <v>6144</v>
      </c>
      <c r="Q218" s="36"/>
      <c r="R218" s="36"/>
      <c r="S218" s="36"/>
      <c r="T218" s="13"/>
      <c r="U218" s="13"/>
      <c r="V218" s="36"/>
      <c r="W218" s="36"/>
      <c r="X218" s="6" t="s">
        <v>2933</v>
      </c>
      <c r="Y218" s="6" t="s">
        <v>2933</v>
      </c>
      <c r="Z218" s="36"/>
      <c r="AA218" s="6" t="s">
        <v>6417</v>
      </c>
      <c r="AB218" s="36"/>
      <c r="AC218" s="36"/>
      <c r="AD218" s="6" t="s">
        <v>3397</v>
      </c>
      <c r="AE218" s="36"/>
      <c r="AF218" s="36"/>
      <c r="AG218" s="36"/>
      <c r="AH218" s="6" t="s">
        <v>6418</v>
      </c>
      <c r="AI218" s="36"/>
      <c r="AJ218" s="36"/>
      <c r="AK218" s="36"/>
      <c r="AL218" s="36"/>
      <c r="AM218" s="36"/>
      <c r="AN218" s="36"/>
      <c r="AO218" s="36"/>
      <c r="AP218" s="13"/>
      <c r="AQ218" s="6">
        <v>0.0</v>
      </c>
      <c r="AR218" s="13"/>
      <c r="AS218" s="6">
        <v>0.0</v>
      </c>
      <c r="AT218" s="13"/>
      <c r="AU218" s="6">
        <v>0.0</v>
      </c>
      <c r="AV218" s="6">
        <v>1.0</v>
      </c>
      <c r="AW218" s="41" t="s">
        <v>115</v>
      </c>
      <c r="AX218" s="6">
        <v>0.0</v>
      </c>
      <c r="AY218" s="13"/>
      <c r="AZ218" s="13"/>
      <c r="BA218" s="36"/>
      <c r="BD218" s="10"/>
      <c r="BE218" s="10"/>
      <c r="BF218" s="10"/>
      <c r="BG218" s="10"/>
      <c r="BH218" s="10"/>
      <c r="BI218" s="10"/>
      <c r="BJ218" s="10"/>
      <c r="BK218" s="10"/>
      <c r="BO218" s="10"/>
      <c r="BR218" s="10"/>
      <c r="BS218" s="10"/>
      <c r="BT218" s="10"/>
      <c r="BV218" s="10"/>
      <c r="BW218" s="10"/>
    </row>
    <row r="219">
      <c r="A219" s="10"/>
      <c r="B219" s="9" t="s">
        <v>342</v>
      </c>
      <c r="C219" s="9">
        <v>0.0</v>
      </c>
      <c r="D219" s="36"/>
      <c r="E219" s="36"/>
      <c r="F219" s="36"/>
      <c r="G219" s="36"/>
      <c r="H219" s="36"/>
      <c r="I219" s="13"/>
      <c r="J219" s="36"/>
      <c r="K219" s="36"/>
      <c r="L219" s="36"/>
      <c r="M219" s="13"/>
      <c r="N219" s="6" t="s">
        <v>6419</v>
      </c>
      <c r="O219" s="6">
        <v>2012.0</v>
      </c>
      <c r="P219" s="18" t="s">
        <v>6420</v>
      </c>
      <c r="Q219" s="13"/>
      <c r="R219" s="13"/>
      <c r="S219" s="13"/>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13"/>
      <c r="AQ219" s="13"/>
      <c r="AR219" s="13"/>
      <c r="AS219" s="13"/>
      <c r="AT219" s="13"/>
      <c r="AU219" s="13"/>
      <c r="AV219" s="13"/>
      <c r="AW219" s="99"/>
      <c r="AX219" s="13"/>
      <c r="AY219" s="13"/>
      <c r="AZ219" s="36"/>
      <c r="BA219" s="36"/>
      <c r="BD219" s="10"/>
      <c r="BE219" s="10"/>
      <c r="BF219" s="10"/>
      <c r="BG219" s="10"/>
      <c r="BH219" s="10"/>
      <c r="BI219" s="10"/>
      <c r="BJ219" s="10"/>
      <c r="BK219" s="10"/>
      <c r="BL219" s="10"/>
      <c r="BO219" s="10"/>
      <c r="BR219" s="10"/>
      <c r="BS219" s="10"/>
      <c r="BT219" s="10"/>
      <c r="BV219" s="10"/>
      <c r="BW219" s="10"/>
    </row>
    <row r="220">
      <c r="A220" s="10"/>
      <c r="B220" s="9" t="s">
        <v>342</v>
      </c>
      <c r="C220" s="9">
        <v>0.0</v>
      </c>
      <c r="D220" s="36"/>
      <c r="E220" s="36"/>
      <c r="F220" s="36"/>
      <c r="G220" s="36"/>
      <c r="H220" s="36"/>
      <c r="I220" s="13"/>
      <c r="J220" s="13"/>
      <c r="K220" s="36"/>
      <c r="L220" s="36"/>
      <c r="M220" s="13"/>
      <c r="N220" s="6" t="s">
        <v>6421</v>
      </c>
      <c r="O220" s="6">
        <v>2013.0</v>
      </c>
      <c r="P220" s="18" t="s">
        <v>6422</v>
      </c>
      <c r="Q220" s="36"/>
      <c r="R220" s="36"/>
      <c r="S220" s="36"/>
      <c r="T220" s="13"/>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13"/>
      <c r="AT220" s="13"/>
      <c r="AU220" s="13"/>
      <c r="AV220" s="13"/>
      <c r="AW220" s="99"/>
      <c r="AX220" s="13"/>
      <c r="AY220" s="13"/>
      <c r="AZ220" s="13"/>
      <c r="BA220" s="36"/>
      <c r="BD220" s="10"/>
      <c r="BE220" s="10"/>
      <c r="BF220" s="10"/>
      <c r="BG220" s="10"/>
      <c r="BH220" s="10"/>
      <c r="BI220" s="10"/>
      <c r="BJ220" s="10"/>
      <c r="BK220" s="10"/>
      <c r="BT220" s="10"/>
      <c r="BV220" s="10"/>
      <c r="BW220" s="10"/>
    </row>
    <row r="221">
      <c r="A221" s="10"/>
      <c r="B221" s="9" t="s">
        <v>342</v>
      </c>
      <c r="C221" s="9">
        <v>0.0</v>
      </c>
      <c r="D221" s="36"/>
      <c r="E221" s="36"/>
      <c r="F221" s="36"/>
      <c r="G221" s="36"/>
      <c r="H221" s="36"/>
      <c r="I221" s="13"/>
      <c r="J221" s="13"/>
      <c r="K221" s="36"/>
      <c r="L221" s="36"/>
      <c r="M221" s="13"/>
      <c r="N221" s="6" t="s">
        <v>6423</v>
      </c>
      <c r="O221" s="6">
        <v>2013.0</v>
      </c>
      <c r="P221" s="18" t="s">
        <v>6424</v>
      </c>
      <c r="Q221" s="13"/>
      <c r="R221" s="13"/>
      <c r="S221" s="13"/>
      <c r="T221" s="13"/>
      <c r="U221" s="13"/>
      <c r="V221" s="36"/>
      <c r="W221" s="36"/>
      <c r="X221" s="13"/>
      <c r="Y221" s="36"/>
      <c r="Z221" s="36"/>
      <c r="AA221" s="36"/>
      <c r="AB221" s="36"/>
      <c r="AC221" s="36"/>
      <c r="AD221" s="36"/>
      <c r="AE221" s="36"/>
      <c r="AF221" s="36"/>
      <c r="AG221" s="36"/>
      <c r="AH221" s="36"/>
      <c r="AI221" s="36"/>
      <c r="AJ221" s="36"/>
      <c r="AK221" s="36"/>
      <c r="AL221" s="36"/>
      <c r="AM221" s="36"/>
      <c r="AN221" s="36"/>
      <c r="AO221" s="36"/>
      <c r="AP221" s="13"/>
      <c r="AQ221" s="13"/>
      <c r="AR221" s="13"/>
      <c r="AS221" s="13"/>
      <c r="AT221" s="13"/>
      <c r="AU221" s="13"/>
      <c r="AV221" s="13"/>
      <c r="AW221" s="99"/>
      <c r="AX221" s="13"/>
      <c r="AY221" s="13"/>
      <c r="AZ221" s="13"/>
      <c r="BA221" s="36"/>
      <c r="BD221" s="10"/>
      <c r="BE221" s="10"/>
      <c r="BF221" s="10"/>
      <c r="BG221" s="10"/>
      <c r="BH221" s="10"/>
      <c r="BI221" s="10"/>
      <c r="BJ221" s="10"/>
      <c r="BK221" s="10"/>
      <c r="BS221" s="10"/>
      <c r="BT221" s="10"/>
      <c r="BU221" s="10"/>
      <c r="BV221" s="10"/>
      <c r="BW221" s="10"/>
    </row>
    <row r="222">
      <c r="A222" s="10"/>
      <c r="B222" s="9" t="s">
        <v>342</v>
      </c>
      <c r="C222" s="9">
        <v>0.0</v>
      </c>
      <c r="D222" s="36"/>
      <c r="E222" s="36"/>
      <c r="F222" s="36"/>
      <c r="G222" s="36"/>
      <c r="H222" s="36"/>
      <c r="I222" s="13"/>
      <c r="J222" s="13"/>
      <c r="K222" s="36"/>
      <c r="L222" s="36"/>
      <c r="M222" s="13"/>
      <c r="N222" s="6" t="s">
        <v>6425</v>
      </c>
      <c r="O222" s="6">
        <v>2014.0</v>
      </c>
      <c r="P222" s="18" t="s">
        <v>6426</v>
      </c>
      <c r="Q222" s="13"/>
      <c r="R222" s="13"/>
      <c r="S222" s="13"/>
      <c r="T222" s="13"/>
      <c r="U222" s="36"/>
      <c r="V222" s="36"/>
      <c r="W222" s="36"/>
      <c r="X222" s="36"/>
      <c r="Y222" s="36"/>
      <c r="Z222" s="36"/>
      <c r="AA222" s="36"/>
      <c r="AB222" s="36"/>
      <c r="AC222" s="36"/>
      <c r="AD222" s="36"/>
      <c r="AE222" s="36"/>
      <c r="AF222" s="36"/>
      <c r="AG222" s="36"/>
      <c r="AH222" s="36"/>
      <c r="AI222" s="36"/>
      <c r="AJ222" s="36"/>
      <c r="AK222" s="36"/>
      <c r="AL222" s="36"/>
      <c r="AM222" s="36"/>
      <c r="AN222" s="36"/>
      <c r="AO222" s="36"/>
      <c r="AP222" s="13"/>
      <c r="AQ222" s="13"/>
      <c r="AR222" s="13"/>
      <c r="AS222" s="13"/>
      <c r="AT222" s="13"/>
      <c r="AU222" s="13"/>
      <c r="AV222" s="13"/>
      <c r="AW222" s="99"/>
      <c r="AX222" s="13"/>
      <c r="AY222" s="13"/>
      <c r="AZ222" s="13"/>
      <c r="BA222" s="36"/>
      <c r="BD222" s="10"/>
      <c r="BE222" s="10"/>
      <c r="BF222" s="10"/>
      <c r="BG222" s="10"/>
      <c r="BH222" s="10"/>
      <c r="BI222" s="10"/>
      <c r="BJ222" s="10"/>
      <c r="BK222" s="10"/>
      <c r="BL222" s="10"/>
      <c r="BS222" s="10"/>
      <c r="BT222" s="10"/>
      <c r="BV222" s="10"/>
      <c r="BW222" s="10"/>
    </row>
    <row r="223">
      <c r="A223" s="10"/>
      <c r="B223" s="9" t="s">
        <v>342</v>
      </c>
      <c r="C223" s="9">
        <v>0.0</v>
      </c>
      <c r="D223" s="6" t="s">
        <v>6427</v>
      </c>
      <c r="E223" s="36"/>
      <c r="F223" s="36"/>
      <c r="G223" s="36"/>
      <c r="H223" s="36"/>
      <c r="I223" s="13"/>
      <c r="J223" s="13"/>
      <c r="K223" s="36"/>
      <c r="L223" s="36"/>
      <c r="M223" s="13"/>
      <c r="N223" s="6" t="s">
        <v>6428</v>
      </c>
      <c r="O223" s="6">
        <v>2020.0</v>
      </c>
      <c r="P223" s="18" t="s">
        <v>6429</v>
      </c>
      <c r="Q223" s="13"/>
      <c r="R223" s="13"/>
      <c r="S223" s="13"/>
      <c r="T223" s="13"/>
      <c r="U223" s="36"/>
      <c r="V223" s="36"/>
      <c r="W223" s="36"/>
      <c r="X223" s="13"/>
      <c r="Y223" s="36"/>
      <c r="Z223" s="36"/>
      <c r="AA223" s="36"/>
      <c r="AB223" s="36"/>
      <c r="AC223" s="36"/>
      <c r="AD223" s="36"/>
      <c r="AE223" s="36"/>
      <c r="AF223" s="36"/>
      <c r="AG223" s="36"/>
      <c r="AH223" s="36"/>
      <c r="AI223" s="36"/>
      <c r="AJ223" s="36"/>
      <c r="AK223" s="36"/>
      <c r="AL223" s="36"/>
      <c r="AM223" s="36"/>
      <c r="AN223" s="36"/>
      <c r="AO223" s="36"/>
      <c r="AP223" s="13"/>
      <c r="AQ223" s="13"/>
      <c r="AR223" s="13"/>
      <c r="AS223" s="13"/>
      <c r="AT223" s="13"/>
      <c r="AU223" s="13"/>
      <c r="AV223" s="13"/>
      <c r="AW223" s="99"/>
      <c r="AX223" s="13"/>
      <c r="AY223" s="13"/>
      <c r="AZ223" s="36"/>
      <c r="BA223" s="36"/>
      <c r="BD223" s="10"/>
      <c r="BE223" s="10"/>
      <c r="BF223" s="10"/>
      <c r="BG223" s="10"/>
      <c r="BH223" s="10"/>
      <c r="BI223" s="10"/>
      <c r="BJ223" s="10"/>
      <c r="BK223" s="10"/>
      <c r="BL223" s="10"/>
      <c r="BS223" s="10"/>
      <c r="BT223" s="10"/>
      <c r="BV223" s="10"/>
      <c r="BW223" s="10"/>
    </row>
    <row r="224">
      <c r="A224" s="10"/>
      <c r="B224" s="10"/>
      <c r="C224" s="10"/>
      <c r="D224" s="10"/>
      <c r="E224" s="10"/>
      <c r="F224" s="10"/>
      <c r="G224" s="10"/>
      <c r="H224" s="10"/>
      <c r="K224" s="10"/>
      <c r="L224" s="10"/>
      <c r="N224" s="10"/>
      <c r="O224" s="10"/>
      <c r="P224" s="32" t="s">
        <v>6430</v>
      </c>
      <c r="U224" s="10"/>
      <c r="V224" s="10"/>
      <c r="W224" s="10"/>
      <c r="X224" s="10"/>
      <c r="Y224" s="10"/>
      <c r="Z224" s="10"/>
      <c r="AA224" s="10"/>
      <c r="AB224" s="10"/>
      <c r="AC224" s="10"/>
      <c r="AD224" s="10"/>
      <c r="AE224" s="10"/>
      <c r="AF224" s="10"/>
      <c r="AG224" s="10"/>
      <c r="AH224" s="10"/>
      <c r="AI224" s="10"/>
      <c r="AJ224" s="10"/>
      <c r="AK224" s="10"/>
      <c r="AL224" s="10"/>
      <c r="AM224" s="10"/>
      <c r="AN224" s="10"/>
      <c r="AO224" s="10"/>
      <c r="AW224" s="143"/>
      <c r="BA224" s="10"/>
      <c r="BD224" s="10"/>
      <c r="BE224" s="10"/>
      <c r="BF224" s="10"/>
      <c r="BG224" s="10"/>
      <c r="BH224" s="10"/>
      <c r="BI224" s="10"/>
      <c r="BJ224" s="10"/>
      <c r="BK224" s="10"/>
      <c r="BL224" s="10"/>
      <c r="BS224" s="10"/>
      <c r="BT224" s="10"/>
      <c r="BV224" s="10"/>
      <c r="BW224" s="10"/>
    </row>
    <row r="225">
      <c r="A225" s="10"/>
      <c r="B225" s="10"/>
      <c r="C225" s="10"/>
      <c r="D225" s="10"/>
      <c r="E225" s="10"/>
      <c r="F225" s="10"/>
      <c r="G225" s="10"/>
      <c r="H225" s="10"/>
      <c r="K225" s="10"/>
      <c r="L225" s="10"/>
      <c r="N225" s="10"/>
      <c r="P225" s="10"/>
      <c r="U225" s="10"/>
      <c r="V225" s="10"/>
      <c r="W225" s="10"/>
      <c r="X225" s="10"/>
      <c r="Y225" s="10"/>
      <c r="Z225" s="10"/>
      <c r="AA225" s="10"/>
      <c r="AB225" s="10"/>
      <c r="AC225" s="10"/>
      <c r="AD225" s="10"/>
      <c r="AE225" s="10"/>
      <c r="AF225" s="10"/>
      <c r="AG225" s="10"/>
      <c r="AH225" s="10"/>
      <c r="AI225" s="10"/>
      <c r="AJ225" s="10"/>
      <c r="AK225" s="10"/>
      <c r="AL225" s="10"/>
      <c r="AM225" s="10"/>
      <c r="AN225" s="10"/>
      <c r="AO225" s="10"/>
      <c r="AW225" s="143"/>
      <c r="BA225" s="10"/>
      <c r="BD225" s="10"/>
      <c r="BE225" s="10"/>
      <c r="BF225" s="10"/>
      <c r="BG225" s="10"/>
      <c r="BH225" s="10"/>
      <c r="BI225" s="10"/>
      <c r="BJ225" s="10"/>
      <c r="BK225" s="10"/>
      <c r="BL225" s="10"/>
      <c r="BS225" s="10"/>
      <c r="BT225" s="10"/>
      <c r="BV225" s="10"/>
      <c r="BW225" s="10"/>
    </row>
    <row r="226">
      <c r="A226" s="10"/>
      <c r="B226" s="10"/>
      <c r="C226" s="10"/>
      <c r="D226" s="10"/>
      <c r="E226" s="10"/>
      <c r="F226" s="10"/>
      <c r="G226" s="10"/>
      <c r="H226" s="10"/>
      <c r="K226" s="10"/>
      <c r="L226" s="10"/>
      <c r="N226" s="10"/>
      <c r="P226" s="10"/>
      <c r="U226" s="10"/>
      <c r="V226" s="10"/>
      <c r="W226" s="10"/>
      <c r="X226" s="10"/>
      <c r="Y226" s="10"/>
      <c r="Z226" s="10"/>
      <c r="AA226" s="10"/>
      <c r="AB226" s="10"/>
      <c r="AC226" s="10"/>
      <c r="AD226" s="10"/>
      <c r="AE226" s="10"/>
      <c r="AF226" s="10"/>
      <c r="AG226" s="10"/>
      <c r="AH226" s="10"/>
      <c r="AI226" s="10"/>
      <c r="AJ226" s="10"/>
      <c r="AK226" s="10"/>
      <c r="AL226" s="10"/>
      <c r="AM226" s="10"/>
      <c r="AN226" s="10"/>
      <c r="AO226" s="10"/>
      <c r="AW226" s="143"/>
      <c r="BA226" s="10"/>
      <c r="BD226" s="10"/>
      <c r="BE226" s="10"/>
      <c r="BF226" s="10"/>
      <c r="BG226" s="10"/>
      <c r="BH226" s="10"/>
      <c r="BI226" s="10"/>
      <c r="BJ226" s="10"/>
      <c r="BK226" s="10"/>
      <c r="BL226" s="10"/>
      <c r="BS226" s="10"/>
      <c r="BT226" s="10"/>
      <c r="BV226" s="10"/>
      <c r="BW226" s="10"/>
    </row>
    <row r="227">
      <c r="A227" s="10"/>
      <c r="B227" s="10"/>
      <c r="C227" s="10"/>
      <c r="D227" s="10"/>
      <c r="E227" s="10"/>
      <c r="F227" s="10"/>
      <c r="G227" s="10"/>
      <c r="H227" s="10"/>
      <c r="K227" s="10"/>
      <c r="L227" s="10"/>
      <c r="N227" s="10"/>
      <c r="P227" s="10"/>
      <c r="U227" s="10"/>
      <c r="V227" s="10"/>
      <c r="W227" s="10"/>
      <c r="X227" s="10"/>
      <c r="Y227" s="10"/>
      <c r="Z227" s="10"/>
      <c r="AA227" s="10"/>
      <c r="AB227" s="10"/>
      <c r="AC227" s="10"/>
      <c r="AD227" s="10"/>
      <c r="AE227" s="10"/>
      <c r="AF227" s="10"/>
      <c r="AG227" s="10"/>
      <c r="AH227" s="10"/>
      <c r="AI227" s="10"/>
      <c r="AJ227" s="10"/>
      <c r="AK227" s="10"/>
      <c r="AL227" s="10"/>
      <c r="AM227" s="10"/>
      <c r="AN227" s="10"/>
      <c r="AO227" s="10"/>
      <c r="AW227" s="143"/>
      <c r="BA227" s="10"/>
      <c r="BD227" s="10"/>
      <c r="BE227" s="10"/>
      <c r="BF227" s="10"/>
      <c r="BG227" s="10"/>
      <c r="BH227" s="10"/>
      <c r="BI227" s="10"/>
      <c r="BJ227" s="10"/>
      <c r="BK227" s="10"/>
      <c r="BL227" s="10"/>
      <c r="BS227" s="10"/>
      <c r="BT227" s="10"/>
      <c r="BV227" s="10"/>
      <c r="BW227" s="10"/>
    </row>
    <row r="228">
      <c r="A228" s="10"/>
      <c r="B228" s="10"/>
      <c r="C228" s="10"/>
      <c r="D228" s="10"/>
      <c r="E228" s="10"/>
      <c r="F228" s="10"/>
      <c r="G228" s="10"/>
      <c r="H228" s="10"/>
      <c r="K228" s="10"/>
      <c r="L228" s="10"/>
      <c r="N228" s="10"/>
      <c r="P228" s="10"/>
      <c r="U228" s="10"/>
      <c r="V228" s="10"/>
      <c r="W228" s="10"/>
      <c r="X228" s="10"/>
      <c r="Y228" s="10"/>
      <c r="Z228" s="10"/>
      <c r="AA228" s="10"/>
      <c r="AB228" s="10"/>
      <c r="AC228" s="10"/>
      <c r="AD228" s="10"/>
      <c r="AE228" s="10"/>
      <c r="AF228" s="10"/>
      <c r="AG228" s="10"/>
      <c r="AH228" s="10"/>
      <c r="AI228" s="10"/>
      <c r="AJ228" s="10"/>
      <c r="AK228" s="10"/>
      <c r="AL228" s="10"/>
      <c r="AM228" s="10"/>
      <c r="AN228" s="10"/>
      <c r="AO228" s="10"/>
      <c r="AW228" s="143"/>
      <c r="BA228" s="10"/>
      <c r="BD228" s="10"/>
      <c r="BE228" s="10"/>
      <c r="BF228" s="10"/>
      <c r="BG228" s="10"/>
      <c r="BH228" s="10"/>
      <c r="BI228" s="10"/>
      <c r="BJ228" s="10"/>
      <c r="BK228" s="10"/>
      <c r="BL228" s="10"/>
      <c r="BS228" s="10"/>
      <c r="BT228" s="10"/>
      <c r="BV228" s="10"/>
      <c r="BW228" s="10"/>
    </row>
    <row r="229">
      <c r="A229" s="10"/>
      <c r="B229" s="10"/>
      <c r="C229" s="10"/>
      <c r="D229" s="10"/>
      <c r="E229" s="10"/>
      <c r="F229" s="10"/>
      <c r="G229" s="10"/>
      <c r="H229" s="10"/>
      <c r="K229" s="10"/>
      <c r="L229" s="10"/>
      <c r="N229" s="10"/>
      <c r="P229" s="10"/>
      <c r="U229" s="10"/>
      <c r="V229" s="10"/>
      <c r="W229" s="10"/>
      <c r="X229" s="10"/>
      <c r="Y229" s="10"/>
      <c r="Z229" s="10"/>
      <c r="AA229" s="10"/>
      <c r="AB229" s="10"/>
      <c r="AC229" s="10"/>
      <c r="AD229" s="10"/>
      <c r="AE229" s="10"/>
      <c r="AF229" s="10"/>
      <c r="AG229" s="10"/>
      <c r="AH229" s="10"/>
      <c r="AI229" s="10"/>
      <c r="AJ229" s="10"/>
      <c r="AK229" s="10"/>
      <c r="AL229" s="10"/>
      <c r="AM229" s="10"/>
      <c r="AN229" s="10"/>
      <c r="AO229" s="10"/>
      <c r="AW229" s="143"/>
      <c r="BA229" s="10"/>
      <c r="BD229" s="10"/>
      <c r="BE229" s="10"/>
      <c r="BF229" s="10"/>
      <c r="BG229" s="10"/>
      <c r="BH229" s="10"/>
      <c r="BI229" s="10"/>
      <c r="BJ229" s="10"/>
      <c r="BK229" s="10"/>
      <c r="BL229" s="10"/>
      <c r="BS229" s="10"/>
      <c r="BT229" s="10"/>
      <c r="BV229" s="10"/>
      <c r="BW229" s="10"/>
    </row>
    <row r="230">
      <c r="A230" s="10"/>
      <c r="B230" s="10"/>
      <c r="C230" s="10"/>
      <c r="D230" s="10"/>
      <c r="E230" s="10"/>
      <c r="F230" s="10"/>
      <c r="G230" s="10"/>
      <c r="H230" s="10"/>
      <c r="K230" s="10"/>
      <c r="L230" s="10"/>
      <c r="N230" s="10"/>
      <c r="P230" s="10"/>
      <c r="U230" s="10"/>
      <c r="V230" s="10"/>
      <c r="W230" s="10"/>
      <c r="X230" s="10"/>
      <c r="Y230" s="10"/>
      <c r="Z230" s="10"/>
      <c r="AA230" s="10"/>
      <c r="AB230" s="10"/>
      <c r="AC230" s="10"/>
      <c r="AD230" s="10"/>
      <c r="AE230" s="10"/>
      <c r="AF230" s="10"/>
      <c r="AG230" s="10"/>
      <c r="AH230" s="10"/>
      <c r="AI230" s="10"/>
      <c r="AJ230" s="10"/>
      <c r="AK230" s="10"/>
      <c r="AL230" s="10"/>
      <c r="AM230" s="10"/>
      <c r="AN230" s="10"/>
      <c r="AO230" s="10"/>
      <c r="AW230" s="143"/>
      <c r="BA230" s="10"/>
      <c r="BD230" s="10"/>
      <c r="BE230" s="10"/>
      <c r="BF230" s="10"/>
      <c r="BG230" s="10"/>
      <c r="BH230" s="10"/>
      <c r="BI230" s="10"/>
      <c r="BJ230" s="10"/>
      <c r="BK230" s="10"/>
      <c r="BL230" s="10"/>
      <c r="BS230" s="10"/>
      <c r="BT230" s="10"/>
      <c r="BV230" s="10"/>
      <c r="BW230" s="10"/>
    </row>
    <row r="231">
      <c r="A231" s="10"/>
      <c r="B231" s="10"/>
      <c r="C231" s="10"/>
      <c r="D231" s="10"/>
      <c r="E231" s="10"/>
      <c r="F231" s="10"/>
      <c r="G231" s="10"/>
      <c r="H231" s="10"/>
      <c r="I231" s="10"/>
      <c r="K231" s="10"/>
      <c r="L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R231" s="10"/>
      <c r="AS231" s="10"/>
      <c r="AU231" s="10"/>
      <c r="AV231" s="10"/>
      <c r="AW231" s="143"/>
      <c r="BA231" s="10"/>
      <c r="BD231" s="10"/>
      <c r="BE231" s="10"/>
      <c r="BF231" s="10"/>
      <c r="BG231" s="10"/>
      <c r="BH231" s="10"/>
      <c r="BI231" s="10"/>
      <c r="BJ231" s="10"/>
      <c r="BK231" s="10"/>
      <c r="BL231" s="10"/>
      <c r="BO231" s="10"/>
      <c r="BR231" s="10"/>
      <c r="BS231" s="10"/>
      <c r="BT231" s="10"/>
      <c r="BV231" s="10"/>
      <c r="BW231" s="10"/>
    </row>
    <row r="232">
      <c r="A232" s="10"/>
      <c r="B232" s="10"/>
      <c r="C232" s="10"/>
      <c r="D232" s="10"/>
      <c r="E232" s="10"/>
      <c r="F232" s="10"/>
      <c r="G232" s="10"/>
      <c r="H232" s="10"/>
      <c r="I232" s="10"/>
      <c r="J232" s="10"/>
      <c r="K232" s="10"/>
      <c r="L232" s="10"/>
      <c r="N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R232" s="10"/>
      <c r="AS232" s="10"/>
      <c r="AU232" s="10"/>
      <c r="AV232" s="10"/>
      <c r="AW232" s="143"/>
      <c r="BA232" s="10"/>
      <c r="BD232" s="10"/>
      <c r="BE232" s="10"/>
      <c r="BF232" s="10"/>
      <c r="BG232" s="10"/>
      <c r="BH232" s="10"/>
      <c r="BI232" s="10"/>
      <c r="BJ232" s="10"/>
      <c r="BK232" s="10"/>
      <c r="BS232" s="10"/>
      <c r="BT232" s="10"/>
      <c r="BV232" s="10"/>
      <c r="BW232" s="10"/>
    </row>
    <row r="233">
      <c r="A233" s="10"/>
      <c r="B233" s="10"/>
      <c r="C233" s="10"/>
      <c r="D233" s="10"/>
      <c r="E233" s="10"/>
      <c r="F233" s="10"/>
      <c r="G233" s="10"/>
      <c r="H233" s="10"/>
      <c r="I233" s="10"/>
      <c r="J233" s="10"/>
      <c r="K233" s="10"/>
      <c r="L233" s="10"/>
      <c r="N233" s="10"/>
      <c r="T233" s="10"/>
      <c r="U233" s="10"/>
      <c r="V233" s="10"/>
      <c r="W233" s="10"/>
      <c r="X233" s="10"/>
      <c r="Y233" s="10"/>
      <c r="Z233" s="10"/>
      <c r="AA233" s="10"/>
      <c r="AB233" s="10"/>
      <c r="AC233" s="10"/>
      <c r="AD233" s="10"/>
      <c r="AE233" s="10"/>
      <c r="AF233" s="10"/>
      <c r="AG233" s="10"/>
      <c r="AH233" s="10"/>
      <c r="AI233" s="10"/>
      <c r="AJ233" s="10"/>
      <c r="AK233" s="10"/>
      <c r="AL233" s="10"/>
      <c r="AN233" s="10"/>
      <c r="AO233" s="10"/>
      <c r="AR233" s="10"/>
      <c r="AS233" s="10"/>
      <c r="AU233" s="10"/>
      <c r="AV233" s="10"/>
      <c r="AW233" s="143"/>
      <c r="BA233" s="10"/>
      <c r="BD233" s="10"/>
      <c r="BE233" s="10"/>
      <c r="BF233" s="10"/>
      <c r="BG233" s="10"/>
      <c r="BH233" s="10"/>
      <c r="BI233" s="10"/>
      <c r="BJ233" s="10"/>
      <c r="BK233" s="10"/>
      <c r="BS233" s="10"/>
      <c r="BT233" s="10"/>
      <c r="BV233" s="10"/>
      <c r="BW233" s="10"/>
    </row>
    <row r="234">
      <c r="A234" s="10"/>
      <c r="B234" s="10"/>
      <c r="C234" s="10"/>
      <c r="D234" s="10"/>
      <c r="E234" s="10"/>
      <c r="F234" s="10"/>
      <c r="G234" s="10"/>
      <c r="H234" s="10"/>
      <c r="I234" s="10"/>
      <c r="J234" s="10"/>
      <c r="K234" s="10"/>
      <c r="L234" s="10"/>
      <c r="N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R234" s="10"/>
      <c r="AS234" s="10"/>
      <c r="AU234" s="10"/>
      <c r="AV234" s="10"/>
      <c r="AW234" s="143"/>
      <c r="BA234" s="10"/>
      <c r="BD234" s="10"/>
      <c r="BE234" s="10"/>
      <c r="BF234" s="10"/>
      <c r="BG234" s="10"/>
      <c r="BH234" s="10"/>
      <c r="BI234" s="10"/>
      <c r="BJ234" s="10"/>
      <c r="BK234" s="10"/>
      <c r="BS234" s="10"/>
      <c r="BT234" s="10"/>
      <c r="BV234" s="10"/>
      <c r="BW234" s="10"/>
    </row>
    <row r="235">
      <c r="A235" s="10"/>
      <c r="B235" s="10"/>
      <c r="C235" s="10"/>
      <c r="D235" s="10"/>
      <c r="E235" s="10"/>
      <c r="F235" s="10"/>
      <c r="G235" s="10"/>
      <c r="H235" s="10"/>
      <c r="I235" s="10"/>
      <c r="K235" s="10"/>
      <c r="L235" s="10"/>
      <c r="P235" s="10"/>
      <c r="Q235" s="10"/>
      <c r="R235" s="10"/>
      <c r="S235" s="10"/>
      <c r="U235" s="10"/>
      <c r="V235" s="10"/>
      <c r="W235" s="10"/>
      <c r="X235" s="10"/>
      <c r="Y235" s="10"/>
      <c r="Z235" s="10"/>
      <c r="AA235" s="10"/>
      <c r="AB235" s="10"/>
      <c r="AC235" s="10"/>
      <c r="AD235" s="10"/>
      <c r="AE235" s="10"/>
      <c r="AF235" s="10"/>
      <c r="AG235" s="10"/>
      <c r="AH235" s="10"/>
      <c r="AI235" s="10"/>
      <c r="AJ235" s="10"/>
      <c r="AK235" s="10"/>
      <c r="AL235" s="10"/>
      <c r="AM235" s="10"/>
      <c r="AN235" s="10"/>
      <c r="AO235" s="10"/>
      <c r="AR235" s="10"/>
      <c r="AS235" s="10"/>
      <c r="AU235" s="10"/>
      <c r="AV235" s="10"/>
      <c r="AW235" s="143"/>
      <c r="BA235" s="10"/>
      <c r="BD235" s="10"/>
      <c r="BE235" s="10"/>
      <c r="BF235" s="10"/>
      <c r="BG235" s="10"/>
      <c r="BH235" s="10"/>
      <c r="BI235" s="10"/>
      <c r="BJ235" s="10"/>
      <c r="BK235" s="10"/>
      <c r="BO235" s="10"/>
      <c r="BR235" s="10"/>
      <c r="BS235" s="10"/>
      <c r="BT235" s="10"/>
      <c r="BV235" s="10"/>
      <c r="BW235" s="10"/>
    </row>
    <row r="236">
      <c r="A236" s="10"/>
      <c r="B236" s="10"/>
      <c r="C236" s="10"/>
      <c r="D236" s="10"/>
      <c r="E236" s="10"/>
      <c r="F236" s="10"/>
      <c r="G236" s="10"/>
      <c r="H236" s="10"/>
      <c r="I236" s="10"/>
      <c r="J236" s="10"/>
      <c r="K236" s="10"/>
      <c r="L236" s="10"/>
      <c r="U236" s="10"/>
      <c r="V236" s="10"/>
      <c r="W236" s="10"/>
      <c r="X236" s="10"/>
      <c r="Y236" s="10"/>
      <c r="Z236" s="10"/>
      <c r="AA236" s="10"/>
      <c r="AB236" s="10"/>
      <c r="AC236" s="10"/>
      <c r="AD236" s="10"/>
      <c r="AE236" s="10"/>
      <c r="AF236" s="10"/>
      <c r="AG236" s="10"/>
      <c r="AH236" s="10"/>
      <c r="AI236" s="10"/>
      <c r="AJ236" s="10"/>
      <c r="AK236" s="10"/>
      <c r="AL236" s="10"/>
      <c r="AM236" s="10"/>
      <c r="AN236" s="10"/>
      <c r="AO236" s="10"/>
      <c r="AR236" s="10"/>
      <c r="AS236" s="10"/>
      <c r="AU236" s="10"/>
      <c r="AV236" s="10"/>
      <c r="AW236" s="143"/>
      <c r="BA236" s="10"/>
      <c r="BD236" s="10"/>
      <c r="BE236" s="10"/>
      <c r="BF236" s="10"/>
      <c r="BG236" s="10"/>
      <c r="BH236" s="10"/>
      <c r="BI236" s="10"/>
      <c r="BJ236" s="10"/>
      <c r="BK236" s="10"/>
      <c r="BS236" s="10"/>
      <c r="BT236" s="10"/>
      <c r="BV236" s="10"/>
      <c r="BW236" s="10"/>
    </row>
    <row r="237">
      <c r="A237" s="10"/>
      <c r="B237" s="10"/>
      <c r="C237" s="10"/>
      <c r="D237" s="10"/>
      <c r="E237" s="10"/>
      <c r="F237" s="10"/>
      <c r="G237" s="10"/>
      <c r="H237" s="10"/>
      <c r="I237" s="10"/>
      <c r="K237" s="10"/>
      <c r="L237" s="10"/>
      <c r="P237" s="10"/>
      <c r="Q237" s="10"/>
      <c r="R237" s="10"/>
      <c r="S237" s="10"/>
      <c r="U237" s="10"/>
      <c r="V237" s="10"/>
      <c r="W237" s="10"/>
      <c r="X237" s="10"/>
      <c r="Y237" s="10"/>
      <c r="Z237" s="10"/>
      <c r="AA237" s="10"/>
      <c r="AB237" s="10"/>
      <c r="AC237" s="10"/>
      <c r="AD237" s="10"/>
      <c r="AE237" s="10"/>
      <c r="AF237" s="10"/>
      <c r="AG237" s="10"/>
      <c r="AH237" s="10"/>
      <c r="AI237" s="10"/>
      <c r="AJ237" s="10"/>
      <c r="AK237" s="10"/>
      <c r="AL237" s="10"/>
      <c r="AM237" s="10"/>
      <c r="AN237" s="10"/>
      <c r="AO237" s="10"/>
      <c r="AR237" s="10"/>
      <c r="AS237" s="10"/>
      <c r="AU237" s="10"/>
      <c r="AV237" s="10"/>
      <c r="AW237" s="143"/>
      <c r="BA237" s="10"/>
      <c r="BD237" s="10"/>
      <c r="BE237" s="10"/>
      <c r="BF237" s="10"/>
      <c r="BG237" s="10"/>
      <c r="BH237" s="10"/>
      <c r="BI237" s="10"/>
      <c r="BJ237" s="10"/>
      <c r="BK237" s="10"/>
      <c r="BT237" s="10"/>
      <c r="BV237" s="10"/>
      <c r="BW237" s="10"/>
    </row>
    <row r="238">
      <c r="A238" s="10"/>
      <c r="B238" s="10"/>
      <c r="C238" s="10"/>
      <c r="D238" s="10"/>
      <c r="E238" s="10"/>
      <c r="F238" s="10"/>
      <c r="G238" s="10"/>
      <c r="H238" s="10"/>
      <c r="I238" s="10"/>
      <c r="K238" s="10"/>
      <c r="L238" s="10"/>
      <c r="P238" s="10"/>
      <c r="U238" s="10"/>
      <c r="V238" s="10"/>
      <c r="W238" s="10"/>
      <c r="X238" s="10"/>
      <c r="Y238" s="10"/>
      <c r="Z238" s="10"/>
      <c r="AA238" s="10"/>
      <c r="AB238" s="10"/>
      <c r="AC238" s="10"/>
      <c r="AD238" s="10"/>
      <c r="AE238" s="10"/>
      <c r="AF238" s="10"/>
      <c r="AG238" s="10"/>
      <c r="AH238" s="10"/>
      <c r="AI238" s="10"/>
      <c r="AJ238" s="10"/>
      <c r="AK238" s="10"/>
      <c r="AL238" s="10"/>
      <c r="AM238" s="10"/>
      <c r="AN238" s="10"/>
      <c r="AO238" s="10"/>
      <c r="AR238" s="10"/>
      <c r="AS238" s="10"/>
      <c r="AU238" s="10"/>
      <c r="AV238" s="10"/>
      <c r="AW238" s="143"/>
      <c r="BA238" s="10"/>
      <c r="BD238" s="10"/>
      <c r="BE238" s="10"/>
      <c r="BF238" s="10"/>
      <c r="BG238" s="10"/>
      <c r="BH238" s="10"/>
      <c r="BI238" s="10"/>
      <c r="BJ238" s="10"/>
      <c r="BK238" s="10"/>
      <c r="BS238" s="10"/>
      <c r="BT238" s="10"/>
      <c r="BV238" s="10"/>
      <c r="BW238" s="10"/>
    </row>
    <row r="239">
      <c r="A239" s="10"/>
      <c r="B239" s="10"/>
      <c r="C239" s="10"/>
      <c r="D239" s="10"/>
      <c r="E239" s="10"/>
      <c r="F239" s="10"/>
      <c r="G239" s="10"/>
      <c r="H239" s="10"/>
      <c r="I239" s="10"/>
      <c r="K239" s="10"/>
      <c r="L239" s="10"/>
      <c r="U239" s="10"/>
      <c r="V239" s="10"/>
      <c r="W239" s="10"/>
      <c r="X239" s="10"/>
      <c r="Y239" s="10"/>
      <c r="Z239" s="10"/>
      <c r="AA239" s="10"/>
      <c r="AB239" s="10"/>
      <c r="AC239" s="10"/>
      <c r="AD239" s="10"/>
      <c r="AE239" s="10"/>
      <c r="AF239" s="10"/>
      <c r="AG239" s="10"/>
      <c r="AH239" s="10"/>
      <c r="AI239" s="10"/>
      <c r="AJ239" s="10"/>
      <c r="AK239" s="10"/>
      <c r="AL239" s="10"/>
      <c r="AM239" s="10"/>
      <c r="AN239" s="10"/>
      <c r="AO239" s="10"/>
      <c r="AR239" s="10"/>
      <c r="AS239" s="10"/>
      <c r="AU239" s="10"/>
      <c r="AV239" s="10"/>
      <c r="AW239" s="143"/>
      <c r="AZ239" s="10"/>
      <c r="BA239" s="10"/>
      <c r="BD239" s="10"/>
      <c r="BE239" s="10"/>
      <c r="BF239" s="10"/>
      <c r="BG239" s="10"/>
      <c r="BH239" s="10"/>
      <c r="BI239" s="10"/>
      <c r="BJ239" s="10"/>
      <c r="BK239" s="10"/>
      <c r="BS239" s="10"/>
      <c r="BT239" s="10"/>
      <c r="BV239" s="10"/>
      <c r="BW239" s="10"/>
    </row>
    <row r="240">
      <c r="A240" s="10"/>
      <c r="B240" s="10"/>
      <c r="C240" s="10"/>
      <c r="D240" s="10"/>
      <c r="E240" s="10"/>
      <c r="F240" s="10"/>
      <c r="G240" s="10"/>
      <c r="H240" s="10"/>
      <c r="I240" s="10"/>
      <c r="K240" s="10"/>
      <c r="L240" s="10"/>
      <c r="N240" s="10"/>
      <c r="U240" s="10"/>
      <c r="V240" s="10"/>
      <c r="W240" s="10"/>
      <c r="X240" s="10"/>
      <c r="Y240" s="10"/>
      <c r="Z240" s="10"/>
      <c r="AA240" s="10"/>
      <c r="AB240" s="10"/>
      <c r="AC240" s="10"/>
      <c r="AD240" s="10"/>
      <c r="AE240" s="10"/>
      <c r="AF240" s="10"/>
      <c r="AG240" s="10"/>
      <c r="AH240" s="10"/>
      <c r="AI240" s="10"/>
      <c r="AJ240" s="10"/>
      <c r="AK240" s="10"/>
      <c r="AL240" s="10"/>
      <c r="AM240" s="10"/>
      <c r="AN240" s="10"/>
      <c r="AO240" s="10"/>
      <c r="AR240" s="10"/>
      <c r="AS240" s="10"/>
      <c r="AU240" s="10"/>
      <c r="AV240" s="10"/>
      <c r="AW240" s="143"/>
      <c r="BA240" s="10"/>
      <c r="BD240" s="10"/>
      <c r="BE240" s="10"/>
      <c r="BF240" s="10"/>
      <c r="BG240" s="10"/>
      <c r="BH240" s="10"/>
      <c r="BI240" s="10"/>
      <c r="BJ240" s="10"/>
      <c r="BK240" s="10"/>
      <c r="BS240" s="10"/>
      <c r="BT240" s="10"/>
      <c r="BV240" s="10"/>
      <c r="BW240" s="10"/>
    </row>
    <row r="241">
      <c r="A241" s="10"/>
      <c r="B241" s="10"/>
      <c r="C241" s="10"/>
      <c r="D241" s="10"/>
      <c r="E241" s="10"/>
      <c r="F241" s="10"/>
      <c r="G241" s="10"/>
      <c r="H241" s="10"/>
      <c r="I241" s="10"/>
      <c r="K241" s="10"/>
      <c r="L241" s="10"/>
      <c r="N241" s="10"/>
      <c r="P241" s="10"/>
      <c r="U241" s="10"/>
      <c r="V241" s="10"/>
      <c r="W241" s="10"/>
      <c r="X241" s="10"/>
      <c r="Y241" s="10"/>
      <c r="Z241" s="10"/>
      <c r="AA241" s="10"/>
      <c r="AB241" s="10"/>
      <c r="AC241" s="10"/>
      <c r="AD241" s="10"/>
      <c r="AE241" s="10"/>
      <c r="AF241" s="10"/>
      <c r="AG241" s="10"/>
      <c r="AH241" s="10"/>
      <c r="AI241" s="10"/>
      <c r="AJ241" s="10"/>
      <c r="AK241" s="10"/>
      <c r="AL241" s="10"/>
      <c r="AM241" s="10"/>
      <c r="AN241" s="10"/>
      <c r="AO241" s="10"/>
      <c r="AR241" s="10"/>
      <c r="AS241" s="10"/>
      <c r="AU241" s="10"/>
      <c r="AV241" s="10"/>
      <c r="AW241" s="143"/>
      <c r="BA241" s="10"/>
      <c r="BD241" s="10"/>
      <c r="BE241" s="10"/>
      <c r="BF241" s="10"/>
      <c r="BG241" s="10"/>
      <c r="BH241" s="10"/>
      <c r="BI241" s="10"/>
      <c r="BJ241" s="10"/>
      <c r="BK241" s="10"/>
      <c r="BS241" s="10"/>
      <c r="BT241" s="10"/>
      <c r="BV241" s="10"/>
      <c r="BW241" s="10"/>
    </row>
    <row r="242">
      <c r="A242" s="10"/>
      <c r="B242" s="10"/>
      <c r="C242" s="10"/>
      <c r="D242" s="10"/>
      <c r="E242" s="10"/>
      <c r="F242" s="10"/>
      <c r="G242" s="10"/>
      <c r="H242" s="10"/>
      <c r="I242" s="10"/>
      <c r="K242" s="10"/>
      <c r="L242" s="10"/>
      <c r="N242" s="10"/>
      <c r="P242" s="10"/>
      <c r="U242" s="10"/>
      <c r="V242" s="10"/>
      <c r="W242" s="10"/>
      <c r="X242" s="10"/>
      <c r="Y242" s="10"/>
      <c r="Z242" s="10"/>
      <c r="AA242" s="10"/>
      <c r="AB242" s="10"/>
      <c r="AC242" s="10"/>
      <c r="AD242" s="10"/>
      <c r="AE242" s="10"/>
      <c r="AF242" s="10"/>
      <c r="AG242" s="10"/>
      <c r="AH242" s="10"/>
      <c r="AI242" s="10"/>
      <c r="AJ242" s="10"/>
      <c r="AK242" s="10"/>
      <c r="AL242" s="10"/>
      <c r="AM242" s="10"/>
      <c r="AN242" s="10"/>
      <c r="AO242" s="10"/>
      <c r="AR242" s="10"/>
      <c r="AS242" s="10"/>
      <c r="AU242" s="10"/>
      <c r="AV242" s="10"/>
      <c r="AW242" s="143"/>
      <c r="BA242" s="10"/>
      <c r="BD242" s="10"/>
      <c r="BE242" s="10"/>
      <c r="BF242" s="10"/>
      <c r="BG242" s="10"/>
      <c r="BH242" s="10"/>
      <c r="BI242" s="10"/>
      <c r="BJ242" s="10"/>
      <c r="BK242" s="10"/>
      <c r="BS242" s="10"/>
      <c r="BT242" s="10"/>
      <c r="BV242" s="10"/>
      <c r="BW242" s="10"/>
    </row>
    <row r="243">
      <c r="A243" s="10"/>
      <c r="B243" s="10"/>
      <c r="C243" s="10"/>
      <c r="D243" s="10"/>
      <c r="E243" s="10"/>
      <c r="F243" s="10"/>
      <c r="G243" s="10"/>
      <c r="H243" s="10"/>
      <c r="I243" s="10"/>
      <c r="K243" s="10"/>
      <c r="L243" s="10"/>
      <c r="N243" s="10"/>
      <c r="U243" s="10"/>
      <c r="V243" s="10"/>
      <c r="W243" s="10"/>
      <c r="X243" s="10"/>
      <c r="Y243" s="10"/>
      <c r="Z243" s="10"/>
      <c r="AA243" s="10"/>
      <c r="AB243" s="10"/>
      <c r="AC243" s="10"/>
      <c r="AD243" s="10"/>
      <c r="AE243" s="10"/>
      <c r="AF243" s="10"/>
      <c r="AG243" s="10"/>
      <c r="AH243" s="10"/>
      <c r="AI243" s="10"/>
      <c r="AJ243" s="10"/>
      <c r="AK243" s="10"/>
      <c r="AL243" s="10"/>
      <c r="AM243" s="10"/>
      <c r="AN243" s="10"/>
      <c r="AO243" s="10"/>
      <c r="AR243" s="10"/>
      <c r="AS243" s="10"/>
      <c r="AU243" s="10"/>
      <c r="AV243" s="10"/>
      <c r="AW243" s="143"/>
      <c r="BA243" s="10"/>
      <c r="BD243" s="10"/>
      <c r="BE243" s="10"/>
      <c r="BF243" s="10"/>
      <c r="BG243" s="10"/>
      <c r="BH243" s="10"/>
      <c r="BI243" s="10"/>
      <c r="BJ243" s="10"/>
      <c r="BK243" s="10"/>
      <c r="BS243" s="10"/>
      <c r="BT243" s="10"/>
      <c r="BV243" s="10"/>
      <c r="BW243" s="10"/>
    </row>
    <row r="244">
      <c r="A244" s="10"/>
      <c r="B244" s="10"/>
      <c r="C244" s="10"/>
      <c r="D244" s="10"/>
      <c r="E244" s="10"/>
      <c r="F244" s="10"/>
      <c r="G244" s="10"/>
      <c r="H244" s="10"/>
      <c r="K244" s="10"/>
      <c r="L244" s="10"/>
      <c r="P244" s="10"/>
      <c r="Q244" s="10"/>
      <c r="R244" s="10"/>
      <c r="S244" s="10"/>
      <c r="V244" s="10"/>
      <c r="W244" s="10"/>
      <c r="Y244" s="10"/>
      <c r="Z244" s="10"/>
      <c r="AA244" s="10"/>
      <c r="AB244" s="10"/>
      <c r="AC244" s="10"/>
      <c r="AD244" s="10"/>
      <c r="AE244" s="10"/>
      <c r="AF244" s="10"/>
      <c r="AG244" s="10"/>
      <c r="AH244" s="10"/>
      <c r="AI244" s="10"/>
      <c r="AJ244" s="10"/>
      <c r="AK244" s="10"/>
      <c r="AL244" s="10"/>
      <c r="AM244" s="10"/>
      <c r="AN244" s="10"/>
      <c r="AO244" s="10"/>
      <c r="AW244" s="143"/>
      <c r="BA244" s="10"/>
      <c r="BD244" s="10"/>
      <c r="BE244" s="10"/>
      <c r="BF244" s="10"/>
      <c r="BG244" s="10"/>
      <c r="BH244" s="10"/>
      <c r="BI244" s="10"/>
      <c r="BJ244" s="10"/>
      <c r="BK244" s="10"/>
      <c r="BM244" s="10"/>
      <c r="BN244" s="10"/>
      <c r="BO244" s="10"/>
      <c r="BP244" s="10"/>
      <c r="BQ244" s="10"/>
      <c r="BR244" s="10"/>
      <c r="BS244" s="10"/>
      <c r="BT244" s="10"/>
      <c r="BV244" s="10"/>
      <c r="BW244" s="10"/>
    </row>
    <row r="245">
      <c r="A245" s="10"/>
      <c r="B245" s="10"/>
      <c r="C245" s="10"/>
      <c r="D245" s="10"/>
      <c r="E245" s="10"/>
      <c r="F245" s="10"/>
      <c r="G245" s="10"/>
      <c r="H245" s="10"/>
      <c r="K245" s="10"/>
      <c r="L245" s="10"/>
      <c r="U245" s="10"/>
      <c r="V245" s="10"/>
      <c r="W245" s="10"/>
      <c r="Y245" s="10"/>
      <c r="Z245" s="10"/>
      <c r="AA245" s="10"/>
      <c r="AB245" s="10"/>
      <c r="AC245" s="10"/>
      <c r="AD245" s="10"/>
      <c r="AE245" s="10"/>
      <c r="AF245" s="10"/>
      <c r="AG245" s="10"/>
      <c r="AH245" s="10"/>
      <c r="AI245" s="10"/>
      <c r="AJ245" s="10"/>
      <c r="AK245" s="10"/>
      <c r="AL245" s="10"/>
      <c r="AM245" s="10"/>
      <c r="AN245" s="10"/>
      <c r="AO245" s="10"/>
      <c r="AW245" s="143"/>
      <c r="BA245" s="10"/>
      <c r="BD245" s="10"/>
      <c r="BE245" s="10"/>
      <c r="BF245" s="10"/>
      <c r="BG245" s="10"/>
      <c r="BH245" s="10"/>
      <c r="BI245" s="10"/>
      <c r="BJ245" s="10"/>
      <c r="BK245" s="10"/>
      <c r="BS245" s="10"/>
      <c r="BT245" s="10"/>
      <c r="BV245" s="10"/>
      <c r="BW245" s="10"/>
    </row>
    <row r="246">
      <c r="A246" s="10"/>
      <c r="B246" s="10"/>
      <c r="C246" s="10"/>
      <c r="D246" s="10"/>
      <c r="E246" s="10"/>
      <c r="F246" s="10"/>
      <c r="G246" s="10"/>
      <c r="H246" s="10"/>
      <c r="J246" s="10"/>
      <c r="K246" s="10"/>
      <c r="L246" s="10"/>
      <c r="U246" s="10"/>
      <c r="V246" s="10"/>
      <c r="W246" s="10"/>
      <c r="X246" s="10"/>
      <c r="Y246" s="10"/>
      <c r="Z246" s="10"/>
      <c r="AA246" s="10"/>
      <c r="AB246" s="10"/>
      <c r="AC246" s="10"/>
      <c r="AD246" s="10"/>
      <c r="AE246" s="10"/>
      <c r="AF246" s="10"/>
      <c r="AG246" s="10"/>
      <c r="AH246" s="10"/>
      <c r="AI246" s="10"/>
      <c r="AJ246" s="10"/>
      <c r="AK246" s="10"/>
      <c r="AL246" s="10"/>
      <c r="AM246" s="10"/>
      <c r="AN246" s="10"/>
      <c r="AO246" s="10"/>
      <c r="AW246" s="143"/>
      <c r="BA246" s="10"/>
      <c r="BD246" s="10"/>
      <c r="BE246" s="10"/>
      <c r="BF246" s="10"/>
      <c r="BG246" s="10"/>
      <c r="BH246" s="10"/>
      <c r="BI246" s="10"/>
      <c r="BJ246" s="10"/>
      <c r="BK246" s="10"/>
      <c r="BS246" s="10"/>
      <c r="BT246" s="10"/>
      <c r="BV246" s="10"/>
      <c r="BW246" s="10"/>
    </row>
    <row r="247">
      <c r="A247" s="10"/>
      <c r="B247" s="10"/>
      <c r="C247" s="10"/>
      <c r="D247" s="10"/>
      <c r="E247" s="10"/>
      <c r="F247" s="10"/>
      <c r="G247" s="10"/>
      <c r="H247" s="10"/>
      <c r="K247" s="10"/>
      <c r="L247" s="10"/>
      <c r="P247" s="10"/>
      <c r="U247" s="10"/>
      <c r="V247" s="10"/>
      <c r="W247" s="10"/>
      <c r="Y247" s="10"/>
      <c r="Z247" s="10"/>
      <c r="AA247" s="10"/>
      <c r="AB247" s="10"/>
      <c r="AC247" s="10"/>
      <c r="AD247" s="10"/>
      <c r="AE247" s="10"/>
      <c r="AF247" s="10"/>
      <c r="AG247" s="10"/>
      <c r="AH247" s="10"/>
      <c r="AI247" s="10"/>
      <c r="AJ247" s="10"/>
      <c r="AK247" s="10"/>
      <c r="AL247" s="10"/>
      <c r="AM247" s="10"/>
      <c r="AN247" s="10"/>
      <c r="AO247" s="10"/>
      <c r="AW247" s="143"/>
      <c r="BA247" s="10"/>
      <c r="BD247" s="10"/>
      <c r="BE247" s="10"/>
      <c r="BF247" s="10"/>
      <c r="BG247" s="10"/>
      <c r="BH247" s="10"/>
      <c r="BI247" s="10"/>
      <c r="BJ247" s="10"/>
      <c r="BK247" s="10"/>
      <c r="BS247" s="10"/>
      <c r="BT247" s="10"/>
      <c r="BV247" s="10"/>
      <c r="BW247" s="10"/>
    </row>
    <row r="248">
      <c r="A248" s="10"/>
      <c r="B248" s="10"/>
      <c r="C248" s="10"/>
      <c r="D248" s="10"/>
      <c r="E248" s="10"/>
      <c r="F248" s="10"/>
      <c r="G248" s="10"/>
      <c r="H248" s="10"/>
      <c r="K248" s="10"/>
      <c r="L248" s="10"/>
      <c r="U248" s="10"/>
      <c r="V248" s="10"/>
      <c r="W248" s="10"/>
      <c r="Y248" s="10"/>
      <c r="Z248" s="10"/>
      <c r="AA248" s="10"/>
      <c r="AB248" s="10"/>
      <c r="AC248" s="10"/>
      <c r="AD248" s="10"/>
      <c r="AE248" s="10"/>
      <c r="AF248" s="10"/>
      <c r="AG248" s="10"/>
      <c r="AH248" s="10"/>
      <c r="AI248" s="10"/>
      <c r="AJ248" s="10"/>
      <c r="AK248" s="10"/>
      <c r="AL248" s="10"/>
      <c r="AM248" s="10"/>
      <c r="AN248" s="10"/>
      <c r="AO248" s="10"/>
      <c r="AW248" s="143"/>
      <c r="BA248" s="10"/>
      <c r="BD248" s="10"/>
      <c r="BE248" s="10"/>
      <c r="BF248" s="10"/>
      <c r="BG248" s="10"/>
      <c r="BH248" s="10"/>
      <c r="BI248" s="10"/>
      <c r="BJ248" s="10"/>
      <c r="BK248" s="10"/>
      <c r="BS248" s="10"/>
      <c r="BT248" s="10"/>
      <c r="BV248" s="10"/>
      <c r="BW248" s="10"/>
    </row>
    <row r="249">
      <c r="A249" s="10"/>
      <c r="B249" s="10"/>
      <c r="C249" s="10"/>
      <c r="D249" s="10"/>
      <c r="E249" s="10"/>
      <c r="F249" s="10"/>
      <c r="G249" s="10"/>
      <c r="H249" s="10"/>
      <c r="I249" s="10"/>
      <c r="K249" s="10"/>
      <c r="L249" s="10"/>
      <c r="P249" s="10"/>
      <c r="Q249" s="10"/>
      <c r="R249" s="10"/>
      <c r="S249" s="10"/>
      <c r="T249" s="10"/>
      <c r="U249" s="10"/>
      <c r="V249" s="10"/>
      <c r="W249" s="10"/>
      <c r="Y249" s="10"/>
      <c r="Z249" s="10"/>
      <c r="AA249" s="10"/>
      <c r="AB249" s="10"/>
      <c r="AC249" s="10"/>
      <c r="AD249" s="10"/>
      <c r="AE249" s="10"/>
      <c r="AF249" s="10"/>
      <c r="AG249" s="10"/>
      <c r="AH249" s="10"/>
      <c r="AI249" s="10"/>
      <c r="AJ249" s="10"/>
      <c r="AK249" s="10"/>
      <c r="AL249" s="10"/>
      <c r="AM249" s="10"/>
      <c r="AN249" s="10"/>
      <c r="AO249" s="10"/>
      <c r="AR249" s="10"/>
      <c r="AS249" s="10"/>
      <c r="AU249" s="10"/>
      <c r="AV249" s="10"/>
      <c r="AW249" s="143"/>
      <c r="BD249" s="10"/>
      <c r="BE249" s="10"/>
      <c r="BF249" s="10"/>
      <c r="BG249" s="10"/>
      <c r="BH249" s="10"/>
      <c r="BI249" s="10"/>
      <c r="BJ249" s="10"/>
      <c r="BK249" s="10"/>
      <c r="BL249" s="10"/>
      <c r="BM249" s="10"/>
      <c r="BN249" s="10"/>
      <c r="BO249" s="10"/>
      <c r="BP249" s="10"/>
      <c r="BQ249" s="10"/>
      <c r="BR249" s="10"/>
      <c r="BS249" s="10"/>
      <c r="BT249" s="10"/>
      <c r="BV249" s="10"/>
      <c r="BW249" s="10"/>
    </row>
    <row r="250">
      <c r="A250" s="10"/>
      <c r="B250" s="10"/>
      <c r="C250" s="10"/>
      <c r="D250" s="10"/>
      <c r="E250" s="10"/>
      <c r="F250" s="10"/>
      <c r="G250" s="10"/>
      <c r="H250" s="10"/>
      <c r="K250" s="10"/>
      <c r="L250" s="10"/>
      <c r="U250" s="10"/>
      <c r="V250" s="10"/>
      <c r="W250" s="10"/>
      <c r="X250" s="10"/>
      <c r="Y250" s="10"/>
      <c r="Z250" s="10"/>
      <c r="AA250" s="10"/>
      <c r="AB250" s="10"/>
      <c r="AC250" s="10"/>
      <c r="AD250" s="10"/>
      <c r="AE250" s="10"/>
      <c r="AF250" s="10"/>
      <c r="AG250" s="10"/>
      <c r="AH250" s="10"/>
      <c r="AI250" s="10"/>
      <c r="AJ250" s="10"/>
      <c r="AK250" s="10"/>
      <c r="AL250" s="10"/>
      <c r="AM250" s="10"/>
      <c r="AN250" s="10"/>
      <c r="AO250" s="10"/>
      <c r="AW250" s="143"/>
      <c r="BA250" s="10"/>
      <c r="BD250" s="10"/>
      <c r="BE250" s="10"/>
      <c r="BF250" s="10"/>
      <c r="BG250" s="10"/>
      <c r="BH250" s="10"/>
      <c r="BI250" s="10"/>
      <c r="BJ250" s="10"/>
      <c r="BK250" s="10"/>
      <c r="BL250" s="10"/>
      <c r="BO250" s="10"/>
      <c r="BR250" s="10"/>
      <c r="BT250" s="10"/>
      <c r="BV250" s="10"/>
      <c r="BW250" s="10"/>
    </row>
    <row r="251">
      <c r="A251" s="10"/>
      <c r="B251" s="10"/>
      <c r="C251" s="10"/>
      <c r="D251" s="10"/>
      <c r="E251" s="10"/>
      <c r="F251" s="10"/>
      <c r="G251" s="10"/>
      <c r="H251" s="10"/>
      <c r="K251" s="10"/>
      <c r="L251" s="10"/>
      <c r="U251" s="10"/>
      <c r="V251" s="10"/>
      <c r="W251" s="10"/>
      <c r="X251" s="10"/>
      <c r="Y251" s="10"/>
      <c r="Z251" s="10"/>
      <c r="AA251" s="10"/>
      <c r="AB251" s="10"/>
      <c r="AC251" s="10"/>
      <c r="AD251" s="10"/>
      <c r="AE251" s="10"/>
      <c r="AF251" s="10"/>
      <c r="AG251" s="10"/>
      <c r="AH251" s="10"/>
      <c r="AI251" s="10"/>
      <c r="AJ251" s="10"/>
      <c r="AK251" s="10"/>
      <c r="AL251" s="10"/>
      <c r="AM251" s="10"/>
      <c r="AN251" s="10"/>
      <c r="AO251" s="10"/>
      <c r="AW251" s="143"/>
      <c r="BA251" s="10"/>
      <c r="BD251" s="10"/>
      <c r="BE251" s="10"/>
      <c r="BF251" s="10"/>
      <c r="BG251" s="10"/>
      <c r="BH251" s="10"/>
      <c r="BI251" s="10"/>
      <c r="BJ251" s="10"/>
      <c r="BK251" s="10"/>
      <c r="BL251" s="10"/>
      <c r="BT251" s="10"/>
      <c r="BV251" s="10"/>
      <c r="BW251" s="10"/>
    </row>
    <row r="252">
      <c r="A252" s="10"/>
      <c r="B252" s="10"/>
      <c r="C252" s="10"/>
      <c r="D252" s="10"/>
      <c r="E252" s="10"/>
      <c r="F252" s="10"/>
      <c r="G252" s="10"/>
      <c r="H252" s="10"/>
      <c r="K252" s="10"/>
      <c r="L252" s="10"/>
      <c r="Q252" s="10"/>
      <c r="R252" s="10"/>
      <c r="S252" s="10"/>
      <c r="U252" s="10"/>
      <c r="V252" s="10"/>
      <c r="W252" s="10"/>
      <c r="X252" s="10"/>
      <c r="Y252" s="10"/>
      <c r="Z252" s="10"/>
      <c r="AA252" s="10"/>
      <c r="AB252" s="10"/>
      <c r="AC252" s="10"/>
      <c r="AD252" s="10"/>
      <c r="AE252" s="10"/>
      <c r="AF252" s="10"/>
      <c r="AG252" s="10"/>
      <c r="AH252" s="10"/>
      <c r="AI252" s="10"/>
      <c r="AJ252" s="10"/>
      <c r="AK252" s="10"/>
      <c r="AL252" s="10"/>
      <c r="AM252" s="10"/>
      <c r="AN252" s="10"/>
      <c r="AO252" s="10"/>
      <c r="AW252" s="143"/>
      <c r="BA252" s="10"/>
      <c r="BD252" s="10"/>
      <c r="BE252" s="10"/>
      <c r="BF252" s="10"/>
      <c r="BG252" s="10"/>
      <c r="BH252" s="10"/>
      <c r="BI252" s="10"/>
      <c r="BJ252" s="10"/>
      <c r="BK252" s="10"/>
      <c r="BL252" s="10"/>
      <c r="BM252" s="10"/>
      <c r="BN252" s="10"/>
      <c r="BO252" s="10"/>
      <c r="BP252" s="10"/>
      <c r="BQ252" s="10"/>
      <c r="BR252" s="10"/>
      <c r="BS252" s="10"/>
      <c r="BT252" s="10"/>
      <c r="BV252" s="10"/>
      <c r="BW252" s="10"/>
    </row>
    <row r="253">
      <c r="A253" s="10"/>
      <c r="B253" s="10"/>
      <c r="C253" s="10"/>
      <c r="D253" s="10"/>
      <c r="E253" s="10"/>
      <c r="F253" s="10"/>
      <c r="G253" s="10"/>
      <c r="H253" s="10"/>
      <c r="I253" s="10"/>
      <c r="K253" s="10"/>
      <c r="L253" s="10"/>
      <c r="O253" s="10"/>
      <c r="P253" s="10"/>
      <c r="T253" s="10"/>
      <c r="U253" s="10"/>
      <c r="V253" s="10"/>
      <c r="W253" s="10"/>
      <c r="Y253" s="10"/>
      <c r="Z253" s="10"/>
      <c r="AA253" s="10"/>
      <c r="AB253" s="10"/>
      <c r="AC253" s="10"/>
      <c r="AD253" s="10"/>
      <c r="AE253" s="10"/>
      <c r="AF253" s="10"/>
      <c r="AG253" s="10"/>
      <c r="AH253" s="10"/>
      <c r="AI253" s="10"/>
      <c r="AJ253" s="10"/>
      <c r="AK253" s="10"/>
      <c r="AL253" s="10"/>
      <c r="AM253" s="10"/>
      <c r="AN253" s="10"/>
      <c r="AO253" s="10"/>
      <c r="AR253" s="10"/>
      <c r="AS253" s="10"/>
      <c r="AU253" s="10"/>
      <c r="AV253" s="10"/>
      <c r="AW253" s="143"/>
      <c r="BD253" s="10"/>
      <c r="BE253" s="10"/>
      <c r="BF253" s="10"/>
      <c r="BG253" s="10"/>
      <c r="BH253" s="10"/>
      <c r="BI253" s="10"/>
      <c r="BJ253" s="10"/>
      <c r="BK253" s="10"/>
      <c r="BS253" s="10"/>
      <c r="BT253" s="10"/>
      <c r="BV253" s="10"/>
      <c r="BW253" s="10"/>
    </row>
    <row r="254">
      <c r="A254" s="10"/>
      <c r="B254" s="10"/>
      <c r="C254" s="10"/>
      <c r="D254" s="10"/>
      <c r="E254" s="10"/>
      <c r="F254" s="10"/>
      <c r="G254" s="10"/>
      <c r="H254" s="10"/>
      <c r="I254" s="10"/>
      <c r="K254" s="10"/>
      <c r="L254" s="10"/>
      <c r="P254" s="10"/>
      <c r="T254" s="10"/>
      <c r="U254" s="10"/>
      <c r="V254" s="10"/>
      <c r="W254" s="10"/>
      <c r="Y254" s="10"/>
      <c r="Z254" s="10"/>
      <c r="AA254" s="10"/>
      <c r="AB254" s="10"/>
      <c r="AC254" s="10"/>
      <c r="AD254" s="10"/>
      <c r="AE254" s="10"/>
      <c r="AF254" s="10"/>
      <c r="AG254" s="10"/>
      <c r="AH254" s="10"/>
      <c r="AI254" s="10"/>
      <c r="AJ254" s="10"/>
      <c r="AK254" s="10"/>
      <c r="AL254" s="10"/>
      <c r="AM254" s="10"/>
      <c r="AN254" s="10"/>
      <c r="AO254" s="10"/>
      <c r="AR254" s="10"/>
      <c r="AS254" s="10"/>
      <c r="AU254" s="10"/>
      <c r="AV254" s="10"/>
      <c r="AW254" s="143"/>
      <c r="BD254" s="10"/>
      <c r="BE254" s="10"/>
      <c r="BF254" s="10"/>
      <c r="BG254" s="10"/>
      <c r="BH254" s="10"/>
      <c r="BI254" s="10"/>
      <c r="BJ254" s="10"/>
      <c r="BK254" s="10"/>
      <c r="BS254" s="10"/>
      <c r="BT254" s="10"/>
      <c r="BV254" s="10"/>
      <c r="BW254" s="10"/>
    </row>
    <row r="255">
      <c r="A255" s="10"/>
      <c r="B255" s="10"/>
      <c r="C255" s="10"/>
      <c r="D255" s="10"/>
      <c r="E255" s="10"/>
      <c r="F255" s="10"/>
      <c r="G255" s="10"/>
      <c r="H255" s="10"/>
      <c r="I255" s="10"/>
      <c r="K255" s="10"/>
      <c r="L255" s="10"/>
      <c r="T255" s="10"/>
      <c r="U255" s="10"/>
      <c r="V255" s="10"/>
      <c r="W255" s="10"/>
      <c r="Y255" s="10"/>
      <c r="Z255" s="10"/>
      <c r="AA255" s="10"/>
      <c r="AB255" s="10"/>
      <c r="AC255" s="10"/>
      <c r="AD255" s="10"/>
      <c r="AE255" s="10"/>
      <c r="AF255" s="10"/>
      <c r="AG255" s="10"/>
      <c r="AH255" s="10"/>
      <c r="AI255" s="10"/>
      <c r="AJ255" s="10"/>
      <c r="AK255" s="10"/>
      <c r="AL255" s="10"/>
      <c r="AM255" s="10"/>
      <c r="AN255" s="10"/>
      <c r="AO255" s="10"/>
      <c r="AR255" s="10"/>
      <c r="AS255" s="10"/>
      <c r="AU255" s="10"/>
      <c r="AV255" s="10"/>
      <c r="AW255" s="143"/>
      <c r="AZ255" s="10"/>
      <c r="BD255" s="10"/>
      <c r="BE255" s="10"/>
      <c r="BF255" s="10"/>
      <c r="BG255" s="10"/>
      <c r="BH255" s="10"/>
      <c r="BI255" s="10"/>
      <c r="BJ255" s="10"/>
      <c r="BK255" s="10"/>
      <c r="BS255" s="10"/>
      <c r="BT255" s="10"/>
      <c r="BV255" s="10"/>
      <c r="BW255" s="10"/>
    </row>
    <row r="256">
      <c r="A256" s="10"/>
      <c r="B256" s="10"/>
      <c r="C256" s="10"/>
      <c r="D256" s="10"/>
      <c r="E256" s="10"/>
      <c r="F256" s="10"/>
      <c r="G256" s="10"/>
      <c r="H256" s="10"/>
      <c r="I256" s="10"/>
      <c r="K256" s="10"/>
      <c r="L256" s="10"/>
      <c r="P256" s="10"/>
      <c r="T256" s="10"/>
      <c r="U256" s="10"/>
      <c r="V256" s="10"/>
      <c r="W256" s="10"/>
      <c r="Y256" s="10"/>
      <c r="Z256" s="10"/>
      <c r="AA256" s="10"/>
      <c r="AB256" s="10"/>
      <c r="AC256" s="10"/>
      <c r="AD256" s="10"/>
      <c r="AE256" s="10"/>
      <c r="AF256" s="10"/>
      <c r="AG256" s="10"/>
      <c r="AH256" s="10"/>
      <c r="AI256" s="10"/>
      <c r="AJ256" s="10"/>
      <c r="AK256" s="10"/>
      <c r="AL256" s="10"/>
      <c r="AM256" s="10"/>
      <c r="AN256" s="10"/>
      <c r="AO256" s="10"/>
      <c r="AR256" s="10"/>
      <c r="AS256" s="10"/>
      <c r="AU256" s="10"/>
      <c r="AV256" s="10"/>
      <c r="AW256" s="143"/>
      <c r="BD256" s="10"/>
      <c r="BE256" s="10"/>
      <c r="BF256" s="10"/>
      <c r="BG256" s="10"/>
      <c r="BH256" s="10"/>
      <c r="BI256" s="10"/>
      <c r="BJ256" s="10"/>
      <c r="BK256" s="10"/>
      <c r="BS256" s="10"/>
      <c r="BT256" s="10"/>
      <c r="BV256" s="10"/>
      <c r="BW256" s="10"/>
    </row>
    <row r="257">
      <c r="A257" s="10"/>
      <c r="B257" s="10"/>
      <c r="C257" s="10"/>
      <c r="D257" s="10"/>
      <c r="E257" s="10"/>
      <c r="F257" s="10"/>
      <c r="G257" s="10"/>
      <c r="H257" s="10"/>
      <c r="I257" s="10"/>
      <c r="K257" s="10"/>
      <c r="L257" s="10"/>
      <c r="P257" s="10"/>
      <c r="T257" s="10"/>
      <c r="U257" s="10"/>
      <c r="V257" s="10"/>
      <c r="W257" s="10"/>
      <c r="Y257" s="10"/>
      <c r="Z257" s="10"/>
      <c r="AA257" s="10"/>
      <c r="AB257" s="10"/>
      <c r="AC257" s="10"/>
      <c r="AD257" s="10"/>
      <c r="AE257" s="10"/>
      <c r="AF257" s="10"/>
      <c r="AG257" s="10"/>
      <c r="AH257" s="10"/>
      <c r="AI257" s="10"/>
      <c r="AJ257" s="10"/>
      <c r="AK257" s="10"/>
      <c r="AL257" s="10"/>
      <c r="AM257" s="10"/>
      <c r="AN257" s="10"/>
      <c r="AO257" s="10"/>
      <c r="AR257" s="10"/>
      <c r="AS257" s="10"/>
      <c r="AU257" s="10"/>
      <c r="AV257" s="10"/>
      <c r="AW257" s="143"/>
      <c r="AZ257" s="10"/>
      <c r="BD257" s="10"/>
      <c r="BE257" s="10"/>
      <c r="BF257" s="10"/>
      <c r="BG257" s="10"/>
      <c r="BH257" s="10"/>
      <c r="BI257" s="10"/>
      <c r="BJ257" s="10"/>
      <c r="BK257" s="10"/>
      <c r="BS257" s="10"/>
      <c r="BT257" s="10"/>
      <c r="BV257" s="10"/>
      <c r="BW257" s="10"/>
    </row>
    <row r="258">
      <c r="A258" s="10"/>
      <c r="B258" s="10"/>
      <c r="C258" s="10"/>
      <c r="D258" s="10"/>
      <c r="E258" s="10"/>
      <c r="F258" s="10"/>
      <c r="G258" s="10"/>
      <c r="H258" s="10"/>
      <c r="I258" s="10"/>
      <c r="K258" s="10"/>
      <c r="L258" s="10"/>
      <c r="P258" s="10"/>
      <c r="T258" s="10"/>
      <c r="U258" s="10"/>
      <c r="V258" s="10"/>
      <c r="W258" s="10"/>
      <c r="Y258" s="10"/>
      <c r="Z258" s="10"/>
      <c r="AA258" s="10"/>
      <c r="AB258" s="10"/>
      <c r="AC258" s="10"/>
      <c r="AD258" s="10"/>
      <c r="AE258" s="10"/>
      <c r="AF258" s="10"/>
      <c r="AG258" s="10"/>
      <c r="AH258" s="10"/>
      <c r="AI258" s="10"/>
      <c r="AJ258" s="10"/>
      <c r="AK258" s="10"/>
      <c r="AL258" s="10"/>
      <c r="AM258" s="10"/>
      <c r="AN258" s="10"/>
      <c r="AO258" s="10"/>
      <c r="AR258" s="10"/>
      <c r="AS258" s="10"/>
      <c r="AU258" s="10"/>
      <c r="AV258" s="10"/>
      <c r="AW258" s="143"/>
      <c r="BD258" s="10"/>
      <c r="BE258" s="10"/>
      <c r="BF258" s="10"/>
      <c r="BG258" s="10"/>
      <c r="BH258" s="10"/>
      <c r="BI258" s="10"/>
      <c r="BJ258" s="10"/>
      <c r="BK258" s="10"/>
      <c r="BS258" s="10"/>
      <c r="BT258" s="10"/>
      <c r="BV258" s="10"/>
      <c r="BW258" s="10"/>
    </row>
    <row r="259">
      <c r="A259" s="10"/>
      <c r="B259" s="10"/>
      <c r="C259" s="10"/>
      <c r="D259" s="10"/>
      <c r="E259" s="10"/>
      <c r="F259" s="10"/>
      <c r="G259" s="10"/>
      <c r="H259" s="10"/>
      <c r="I259" s="10"/>
      <c r="J259" s="10"/>
      <c r="K259" s="10"/>
      <c r="L259" s="10"/>
      <c r="P259" s="10"/>
      <c r="Q259" s="10"/>
      <c r="R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U259" s="10"/>
      <c r="AV259" s="10"/>
      <c r="AW259" s="143"/>
      <c r="BD259" s="10"/>
      <c r="BE259" s="10"/>
      <c r="BF259" s="10"/>
      <c r="BG259" s="10"/>
      <c r="BH259" s="10"/>
      <c r="BI259" s="10"/>
      <c r="BJ259" s="10"/>
      <c r="BK259" s="10"/>
      <c r="BL259" s="10"/>
      <c r="BM259" s="10"/>
      <c r="BN259" s="10"/>
      <c r="BO259" s="10"/>
      <c r="BR259" s="10"/>
      <c r="BS259" s="10"/>
      <c r="BT259" s="10"/>
      <c r="BV259" s="10"/>
      <c r="BW259" s="10"/>
    </row>
    <row r="260">
      <c r="A260" s="10"/>
      <c r="B260" s="10"/>
      <c r="C260" s="10"/>
      <c r="D260" s="10"/>
      <c r="E260" s="10"/>
      <c r="F260" s="10"/>
      <c r="G260" s="10"/>
      <c r="H260" s="10"/>
      <c r="I260" s="10"/>
      <c r="J260" s="10"/>
      <c r="K260" s="10"/>
      <c r="L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U260" s="10"/>
      <c r="AV260" s="10"/>
      <c r="AW260" s="143"/>
      <c r="BD260" s="10"/>
      <c r="BE260" s="10"/>
      <c r="BF260" s="10"/>
      <c r="BG260" s="10"/>
      <c r="BH260" s="10"/>
      <c r="BI260" s="10"/>
      <c r="BJ260" s="10"/>
      <c r="BK260" s="10"/>
      <c r="BS260" s="10"/>
      <c r="BT260" s="10"/>
      <c r="BV260" s="10"/>
      <c r="BW260" s="10"/>
    </row>
    <row r="261">
      <c r="A261" s="10"/>
      <c r="B261" s="10"/>
      <c r="C261" s="10"/>
      <c r="D261" s="10"/>
      <c r="E261" s="10"/>
      <c r="F261" s="10"/>
      <c r="G261" s="10"/>
      <c r="H261" s="10"/>
      <c r="I261" s="10"/>
      <c r="J261" s="10"/>
      <c r="K261" s="10"/>
      <c r="L261" s="10"/>
      <c r="N261" s="10"/>
      <c r="O261" s="10"/>
      <c r="P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U261" s="10"/>
      <c r="AV261" s="10"/>
      <c r="AW261" s="143"/>
      <c r="BD261" s="10"/>
      <c r="BE261" s="10"/>
      <c r="BF261" s="10"/>
      <c r="BG261" s="10"/>
      <c r="BH261" s="10"/>
      <c r="BI261" s="10"/>
      <c r="BJ261" s="10"/>
      <c r="BK261" s="10"/>
      <c r="BS261" s="10"/>
      <c r="BT261" s="10"/>
      <c r="BV261" s="10"/>
      <c r="BW261" s="10"/>
    </row>
    <row r="262">
      <c r="A262" s="10"/>
      <c r="B262" s="10"/>
      <c r="C262" s="10"/>
      <c r="D262" s="10"/>
      <c r="E262" s="10"/>
      <c r="F262" s="10"/>
      <c r="G262" s="10"/>
      <c r="H262" s="10"/>
      <c r="I262" s="10"/>
      <c r="J262" s="10"/>
      <c r="K262" s="10"/>
      <c r="L262" s="10"/>
      <c r="P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W262" s="143"/>
      <c r="BD262" s="10"/>
      <c r="BE262" s="10"/>
      <c r="BF262" s="10"/>
      <c r="BG262" s="10"/>
      <c r="BH262" s="10"/>
      <c r="BI262" s="10"/>
      <c r="BJ262" s="10"/>
      <c r="BK262" s="10"/>
      <c r="BL262" s="10"/>
      <c r="BM262" s="10"/>
      <c r="BN262" s="10"/>
      <c r="BO262" s="10"/>
      <c r="BP262" s="10"/>
      <c r="BQ262" s="10"/>
      <c r="BR262" s="10"/>
      <c r="BS262" s="10"/>
      <c r="BT262" s="10"/>
      <c r="BV262" s="10"/>
      <c r="BW262" s="10"/>
    </row>
    <row r="263">
      <c r="A263" s="10"/>
      <c r="B263" s="10"/>
      <c r="C263" s="10"/>
      <c r="D263" s="10"/>
      <c r="E263" s="10"/>
      <c r="F263" s="10"/>
      <c r="G263" s="10"/>
      <c r="H263" s="10"/>
      <c r="I263" s="10"/>
      <c r="J263" s="10"/>
      <c r="K263" s="10"/>
      <c r="L263" s="10"/>
      <c r="N263" s="10"/>
      <c r="P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W263" s="143"/>
      <c r="AZ263" s="10"/>
      <c r="BD263" s="10"/>
      <c r="BE263" s="10"/>
      <c r="BF263" s="10"/>
      <c r="BG263" s="10"/>
      <c r="BH263" s="10"/>
      <c r="BI263" s="10"/>
      <c r="BJ263" s="10"/>
      <c r="BK263" s="10"/>
      <c r="BL263" s="10"/>
      <c r="BM263" s="10"/>
      <c r="BN263" s="10"/>
      <c r="BO263" s="10"/>
      <c r="BP263" s="10"/>
      <c r="BQ263" s="10"/>
      <c r="BR263" s="10"/>
      <c r="BS263" s="10"/>
      <c r="BT263" s="10"/>
      <c r="BV263" s="10"/>
      <c r="BW263" s="10"/>
    </row>
    <row r="264">
      <c r="A264" s="10"/>
      <c r="B264" s="10"/>
      <c r="C264" s="10"/>
      <c r="D264" s="10"/>
      <c r="E264" s="10"/>
      <c r="F264" s="10"/>
      <c r="G264" s="10"/>
      <c r="H264" s="10"/>
      <c r="I264" s="10"/>
      <c r="J264" s="10"/>
      <c r="K264" s="10"/>
      <c r="L264" s="10"/>
      <c r="N264" s="10"/>
      <c r="P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W264" s="143"/>
      <c r="BD264" s="10"/>
      <c r="BE264" s="10"/>
      <c r="BF264" s="10"/>
      <c r="BG264" s="10"/>
      <c r="BH264" s="10"/>
      <c r="BI264" s="10"/>
      <c r="BJ264" s="10"/>
      <c r="BK264" s="10"/>
      <c r="BL264" s="10"/>
      <c r="BM264" s="10"/>
      <c r="BN264" s="10"/>
      <c r="BO264" s="10"/>
      <c r="BP264" s="10"/>
      <c r="BQ264" s="10"/>
      <c r="BR264" s="10"/>
      <c r="BS264" s="10"/>
      <c r="BT264" s="10"/>
      <c r="BV264" s="10"/>
      <c r="BW264" s="10"/>
    </row>
    <row r="265">
      <c r="A265" s="10"/>
      <c r="B265" s="10"/>
      <c r="C265" s="10"/>
      <c r="D265" s="10"/>
      <c r="E265" s="10"/>
      <c r="F265" s="10"/>
      <c r="G265" s="10"/>
      <c r="H265" s="10"/>
      <c r="I265" s="10"/>
      <c r="J265" s="10"/>
      <c r="K265" s="10"/>
      <c r="L265" s="10"/>
      <c r="N265" s="10"/>
      <c r="O265" s="10"/>
      <c r="P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W265" s="143"/>
      <c r="BD265" s="10"/>
      <c r="BE265" s="10"/>
      <c r="BF265" s="10"/>
      <c r="BG265" s="10"/>
      <c r="BH265" s="10"/>
      <c r="BI265" s="10"/>
      <c r="BJ265" s="10"/>
      <c r="BK265" s="10"/>
      <c r="BL265" s="10"/>
      <c r="BM265" s="10"/>
      <c r="BN265" s="10"/>
      <c r="BO265" s="10"/>
      <c r="BP265" s="10"/>
      <c r="BQ265" s="10"/>
      <c r="BR265" s="10"/>
      <c r="BS265" s="10"/>
      <c r="BT265" s="10"/>
      <c r="BV265" s="10"/>
      <c r="BW265" s="10"/>
    </row>
    <row r="266">
      <c r="A266" s="10"/>
      <c r="B266" s="10"/>
      <c r="C266" s="10"/>
      <c r="D266" s="10"/>
      <c r="E266" s="10"/>
      <c r="F266" s="10"/>
      <c r="G266" s="10"/>
      <c r="H266" s="10"/>
      <c r="I266" s="10"/>
      <c r="J266" s="10"/>
      <c r="K266" s="10"/>
      <c r="L266" s="10"/>
      <c r="N266" s="10"/>
      <c r="P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W266" s="143"/>
      <c r="BD266" s="10"/>
      <c r="BS266" s="10"/>
      <c r="BT266" s="10"/>
      <c r="BV266" s="10"/>
      <c r="BW266" s="10"/>
    </row>
    <row r="267">
      <c r="A267" s="10"/>
      <c r="B267" s="10"/>
      <c r="C267" s="10"/>
      <c r="D267" s="10"/>
      <c r="E267" s="10"/>
      <c r="F267" s="10"/>
      <c r="G267" s="10"/>
      <c r="H267" s="10"/>
      <c r="K267" s="10"/>
      <c r="L267" s="10"/>
      <c r="N267" s="10"/>
      <c r="Q267" s="10"/>
      <c r="R267" s="10"/>
      <c r="V267" s="10"/>
      <c r="W267" s="10"/>
      <c r="Y267" s="10"/>
      <c r="Z267" s="10"/>
      <c r="AA267" s="10"/>
      <c r="AB267" s="10"/>
      <c r="AC267" s="10"/>
      <c r="AD267" s="10"/>
      <c r="AE267" s="10"/>
      <c r="AF267" s="10"/>
      <c r="AG267" s="10"/>
      <c r="AH267" s="10"/>
      <c r="AI267" s="10"/>
      <c r="AJ267" s="10"/>
      <c r="AK267" s="10"/>
      <c r="AL267" s="10"/>
      <c r="AM267" s="10"/>
      <c r="AN267" s="10"/>
      <c r="AO267" s="10"/>
      <c r="AW267" s="143"/>
      <c r="BD267" s="10"/>
      <c r="BE267" s="10"/>
      <c r="BF267" s="10"/>
      <c r="BG267" s="10"/>
      <c r="BH267" s="10"/>
      <c r="BI267" s="10"/>
      <c r="BJ267" s="10"/>
      <c r="BK267" s="10"/>
      <c r="BL267" s="10"/>
      <c r="BO267" s="10"/>
      <c r="BR267" s="10"/>
      <c r="BS267" s="10"/>
      <c r="BT267" s="10"/>
      <c r="BV267" s="10"/>
      <c r="BW267" s="10"/>
    </row>
    <row r="268">
      <c r="B268" s="10"/>
      <c r="C268" s="10"/>
      <c r="D268" s="10"/>
      <c r="E268" s="10"/>
      <c r="F268" s="10"/>
      <c r="G268" s="10"/>
      <c r="H268" s="10"/>
      <c r="K268" s="10"/>
      <c r="L268" s="10"/>
      <c r="V268" s="10"/>
      <c r="W268" s="10"/>
      <c r="Y268" s="10"/>
      <c r="Z268" s="10"/>
      <c r="AA268" s="10"/>
      <c r="AB268" s="10"/>
      <c r="AC268" s="10"/>
      <c r="AD268" s="10"/>
      <c r="AE268" s="10"/>
      <c r="AF268" s="10"/>
      <c r="AG268" s="10"/>
      <c r="AH268" s="10"/>
      <c r="AI268" s="10"/>
      <c r="AJ268" s="10"/>
      <c r="AK268" s="10"/>
      <c r="AL268" s="10"/>
      <c r="AM268" s="10"/>
      <c r="AN268" s="10"/>
      <c r="AO268" s="10"/>
      <c r="AW268" s="143"/>
      <c r="BD268" s="10"/>
      <c r="BE268" s="10"/>
      <c r="BF268" s="10"/>
      <c r="BG268" s="10"/>
      <c r="BH268" s="10"/>
      <c r="BI268" s="10"/>
      <c r="BJ268" s="10"/>
      <c r="BK268" s="10"/>
      <c r="BL268" s="10"/>
      <c r="BN268" s="10"/>
      <c r="BO268" s="10"/>
      <c r="BQ268" s="10"/>
      <c r="BR268" s="10"/>
      <c r="BT268" s="10"/>
      <c r="BV268" s="10"/>
      <c r="BW268" s="10"/>
    </row>
    <row r="269">
      <c r="B269" s="10"/>
      <c r="C269" s="10"/>
      <c r="D269" s="10"/>
      <c r="E269" s="10"/>
      <c r="F269" s="10"/>
      <c r="G269" s="10"/>
      <c r="H269" s="10"/>
      <c r="K269" s="10"/>
      <c r="L269" s="10"/>
      <c r="N269" s="10"/>
      <c r="P269" s="10"/>
      <c r="T269" s="10"/>
      <c r="U269" s="10"/>
      <c r="V269" s="10"/>
      <c r="W269" s="10"/>
      <c r="Y269" s="10"/>
      <c r="Z269" s="10"/>
      <c r="AA269" s="10"/>
      <c r="AB269" s="10"/>
      <c r="AC269" s="10"/>
      <c r="AD269" s="10"/>
      <c r="AE269" s="10"/>
      <c r="AF269" s="10"/>
      <c r="AG269" s="10"/>
      <c r="AH269" s="10"/>
      <c r="AI269" s="10"/>
      <c r="AJ269" s="10"/>
      <c r="AK269" s="10"/>
      <c r="AL269" s="10"/>
      <c r="AM269" s="10"/>
      <c r="AN269" s="10"/>
      <c r="AO269" s="10"/>
      <c r="AW269" s="143"/>
      <c r="BD269" s="10"/>
      <c r="BE269" s="10"/>
      <c r="BF269" s="10"/>
      <c r="BG269" s="10"/>
      <c r="BH269" s="10"/>
      <c r="BI269" s="10"/>
      <c r="BJ269" s="10"/>
      <c r="BK269" s="10"/>
      <c r="BL269" s="10"/>
      <c r="BO269" s="10"/>
      <c r="BR269" s="10"/>
      <c r="BS269" s="10"/>
      <c r="BT269" s="10"/>
      <c r="BV269" s="10"/>
      <c r="BW269" s="10"/>
    </row>
    <row r="270">
      <c r="B270" s="10"/>
      <c r="C270" s="10"/>
      <c r="D270" s="10"/>
      <c r="E270" s="10"/>
      <c r="F270" s="10"/>
      <c r="G270" s="10"/>
      <c r="H270" s="10"/>
      <c r="K270" s="10"/>
      <c r="L270" s="10"/>
      <c r="V270" s="10"/>
      <c r="W270" s="10"/>
      <c r="X270" s="10"/>
      <c r="Y270" s="10"/>
      <c r="Z270" s="10"/>
      <c r="AA270" s="10"/>
      <c r="AB270" s="10"/>
      <c r="AC270" s="10"/>
      <c r="AD270" s="10"/>
      <c r="AE270" s="10"/>
      <c r="AF270" s="10"/>
      <c r="AG270" s="10"/>
      <c r="AH270" s="10"/>
      <c r="AI270" s="10"/>
      <c r="AJ270" s="10"/>
      <c r="AK270" s="10"/>
      <c r="AL270" s="10"/>
      <c r="AM270" s="10"/>
      <c r="AN270" s="10"/>
      <c r="AO270" s="10"/>
      <c r="AW270" s="143"/>
      <c r="BD270" s="10"/>
      <c r="BE270" s="10"/>
      <c r="BF270" s="10"/>
      <c r="BG270" s="10"/>
      <c r="BH270" s="10"/>
      <c r="BI270" s="10"/>
      <c r="BJ270" s="10"/>
      <c r="BK270" s="10"/>
      <c r="BN270" s="10"/>
      <c r="BQ270" s="10"/>
      <c r="BT270" s="10"/>
      <c r="BV270" s="10"/>
      <c r="BW270" s="10"/>
    </row>
    <row r="271">
      <c r="B271" s="10"/>
      <c r="C271" s="10"/>
      <c r="D271" s="10"/>
      <c r="E271" s="10"/>
      <c r="F271" s="10"/>
      <c r="G271" s="10"/>
      <c r="H271" s="10"/>
      <c r="K271" s="10"/>
      <c r="L271" s="10"/>
      <c r="N271" s="10"/>
      <c r="Q271" s="10"/>
      <c r="R271" s="10"/>
      <c r="V271" s="10"/>
      <c r="W271" s="10"/>
      <c r="Y271" s="10"/>
      <c r="Z271" s="10"/>
      <c r="AA271" s="10"/>
      <c r="AB271" s="10"/>
      <c r="AC271" s="10"/>
      <c r="AD271" s="10"/>
      <c r="AE271" s="10"/>
      <c r="AF271" s="10"/>
      <c r="AG271" s="10"/>
      <c r="AH271" s="10"/>
      <c r="AI271" s="10"/>
      <c r="AJ271" s="10"/>
      <c r="AK271" s="10"/>
      <c r="AL271" s="10"/>
      <c r="AM271" s="10"/>
      <c r="AN271" s="10"/>
      <c r="AO271" s="10"/>
      <c r="AW271" s="143"/>
      <c r="BD271" s="10"/>
      <c r="BE271" s="10"/>
      <c r="BF271" s="10"/>
      <c r="BG271" s="10"/>
      <c r="BH271" s="10"/>
      <c r="BI271" s="10"/>
      <c r="BJ271" s="10"/>
      <c r="BK271" s="10"/>
      <c r="BN271" s="10"/>
      <c r="BQ271" s="10"/>
      <c r="BT271" s="10"/>
      <c r="BV271" s="10"/>
      <c r="BW271" s="10"/>
    </row>
    <row r="272">
      <c r="B272" s="10"/>
      <c r="C272" s="10"/>
      <c r="D272" s="10"/>
      <c r="E272" s="10"/>
      <c r="F272" s="10"/>
      <c r="G272" s="10"/>
      <c r="H272" s="10"/>
      <c r="J272" s="10"/>
      <c r="K272" s="10"/>
      <c r="L272" s="10"/>
      <c r="N272" s="10"/>
      <c r="P272" s="10"/>
      <c r="Q272" s="10"/>
      <c r="V272" s="10"/>
      <c r="W272" s="10"/>
      <c r="X272" s="10"/>
      <c r="Y272" s="10"/>
      <c r="Z272" s="10"/>
      <c r="AA272" s="10"/>
      <c r="AB272" s="10"/>
      <c r="AC272" s="10"/>
      <c r="AD272" s="10"/>
      <c r="AE272" s="10"/>
      <c r="AF272" s="10"/>
      <c r="AG272" s="10"/>
      <c r="AH272" s="10"/>
      <c r="AI272" s="10"/>
      <c r="AJ272" s="10"/>
      <c r="AK272" s="10"/>
      <c r="AL272" s="10"/>
      <c r="AM272" s="10"/>
      <c r="AN272" s="10"/>
      <c r="AO272" s="10"/>
      <c r="AW272" s="244"/>
      <c r="BD272" s="10"/>
      <c r="BE272" s="10"/>
      <c r="BF272" s="10"/>
      <c r="BG272" s="10"/>
      <c r="BH272" s="10"/>
      <c r="BI272" s="10"/>
      <c r="BJ272" s="10"/>
      <c r="BK272" s="10"/>
      <c r="BS272" s="10"/>
      <c r="BT272" s="10"/>
      <c r="BV272" s="10"/>
      <c r="BW272" s="10"/>
    </row>
    <row r="273">
      <c r="A273" s="10"/>
      <c r="B273" s="10"/>
      <c r="C273" s="10"/>
      <c r="D273" s="10"/>
      <c r="E273" s="10"/>
      <c r="F273" s="10"/>
      <c r="G273" s="10"/>
      <c r="H273" s="10"/>
      <c r="I273" s="10"/>
      <c r="J273" s="10"/>
      <c r="N273" s="10"/>
      <c r="O273" s="10"/>
      <c r="P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43"/>
      <c r="AX273" s="10"/>
      <c r="AY273" s="10"/>
      <c r="BS273" s="10"/>
      <c r="BT273" s="10"/>
      <c r="BW273" s="10"/>
    </row>
    <row r="274">
      <c r="A274" s="10"/>
      <c r="B274" s="10"/>
      <c r="C274" s="10"/>
      <c r="D274" s="10"/>
      <c r="E274" s="10"/>
      <c r="F274" s="10"/>
      <c r="G274" s="10"/>
      <c r="H274" s="10"/>
      <c r="I274" s="10"/>
      <c r="J274" s="10"/>
      <c r="N274" s="10"/>
      <c r="O274" s="10"/>
      <c r="P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43"/>
      <c r="AX274" s="10"/>
      <c r="AY274" s="10"/>
      <c r="BS274" s="10"/>
      <c r="BT274" s="10"/>
      <c r="BW274" s="10"/>
    </row>
    <row r="275">
      <c r="A275" s="10"/>
      <c r="B275" s="10"/>
      <c r="C275" s="10"/>
      <c r="D275" s="10"/>
      <c r="E275" s="10"/>
      <c r="F275" s="10"/>
      <c r="G275" s="10"/>
      <c r="H275" s="10"/>
      <c r="I275" s="10"/>
      <c r="J275" s="10"/>
      <c r="N275" s="10"/>
      <c r="O275" s="10"/>
      <c r="P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43"/>
      <c r="AX275" s="10"/>
      <c r="AY275" s="10"/>
      <c r="BS275" s="10"/>
      <c r="BT275" s="10"/>
      <c r="BW275" s="10"/>
    </row>
    <row r="276">
      <c r="A276" s="10"/>
      <c r="B276" s="10"/>
      <c r="C276" s="10"/>
      <c r="D276" s="10"/>
      <c r="E276" s="10"/>
      <c r="F276" s="10"/>
      <c r="G276" s="10"/>
      <c r="H276" s="10"/>
      <c r="I276" s="10"/>
      <c r="J276" s="10"/>
      <c r="N276" s="10"/>
      <c r="O276" s="10"/>
      <c r="P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43"/>
      <c r="AX276" s="10"/>
      <c r="AY276" s="10"/>
      <c r="BS276" s="10"/>
      <c r="BT276" s="10"/>
      <c r="BW276" s="10"/>
    </row>
    <row r="277">
      <c r="A277" s="10"/>
      <c r="B277" s="10"/>
      <c r="C277" s="10"/>
      <c r="D277" s="10"/>
      <c r="E277" s="10"/>
      <c r="F277" s="10"/>
      <c r="G277" s="10"/>
      <c r="H277" s="10"/>
      <c r="I277" s="10"/>
      <c r="J277" s="10"/>
      <c r="N277" s="10"/>
      <c r="O277" s="10"/>
      <c r="P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43"/>
      <c r="AX277" s="10"/>
      <c r="AY277" s="10"/>
      <c r="BS277" s="10"/>
      <c r="BT277" s="10"/>
      <c r="BW277" s="10"/>
    </row>
    <row r="278">
      <c r="A278" s="10"/>
      <c r="B278" s="10"/>
      <c r="C278" s="10"/>
      <c r="D278" s="10"/>
      <c r="E278" s="10"/>
      <c r="F278" s="10"/>
      <c r="G278" s="10"/>
      <c r="H278" s="10"/>
      <c r="I278" s="10"/>
      <c r="J278" s="10"/>
      <c r="K278" s="10"/>
      <c r="L278" s="10"/>
      <c r="N278" s="10"/>
      <c r="O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43"/>
      <c r="AX278" s="10"/>
      <c r="AY278" s="10"/>
      <c r="AZ278" s="10"/>
      <c r="BE278" s="10"/>
      <c r="BF278" s="10"/>
      <c r="BG278" s="10"/>
      <c r="BH278" s="10"/>
      <c r="BI278" s="10"/>
      <c r="BJ278" s="10"/>
      <c r="BK278" s="10"/>
      <c r="BL278" s="10"/>
      <c r="BM278" s="10"/>
      <c r="BN278" s="10"/>
      <c r="BO278" s="10"/>
      <c r="BP278" s="10"/>
      <c r="BQ278" s="10"/>
      <c r="BR278" s="10"/>
      <c r="BS278" s="10"/>
      <c r="BT278" s="10"/>
      <c r="BW278" s="10"/>
    </row>
    <row r="279">
      <c r="A279" s="10"/>
      <c r="B279" s="10"/>
      <c r="C279" s="10"/>
      <c r="D279" s="10"/>
      <c r="E279" s="10"/>
      <c r="F279" s="10"/>
      <c r="G279" s="10"/>
      <c r="H279" s="10"/>
      <c r="I279" s="10"/>
      <c r="J279" s="10"/>
      <c r="K279" s="10"/>
      <c r="L279" s="10"/>
      <c r="N279" s="10"/>
      <c r="O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43"/>
      <c r="AX279" s="10"/>
      <c r="AY279" s="10"/>
      <c r="AZ279" s="10"/>
      <c r="BE279" s="10"/>
      <c r="BF279" s="10"/>
      <c r="BG279" s="10"/>
      <c r="BH279" s="10"/>
      <c r="BI279" s="10"/>
      <c r="BJ279" s="10"/>
      <c r="BK279" s="10"/>
      <c r="BL279" s="10"/>
      <c r="BM279" s="10"/>
      <c r="BO279" s="10"/>
      <c r="BP279" s="10"/>
      <c r="BR279" s="10"/>
      <c r="BS279" s="10"/>
      <c r="BT279" s="10"/>
      <c r="BW279" s="10"/>
    </row>
    <row r="280">
      <c r="A280" s="10"/>
      <c r="B280" s="10"/>
      <c r="C280" s="10"/>
      <c r="D280" s="10"/>
      <c r="E280" s="10"/>
      <c r="F280" s="10"/>
      <c r="G280" s="10"/>
      <c r="H280" s="10"/>
      <c r="I280" s="10"/>
      <c r="J280" s="10"/>
      <c r="K280" s="10"/>
      <c r="L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43"/>
      <c r="AX280" s="10"/>
      <c r="AY280" s="10"/>
      <c r="AZ280" s="10"/>
      <c r="BE280" s="10"/>
      <c r="BF280" s="10"/>
      <c r="BG280" s="10"/>
      <c r="BH280" s="10"/>
      <c r="BI280" s="10"/>
      <c r="BJ280" s="10"/>
      <c r="BK280" s="10"/>
      <c r="BL280" s="10"/>
      <c r="BM280" s="10"/>
      <c r="BN280" s="10"/>
      <c r="BO280" s="10"/>
      <c r="BP280" s="10"/>
      <c r="BQ280" s="10"/>
      <c r="BR280" s="10"/>
      <c r="BS280" s="10"/>
      <c r="BT280" s="10"/>
      <c r="BW280" s="10"/>
    </row>
    <row r="281">
      <c r="A281" s="10"/>
      <c r="B281" s="10"/>
      <c r="C281" s="10"/>
      <c r="D281" s="10"/>
      <c r="E281" s="10"/>
      <c r="F281" s="10"/>
      <c r="G281" s="10"/>
      <c r="H281" s="10"/>
      <c r="I281" s="10"/>
      <c r="J281" s="10"/>
      <c r="K281" s="10"/>
      <c r="L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43"/>
      <c r="AX281" s="10"/>
      <c r="AY281" s="10"/>
      <c r="AZ281" s="10"/>
      <c r="BL281" s="10"/>
      <c r="BM281" s="10"/>
      <c r="BO281" s="10"/>
      <c r="BP281" s="10"/>
      <c r="BR281" s="10"/>
      <c r="BS281" s="10"/>
      <c r="BT281" s="10"/>
      <c r="BW281" s="10"/>
    </row>
    <row r="282">
      <c r="A282" s="10"/>
      <c r="B282" s="10"/>
      <c r="C282" s="10"/>
      <c r="D282" s="10"/>
      <c r="E282" s="10"/>
      <c r="F282" s="10"/>
      <c r="G282" s="10"/>
      <c r="H282" s="10"/>
      <c r="J282" s="10"/>
      <c r="K282" s="10"/>
      <c r="L282" s="10"/>
      <c r="N282" s="10"/>
      <c r="P282" s="10"/>
      <c r="V282" s="10"/>
      <c r="W282" s="10"/>
      <c r="X282" s="10"/>
      <c r="Y282" s="10"/>
      <c r="Z282" s="10"/>
      <c r="AA282" s="10"/>
      <c r="AB282" s="10"/>
      <c r="AC282" s="10"/>
      <c r="AD282" s="10"/>
      <c r="AE282" s="10"/>
      <c r="AF282" s="10"/>
      <c r="AG282" s="10"/>
      <c r="AH282" s="10"/>
      <c r="AI282" s="10"/>
      <c r="AJ282" s="10"/>
      <c r="AK282" s="10"/>
      <c r="AL282" s="10"/>
      <c r="AM282" s="10"/>
      <c r="AN282" s="10"/>
      <c r="AO282" s="10"/>
      <c r="AR282" s="10"/>
      <c r="AT282" s="10"/>
      <c r="AW282" s="244"/>
      <c r="BA282" s="10"/>
      <c r="BD282" s="10"/>
      <c r="BE282" s="10"/>
      <c r="BF282" s="10"/>
      <c r="BG282" s="10"/>
      <c r="BH282" s="10"/>
      <c r="BI282" s="10"/>
      <c r="BJ282" s="10"/>
      <c r="BK282" s="10"/>
      <c r="BL282" s="10"/>
      <c r="BS282" s="10"/>
      <c r="BT282" s="10"/>
      <c r="BV282" s="10"/>
      <c r="BW282" s="10"/>
    </row>
    <row r="283">
      <c r="A283" s="10"/>
      <c r="B283" s="10"/>
      <c r="C283" s="10"/>
      <c r="D283" s="10"/>
      <c r="E283" s="10"/>
      <c r="F283" s="10"/>
      <c r="G283" s="10"/>
      <c r="H283" s="10"/>
      <c r="J283" s="10"/>
      <c r="K283" s="10"/>
      <c r="L283" s="10"/>
      <c r="N283" s="10"/>
      <c r="P283" s="10"/>
      <c r="V283" s="10"/>
      <c r="W283" s="10"/>
      <c r="X283" s="10"/>
      <c r="Y283" s="10"/>
      <c r="Z283" s="10"/>
      <c r="AA283" s="10"/>
      <c r="AB283" s="10"/>
      <c r="AC283" s="10"/>
      <c r="AD283" s="10"/>
      <c r="AE283" s="10"/>
      <c r="AF283" s="10"/>
      <c r="AG283" s="10"/>
      <c r="AH283" s="10"/>
      <c r="AI283" s="10"/>
      <c r="AJ283" s="10"/>
      <c r="AK283" s="10"/>
      <c r="AL283" s="10"/>
      <c r="AM283" s="10"/>
      <c r="AN283" s="10"/>
      <c r="AO283" s="10"/>
      <c r="AR283" s="10"/>
      <c r="AT283" s="10"/>
      <c r="AW283" s="244"/>
      <c r="BA283" s="10"/>
      <c r="BD283" s="10"/>
      <c r="BE283" s="10"/>
      <c r="BF283" s="10"/>
      <c r="BG283" s="10"/>
      <c r="BH283" s="10"/>
      <c r="BI283" s="10"/>
      <c r="BJ283" s="10"/>
      <c r="BK283" s="10"/>
      <c r="BL283" s="10"/>
      <c r="BS283" s="10"/>
      <c r="BT283" s="10"/>
      <c r="BV283" s="10"/>
      <c r="BW283" s="10"/>
    </row>
    <row r="284">
      <c r="A284" s="10"/>
      <c r="B284" s="10"/>
      <c r="C284" s="10"/>
      <c r="D284" s="10"/>
      <c r="E284" s="10"/>
      <c r="F284" s="10"/>
      <c r="G284" s="10"/>
      <c r="H284" s="10"/>
      <c r="K284" s="10"/>
      <c r="L284" s="10"/>
      <c r="N284" s="10"/>
      <c r="V284" s="10"/>
      <c r="W284" s="10"/>
      <c r="X284" s="10"/>
      <c r="Y284" s="10"/>
      <c r="Z284" s="10"/>
      <c r="AA284" s="10"/>
      <c r="AB284" s="10"/>
      <c r="AC284" s="10"/>
      <c r="AD284" s="10"/>
      <c r="AE284" s="10"/>
      <c r="AF284" s="10"/>
      <c r="AG284" s="10"/>
      <c r="AH284" s="10"/>
      <c r="AI284" s="10"/>
      <c r="AJ284" s="10"/>
      <c r="AK284" s="10"/>
      <c r="AL284" s="10"/>
      <c r="AM284" s="10"/>
      <c r="AN284" s="10"/>
      <c r="AO284" s="10"/>
      <c r="AR284" s="10"/>
      <c r="AT284" s="10"/>
      <c r="AW284" s="143"/>
      <c r="BA284" s="10"/>
      <c r="BD284" s="10"/>
      <c r="BE284" s="10"/>
      <c r="BF284" s="10"/>
      <c r="BG284" s="10"/>
      <c r="BH284" s="10"/>
      <c r="BI284" s="10"/>
      <c r="BJ284" s="10"/>
      <c r="BK284" s="10"/>
      <c r="BL284" s="10"/>
      <c r="BS284" s="10"/>
      <c r="BT284" s="10"/>
      <c r="BV284" s="10"/>
      <c r="BW284" s="10"/>
    </row>
    <row r="285">
      <c r="A285" s="10"/>
      <c r="B285" s="10"/>
      <c r="C285" s="10"/>
      <c r="D285" s="10"/>
      <c r="E285" s="10"/>
      <c r="F285" s="10"/>
      <c r="G285" s="10"/>
      <c r="H285" s="10"/>
      <c r="K285" s="10"/>
      <c r="L285" s="10"/>
      <c r="N285" s="10"/>
      <c r="V285" s="10"/>
      <c r="W285" s="10"/>
      <c r="X285" s="10"/>
      <c r="Y285" s="10"/>
      <c r="Z285" s="10"/>
      <c r="AA285" s="10"/>
      <c r="AB285" s="10"/>
      <c r="AC285" s="10"/>
      <c r="AD285" s="10"/>
      <c r="AE285" s="10"/>
      <c r="AF285" s="10"/>
      <c r="AG285" s="10"/>
      <c r="AH285" s="10"/>
      <c r="AI285" s="10"/>
      <c r="AJ285" s="10"/>
      <c r="AK285" s="10"/>
      <c r="AL285" s="10"/>
      <c r="AM285" s="10"/>
      <c r="AN285" s="10"/>
      <c r="AO285" s="10"/>
      <c r="AR285" s="10"/>
      <c r="AT285" s="10"/>
      <c r="AW285" s="143"/>
      <c r="BA285" s="10"/>
      <c r="BD285" s="10"/>
      <c r="BE285" s="10"/>
      <c r="BF285" s="10"/>
      <c r="BG285" s="10"/>
      <c r="BH285" s="10"/>
      <c r="BI285" s="10"/>
      <c r="BJ285" s="10"/>
      <c r="BK285" s="10"/>
      <c r="BL285" s="10"/>
      <c r="BS285" s="10"/>
      <c r="BT285" s="10"/>
      <c r="BV285" s="10"/>
      <c r="BW285" s="10"/>
    </row>
    <row r="286">
      <c r="A286" s="10"/>
      <c r="B286" s="10"/>
      <c r="C286" s="10"/>
      <c r="D286" s="10"/>
      <c r="E286" s="10"/>
      <c r="F286" s="10"/>
      <c r="G286" s="10"/>
      <c r="H286" s="10"/>
      <c r="J286" s="10"/>
      <c r="K286" s="10"/>
      <c r="L286" s="10"/>
      <c r="P286" s="10"/>
      <c r="V286" s="10"/>
      <c r="W286" s="10"/>
      <c r="X286" s="10"/>
      <c r="Y286" s="10"/>
      <c r="Z286" s="10"/>
      <c r="AA286" s="10"/>
      <c r="AB286" s="10"/>
      <c r="AC286" s="10"/>
      <c r="AD286" s="10"/>
      <c r="AE286" s="10"/>
      <c r="AF286" s="10"/>
      <c r="AG286" s="10"/>
      <c r="AH286" s="10"/>
      <c r="AI286" s="10"/>
      <c r="AJ286" s="10"/>
      <c r="AK286" s="10"/>
      <c r="AL286" s="10"/>
      <c r="AM286" s="10"/>
      <c r="AN286" s="10"/>
      <c r="AO286" s="10"/>
      <c r="AR286" s="10"/>
      <c r="AT286" s="10"/>
      <c r="AW286" s="143"/>
      <c r="BA286" s="10"/>
      <c r="BD286" s="10"/>
      <c r="BE286" s="10"/>
      <c r="BF286" s="10"/>
      <c r="BG286" s="10"/>
      <c r="BH286" s="10"/>
      <c r="BI286" s="10"/>
      <c r="BJ286" s="10"/>
      <c r="BK286" s="10"/>
      <c r="BS286" s="10"/>
      <c r="BT286" s="10"/>
      <c r="BV286" s="10"/>
      <c r="BW286" s="10"/>
    </row>
    <row r="287">
      <c r="A287" s="10"/>
      <c r="B287" s="10"/>
      <c r="C287" s="10"/>
      <c r="D287" s="10"/>
      <c r="E287" s="10"/>
      <c r="F287" s="10"/>
      <c r="G287" s="10"/>
      <c r="H287" s="10"/>
      <c r="J287" s="10"/>
      <c r="K287" s="10"/>
      <c r="L287" s="10"/>
      <c r="P287" s="2"/>
      <c r="V287" s="10"/>
      <c r="W287" s="10"/>
      <c r="X287" s="10"/>
      <c r="Y287" s="10"/>
      <c r="Z287" s="10"/>
      <c r="AA287" s="10"/>
      <c r="AB287" s="10"/>
      <c r="AC287" s="10"/>
      <c r="AD287" s="10"/>
      <c r="AE287" s="10"/>
      <c r="AF287" s="10"/>
      <c r="AG287" s="10"/>
      <c r="AH287" s="10"/>
      <c r="AI287" s="10"/>
      <c r="AJ287" s="10"/>
      <c r="AK287" s="10"/>
      <c r="AL287" s="10"/>
      <c r="AM287" s="10"/>
      <c r="AN287" s="10"/>
      <c r="AO287" s="10"/>
      <c r="AR287" s="10"/>
      <c r="AT287" s="10"/>
      <c r="AW287" s="143"/>
      <c r="BA287" s="10"/>
      <c r="BD287" s="10"/>
      <c r="BE287" s="10"/>
      <c r="BF287" s="10"/>
      <c r="BG287" s="10"/>
      <c r="BH287" s="10"/>
      <c r="BI287" s="10"/>
      <c r="BJ287" s="10"/>
      <c r="BK287" s="10"/>
      <c r="BS287" s="10"/>
      <c r="BT287" s="10"/>
      <c r="BV287" s="10"/>
      <c r="BW287" s="10"/>
    </row>
    <row r="288">
      <c r="A288" s="10"/>
      <c r="B288" s="10"/>
      <c r="C288" s="10"/>
      <c r="D288" s="10"/>
      <c r="E288" s="10"/>
      <c r="F288" s="10"/>
      <c r="G288" s="10"/>
      <c r="H288" s="10"/>
      <c r="J288" s="10"/>
      <c r="K288" s="10"/>
      <c r="L288" s="10"/>
      <c r="P288" s="10"/>
      <c r="T288" s="10"/>
      <c r="U288" s="10"/>
      <c r="V288" s="10"/>
      <c r="W288" s="10"/>
      <c r="X288" s="10"/>
      <c r="Y288" s="10"/>
      <c r="Z288" s="10"/>
      <c r="AA288" s="10"/>
      <c r="AB288" s="10"/>
      <c r="AC288" s="10"/>
      <c r="AD288" s="10"/>
      <c r="AE288" s="10"/>
      <c r="AF288" s="10"/>
      <c r="AG288" s="10"/>
      <c r="AH288" s="10"/>
      <c r="AI288" s="10"/>
      <c r="AJ288" s="10"/>
      <c r="AL288" s="10"/>
      <c r="AM288" s="10"/>
      <c r="AO288" s="10"/>
      <c r="AR288" s="10"/>
      <c r="AT288" s="10"/>
      <c r="AW288" s="143"/>
      <c r="BA288" s="10"/>
      <c r="BD288" s="10"/>
      <c r="BE288" s="10"/>
      <c r="BF288" s="10"/>
      <c r="BG288" s="10"/>
      <c r="BH288" s="10"/>
      <c r="BI288" s="10"/>
      <c r="BJ288" s="10"/>
      <c r="BK288" s="10"/>
      <c r="BL288" s="10"/>
      <c r="BS288" s="10"/>
      <c r="BT288" s="10"/>
      <c r="BV288" s="10"/>
      <c r="BW288" s="10"/>
    </row>
    <row r="289">
      <c r="A289" s="10"/>
      <c r="B289" s="10"/>
      <c r="C289" s="10"/>
      <c r="D289" s="10"/>
      <c r="E289" s="10"/>
      <c r="F289" s="10"/>
      <c r="G289" s="10"/>
      <c r="H289" s="10"/>
      <c r="I289" s="10"/>
      <c r="J289" s="10"/>
      <c r="K289" s="10"/>
      <c r="L289" s="10"/>
      <c r="N289" s="10"/>
      <c r="O289" s="10"/>
      <c r="P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R289" s="10"/>
      <c r="AS289" s="10"/>
      <c r="AU289" s="10"/>
      <c r="AV289" s="10"/>
      <c r="AW289" s="143"/>
      <c r="BA289" s="10"/>
      <c r="BD289" s="10"/>
      <c r="BE289" s="10"/>
      <c r="BF289" s="10"/>
      <c r="BG289" s="10"/>
      <c r="BH289" s="10"/>
      <c r="BI289" s="10"/>
      <c r="BJ289" s="10"/>
      <c r="BK289" s="10"/>
      <c r="BL289" s="10"/>
      <c r="BM289" s="10"/>
      <c r="BP289" s="10"/>
      <c r="BS289" s="10"/>
      <c r="BT289" s="10"/>
      <c r="BV289" s="10"/>
      <c r="BW289" s="10"/>
    </row>
    <row r="290">
      <c r="A290" s="10"/>
      <c r="B290" s="10"/>
      <c r="C290" s="10"/>
      <c r="D290" s="10"/>
      <c r="E290" s="10"/>
      <c r="F290" s="10"/>
      <c r="G290" s="10"/>
      <c r="H290" s="10"/>
      <c r="I290" s="10"/>
      <c r="J290" s="10"/>
      <c r="K290" s="10"/>
      <c r="L290" s="10"/>
      <c r="P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R290" s="10"/>
      <c r="AS290" s="10"/>
      <c r="AU290" s="10"/>
      <c r="AW290" s="143"/>
      <c r="AZ290" s="10"/>
      <c r="BA290" s="10"/>
      <c r="BD290" s="10"/>
      <c r="BS290" s="10"/>
      <c r="BT290" s="10"/>
      <c r="BV290" s="10"/>
      <c r="BW290" s="10"/>
    </row>
    <row r="291">
      <c r="A291" s="10"/>
      <c r="B291" s="10"/>
      <c r="C291" s="10"/>
      <c r="D291" s="10"/>
      <c r="E291" s="10"/>
      <c r="F291" s="10"/>
      <c r="G291" s="10"/>
      <c r="H291" s="10"/>
      <c r="I291" s="10"/>
      <c r="J291" s="10"/>
      <c r="K291" s="10"/>
      <c r="L291" s="10"/>
      <c r="N291" s="10"/>
      <c r="O291" s="10"/>
      <c r="P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R291" s="10"/>
      <c r="AS291" s="10"/>
      <c r="AU291" s="10"/>
      <c r="AV291" s="10"/>
      <c r="AW291" s="143"/>
      <c r="BD291" s="10"/>
      <c r="BF291" s="10"/>
      <c r="BH291" s="10"/>
      <c r="BJ291" s="10"/>
      <c r="BS291" s="10"/>
      <c r="BT291" s="10"/>
      <c r="BV291" s="10"/>
      <c r="BW291" s="10"/>
    </row>
    <row r="292">
      <c r="A292" s="10"/>
      <c r="B292" s="10"/>
      <c r="C292" s="10"/>
      <c r="D292" s="10"/>
      <c r="E292" s="10"/>
      <c r="F292" s="10"/>
      <c r="G292" s="10"/>
      <c r="H292" s="10"/>
      <c r="I292" s="10"/>
      <c r="K292" s="10"/>
      <c r="L292" s="10"/>
      <c r="N292" s="10"/>
      <c r="O292" s="10"/>
      <c r="P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R292" s="10"/>
      <c r="AS292" s="10"/>
      <c r="AU292" s="10"/>
      <c r="AV292" s="10"/>
      <c r="AW292" s="143"/>
      <c r="BD292" s="10"/>
      <c r="BE292" s="10"/>
      <c r="BG292" s="10"/>
      <c r="BI292" s="10"/>
      <c r="BS292" s="10"/>
      <c r="BT292" s="10"/>
      <c r="BV292" s="10"/>
      <c r="BW292" s="10"/>
    </row>
    <row r="293">
      <c r="A293" s="10"/>
      <c r="B293" s="10"/>
      <c r="C293" s="10"/>
      <c r="D293" s="10"/>
      <c r="E293" s="10"/>
      <c r="F293" s="10"/>
      <c r="G293" s="10"/>
      <c r="H293" s="10"/>
      <c r="I293" s="10"/>
      <c r="J293" s="10"/>
      <c r="K293" s="10"/>
      <c r="L293" s="10"/>
      <c r="N293" s="10"/>
      <c r="P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R293" s="10"/>
      <c r="AS293" s="10"/>
      <c r="AT293" s="10"/>
      <c r="AU293" s="10"/>
      <c r="AV293" s="10"/>
      <c r="AW293" s="143"/>
      <c r="BD293" s="10"/>
      <c r="BS293" s="10"/>
      <c r="BT293" s="10"/>
      <c r="BV293" s="10"/>
      <c r="BW293" s="10"/>
    </row>
    <row r="294">
      <c r="A294" s="10"/>
      <c r="B294" s="10"/>
      <c r="C294" s="10"/>
      <c r="D294" s="10"/>
      <c r="E294" s="10"/>
      <c r="F294" s="10"/>
      <c r="G294" s="10"/>
      <c r="H294" s="10"/>
      <c r="L294" s="10"/>
      <c r="N294" s="10"/>
      <c r="P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U294" s="10"/>
      <c r="AV294" s="10"/>
      <c r="AW294" s="143"/>
      <c r="BE294" s="10"/>
      <c r="BF294" s="10"/>
      <c r="BG294" s="10"/>
      <c r="BH294" s="10"/>
      <c r="BI294" s="10"/>
      <c r="BJ294" s="10"/>
      <c r="BK294" s="10"/>
      <c r="BS294" s="10"/>
      <c r="BT294" s="10"/>
      <c r="BW294" s="10"/>
    </row>
    <row r="295">
      <c r="A295" s="10"/>
      <c r="B295" s="10"/>
      <c r="C295" s="10"/>
      <c r="D295" s="10"/>
      <c r="E295" s="10"/>
      <c r="F295" s="10"/>
      <c r="G295" s="10"/>
      <c r="H295" s="10"/>
      <c r="I295" s="10"/>
      <c r="N295" s="10"/>
      <c r="P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U295" s="10"/>
      <c r="AV295" s="10"/>
      <c r="AW295" s="143"/>
      <c r="BE295" s="10"/>
      <c r="BF295" s="10"/>
      <c r="BG295" s="10"/>
      <c r="BH295" s="10"/>
      <c r="BI295" s="10"/>
      <c r="BJ295" s="10"/>
      <c r="BK295" s="10"/>
      <c r="BS295" s="10"/>
      <c r="BT295" s="10"/>
      <c r="BW295" s="10"/>
    </row>
    <row r="296">
      <c r="A296" s="10"/>
      <c r="B296" s="10"/>
      <c r="C296" s="10"/>
      <c r="D296" s="10"/>
      <c r="E296" s="10"/>
      <c r="F296" s="10"/>
      <c r="G296" s="10"/>
      <c r="H296" s="10"/>
      <c r="I296" s="10"/>
      <c r="L296" s="10"/>
      <c r="N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U296" s="10"/>
      <c r="AV296" s="10"/>
      <c r="AW296" s="143"/>
      <c r="BE296" s="10"/>
      <c r="BF296" s="10"/>
      <c r="BG296" s="10"/>
      <c r="BH296" s="10"/>
      <c r="BI296" s="10"/>
      <c r="BJ296" s="10"/>
      <c r="BK296" s="10"/>
      <c r="BS296" s="10"/>
      <c r="BT296" s="10"/>
      <c r="BW296" s="10"/>
    </row>
    <row r="297">
      <c r="A297" s="10"/>
      <c r="B297" s="10"/>
      <c r="C297" s="10"/>
      <c r="D297" s="10"/>
      <c r="E297" s="10"/>
      <c r="F297" s="10"/>
      <c r="G297" s="10"/>
      <c r="H297" s="10"/>
      <c r="I297" s="10"/>
      <c r="J297" s="10"/>
      <c r="N297" s="10"/>
      <c r="P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43"/>
      <c r="AZ297" s="10"/>
      <c r="BS297" s="10"/>
      <c r="BT297" s="10"/>
      <c r="BW297" s="10"/>
    </row>
    <row r="298">
      <c r="A298" s="10"/>
      <c r="B298" s="10"/>
      <c r="C298" s="10"/>
      <c r="D298" s="10"/>
      <c r="E298" s="10"/>
      <c r="F298" s="10"/>
      <c r="G298" s="10"/>
      <c r="H298" s="10"/>
      <c r="I298" s="10"/>
      <c r="N298" s="10"/>
      <c r="P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U298" s="10"/>
      <c r="AV298" s="10"/>
      <c r="AW298" s="143"/>
      <c r="BE298" s="10"/>
      <c r="BF298" s="10"/>
      <c r="BG298" s="10"/>
      <c r="BH298" s="10"/>
      <c r="BI298" s="10"/>
      <c r="BJ298" s="10"/>
      <c r="BK298" s="10"/>
      <c r="BS298" s="10"/>
      <c r="BT298" s="10"/>
      <c r="BW298" s="10"/>
    </row>
    <row r="299">
      <c r="A299" s="10"/>
      <c r="B299" s="10"/>
      <c r="C299" s="10"/>
      <c r="D299" s="10"/>
      <c r="E299" s="10"/>
      <c r="F299" s="10"/>
      <c r="G299" s="10"/>
      <c r="H299" s="10"/>
      <c r="J299" s="10"/>
      <c r="N299" s="10"/>
      <c r="T299" s="10"/>
      <c r="U299" s="10"/>
      <c r="V299" s="10"/>
      <c r="W299" s="245"/>
      <c r="X299" s="10"/>
      <c r="Y299" s="10"/>
      <c r="Z299" s="10"/>
      <c r="AA299" s="10"/>
      <c r="AB299" s="10"/>
      <c r="AC299" s="10"/>
      <c r="AD299" s="10"/>
      <c r="AE299" s="10"/>
      <c r="AF299" s="10"/>
      <c r="AG299" s="10"/>
      <c r="AH299" s="10"/>
      <c r="AI299" s="10"/>
      <c r="AJ299" s="10"/>
      <c r="AK299" s="10"/>
      <c r="AL299" s="10"/>
      <c r="AM299" s="10"/>
      <c r="AN299" s="10"/>
      <c r="AO299" s="10"/>
      <c r="AP299" s="10"/>
      <c r="AQ299" s="10"/>
      <c r="AT299" s="10"/>
      <c r="AU299" s="10"/>
      <c r="AV299" s="10"/>
      <c r="AW299" s="143"/>
      <c r="AZ299" s="10"/>
      <c r="BS299" s="10"/>
      <c r="BT299" s="10"/>
      <c r="BW299" s="10"/>
    </row>
    <row r="300">
      <c r="A300" s="10"/>
      <c r="B300" s="10"/>
      <c r="C300" s="10"/>
      <c r="D300" s="10"/>
      <c r="E300" s="10"/>
      <c r="F300" s="10"/>
      <c r="G300" s="10"/>
      <c r="H300" s="10"/>
      <c r="I300" s="10"/>
      <c r="N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U300" s="10"/>
      <c r="AV300" s="10"/>
      <c r="AW300" s="143"/>
      <c r="BS300" s="10"/>
      <c r="BT300" s="10"/>
      <c r="BW300" s="10"/>
    </row>
    <row r="301">
      <c r="A301" s="10"/>
      <c r="B301" s="10"/>
      <c r="C301" s="10"/>
      <c r="D301" s="10"/>
      <c r="E301" s="10"/>
      <c r="F301" s="10"/>
      <c r="G301" s="10"/>
      <c r="H301" s="10"/>
      <c r="I301" s="10"/>
      <c r="N301" s="10"/>
      <c r="P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U301" s="10"/>
      <c r="AV301" s="10"/>
      <c r="AW301" s="143"/>
      <c r="BE301" s="10"/>
      <c r="BF301" s="10"/>
      <c r="BG301" s="10"/>
      <c r="BH301" s="10"/>
      <c r="BI301" s="10"/>
      <c r="BJ301" s="10"/>
      <c r="BK301" s="10"/>
      <c r="BS301" s="10"/>
      <c r="BT301" s="10"/>
      <c r="BW301" s="10"/>
    </row>
    <row r="302">
      <c r="A302" s="10"/>
      <c r="B302" s="10"/>
      <c r="C302" s="10"/>
      <c r="D302" s="10"/>
      <c r="E302" s="10"/>
      <c r="F302" s="10"/>
      <c r="G302" s="10"/>
      <c r="H302" s="10"/>
      <c r="I302" s="10"/>
      <c r="J302" s="10"/>
      <c r="N302" s="10"/>
      <c r="P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U302" s="10"/>
      <c r="AV302" s="10"/>
      <c r="AW302" s="143"/>
      <c r="BE302" s="10"/>
      <c r="BF302" s="10"/>
      <c r="BG302" s="10"/>
      <c r="BH302" s="10"/>
      <c r="BI302" s="10"/>
      <c r="BJ302" s="10"/>
      <c r="BK302" s="10"/>
      <c r="BS302" s="10"/>
      <c r="BT302" s="10"/>
      <c r="BW302" s="10"/>
    </row>
    <row r="303">
      <c r="A303" s="10"/>
      <c r="B303" s="10"/>
      <c r="C303" s="10"/>
      <c r="D303" s="10"/>
      <c r="E303" s="10"/>
      <c r="F303" s="10"/>
      <c r="G303" s="10"/>
      <c r="H303" s="10"/>
      <c r="I303" s="10"/>
      <c r="N303" s="10"/>
      <c r="O303" s="10"/>
      <c r="P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U303" s="10"/>
      <c r="AV303" s="10"/>
      <c r="AW303" s="143"/>
      <c r="BE303" s="10"/>
      <c r="BF303" s="10"/>
      <c r="BG303" s="10"/>
      <c r="BH303" s="10"/>
      <c r="BI303" s="10"/>
      <c r="BJ303" s="10"/>
      <c r="BK303" s="10"/>
      <c r="BS303" s="10"/>
      <c r="BT303" s="10"/>
      <c r="BW303" s="10"/>
    </row>
    <row r="304">
      <c r="A304" s="10"/>
      <c r="B304" s="10"/>
      <c r="C304" s="10"/>
      <c r="D304" s="10"/>
      <c r="E304" s="10"/>
      <c r="F304" s="10"/>
      <c r="G304" s="10"/>
      <c r="H304" s="10"/>
      <c r="I304" s="10"/>
      <c r="N304" s="10"/>
      <c r="P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U304" s="10"/>
      <c r="AV304" s="10"/>
      <c r="AW304" s="143"/>
      <c r="BE304" s="10"/>
      <c r="BF304" s="10"/>
      <c r="BG304" s="10"/>
      <c r="BH304" s="10"/>
      <c r="BI304" s="10"/>
      <c r="BJ304" s="10"/>
      <c r="BK304" s="10"/>
      <c r="BS304" s="10"/>
      <c r="BT304" s="10"/>
      <c r="BW304" s="10"/>
    </row>
    <row r="305">
      <c r="A305" s="10"/>
      <c r="B305" s="10"/>
      <c r="C305" s="10"/>
      <c r="D305" s="10"/>
      <c r="E305" s="10"/>
      <c r="F305" s="10"/>
      <c r="G305" s="10"/>
      <c r="H305" s="10"/>
      <c r="K305" s="10"/>
      <c r="L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W305" s="143"/>
      <c r="BE305" s="10"/>
      <c r="BF305" s="10"/>
      <c r="BG305" s="10"/>
      <c r="BH305" s="10"/>
      <c r="BI305" s="10"/>
      <c r="BJ305" s="10"/>
      <c r="BK305" s="10"/>
      <c r="BL305" s="10"/>
      <c r="BO305" s="10"/>
      <c r="BR305" s="10"/>
      <c r="BS305" s="10"/>
      <c r="BT305" s="10"/>
      <c r="BW305" s="10"/>
    </row>
    <row r="306">
      <c r="A306" s="10"/>
      <c r="B306" s="10"/>
      <c r="C306" s="10"/>
      <c r="D306" s="10"/>
      <c r="E306" s="10"/>
      <c r="F306" s="10"/>
      <c r="G306" s="10"/>
      <c r="H306" s="10"/>
      <c r="K306" s="10"/>
      <c r="L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W306" s="143"/>
      <c r="AZ306" s="10"/>
      <c r="BE306" s="10"/>
      <c r="BF306" s="10"/>
      <c r="BG306" s="10"/>
      <c r="BH306" s="10"/>
      <c r="BI306" s="10"/>
      <c r="BJ306" s="10"/>
      <c r="BK306" s="10"/>
      <c r="BS306" s="10"/>
      <c r="BT306" s="10"/>
      <c r="BW306" s="10"/>
    </row>
    <row r="307">
      <c r="A307" s="10"/>
      <c r="B307" s="10"/>
      <c r="C307" s="10"/>
      <c r="D307" s="10"/>
      <c r="E307" s="10"/>
      <c r="F307" s="10"/>
      <c r="G307" s="10"/>
      <c r="H307" s="10"/>
      <c r="K307" s="10"/>
      <c r="L307" s="10"/>
      <c r="P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W307" s="143"/>
      <c r="AZ307" s="10"/>
      <c r="BE307" s="10"/>
      <c r="BF307" s="10"/>
      <c r="BG307" s="10"/>
      <c r="BH307" s="10"/>
      <c r="BI307" s="10"/>
      <c r="BJ307" s="10"/>
      <c r="BK307" s="10"/>
      <c r="BS307" s="10"/>
      <c r="BT307" s="10"/>
      <c r="BW307" s="10"/>
    </row>
    <row r="308">
      <c r="A308" s="10"/>
      <c r="B308" s="10"/>
      <c r="C308" s="10"/>
      <c r="D308" s="10"/>
      <c r="E308" s="10"/>
      <c r="F308" s="10"/>
      <c r="G308" s="10"/>
      <c r="H308" s="10"/>
      <c r="I308" s="10"/>
      <c r="K308" s="10"/>
      <c r="L308" s="10"/>
      <c r="N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R308" s="10"/>
      <c r="AS308" s="10"/>
      <c r="AW308" s="143"/>
      <c r="AZ308" s="10"/>
      <c r="BE308" s="10"/>
      <c r="BF308" s="10"/>
      <c r="BG308" s="10"/>
      <c r="BH308" s="10"/>
      <c r="BI308" s="10"/>
      <c r="BJ308" s="10"/>
      <c r="BK308" s="10"/>
      <c r="BL308" s="10"/>
      <c r="BM308" s="10"/>
      <c r="BN308" s="10"/>
      <c r="BO308" s="10"/>
      <c r="BP308" s="10"/>
      <c r="BQ308" s="10"/>
      <c r="BR308" s="10"/>
      <c r="BS308" s="10"/>
      <c r="BT308" s="10"/>
      <c r="BW308" s="10"/>
    </row>
    <row r="309">
      <c r="A309" s="10"/>
      <c r="B309" s="10"/>
      <c r="C309" s="10"/>
      <c r="D309" s="10"/>
      <c r="E309" s="10"/>
      <c r="F309" s="10"/>
      <c r="G309" s="10"/>
      <c r="H309" s="10"/>
      <c r="I309" s="10"/>
      <c r="K309" s="10"/>
      <c r="L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R309" s="10"/>
      <c r="AS309" s="10"/>
      <c r="AT309" s="10"/>
      <c r="AW309" s="143"/>
      <c r="BA309" s="10"/>
      <c r="BD309" s="10"/>
      <c r="BE309" s="10"/>
      <c r="BF309" s="10"/>
      <c r="BG309" s="10"/>
      <c r="BH309" s="10"/>
      <c r="BI309" s="10"/>
      <c r="BJ309" s="10"/>
      <c r="BK309" s="10"/>
      <c r="BL309" s="10"/>
      <c r="BM309" s="10"/>
      <c r="BP309" s="10"/>
      <c r="BS309" s="10"/>
      <c r="BT309" s="10"/>
      <c r="BV309" s="10"/>
      <c r="BW309" s="10"/>
    </row>
    <row r="310">
      <c r="A310" s="10"/>
      <c r="B310" s="10"/>
      <c r="C310" s="10"/>
      <c r="D310" s="10"/>
      <c r="E310" s="10"/>
      <c r="F310" s="10"/>
      <c r="G310" s="10"/>
      <c r="H310" s="10"/>
      <c r="I310" s="10"/>
      <c r="K310" s="10"/>
      <c r="L310" s="10"/>
      <c r="N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W310" s="143"/>
      <c r="BA310" s="10"/>
      <c r="BD310" s="10"/>
      <c r="BE310" s="10"/>
      <c r="BF310" s="10"/>
      <c r="BG310" s="10"/>
      <c r="BH310" s="10"/>
      <c r="BI310" s="10"/>
      <c r="BJ310" s="10"/>
      <c r="BK310" s="10"/>
      <c r="BL310" s="10"/>
      <c r="BM310" s="10"/>
      <c r="BN310" s="10"/>
      <c r="BO310" s="10"/>
      <c r="BP310" s="10"/>
      <c r="BQ310" s="10"/>
      <c r="BR310" s="10"/>
      <c r="BS310" s="10"/>
      <c r="BT310" s="10"/>
      <c r="BV310" s="10"/>
      <c r="BW310" s="10"/>
    </row>
    <row r="311">
      <c r="A311" s="10"/>
      <c r="B311" s="10"/>
      <c r="C311" s="10"/>
      <c r="D311" s="10"/>
      <c r="E311" s="10"/>
      <c r="F311" s="10"/>
      <c r="G311" s="10"/>
      <c r="H311" s="10"/>
      <c r="I311" s="10"/>
      <c r="J311" s="10"/>
      <c r="K311" s="10"/>
      <c r="L311" s="10"/>
      <c r="N311" s="10"/>
      <c r="P311" s="10"/>
      <c r="U311" s="10"/>
      <c r="V311" s="10"/>
      <c r="W311" s="10"/>
      <c r="X311" s="10"/>
      <c r="Y311" s="10"/>
      <c r="Z311" s="10"/>
      <c r="AA311" s="10"/>
      <c r="AB311" s="10"/>
      <c r="AC311" s="10"/>
      <c r="AD311" s="10"/>
      <c r="AE311" s="10"/>
      <c r="AF311" s="10"/>
      <c r="AG311" s="10"/>
      <c r="AH311" s="10"/>
      <c r="AI311" s="10"/>
      <c r="AJ311" s="10"/>
      <c r="AK311" s="10"/>
      <c r="AL311" s="10"/>
      <c r="AM311" s="10"/>
      <c r="AN311" s="10"/>
      <c r="AO311" s="10"/>
      <c r="AR311" s="10"/>
      <c r="AS311" s="10"/>
      <c r="AT311" s="10"/>
      <c r="AW311" s="143"/>
      <c r="BA311" s="10"/>
      <c r="BD311" s="10"/>
      <c r="BE311" s="10"/>
      <c r="BF311" s="10"/>
      <c r="BG311" s="10"/>
      <c r="BH311" s="10"/>
      <c r="BI311" s="10"/>
      <c r="BJ311" s="10"/>
      <c r="BK311" s="10"/>
      <c r="BT311" s="10"/>
      <c r="BV311" s="10"/>
      <c r="BW311" s="10"/>
    </row>
    <row r="312">
      <c r="A312" s="10"/>
      <c r="B312" s="10"/>
      <c r="C312" s="10"/>
      <c r="D312" s="10"/>
      <c r="E312" s="10"/>
      <c r="F312" s="10"/>
      <c r="G312" s="10"/>
      <c r="H312" s="10"/>
      <c r="I312" s="10"/>
      <c r="K312" s="10"/>
      <c r="L312" s="10"/>
      <c r="N312" s="10"/>
      <c r="Q312" s="10"/>
      <c r="R312" s="10"/>
      <c r="S312" s="10"/>
      <c r="V312" s="10"/>
      <c r="W312" s="10"/>
      <c r="X312" s="10"/>
      <c r="Y312" s="10"/>
      <c r="Z312" s="10"/>
      <c r="AA312" s="10"/>
      <c r="AB312" s="10"/>
      <c r="AC312" s="10"/>
      <c r="AD312" s="10"/>
      <c r="AE312" s="10"/>
      <c r="AF312" s="10"/>
      <c r="AG312" s="10"/>
      <c r="AH312" s="10"/>
      <c r="AI312" s="10"/>
      <c r="AJ312" s="10"/>
      <c r="AK312" s="10"/>
      <c r="AL312" s="10"/>
      <c r="AM312" s="10"/>
      <c r="AN312" s="10"/>
      <c r="AO312" s="10"/>
      <c r="AR312" s="10"/>
      <c r="AS312" s="10"/>
      <c r="AT312" s="10"/>
      <c r="AW312" s="143"/>
      <c r="BA312" s="10"/>
      <c r="BD312" s="10"/>
      <c r="BE312" s="10"/>
      <c r="BF312" s="10"/>
      <c r="BG312" s="10"/>
      <c r="BH312" s="10"/>
      <c r="BI312" s="10"/>
      <c r="BJ312" s="10"/>
      <c r="BK312" s="10"/>
      <c r="BN312" s="10"/>
      <c r="BQ312" s="10"/>
      <c r="BT312" s="10"/>
      <c r="BV312" s="10"/>
      <c r="BW312" s="10"/>
    </row>
    <row r="313">
      <c r="A313" s="10"/>
      <c r="B313" s="10"/>
      <c r="C313" s="10"/>
      <c r="D313" s="10"/>
      <c r="E313" s="10"/>
      <c r="F313" s="10"/>
      <c r="G313" s="10"/>
      <c r="H313" s="10"/>
      <c r="I313" s="10"/>
      <c r="J313" s="10"/>
      <c r="K313" s="10"/>
      <c r="L313" s="10"/>
      <c r="P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R313" s="10"/>
      <c r="AS313" s="10"/>
      <c r="AT313" s="10"/>
      <c r="AU313" s="10"/>
      <c r="AV313" s="10"/>
      <c r="AW313" s="143"/>
      <c r="BA313" s="10"/>
      <c r="BD313" s="10"/>
      <c r="BS313" s="10"/>
      <c r="BT313" s="10"/>
      <c r="BV313" s="10"/>
      <c r="BW313" s="10"/>
    </row>
    <row r="314">
      <c r="A314" s="10"/>
      <c r="B314" s="10"/>
      <c r="C314" s="10"/>
      <c r="D314" s="10"/>
      <c r="E314" s="10"/>
      <c r="F314" s="10"/>
      <c r="G314" s="10"/>
      <c r="H314" s="10"/>
      <c r="K314" s="10"/>
      <c r="L314" s="10"/>
      <c r="O314" s="10"/>
      <c r="P314" s="10"/>
      <c r="V314" s="10"/>
      <c r="W314" s="10"/>
      <c r="X314" s="10"/>
      <c r="Y314" s="10"/>
      <c r="Z314" s="10"/>
      <c r="AA314" s="10"/>
      <c r="AB314" s="10"/>
      <c r="AC314" s="10"/>
      <c r="AD314" s="10"/>
      <c r="AE314" s="10"/>
      <c r="AF314" s="10"/>
      <c r="AG314" s="10"/>
      <c r="AH314" s="10"/>
      <c r="AI314" s="10"/>
      <c r="AJ314" s="10"/>
      <c r="AK314" s="10"/>
      <c r="AL314" s="10"/>
      <c r="AM314" s="10"/>
      <c r="AN314" s="10"/>
      <c r="AO314" s="10"/>
      <c r="AW314" s="143"/>
      <c r="BA314" s="10"/>
      <c r="BB314" s="10"/>
      <c r="BC314" s="10"/>
      <c r="BE314" s="10"/>
      <c r="BF314" s="10"/>
      <c r="BG314" s="10"/>
      <c r="BH314" s="10"/>
      <c r="BI314" s="10"/>
      <c r="BJ314" s="10"/>
      <c r="BK314" s="10"/>
      <c r="BS314" s="10"/>
      <c r="BT314" s="10"/>
      <c r="BV314" s="10"/>
      <c r="BW314" s="10"/>
    </row>
    <row r="315">
      <c r="A315" s="10"/>
      <c r="B315" s="10"/>
      <c r="C315" s="10"/>
      <c r="D315" s="10"/>
      <c r="E315" s="10"/>
      <c r="F315" s="10"/>
      <c r="G315" s="10"/>
      <c r="H315" s="10"/>
      <c r="K315" s="10"/>
      <c r="L315" s="10"/>
      <c r="V315" s="10"/>
      <c r="W315" s="10"/>
      <c r="X315" s="10"/>
      <c r="Y315" s="10"/>
      <c r="Z315" s="10"/>
      <c r="AA315" s="10"/>
      <c r="AB315" s="10"/>
      <c r="AC315" s="10"/>
      <c r="AD315" s="10"/>
      <c r="AE315" s="10"/>
      <c r="AF315" s="10"/>
      <c r="AG315" s="10"/>
      <c r="AH315" s="10"/>
      <c r="AI315" s="10"/>
      <c r="AJ315" s="10"/>
      <c r="AK315" s="10"/>
      <c r="AL315" s="10"/>
      <c r="AM315" s="10"/>
      <c r="AN315" s="10"/>
      <c r="AO315" s="10"/>
      <c r="AW315" s="143"/>
      <c r="BA315" s="10"/>
      <c r="BB315" s="10"/>
      <c r="BC315" s="10"/>
      <c r="BE315" s="10"/>
      <c r="BF315" s="10"/>
      <c r="BG315" s="10"/>
      <c r="BH315" s="10"/>
      <c r="BI315" s="10"/>
      <c r="BJ315" s="10"/>
      <c r="BK315" s="10"/>
      <c r="BS315" s="10"/>
      <c r="BT315" s="10"/>
      <c r="BV315" s="10"/>
      <c r="BW315" s="10"/>
    </row>
    <row r="316">
      <c r="A316" s="10"/>
      <c r="B316" s="10"/>
      <c r="C316" s="10"/>
      <c r="D316" s="10"/>
      <c r="E316" s="10"/>
      <c r="F316" s="10"/>
      <c r="G316" s="10"/>
      <c r="H316" s="10"/>
      <c r="J316" s="10"/>
      <c r="K316" s="10"/>
      <c r="L316" s="10"/>
      <c r="V316" s="10"/>
      <c r="W316" s="10"/>
      <c r="X316" s="10"/>
      <c r="Y316" s="10"/>
      <c r="Z316" s="10"/>
      <c r="AA316" s="10"/>
      <c r="AB316" s="10"/>
      <c r="AC316" s="10"/>
      <c r="AD316" s="10"/>
      <c r="AE316" s="10"/>
      <c r="AF316" s="10"/>
      <c r="AG316" s="10"/>
      <c r="AH316" s="10"/>
      <c r="AI316" s="10"/>
      <c r="AJ316" s="10"/>
      <c r="AK316" s="10"/>
      <c r="AL316" s="10"/>
      <c r="AM316" s="10"/>
      <c r="AN316" s="10"/>
      <c r="AO316" s="10"/>
      <c r="AW316" s="143"/>
      <c r="BA316" s="10"/>
      <c r="BB316" s="10"/>
      <c r="BC316" s="10"/>
      <c r="BE316" s="10"/>
      <c r="BF316" s="10"/>
      <c r="BG316" s="10"/>
      <c r="BH316" s="10"/>
      <c r="BI316" s="10"/>
      <c r="BJ316" s="10"/>
      <c r="BK316" s="10"/>
      <c r="BS316" s="10"/>
      <c r="BT316" s="10"/>
      <c r="BV316" s="10"/>
      <c r="BW316" s="10"/>
    </row>
    <row r="317">
      <c r="A317" s="10"/>
      <c r="B317" s="10"/>
      <c r="C317" s="10"/>
      <c r="D317" s="10"/>
      <c r="E317" s="10"/>
      <c r="F317" s="10"/>
      <c r="G317" s="10"/>
      <c r="H317" s="10"/>
      <c r="N317" s="10"/>
      <c r="V317" s="10"/>
      <c r="W317" s="10"/>
      <c r="X317" s="10"/>
      <c r="Y317" s="10"/>
      <c r="Z317" s="10"/>
      <c r="AA317" s="10"/>
      <c r="AB317" s="10"/>
      <c r="AC317" s="10"/>
      <c r="AD317" s="10"/>
      <c r="AE317" s="10"/>
      <c r="AF317" s="10"/>
      <c r="AG317" s="10"/>
      <c r="AH317" s="10"/>
      <c r="AI317" s="10"/>
      <c r="AJ317" s="10"/>
      <c r="AK317" s="10"/>
      <c r="AL317" s="10"/>
      <c r="AM317" s="10"/>
      <c r="AN317" s="10"/>
      <c r="AO317" s="10"/>
      <c r="AW317" s="143"/>
      <c r="BA317" s="10"/>
      <c r="BB317" s="10"/>
      <c r="BC317" s="10"/>
      <c r="BE317" s="10"/>
      <c r="BF317" s="10"/>
      <c r="BG317" s="10"/>
      <c r="BH317" s="10"/>
      <c r="BI317" s="10"/>
      <c r="BJ317" s="10"/>
      <c r="BK317" s="10"/>
      <c r="BS317" s="10"/>
      <c r="BT317" s="10"/>
      <c r="BV317" s="10"/>
      <c r="BW317" s="10"/>
    </row>
    <row r="318">
      <c r="A318" s="10"/>
      <c r="B318" s="10"/>
      <c r="C318" s="10"/>
      <c r="D318" s="10"/>
      <c r="E318" s="10"/>
      <c r="F318" s="10"/>
      <c r="G318" s="10"/>
      <c r="H318" s="10"/>
      <c r="K318" s="10"/>
      <c r="L318" s="10"/>
      <c r="N318" s="10"/>
      <c r="V318" s="10"/>
      <c r="W318" s="10"/>
      <c r="X318" s="10"/>
      <c r="Y318" s="10"/>
      <c r="Z318" s="10"/>
      <c r="AA318" s="10"/>
      <c r="AB318" s="10"/>
      <c r="AC318" s="10"/>
      <c r="AD318" s="10"/>
      <c r="AE318" s="10"/>
      <c r="AF318" s="10"/>
      <c r="AG318" s="10"/>
      <c r="AH318" s="10"/>
      <c r="AI318" s="10"/>
      <c r="AJ318" s="10"/>
      <c r="AK318" s="10"/>
      <c r="AL318" s="10"/>
      <c r="AM318" s="10"/>
      <c r="AN318" s="10"/>
      <c r="AO318" s="10"/>
      <c r="AW318" s="143"/>
      <c r="BA318" s="10"/>
      <c r="BB318" s="10"/>
      <c r="BC318" s="10"/>
      <c r="BD318" s="10"/>
      <c r="BE318" s="10"/>
      <c r="BF318" s="10"/>
      <c r="BG318" s="10"/>
      <c r="BH318" s="10"/>
      <c r="BI318" s="10"/>
      <c r="BJ318" s="10"/>
      <c r="BK318" s="10"/>
      <c r="BS318" s="10"/>
      <c r="BT318" s="10"/>
      <c r="BV318" s="10"/>
      <c r="BW318" s="10"/>
    </row>
    <row r="319">
      <c r="A319" s="10"/>
      <c r="B319" s="10"/>
      <c r="C319" s="10"/>
      <c r="D319" s="10"/>
      <c r="E319" s="10"/>
      <c r="F319" s="10"/>
      <c r="G319" s="10"/>
      <c r="H319" s="10"/>
      <c r="J319" s="10"/>
      <c r="K319" s="10"/>
      <c r="L319" s="10"/>
      <c r="N319" s="10"/>
      <c r="V319" s="10"/>
      <c r="W319" s="10"/>
      <c r="X319" s="10"/>
      <c r="Y319" s="10"/>
      <c r="Z319" s="10"/>
      <c r="AA319" s="10"/>
      <c r="AB319" s="10"/>
      <c r="AC319" s="10"/>
      <c r="AD319" s="10"/>
      <c r="AE319" s="10"/>
      <c r="AF319" s="10"/>
      <c r="AG319" s="10"/>
      <c r="AH319" s="10"/>
      <c r="AI319" s="10"/>
      <c r="AJ319" s="10"/>
      <c r="AK319" s="10"/>
      <c r="AL319" s="10"/>
      <c r="AM319" s="10"/>
      <c r="AN319" s="10"/>
      <c r="AO319" s="10"/>
      <c r="AW319" s="143"/>
      <c r="BA319" s="10"/>
      <c r="BB319" s="10"/>
      <c r="BC319" s="10"/>
      <c r="BD319" s="10"/>
      <c r="BE319" s="10"/>
      <c r="BF319" s="10"/>
      <c r="BG319" s="10"/>
      <c r="BH319" s="10"/>
      <c r="BI319" s="10"/>
      <c r="BJ319" s="10"/>
      <c r="BK319" s="10"/>
      <c r="BS319" s="10"/>
      <c r="BT319" s="10"/>
      <c r="BV319" s="10"/>
      <c r="BW319" s="10"/>
    </row>
    <row r="320">
      <c r="A320" s="10"/>
      <c r="B320" s="10"/>
      <c r="C320" s="10"/>
      <c r="D320" s="10"/>
      <c r="E320" s="10"/>
      <c r="F320" s="10"/>
      <c r="G320" s="10"/>
      <c r="H320" s="10"/>
      <c r="K320" s="10"/>
      <c r="L320" s="10"/>
      <c r="N320" s="10"/>
      <c r="P320" s="10"/>
      <c r="V320" s="10"/>
      <c r="W320" s="10"/>
      <c r="X320" s="10"/>
      <c r="Y320" s="10"/>
      <c r="Z320" s="10"/>
      <c r="AA320" s="10"/>
      <c r="AB320" s="10"/>
      <c r="AC320" s="10"/>
      <c r="AD320" s="10"/>
      <c r="AE320" s="10"/>
      <c r="AF320" s="10"/>
      <c r="AG320" s="10"/>
      <c r="AH320" s="10"/>
      <c r="AI320" s="10"/>
      <c r="AJ320" s="10"/>
      <c r="AK320" s="10"/>
      <c r="AL320" s="10"/>
      <c r="AM320" s="10"/>
      <c r="AN320" s="10"/>
      <c r="AO320" s="10"/>
      <c r="AW320" s="143"/>
      <c r="BA320" s="10"/>
      <c r="BB320" s="10"/>
      <c r="BC320" s="10"/>
      <c r="BD320" s="10"/>
      <c r="BE320" s="10"/>
      <c r="BF320" s="10"/>
      <c r="BG320" s="10"/>
      <c r="BH320" s="10"/>
      <c r="BI320" s="10"/>
      <c r="BJ320" s="10"/>
      <c r="BK320" s="10"/>
      <c r="BS320" s="10"/>
      <c r="BT320" s="10"/>
      <c r="BV320" s="10"/>
      <c r="BW320" s="10"/>
    </row>
    <row r="321">
      <c r="A321" s="10"/>
      <c r="B321" s="10"/>
      <c r="C321" s="10"/>
      <c r="D321" s="10"/>
      <c r="E321" s="10"/>
      <c r="F321" s="10"/>
      <c r="G321" s="10"/>
      <c r="H321" s="10"/>
      <c r="J321" s="10"/>
      <c r="K321" s="10"/>
      <c r="L321" s="10"/>
      <c r="N321" s="10"/>
      <c r="V321" s="10"/>
      <c r="W321" s="10"/>
      <c r="X321" s="10"/>
      <c r="Y321" s="10"/>
      <c r="Z321" s="10"/>
      <c r="AA321" s="10"/>
      <c r="AB321" s="10"/>
      <c r="AC321" s="10"/>
      <c r="AD321" s="10"/>
      <c r="AE321" s="10"/>
      <c r="AF321" s="10"/>
      <c r="AG321" s="10"/>
      <c r="AH321" s="10"/>
      <c r="AI321" s="10"/>
      <c r="AJ321" s="10"/>
      <c r="AK321" s="10"/>
      <c r="AL321" s="10"/>
      <c r="AM321" s="10"/>
      <c r="AN321" s="10"/>
      <c r="AO321" s="10"/>
      <c r="AW321" s="143"/>
      <c r="BA321" s="10"/>
      <c r="BB321" s="10"/>
      <c r="BC321" s="10"/>
      <c r="BD321" s="10"/>
      <c r="BE321" s="10"/>
      <c r="BF321" s="10"/>
      <c r="BG321" s="10"/>
      <c r="BH321" s="10"/>
      <c r="BI321" s="10"/>
      <c r="BJ321" s="10"/>
      <c r="BK321" s="10"/>
      <c r="BS321" s="10"/>
      <c r="BT321" s="10"/>
      <c r="BV321" s="10"/>
      <c r="BW321" s="10"/>
    </row>
    <row r="322" ht="63.75" customHeight="1">
      <c r="A322" s="10"/>
      <c r="B322" s="10"/>
      <c r="C322" s="10"/>
      <c r="D322" s="10"/>
      <c r="E322" s="10"/>
      <c r="F322" s="10"/>
      <c r="G322" s="10"/>
      <c r="H322" s="10"/>
      <c r="K322" s="10"/>
      <c r="L322" s="10"/>
      <c r="P322" s="10"/>
      <c r="V322" s="10"/>
      <c r="W322" s="10"/>
      <c r="X322" s="10"/>
      <c r="Y322" s="10"/>
      <c r="Z322" s="10"/>
      <c r="AA322" s="10"/>
      <c r="AB322" s="10"/>
      <c r="AC322" s="10"/>
      <c r="AD322" s="10"/>
      <c r="AE322" s="10"/>
      <c r="AF322" s="10"/>
      <c r="AG322" s="10"/>
      <c r="AH322" s="10"/>
      <c r="AI322" s="10"/>
      <c r="AJ322" s="10"/>
      <c r="AK322" s="10"/>
      <c r="AL322" s="10"/>
      <c r="AM322" s="10"/>
      <c r="AN322" s="10"/>
      <c r="AO322" s="10"/>
      <c r="AW322" s="244"/>
      <c r="BA322" s="10"/>
      <c r="BB322" s="10"/>
      <c r="BC322" s="10"/>
      <c r="BD322" s="10"/>
      <c r="BE322" s="10"/>
      <c r="BF322" s="10"/>
      <c r="BG322" s="10"/>
      <c r="BH322" s="10"/>
      <c r="BI322" s="10"/>
      <c r="BJ322" s="10"/>
      <c r="BK322" s="10"/>
      <c r="BS322" s="10"/>
      <c r="BT322" s="10"/>
      <c r="BV322" s="10"/>
      <c r="BW322" s="10"/>
    </row>
    <row r="323">
      <c r="A323" s="10"/>
      <c r="B323" s="10"/>
      <c r="C323" s="10"/>
      <c r="D323" s="10"/>
      <c r="E323" s="10"/>
      <c r="F323" s="10"/>
      <c r="G323" s="10"/>
      <c r="H323" s="10"/>
      <c r="K323" s="10"/>
      <c r="L323" s="10"/>
      <c r="P323" s="10"/>
      <c r="V323" s="10"/>
      <c r="W323" s="10"/>
      <c r="X323" s="10"/>
      <c r="Y323" s="10"/>
      <c r="Z323" s="10"/>
      <c r="AA323" s="10"/>
      <c r="AB323" s="10"/>
      <c r="AC323" s="10"/>
      <c r="AD323" s="10"/>
      <c r="AE323" s="10"/>
      <c r="AF323" s="10"/>
      <c r="AG323" s="10"/>
      <c r="AH323" s="10"/>
      <c r="AI323" s="10"/>
      <c r="AJ323" s="10"/>
      <c r="AK323" s="10"/>
      <c r="AL323" s="10"/>
      <c r="AM323" s="10"/>
      <c r="AN323" s="10"/>
      <c r="AO323" s="10"/>
      <c r="AW323" s="143"/>
      <c r="BA323" s="10"/>
      <c r="BB323" s="10"/>
      <c r="BC323" s="10"/>
      <c r="BD323" s="10"/>
      <c r="BE323" s="10"/>
      <c r="BF323" s="10"/>
      <c r="BG323" s="10"/>
      <c r="BH323" s="10"/>
      <c r="BI323" s="10"/>
      <c r="BJ323" s="10"/>
      <c r="BK323" s="10"/>
      <c r="BS323" s="10"/>
      <c r="BT323" s="10"/>
      <c r="BV323" s="10"/>
      <c r="BW323" s="10"/>
    </row>
    <row r="324">
      <c r="A324" s="10"/>
      <c r="B324" s="10"/>
      <c r="C324" s="10"/>
      <c r="D324" s="10"/>
      <c r="E324" s="10"/>
      <c r="F324" s="10"/>
      <c r="G324" s="10"/>
      <c r="H324" s="10"/>
      <c r="K324" s="10"/>
      <c r="L324" s="10"/>
      <c r="Q324" s="10"/>
      <c r="R324" s="10"/>
      <c r="S324" s="10"/>
      <c r="V324" s="10"/>
      <c r="W324" s="10"/>
      <c r="X324" s="10"/>
      <c r="Y324" s="10"/>
      <c r="Z324" s="10"/>
      <c r="AA324" s="10"/>
      <c r="AB324" s="10"/>
      <c r="AC324" s="10"/>
      <c r="AD324" s="10"/>
      <c r="AE324" s="10"/>
      <c r="AF324" s="10"/>
      <c r="AG324" s="10"/>
      <c r="AH324" s="10"/>
      <c r="AI324" s="10"/>
      <c r="AJ324" s="10"/>
      <c r="AK324" s="10"/>
      <c r="AL324" s="10"/>
      <c r="AM324" s="10"/>
      <c r="AN324" s="10"/>
      <c r="AO324" s="10"/>
      <c r="AW324" s="143"/>
      <c r="BA324" s="10"/>
      <c r="BB324" s="10"/>
      <c r="BC324" s="10"/>
      <c r="BD324" s="10"/>
      <c r="BE324" s="10"/>
      <c r="BF324" s="10"/>
      <c r="BG324" s="10"/>
      <c r="BH324" s="10"/>
      <c r="BI324" s="10"/>
      <c r="BJ324" s="10"/>
      <c r="BK324" s="10"/>
      <c r="BM324" s="10"/>
      <c r="BN324" s="10"/>
      <c r="BO324" s="10"/>
      <c r="BP324" s="10"/>
      <c r="BQ324" s="10"/>
      <c r="BR324" s="10"/>
      <c r="BS324" s="10"/>
      <c r="BT324" s="10"/>
      <c r="BU324" s="10"/>
      <c r="BV324" s="10"/>
      <c r="BW324" s="10"/>
    </row>
    <row r="325">
      <c r="A325" s="10"/>
      <c r="B325" s="10"/>
      <c r="C325" s="10"/>
      <c r="D325" s="10"/>
      <c r="E325" s="10"/>
      <c r="F325" s="10"/>
      <c r="G325" s="10"/>
      <c r="H325" s="10"/>
      <c r="K325" s="10"/>
      <c r="L325" s="10"/>
      <c r="V325" s="10"/>
      <c r="W325" s="10"/>
      <c r="X325" s="10"/>
      <c r="Y325" s="10"/>
      <c r="Z325" s="10"/>
      <c r="AA325" s="10"/>
      <c r="AB325" s="10"/>
      <c r="AC325" s="10"/>
      <c r="AD325" s="10"/>
      <c r="AE325" s="10"/>
      <c r="AF325" s="10"/>
      <c r="AG325" s="10"/>
      <c r="AH325" s="10"/>
      <c r="AI325" s="10"/>
      <c r="AJ325" s="10"/>
      <c r="AK325" s="10"/>
      <c r="AL325" s="10"/>
      <c r="AM325" s="10"/>
      <c r="AN325" s="10"/>
      <c r="AO325" s="10"/>
      <c r="AW325" s="143"/>
      <c r="BA325" s="10"/>
      <c r="BB325" s="10"/>
      <c r="BC325" s="10"/>
      <c r="BD325" s="10"/>
      <c r="BE325" s="10"/>
      <c r="BF325" s="10"/>
      <c r="BG325" s="10"/>
      <c r="BH325" s="10"/>
      <c r="BI325" s="10"/>
      <c r="BJ325" s="10"/>
      <c r="BK325" s="10"/>
      <c r="BS325" s="10"/>
      <c r="BT325" s="10"/>
      <c r="BV325" s="10"/>
      <c r="BW325" s="10"/>
    </row>
    <row r="326">
      <c r="A326" s="10"/>
      <c r="B326" s="10"/>
      <c r="C326" s="10"/>
      <c r="D326" s="10"/>
      <c r="E326" s="10"/>
      <c r="F326" s="10"/>
      <c r="G326" s="10"/>
      <c r="H326" s="10"/>
      <c r="K326" s="10"/>
      <c r="L326" s="10"/>
      <c r="V326" s="10"/>
      <c r="W326" s="10"/>
      <c r="X326" s="10"/>
      <c r="Y326" s="10"/>
      <c r="Z326" s="10"/>
      <c r="AA326" s="10"/>
      <c r="AB326" s="10"/>
      <c r="AC326" s="10"/>
      <c r="AD326" s="10"/>
      <c r="AE326" s="10"/>
      <c r="AF326" s="10"/>
      <c r="AG326" s="10"/>
      <c r="AH326" s="10"/>
      <c r="AI326" s="10"/>
      <c r="AJ326" s="10"/>
      <c r="AK326" s="10"/>
      <c r="AL326" s="10"/>
      <c r="AM326" s="10"/>
      <c r="AN326" s="10"/>
      <c r="AO326" s="10"/>
      <c r="AW326" s="143"/>
      <c r="BA326" s="10"/>
      <c r="BB326" s="10"/>
      <c r="BC326" s="10"/>
      <c r="BD326" s="10"/>
      <c r="BE326" s="10"/>
      <c r="BF326" s="10"/>
      <c r="BG326" s="10"/>
      <c r="BH326" s="10"/>
      <c r="BI326" s="10"/>
      <c r="BJ326" s="10"/>
      <c r="BK326" s="10"/>
      <c r="BS326" s="10"/>
      <c r="BT326" s="10"/>
      <c r="BV326" s="10"/>
      <c r="BW326" s="10"/>
    </row>
    <row r="327">
      <c r="A327" s="10"/>
      <c r="B327" s="10"/>
      <c r="C327" s="10"/>
      <c r="D327" s="10"/>
      <c r="E327" s="10"/>
      <c r="F327" s="10"/>
      <c r="G327" s="10"/>
      <c r="H327" s="10"/>
      <c r="J327" s="10"/>
      <c r="K327" s="10"/>
      <c r="L327" s="10"/>
      <c r="V327" s="10"/>
      <c r="W327" s="10"/>
      <c r="X327" s="10"/>
      <c r="Y327" s="10"/>
      <c r="Z327" s="10"/>
      <c r="AA327" s="10"/>
      <c r="AB327" s="10"/>
      <c r="AC327" s="10"/>
      <c r="AD327" s="10"/>
      <c r="AE327" s="10"/>
      <c r="AF327" s="10"/>
      <c r="AG327" s="10"/>
      <c r="AH327" s="10"/>
      <c r="AI327" s="10"/>
      <c r="AJ327" s="10"/>
      <c r="AK327" s="10"/>
      <c r="AL327" s="10"/>
      <c r="AM327" s="10"/>
      <c r="AN327" s="10"/>
      <c r="AO327" s="10"/>
      <c r="AW327" s="143"/>
      <c r="BA327" s="10"/>
      <c r="BB327" s="10"/>
      <c r="BC327" s="10"/>
      <c r="BD327" s="10"/>
      <c r="BE327" s="10"/>
      <c r="BF327" s="10"/>
      <c r="BG327" s="10"/>
      <c r="BH327" s="10"/>
      <c r="BI327" s="10"/>
      <c r="BJ327" s="10"/>
      <c r="BK327" s="10"/>
      <c r="BS327" s="10"/>
      <c r="BT327" s="10"/>
      <c r="BV327" s="10"/>
      <c r="BW327" s="10"/>
    </row>
    <row r="328">
      <c r="A328" s="10"/>
      <c r="B328" s="10"/>
      <c r="C328" s="10"/>
      <c r="D328" s="10"/>
      <c r="E328" s="10"/>
      <c r="F328" s="10"/>
      <c r="G328" s="10"/>
      <c r="H328" s="10"/>
      <c r="J328" s="10"/>
      <c r="K328" s="10"/>
      <c r="L328" s="10"/>
      <c r="V328" s="10"/>
      <c r="W328" s="10"/>
      <c r="X328" s="10"/>
      <c r="Y328" s="10"/>
      <c r="Z328" s="10"/>
      <c r="AA328" s="10"/>
      <c r="AB328" s="10"/>
      <c r="AC328" s="10"/>
      <c r="AD328" s="10"/>
      <c r="AE328" s="10"/>
      <c r="AF328" s="10"/>
      <c r="AG328" s="10"/>
      <c r="AH328" s="10"/>
      <c r="AI328" s="10"/>
      <c r="AJ328" s="10"/>
      <c r="AK328" s="10"/>
      <c r="AL328" s="10"/>
      <c r="AM328" s="10"/>
      <c r="AN328" s="10"/>
      <c r="AO328" s="10"/>
      <c r="AW328" s="143"/>
      <c r="BA328" s="10"/>
      <c r="BB328" s="10"/>
      <c r="BC328" s="10"/>
      <c r="BD328" s="10"/>
      <c r="BE328" s="10"/>
      <c r="BF328" s="10"/>
      <c r="BG328" s="10"/>
      <c r="BH328" s="10"/>
      <c r="BI328" s="10"/>
      <c r="BJ328" s="10"/>
      <c r="BK328" s="10"/>
      <c r="BS328" s="10"/>
      <c r="BT328" s="10"/>
      <c r="BV328" s="10"/>
      <c r="BW328" s="10"/>
    </row>
    <row r="329">
      <c r="A329" s="10"/>
      <c r="B329" s="10"/>
      <c r="C329" s="10"/>
      <c r="D329" s="10"/>
      <c r="E329" s="10"/>
      <c r="F329" s="10"/>
      <c r="G329" s="10"/>
      <c r="H329" s="10"/>
      <c r="K329" s="10"/>
      <c r="L329" s="10"/>
      <c r="Q329" s="10"/>
      <c r="R329" s="10"/>
      <c r="S329" s="10"/>
      <c r="V329" s="10"/>
      <c r="W329" s="10"/>
      <c r="X329" s="10"/>
      <c r="Y329" s="10"/>
      <c r="Z329" s="10"/>
      <c r="AA329" s="10"/>
      <c r="AB329" s="10"/>
      <c r="AC329" s="10"/>
      <c r="AD329" s="10"/>
      <c r="AE329" s="10"/>
      <c r="AF329" s="10"/>
      <c r="AG329" s="10"/>
      <c r="AH329" s="10"/>
      <c r="AI329" s="10"/>
      <c r="AJ329" s="10"/>
      <c r="AK329" s="10"/>
      <c r="AL329" s="10"/>
      <c r="AM329" s="10"/>
      <c r="AN329" s="10"/>
      <c r="AO329" s="10"/>
      <c r="AW329" s="143"/>
      <c r="BA329" s="10"/>
      <c r="BB329" s="10"/>
      <c r="BC329" s="10"/>
      <c r="BD329" s="10"/>
      <c r="BE329" s="10"/>
      <c r="BF329" s="10"/>
      <c r="BG329" s="10"/>
      <c r="BH329" s="10"/>
      <c r="BI329" s="10"/>
      <c r="BJ329" s="10"/>
      <c r="BK329" s="10"/>
      <c r="BM329" s="10"/>
      <c r="BN329" s="10"/>
      <c r="BP329" s="10"/>
      <c r="BQ329" s="10"/>
      <c r="BS329" s="10"/>
      <c r="BT329" s="10"/>
      <c r="BV329" s="10"/>
      <c r="BW329" s="10"/>
    </row>
    <row r="330">
      <c r="A330" s="10"/>
      <c r="B330" s="10"/>
      <c r="C330" s="10"/>
      <c r="D330" s="10"/>
      <c r="E330" s="10"/>
      <c r="F330" s="10"/>
      <c r="G330" s="10"/>
      <c r="H330" s="10"/>
      <c r="K330" s="10"/>
      <c r="L330" s="10"/>
      <c r="N330" s="10"/>
      <c r="P330" s="10"/>
      <c r="Q330" s="10"/>
      <c r="R330" s="10"/>
      <c r="S330" s="10"/>
      <c r="V330" s="10"/>
      <c r="W330" s="10"/>
      <c r="X330" s="10"/>
      <c r="Y330" s="10"/>
      <c r="Z330" s="10"/>
      <c r="AA330" s="10"/>
      <c r="AB330" s="10"/>
      <c r="AC330" s="10"/>
      <c r="AD330" s="10"/>
      <c r="AE330" s="10"/>
      <c r="AF330" s="10"/>
      <c r="AG330" s="10"/>
      <c r="AH330" s="10"/>
      <c r="AI330" s="10"/>
      <c r="AJ330" s="10"/>
      <c r="AK330" s="10"/>
      <c r="AL330" s="10"/>
      <c r="AM330" s="10"/>
      <c r="AN330" s="10"/>
      <c r="AO330" s="10"/>
      <c r="AW330" s="143"/>
      <c r="BA330" s="10"/>
      <c r="BD330" s="10"/>
      <c r="BE330" s="10"/>
      <c r="BF330" s="10"/>
      <c r="BG330" s="10"/>
      <c r="BH330" s="10"/>
      <c r="BI330" s="10"/>
      <c r="BJ330" s="10"/>
      <c r="BK330" s="10"/>
      <c r="BL330" s="10"/>
      <c r="BM330" s="10"/>
      <c r="BN330" s="10"/>
      <c r="BO330" s="10"/>
      <c r="BP330" s="10"/>
      <c r="BQ330" s="10"/>
      <c r="BR330" s="10"/>
      <c r="BS330" s="10"/>
      <c r="BT330" s="10"/>
      <c r="BV330" s="10"/>
      <c r="BW330" s="10"/>
    </row>
    <row r="331">
      <c r="A331" s="10"/>
      <c r="B331" s="10"/>
      <c r="C331" s="10"/>
      <c r="D331" s="10"/>
      <c r="E331" s="10"/>
      <c r="F331" s="10"/>
      <c r="G331" s="10"/>
      <c r="H331" s="10"/>
      <c r="J331" s="10"/>
      <c r="K331" s="10"/>
      <c r="L331" s="10"/>
      <c r="V331" s="10"/>
      <c r="W331" s="10"/>
      <c r="X331" s="10"/>
      <c r="Y331" s="10"/>
      <c r="Z331" s="10"/>
      <c r="AA331" s="10"/>
      <c r="AB331" s="10"/>
      <c r="AC331" s="10"/>
      <c r="AD331" s="10"/>
      <c r="AE331" s="10"/>
      <c r="AF331" s="10"/>
      <c r="AG331" s="10"/>
      <c r="AH331" s="10"/>
      <c r="AI331" s="10"/>
      <c r="AJ331" s="10"/>
      <c r="AK331" s="10"/>
      <c r="AL331" s="10"/>
      <c r="AM331" s="10"/>
      <c r="AN331" s="10"/>
      <c r="AO331" s="10"/>
      <c r="AW331" s="143"/>
      <c r="BA331" s="10"/>
      <c r="BD331" s="10"/>
      <c r="BE331" s="10"/>
      <c r="BF331" s="10"/>
      <c r="BG331" s="10"/>
      <c r="BH331" s="10"/>
      <c r="BI331" s="10"/>
      <c r="BJ331" s="10"/>
      <c r="BK331" s="10"/>
      <c r="BL331" s="10"/>
      <c r="BN331" s="10"/>
      <c r="BO331" s="10"/>
      <c r="BQ331" s="10"/>
      <c r="BR331" s="10"/>
      <c r="BT331" s="10"/>
      <c r="BV331" s="10"/>
      <c r="BW331" s="10"/>
    </row>
    <row r="332">
      <c r="A332" s="10"/>
      <c r="B332" s="10"/>
      <c r="C332" s="10"/>
      <c r="D332" s="10"/>
      <c r="E332" s="10"/>
      <c r="F332" s="10"/>
      <c r="G332" s="10"/>
      <c r="H332" s="10"/>
      <c r="J332" s="10"/>
      <c r="K332" s="10"/>
      <c r="L332" s="10"/>
      <c r="V332" s="10"/>
      <c r="W332" s="10"/>
      <c r="X332" s="10"/>
      <c r="Y332" s="10"/>
      <c r="Z332" s="10"/>
      <c r="AA332" s="10"/>
      <c r="AB332" s="10"/>
      <c r="AC332" s="10"/>
      <c r="AD332" s="10"/>
      <c r="AE332" s="10"/>
      <c r="AF332" s="10"/>
      <c r="AG332" s="10"/>
      <c r="AH332" s="10"/>
      <c r="AI332" s="10"/>
      <c r="AJ332" s="10"/>
      <c r="AK332" s="10"/>
      <c r="AL332" s="10"/>
      <c r="AM332" s="10"/>
      <c r="AN332" s="10"/>
      <c r="AO332" s="10"/>
      <c r="AW332" s="143"/>
      <c r="BA332" s="10"/>
      <c r="BD332" s="10"/>
      <c r="BE332" s="10"/>
      <c r="BF332" s="10"/>
      <c r="BG332" s="10"/>
      <c r="BH332" s="10"/>
      <c r="BI332" s="10"/>
      <c r="BJ332" s="10"/>
      <c r="BK332" s="10"/>
      <c r="BL332" s="10"/>
      <c r="BS332" s="10"/>
      <c r="BT332" s="10"/>
      <c r="BV332" s="10"/>
      <c r="BW332" s="10"/>
    </row>
    <row r="333">
      <c r="A333" s="10"/>
      <c r="B333" s="10"/>
      <c r="C333" s="10"/>
      <c r="D333" s="10"/>
      <c r="E333" s="10"/>
      <c r="F333" s="10"/>
      <c r="G333" s="10"/>
      <c r="H333" s="10"/>
      <c r="K333" s="10"/>
      <c r="L333" s="10"/>
      <c r="U333" s="10"/>
      <c r="V333" s="10"/>
      <c r="W333" s="10"/>
      <c r="X333" s="10"/>
      <c r="Y333" s="10"/>
      <c r="Z333" s="10"/>
      <c r="AA333" s="10"/>
      <c r="AB333" s="10"/>
      <c r="AC333" s="10"/>
      <c r="AD333" s="10"/>
      <c r="AE333" s="10"/>
      <c r="AF333" s="10"/>
      <c r="AG333" s="10"/>
      <c r="AH333" s="10"/>
      <c r="AI333" s="10"/>
      <c r="AJ333" s="10"/>
      <c r="AK333" s="10"/>
      <c r="AL333" s="10"/>
      <c r="AM333" s="10"/>
      <c r="AN333" s="10"/>
      <c r="AO333" s="10"/>
      <c r="AW333" s="143"/>
      <c r="BA333" s="10"/>
      <c r="BD333" s="10"/>
      <c r="BE333" s="10"/>
      <c r="BF333" s="10"/>
      <c r="BG333" s="10"/>
      <c r="BH333" s="10"/>
      <c r="BI333" s="10"/>
      <c r="BJ333" s="10"/>
      <c r="BK333" s="10"/>
      <c r="BO333" s="10"/>
      <c r="BR333" s="10"/>
      <c r="BS333" s="10"/>
      <c r="BT333" s="10"/>
      <c r="BV333" s="10"/>
      <c r="BW333" s="10"/>
    </row>
    <row r="334">
      <c r="A334" s="10"/>
      <c r="B334" s="10"/>
      <c r="C334" s="10"/>
      <c r="D334" s="10"/>
      <c r="E334" s="10"/>
      <c r="F334" s="10"/>
      <c r="G334" s="10"/>
      <c r="H334" s="10"/>
      <c r="K334" s="10"/>
      <c r="L334" s="10"/>
      <c r="N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W334" s="143"/>
      <c r="BA334" s="10"/>
      <c r="BD334" s="10"/>
      <c r="BE334" s="10"/>
      <c r="BF334" s="10"/>
      <c r="BG334" s="10"/>
      <c r="BH334" s="10"/>
      <c r="BI334" s="10"/>
      <c r="BJ334" s="10"/>
      <c r="BK334" s="10"/>
      <c r="BN334" s="10"/>
      <c r="BQ334" s="10"/>
      <c r="BT334" s="10"/>
      <c r="BV334" s="10"/>
      <c r="BW334" s="10"/>
    </row>
    <row r="335">
      <c r="A335" s="10"/>
      <c r="B335" s="10"/>
      <c r="C335" s="10"/>
      <c r="D335" s="10"/>
      <c r="E335" s="10"/>
      <c r="F335" s="10"/>
      <c r="G335" s="10"/>
      <c r="H335" s="10"/>
      <c r="K335" s="10"/>
      <c r="L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W335" s="143"/>
      <c r="BA335" s="10"/>
      <c r="BD335" s="10"/>
      <c r="BE335" s="10"/>
      <c r="BF335" s="10"/>
      <c r="BG335" s="10"/>
      <c r="BH335" s="10"/>
      <c r="BI335" s="10"/>
      <c r="BJ335" s="10"/>
      <c r="BK335" s="10"/>
      <c r="BS335" s="10"/>
      <c r="BT335" s="10"/>
      <c r="BV335" s="10"/>
      <c r="BW335" s="10"/>
    </row>
    <row r="336">
      <c r="A336" s="10"/>
      <c r="B336" s="10"/>
      <c r="C336" s="10"/>
      <c r="D336" s="10"/>
      <c r="E336" s="10"/>
      <c r="F336" s="10"/>
      <c r="G336" s="10"/>
      <c r="H336" s="10"/>
      <c r="K336" s="10"/>
      <c r="L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W336" s="143"/>
      <c r="BA336" s="10"/>
      <c r="BD336" s="10"/>
      <c r="BE336" s="10"/>
      <c r="BF336" s="10"/>
      <c r="BG336" s="10"/>
      <c r="BH336" s="10"/>
      <c r="BI336" s="10"/>
      <c r="BJ336" s="10"/>
      <c r="BK336" s="10"/>
      <c r="BS336" s="10"/>
      <c r="BT336" s="10"/>
      <c r="BV336" s="10"/>
      <c r="BW336" s="10"/>
    </row>
    <row r="337">
      <c r="A337" s="10"/>
      <c r="B337" s="10"/>
      <c r="C337" s="10"/>
      <c r="D337" s="10"/>
      <c r="E337" s="10"/>
      <c r="F337" s="10"/>
      <c r="G337" s="10"/>
      <c r="H337" s="10"/>
      <c r="K337" s="10"/>
      <c r="L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W337" s="143"/>
      <c r="BA337" s="10"/>
      <c r="BD337" s="10"/>
      <c r="BE337" s="10"/>
      <c r="BF337" s="10"/>
      <c r="BG337" s="10"/>
      <c r="BH337" s="10"/>
      <c r="BI337" s="10"/>
      <c r="BJ337" s="10"/>
      <c r="BK337" s="10"/>
      <c r="BS337" s="10"/>
      <c r="BT337" s="10"/>
      <c r="BV337" s="10"/>
      <c r="BW337" s="10"/>
    </row>
    <row r="338">
      <c r="A338" s="10"/>
      <c r="B338" s="10"/>
      <c r="C338" s="10"/>
      <c r="D338" s="10"/>
      <c r="E338" s="10"/>
      <c r="F338" s="10"/>
      <c r="G338" s="10"/>
      <c r="H338" s="10"/>
      <c r="K338" s="10"/>
      <c r="L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W338" s="143"/>
      <c r="BA338" s="10"/>
      <c r="BD338" s="10"/>
      <c r="BE338" s="10"/>
      <c r="BF338" s="10"/>
      <c r="BG338" s="10"/>
      <c r="BH338" s="10"/>
      <c r="BI338" s="10"/>
      <c r="BJ338" s="10"/>
      <c r="BK338" s="10"/>
      <c r="BS338" s="10"/>
      <c r="BT338" s="10"/>
      <c r="BV338" s="10"/>
      <c r="BW338" s="10"/>
    </row>
    <row r="339">
      <c r="A339" s="10"/>
      <c r="B339" s="10"/>
      <c r="C339" s="10"/>
      <c r="D339" s="10"/>
      <c r="E339" s="10"/>
      <c r="F339" s="10"/>
      <c r="G339" s="10"/>
      <c r="H339" s="10"/>
      <c r="I339" s="10"/>
      <c r="J339" s="10"/>
      <c r="K339" s="10"/>
      <c r="L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R339" s="10"/>
      <c r="AW339" s="143"/>
      <c r="BA339" s="10"/>
      <c r="BD339" s="10"/>
      <c r="BE339" s="10"/>
      <c r="BF339" s="10"/>
      <c r="BG339" s="10"/>
      <c r="BH339" s="10"/>
      <c r="BI339" s="10"/>
      <c r="BJ339" s="10"/>
      <c r="BK339" s="10"/>
      <c r="BS339" s="10"/>
      <c r="BT339" s="10"/>
      <c r="BV339" s="10"/>
      <c r="BW339" s="10"/>
    </row>
    <row r="340">
      <c r="A340" s="10"/>
      <c r="B340" s="10"/>
      <c r="C340" s="10"/>
      <c r="D340" s="10"/>
      <c r="E340" s="10"/>
      <c r="F340" s="10"/>
      <c r="G340" s="10"/>
      <c r="H340" s="10"/>
      <c r="K340" s="10"/>
      <c r="L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W340" s="143"/>
      <c r="BA340" s="10"/>
      <c r="BD340" s="10"/>
      <c r="BE340" s="10"/>
      <c r="BF340" s="10"/>
      <c r="BG340" s="10"/>
      <c r="BH340" s="10"/>
      <c r="BI340" s="10"/>
      <c r="BJ340" s="10"/>
      <c r="BK340" s="10"/>
      <c r="BS340" s="10"/>
      <c r="BT340" s="10"/>
      <c r="BV340" s="10"/>
      <c r="BW340" s="10"/>
    </row>
    <row r="341">
      <c r="A341" s="10"/>
      <c r="B341" s="10"/>
      <c r="C341" s="10"/>
      <c r="D341" s="10"/>
      <c r="E341" s="10"/>
      <c r="F341" s="10"/>
      <c r="G341" s="10"/>
      <c r="H341" s="10"/>
      <c r="J341" s="10"/>
      <c r="K341" s="10"/>
      <c r="L341" s="10"/>
      <c r="P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W341" s="143"/>
      <c r="BA341" s="10"/>
      <c r="BD341" s="10"/>
      <c r="BE341" s="10"/>
      <c r="BF341" s="10"/>
      <c r="BG341" s="10"/>
      <c r="BH341" s="10"/>
      <c r="BI341" s="10"/>
      <c r="BJ341" s="10"/>
      <c r="BK341" s="10"/>
      <c r="BM341" s="10"/>
      <c r="BP341" s="10"/>
      <c r="BS341" s="10"/>
      <c r="BT341" s="10"/>
      <c r="BV341" s="10"/>
      <c r="BW341" s="10"/>
    </row>
    <row r="342">
      <c r="A342" s="10"/>
      <c r="B342" s="10"/>
      <c r="C342" s="10"/>
      <c r="D342" s="10"/>
      <c r="E342" s="10"/>
      <c r="F342" s="10"/>
      <c r="G342" s="10"/>
      <c r="H342" s="10"/>
      <c r="J342" s="10"/>
      <c r="K342" s="10"/>
      <c r="L342" s="10"/>
      <c r="N342" s="10"/>
      <c r="P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W342" s="143"/>
      <c r="BA342" s="10"/>
      <c r="BD342" s="10"/>
      <c r="BE342" s="10"/>
      <c r="BF342" s="10"/>
      <c r="BG342" s="10"/>
      <c r="BH342" s="10"/>
      <c r="BI342" s="10"/>
      <c r="BJ342" s="10"/>
      <c r="BK342" s="10"/>
      <c r="BS342" s="10"/>
      <c r="BT342" s="10"/>
      <c r="BV342" s="10"/>
      <c r="BW342" s="10"/>
    </row>
    <row r="343">
      <c r="A343" s="10"/>
      <c r="B343" s="10"/>
      <c r="C343" s="10"/>
      <c r="D343" s="10"/>
      <c r="E343" s="10"/>
      <c r="F343" s="10"/>
      <c r="G343" s="10"/>
      <c r="H343" s="10"/>
      <c r="J343" s="10"/>
      <c r="K343" s="10"/>
      <c r="L343" s="10"/>
      <c r="U343" s="10"/>
      <c r="V343" s="10"/>
      <c r="W343" s="10"/>
      <c r="X343" s="10"/>
      <c r="Y343" s="10"/>
      <c r="Z343" s="10"/>
      <c r="AA343" s="10"/>
      <c r="AB343" s="10"/>
      <c r="AC343" s="10"/>
      <c r="AD343" s="10"/>
      <c r="AE343" s="10"/>
      <c r="AF343" s="10"/>
      <c r="AG343" s="10"/>
      <c r="AH343" s="10"/>
      <c r="AI343" s="10"/>
      <c r="AJ343" s="10"/>
      <c r="AK343" s="10"/>
      <c r="AL343" s="10"/>
      <c r="AM343" s="10"/>
      <c r="AN343" s="10"/>
      <c r="AO343" s="10"/>
      <c r="AW343" s="143"/>
      <c r="BA343" s="10"/>
      <c r="BD343" s="10"/>
      <c r="BE343" s="10"/>
      <c r="BF343" s="10"/>
      <c r="BG343" s="10"/>
      <c r="BH343" s="10"/>
      <c r="BI343" s="10"/>
      <c r="BJ343" s="10"/>
      <c r="BK343" s="10"/>
      <c r="BS343" s="10"/>
      <c r="BT343" s="10"/>
      <c r="BV343" s="10"/>
      <c r="BW343" s="10"/>
    </row>
    <row r="344">
      <c r="A344" s="10"/>
      <c r="B344" s="10"/>
      <c r="C344" s="10"/>
      <c r="D344" s="10"/>
      <c r="E344" s="10"/>
      <c r="F344" s="10"/>
      <c r="G344" s="10"/>
      <c r="H344" s="10"/>
      <c r="J344" s="10"/>
      <c r="K344" s="10"/>
      <c r="L344" s="10"/>
      <c r="U344" s="10"/>
      <c r="V344" s="10"/>
      <c r="W344" s="10"/>
      <c r="X344" s="10"/>
      <c r="Y344" s="10"/>
      <c r="Z344" s="10"/>
      <c r="AA344" s="10"/>
      <c r="AB344" s="10"/>
      <c r="AC344" s="10"/>
      <c r="AD344" s="10"/>
      <c r="AE344" s="10"/>
      <c r="AF344" s="10"/>
      <c r="AG344" s="10"/>
      <c r="AH344" s="10"/>
      <c r="AI344" s="10"/>
      <c r="AJ344" s="10"/>
      <c r="AK344" s="10"/>
      <c r="AL344" s="10"/>
      <c r="AM344" s="10"/>
      <c r="AN344" s="10"/>
      <c r="AO344" s="10"/>
      <c r="AW344" s="143"/>
      <c r="BA344" s="10"/>
      <c r="BD344" s="10"/>
      <c r="BE344" s="10"/>
      <c r="BF344" s="10"/>
      <c r="BG344" s="10"/>
      <c r="BH344" s="10"/>
      <c r="BI344" s="10"/>
      <c r="BJ344" s="10"/>
      <c r="BK344" s="10"/>
      <c r="BS344" s="10"/>
      <c r="BT344" s="10"/>
      <c r="BV344" s="10"/>
      <c r="BW344" s="10"/>
    </row>
    <row r="345">
      <c r="A345" s="10"/>
      <c r="B345" s="10"/>
      <c r="C345" s="10"/>
      <c r="D345" s="10"/>
      <c r="E345" s="10"/>
      <c r="F345" s="10"/>
      <c r="G345" s="10"/>
      <c r="H345" s="10"/>
      <c r="J345" s="10"/>
      <c r="K345" s="10"/>
      <c r="L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W345" s="143"/>
      <c r="BA345" s="10"/>
      <c r="BD345" s="10"/>
      <c r="BE345" s="10"/>
      <c r="BF345" s="10"/>
      <c r="BG345" s="10"/>
      <c r="BH345" s="10"/>
      <c r="BI345" s="10"/>
      <c r="BJ345" s="10"/>
      <c r="BK345" s="10"/>
      <c r="BS345" s="10"/>
      <c r="BT345" s="10"/>
      <c r="BV345" s="10"/>
      <c r="BW345" s="10"/>
    </row>
    <row r="346">
      <c r="A346" s="10"/>
      <c r="B346" s="10"/>
      <c r="C346" s="10"/>
      <c r="D346" s="10"/>
      <c r="E346" s="10"/>
      <c r="F346" s="10"/>
      <c r="G346" s="10"/>
      <c r="H346" s="10"/>
      <c r="K346" s="10"/>
      <c r="L346" s="10"/>
      <c r="P346" s="10"/>
      <c r="U346" s="10"/>
      <c r="V346" s="10"/>
      <c r="W346" s="10"/>
      <c r="X346" s="10"/>
      <c r="Y346" s="10"/>
      <c r="Z346" s="10"/>
      <c r="AA346" s="10"/>
      <c r="AB346" s="10"/>
      <c r="AC346" s="10"/>
      <c r="AD346" s="10"/>
      <c r="AE346" s="10"/>
      <c r="AF346" s="10"/>
      <c r="AG346" s="10"/>
      <c r="AH346" s="10"/>
      <c r="AI346" s="10"/>
      <c r="AJ346" s="10"/>
      <c r="AK346" s="10"/>
      <c r="AL346" s="10"/>
      <c r="AM346" s="10"/>
      <c r="AN346" s="10"/>
      <c r="AO346" s="10"/>
      <c r="AW346" s="143"/>
      <c r="BA346" s="10"/>
      <c r="BD346" s="10"/>
      <c r="BE346" s="10"/>
      <c r="BF346" s="10"/>
      <c r="BG346" s="10"/>
      <c r="BH346" s="10"/>
      <c r="BI346" s="10"/>
      <c r="BJ346" s="10"/>
      <c r="BK346" s="10"/>
      <c r="BM346" s="10"/>
      <c r="BP346" s="10"/>
      <c r="BS346" s="10"/>
      <c r="BT346" s="10"/>
      <c r="BV346" s="10"/>
      <c r="BW346" s="10"/>
    </row>
    <row r="347">
      <c r="A347" s="10"/>
      <c r="B347" s="10"/>
      <c r="C347" s="10"/>
      <c r="D347" s="10"/>
      <c r="E347" s="10"/>
      <c r="F347" s="10"/>
      <c r="G347" s="10"/>
      <c r="H347" s="10"/>
      <c r="J347" s="10"/>
      <c r="K347" s="10"/>
      <c r="L347" s="10"/>
      <c r="N347" s="10"/>
      <c r="P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W347" s="143"/>
      <c r="BA347" s="10"/>
      <c r="BD347" s="10"/>
      <c r="BE347" s="10"/>
      <c r="BF347" s="10"/>
      <c r="BG347" s="10"/>
      <c r="BH347" s="10"/>
      <c r="BI347" s="10"/>
      <c r="BJ347" s="10"/>
      <c r="BK347" s="10"/>
      <c r="BL347" s="10"/>
      <c r="BM347" s="10"/>
      <c r="BN347" s="10"/>
      <c r="BO347" s="10"/>
      <c r="BP347" s="10"/>
      <c r="BQ347" s="10"/>
      <c r="BR347" s="10"/>
      <c r="BS347" s="10"/>
      <c r="BT347" s="10"/>
      <c r="BV347" s="10"/>
      <c r="BW347" s="10"/>
    </row>
    <row r="348">
      <c r="A348" s="10"/>
      <c r="B348" s="10"/>
      <c r="C348" s="10"/>
      <c r="D348" s="10"/>
      <c r="E348" s="10"/>
      <c r="F348" s="10"/>
      <c r="G348" s="10"/>
      <c r="H348" s="10"/>
      <c r="K348" s="10"/>
      <c r="L348" s="10"/>
      <c r="N348" s="10"/>
      <c r="P348" s="10"/>
      <c r="Q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W348" s="143"/>
      <c r="BA348" s="10"/>
      <c r="BD348" s="10"/>
      <c r="BE348" s="10"/>
      <c r="BF348" s="10"/>
      <c r="BG348" s="10"/>
      <c r="BH348" s="10"/>
      <c r="BI348" s="10"/>
      <c r="BJ348" s="10"/>
      <c r="BK348" s="10"/>
      <c r="BL348" s="10"/>
      <c r="BS348" s="10"/>
      <c r="BT348" s="10"/>
      <c r="BV348" s="10"/>
      <c r="BW348" s="10"/>
    </row>
    <row r="349">
      <c r="A349" s="10"/>
      <c r="B349" s="10"/>
      <c r="C349" s="10"/>
      <c r="D349" s="10"/>
      <c r="E349" s="10"/>
      <c r="F349" s="10"/>
      <c r="G349" s="10"/>
      <c r="H349" s="10"/>
      <c r="K349" s="10"/>
      <c r="L349" s="10"/>
      <c r="N349" s="10"/>
      <c r="P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W349" s="143"/>
      <c r="BA349" s="10"/>
      <c r="BD349" s="10"/>
      <c r="BE349" s="10"/>
      <c r="BF349" s="10"/>
      <c r="BG349" s="10"/>
      <c r="BH349" s="10"/>
      <c r="BI349" s="10"/>
      <c r="BJ349" s="10"/>
      <c r="BK349" s="10"/>
      <c r="BL349" s="10"/>
      <c r="BS349" s="10"/>
      <c r="BT349" s="10"/>
      <c r="BV349" s="10"/>
      <c r="BW349" s="10"/>
    </row>
    <row r="350">
      <c r="A350" s="10"/>
      <c r="B350" s="10"/>
      <c r="C350" s="10"/>
      <c r="D350" s="10"/>
      <c r="E350" s="10"/>
      <c r="F350" s="10"/>
      <c r="G350" s="10"/>
      <c r="H350" s="10"/>
      <c r="K350" s="10"/>
      <c r="L350" s="10"/>
      <c r="N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W350" s="143"/>
      <c r="BA350" s="10"/>
      <c r="BD350" s="10"/>
      <c r="BE350" s="10"/>
      <c r="BF350" s="10"/>
      <c r="BG350" s="10"/>
      <c r="BH350" s="10"/>
      <c r="BI350" s="10"/>
      <c r="BJ350" s="10"/>
      <c r="BK350" s="10"/>
      <c r="BL350" s="10"/>
      <c r="BS350" s="10"/>
      <c r="BT350" s="10"/>
      <c r="BV350" s="10"/>
      <c r="BW350" s="10"/>
    </row>
    <row r="351">
      <c r="A351" s="10"/>
      <c r="B351" s="10"/>
      <c r="C351" s="10"/>
      <c r="D351" s="10"/>
      <c r="E351" s="10"/>
      <c r="F351" s="10"/>
      <c r="G351" s="10"/>
      <c r="H351" s="10"/>
      <c r="K351" s="10"/>
      <c r="L351" s="10"/>
      <c r="N351" s="10"/>
      <c r="P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W351" s="143"/>
      <c r="BA351" s="10"/>
      <c r="BD351" s="10"/>
      <c r="BE351" s="10"/>
      <c r="BF351" s="10"/>
      <c r="BG351" s="10"/>
      <c r="BH351" s="10"/>
      <c r="BI351" s="10"/>
      <c r="BJ351" s="10"/>
      <c r="BK351" s="10"/>
      <c r="BL351" s="10"/>
      <c r="BM351" s="10"/>
      <c r="BN351" s="10"/>
      <c r="BO351" s="10"/>
      <c r="BP351" s="10"/>
      <c r="BQ351" s="10"/>
      <c r="BR351" s="10"/>
      <c r="BS351" s="10"/>
      <c r="BT351" s="10"/>
      <c r="BV351" s="10"/>
      <c r="BW351" s="10"/>
    </row>
    <row r="352">
      <c r="A352" s="10"/>
      <c r="B352" s="10"/>
      <c r="C352" s="10"/>
      <c r="D352" s="10"/>
      <c r="E352" s="10"/>
      <c r="F352" s="10"/>
      <c r="G352" s="10"/>
      <c r="H352" s="10"/>
      <c r="J352" s="10"/>
      <c r="K352" s="10"/>
      <c r="L352" s="10"/>
      <c r="N352" s="10"/>
      <c r="O352" s="10"/>
      <c r="P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W352" s="143"/>
      <c r="BA352" s="10"/>
      <c r="BD352" s="10"/>
      <c r="BE352" s="10"/>
      <c r="BF352" s="10"/>
      <c r="BG352" s="10"/>
      <c r="BH352" s="10"/>
      <c r="BI352" s="10"/>
      <c r="BJ352" s="10"/>
      <c r="BK352" s="10"/>
      <c r="BL352" s="10"/>
      <c r="BS352" s="10"/>
      <c r="BT352" s="10"/>
      <c r="BV352" s="10"/>
      <c r="BW352" s="10"/>
    </row>
    <row r="353">
      <c r="A353" s="10"/>
      <c r="B353" s="10"/>
      <c r="C353" s="10"/>
      <c r="D353" s="10"/>
      <c r="E353" s="10"/>
      <c r="F353" s="10"/>
      <c r="G353" s="10"/>
      <c r="H353" s="10"/>
      <c r="I353" s="10"/>
      <c r="K353" s="10"/>
      <c r="L353" s="10"/>
      <c r="Q353" s="10"/>
      <c r="R353" s="10"/>
      <c r="S353" s="10"/>
      <c r="U353" s="10"/>
      <c r="V353" s="10"/>
      <c r="W353" s="10"/>
      <c r="X353" s="10"/>
      <c r="Y353" s="10"/>
      <c r="Z353" s="10"/>
      <c r="AA353" s="10"/>
      <c r="AB353" s="10"/>
      <c r="AC353" s="10"/>
      <c r="AD353" s="10"/>
      <c r="AE353" s="10"/>
      <c r="AF353" s="10"/>
      <c r="AG353" s="10"/>
      <c r="AH353" s="10"/>
      <c r="AI353" s="10"/>
      <c r="AJ353" s="10"/>
      <c r="AK353" s="10"/>
      <c r="AL353" s="10"/>
      <c r="AM353" s="10"/>
      <c r="AN353" s="10"/>
      <c r="AO353" s="10"/>
      <c r="AS353" s="10"/>
      <c r="AW353" s="143"/>
      <c r="BA353" s="10"/>
      <c r="BD353" s="10"/>
      <c r="BE353" s="10"/>
      <c r="BF353" s="10"/>
      <c r="BG353" s="10"/>
      <c r="BH353" s="10"/>
      <c r="BI353" s="10"/>
      <c r="BJ353" s="10"/>
      <c r="BK353" s="10"/>
      <c r="BT353" s="10"/>
      <c r="BV353" s="10"/>
      <c r="BW353" s="10"/>
    </row>
    <row r="354">
      <c r="A354" s="10"/>
      <c r="B354" s="10"/>
      <c r="C354" s="10"/>
      <c r="D354" s="10"/>
      <c r="E354" s="10"/>
      <c r="F354" s="10"/>
      <c r="G354" s="10"/>
      <c r="H354" s="10"/>
      <c r="J354" s="10"/>
      <c r="K354" s="10"/>
      <c r="L354" s="10"/>
      <c r="P354" s="10"/>
      <c r="T354" s="10"/>
      <c r="V354" s="10"/>
      <c r="W354" s="10"/>
      <c r="X354" s="10"/>
      <c r="Y354" s="10"/>
      <c r="Z354" s="10"/>
      <c r="AA354" s="10"/>
      <c r="AB354" s="10"/>
      <c r="AC354" s="10"/>
      <c r="AD354" s="10"/>
      <c r="AE354" s="10"/>
      <c r="AF354" s="10"/>
      <c r="AG354" s="10"/>
      <c r="AH354" s="10"/>
      <c r="AI354" s="10"/>
      <c r="AJ354" s="10"/>
      <c r="AK354" s="10"/>
      <c r="AL354" s="10"/>
      <c r="AM354" s="10"/>
      <c r="AN354" s="10"/>
      <c r="AO354" s="10"/>
      <c r="AW354" s="143"/>
      <c r="AZ354" s="10"/>
      <c r="BA354" s="10"/>
      <c r="BD354" s="10"/>
      <c r="BE354" s="10"/>
      <c r="BF354" s="10"/>
      <c r="BG354" s="10"/>
      <c r="BH354" s="10"/>
      <c r="BI354" s="10"/>
      <c r="BJ354" s="10"/>
      <c r="BK354" s="10"/>
      <c r="BS354" s="10"/>
      <c r="BT354" s="10"/>
      <c r="BV354" s="10"/>
      <c r="BW354" s="10"/>
    </row>
    <row r="355">
      <c r="A355" s="10"/>
      <c r="B355" s="10"/>
      <c r="C355" s="10"/>
      <c r="D355" s="10"/>
      <c r="E355" s="10"/>
      <c r="F355" s="10"/>
      <c r="G355" s="10"/>
      <c r="H355" s="10"/>
      <c r="K355" s="10"/>
      <c r="L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W355" s="143"/>
      <c r="BA355" s="10"/>
      <c r="BD355" s="10"/>
      <c r="BE355" s="10"/>
      <c r="BF355" s="10"/>
      <c r="BG355" s="10"/>
      <c r="BH355" s="10"/>
      <c r="BI355" s="10"/>
      <c r="BJ355" s="10"/>
      <c r="BK355" s="10"/>
      <c r="BL355" s="10"/>
      <c r="BO355" s="10"/>
      <c r="BR355" s="10"/>
      <c r="BS355" s="10"/>
      <c r="BT355" s="10"/>
      <c r="BV355" s="10"/>
      <c r="BW355" s="10"/>
    </row>
    <row r="356">
      <c r="A356" s="10"/>
      <c r="B356" s="10"/>
      <c r="C356" s="10"/>
      <c r="D356" s="10"/>
      <c r="E356" s="10"/>
      <c r="F356" s="10"/>
      <c r="G356" s="10"/>
      <c r="H356" s="10"/>
      <c r="J356" s="10"/>
      <c r="K356" s="10"/>
      <c r="L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W356" s="143"/>
      <c r="AZ356" s="10"/>
      <c r="BA356" s="10"/>
      <c r="BD356" s="10"/>
      <c r="BE356" s="10"/>
      <c r="BF356" s="10"/>
      <c r="BG356" s="10"/>
      <c r="BH356" s="10"/>
      <c r="BI356" s="10"/>
      <c r="BJ356" s="10"/>
      <c r="BK356" s="10"/>
      <c r="BL356" s="10"/>
      <c r="BS356" s="10"/>
      <c r="BT356" s="10"/>
      <c r="BV356" s="10"/>
      <c r="BW356" s="10"/>
    </row>
    <row r="357">
      <c r="A357" s="10"/>
      <c r="B357" s="10"/>
      <c r="C357" s="10"/>
      <c r="D357" s="10"/>
      <c r="E357" s="10"/>
      <c r="F357" s="10"/>
      <c r="G357" s="10"/>
      <c r="H357" s="10"/>
      <c r="J357" s="10"/>
      <c r="K357" s="10"/>
      <c r="L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W357" s="143"/>
      <c r="AZ357" s="10"/>
      <c r="BA357" s="10"/>
      <c r="BD357" s="10"/>
      <c r="BE357" s="10"/>
      <c r="BF357" s="10"/>
      <c r="BG357" s="10"/>
      <c r="BH357" s="10"/>
      <c r="BI357" s="10"/>
      <c r="BJ357" s="10"/>
      <c r="BK357" s="10"/>
      <c r="BL357" s="10"/>
      <c r="BS357" s="10"/>
      <c r="BT357" s="10"/>
      <c r="BV357" s="10"/>
      <c r="BW357" s="10"/>
    </row>
    <row r="358">
      <c r="A358" s="10"/>
      <c r="B358" s="10"/>
      <c r="C358" s="10"/>
      <c r="D358" s="10"/>
      <c r="E358" s="10"/>
      <c r="F358" s="10"/>
      <c r="G358" s="10"/>
      <c r="H358" s="10"/>
      <c r="J358" s="10"/>
      <c r="K358" s="10"/>
      <c r="L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W358" s="143"/>
      <c r="BA358" s="10"/>
      <c r="BD358" s="10"/>
      <c r="BE358" s="10"/>
      <c r="BF358" s="10"/>
      <c r="BG358" s="10"/>
      <c r="BH358" s="10"/>
      <c r="BI358" s="10"/>
      <c r="BJ358" s="10"/>
      <c r="BK358" s="10"/>
      <c r="BL358" s="10"/>
      <c r="BM358" s="10"/>
      <c r="BP358" s="10"/>
      <c r="BS358" s="10"/>
      <c r="BT358" s="10"/>
      <c r="BV358" s="10"/>
      <c r="BW358" s="10"/>
    </row>
    <row r="359">
      <c r="A359" s="10"/>
      <c r="B359" s="10"/>
      <c r="C359" s="10"/>
      <c r="D359" s="10"/>
      <c r="E359" s="10"/>
      <c r="F359" s="10"/>
      <c r="G359" s="10"/>
      <c r="H359" s="10"/>
      <c r="J359" s="10"/>
      <c r="K359" s="10"/>
      <c r="L359" s="10"/>
      <c r="N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W359" s="143"/>
      <c r="BA359" s="10"/>
      <c r="BD359" s="10"/>
      <c r="BE359" s="10"/>
      <c r="BF359" s="10"/>
      <c r="BG359" s="10"/>
      <c r="BH359" s="10"/>
      <c r="BI359" s="10"/>
      <c r="BJ359" s="10"/>
      <c r="BK359" s="10"/>
      <c r="BL359" s="10"/>
      <c r="BO359" s="10"/>
      <c r="BR359" s="10"/>
      <c r="BS359" s="10"/>
      <c r="BT359" s="10"/>
      <c r="BV359" s="10"/>
      <c r="BW359" s="10"/>
    </row>
    <row r="360">
      <c r="A360" s="10"/>
      <c r="B360" s="10"/>
      <c r="C360" s="10"/>
      <c r="D360" s="10"/>
      <c r="E360" s="10"/>
      <c r="F360" s="10"/>
      <c r="G360" s="10"/>
      <c r="H360" s="10"/>
      <c r="J360" s="10"/>
      <c r="K360" s="10"/>
      <c r="L360" s="10"/>
      <c r="N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W360" s="143"/>
      <c r="BA360" s="10"/>
      <c r="BD360" s="10"/>
      <c r="BE360" s="10"/>
      <c r="BF360" s="10"/>
      <c r="BG360" s="10"/>
      <c r="BH360" s="10"/>
      <c r="BI360" s="10"/>
      <c r="BJ360" s="10"/>
      <c r="BK360" s="10"/>
      <c r="BL360" s="10"/>
      <c r="BM360" s="10"/>
      <c r="BP360" s="10"/>
      <c r="BS360" s="10"/>
      <c r="BT360" s="10"/>
      <c r="BV360" s="10"/>
      <c r="BW360" s="10"/>
    </row>
    <row r="361">
      <c r="A361" s="10"/>
      <c r="B361" s="10"/>
      <c r="C361" s="10"/>
      <c r="D361" s="10"/>
      <c r="E361" s="10"/>
      <c r="F361" s="10"/>
      <c r="G361" s="10"/>
      <c r="H361" s="10"/>
      <c r="K361" s="10"/>
      <c r="L361" s="10"/>
      <c r="N361" s="10"/>
      <c r="P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W361" s="143"/>
      <c r="BA361" s="10"/>
      <c r="BD361" s="10"/>
      <c r="BE361" s="10"/>
      <c r="BF361" s="10"/>
      <c r="BG361" s="10"/>
      <c r="BH361" s="10"/>
      <c r="BI361" s="10"/>
      <c r="BJ361" s="10"/>
      <c r="BK361" s="10"/>
      <c r="BS361" s="10"/>
      <c r="BT361" s="10"/>
      <c r="BV361" s="10"/>
      <c r="BW361" s="10"/>
    </row>
    <row r="362">
      <c r="A362" s="10"/>
      <c r="B362" s="10"/>
      <c r="C362" s="10"/>
      <c r="D362" s="10"/>
      <c r="E362" s="10"/>
      <c r="F362" s="10"/>
      <c r="G362" s="10"/>
      <c r="H362" s="10"/>
      <c r="J362" s="10"/>
      <c r="K362" s="10"/>
      <c r="L362" s="10"/>
      <c r="N362" s="10"/>
      <c r="P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W362" s="143"/>
      <c r="BA362" s="10"/>
      <c r="BD362" s="10"/>
      <c r="BE362" s="10"/>
      <c r="BF362" s="10"/>
      <c r="BG362" s="10"/>
      <c r="BH362" s="10"/>
      <c r="BI362" s="10"/>
      <c r="BJ362" s="10"/>
      <c r="BK362" s="10"/>
      <c r="BS362" s="10"/>
      <c r="BT362" s="10"/>
      <c r="BV362" s="10"/>
      <c r="BW362" s="10"/>
    </row>
    <row r="363">
      <c r="A363" s="10"/>
      <c r="B363" s="10"/>
      <c r="C363" s="10"/>
      <c r="D363" s="10"/>
      <c r="E363" s="10"/>
      <c r="F363" s="10"/>
      <c r="G363" s="10"/>
      <c r="H363" s="10"/>
      <c r="K363" s="10"/>
      <c r="L363" s="10"/>
      <c r="N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W363" s="143"/>
      <c r="BA363" s="10"/>
      <c r="BD363" s="10"/>
      <c r="BE363" s="10"/>
      <c r="BF363" s="10"/>
      <c r="BG363" s="10"/>
      <c r="BH363" s="10"/>
      <c r="BI363" s="10"/>
      <c r="BJ363" s="10"/>
      <c r="BK363" s="10"/>
      <c r="BS363" s="10"/>
      <c r="BT363" s="10"/>
      <c r="BV363" s="10"/>
      <c r="BW363" s="10"/>
    </row>
    <row r="364">
      <c r="A364" s="10"/>
      <c r="B364" s="10"/>
      <c r="C364" s="10"/>
      <c r="D364" s="10"/>
      <c r="E364" s="10"/>
      <c r="F364" s="10"/>
      <c r="G364" s="10"/>
      <c r="H364" s="10"/>
      <c r="K364" s="10"/>
      <c r="L364" s="10"/>
      <c r="P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W364" s="143"/>
      <c r="BA364" s="10"/>
      <c r="BD364" s="10"/>
      <c r="BE364" s="10"/>
      <c r="BF364" s="10"/>
      <c r="BG364" s="10"/>
      <c r="BH364" s="10"/>
      <c r="BI364" s="10"/>
      <c r="BJ364" s="10"/>
      <c r="BK364" s="10"/>
      <c r="BS364" s="10"/>
      <c r="BT364" s="10"/>
      <c r="BV364" s="10"/>
      <c r="BW364" s="10"/>
    </row>
    <row r="365">
      <c r="A365" s="10"/>
      <c r="B365" s="10"/>
      <c r="C365" s="10"/>
      <c r="D365" s="10"/>
      <c r="E365" s="10"/>
      <c r="F365" s="10"/>
      <c r="G365" s="10"/>
      <c r="H365" s="10"/>
      <c r="K365" s="10"/>
      <c r="L365" s="10"/>
      <c r="P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W365" s="143"/>
      <c r="BA365" s="10"/>
      <c r="BD365" s="10"/>
      <c r="BE365" s="10"/>
      <c r="BF365" s="10"/>
      <c r="BG365" s="10"/>
      <c r="BH365" s="10"/>
      <c r="BI365" s="10"/>
      <c r="BJ365" s="10"/>
      <c r="BK365" s="10"/>
      <c r="BS365" s="10"/>
      <c r="BT365" s="10"/>
      <c r="BV365" s="10"/>
      <c r="BW365" s="10"/>
    </row>
    <row r="366">
      <c r="A366" s="10"/>
      <c r="B366" s="10"/>
      <c r="C366" s="10"/>
      <c r="D366" s="10"/>
      <c r="E366" s="10"/>
      <c r="F366" s="10"/>
      <c r="G366" s="10"/>
      <c r="H366" s="10"/>
      <c r="K366" s="10"/>
      <c r="L366" s="10"/>
      <c r="N366" s="10"/>
      <c r="P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W366" s="143"/>
      <c r="BA366" s="10"/>
      <c r="BD366" s="10"/>
      <c r="BE366" s="10"/>
      <c r="BF366" s="10"/>
      <c r="BG366" s="10"/>
      <c r="BH366" s="10"/>
      <c r="BI366" s="10"/>
      <c r="BJ366" s="10"/>
      <c r="BK366" s="10"/>
      <c r="BS366" s="10"/>
      <c r="BT366" s="10"/>
      <c r="BV366" s="10"/>
      <c r="BW366" s="10"/>
    </row>
    <row r="367">
      <c r="A367" s="10"/>
      <c r="B367" s="10"/>
      <c r="C367" s="10"/>
      <c r="D367" s="10"/>
      <c r="E367" s="10"/>
      <c r="F367" s="10"/>
      <c r="G367" s="10"/>
      <c r="H367" s="10"/>
      <c r="J367" s="10"/>
      <c r="K367" s="10"/>
      <c r="L367" s="10"/>
      <c r="N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W367" s="244"/>
      <c r="BA367" s="10"/>
      <c r="BD367" s="10"/>
      <c r="BE367" s="10"/>
      <c r="BF367" s="10"/>
      <c r="BG367" s="10"/>
      <c r="BH367" s="10"/>
      <c r="BI367" s="10"/>
      <c r="BJ367" s="10"/>
      <c r="BK367" s="10"/>
      <c r="BS367" s="10"/>
      <c r="BT367" s="10"/>
      <c r="BV367" s="10"/>
      <c r="BW367" s="10"/>
    </row>
    <row r="368">
      <c r="A368" s="10"/>
      <c r="B368" s="10"/>
      <c r="C368" s="10"/>
      <c r="D368" s="10"/>
      <c r="E368" s="10"/>
      <c r="F368" s="10"/>
      <c r="G368" s="10"/>
      <c r="H368" s="10"/>
      <c r="K368" s="10"/>
      <c r="L368" s="10"/>
      <c r="P368" s="10"/>
      <c r="U368" s="10"/>
      <c r="V368" s="10"/>
      <c r="W368" s="10"/>
      <c r="X368" s="10"/>
      <c r="Y368" s="10"/>
      <c r="Z368" s="10"/>
      <c r="AA368" s="10"/>
      <c r="AB368" s="10"/>
      <c r="AC368" s="10"/>
      <c r="AD368" s="10"/>
      <c r="AE368" s="10"/>
      <c r="AF368" s="10"/>
      <c r="AG368" s="10"/>
      <c r="AH368" s="10"/>
      <c r="AI368" s="10"/>
      <c r="AJ368" s="10"/>
      <c r="AK368" s="10"/>
      <c r="AL368" s="10"/>
      <c r="AM368" s="10"/>
      <c r="AN368" s="10"/>
      <c r="AO368" s="10"/>
      <c r="AW368" s="143"/>
      <c r="BA368" s="10"/>
      <c r="BD368" s="10"/>
      <c r="BE368" s="10"/>
      <c r="BF368" s="10"/>
      <c r="BG368" s="10"/>
      <c r="BH368" s="10"/>
      <c r="BI368" s="10"/>
      <c r="BJ368" s="10"/>
      <c r="BK368" s="10"/>
      <c r="BT368" s="10"/>
      <c r="BV368" s="10"/>
      <c r="BW368" s="10"/>
    </row>
    <row r="369">
      <c r="A369" s="10"/>
      <c r="B369" s="10"/>
      <c r="C369" s="10"/>
      <c r="D369" s="10"/>
      <c r="E369" s="10"/>
      <c r="F369" s="10"/>
      <c r="G369" s="10"/>
      <c r="H369" s="10"/>
      <c r="J369" s="10"/>
      <c r="K369" s="10"/>
      <c r="N369" s="10"/>
      <c r="U369" s="10"/>
      <c r="V369" s="10"/>
      <c r="W369" s="10"/>
      <c r="X369" s="10"/>
      <c r="Y369" s="10"/>
      <c r="Z369" s="10"/>
      <c r="AA369" s="10"/>
      <c r="AB369" s="10"/>
      <c r="AC369" s="10"/>
      <c r="AD369" s="10"/>
      <c r="AE369" s="10"/>
      <c r="AF369" s="10"/>
      <c r="AG369" s="10"/>
      <c r="AH369" s="10"/>
      <c r="AI369" s="10"/>
      <c r="AJ369" s="10"/>
      <c r="AK369" s="10"/>
      <c r="AL369" s="10"/>
      <c r="AM369" s="10"/>
      <c r="AN369" s="10"/>
      <c r="AO369" s="10"/>
      <c r="AW369" s="143"/>
      <c r="BA369" s="10"/>
      <c r="BD369" s="10"/>
      <c r="BE369" s="10"/>
      <c r="BF369" s="10"/>
      <c r="BG369" s="10"/>
      <c r="BH369" s="10"/>
      <c r="BI369" s="10"/>
      <c r="BJ369" s="10"/>
      <c r="BK369" s="10"/>
      <c r="BS369" s="10"/>
      <c r="BT369" s="10"/>
      <c r="BV369" s="10"/>
      <c r="BW369" s="10"/>
    </row>
    <row r="370">
      <c r="A370" s="10"/>
      <c r="B370" s="10"/>
      <c r="C370" s="10"/>
      <c r="D370" s="10"/>
      <c r="E370" s="10"/>
      <c r="F370" s="10"/>
      <c r="G370" s="10"/>
      <c r="H370" s="10"/>
      <c r="K370" s="10"/>
      <c r="L370" s="10"/>
      <c r="U370" s="10"/>
      <c r="V370" s="10"/>
      <c r="W370" s="10"/>
      <c r="X370" s="10"/>
      <c r="Y370" s="10"/>
      <c r="Z370" s="10"/>
      <c r="AA370" s="10"/>
      <c r="AB370" s="10"/>
      <c r="AC370" s="10"/>
      <c r="AD370" s="10"/>
      <c r="AE370" s="10"/>
      <c r="AF370" s="10"/>
      <c r="AG370" s="10"/>
      <c r="AH370" s="10"/>
      <c r="AI370" s="10"/>
      <c r="AJ370" s="10"/>
      <c r="AK370" s="10"/>
      <c r="AL370" s="10"/>
      <c r="AM370" s="10"/>
      <c r="AN370" s="10"/>
      <c r="AO370" s="10"/>
      <c r="AW370" s="143"/>
      <c r="BA370" s="10"/>
      <c r="BD370" s="10"/>
      <c r="BE370" s="10"/>
      <c r="BF370" s="10"/>
      <c r="BG370" s="10"/>
      <c r="BH370" s="10"/>
      <c r="BI370" s="10"/>
      <c r="BJ370" s="10"/>
      <c r="BK370" s="10"/>
      <c r="BS370" s="10"/>
      <c r="BT370" s="10"/>
      <c r="BV370" s="10"/>
      <c r="BW370" s="10"/>
    </row>
    <row r="371">
      <c r="A371" s="10"/>
      <c r="B371" s="10"/>
      <c r="C371" s="10"/>
      <c r="D371" s="10"/>
      <c r="E371" s="10"/>
      <c r="F371" s="10"/>
      <c r="G371" s="10"/>
      <c r="H371" s="10"/>
      <c r="K371" s="10"/>
      <c r="L371" s="10"/>
      <c r="P371" s="10"/>
      <c r="U371" s="10"/>
      <c r="V371" s="10"/>
      <c r="W371" s="10"/>
      <c r="X371" s="10"/>
      <c r="Y371" s="10"/>
      <c r="Z371" s="10"/>
      <c r="AA371" s="10"/>
      <c r="AB371" s="10"/>
      <c r="AC371" s="10"/>
      <c r="AD371" s="10"/>
      <c r="AE371" s="10"/>
      <c r="AF371" s="10"/>
      <c r="AG371" s="10"/>
      <c r="AH371" s="10"/>
      <c r="AI371" s="10"/>
      <c r="AJ371" s="10"/>
      <c r="AK371" s="10"/>
      <c r="AL371" s="10"/>
      <c r="AM371" s="10"/>
      <c r="AN371" s="10"/>
      <c r="AO371" s="10"/>
      <c r="AW371" s="143"/>
      <c r="BA371" s="10"/>
      <c r="BD371" s="10"/>
      <c r="BE371" s="10"/>
      <c r="BF371" s="10"/>
      <c r="BG371" s="10"/>
      <c r="BH371" s="10"/>
      <c r="BI371" s="10"/>
      <c r="BJ371" s="10"/>
      <c r="BK371" s="10"/>
      <c r="BS371" s="10"/>
      <c r="BT371" s="10"/>
      <c r="BV371" s="10"/>
      <c r="BW371" s="10"/>
    </row>
    <row r="372">
      <c r="A372" s="10"/>
      <c r="B372" s="10"/>
      <c r="C372" s="10"/>
      <c r="D372" s="10"/>
      <c r="E372" s="10"/>
      <c r="F372" s="10"/>
      <c r="G372" s="10"/>
      <c r="H372" s="10"/>
      <c r="K372" s="10"/>
      <c r="L372" s="10"/>
      <c r="Q372" s="10"/>
      <c r="R372" s="10"/>
      <c r="S372" s="10"/>
      <c r="V372" s="10"/>
      <c r="W372" s="10"/>
      <c r="X372" s="10"/>
      <c r="Y372" s="10"/>
      <c r="Z372" s="10"/>
      <c r="AA372" s="10"/>
      <c r="AB372" s="10"/>
      <c r="AC372" s="10"/>
      <c r="AD372" s="10"/>
      <c r="AE372" s="10"/>
      <c r="AF372" s="10"/>
      <c r="AG372" s="10"/>
      <c r="AH372" s="10"/>
      <c r="AI372" s="10"/>
      <c r="AJ372" s="10"/>
      <c r="AK372" s="10"/>
      <c r="AL372" s="10"/>
      <c r="AN372" s="10"/>
      <c r="AO372" s="10"/>
      <c r="AW372" s="143"/>
      <c r="BA372" s="10"/>
      <c r="BD372" s="10"/>
      <c r="BE372" s="10"/>
      <c r="BF372" s="10"/>
      <c r="BG372" s="10"/>
      <c r="BH372" s="10"/>
      <c r="BI372" s="10"/>
      <c r="BJ372" s="10"/>
      <c r="BK372" s="10"/>
      <c r="BS372" s="10"/>
      <c r="BT372" s="10"/>
      <c r="BV372" s="10"/>
      <c r="BW372" s="10"/>
    </row>
    <row r="373">
      <c r="A373" s="10"/>
      <c r="B373" s="10"/>
      <c r="C373" s="10"/>
      <c r="D373" s="10"/>
      <c r="E373" s="10"/>
      <c r="F373" s="10"/>
      <c r="G373" s="10"/>
      <c r="H373" s="10"/>
      <c r="K373" s="10"/>
      <c r="L373" s="10"/>
      <c r="P373" s="10"/>
      <c r="U373" s="10"/>
      <c r="V373" s="10"/>
      <c r="W373" s="10"/>
      <c r="X373" s="10"/>
      <c r="Y373" s="10"/>
      <c r="Z373" s="10"/>
      <c r="AA373" s="10"/>
      <c r="AB373" s="10"/>
      <c r="AC373" s="10"/>
      <c r="AD373" s="10"/>
      <c r="AE373" s="10"/>
      <c r="AF373" s="10"/>
      <c r="AG373" s="10"/>
      <c r="AH373" s="10"/>
      <c r="AI373" s="10"/>
      <c r="AJ373" s="10"/>
      <c r="AK373" s="10"/>
      <c r="AL373" s="10"/>
      <c r="AM373" s="10"/>
      <c r="AN373" s="10"/>
      <c r="AO373" s="10"/>
      <c r="AW373" s="143"/>
      <c r="BA373" s="10"/>
      <c r="BD373" s="10"/>
      <c r="BE373" s="10"/>
      <c r="BF373" s="10"/>
      <c r="BG373" s="10"/>
      <c r="BH373" s="10"/>
      <c r="BI373" s="10"/>
      <c r="BJ373" s="10"/>
      <c r="BK373" s="10"/>
      <c r="BS373" s="10"/>
      <c r="BT373" s="10"/>
      <c r="BV373" s="10"/>
      <c r="BW373" s="10"/>
    </row>
    <row r="374">
      <c r="A374" s="10"/>
      <c r="B374" s="10"/>
      <c r="C374" s="10"/>
      <c r="D374" s="10"/>
      <c r="E374" s="10"/>
      <c r="F374" s="10"/>
      <c r="G374" s="10"/>
      <c r="H374" s="10"/>
      <c r="K374" s="10"/>
      <c r="L374" s="10"/>
      <c r="N374" s="10"/>
      <c r="V374" s="10"/>
      <c r="W374" s="10"/>
      <c r="X374" s="10"/>
      <c r="Y374" s="10"/>
      <c r="Z374" s="10"/>
      <c r="AA374" s="10"/>
      <c r="AB374" s="10"/>
      <c r="AC374" s="10"/>
      <c r="AD374" s="10"/>
      <c r="AE374" s="10"/>
      <c r="AF374" s="10"/>
      <c r="AG374" s="10"/>
      <c r="AH374" s="10"/>
      <c r="AI374" s="10"/>
      <c r="AJ374" s="10"/>
      <c r="AK374" s="10"/>
      <c r="AL374" s="10"/>
      <c r="AM374" s="10"/>
      <c r="AN374" s="10"/>
      <c r="AO374" s="10"/>
      <c r="AW374" s="143"/>
      <c r="BA374" s="10"/>
      <c r="BD374" s="10"/>
      <c r="BE374" s="10"/>
      <c r="BF374" s="10"/>
      <c r="BG374" s="10"/>
      <c r="BH374" s="10"/>
      <c r="BI374" s="10"/>
      <c r="BJ374" s="10"/>
      <c r="BK374" s="10"/>
      <c r="BS374" s="10"/>
      <c r="BT374" s="10"/>
      <c r="BV374" s="10"/>
      <c r="BW374" s="10"/>
    </row>
    <row r="375">
      <c r="A375" s="10"/>
      <c r="B375" s="10"/>
      <c r="C375" s="10"/>
      <c r="D375" s="10"/>
      <c r="E375" s="10"/>
      <c r="F375" s="10"/>
      <c r="G375" s="10"/>
      <c r="H375" s="10"/>
      <c r="K375" s="10"/>
      <c r="L375" s="10"/>
      <c r="U375" s="10"/>
      <c r="V375" s="10"/>
      <c r="W375" s="10"/>
      <c r="X375" s="10"/>
      <c r="Y375" s="10"/>
      <c r="Z375" s="10"/>
      <c r="AA375" s="10"/>
      <c r="AB375" s="10"/>
      <c r="AC375" s="10"/>
      <c r="AD375" s="10"/>
      <c r="AE375" s="10"/>
      <c r="AF375" s="10"/>
      <c r="AG375" s="10"/>
      <c r="AH375" s="10"/>
      <c r="AI375" s="10"/>
      <c r="AJ375" s="10"/>
      <c r="AK375" s="10"/>
      <c r="AL375" s="10"/>
      <c r="AM375" s="10"/>
      <c r="AN375" s="10"/>
      <c r="AO375" s="10"/>
      <c r="AW375" s="143"/>
      <c r="BA375" s="10"/>
      <c r="BD375" s="10"/>
      <c r="BE375" s="10"/>
      <c r="BF375" s="10"/>
      <c r="BG375" s="10"/>
      <c r="BH375" s="10"/>
      <c r="BI375" s="10"/>
      <c r="BJ375" s="10"/>
      <c r="BK375" s="10"/>
      <c r="BS375" s="10"/>
      <c r="BT375" s="10"/>
      <c r="BV375" s="10"/>
      <c r="BW375" s="10"/>
    </row>
    <row r="376">
      <c r="A376" s="10"/>
      <c r="B376" s="10"/>
      <c r="C376" s="10"/>
      <c r="D376" s="10"/>
      <c r="E376" s="10"/>
      <c r="F376" s="10"/>
      <c r="G376" s="10"/>
      <c r="H376" s="10"/>
      <c r="K376" s="10"/>
      <c r="L376" s="10"/>
      <c r="P376" s="10"/>
      <c r="Q376" s="10"/>
      <c r="R376" s="10"/>
      <c r="S376" s="10"/>
      <c r="U376" s="10"/>
      <c r="V376" s="10"/>
      <c r="W376" s="10"/>
      <c r="X376" s="10"/>
      <c r="Y376" s="10"/>
      <c r="Z376" s="10"/>
      <c r="AA376" s="10"/>
      <c r="AB376" s="10"/>
      <c r="AC376" s="10"/>
      <c r="AD376" s="10"/>
      <c r="AE376" s="10"/>
      <c r="AF376" s="10"/>
      <c r="AG376" s="10"/>
      <c r="AH376" s="10"/>
      <c r="AI376" s="10"/>
      <c r="AJ376" s="10"/>
      <c r="AK376" s="10"/>
      <c r="AL376" s="10"/>
      <c r="AM376" s="10"/>
      <c r="AN376" s="10"/>
      <c r="AO376" s="10"/>
      <c r="AW376" s="143"/>
      <c r="BA376" s="10"/>
      <c r="BD376" s="10"/>
      <c r="BE376" s="10"/>
      <c r="BF376" s="10"/>
      <c r="BG376" s="10"/>
      <c r="BH376" s="10"/>
      <c r="BI376" s="10"/>
      <c r="BJ376" s="10"/>
      <c r="BK376" s="10"/>
      <c r="BM376" s="10"/>
      <c r="BN376" s="10"/>
      <c r="BP376" s="10"/>
      <c r="BQ376" s="10"/>
      <c r="BS376" s="10"/>
      <c r="BT376" s="10"/>
      <c r="BV376" s="10"/>
      <c r="BW376" s="10"/>
    </row>
    <row r="377">
      <c r="A377" s="10"/>
      <c r="B377" s="10"/>
      <c r="C377" s="10"/>
      <c r="D377" s="10"/>
      <c r="E377" s="10"/>
      <c r="F377" s="10"/>
      <c r="G377" s="10"/>
      <c r="H377" s="10"/>
      <c r="K377" s="10"/>
      <c r="L377" s="10"/>
      <c r="N377" s="10"/>
      <c r="U377" s="10"/>
      <c r="V377" s="10"/>
      <c r="W377" s="10"/>
      <c r="X377" s="10"/>
      <c r="Y377" s="10"/>
      <c r="Z377" s="10"/>
      <c r="AA377" s="10"/>
      <c r="AB377" s="10"/>
      <c r="AC377" s="10"/>
      <c r="AD377" s="10"/>
      <c r="AE377" s="10"/>
      <c r="AF377" s="10"/>
      <c r="AG377" s="10"/>
      <c r="AH377" s="10"/>
      <c r="AI377" s="10"/>
      <c r="AJ377" s="10"/>
      <c r="AK377" s="10"/>
      <c r="AL377" s="10"/>
      <c r="AM377" s="10"/>
      <c r="AN377" s="10"/>
      <c r="AO377" s="10"/>
      <c r="AW377" s="143"/>
      <c r="BA377" s="10"/>
      <c r="BD377" s="10"/>
      <c r="BE377" s="10"/>
      <c r="BF377" s="10"/>
      <c r="BG377" s="10"/>
      <c r="BH377" s="10"/>
      <c r="BI377" s="10"/>
      <c r="BJ377" s="10"/>
      <c r="BK377" s="10"/>
      <c r="BS377" s="10"/>
      <c r="BT377" s="10"/>
      <c r="BV377" s="10"/>
      <c r="BW377" s="10"/>
    </row>
    <row r="378">
      <c r="A378" s="10"/>
      <c r="B378" s="10"/>
      <c r="C378" s="10"/>
      <c r="D378" s="10"/>
      <c r="E378" s="10"/>
      <c r="F378" s="10"/>
      <c r="G378" s="10"/>
      <c r="H378" s="10"/>
      <c r="J378" s="10"/>
      <c r="K378" s="10"/>
      <c r="L378" s="10"/>
      <c r="N378" s="10"/>
      <c r="O378" s="10"/>
      <c r="P378" s="10"/>
      <c r="U378" s="10"/>
      <c r="V378" s="10"/>
      <c r="W378" s="10"/>
      <c r="X378" s="10"/>
      <c r="Y378" s="10"/>
      <c r="Z378" s="10"/>
      <c r="AA378" s="10"/>
      <c r="AB378" s="10"/>
      <c r="AC378" s="10"/>
      <c r="AD378" s="10"/>
      <c r="AE378" s="10"/>
      <c r="AF378" s="10"/>
      <c r="AG378" s="10"/>
      <c r="AH378" s="10"/>
      <c r="AI378" s="10"/>
      <c r="AJ378" s="10"/>
      <c r="AK378" s="10"/>
      <c r="AL378" s="10"/>
      <c r="AM378" s="10"/>
      <c r="AN378" s="10"/>
      <c r="AO378" s="10"/>
      <c r="AW378" s="143"/>
      <c r="BA378" s="10"/>
      <c r="BD378" s="10"/>
      <c r="BE378" s="10"/>
      <c r="BF378" s="10"/>
      <c r="BG378" s="10"/>
      <c r="BH378" s="10"/>
      <c r="BI378" s="10"/>
      <c r="BJ378" s="10"/>
      <c r="BK378" s="10"/>
      <c r="BS378" s="10"/>
      <c r="BT378" s="10"/>
      <c r="BV378" s="10"/>
      <c r="BW378" s="10"/>
    </row>
    <row r="379">
      <c r="A379" s="10"/>
      <c r="B379" s="10"/>
      <c r="C379" s="10"/>
      <c r="D379" s="10"/>
      <c r="E379" s="10"/>
      <c r="F379" s="10"/>
      <c r="G379" s="10"/>
      <c r="H379" s="10"/>
      <c r="K379" s="10"/>
      <c r="L379" s="10"/>
      <c r="N379" s="10"/>
      <c r="U379" s="10"/>
      <c r="V379" s="10"/>
      <c r="W379" s="10"/>
      <c r="X379" s="10"/>
      <c r="Y379" s="10"/>
      <c r="Z379" s="10"/>
      <c r="AA379" s="10"/>
      <c r="AB379" s="10"/>
      <c r="AC379" s="10"/>
      <c r="AD379" s="10"/>
      <c r="AE379" s="10"/>
      <c r="AF379" s="10"/>
      <c r="AG379" s="10"/>
      <c r="AH379" s="10"/>
      <c r="AI379" s="10"/>
      <c r="AJ379" s="10"/>
      <c r="AK379" s="10"/>
      <c r="AL379" s="10"/>
      <c r="AM379" s="10"/>
      <c r="AN379" s="10"/>
      <c r="AO379" s="10"/>
      <c r="AW379" s="143"/>
      <c r="BA379" s="10"/>
      <c r="BD379" s="10"/>
      <c r="BE379" s="10"/>
      <c r="BF379" s="10"/>
      <c r="BG379" s="10"/>
      <c r="BH379" s="10"/>
      <c r="BI379" s="10"/>
      <c r="BJ379" s="10"/>
      <c r="BK379" s="10"/>
      <c r="BS379" s="10"/>
      <c r="BT379" s="10"/>
      <c r="BV379" s="10"/>
      <c r="BW379" s="10"/>
    </row>
    <row r="380">
      <c r="A380" s="10"/>
      <c r="B380" s="10"/>
      <c r="C380" s="10"/>
      <c r="D380" s="10"/>
      <c r="E380" s="10"/>
      <c r="F380" s="10"/>
      <c r="G380" s="10"/>
      <c r="H380" s="10"/>
      <c r="K380" s="10"/>
      <c r="L380" s="10"/>
      <c r="U380" s="10"/>
      <c r="V380" s="10"/>
      <c r="W380" s="10"/>
      <c r="X380" s="10"/>
      <c r="Y380" s="10"/>
      <c r="Z380" s="10"/>
      <c r="AA380" s="10"/>
      <c r="AB380" s="10"/>
      <c r="AC380" s="10"/>
      <c r="AD380" s="10"/>
      <c r="AE380" s="10"/>
      <c r="AF380" s="10"/>
      <c r="AG380" s="10"/>
      <c r="AH380" s="10"/>
      <c r="AI380" s="10"/>
      <c r="AJ380" s="10"/>
      <c r="AK380" s="10"/>
      <c r="AL380" s="10"/>
      <c r="AM380" s="10"/>
      <c r="AN380" s="10"/>
      <c r="AO380" s="10"/>
      <c r="AW380" s="143"/>
      <c r="BA380" s="10"/>
      <c r="BD380" s="10"/>
      <c r="BE380" s="10"/>
      <c r="BF380" s="10"/>
      <c r="BG380" s="10"/>
      <c r="BH380" s="10"/>
      <c r="BI380" s="10"/>
      <c r="BJ380" s="10"/>
      <c r="BK380" s="10"/>
      <c r="BS380" s="10"/>
      <c r="BT380" s="10"/>
      <c r="BV380" s="10"/>
      <c r="BW380" s="10"/>
    </row>
    <row r="381">
      <c r="A381" s="10"/>
      <c r="B381" s="10"/>
      <c r="C381" s="10"/>
      <c r="D381" s="10"/>
      <c r="E381" s="10"/>
      <c r="F381" s="10"/>
      <c r="G381" s="10"/>
      <c r="H381" s="10"/>
      <c r="K381" s="10"/>
      <c r="L381" s="10"/>
      <c r="N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W381" s="143"/>
      <c r="BA381" s="10"/>
      <c r="BD381" s="10"/>
      <c r="BE381" s="10"/>
      <c r="BF381" s="10"/>
      <c r="BG381" s="10"/>
      <c r="BH381" s="10"/>
      <c r="BI381" s="10"/>
      <c r="BJ381" s="10"/>
      <c r="BK381" s="10"/>
      <c r="BM381" s="10"/>
      <c r="BN381" s="10"/>
      <c r="BO381" s="10"/>
      <c r="BR381" s="10"/>
      <c r="BS381" s="10"/>
      <c r="BT381" s="10"/>
      <c r="BV381" s="10"/>
      <c r="BW381" s="10"/>
    </row>
    <row r="382">
      <c r="A382" s="10"/>
      <c r="B382" s="10"/>
      <c r="C382" s="10"/>
      <c r="D382" s="10"/>
      <c r="E382" s="10"/>
      <c r="F382" s="10"/>
      <c r="G382" s="10"/>
      <c r="H382" s="10"/>
      <c r="J382" s="10"/>
      <c r="K382" s="10"/>
      <c r="L382" s="10"/>
      <c r="N382" s="10"/>
      <c r="U382" s="10"/>
      <c r="V382" s="10"/>
      <c r="W382" s="10"/>
      <c r="X382" s="10"/>
      <c r="Y382" s="10"/>
      <c r="Z382" s="10"/>
      <c r="AA382" s="10"/>
      <c r="AB382" s="10"/>
      <c r="AC382" s="10"/>
      <c r="AD382" s="10"/>
      <c r="AE382" s="10"/>
      <c r="AF382" s="10"/>
      <c r="AG382" s="10"/>
      <c r="AH382" s="10"/>
      <c r="AI382" s="10"/>
      <c r="AJ382" s="10"/>
      <c r="AK382" s="10"/>
      <c r="AL382" s="10"/>
      <c r="AM382" s="10"/>
      <c r="AN382" s="10"/>
      <c r="AO382" s="10"/>
      <c r="AW382" s="143"/>
      <c r="AZ382" s="10"/>
      <c r="BA382" s="10"/>
      <c r="BD382" s="10"/>
      <c r="BE382" s="10"/>
      <c r="BF382" s="10"/>
      <c r="BG382" s="10"/>
      <c r="BH382" s="10"/>
      <c r="BI382" s="10"/>
      <c r="BJ382" s="10"/>
      <c r="BK382" s="10"/>
      <c r="BS382" s="10"/>
      <c r="BT382" s="10"/>
      <c r="BV382" s="10"/>
      <c r="BW382" s="10"/>
    </row>
    <row r="383">
      <c r="A383" s="10"/>
      <c r="B383" s="10"/>
      <c r="C383" s="10"/>
      <c r="D383" s="10"/>
      <c r="E383" s="10"/>
      <c r="F383" s="10"/>
      <c r="G383" s="10"/>
      <c r="H383" s="10"/>
      <c r="J383" s="10"/>
      <c r="K383" s="10"/>
      <c r="L383" s="10"/>
      <c r="P383" s="10"/>
      <c r="U383" s="10"/>
      <c r="V383" s="10"/>
      <c r="W383" s="10"/>
      <c r="X383" s="10"/>
      <c r="Y383" s="10"/>
      <c r="Z383" s="10"/>
      <c r="AA383" s="10"/>
      <c r="AB383" s="10"/>
      <c r="AC383" s="10"/>
      <c r="AD383" s="10"/>
      <c r="AE383" s="10"/>
      <c r="AF383" s="10"/>
      <c r="AG383" s="10"/>
      <c r="AH383" s="10"/>
      <c r="AI383" s="10"/>
      <c r="AJ383" s="10"/>
      <c r="AK383" s="10"/>
      <c r="AL383" s="10"/>
      <c r="AM383" s="10"/>
      <c r="AN383" s="10"/>
      <c r="AO383" s="10"/>
      <c r="AW383" s="143"/>
      <c r="AZ383" s="10"/>
      <c r="BA383" s="10"/>
      <c r="BD383" s="10"/>
      <c r="BE383" s="10"/>
      <c r="BF383" s="10"/>
      <c r="BG383" s="10"/>
      <c r="BH383" s="10"/>
      <c r="BI383" s="10"/>
      <c r="BJ383" s="10"/>
      <c r="BK383" s="10"/>
      <c r="BS383" s="10"/>
      <c r="BT383" s="10"/>
      <c r="BV383" s="10"/>
      <c r="BW383" s="10"/>
    </row>
    <row r="384">
      <c r="A384" s="10"/>
      <c r="B384" s="10"/>
      <c r="C384" s="10"/>
      <c r="D384" s="10"/>
      <c r="E384" s="10"/>
      <c r="F384" s="10"/>
      <c r="G384" s="10"/>
      <c r="H384" s="10"/>
      <c r="K384" s="10"/>
      <c r="L384" s="10"/>
      <c r="N384" s="10"/>
      <c r="U384" s="10"/>
      <c r="V384" s="10"/>
      <c r="W384" s="10"/>
      <c r="X384" s="10"/>
      <c r="Y384" s="10"/>
      <c r="Z384" s="10"/>
      <c r="AA384" s="10"/>
      <c r="AB384" s="10"/>
      <c r="AC384" s="10"/>
      <c r="AD384" s="10"/>
      <c r="AE384" s="10"/>
      <c r="AF384" s="10"/>
      <c r="AG384" s="10"/>
      <c r="AH384" s="10"/>
      <c r="AI384" s="10"/>
      <c r="AJ384" s="10"/>
      <c r="AK384" s="10"/>
      <c r="AL384" s="10"/>
      <c r="AM384" s="10"/>
      <c r="AN384" s="10"/>
      <c r="AO384" s="10"/>
      <c r="AW384" s="143"/>
      <c r="AZ384" s="10"/>
      <c r="BA384" s="10"/>
      <c r="BD384" s="10"/>
      <c r="BE384" s="10"/>
      <c r="BF384" s="10"/>
      <c r="BG384" s="10"/>
      <c r="BH384" s="10"/>
      <c r="BI384" s="10"/>
      <c r="BJ384" s="10"/>
      <c r="BK384" s="10"/>
      <c r="BS384" s="10"/>
      <c r="BT384" s="10"/>
      <c r="BV384" s="10"/>
      <c r="BW384" s="10"/>
    </row>
    <row r="385">
      <c r="A385" s="10"/>
      <c r="B385" s="10"/>
      <c r="C385" s="10"/>
      <c r="D385" s="10"/>
      <c r="E385" s="10"/>
      <c r="F385" s="10"/>
      <c r="G385" s="10"/>
      <c r="H385" s="10"/>
      <c r="K385" s="10"/>
      <c r="L385" s="10"/>
      <c r="U385" s="10"/>
      <c r="V385" s="10"/>
      <c r="W385" s="10"/>
      <c r="X385" s="10"/>
      <c r="Y385" s="10"/>
      <c r="Z385" s="10"/>
      <c r="AA385" s="10"/>
      <c r="AB385" s="10"/>
      <c r="AC385" s="10"/>
      <c r="AD385" s="10"/>
      <c r="AE385" s="10"/>
      <c r="AF385" s="10"/>
      <c r="AG385" s="10"/>
      <c r="AH385" s="10"/>
      <c r="AI385" s="10"/>
      <c r="AJ385" s="10"/>
      <c r="AK385" s="10"/>
      <c r="AL385" s="10"/>
      <c r="AM385" s="10"/>
      <c r="AN385" s="10"/>
      <c r="AO385" s="10"/>
      <c r="AW385" s="143"/>
      <c r="AZ385" s="10"/>
      <c r="BA385" s="10"/>
      <c r="BD385" s="10"/>
      <c r="BE385" s="10"/>
      <c r="BF385" s="10"/>
      <c r="BG385" s="10"/>
      <c r="BH385" s="10"/>
      <c r="BI385" s="10"/>
      <c r="BJ385" s="10"/>
      <c r="BT385" s="10"/>
      <c r="BV385" s="10"/>
      <c r="BW385" s="10"/>
    </row>
    <row r="386">
      <c r="A386" s="10"/>
      <c r="B386" s="10"/>
      <c r="C386" s="10"/>
      <c r="D386" s="10"/>
      <c r="E386" s="10"/>
      <c r="F386" s="10"/>
      <c r="G386" s="10"/>
      <c r="H386" s="10"/>
      <c r="J386" s="10"/>
      <c r="K386" s="10"/>
      <c r="L386" s="10"/>
      <c r="U386" s="10"/>
      <c r="V386" s="10"/>
      <c r="W386" s="10"/>
      <c r="X386" s="10"/>
      <c r="Y386" s="10"/>
      <c r="Z386" s="10"/>
      <c r="AA386" s="10"/>
      <c r="AB386" s="10"/>
      <c r="AC386" s="10"/>
      <c r="AD386" s="10"/>
      <c r="AE386" s="10"/>
      <c r="AF386" s="10"/>
      <c r="AG386" s="10"/>
      <c r="AH386" s="10"/>
      <c r="AI386" s="10"/>
      <c r="AJ386" s="10"/>
      <c r="AK386" s="10"/>
      <c r="AL386" s="10"/>
      <c r="AM386" s="10"/>
      <c r="AN386" s="10"/>
      <c r="AO386" s="10"/>
      <c r="AW386" s="143"/>
      <c r="BA386" s="10"/>
      <c r="BD386" s="10"/>
      <c r="BE386" s="10"/>
      <c r="BF386" s="10"/>
      <c r="BG386" s="10"/>
      <c r="BH386" s="10"/>
      <c r="BI386" s="10"/>
      <c r="BJ386" s="10"/>
      <c r="BK386" s="10"/>
      <c r="BS386" s="10"/>
      <c r="BT386" s="10"/>
      <c r="BV386" s="10"/>
      <c r="BW386" s="10"/>
    </row>
    <row r="387">
      <c r="A387" s="10"/>
      <c r="B387" s="10"/>
      <c r="C387" s="10"/>
      <c r="D387" s="10"/>
      <c r="E387" s="10"/>
      <c r="F387" s="10"/>
      <c r="G387" s="10"/>
      <c r="H387" s="10"/>
      <c r="J387" s="10"/>
      <c r="K387" s="10"/>
      <c r="L387" s="10"/>
      <c r="U387" s="10"/>
      <c r="V387" s="10"/>
      <c r="W387" s="10"/>
      <c r="X387" s="10"/>
      <c r="Y387" s="10"/>
      <c r="Z387" s="10"/>
      <c r="AA387" s="10"/>
      <c r="AB387" s="10"/>
      <c r="AC387" s="10"/>
      <c r="AD387" s="10"/>
      <c r="AE387" s="10"/>
      <c r="AF387" s="10"/>
      <c r="AG387" s="10"/>
      <c r="AH387" s="10"/>
      <c r="AI387" s="10"/>
      <c r="AJ387" s="10"/>
      <c r="AK387" s="10"/>
      <c r="AL387" s="10"/>
      <c r="AM387" s="10"/>
      <c r="AN387" s="10"/>
      <c r="AO387" s="10"/>
      <c r="AW387" s="143"/>
      <c r="BA387" s="10"/>
      <c r="BD387" s="10"/>
      <c r="BE387" s="10"/>
      <c r="BF387" s="10"/>
      <c r="BG387" s="10"/>
      <c r="BH387" s="10"/>
      <c r="BI387" s="10"/>
      <c r="BJ387" s="10"/>
      <c r="BK387" s="10"/>
      <c r="BS387" s="10"/>
      <c r="BT387" s="10"/>
      <c r="BV387" s="10"/>
      <c r="BW387" s="10"/>
    </row>
    <row r="388">
      <c r="A388" s="10"/>
      <c r="B388" s="10"/>
      <c r="C388" s="10"/>
      <c r="D388" s="10"/>
      <c r="E388" s="10"/>
      <c r="F388" s="10"/>
      <c r="G388" s="10"/>
      <c r="H388" s="10"/>
      <c r="J388" s="10"/>
      <c r="K388" s="10"/>
      <c r="L388" s="10"/>
      <c r="U388" s="10"/>
      <c r="V388" s="10"/>
      <c r="W388" s="10"/>
      <c r="X388" s="10"/>
      <c r="Y388" s="10"/>
      <c r="Z388" s="10"/>
      <c r="AA388" s="10"/>
      <c r="AB388" s="10"/>
      <c r="AC388" s="10"/>
      <c r="AD388" s="10"/>
      <c r="AE388" s="10"/>
      <c r="AF388" s="10"/>
      <c r="AG388" s="10"/>
      <c r="AH388" s="10"/>
      <c r="AI388" s="10"/>
      <c r="AJ388" s="10"/>
      <c r="AK388" s="10"/>
      <c r="AL388" s="10"/>
      <c r="AM388" s="10"/>
      <c r="AN388" s="10"/>
      <c r="AO388" s="10"/>
      <c r="AW388" s="143"/>
      <c r="BA388" s="10"/>
      <c r="BD388" s="10"/>
      <c r="BE388" s="10"/>
      <c r="BF388" s="10"/>
      <c r="BG388" s="10"/>
      <c r="BH388" s="10"/>
      <c r="BI388" s="10"/>
      <c r="BJ388" s="10"/>
      <c r="BK388" s="10"/>
      <c r="BS388" s="10"/>
      <c r="BT388" s="10"/>
      <c r="BV388" s="10"/>
      <c r="BW388" s="10"/>
    </row>
    <row r="389">
      <c r="A389" s="10"/>
      <c r="B389" s="10"/>
      <c r="C389" s="10"/>
      <c r="D389" s="10"/>
      <c r="E389" s="10"/>
      <c r="F389" s="10"/>
      <c r="G389" s="10"/>
      <c r="H389" s="10"/>
      <c r="K389" s="10"/>
      <c r="L389" s="10"/>
      <c r="O389" s="10"/>
      <c r="Q389" s="10"/>
      <c r="R389" s="10"/>
      <c r="S389" s="10"/>
      <c r="U389" s="10"/>
      <c r="V389" s="10"/>
      <c r="W389" s="10"/>
      <c r="X389" s="10"/>
      <c r="Y389" s="10"/>
      <c r="Z389" s="10"/>
      <c r="AA389" s="10"/>
      <c r="AB389" s="10"/>
      <c r="AC389" s="10"/>
      <c r="AD389" s="10"/>
      <c r="AE389" s="10"/>
      <c r="AF389" s="10"/>
      <c r="AG389" s="10"/>
      <c r="AH389" s="10"/>
      <c r="AI389" s="10"/>
      <c r="AJ389" s="10"/>
      <c r="AK389" s="10"/>
      <c r="AL389" s="10"/>
      <c r="AM389" s="10"/>
      <c r="AN389" s="10"/>
      <c r="AO389" s="10"/>
      <c r="AW389" s="143"/>
      <c r="BA389" s="10"/>
      <c r="BD389" s="10"/>
      <c r="BE389" s="10"/>
      <c r="BF389" s="10"/>
      <c r="BG389" s="10"/>
      <c r="BH389" s="10"/>
      <c r="BI389" s="10"/>
      <c r="BJ389" s="10"/>
      <c r="BK389" s="10"/>
      <c r="BO389" s="10"/>
      <c r="BR389" s="10"/>
      <c r="BS389" s="10"/>
      <c r="BT389" s="10"/>
      <c r="BV389" s="10"/>
      <c r="BW389" s="10"/>
    </row>
    <row r="390">
      <c r="A390" s="10"/>
      <c r="B390" s="10"/>
      <c r="C390" s="10"/>
      <c r="D390" s="10"/>
      <c r="E390" s="10"/>
      <c r="F390" s="10"/>
      <c r="G390" s="10"/>
      <c r="H390" s="10"/>
      <c r="K390" s="10"/>
      <c r="L390" s="10"/>
      <c r="N390" s="10"/>
      <c r="U390" s="10"/>
      <c r="V390" s="10"/>
      <c r="W390" s="10"/>
      <c r="X390" s="10"/>
      <c r="Y390" s="10"/>
      <c r="Z390" s="10"/>
      <c r="AA390" s="10"/>
      <c r="AB390" s="10"/>
      <c r="AC390" s="10"/>
      <c r="AD390" s="10"/>
      <c r="AE390" s="10"/>
      <c r="AF390" s="10"/>
      <c r="AG390" s="10"/>
      <c r="AH390" s="10"/>
      <c r="AI390" s="10"/>
      <c r="AJ390" s="10"/>
      <c r="AK390" s="10"/>
      <c r="AL390" s="10"/>
      <c r="AM390" s="10"/>
      <c r="AN390" s="10"/>
      <c r="AO390" s="10"/>
      <c r="AW390" s="143"/>
      <c r="BA390" s="10"/>
      <c r="BD390" s="10"/>
      <c r="BE390" s="10"/>
      <c r="BF390" s="10"/>
      <c r="BG390" s="10"/>
      <c r="BH390" s="10"/>
      <c r="BI390" s="10"/>
      <c r="BJ390" s="10"/>
      <c r="BK390" s="10"/>
      <c r="BS390" s="10"/>
      <c r="BT390" s="10"/>
      <c r="BV390" s="10"/>
      <c r="BW390" s="10"/>
    </row>
    <row r="391">
      <c r="A391" s="10"/>
      <c r="B391" s="10"/>
      <c r="C391" s="10"/>
      <c r="D391" s="10"/>
      <c r="E391" s="10"/>
      <c r="F391" s="10"/>
      <c r="G391" s="10"/>
      <c r="H391" s="10"/>
      <c r="K391" s="10"/>
      <c r="L391" s="10"/>
      <c r="U391" s="10"/>
      <c r="V391" s="10"/>
      <c r="W391" s="10"/>
      <c r="X391" s="10"/>
      <c r="Y391" s="10"/>
      <c r="Z391" s="10"/>
      <c r="AA391" s="10"/>
      <c r="AB391" s="10"/>
      <c r="AC391" s="10"/>
      <c r="AD391" s="10"/>
      <c r="AE391" s="10"/>
      <c r="AF391" s="10"/>
      <c r="AG391" s="10"/>
      <c r="AH391" s="10"/>
      <c r="AI391" s="10"/>
      <c r="AJ391" s="10"/>
      <c r="AK391" s="10"/>
      <c r="AL391" s="10"/>
      <c r="AM391" s="10"/>
      <c r="AN391" s="10"/>
      <c r="AO391" s="10"/>
      <c r="AW391" s="143"/>
      <c r="BA391" s="10"/>
      <c r="BD391" s="10"/>
      <c r="BE391" s="10"/>
      <c r="BF391" s="10"/>
      <c r="BG391" s="10"/>
      <c r="BH391" s="10"/>
      <c r="BI391" s="10"/>
      <c r="BJ391" s="10"/>
      <c r="BK391" s="10"/>
      <c r="BS391" s="10"/>
      <c r="BT391" s="10"/>
      <c r="BV391" s="10"/>
      <c r="BW391" s="10"/>
    </row>
    <row r="392">
      <c r="A392" s="10"/>
      <c r="B392" s="10"/>
      <c r="C392" s="10"/>
      <c r="D392" s="10"/>
      <c r="E392" s="10"/>
      <c r="F392" s="10"/>
      <c r="G392" s="10"/>
      <c r="H392" s="10"/>
      <c r="K392" s="10"/>
      <c r="L392" s="10"/>
      <c r="U392" s="10"/>
      <c r="V392" s="10"/>
      <c r="W392" s="10"/>
      <c r="X392" s="10"/>
      <c r="Y392" s="10"/>
      <c r="Z392" s="10"/>
      <c r="AA392" s="10"/>
      <c r="AB392" s="10"/>
      <c r="AC392" s="10"/>
      <c r="AD392" s="10"/>
      <c r="AE392" s="10"/>
      <c r="AF392" s="10"/>
      <c r="AG392" s="10"/>
      <c r="AH392" s="10"/>
      <c r="AI392" s="10"/>
      <c r="AJ392" s="10"/>
      <c r="AK392" s="10"/>
      <c r="AL392" s="10"/>
      <c r="AM392" s="10"/>
      <c r="AN392" s="10"/>
      <c r="AO392" s="10"/>
      <c r="AW392" s="143"/>
      <c r="BA392" s="10"/>
      <c r="BD392" s="10"/>
      <c r="BE392" s="10"/>
      <c r="BF392" s="10"/>
      <c r="BG392" s="10"/>
      <c r="BH392" s="10"/>
      <c r="BI392" s="10"/>
      <c r="BJ392" s="10"/>
      <c r="BK392" s="10"/>
      <c r="BS392" s="10"/>
      <c r="BT392" s="10"/>
      <c r="BV392" s="10"/>
      <c r="BW392" s="10"/>
    </row>
    <row r="393">
      <c r="A393" s="10"/>
      <c r="B393" s="10"/>
      <c r="C393" s="10"/>
      <c r="D393" s="10"/>
      <c r="E393" s="10"/>
      <c r="F393" s="10"/>
      <c r="G393" s="10"/>
      <c r="H393" s="10"/>
      <c r="K393" s="10"/>
      <c r="L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W393" s="143"/>
      <c r="BA393" s="10"/>
      <c r="BD393" s="10"/>
      <c r="BE393" s="10"/>
      <c r="BF393" s="10"/>
      <c r="BG393" s="10"/>
      <c r="BH393" s="10"/>
      <c r="BI393" s="10"/>
      <c r="BJ393" s="10"/>
      <c r="BK393" s="10"/>
      <c r="BT393" s="10"/>
      <c r="BV393" s="10"/>
      <c r="BW393" s="10"/>
    </row>
    <row r="394">
      <c r="A394" s="10"/>
      <c r="B394" s="10"/>
      <c r="C394" s="10"/>
      <c r="D394" s="10"/>
      <c r="E394" s="10"/>
      <c r="F394" s="10"/>
      <c r="G394" s="10"/>
      <c r="H394" s="10"/>
      <c r="K394" s="10"/>
      <c r="L394" s="10"/>
      <c r="U394" s="10"/>
      <c r="V394" s="10"/>
      <c r="W394" s="10"/>
      <c r="X394" s="10"/>
      <c r="Y394" s="10"/>
      <c r="Z394" s="10"/>
      <c r="AA394" s="10"/>
      <c r="AB394" s="10"/>
      <c r="AC394" s="10"/>
      <c r="AD394" s="10"/>
      <c r="AE394" s="10"/>
      <c r="AF394" s="10"/>
      <c r="AG394" s="10"/>
      <c r="AH394" s="10"/>
      <c r="AI394" s="10"/>
      <c r="AJ394" s="10"/>
      <c r="AK394" s="10"/>
      <c r="AL394" s="10"/>
      <c r="AM394" s="10"/>
      <c r="AN394" s="10"/>
      <c r="AO394" s="10"/>
      <c r="AW394" s="143"/>
      <c r="BA394" s="10"/>
      <c r="BD394" s="10"/>
      <c r="BE394" s="10"/>
      <c r="BF394" s="10"/>
      <c r="BG394" s="10"/>
      <c r="BH394" s="10"/>
      <c r="BI394" s="10"/>
      <c r="BJ394" s="10"/>
      <c r="BK394" s="10"/>
      <c r="BS394" s="10"/>
      <c r="BT394" s="10"/>
      <c r="BV394" s="10"/>
      <c r="BW394" s="10"/>
    </row>
    <row r="395">
      <c r="A395" s="10"/>
      <c r="B395" s="10"/>
      <c r="C395" s="10"/>
      <c r="D395" s="10"/>
      <c r="E395" s="10"/>
      <c r="F395" s="10"/>
      <c r="G395" s="10"/>
      <c r="H395" s="10"/>
      <c r="J395" s="10"/>
      <c r="K395" s="10"/>
      <c r="L395" s="10"/>
      <c r="N395" s="10"/>
      <c r="U395" s="10"/>
      <c r="V395" s="10"/>
      <c r="W395" s="10"/>
      <c r="X395" s="10"/>
      <c r="Y395" s="10"/>
      <c r="Z395" s="10"/>
      <c r="AA395" s="10"/>
      <c r="AB395" s="10"/>
      <c r="AC395" s="10"/>
      <c r="AD395" s="10"/>
      <c r="AE395" s="10"/>
      <c r="AF395" s="10"/>
      <c r="AG395" s="10"/>
      <c r="AH395" s="10"/>
      <c r="AI395" s="10"/>
      <c r="AJ395" s="10"/>
      <c r="AK395" s="10"/>
      <c r="AL395" s="10"/>
      <c r="AM395" s="10"/>
      <c r="AN395" s="10"/>
      <c r="AO395" s="10"/>
      <c r="AW395" s="143"/>
      <c r="BA395" s="10"/>
      <c r="BD395" s="10"/>
      <c r="BE395" s="10"/>
      <c r="BF395" s="10"/>
      <c r="BG395" s="10"/>
      <c r="BH395" s="10"/>
      <c r="BI395" s="10"/>
      <c r="BJ395" s="10"/>
      <c r="BK395" s="10"/>
      <c r="BS395" s="10"/>
      <c r="BT395" s="10"/>
      <c r="BV395" s="10"/>
      <c r="BW395" s="10"/>
    </row>
    <row r="396">
      <c r="A396" s="10"/>
      <c r="B396" s="10"/>
      <c r="C396" s="10"/>
      <c r="D396" s="10"/>
      <c r="E396" s="10"/>
      <c r="F396" s="10"/>
      <c r="G396" s="10"/>
      <c r="H396" s="10"/>
      <c r="J396" s="10"/>
      <c r="K396" s="10"/>
      <c r="L396" s="10"/>
      <c r="P396" s="10"/>
      <c r="T396" s="10"/>
      <c r="U396" s="10"/>
      <c r="V396" s="10"/>
      <c r="W396" s="10"/>
      <c r="X396" s="10"/>
      <c r="Y396" s="10"/>
      <c r="Z396" s="10"/>
      <c r="AA396" s="10"/>
      <c r="AB396" s="10"/>
      <c r="AC396" s="10"/>
      <c r="AD396" s="10"/>
      <c r="AE396" s="10"/>
      <c r="AF396" s="10"/>
      <c r="AG396" s="10"/>
      <c r="AH396" s="10"/>
      <c r="AI396" s="10"/>
      <c r="AJ396" s="10"/>
      <c r="AK396" s="10"/>
      <c r="AL396" s="10"/>
      <c r="AM396" s="10"/>
      <c r="AO396" s="10"/>
      <c r="AW396" s="143"/>
      <c r="BA396" s="10"/>
      <c r="BD396" s="10"/>
      <c r="BE396" s="10"/>
      <c r="BF396" s="10"/>
      <c r="BG396" s="10"/>
      <c r="BH396" s="10"/>
      <c r="BI396" s="10"/>
      <c r="BJ396" s="10"/>
      <c r="BK396" s="10"/>
      <c r="BS396" s="10"/>
      <c r="BT396" s="10"/>
      <c r="BV396" s="10"/>
      <c r="BW396" s="10"/>
    </row>
    <row r="397">
      <c r="A397" s="10"/>
      <c r="B397" s="10"/>
      <c r="C397" s="10"/>
      <c r="D397" s="10"/>
      <c r="E397" s="10"/>
      <c r="F397" s="10"/>
      <c r="G397" s="10"/>
      <c r="H397" s="10"/>
      <c r="K397" s="10"/>
      <c r="L397" s="10"/>
      <c r="N397" s="10"/>
      <c r="U397" s="10"/>
      <c r="V397" s="10"/>
      <c r="W397" s="10"/>
      <c r="X397" s="10"/>
      <c r="Y397" s="10"/>
      <c r="Z397" s="10"/>
      <c r="AA397" s="10"/>
      <c r="AB397" s="10"/>
      <c r="AC397" s="10"/>
      <c r="AD397" s="10"/>
      <c r="AE397" s="10"/>
      <c r="AF397" s="10"/>
      <c r="AG397" s="10"/>
      <c r="AH397" s="10"/>
      <c r="AI397" s="10"/>
      <c r="AJ397" s="10"/>
      <c r="AK397" s="10"/>
      <c r="AL397" s="10"/>
      <c r="AM397" s="10"/>
      <c r="AN397" s="10"/>
      <c r="AO397" s="10"/>
      <c r="AW397" s="143"/>
      <c r="BA397" s="10"/>
      <c r="BD397" s="10"/>
      <c r="BE397" s="10"/>
      <c r="BF397" s="10"/>
      <c r="BG397" s="10"/>
      <c r="BH397" s="10"/>
      <c r="BI397" s="10"/>
      <c r="BJ397" s="10"/>
      <c r="BK397" s="10"/>
      <c r="BS397" s="10"/>
      <c r="BT397" s="10"/>
      <c r="BV397" s="10"/>
      <c r="BW397" s="10"/>
    </row>
    <row r="398">
      <c r="C398" s="10"/>
      <c r="D398" s="10"/>
      <c r="E398" s="10"/>
      <c r="F398" s="10"/>
      <c r="G398" s="10"/>
      <c r="H398" s="10"/>
      <c r="J398" s="10"/>
      <c r="K398" s="10"/>
      <c r="L398" s="10"/>
      <c r="U398" s="10"/>
      <c r="V398" s="10"/>
      <c r="W398" s="10"/>
      <c r="X398" s="10"/>
      <c r="Y398" s="10"/>
      <c r="Z398" s="10"/>
      <c r="AA398" s="10"/>
      <c r="AB398" s="10"/>
      <c r="AC398" s="10"/>
      <c r="AD398" s="10"/>
      <c r="AE398" s="10"/>
      <c r="AF398" s="10"/>
      <c r="AG398" s="10"/>
      <c r="AH398" s="10"/>
      <c r="AI398" s="10"/>
      <c r="AJ398" s="10"/>
      <c r="AK398" s="10"/>
      <c r="AL398" s="10"/>
      <c r="AM398" s="10"/>
      <c r="AN398" s="10"/>
      <c r="AO398" s="10"/>
      <c r="AW398" s="143"/>
      <c r="AZ398" s="10"/>
      <c r="BA398" s="10"/>
      <c r="BD398" s="10"/>
      <c r="BE398" s="10"/>
      <c r="BF398" s="10"/>
      <c r="BG398" s="10"/>
      <c r="BH398" s="10"/>
      <c r="BI398" s="10"/>
      <c r="BJ398" s="10"/>
      <c r="BK398" s="10"/>
      <c r="BS398" s="10"/>
      <c r="BT398" s="10"/>
      <c r="BV398" s="10"/>
      <c r="BW398" s="10"/>
    </row>
    <row r="399">
      <c r="C399" s="10"/>
      <c r="D399" s="10"/>
      <c r="E399" s="10"/>
      <c r="F399" s="10"/>
      <c r="G399" s="10"/>
      <c r="H399" s="10"/>
      <c r="J399" s="10"/>
      <c r="K399" s="10"/>
      <c r="L399" s="10"/>
      <c r="U399" s="10"/>
      <c r="V399" s="10"/>
      <c r="W399" s="10"/>
      <c r="X399" s="10"/>
      <c r="Y399" s="10"/>
      <c r="Z399" s="10"/>
      <c r="AA399" s="10"/>
      <c r="AB399" s="10"/>
      <c r="AC399" s="10"/>
      <c r="AD399" s="10"/>
      <c r="AE399" s="10"/>
      <c r="AF399" s="10"/>
      <c r="AG399" s="10"/>
      <c r="AH399" s="10"/>
      <c r="AI399" s="10"/>
      <c r="AJ399" s="10"/>
      <c r="AK399" s="10"/>
      <c r="AL399" s="10"/>
      <c r="AM399" s="10"/>
      <c r="AN399" s="10"/>
      <c r="AO399" s="10"/>
      <c r="AW399" s="143"/>
      <c r="BA399" s="10"/>
      <c r="BD399" s="10"/>
      <c r="BE399" s="10"/>
      <c r="BF399" s="10"/>
      <c r="BG399" s="10"/>
      <c r="BH399" s="10"/>
      <c r="BI399" s="10"/>
      <c r="BJ399" s="10"/>
      <c r="BK399" s="10"/>
      <c r="BS399" s="10"/>
      <c r="BT399" s="10"/>
      <c r="BV399" s="10"/>
      <c r="BW399" s="10"/>
    </row>
    <row r="400">
      <c r="C400" s="10"/>
      <c r="D400" s="10"/>
      <c r="E400" s="10"/>
      <c r="F400" s="10"/>
      <c r="G400" s="10"/>
      <c r="H400" s="10"/>
      <c r="J400" s="10"/>
      <c r="K400" s="10"/>
      <c r="L400" s="10"/>
      <c r="P400" s="10"/>
      <c r="V400" s="10"/>
      <c r="W400" s="10"/>
      <c r="X400" s="10"/>
      <c r="Y400" s="10"/>
      <c r="Z400" s="10"/>
      <c r="AA400" s="10"/>
      <c r="AB400" s="10"/>
      <c r="AC400" s="10"/>
      <c r="AD400" s="10"/>
      <c r="AE400" s="10"/>
      <c r="AF400" s="10"/>
      <c r="AG400" s="10"/>
      <c r="AH400" s="10"/>
      <c r="AI400" s="10"/>
      <c r="AJ400" s="10"/>
      <c r="AK400" s="10"/>
      <c r="AL400" s="10"/>
      <c r="AM400" s="10"/>
      <c r="AN400" s="10"/>
      <c r="AO400" s="10"/>
      <c r="AR400" s="10"/>
      <c r="AW400" s="143"/>
      <c r="BA400" s="10"/>
      <c r="BD400" s="10"/>
      <c r="BE400" s="10"/>
      <c r="BF400" s="10"/>
      <c r="BG400" s="10"/>
      <c r="BH400" s="10"/>
      <c r="BI400" s="10"/>
      <c r="BJ400" s="10"/>
      <c r="BK400" s="10"/>
      <c r="BM400" s="10"/>
      <c r="BN400" s="10"/>
      <c r="BO400" s="10"/>
      <c r="BP400" s="10"/>
      <c r="BQ400" s="10"/>
      <c r="BR400" s="10"/>
      <c r="BS400" s="10"/>
      <c r="BT400" s="10"/>
      <c r="BV400" s="10"/>
      <c r="BW400" s="10"/>
    </row>
    <row r="401">
      <c r="C401" s="10"/>
      <c r="D401" s="10"/>
      <c r="E401" s="10"/>
      <c r="F401" s="10"/>
      <c r="G401" s="10"/>
      <c r="H401" s="10"/>
      <c r="J401" s="10"/>
      <c r="K401" s="10"/>
      <c r="L401" s="10"/>
      <c r="U401" s="10"/>
      <c r="V401" s="10"/>
      <c r="W401" s="10"/>
      <c r="X401" s="10"/>
      <c r="Y401" s="10"/>
      <c r="Z401" s="10"/>
      <c r="AA401" s="10"/>
      <c r="AB401" s="10"/>
      <c r="AC401" s="10"/>
      <c r="AD401" s="10"/>
      <c r="AE401" s="10"/>
      <c r="AF401" s="10"/>
      <c r="AG401" s="10"/>
      <c r="AH401" s="10"/>
      <c r="AI401" s="10"/>
      <c r="AJ401" s="10"/>
      <c r="AK401" s="10"/>
      <c r="AL401" s="10"/>
      <c r="AM401" s="10"/>
      <c r="AN401" s="10"/>
      <c r="AO401" s="10"/>
      <c r="AW401" s="143"/>
      <c r="BA401" s="10"/>
      <c r="BD401" s="10"/>
      <c r="BE401" s="10"/>
      <c r="BF401" s="10"/>
      <c r="BG401" s="10"/>
      <c r="BH401" s="10"/>
      <c r="BI401" s="10"/>
      <c r="BJ401" s="10"/>
      <c r="BK401" s="10"/>
      <c r="BS401" s="10"/>
      <c r="BT401" s="10"/>
      <c r="BV401" s="10"/>
      <c r="BW401" s="10"/>
    </row>
    <row r="402">
      <c r="C402" s="10"/>
      <c r="D402" s="10"/>
      <c r="E402" s="10"/>
      <c r="F402" s="10"/>
      <c r="G402" s="10"/>
      <c r="H402" s="10"/>
      <c r="J402" s="10"/>
      <c r="K402" s="10"/>
      <c r="L402" s="10"/>
      <c r="P402" s="10"/>
      <c r="U402" s="10"/>
      <c r="V402" s="10"/>
      <c r="W402" s="10"/>
      <c r="X402" s="10"/>
      <c r="Y402" s="10"/>
      <c r="Z402" s="10"/>
      <c r="AA402" s="10"/>
      <c r="AB402" s="10"/>
      <c r="AC402" s="10"/>
      <c r="AD402" s="10"/>
      <c r="AE402" s="10"/>
      <c r="AF402" s="10"/>
      <c r="AG402" s="10"/>
      <c r="AH402" s="10"/>
      <c r="AI402" s="10"/>
      <c r="AJ402" s="10"/>
      <c r="AK402" s="10"/>
      <c r="AL402" s="10"/>
      <c r="AM402" s="10"/>
      <c r="AN402" s="10"/>
      <c r="AO402" s="10"/>
      <c r="AW402" s="143"/>
      <c r="BA402" s="10"/>
      <c r="BD402" s="10"/>
      <c r="BE402" s="10"/>
      <c r="BF402" s="10"/>
      <c r="BG402" s="10"/>
      <c r="BH402" s="10"/>
      <c r="BI402" s="10"/>
      <c r="BJ402" s="10"/>
      <c r="BK402" s="10"/>
      <c r="BS402" s="10"/>
      <c r="BT402" s="10"/>
      <c r="BV402" s="10"/>
      <c r="BW402" s="10"/>
    </row>
    <row r="403">
      <c r="C403" s="10"/>
      <c r="D403" s="10"/>
      <c r="E403" s="10"/>
      <c r="F403" s="10"/>
      <c r="G403" s="10"/>
      <c r="H403" s="10"/>
      <c r="K403" s="10"/>
      <c r="L403" s="10"/>
      <c r="U403" s="10"/>
      <c r="V403" s="10"/>
      <c r="W403" s="10"/>
      <c r="X403" s="10"/>
      <c r="Y403" s="10"/>
      <c r="Z403" s="10"/>
      <c r="AA403" s="10"/>
      <c r="AB403" s="10"/>
      <c r="AC403" s="10"/>
      <c r="AD403" s="10"/>
      <c r="AE403" s="10"/>
      <c r="AF403" s="10"/>
      <c r="AG403" s="10"/>
      <c r="AH403" s="10"/>
      <c r="AI403" s="10"/>
      <c r="AJ403" s="10"/>
      <c r="AK403" s="10"/>
      <c r="AL403" s="10"/>
      <c r="AM403" s="10"/>
      <c r="AN403" s="10"/>
      <c r="AO403" s="10"/>
      <c r="AW403" s="143"/>
      <c r="BA403" s="10"/>
      <c r="BD403" s="10"/>
      <c r="BE403" s="10"/>
      <c r="BF403" s="10"/>
      <c r="BG403" s="10"/>
      <c r="BH403" s="10"/>
      <c r="BI403" s="10"/>
      <c r="BJ403" s="10"/>
      <c r="BK403" s="10"/>
      <c r="BS403" s="10"/>
      <c r="BT403" s="10"/>
      <c r="BV403" s="10"/>
      <c r="BW403" s="10"/>
    </row>
    <row r="404">
      <c r="C404" s="10"/>
      <c r="D404" s="10"/>
      <c r="E404" s="10"/>
      <c r="F404" s="10"/>
      <c r="G404" s="10"/>
      <c r="H404" s="10"/>
      <c r="K404" s="10"/>
      <c r="L404" s="10"/>
      <c r="P404" s="10"/>
      <c r="Q404" s="10"/>
      <c r="R404" s="10"/>
      <c r="S404" s="10"/>
      <c r="V404" s="10"/>
      <c r="W404" s="10"/>
      <c r="X404" s="10"/>
      <c r="Y404" s="10"/>
      <c r="Z404" s="10"/>
      <c r="AA404" s="10"/>
      <c r="AB404" s="10"/>
      <c r="AC404" s="10"/>
      <c r="AD404" s="10"/>
      <c r="AE404" s="10"/>
      <c r="AF404" s="10"/>
      <c r="AG404" s="10"/>
      <c r="AH404" s="10"/>
      <c r="AI404" s="10"/>
      <c r="AJ404" s="10"/>
      <c r="AK404" s="10"/>
      <c r="AL404" s="10"/>
      <c r="AM404" s="10"/>
      <c r="AN404" s="10"/>
      <c r="AO404" s="10"/>
      <c r="AW404" s="143"/>
      <c r="BA404" s="10"/>
      <c r="BD404" s="10"/>
      <c r="BE404" s="10"/>
      <c r="BF404" s="10"/>
      <c r="BG404" s="10"/>
      <c r="BH404" s="10"/>
      <c r="BI404" s="10"/>
      <c r="BJ404" s="10"/>
      <c r="BK404" s="10"/>
      <c r="BT404" s="10"/>
      <c r="BV404" s="10"/>
      <c r="BW404" s="10"/>
    </row>
    <row r="405">
      <c r="C405" s="10"/>
      <c r="D405" s="10"/>
      <c r="E405" s="10"/>
      <c r="F405" s="10"/>
      <c r="G405" s="10"/>
      <c r="H405" s="10"/>
      <c r="J405" s="10"/>
      <c r="K405" s="10"/>
      <c r="L405" s="10"/>
      <c r="U405" s="10"/>
      <c r="V405" s="10"/>
      <c r="W405" s="10"/>
      <c r="X405" s="10"/>
      <c r="Y405" s="10"/>
      <c r="Z405" s="10"/>
      <c r="AA405" s="10"/>
      <c r="AB405" s="10"/>
      <c r="AC405" s="10"/>
      <c r="AD405" s="10"/>
      <c r="AE405" s="10"/>
      <c r="AF405" s="10"/>
      <c r="AG405" s="10"/>
      <c r="AH405" s="10"/>
      <c r="AI405" s="10"/>
      <c r="AJ405" s="10"/>
      <c r="AK405" s="10"/>
      <c r="AL405" s="10"/>
      <c r="AN405" s="10"/>
      <c r="AO405" s="10"/>
      <c r="AW405" s="143"/>
      <c r="BA405" s="10"/>
      <c r="BD405" s="10"/>
      <c r="BE405" s="10"/>
      <c r="BF405" s="10"/>
      <c r="BG405" s="10"/>
      <c r="BH405" s="10"/>
      <c r="BI405" s="10"/>
      <c r="BJ405" s="10"/>
      <c r="BK405" s="10"/>
      <c r="BS405" s="10"/>
      <c r="BT405" s="10"/>
      <c r="BV405" s="10"/>
      <c r="BW405" s="10"/>
    </row>
    <row r="406">
      <c r="A406" s="10"/>
      <c r="B406" s="10"/>
      <c r="C406" s="10"/>
      <c r="D406" s="10"/>
      <c r="E406" s="10"/>
      <c r="F406" s="10"/>
      <c r="G406" s="10"/>
      <c r="H406" s="10"/>
      <c r="K406" s="10"/>
      <c r="L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W406" s="143"/>
      <c r="BA406" s="10"/>
      <c r="BD406" s="10"/>
      <c r="BE406" s="10"/>
      <c r="BF406" s="10"/>
      <c r="BG406" s="10"/>
      <c r="BH406" s="10"/>
      <c r="BI406" s="10"/>
      <c r="BJ406" s="10"/>
      <c r="BK406" s="10"/>
      <c r="BL406" s="10"/>
      <c r="BO406" s="10"/>
      <c r="BR406" s="10"/>
      <c r="BS406" s="10"/>
      <c r="BT406" s="10"/>
      <c r="BV406" s="10"/>
      <c r="BW406" s="10"/>
    </row>
    <row r="407">
      <c r="A407" s="10"/>
      <c r="B407" s="10"/>
      <c r="C407" s="10"/>
      <c r="D407" s="10"/>
      <c r="E407" s="10"/>
      <c r="F407" s="10"/>
      <c r="G407" s="10"/>
      <c r="H407" s="10"/>
      <c r="K407" s="10"/>
      <c r="L407" s="10"/>
      <c r="P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W407" s="143"/>
      <c r="BA407" s="10"/>
      <c r="BD407" s="10"/>
      <c r="BE407" s="10"/>
      <c r="BF407" s="10"/>
      <c r="BG407" s="10"/>
      <c r="BH407" s="10"/>
      <c r="BI407" s="10"/>
      <c r="BJ407" s="10"/>
      <c r="BK407" s="10"/>
      <c r="BT407" s="10"/>
      <c r="BV407" s="10"/>
      <c r="BW407" s="10"/>
    </row>
    <row r="408">
      <c r="A408" s="10"/>
      <c r="B408" s="10"/>
      <c r="C408" s="10"/>
      <c r="D408" s="10"/>
      <c r="E408" s="10"/>
      <c r="F408" s="10"/>
      <c r="G408" s="10"/>
      <c r="H408" s="10"/>
      <c r="K408" s="10"/>
      <c r="L408" s="10"/>
      <c r="P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W408" s="143"/>
      <c r="BA408" s="10"/>
      <c r="BD408" s="10"/>
      <c r="BE408" s="10"/>
      <c r="BF408" s="10"/>
      <c r="BG408" s="10"/>
      <c r="BH408" s="10"/>
      <c r="BI408" s="10"/>
      <c r="BJ408" s="10"/>
      <c r="BK408" s="10"/>
      <c r="BS408" s="10"/>
      <c r="BT408" s="10"/>
      <c r="BV408" s="10"/>
      <c r="BW408" s="10"/>
    </row>
    <row r="409">
      <c r="A409" s="10"/>
      <c r="B409" s="10"/>
      <c r="C409" s="10"/>
      <c r="D409" s="10"/>
      <c r="E409" s="10"/>
      <c r="F409" s="10"/>
      <c r="G409" s="10"/>
      <c r="H409" s="10"/>
      <c r="K409" s="10"/>
      <c r="L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W409" s="143"/>
      <c r="BA409" s="10"/>
      <c r="BD409" s="10"/>
      <c r="BE409" s="10"/>
      <c r="BF409" s="10"/>
      <c r="BG409" s="10"/>
      <c r="BH409" s="10"/>
      <c r="BI409" s="10"/>
      <c r="BJ409" s="10"/>
      <c r="BK409" s="10"/>
      <c r="BS409" s="10"/>
      <c r="BT409" s="10"/>
      <c r="BV409" s="10"/>
      <c r="BW409" s="10"/>
    </row>
    <row r="410">
      <c r="A410" s="10"/>
      <c r="B410" s="10"/>
      <c r="C410" s="10"/>
      <c r="D410" s="10"/>
      <c r="E410" s="10"/>
      <c r="F410" s="10"/>
      <c r="G410" s="10"/>
      <c r="H410" s="10"/>
      <c r="K410" s="10"/>
      <c r="L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W410" s="143"/>
      <c r="BA410" s="10"/>
      <c r="BD410" s="10"/>
      <c r="BE410" s="10"/>
      <c r="BF410" s="10"/>
      <c r="BG410" s="10"/>
      <c r="BH410" s="10"/>
      <c r="BI410" s="10"/>
      <c r="BJ410" s="10"/>
      <c r="BK410" s="10"/>
      <c r="BT410" s="10"/>
      <c r="BV410" s="10"/>
      <c r="BW410" s="10"/>
    </row>
    <row r="411">
      <c r="A411" s="10"/>
      <c r="B411" s="10"/>
      <c r="C411" s="10"/>
      <c r="D411" s="10"/>
      <c r="E411" s="10"/>
      <c r="F411" s="10"/>
      <c r="G411" s="10"/>
      <c r="H411" s="10"/>
      <c r="K411" s="10"/>
      <c r="L411" s="10"/>
      <c r="P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W411" s="143"/>
      <c r="BA411" s="10"/>
      <c r="BD411" s="10"/>
      <c r="BE411" s="10"/>
      <c r="BF411" s="10"/>
      <c r="BG411" s="10"/>
      <c r="BH411" s="10"/>
      <c r="BI411" s="10"/>
      <c r="BJ411" s="10"/>
      <c r="BK411" s="10"/>
      <c r="BS411" s="10"/>
      <c r="BT411" s="10"/>
      <c r="BV411" s="10"/>
      <c r="BW411" s="10"/>
    </row>
    <row r="412">
      <c r="A412" s="10"/>
      <c r="B412" s="10"/>
      <c r="C412" s="10"/>
      <c r="D412" s="10"/>
      <c r="E412" s="10"/>
      <c r="F412" s="10"/>
      <c r="G412" s="10"/>
      <c r="H412" s="10"/>
      <c r="K412" s="10"/>
      <c r="L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W412" s="143"/>
      <c r="BA412" s="10"/>
      <c r="BD412" s="10"/>
      <c r="BE412" s="10"/>
      <c r="BF412" s="10"/>
      <c r="BG412" s="10"/>
      <c r="BH412" s="10"/>
      <c r="BI412" s="10"/>
      <c r="BJ412" s="10"/>
      <c r="BK412" s="10"/>
      <c r="BT412" s="10"/>
      <c r="BV412" s="10"/>
      <c r="BW412" s="10"/>
    </row>
    <row r="413">
      <c r="A413" s="10"/>
      <c r="B413" s="10"/>
      <c r="C413" s="10"/>
      <c r="D413" s="10"/>
      <c r="E413" s="10"/>
      <c r="F413" s="10"/>
      <c r="G413" s="10"/>
      <c r="H413" s="10"/>
      <c r="J413" s="10"/>
      <c r="K413" s="10"/>
      <c r="L413" s="10"/>
      <c r="P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W413" s="143"/>
      <c r="BA413" s="10"/>
      <c r="BD413" s="10"/>
      <c r="BE413" s="10"/>
      <c r="BF413" s="10"/>
      <c r="BG413" s="10"/>
      <c r="BH413" s="10"/>
      <c r="BI413" s="10"/>
      <c r="BJ413" s="10"/>
      <c r="BK413" s="10"/>
      <c r="BS413" s="10"/>
      <c r="BT413" s="10"/>
      <c r="BV413" s="10"/>
      <c r="BW413" s="10"/>
    </row>
    <row r="414">
      <c r="A414" s="10"/>
      <c r="B414" s="10"/>
      <c r="C414" s="10"/>
      <c r="D414" s="10"/>
      <c r="E414" s="10"/>
      <c r="F414" s="10"/>
      <c r="G414" s="10"/>
      <c r="H414" s="10"/>
      <c r="K414" s="10"/>
      <c r="L414" s="10"/>
      <c r="N414" s="10"/>
      <c r="P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W414" s="143"/>
      <c r="BA414" s="10"/>
      <c r="BD414" s="10"/>
      <c r="BE414" s="10"/>
      <c r="BF414" s="10"/>
      <c r="BG414" s="10"/>
      <c r="BH414" s="10"/>
      <c r="BI414" s="10"/>
      <c r="BJ414" s="10"/>
      <c r="BK414" s="10"/>
      <c r="BS414" s="10"/>
      <c r="BT414" s="10"/>
      <c r="BV414" s="10"/>
      <c r="BW414" s="10"/>
    </row>
    <row r="415">
      <c r="A415" s="10"/>
      <c r="B415" s="10"/>
      <c r="C415" s="10"/>
      <c r="D415" s="10"/>
      <c r="E415" s="10"/>
      <c r="F415" s="10"/>
      <c r="G415" s="10"/>
      <c r="H415" s="10"/>
      <c r="J415" s="10"/>
      <c r="K415" s="10"/>
      <c r="L415" s="10"/>
      <c r="P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W415" s="143"/>
      <c r="BA415" s="10"/>
      <c r="BD415" s="10"/>
      <c r="BE415" s="10"/>
      <c r="BF415" s="10"/>
      <c r="BG415" s="10"/>
      <c r="BH415" s="10"/>
      <c r="BI415" s="10"/>
      <c r="BJ415" s="10"/>
      <c r="BK415" s="10"/>
      <c r="BS415" s="10"/>
      <c r="BT415" s="10"/>
      <c r="BV415" s="10"/>
      <c r="BW415" s="10"/>
    </row>
    <row r="416">
      <c r="A416" s="10"/>
      <c r="B416" s="10"/>
      <c r="C416" s="10"/>
      <c r="D416" s="10"/>
      <c r="E416" s="10"/>
      <c r="F416" s="10"/>
      <c r="G416" s="10"/>
      <c r="H416" s="10"/>
      <c r="J416" s="10"/>
      <c r="K416" s="10"/>
      <c r="L416" s="10"/>
      <c r="N416" s="10"/>
      <c r="Q416" s="10"/>
      <c r="R416" s="10"/>
      <c r="S416" s="10"/>
      <c r="U416" s="10"/>
      <c r="V416" s="10"/>
      <c r="W416" s="10"/>
      <c r="X416" s="10"/>
      <c r="Y416" s="10"/>
      <c r="Z416" s="10"/>
      <c r="AA416" s="10"/>
      <c r="AB416" s="10"/>
      <c r="AC416" s="10"/>
      <c r="AD416" s="10"/>
      <c r="AE416" s="10"/>
      <c r="AF416" s="10"/>
      <c r="AG416" s="10"/>
      <c r="AH416" s="10"/>
      <c r="AI416" s="10"/>
      <c r="AJ416" s="10"/>
      <c r="AK416" s="10"/>
      <c r="AL416" s="10"/>
      <c r="AM416" s="10"/>
      <c r="AN416" s="10"/>
      <c r="AO416" s="10"/>
      <c r="AW416" s="143"/>
      <c r="BA416" s="10"/>
      <c r="BD416" s="10"/>
      <c r="BE416" s="10"/>
      <c r="BF416" s="10"/>
      <c r="BG416" s="10"/>
      <c r="BH416" s="10"/>
      <c r="BI416" s="10"/>
      <c r="BJ416" s="10"/>
      <c r="BK416" s="10"/>
      <c r="BO416" s="10"/>
      <c r="BR416" s="10"/>
      <c r="BS416" s="10"/>
      <c r="BT416" s="10"/>
      <c r="BV416" s="10"/>
      <c r="BW416" s="10"/>
    </row>
    <row r="417">
      <c r="A417" s="10"/>
      <c r="B417" s="10"/>
      <c r="C417" s="10"/>
      <c r="D417" s="10"/>
      <c r="E417" s="10"/>
      <c r="F417" s="10"/>
      <c r="G417" s="10"/>
      <c r="H417" s="10"/>
      <c r="J417" s="10"/>
      <c r="K417" s="10"/>
      <c r="L417" s="10"/>
      <c r="U417" s="10"/>
      <c r="V417" s="10"/>
      <c r="W417" s="10"/>
      <c r="X417" s="10"/>
      <c r="Y417" s="10"/>
      <c r="Z417" s="10"/>
      <c r="AA417" s="10"/>
      <c r="AB417" s="10"/>
      <c r="AC417" s="10"/>
      <c r="AD417" s="10"/>
      <c r="AE417" s="10"/>
      <c r="AF417" s="10"/>
      <c r="AG417" s="10"/>
      <c r="AH417" s="10"/>
      <c r="AI417" s="10"/>
      <c r="AJ417" s="10"/>
      <c r="AK417" s="10"/>
      <c r="AL417" s="10"/>
      <c r="AM417" s="10"/>
      <c r="AN417" s="10"/>
      <c r="AO417" s="10"/>
      <c r="AW417" s="143"/>
      <c r="BA417" s="10"/>
      <c r="BD417" s="10"/>
      <c r="BE417" s="10"/>
      <c r="BF417" s="10"/>
      <c r="BG417" s="10"/>
      <c r="BH417" s="10"/>
      <c r="BI417" s="10"/>
      <c r="BJ417" s="10"/>
      <c r="BK417" s="10"/>
      <c r="BT417" s="10"/>
      <c r="BV417" s="10"/>
      <c r="BW417" s="10"/>
    </row>
    <row r="418">
      <c r="A418" s="10"/>
      <c r="B418" s="10"/>
      <c r="C418" s="10"/>
      <c r="D418" s="10"/>
      <c r="E418" s="10"/>
      <c r="F418" s="10"/>
      <c r="G418" s="10"/>
      <c r="H418" s="10"/>
      <c r="J418" s="10"/>
      <c r="K418" s="10"/>
      <c r="L418" s="10"/>
      <c r="P418" s="10"/>
      <c r="U418" s="10"/>
      <c r="V418" s="10"/>
      <c r="W418" s="10"/>
      <c r="X418" s="10"/>
      <c r="Y418" s="10"/>
      <c r="Z418" s="10"/>
      <c r="AA418" s="10"/>
      <c r="AB418" s="10"/>
      <c r="AC418" s="10"/>
      <c r="AD418" s="10"/>
      <c r="AE418" s="10"/>
      <c r="AF418" s="10"/>
      <c r="AG418" s="10"/>
      <c r="AH418" s="10"/>
      <c r="AI418" s="10"/>
      <c r="AJ418" s="10"/>
      <c r="AK418" s="10"/>
      <c r="AL418" s="10"/>
      <c r="AM418" s="10"/>
      <c r="AN418" s="10"/>
      <c r="AO418" s="10"/>
      <c r="AW418" s="143"/>
      <c r="BA418" s="10"/>
      <c r="BD418" s="10"/>
      <c r="BE418" s="10"/>
      <c r="BF418" s="10"/>
      <c r="BG418" s="10"/>
      <c r="BH418" s="10"/>
      <c r="BI418" s="10"/>
      <c r="BJ418" s="10"/>
      <c r="BK418" s="10"/>
      <c r="BT418" s="10"/>
      <c r="BV418" s="10"/>
      <c r="BW418" s="10"/>
    </row>
    <row r="419">
      <c r="A419" s="10"/>
      <c r="B419" s="10"/>
      <c r="C419" s="10"/>
      <c r="D419" s="10"/>
      <c r="E419" s="10"/>
      <c r="F419" s="10"/>
      <c r="G419" s="10"/>
      <c r="H419" s="10"/>
      <c r="J419" s="10"/>
      <c r="K419" s="10"/>
      <c r="L419" s="10"/>
      <c r="N419" s="10"/>
      <c r="U419" s="10"/>
      <c r="V419" s="10"/>
      <c r="W419" s="10"/>
      <c r="X419" s="10"/>
      <c r="Y419" s="10"/>
      <c r="Z419" s="10"/>
      <c r="AA419" s="10"/>
      <c r="AB419" s="10"/>
      <c r="AC419" s="10"/>
      <c r="AD419" s="10"/>
      <c r="AE419" s="10"/>
      <c r="AF419" s="10"/>
      <c r="AG419" s="10"/>
      <c r="AH419" s="10"/>
      <c r="AI419" s="10"/>
      <c r="AJ419" s="10"/>
      <c r="AK419" s="10"/>
      <c r="AL419" s="10"/>
      <c r="AM419" s="10"/>
      <c r="AN419" s="10"/>
      <c r="AO419" s="10"/>
      <c r="AW419" s="143"/>
      <c r="BA419" s="10"/>
      <c r="BD419" s="10"/>
      <c r="BE419" s="10"/>
      <c r="BF419" s="10"/>
      <c r="BG419" s="10"/>
      <c r="BH419" s="10"/>
      <c r="BI419" s="10"/>
      <c r="BJ419" s="10"/>
      <c r="BK419" s="10"/>
      <c r="BS419" s="10"/>
      <c r="BT419" s="10"/>
      <c r="BV419" s="10"/>
      <c r="BW419" s="10"/>
    </row>
    <row r="420">
      <c r="A420" s="10"/>
      <c r="B420" s="10"/>
      <c r="C420" s="10"/>
      <c r="D420" s="10"/>
      <c r="E420" s="10"/>
      <c r="F420" s="10"/>
      <c r="G420" s="10"/>
      <c r="H420" s="10"/>
      <c r="J420" s="10"/>
      <c r="K420" s="10"/>
      <c r="L420" s="10"/>
      <c r="N420" s="10"/>
      <c r="U420" s="10"/>
      <c r="V420" s="10"/>
      <c r="W420" s="10"/>
      <c r="X420" s="10"/>
      <c r="Y420" s="10"/>
      <c r="Z420" s="10"/>
      <c r="AA420" s="10"/>
      <c r="AB420" s="10"/>
      <c r="AC420" s="10"/>
      <c r="AD420" s="10"/>
      <c r="AE420" s="10"/>
      <c r="AF420" s="10"/>
      <c r="AG420" s="10"/>
      <c r="AH420" s="10"/>
      <c r="AI420" s="10"/>
      <c r="AJ420" s="10"/>
      <c r="AL420" s="10"/>
      <c r="AM420" s="10"/>
      <c r="AO420" s="10"/>
      <c r="AW420" s="143"/>
      <c r="BA420" s="10"/>
      <c r="BD420" s="10"/>
      <c r="BE420" s="10"/>
      <c r="BF420" s="10"/>
      <c r="BG420" s="10"/>
      <c r="BH420" s="10"/>
      <c r="BI420" s="10"/>
      <c r="BJ420" s="10"/>
      <c r="BK420" s="10"/>
      <c r="BS420" s="10"/>
      <c r="BT420" s="10"/>
      <c r="BV420" s="10"/>
      <c r="BW420" s="10"/>
    </row>
    <row r="421">
      <c r="A421" s="10"/>
      <c r="B421" s="10"/>
      <c r="C421" s="10"/>
      <c r="D421" s="10"/>
      <c r="E421" s="10"/>
      <c r="F421" s="10"/>
      <c r="G421" s="10"/>
      <c r="H421" s="10"/>
      <c r="J421" s="10"/>
      <c r="K421" s="10"/>
      <c r="L421" s="10"/>
      <c r="N421" s="10"/>
      <c r="P421" s="10"/>
      <c r="Q421" s="10"/>
      <c r="R421" s="10"/>
      <c r="S421" s="10"/>
      <c r="U421" s="10"/>
      <c r="V421" s="10"/>
      <c r="W421" s="10"/>
      <c r="X421" s="10"/>
      <c r="Y421" s="10"/>
      <c r="Z421" s="10"/>
      <c r="AA421" s="10"/>
      <c r="AB421" s="10"/>
      <c r="AC421" s="10"/>
      <c r="AD421" s="10"/>
      <c r="AE421" s="10"/>
      <c r="AF421" s="10"/>
      <c r="AG421" s="10"/>
      <c r="AH421" s="10"/>
      <c r="AI421" s="10"/>
      <c r="AJ421" s="10"/>
      <c r="AK421" s="10"/>
      <c r="AL421" s="10"/>
      <c r="AM421" s="10"/>
      <c r="AN421" s="10"/>
      <c r="AO421" s="10"/>
      <c r="AW421" s="143"/>
      <c r="BA421" s="10"/>
      <c r="BD421" s="10"/>
      <c r="BE421" s="10"/>
      <c r="BF421" s="10"/>
      <c r="BG421" s="10"/>
      <c r="BH421" s="10"/>
      <c r="BI421" s="10"/>
      <c r="BJ421" s="10"/>
      <c r="BK421" s="10"/>
      <c r="BS421" s="10"/>
      <c r="BT421" s="10"/>
      <c r="BV421" s="10"/>
      <c r="BW421" s="10"/>
    </row>
    <row r="422">
      <c r="A422" s="10"/>
      <c r="B422" s="10"/>
      <c r="C422" s="10"/>
      <c r="D422" s="10"/>
      <c r="E422" s="10"/>
      <c r="F422" s="10"/>
      <c r="G422" s="10"/>
      <c r="H422" s="10"/>
      <c r="J422" s="10"/>
      <c r="K422" s="10"/>
      <c r="L422" s="10"/>
      <c r="N422" s="10"/>
      <c r="U422" s="10"/>
      <c r="V422" s="10"/>
      <c r="W422" s="10"/>
      <c r="X422" s="10"/>
      <c r="Y422" s="10"/>
      <c r="Z422" s="10"/>
      <c r="AA422" s="10"/>
      <c r="AB422" s="10"/>
      <c r="AC422" s="10"/>
      <c r="AD422" s="10"/>
      <c r="AE422" s="10"/>
      <c r="AF422" s="10"/>
      <c r="AG422" s="10"/>
      <c r="AH422" s="10"/>
      <c r="AI422" s="10"/>
      <c r="AJ422" s="10"/>
      <c r="AK422" s="10"/>
      <c r="AL422" s="10"/>
      <c r="AM422" s="10"/>
      <c r="AN422" s="10"/>
      <c r="AO422" s="10"/>
      <c r="AW422" s="143"/>
      <c r="BA422" s="10"/>
      <c r="BD422" s="10"/>
      <c r="BE422" s="10"/>
      <c r="BF422" s="10"/>
      <c r="BG422" s="10"/>
      <c r="BH422" s="10"/>
      <c r="BI422" s="10"/>
      <c r="BJ422" s="10"/>
      <c r="BK422" s="10"/>
      <c r="BS422" s="10"/>
      <c r="BT422" s="10"/>
      <c r="BV422" s="10"/>
      <c r="BW422" s="10"/>
    </row>
    <row r="423">
      <c r="A423" s="10"/>
      <c r="B423" s="10"/>
      <c r="C423" s="10"/>
      <c r="D423" s="10"/>
      <c r="E423" s="10"/>
      <c r="F423" s="10"/>
      <c r="G423" s="10"/>
      <c r="H423" s="10"/>
      <c r="J423" s="10"/>
      <c r="K423" s="10"/>
      <c r="L423" s="10"/>
      <c r="N423" s="10"/>
      <c r="U423" s="10"/>
      <c r="V423" s="10"/>
      <c r="W423" s="10"/>
      <c r="X423" s="10"/>
      <c r="Y423" s="10"/>
      <c r="Z423" s="10"/>
      <c r="AA423" s="10"/>
      <c r="AB423" s="10"/>
      <c r="AC423" s="10"/>
      <c r="AD423" s="10"/>
      <c r="AE423" s="10"/>
      <c r="AF423" s="10"/>
      <c r="AG423" s="10"/>
      <c r="AH423" s="10"/>
      <c r="AI423" s="10"/>
      <c r="AJ423" s="10"/>
      <c r="AK423" s="10"/>
      <c r="AL423" s="10"/>
      <c r="AM423" s="10"/>
      <c r="AN423" s="10"/>
      <c r="AO423" s="10"/>
      <c r="AW423" s="143"/>
      <c r="BA423" s="10"/>
      <c r="BD423" s="10"/>
      <c r="BE423" s="10"/>
      <c r="BF423" s="10"/>
      <c r="BG423" s="10"/>
      <c r="BH423" s="10"/>
      <c r="BI423" s="10"/>
      <c r="BJ423" s="10"/>
      <c r="BK423" s="10"/>
      <c r="BS423" s="10"/>
      <c r="BT423" s="10"/>
      <c r="BV423" s="10"/>
      <c r="BW423" s="10"/>
    </row>
    <row r="424">
      <c r="A424" s="10"/>
      <c r="B424" s="10"/>
      <c r="C424" s="10"/>
      <c r="D424" s="10"/>
      <c r="E424" s="10"/>
      <c r="F424" s="10"/>
      <c r="G424" s="10"/>
      <c r="H424" s="10"/>
      <c r="J424" s="10"/>
      <c r="K424" s="10"/>
      <c r="L424" s="10"/>
      <c r="O424" s="10"/>
      <c r="P424" s="10"/>
      <c r="Q424" s="10"/>
      <c r="R424" s="10"/>
      <c r="S424" s="10"/>
      <c r="U424" s="10"/>
      <c r="V424" s="10"/>
      <c r="W424" s="10"/>
      <c r="X424" s="10"/>
      <c r="Y424" s="10"/>
      <c r="Z424" s="10"/>
      <c r="AA424" s="10"/>
      <c r="AB424" s="10"/>
      <c r="AC424" s="10"/>
      <c r="AD424" s="10"/>
      <c r="AE424" s="10"/>
      <c r="AF424" s="10"/>
      <c r="AG424" s="10"/>
      <c r="AH424" s="10"/>
      <c r="AI424" s="10"/>
      <c r="AJ424" s="10"/>
      <c r="AK424" s="10"/>
      <c r="AL424" s="10"/>
      <c r="AM424" s="10"/>
      <c r="AN424" s="10"/>
      <c r="AO424" s="10"/>
      <c r="AW424" s="143"/>
      <c r="AZ424" s="10"/>
      <c r="BA424" s="10"/>
      <c r="BD424" s="10"/>
      <c r="BE424" s="10"/>
      <c r="BF424" s="10"/>
      <c r="BG424" s="10"/>
      <c r="BH424" s="10"/>
      <c r="BI424" s="10"/>
      <c r="BJ424" s="10"/>
      <c r="BK424" s="10"/>
      <c r="BL424" s="10"/>
      <c r="BM424" s="10"/>
      <c r="BN424" s="10"/>
      <c r="BO424" s="10"/>
      <c r="BP424" s="10"/>
      <c r="BQ424" s="10"/>
      <c r="BR424" s="10"/>
      <c r="BS424" s="10"/>
      <c r="BT424" s="10"/>
      <c r="BV424" s="10"/>
      <c r="BW424" s="10"/>
    </row>
    <row r="425">
      <c r="A425" s="10"/>
      <c r="B425" s="10"/>
      <c r="C425" s="10"/>
      <c r="D425" s="10"/>
      <c r="E425" s="10"/>
      <c r="F425" s="10"/>
      <c r="G425" s="10"/>
      <c r="H425" s="10"/>
      <c r="J425" s="10"/>
      <c r="K425" s="10"/>
      <c r="L425" s="10"/>
      <c r="U425" s="10"/>
      <c r="V425" s="10"/>
      <c r="W425" s="10"/>
      <c r="X425" s="10"/>
      <c r="Y425" s="10"/>
      <c r="Z425" s="10"/>
      <c r="AA425" s="10"/>
      <c r="AB425" s="10"/>
      <c r="AC425" s="10"/>
      <c r="AD425" s="10"/>
      <c r="AE425" s="10"/>
      <c r="AF425" s="10"/>
      <c r="AG425" s="10"/>
      <c r="AH425" s="10"/>
      <c r="AI425" s="10"/>
      <c r="AJ425" s="10"/>
      <c r="AK425" s="10"/>
      <c r="AL425" s="10"/>
      <c r="AM425" s="10"/>
      <c r="AN425" s="10"/>
      <c r="AO425" s="10"/>
      <c r="AW425" s="143"/>
      <c r="BA425" s="10"/>
      <c r="BD425" s="10"/>
      <c r="BE425" s="10"/>
      <c r="BF425" s="10"/>
      <c r="BG425" s="10"/>
      <c r="BH425" s="10"/>
      <c r="BI425" s="10"/>
      <c r="BJ425" s="10"/>
      <c r="BK425" s="10"/>
      <c r="BL425" s="10"/>
      <c r="BS425" s="10"/>
      <c r="BT425" s="10"/>
      <c r="BV425" s="10"/>
      <c r="BW425" s="10"/>
    </row>
    <row r="426">
      <c r="A426" s="10"/>
      <c r="B426" s="10"/>
      <c r="C426" s="10"/>
      <c r="D426" s="10"/>
      <c r="E426" s="10"/>
      <c r="F426" s="10"/>
      <c r="G426" s="10"/>
      <c r="H426" s="10"/>
      <c r="K426" s="10"/>
      <c r="L426" s="10"/>
      <c r="P426" s="10"/>
      <c r="U426" s="10"/>
      <c r="V426" s="10"/>
      <c r="Y426" s="10"/>
      <c r="Z426" s="10"/>
      <c r="AA426" s="10"/>
      <c r="AB426" s="10"/>
      <c r="AC426" s="10"/>
      <c r="AD426" s="10"/>
      <c r="AE426" s="10"/>
      <c r="AF426" s="10"/>
      <c r="AG426" s="10"/>
      <c r="AH426" s="10"/>
      <c r="AI426" s="10"/>
      <c r="AJ426" s="10"/>
      <c r="AK426" s="10"/>
      <c r="AL426" s="10"/>
      <c r="AM426" s="10"/>
      <c r="AN426" s="10"/>
      <c r="AO426" s="10"/>
      <c r="AW426" s="143"/>
      <c r="BA426" s="10"/>
      <c r="BD426" s="10"/>
      <c r="BE426" s="10"/>
      <c r="BF426" s="10"/>
      <c r="BG426" s="10"/>
      <c r="BH426" s="10"/>
      <c r="BI426" s="10"/>
      <c r="BJ426" s="10"/>
      <c r="BK426" s="10"/>
      <c r="BL426" s="10"/>
      <c r="BS426" s="10"/>
      <c r="BT426" s="10"/>
      <c r="BV426" s="10"/>
      <c r="BW426" s="10"/>
    </row>
    <row r="427">
      <c r="A427" s="10"/>
      <c r="B427" s="10"/>
      <c r="C427" s="10"/>
      <c r="D427" s="10"/>
      <c r="E427" s="10"/>
      <c r="F427" s="10"/>
      <c r="G427" s="10"/>
      <c r="H427" s="10"/>
      <c r="J427" s="10"/>
      <c r="K427" s="10"/>
      <c r="L427" s="10"/>
      <c r="P427" s="10"/>
      <c r="U427" s="10"/>
      <c r="V427" s="10"/>
      <c r="W427" s="10"/>
      <c r="X427" s="10"/>
      <c r="Y427" s="10"/>
      <c r="Z427" s="10"/>
      <c r="AA427" s="10"/>
      <c r="AB427" s="10"/>
      <c r="AC427" s="10"/>
      <c r="AD427" s="10"/>
      <c r="AE427" s="10"/>
      <c r="AF427" s="10"/>
      <c r="AG427" s="10"/>
      <c r="AH427" s="10"/>
      <c r="AI427" s="10"/>
      <c r="AJ427" s="10"/>
      <c r="AK427" s="10"/>
      <c r="AL427" s="10"/>
      <c r="AM427" s="10"/>
      <c r="AN427" s="10"/>
      <c r="AO427" s="10"/>
      <c r="AW427" s="143"/>
      <c r="BA427" s="10"/>
      <c r="BD427" s="10"/>
      <c r="BE427" s="10"/>
      <c r="BF427" s="10"/>
      <c r="BG427" s="10"/>
      <c r="BH427" s="10"/>
      <c r="BI427" s="10"/>
      <c r="BJ427" s="10"/>
      <c r="BK427" s="10"/>
      <c r="BL427" s="10"/>
      <c r="BS427" s="10"/>
      <c r="BT427" s="10"/>
      <c r="BV427" s="10"/>
      <c r="BW427" s="10"/>
    </row>
    <row r="428">
      <c r="A428" s="10"/>
      <c r="B428" s="10"/>
      <c r="C428" s="10"/>
      <c r="D428" s="10"/>
      <c r="E428" s="10"/>
      <c r="F428" s="10"/>
      <c r="G428" s="10"/>
      <c r="H428" s="10"/>
      <c r="J428" s="10"/>
      <c r="K428" s="10"/>
      <c r="L428" s="10"/>
      <c r="P428" s="10"/>
      <c r="U428" s="10"/>
      <c r="V428" s="10"/>
      <c r="W428" s="10"/>
      <c r="X428" s="10"/>
      <c r="Y428" s="10"/>
      <c r="Z428" s="10"/>
      <c r="AA428" s="10"/>
      <c r="AB428" s="10"/>
      <c r="AC428" s="10"/>
      <c r="AD428" s="10"/>
      <c r="AE428" s="10"/>
      <c r="AF428" s="10"/>
      <c r="AG428" s="10"/>
      <c r="AH428" s="10"/>
      <c r="AI428" s="10"/>
      <c r="AJ428" s="10"/>
      <c r="AK428" s="10"/>
      <c r="AL428" s="10"/>
      <c r="AM428" s="10"/>
      <c r="AN428" s="10"/>
      <c r="AO428" s="10"/>
      <c r="AW428" s="143"/>
      <c r="BA428" s="10"/>
      <c r="BD428" s="10"/>
      <c r="BE428" s="10"/>
      <c r="BF428" s="10"/>
      <c r="BG428" s="10"/>
      <c r="BH428" s="10"/>
      <c r="BI428" s="10"/>
      <c r="BJ428" s="10"/>
      <c r="BK428" s="10"/>
      <c r="BL428" s="10"/>
      <c r="BS428" s="10"/>
      <c r="BT428" s="10"/>
      <c r="BV428" s="10"/>
      <c r="BW428" s="10"/>
    </row>
    <row r="429">
      <c r="A429" s="10"/>
      <c r="B429" s="10"/>
      <c r="C429" s="10"/>
      <c r="D429" s="10"/>
      <c r="E429" s="10"/>
      <c r="F429" s="10"/>
      <c r="G429" s="10"/>
      <c r="H429" s="10"/>
      <c r="J429" s="10"/>
      <c r="K429" s="10"/>
      <c r="L429" s="10"/>
      <c r="O429" s="10"/>
      <c r="P429" s="10"/>
      <c r="U429" s="10"/>
      <c r="V429" s="10"/>
      <c r="W429" s="10"/>
      <c r="X429" s="10"/>
      <c r="Y429" s="10"/>
      <c r="Z429" s="10"/>
      <c r="AA429" s="10"/>
      <c r="AB429" s="10"/>
      <c r="AC429" s="10"/>
      <c r="AD429" s="10"/>
      <c r="AE429" s="10"/>
      <c r="AF429" s="10"/>
      <c r="AG429" s="10"/>
      <c r="AH429" s="10"/>
      <c r="AI429" s="10"/>
      <c r="AJ429" s="10"/>
      <c r="AK429" s="10"/>
      <c r="AL429" s="10"/>
      <c r="AM429" s="10"/>
      <c r="AN429" s="10"/>
      <c r="AO429" s="10"/>
      <c r="AW429" s="143"/>
      <c r="BA429" s="10"/>
      <c r="BD429" s="10"/>
      <c r="BE429" s="10"/>
      <c r="BF429" s="10"/>
      <c r="BG429" s="10"/>
      <c r="BH429" s="10"/>
      <c r="BI429" s="10"/>
      <c r="BJ429" s="10"/>
      <c r="BK429" s="10"/>
      <c r="BL429" s="10"/>
      <c r="BS429" s="10"/>
      <c r="BT429" s="10"/>
      <c r="BV429" s="10"/>
      <c r="BW429" s="10"/>
    </row>
    <row r="430">
      <c r="A430" s="10"/>
      <c r="B430" s="10"/>
      <c r="C430" s="10"/>
      <c r="D430" s="10"/>
      <c r="E430" s="10"/>
      <c r="F430" s="10"/>
      <c r="G430" s="10"/>
      <c r="H430" s="10"/>
      <c r="J430" s="10"/>
      <c r="K430" s="10"/>
      <c r="L430" s="10"/>
      <c r="O430" s="10"/>
      <c r="P430" s="10"/>
      <c r="Q430" s="10"/>
      <c r="R430" s="10"/>
      <c r="S430" s="10"/>
      <c r="U430" s="10"/>
      <c r="V430" s="10"/>
      <c r="W430" s="10"/>
      <c r="X430" s="10"/>
      <c r="Y430" s="10"/>
      <c r="Z430" s="10"/>
      <c r="AA430" s="10"/>
      <c r="AB430" s="10"/>
      <c r="AC430" s="10"/>
      <c r="AD430" s="10"/>
      <c r="AE430" s="10"/>
      <c r="AF430" s="10"/>
      <c r="AG430" s="10"/>
      <c r="AH430" s="10"/>
      <c r="AI430" s="10"/>
      <c r="AJ430" s="10"/>
      <c r="AK430" s="10"/>
      <c r="AL430" s="10"/>
      <c r="AM430" s="10"/>
      <c r="AN430" s="10"/>
      <c r="AO430" s="10"/>
      <c r="AW430" s="143"/>
      <c r="BA430" s="10"/>
      <c r="BD430" s="10"/>
      <c r="BE430" s="10"/>
      <c r="BF430" s="10"/>
      <c r="BG430" s="10"/>
      <c r="BH430" s="10"/>
      <c r="BI430" s="10"/>
      <c r="BJ430" s="10"/>
      <c r="BK430" s="10"/>
      <c r="BL430" s="10"/>
      <c r="BO430" s="10"/>
      <c r="BR430" s="10"/>
      <c r="BS430" s="10"/>
      <c r="BT430" s="10"/>
      <c r="BV430" s="10"/>
      <c r="BW430" s="10"/>
    </row>
    <row r="431">
      <c r="A431" s="10"/>
      <c r="B431" s="10"/>
      <c r="C431" s="10"/>
      <c r="D431" s="10"/>
      <c r="E431" s="10"/>
      <c r="F431" s="10"/>
      <c r="G431" s="10"/>
      <c r="H431" s="10"/>
      <c r="J431" s="10"/>
      <c r="K431" s="10"/>
      <c r="L431" s="10"/>
      <c r="P431" s="10"/>
      <c r="U431" s="10"/>
      <c r="V431" s="10"/>
      <c r="W431" s="10"/>
      <c r="X431" s="10"/>
      <c r="Y431" s="10"/>
      <c r="Z431" s="10"/>
      <c r="AA431" s="10"/>
      <c r="AB431" s="10"/>
      <c r="AC431" s="10"/>
      <c r="AD431" s="10"/>
      <c r="AE431" s="10"/>
      <c r="AF431" s="10"/>
      <c r="AG431" s="10"/>
      <c r="AH431" s="10"/>
      <c r="AI431" s="10"/>
      <c r="AJ431" s="10"/>
      <c r="AK431" s="10"/>
      <c r="AL431" s="10"/>
      <c r="AM431" s="10"/>
      <c r="AN431" s="10"/>
      <c r="AO431" s="10"/>
      <c r="AW431" s="143"/>
      <c r="AZ431" s="10"/>
      <c r="BA431" s="10"/>
      <c r="BD431" s="10"/>
      <c r="BE431" s="10"/>
      <c r="BF431" s="10"/>
      <c r="BG431" s="10"/>
      <c r="BH431" s="10"/>
      <c r="BI431" s="10"/>
      <c r="BJ431" s="10"/>
      <c r="BK431" s="10"/>
      <c r="BL431" s="10"/>
      <c r="BS431" s="10"/>
      <c r="BT431" s="10"/>
      <c r="BV431" s="10"/>
      <c r="BW431" s="10"/>
    </row>
    <row r="432">
      <c r="A432" s="10"/>
      <c r="B432" s="10"/>
      <c r="C432" s="10"/>
      <c r="D432" s="10"/>
      <c r="E432" s="10"/>
      <c r="F432" s="10"/>
      <c r="G432" s="10"/>
      <c r="H432" s="10"/>
      <c r="J432" s="10"/>
      <c r="P432" s="10"/>
      <c r="V432" s="10"/>
      <c r="W432" s="10"/>
      <c r="X432" s="10"/>
      <c r="Y432" s="10"/>
      <c r="Z432" s="10"/>
      <c r="AA432" s="10"/>
      <c r="AB432" s="10"/>
      <c r="AC432" s="10"/>
      <c r="AD432" s="10"/>
      <c r="AE432" s="10"/>
      <c r="AF432" s="10"/>
      <c r="AG432" s="10"/>
      <c r="AH432" s="10"/>
      <c r="AI432" s="10"/>
      <c r="AJ432" s="10"/>
      <c r="AK432" s="10"/>
      <c r="AL432" s="10"/>
      <c r="AM432" s="10"/>
      <c r="AN432" s="10"/>
      <c r="AO432" s="10"/>
      <c r="AW432" s="143"/>
      <c r="BA432" s="10"/>
      <c r="BS432" s="10"/>
      <c r="BT432" s="10"/>
      <c r="BW432" s="10"/>
    </row>
    <row r="433">
      <c r="A433" s="10"/>
      <c r="B433" s="10"/>
      <c r="C433" s="10"/>
      <c r="D433" s="10"/>
      <c r="E433" s="10"/>
      <c r="F433" s="10"/>
      <c r="G433" s="10"/>
      <c r="H433" s="10"/>
      <c r="J433" s="10"/>
      <c r="O433" s="10"/>
      <c r="P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T433" s="10"/>
      <c r="AW433" s="143"/>
      <c r="BA433" s="10"/>
      <c r="BL433" s="10"/>
      <c r="BO433" s="10"/>
      <c r="BR433" s="10"/>
      <c r="BS433" s="10"/>
      <c r="BT433" s="10"/>
      <c r="BW433" s="10"/>
    </row>
    <row r="434">
      <c r="A434" s="10"/>
      <c r="B434" s="10"/>
      <c r="C434" s="10"/>
      <c r="D434" s="10"/>
      <c r="E434" s="10"/>
      <c r="F434" s="10"/>
      <c r="G434" s="10"/>
      <c r="H434" s="10"/>
      <c r="P434" s="10"/>
      <c r="V434" s="10"/>
      <c r="Y434" s="10"/>
      <c r="Z434" s="10"/>
      <c r="AA434" s="10"/>
      <c r="AB434" s="10"/>
      <c r="AC434" s="10"/>
      <c r="AD434" s="10"/>
      <c r="AE434" s="10"/>
      <c r="AF434" s="10"/>
      <c r="AG434" s="10"/>
      <c r="AH434" s="10"/>
      <c r="AI434" s="10"/>
      <c r="AJ434" s="10"/>
      <c r="AK434" s="10"/>
      <c r="AL434" s="10"/>
      <c r="AM434" s="10"/>
      <c r="AN434" s="10"/>
      <c r="AO434" s="10"/>
      <c r="AW434" s="143"/>
      <c r="BA434" s="10"/>
      <c r="BS434" s="10"/>
      <c r="BT434" s="10"/>
      <c r="BW434" s="10"/>
    </row>
    <row r="435">
      <c r="A435" s="10"/>
      <c r="B435" s="10"/>
      <c r="C435" s="10"/>
      <c r="D435" s="10"/>
      <c r="E435" s="10"/>
      <c r="F435" s="10"/>
      <c r="G435" s="10"/>
      <c r="H435" s="10"/>
      <c r="J435" s="10"/>
      <c r="P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W435" s="143"/>
      <c r="BA435" s="10"/>
      <c r="BS435" s="10"/>
      <c r="BT435" s="10"/>
      <c r="BW435" s="10"/>
    </row>
    <row r="436">
      <c r="A436" s="10"/>
      <c r="B436" s="10"/>
      <c r="C436" s="10"/>
      <c r="D436" s="10"/>
      <c r="E436" s="10"/>
      <c r="F436" s="10"/>
      <c r="G436" s="10"/>
      <c r="H436" s="10"/>
      <c r="J436" s="10"/>
      <c r="O436" s="10"/>
      <c r="P436" s="10"/>
      <c r="V436" s="10"/>
      <c r="W436" s="10"/>
      <c r="X436" s="10"/>
      <c r="Y436" s="10"/>
      <c r="Z436" s="10"/>
      <c r="AA436" s="10"/>
      <c r="AB436" s="10"/>
      <c r="AC436" s="10"/>
      <c r="AD436" s="10"/>
      <c r="AE436" s="10"/>
      <c r="AF436" s="10"/>
      <c r="AG436" s="10"/>
      <c r="AH436" s="10"/>
      <c r="AI436" s="10"/>
      <c r="AJ436" s="10"/>
      <c r="AK436" s="10"/>
      <c r="AL436" s="10"/>
      <c r="AM436" s="10"/>
      <c r="AN436" s="10"/>
      <c r="AO436" s="10"/>
      <c r="AW436" s="143"/>
      <c r="BA436" s="10"/>
      <c r="BS436" s="10"/>
      <c r="BT436" s="10"/>
      <c r="BW436" s="10"/>
    </row>
    <row r="437">
      <c r="A437" s="10"/>
      <c r="B437" s="10"/>
      <c r="C437" s="10"/>
      <c r="D437" s="10"/>
      <c r="E437" s="10"/>
      <c r="F437" s="10"/>
      <c r="G437" s="10"/>
      <c r="H437" s="10"/>
      <c r="K437" s="10"/>
      <c r="L437" s="10"/>
      <c r="V437" s="10"/>
      <c r="W437" s="10"/>
      <c r="X437" s="10"/>
      <c r="Y437" s="10"/>
      <c r="Z437" s="10"/>
      <c r="AA437" s="10"/>
      <c r="AB437" s="10"/>
      <c r="AC437" s="10"/>
      <c r="AD437" s="10"/>
      <c r="AE437" s="10"/>
      <c r="AF437" s="10"/>
      <c r="AG437" s="10"/>
      <c r="AH437" s="10"/>
      <c r="AI437" s="10"/>
      <c r="AJ437" s="10"/>
      <c r="AL437" s="10"/>
      <c r="AM437" s="10"/>
      <c r="AO437" s="10"/>
      <c r="AW437" s="143"/>
      <c r="BA437" s="10"/>
      <c r="BD437" s="10"/>
      <c r="BE437" s="10"/>
      <c r="BF437" s="10"/>
      <c r="BG437" s="10"/>
      <c r="BH437" s="10"/>
      <c r="BI437" s="10"/>
      <c r="BJ437" s="10"/>
      <c r="BK437" s="10"/>
      <c r="BS437" s="10"/>
      <c r="BT437" s="10"/>
      <c r="BV437" s="10"/>
      <c r="BW437" s="10"/>
    </row>
    <row r="438">
      <c r="A438" s="10"/>
      <c r="B438" s="10"/>
      <c r="C438" s="10"/>
      <c r="D438" s="10"/>
      <c r="E438" s="10"/>
      <c r="F438" s="10"/>
      <c r="G438" s="10"/>
      <c r="H438" s="10"/>
      <c r="I438" s="10"/>
      <c r="K438" s="10"/>
      <c r="L438" s="10"/>
      <c r="N438" s="10"/>
      <c r="P438" s="10"/>
      <c r="V438" s="10"/>
      <c r="W438" s="10"/>
      <c r="Y438" s="10"/>
      <c r="Z438" s="10"/>
      <c r="AA438" s="10"/>
      <c r="AB438" s="10"/>
      <c r="AC438" s="10"/>
      <c r="AD438" s="10"/>
      <c r="AE438" s="10"/>
      <c r="AF438" s="10"/>
      <c r="AG438" s="10"/>
      <c r="AH438" s="10"/>
      <c r="AI438" s="10"/>
      <c r="AJ438" s="10"/>
      <c r="AK438" s="10"/>
      <c r="AL438" s="10"/>
      <c r="AM438" s="10"/>
      <c r="AN438" s="10"/>
      <c r="AO438" s="10"/>
      <c r="AR438" s="10"/>
      <c r="AS438" s="10"/>
      <c r="AT438" s="10"/>
      <c r="AW438" s="143"/>
      <c r="BA438" s="10"/>
      <c r="BD438" s="10"/>
      <c r="BE438" s="10"/>
      <c r="BF438" s="10"/>
      <c r="BG438" s="10"/>
      <c r="BH438" s="10"/>
      <c r="BI438" s="10"/>
      <c r="BJ438" s="10"/>
      <c r="BK438" s="10"/>
      <c r="BS438" s="10"/>
      <c r="BT438" s="10"/>
      <c r="BU438" s="10"/>
      <c r="BV438" s="10"/>
      <c r="BW438" s="10"/>
    </row>
    <row r="439">
      <c r="A439" s="10"/>
      <c r="B439" s="10"/>
      <c r="C439" s="10"/>
      <c r="D439" s="10"/>
      <c r="E439" s="10"/>
      <c r="F439" s="10"/>
      <c r="G439" s="10"/>
      <c r="H439" s="10"/>
      <c r="K439" s="10"/>
      <c r="L439" s="10"/>
      <c r="N439" s="10"/>
      <c r="V439" s="10"/>
      <c r="W439" s="10"/>
      <c r="X439" s="10"/>
      <c r="Y439" s="10"/>
      <c r="Z439" s="10"/>
      <c r="AA439" s="10"/>
      <c r="AB439" s="10"/>
      <c r="AC439" s="10"/>
      <c r="AD439" s="10"/>
      <c r="AE439" s="10"/>
      <c r="AF439" s="10"/>
      <c r="AG439" s="10"/>
      <c r="AH439" s="10"/>
      <c r="AI439" s="10"/>
      <c r="AJ439" s="10"/>
      <c r="AL439" s="10"/>
      <c r="AM439" s="10"/>
      <c r="AO439" s="10"/>
      <c r="AW439" s="143"/>
      <c r="BA439" s="10"/>
      <c r="BD439" s="10"/>
      <c r="BE439" s="10"/>
      <c r="BF439" s="10"/>
      <c r="BG439" s="10"/>
      <c r="BH439" s="10"/>
      <c r="BI439" s="10"/>
      <c r="BJ439" s="10"/>
      <c r="BK439" s="10"/>
      <c r="BS439" s="10"/>
      <c r="BT439" s="10"/>
      <c r="BV439" s="10"/>
      <c r="BW439" s="10"/>
    </row>
    <row r="440">
      <c r="A440" s="10"/>
      <c r="B440" s="10"/>
      <c r="C440" s="10"/>
      <c r="D440" s="10"/>
      <c r="E440" s="10"/>
      <c r="F440" s="10"/>
      <c r="G440" s="10"/>
      <c r="H440" s="10"/>
      <c r="J440" s="10"/>
      <c r="K440" s="10"/>
      <c r="L440" s="10"/>
      <c r="N440" s="10"/>
      <c r="P440" s="10"/>
      <c r="V440" s="10"/>
      <c r="W440" s="10"/>
      <c r="X440" s="10"/>
      <c r="Y440" s="10"/>
      <c r="Z440" s="10"/>
      <c r="AA440" s="10"/>
      <c r="AB440" s="10"/>
      <c r="AC440" s="10"/>
      <c r="AD440" s="10"/>
      <c r="AE440" s="10"/>
      <c r="AF440" s="10"/>
      <c r="AG440" s="10"/>
      <c r="AH440" s="10"/>
      <c r="AI440" s="10"/>
      <c r="AJ440" s="10"/>
      <c r="AK440" s="10"/>
      <c r="AL440" s="10"/>
      <c r="AM440" s="10"/>
      <c r="AN440" s="10"/>
      <c r="AO440" s="10"/>
      <c r="AW440" s="143"/>
      <c r="BA440" s="10"/>
      <c r="BD440" s="10"/>
      <c r="BE440" s="10"/>
      <c r="BF440" s="10"/>
      <c r="BG440" s="10"/>
      <c r="BH440" s="10"/>
      <c r="BI440" s="10"/>
      <c r="BJ440" s="10"/>
      <c r="BK440" s="10"/>
      <c r="BS440" s="10"/>
      <c r="BT440" s="10"/>
      <c r="BV440" s="10"/>
      <c r="BW440" s="10"/>
    </row>
    <row r="441">
      <c r="A441" s="10"/>
      <c r="B441" s="10"/>
      <c r="C441" s="10"/>
      <c r="D441" s="10"/>
      <c r="E441" s="10"/>
      <c r="F441" s="10"/>
      <c r="G441" s="10"/>
      <c r="H441" s="10"/>
      <c r="K441" s="10"/>
      <c r="L441" s="10"/>
      <c r="N441" s="10"/>
      <c r="O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W441" s="143"/>
      <c r="AZ441" s="10"/>
      <c r="BA441" s="10"/>
      <c r="BD441" s="10"/>
      <c r="BE441" s="10"/>
      <c r="BF441" s="10"/>
      <c r="BG441" s="10"/>
      <c r="BH441" s="10"/>
      <c r="BI441" s="10"/>
      <c r="BJ441" s="10"/>
      <c r="BK441" s="10"/>
      <c r="BL441" s="10"/>
      <c r="BM441" s="10"/>
      <c r="BN441" s="10"/>
      <c r="BO441" s="10"/>
      <c r="BP441" s="10"/>
      <c r="BQ441" s="10"/>
      <c r="BR441" s="10"/>
      <c r="BS441" s="10"/>
      <c r="BT441" s="10"/>
      <c r="BV441" s="10"/>
      <c r="BW441" s="10"/>
    </row>
    <row r="442">
      <c r="A442" s="10"/>
      <c r="B442" s="10"/>
      <c r="C442" s="10"/>
      <c r="D442" s="10"/>
      <c r="E442" s="10"/>
      <c r="F442" s="10"/>
      <c r="G442" s="10"/>
      <c r="H442" s="10"/>
      <c r="K442" s="10"/>
      <c r="L442" s="10"/>
      <c r="U442" s="10"/>
      <c r="V442" s="10"/>
      <c r="W442" s="10"/>
      <c r="X442" s="10"/>
      <c r="Y442" s="10"/>
      <c r="Z442" s="10"/>
      <c r="AA442" s="10"/>
      <c r="AB442" s="10"/>
      <c r="AC442" s="10"/>
      <c r="AD442" s="10"/>
      <c r="AE442" s="10"/>
      <c r="AF442" s="10"/>
      <c r="AG442" s="10"/>
      <c r="AH442" s="10"/>
      <c r="AI442" s="10"/>
      <c r="AJ442" s="10"/>
      <c r="AL442" s="10"/>
      <c r="AM442" s="10"/>
      <c r="AO442" s="10"/>
      <c r="AW442" s="143"/>
      <c r="AZ442" s="10"/>
      <c r="BA442" s="10"/>
      <c r="BD442" s="10"/>
      <c r="BE442" s="10"/>
      <c r="BF442" s="10"/>
      <c r="BG442" s="10"/>
      <c r="BH442" s="10"/>
      <c r="BI442" s="10"/>
      <c r="BJ442" s="10"/>
      <c r="BK442" s="10"/>
      <c r="BL442" s="10"/>
      <c r="BS442" s="10"/>
      <c r="BT442" s="10"/>
      <c r="BV442" s="10"/>
      <c r="BW442" s="10"/>
    </row>
    <row r="443">
      <c r="A443" s="10"/>
      <c r="B443" s="10"/>
      <c r="C443" s="10"/>
      <c r="D443" s="10"/>
      <c r="E443" s="10"/>
      <c r="F443" s="10"/>
      <c r="G443" s="10"/>
      <c r="H443" s="10"/>
      <c r="K443" s="10"/>
      <c r="L443" s="10"/>
      <c r="P443" s="10"/>
      <c r="U443" s="10"/>
      <c r="V443" s="10"/>
      <c r="W443" s="10"/>
      <c r="X443" s="10"/>
      <c r="Y443" s="10"/>
      <c r="Z443" s="10"/>
      <c r="AA443" s="10"/>
      <c r="AB443" s="10"/>
      <c r="AC443" s="10"/>
      <c r="AD443" s="10"/>
      <c r="AE443" s="10"/>
      <c r="AF443" s="10"/>
      <c r="AG443" s="10"/>
      <c r="AH443" s="10"/>
      <c r="AI443" s="10"/>
      <c r="AJ443" s="10"/>
      <c r="AK443" s="10"/>
      <c r="AL443" s="10"/>
      <c r="AM443" s="10"/>
      <c r="AN443" s="10"/>
      <c r="AO443" s="10"/>
      <c r="AW443" s="143"/>
      <c r="BA443" s="10"/>
      <c r="BD443" s="10"/>
      <c r="BE443" s="10"/>
      <c r="BF443" s="10"/>
      <c r="BG443" s="10"/>
      <c r="BH443" s="10"/>
      <c r="BI443" s="10"/>
      <c r="BJ443" s="10"/>
      <c r="BK443" s="10"/>
      <c r="BL443" s="10"/>
      <c r="BS443" s="10"/>
      <c r="BT443" s="10"/>
      <c r="BV443" s="10"/>
      <c r="BW443" s="10"/>
    </row>
    <row r="444">
      <c r="A444" s="10"/>
      <c r="B444" s="10"/>
      <c r="C444" s="10"/>
      <c r="D444" s="10"/>
      <c r="E444" s="10"/>
      <c r="F444" s="10"/>
      <c r="G444" s="10"/>
      <c r="H444" s="10"/>
      <c r="K444" s="10"/>
      <c r="L444" s="10"/>
      <c r="P444" s="10"/>
      <c r="U444" s="10"/>
      <c r="V444" s="10"/>
      <c r="W444" s="10"/>
      <c r="X444" s="10"/>
      <c r="Y444" s="10"/>
      <c r="Z444" s="10"/>
      <c r="AA444" s="10"/>
      <c r="AB444" s="10"/>
      <c r="AC444" s="10"/>
      <c r="AD444" s="10"/>
      <c r="AE444" s="10"/>
      <c r="AF444" s="10"/>
      <c r="AG444" s="10"/>
      <c r="AH444" s="10"/>
      <c r="AI444" s="10"/>
      <c r="AJ444" s="10"/>
      <c r="AK444" s="10"/>
      <c r="AL444" s="10"/>
      <c r="AM444" s="10"/>
      <c r="AN444" s="10"/>
      <c r="AO444" s="10"/>
      <c r="AW444" s="143"/>
      <c r="BA444" s="10"/>
      <c r="BD444" s="10"/>
      <c r="BE444" s="10"/>
      <c r="BF444" s="10"/>
      <c r="BG444" s="10"/>
      <c r="BH444" s="10"/>
      <c r="BI444" s="10"/>
      <c r="BJ444" s="10"/>
      <c r="BK444" s="10"/>
      <c r="BL444" s="10"/>
      <c r="BS444" s="10"/>
      <c r="BT444" s="10"/>
      <c r="BV444" s="10"/>
      <c r="BW444" s="10"/>
    </row>
    <row r="445">
      <c r="A445" s="10"/>
      <c r="B445" s="10"/>
      <c r="C445" s="10"/>
      <c r="D445" s="10"/>
      <c r="E445" s="10"/>
      <c r="F445" s="10"/>
      <c r="G445" s="10"/>
      <c r="H445" s="10"/>
      <c r="K445" s="10"/>
      <c r="L445" s="10"/>
      <c r="P445" s="10"/>
      <c r="U445" s="10"/>
      <c r="V445" s="10"/>
      <c r="W445" s="10"/>
      <c r="X445" s="10"/>
      <c r="Y445" s="10"/>
      <c r="Z445" s="10"/>
      <c r="AA445" s="10"/>
      <c r="AB445" s="10"/>
      <c r="AC445" s="10"/>
      <c r="AD445" s="10"/>
      <c r="AE445" s="10"/>
      <c r="AF445" s="10"/>
      <c r="AG445" s="10"/>
      <c r="AH445" s="10"/>
      <c r="AI445" s="10"/>
      <c r="AJ445" s="10"/>
      <c r="AK445" s="10"/>
      <c r="AL445" s="10"/>
      <c r="AM445" s="10"/>
      <c r="AN445" s="10"/>
      <c r="AO445" s="10"/>
      <c r="AW445" s="143"/>
      <c r="BA445" s="10"/>
      <c r="BD445" s="10"/>
      <c r="BE445" s="10"/>
      <c r="BF445" s="10"/>
      <c r="BG445" s="10"/>
      <c r="BH445" s="10"/>
      <c r="BI445" s="10"/>
      <c r="BJ445" s="10"/>
      <c r="BK445" s="10"/>
      <c r="BL445" s="10"/>
      <c r="BS445" s="10"/>
      <c r="BT445" s="10"/>
      <c r="BV445" s="10"/>
      <c r="BW445" s="10"/>
    </row>
    <row r="446">
      <c r="A446" s="10"/>
      <c r="B446" s="10"/>
      <c r="C446" s="10"/>
      <c r="D446" s="10"/>
      <c r="E446" s="10"/>
      <c r="F446" s="10"/>
      <c r="G446" s="10"/>
      <c r="H446" s="10"/>
      <c r="K446" s="10"/>
      <c r="L446" s="10"/>
      <c r="U446" s="10"/>
      <c r="V446" s="10"/>
      <c r="W446" s="10"/>
      <c r="X446" s="10"/>
      <c r="Y446" s="10"/>
      <c r="Z446" s="10"/>
      <c r="AA446" s="10"/>
      <c r="AB446" s="10"/>
      <c r="AC446" s="10"/>
      <c r="AD446" s="10"/>
      <c r="AE446" s="10"/>
      <c r="AF446" s="10"/>
      <c r="AG446" s="10"/>
      <c r="AH446" s="10"/>
      <c r="AI446" s="10"/>
      <c r="AJ446" s="10"/>
      <c r="AK446" s="10"/>
      <c r="AL446" s="10"/>
      <c r="AM446" s="10"/>
      <c r="AN446" s="10"/>
      <c r="AO446" s="10"/>
      <c r="AW446" s="143"/>
      <c r="BA446" s="10"/>
      <c r="BD446" s="10"/>
      <c r="BE446" s="10"/>
      <c r="BF446" s="10"/>
      <c r="BG446" s="10"/>
      <c r="BH446" s="10"/>
      <c r="BI446" s="10"/>
      <c r="BJ446" s="10"/>
      <c r="BK446" s="10"/>
      <c r="BL446" s="10"/>
      <c r="BS446" s="10"/>
      <c r="BT446" s="10"/>
      <c r="BV446" s="10"/>
      <c r="BW446" s="10"/>
    </row>
    <row r="447">
      <c r="A447" s="10"/>
      <c r="B447" s="10"/>
      <c r="C447" s="10"/>
      <c r="D447" s="10"/>
      <c r="E447" s="10"/>
      <c r="F447" s="10"/>
      <c r="G447" s="10"/>
      <c r="H447" s="10"/>
      <c r="I447" s="10"/>
      <c r="J447" s="10"/>
      <c r="K447" s="10"/>
      <c r="L447" s="10"/>
      <c r="T447" s="10"/>
      <c r="U447" s="10"/>
      <c r="V447" s="10"/>
      <c r="W447" s="10"/>
      <c r="X447" s="10"/>
      <c r="Y447" s="10"/>
      <c r="Z447" s="10"/>
      <c r="AA447" s="10"/>
      <c r="AB447" s="10"/>
      <c r="AC447" s="10"/>
      <c r="AD447" s="10"/>
      <c r="AE447" s="10"/>
      <c r="AF447" s="10"/>
      <c r="AG447" s="10"/>
      <c r="AH447" s="10"/>
      <c r="AI447" s="10"/>
      <c r="AJ447" s="10"/>
      <c r="AK447" s="10"/>
      <c r="AL447" s="10"/>
      <c r="AN447" s="10"/>
      <c r="AO447" s="10"/>
      <c r="AR447" s="10"/>
      <c r="AS447" s="10"/>
      <c r="AU447" s="10"/>
      <c r="AV447" s="10"/>
      <c r="AW447" s="143"/>
      <c r="BA447" s="10"/>
      <c r="BD447" s="10"/>
      <c r="BE447" s="10"/>
      <c r="BF447" s="10"/>
      <c r="BG447" s="10"/>
      <c r="BH447" s="10"/>
      <c r="BI447" s="10"/>
      <c r="BJ447" s="10"/>
      <c r="BK447" s="10"/>
      <c r="BS447" s="10"/>
      <c r="BT447" s="10"/>
      <c r="BV447" s="10"/>
      <c r="BW447" s="10"/>
    </row>
    <row r="448">
      <c r="A448" s="10"/>
      <c r="B448" s="10"/>
      <c r="C448" s="10"/>
      <c r="D448" s="10"/>
      <c r="E448" s="10"/>
      <c r="F448" s="10"/>
      <c r="G448" s="10"/>
      <c r="H448" s="10"/>
      <c r="I448" s="10"/>
      <c r="K448" s="10"/>
      <c r="L448" s="10"/>
      <c r="U448" s="10"/>
      <c r="V448" s="10"/>
      <c r="W448" s="10"/>
      <c r="X448" s="10"/>
      <c r="Y448" s="10"/>
      <c r="Z448" s="10"/>
      <c r="AA448" s="10"/>
      <c r="AB448" s="10"/>
      <c r="AC448" s="10"/>
      <c r="AD448" s="10"/>
      <c r="AE448" s="10"/>
      <c r="AF448" s="10"/>
      <c r="AG448" s="10"/>
      <c r="AH448" s="10"/>
      <c r="AI448" s="10"/>
      <c r="AJ448" s="10"/>
      <c r="AK448" s="10"/>
      <c r="AL448" s="10"/>
      <c r="AM448" s="10"/>
      <c r="AN448" s="10"/>
      <c r="AO448" s="10"/>
      <c r="AR448" s="10"/>
      <c r="AS448" s="10"/>
      <c r="AU448" s="10"/>
      <c r="AV448" s="10"/>
      <c r="AW448" s="143"/>
      <c r="BA448" s="10"/>
      <c r="BD448" s="10"/>
      <c r="BE448" s="10"/>
      <c r="BF448" s="10"/>
      <c r="BG448" s="10"/>
      <c r="BH448" s="10"/>
      <c r="BI448" s="10"/>
      <c r="BJ448" s="10"/>
      <c r="BK448" s="10"/>
      <c r="BS448" s="10"/>
      <c r="BT448" s="10"/>
      <c r="BV448" s="10"/>
      <c r="BW448" s="10"/>
    </row>
    <row r="449">
      <c r="A449" s="10"/>
      <c r="B449" s="10"/>
      <c r="C449" s="10"/>
      <c r="D449" s="10"/>
      <c r="E449" s="10"/>
      <c r="F449" s="10"/>
      <c r="G449" s="10"/>
      <c r="H449" s="10"/>
      <c r="J449" s="10"/>
      <c r="K449" s="10"/>
      <c r="L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W449" s="143"/>
      <c r="BA449" s="10"/>
      <c r="BD449" s="10"/>
      <c r="BE449" s="10"/>
      <c r="BF449" s="10"/>
      <c r="BG449" s="10"/>
      <c r="BH449" s="10"/>
      <c r="BI449" s="10"/>
      <c r="BJ449" s="10"/>
      <c r="BK449" s="10"/>
      <c r="BS449" s="10"/>
      <c r="BT449" s="10"/>
      <c r="BV449" s="10"/>
      <c r="BW449" s="10"/>
    </row>
    <row r="450">
      <c r="A450" s="10"/>
      <c r="B450" s="10"/>
      <c r="C450" s="10"/>
      <c r="D450" s="10"/>
      <c r="E450" s="10"/>
      <c r="F450" s="10"/>
      <c r="G450" s="10"/>
      <c r="H450" s="10"/>
      <c r="J450" s="10"/>
      <c r="K450" s="10"/>
      <c r="L450" s="10"/>
      <c r="P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W450" s="143"/>
      <c r="BA450" s="10"/>
      <c r="BD450" s="10"/>
      <c r="BE450" s="10"/>
      <c r="BF450" s="10"/>
      <c r="BG450" s="10"/>
      <c r="BH450" s="10"/>
      <c r="BI450" s="10"/>
      <c r="BJ450" s="10"/>
      <c r="BK450" s="10"/>
      <c r="BS450" s="10"/>
      <c r="BT450" s="10"/>
      <c r="BV450" s="10"/>
      <c r="BW450" s="10"/>
    </row>
    <row r="451">
      <c r="A451" s="10"/>
      <c r="B451" s="10"/>
      <c r="C451" s="10"/>
      <c r="D451" s="10"/>
      <c r="E451" s="10"/>
      <c r="F451" s="10"/>
      <c r="G451" s="10"/>
      <c r="H451" s="10"/>
      <c r="K451" s="10"/>
      <c r="L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W451" s="143"/>
      <c r="BA451" s="10"/>
      <c r="BD451" s="10"/>
      <c r="BE451" s="10"/>
      <c r="BF451" s="10"/>
      <c r="BG451" s="10"/>
      <c r="BH451" s="10"/>
      <c r="BI451" s="10"/>
      <c r="BJ451" s="10"/>
      <c r="BK451" s="10"/>
      <c r="BL451" s="10"/>
      <c r="BT451" s="10"/>
      <c r="BV451" s="10"/>
      <c r="BW451" s="10"/>
    </row>
    <row r="452">
      <c r="A452" s="10"/>
      <c r="B452" s="10"/>
      <c r="C452" s="10"/>
      <c r="D452" s="10"/>
      <c r="E452" s="10"/>
      <c r="F452" s="10"/>
      <c r="G452" s="10"/>
      <c r="H452" s="10"/>
      <c r="J452" s="10"/>
      <c r="K452" s="10"/>
      <c r="L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W452" s="143"/>
      <c r="BA452" s="10"/>
      <c r="BD452" s="10"/>
      <c r="BE452" s="10"/>
      <c r="BF452" s="10"/>
      <c r="BG452" s="10"/>
      <c r="BH452" s="10"/>
      <c r="BI452" s="10"/>
      <c r="BJ452" s="10"/>
      <c r="BK452" s="10"/>
      <c r="BL452" s="10"/>
      <c r="BS452" s="10"/>
      <c r="BT452" s="10"/>
      <c r="BV452" s="10"/>
      <c r="BW452" s="10"/>
    </row>
    <row r="453">
      <c r="A453" s="10"/>
      <c r="B453" s="10"/>
      <c r="C453" s="10"/>
      <c r="D453" s="10"/>
      <c r="E453" s="10"/>
      <c r="F453" s="10"/>
      <c r="G453" s="10"/>
      <c r="H453" s="10"/>
      <c r="J453" s="10"/>
      <c r="K453" s="10"/>
      <c r="L453" s="10"/>
      <c r="N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W453" s="143"/>
      <c r="BA453" s="10"/>
      <c r="BD453" s="10"/>
      <c r="BE453" s="10"/>
      <c r="BF453" s="10"/>
      <c r="BG453" s="10"/>
      <c r="BH453" s="10"/>
      <c r="BI453" s="10"/>
      <c r="BJ453" s="10"/>
      <c r="BK453" s="10"/>
      <c r="BL453" s="10"/>
      <c r="BS453" s="10"/>
      <c r="BT453" s="10"/>
      <c r="BV453" s="10"/>
      <c r="BW453" s="10"/>
    </row>
    <row r="454">
      <c r="A454" s="10"/>
      <c r="B454" s="10"/>
      <c r="C454" s="10"/>
      <c r="D454" s="10"/>
      <c r="E454" s="10"/>
      <c r="F454" s="10"/>
      <c r="G454" s="10"/>
      <c r="H454" s="10"/>
      <c r="K454" s="10"/>
      <c r="L454" s="10"/>
      <c r="P454" s="10"/>
      <c r="U454" s="10"/>
      <c r="V454" s="10"/>
      <c r="W454" s="10"/>
      <c r="X454" s="10"/>
      <c r="Y454" s="10"/>
      <c r="Z454" s="10"/>
      <c r="AA454" s="10"/>
      <c r="AB454" s="10"/>
      <c r="AC454" s="10"/>
      <c r="AD454" s="10"/>
      <c r="AE454" s="10"/>
      <c r="AF454" s="10"/>
      <c r="AG454" s="10"/>
      <c r="AH454" s="10"/>
      <c r="AI454" s="10"/>
      <c r="AJ454" s="10"/>
      <c r="AK454" s="10"/>
      <c r="AL454" s="10"/>
      <c r="AM454" s="10"/>
      <c r="AN454" s="10"/>
      <c r="AO454" s="10"/>
      <c r="AW454" s="143"/>
      <c r="BA454" s="10"/>
      <c r="BD454" s="10"/>
      <c r="BE454" s="10"/>
      <c r="BF454" s="10"/>
      <c r="BG454" s="10"/>
      <c r="BH454" s="10"/>
      <c r="BI454" s="10"/>
      <c r="BJ454" s="10"/>
      <c r="BK454" s="10"/>
      <c r="BL454" s="10"/>
      <c r="BN454" s="10"/>
      <c r="BQ454" s="10"/>
      <c r="BT454" s="10"/>
      <c r="BV454" s="10"/>
      <c r="BW454" s="10"/>
    </row>
    <row r="455">
      <c r="A455" s="10"/>
      <c r="B455" s="10"/>
      <c r="C455" s="10"/>
      <c r="D455" s="10"/>
      <c r="E455" s="10"/>
      <c r="F455" s="10"/>
      <c r="G455" s="10"/>
      <c r="H455" s="10"/>
      <c r="J455" s="10"/>
      <c r="K455" s="10"/>
      <c r="L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W455" s="143"/>
      <c r="BA455" s="10"/>
      <c r="BD455" s="10"/>
      <c r="BE455" s="10"/>
      <c r="BF455" s="10"/>
      <c r="BG455" s="10"/>
      <c r="BH455" s="10"/>
      <c r="BI455" s="10"/>
      <c r="BJ455" s="10"/>
      <c r="BK455" s="10"/>
      <c r="BL455" s="10"/>
      <c r="BS455" s="10"/>
      <c r="BT455" s="10"/>
      <c r="BV455" s="10"/>
      <c r="BW455" s="10"/>
    </row>
    <row r="456">
      <c r="A456" s="10"/>
      <c r="B456" s="10"/>
      <c r="C456" s="10"/>
      <c r="D456" s="10"/>
      <c r="E456" s="10"/>
      <c r="F456" s="10"/>
      <c r="G456" s="10"/>
      <c r="H456" s="10"/>
      <c r="J456" s="10"/>
      <c r="K456" s="10"/>
      <c r="L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W456" s="143"/>
      <c r="BA456" s="10"/>
      <c r="BD456" s="10"/>
      <c r="BE456" s="10"/>
      <c r="BF456" s="10"/>
      <c r="BG456" s="10"/>
      <c r="BH456" s="10"/>
      <c r="BI456" s="10"/>
      <c r="BJ456" s="10"/>
      <c r="BK456" s="10"/>
      <c r="BL456" s="10"/>
      <c r="BS456" s="10"/>
      <c r="BT456" s="10"/>
      <c r="BV456" s="10"/>
      <c r="BW456" s="10"/>
    </row>
    <row r="457">
      <c r="A457" s="10"/>
      <c r="B457" s="10"/>
      <c r="C457" s="10"/>
      <c r="D457" s="10"/>
      <c r="E457" s="10"/>
      <c r="F457" s="10"/>
      <c r="G457" s="10"/>
      <c r="H457" s="10"/>
      <c r="J457" s="10"/>
      <c r="K457" s="10"/>
      <c r="L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W457" s="143"/>
      <c r="BA457" s="10"/>
      <c r="BD457" s="10"/>
      <c r="BE457" s="10"/>
      <c r="BF457" s="10"/>
      <c r="BG457" s="10"/>
      <c r="BH457" s="10"/>
      <c r="BI457" s="10"/>
      <c r="BJ457" s="10"/>
      <c r="BK457" s="10"/>
      <c r="BL457" s="10"/>
      <c r="BS457" s="10"/>
      <c r="BT457" s="10"/>
      <c r="BV457" s="10"/>
      <c r="BW457" s="10"/>
    </row>
    <row r="458">
      <c r="A458" s="10"/>
      <c r="B458" s="10"/>
      <c r="C458" s="10"/>
      <c r="D458" s="10"/>
      <c r="E458" s="10"/>
      <c r="F458" s="10"/>
      <c r="G458" s="10"/>
      <c r="H458" s="10"/>
      <c r="J458" s="10"/>
      <c r="K458" s="10"/>
      <c r="L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W458" s="143"/>
      <c r="BA458" s="10"/>
      <c r="BD458" s="10"/>
      <c r="BE458" s="10"/>
      <c r="BF458" s="10"/>
      <c r="BG458" s="10"/>
      <c r="BH458" s="10"/>
      <c r="BI458" s="10"/>
      <c r="BJ458" s="10"/>
      <c r="BK458" s="10"/>
      <c r="BL458" s="10"/>
      <c r="BS458" s="10"/>
      <c r="BT458" s="10"/>
      <c r="BV458" s="10"/>
      <c r="BW458" s="10"/>
    </row>
    <row r="459">
      <c r="A459" s="10"/>
      <c r="B459" s="10"/>
      <c r="C459" s="10"/>
      <c r="D459" s="10"/>
      <c r="E459" s="10"/>
      <c r="F459" s="10"/>
      <c r="G459" s="10"/>
      <c r="H459" s="10"/>
      <c r="K459" s="10"/>
      <c r="L459" s="10"/>
      <c r="U459" s="10"/>
      <c r="V459" s="10"/>
      <c r="W459" s="10"/>
      <c r="X459" s="10"/>
      <c r="Y459" s="10"/>
      <c r="Z459" s="10"/>
      <c r="AA459" s="10"/>
      <c r="AB459" s="10"/>
      <c r="AC459" s="10"/>
      <c r="AD459" s="10"/>
      <c r="AE459" s="10"/>
      <c r="AF459" s="10"/>
      <c r="AG459" s="10"/>
      <c r="AH459" s="10"/>
      <c r="AI459" s="10"/>
      <c r="AJ459" s="10"/>
      <c r="AK459" s="10"/>
      <c r="AL459" s="10"/>
      <c r="AM459" s="10"/>
      <c r="AN459" s="10"/>
      <c r="AO459" s="10"/>
      <c r="AW459" s="143"/>
      <c r="BA459" s="10"/>
      <c r="BD459" s="10"/>
      <c r="BE459" s="10"/>
      <c r="BF459" s="10"/>
      <c r="BG459" s="10"/>
      <c r="BH459" s="10"/>
      <c r="BI459" s="10"/>
      <c r="BJ459" s="10"/>
      <c r="BK459" s="10"/>
      <c r="BL459" s="10"/>
      <c r="BS459" s="10"/>
      <c r="BT459" s="10"/>
      <c r="BV459" s="10"/>
      <c r="BW459" s="10"/>
    </row>
    <row r="460">
      <c r="A460" s="10"/>
      <c r="B460" s="10"/>
      <c r="C460" s="10"/>
      <c r="D460" s="10"/>
      <c r="E460" s="10"/>
      <c r="F460" s="10"/>
      <c r="G460" s="10"/>
      <c r="H460" s="10"/>
      <c r="K460" s="10"/>
      <c r="L460" s="10"/>
      <c r="U460" s="10"/>
      <c r="V460" s="10"/>
      <c r="W460" s="10"/>
      <c r="X460" s="10"/>
      <c r="Y460" s="10"/>
      <c r="Z460" s="10"/>
      <c r="AA460" s="10"/>
      <c r="AB460" s="10"/>
      <c r="AC460" s="10"/>
      <c r="AD460" s="10"/>
      <c r="AE460" s="10"/>
      <c r="AF460" s="10"/>
      <c r="AG460" s="10"/>
      <c r="AH460" s="10"/>
      <c r="AI460" s="10"/>
      <c r="AJ460" s="10"/>
      <c r="AK460" s="10"/>
      <c r="AL460" s="10"/>
      <c r="AM460" s="10"/>
      <c r="AN460" s="10"/>
      <c r="AO460" s="10"/>
      <c r="AW460" s="143"/>
      <c r="BA460" s="10"/>
      <c r="BD460" s="10"/>
      <c r="BE460" s="10"/>
      <c r="BF460" s="10"/>
      <c r="BG460" s="10"/>
      <c r="BH460" s="10"/>
      <c r="BI460" s="10"/>
      <c r="BJ460" s="10"/>
      <c r="BK460" s="10"/>
      <c r="BL460" s="10"/>
      <c r="BS460" s="10"/>
      <c r="BT460" s="10"/>
      <c r="BV460" s="10"/>
      <c r="BW460" s="10"/>
    </row>
    <row r="461">
      <c r="A461" s="10"/>
      <c r="B461" s="10"/>
      <c r="C461" s="10"/>
      <c r="D461" s="10"/>
      <c r="E461" s="10"/>
      <c r="F461" s="10"/>
      <c r="G461" s="10"/>
      <c r="H461" s="10"/>
      <c r="K461" s="10"/>
      <c r="L461" s="10"/>
      <c r="U461" s="10"/>
      <c r="V461" s="10"/>
      <c r="W461" s="10"/>
      <c r="X461" s="10"/>
      <c r="Y461" s="10"/>
      <c r="Z461" s="10"/>
      <c r="AA461" s="10"/>
      <c r="AB461" s="10"/>
      <c r="AC461" s="10"/>
      <c r="AD461" s="10"/>
      <c r="AE461" s="10"/>
      <c r="AF461" s="10"/>
      <c r="AG461" s="10"/>
      <c r="AH461" s="10"/>
      <c r="AI461" s="10"/>
      <c r="AJ461" s="10"/>
      <c r="AK461" s="10"/>
      <c r="AL461" s="10"/>
      <c r="AM461" s="10"/>
      <c r="AN461" s="10"/>
      <c r="AO461" s="10"/>
      <c r="AW461" s="143"/>
      <c r="BA461" s="10"/>
      <c r="BD461" s="10"/>
      <c r="BE461" s="10"/>
      <c r="BF461" s="10"/>
      <c r="BG461" s="10"/>
      <c r="BH461" s="10"/>
      <c r="BI461" s="10"/>
      <c r="BJ461" s="10"/>
      <c r="BK461" s="10"/>
      <c r="BL461" s="10"/>
      <c r="BS461" s="10"/>
      <c r="BT461" s="10"/>
      <c r="BV461" s="10"/>
      <c r="BW461" s="10"/>
    </row>
    <row r="462">
      <c r="A462" s="10"/>
      <c r="B462" s="10"/>
      <c r="C462" s="10"/>
      <c r="D462" s="10"/>
      <c r="E462" s="10"/>
      <c r="F462" s="10"/>
      <c r="G462" s="10"/>
      <c r="H462" s="10"/>
      <c r="J462" s="10"/>
      <c r="K462" s="10"/>
      <c r="L462" s="10"/>
      <c r="V462" s="10"/>
      <c r="W462" s="10"/>
      <c r="X462" s="10"/>
      <c r="Y462" s="10"/>
      <c r="Z462" s="10"/>
      <c r="AA462" s="10"/>
      <c r="AB462" s="10"/>
      <c r="AC462" s="10"/>
      <c r="AD462" s="10"/>
      <c r="AE462" s="10"/>
      <c r="AF462" s="10"/>
      <c r="AG462" s="10"/>
      <c r="AH462" s="10"/>
      <c r="AI462" s="10"/>
      <c r="AJ462" s="10"/>
      <c r="AK462" s="10"/>
      <c r="AL462" s="10"/>
      <c r="AM462" s="10"/>
      <c r="AN462" s="10"/>
      <c r="AO462" s="10"/>
      <c r="AW462" s="143"/>
      <c r="BA462" s="10"/>
      <c r="BD462" s="10"/>
      <c r="BE462" s="10"/>
      <c r="BF462" s="10"/>
      <c r="BG462" s="10"/>
      <c r="BH462" s="10"/>
      <c r="BI462" s="10"/>
      <c r="BJ462" s="10"/>
      <c r="BK462" s="10"/>
      <c r="BN462" s="10"/>
      <c r="BQ462" s="10"/>
      <c r="BT462" s="10"/>
      <c r="BV462" s="10"/>
      <c r="BW462" s="10"/>
    </row>
    <row r="463">
      <c r="A463" s="10"/>
      <c r="B463" s="10"/>
      <c r="C463" s="10"/>
      <c r="D463" s="10"/>
      <c r="E463" s="10"/>
      <c r="F463" s="10"/>
      <c r="G463" s="10"/>
      <c r="H463" s="10"/>
      <c r="J463" s="10"/>
      <c r="K463" s="10"/>
      <c r="L463" s="10"/>
      <c r="P463" s="10"/>
      <c r="U463" s="10"/>
      <c r="V463" s="10"/>
      <c r="W463" s="10"/>
      <c r="X463" s="10"/>
      <c r="Y463" s="10"/>
      <c r="Z463" s="10"/>
      <c r="AA463" s="10"/>
      <c r="AB463" s="10"/>
      <c r="AC463" s="10"/>
      <c r="AD463" s="10"/>
      <c r="AE463" s="10"/>
      <c r="AF463" s="10"/>
      <c r="AG463" s="10"/>
      <c r="AH463" s="10"/>
      <c r="AI463" s="10"/>
      <c r="AJ463" s="10"/>
      <c r="AK463" s="10"/>
      <c r="AL463" s="10"/>
      <c r="AM463" s="10"/>
      <c r="AN463" s="10"/>
      <c r="AO463" s="10"/>
      <c r="AW463" s="143"/>
      <c r="BA463" s="10"/>
      <c r="BD463" s="10"/>
      <c r="BE463" s="10"/>
      <c r="BF463" s="10"/>
      <c r="BG463" s="10"/>
      <c r="BH463" s="10"/>
      <c r="BI463" s="10"/>
      <c r="BJ463" s="10"/>
      <c r="BK463" s="10"/>
      <c r="BS463" s="10"/>
      <c r="BT463" s="10"/>
      <c r="BV463" s="10"/>
      <c r="BW463" s="10"/>
    </row>
    <row r="464">
      <c r="A464" s="10"/>
      <c r="B464" s="10"/>
      <c r="C464" s="10"/>
      <c r="D464" s="10"/>
      <c r="E464" s="10"/>
      <c r="F464" s="10"/>
      <c r="G464" s="10"/>
      <c r="H464" s="10"/>
      <c r="J464" s="10"/>
      <c r="K464" s="10"/>
      <c r="L464" s="10"/>
      <c r="Q464" s="10"/>
      <c r="R464" s="10"/>
      <c r="V464" s="10"/>
      <c r="W464" s="10"/>
      <c r="X464" s="10"/>
      <c r="Y464" s="10"/>
      <c r="Z464" s="10"/>
      <c r="AA464" s="10"/>
      <c r="AB464" s="10"/>
      <c r="AC464" s="10"/>
      <c r="AD464" s="10"/>
      <c r="AE464" s="10"/>
      <c r="AF464" s="10"/>
      <c r="AG464" s="10"/>
      <c r="AH464" s="10"/>
      <c r="AI464" s="10"/>
      <c r="AJ464" s="10"/>
      <c r="AK464" s="10"/>
      <c r="AL464" s="10"/>
      <c r="AM464" s="10"/>
      <c r="AN464" s="10"/>
      <c r="AO464" s="10"/>
      <c r="AW464" s="143"/>
      <c r="BA464" s="10"/>
      <c r="BD464" s="10"/>
      <c r="BE464" s="10"/>
      <c r="BF464" s="10"/>
      <c r="BG464" s="10"/>
      <c r="BH464" s="10"/>
      <c r="BI464" s="10"/>
      <c r="BJ464" s="10"/>
      <c r="BK464" s="10"/>
      <c r="BS464" s="10"/>
      <c r="BT464" s="10"/>
      <c r="BV464" s="10"/>
      <c r="BW464" s="10"/>
    </row>
    <row r="465">
      <c r="A465" s="10"/>
      <c r="B465" s="10"/>
      <c r="C465" s="10"/>
      <c r="D465" s="10"/>
      <c r="E465" s="10"/>
      <c r="F465" s="10"/>
      <c r="G465" s="10"/>
      <c r="H465" s="10"/>
      <c r="I465" s="10"/>
      <c r="J465" s="10"/>
      <c r="K465" s="10"/>
      <c r="L465" s="10"/>
      <c r="N465" s="10"/>
      <c r="O465" s="10"/>
      <c r="P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R465" s="10"/>
      <c r="AS465" s="10"/>
      <c r="AU465" s="10"/>
      <c r="AV465" s="10"/>
      <c r="AW465" s="143"/>
      <c r="BD465" s="10"/>
      <c r="BE465" s="10"/>
      <c r="BF465" s="10"/>
      <c r="BG465" s="10"/>
      <c r="BH465" s="10"/>
      <c r="BI465" s="10"/>
      <c r="BJ465" s="10"/>
      <c r="BK465" s="10"/>
      <c r="BS465" s="10"/>
      <c r="BT465" s="10"/>
      <c r="BV465" s="10"/>
      <c r="BW465" s="10"/>
    </row>
    <row r="466">
      <c r="A466" s="10"/>
      <c r="B466" s="10"/>
      <c r="C466" s="10"/>
      <c r="D466" s="10"/>
      <c r="E466" s="10"/>
      <c r="F466" s="10"/>
      <c r="G466" s="10"/>
      <c r="H466" s="10"/>
      <c r="I466" s="10"/>
      <c r="J466" s="10"/>
      <c r="K466" s="10"/>
      <c r="L466" s="10"/>
      <c r="P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R466" s="10"/>
      <c r="AS466" s="10"/>
      <c r="AU466" s="10"/>
      <c r="AV466" s="10"/>
      <c r="AW466" s="143"/>
      <c r="BD466" s="10"/>
      <c r="BE466" s="10"/>
      <c r="BF466" s="10"/>
      <c r="BG466" s="10"/>
      <c r="BH466" s="10"/>
      <c r="BI466" s="10"/>
      <c r="BJ466" s="10"/>
      <c r="BK466" s="10"/>
      <c r="BS466" s="10"/>
      <c r="BT466" s="10"/>
      <c r="BV466" s="10"/>
      <c r="BW466" s="10"/>
    </row>
    <row r="467">
      <c r="A467" s="10"/>
      <c r="B467" s="10"/>
      <c r="C467" s="10"/>
      <c r="D467" s="10"/>
      <c r="E467" s="10"/>
      <c r="F467" s="10"/>
      <c r="G467" s="10"/>
      <c r="H467" s="10"/>
      <c r="I467" s="10"/>
      <c r="J467" s="10"/>
      <c r="K467" s="10"/>
      <c r="L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R467" s="10"/>
      <c r="AS467" s="10"/>
      <c r="AU467" s="10"/>
      <c r="AV467" s="10"/>
      <c r="AW467" s="143"/>
      <c r="BD467" s="10"/>
      <c r="BE467" s="10"/>
      <c r="BF467" s="10"/>
      <c r="BG467" s="10"/>
      <c r="BH467" s="10"/>
      <c r="BI467" s="10"/>
      <c r="BJ467" s="10"/>
      <c r="BK467" s="10"/>
      <c r="BS467" s="10"/>
      <c r="BT467" s="10"/>
      <c r="BV467" s="10"/>
      <c r="BW467" s="10"/>
    </row>
    <row r="468">
      <c r="A468" s="10"/>
      <c r="B468" s="10"/>
      <c r="C468" s="10"/>
      <c r="D468" s="10"/>
      <c r="E468" s="10"/>
      <c r="F468" s="10"/>
      <c r="G468" s="10"/>
      <c r="H468" s="10"/>
      <c r="I468" s="10"/>
      <c r="J468" s="10"/>
      <c r="K468" s="10"/>
      <c r="L468" s="10"/>
      <c r="P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R468" s="10"/>
      <c r="AS468" s="10"/>
      <c r="AU468" s="10"/>
      <c r="AV468" s="10"/>
      <c r="AW468" s="143"/>
      <c r="AZ468" s="10"/>
      <c r="BD468" s="10"/>
      <c r="BS468" s="10"/>
      <c r="BT468" s="10"/>
      <c r="BV468" s="10"/>
      <c r="BW468" s="10"/>
    </row>
    <row r="469">
      <c r="A469" s="10"/>
      <c r="B469" s="10"/>
      <c r="C469" s="10"/>
      <c r="D469" s="10"/>
      <c r="E469" s="10"/>
      <c r="F469" s="10"/>
      <c r="G469" s="10"/>
      <c r="H469" s="10"/>
      <c r="I469" s="10"/>
      <c r="J469" s="10"/>
      <c r="K469" s="10"/>
      <c r="L469" s="10"/>
      <c r="P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R469" s="10"/>
      <c r="AS469" s="10"/>
      <c r="AU469" s="10"/>
      <c r="AV469" s="10"/>
      <c r="AW469" s="143"/>
      <c r="BD469" s="10"/>
      <c r="BE469" s="10"/>
      <c r="BF469" s="10"/>
      <c r="BG469" s="10"/>
      <c r="BH469" s="10"/>
      <c r="BI469" s="10"/>
      <c r="BJ469" s="10"/>
      <c r="BK469" s="10"/>
      <c r="BS469" s="10"/>
      <c r="BT469" s="10"/>
      <c r="BV469" s="10"/>
      <c r="BW469" s="10"/>
    </row>
    <row r="470">
      <c r="A470" s="10"/>
      <c r="B470" s="10"/>
      <c r="C470" s="10"/>
      <c r="D470" s="10"/>
      <c r="E470" s="10"/>
      <c r="F470" s="10"/>
      <c r="G470" s="10"/>
      <c r="H470" s="10"/>
      <c r="I470" s="10"/>
      <c r="J470" s="10"/>
      <c r="K470" s="10"/>
      <c r="L470" s="10"/>
      <c r="N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R470" s="10"/>
      <c r="AS470" s="10"/>
      <c r="AU470" s="10"/>
      <c r="AV470" s="10"/>
      <c r="AW470" s="143"/>
      <c r="AZ470" s="10"/>
      <c r="BD470" s="10"/>
      <c r="BE470" s="10"/>
      <c r="BF470" s="10"/>
      <c r="BG470" s="10"/>
      <c r="BH470" s="10"/>
      <c r="BI470" s="10"/>
      <c r="BJ470" s="10"/>
      <c r="BK470" s="10"/>
      <c r="BS470" s="10"/>
      <c r="BT470" s="10"/>
      <c r="BV470" s="10"/>
      <c r="BW470" s="10"/>
    </row>
    <row r="471">
      <c r="A471" s="10"/>
      <c r="B471" s="10"/>
      <c r="C471" s="10"/>
      <c r="D471" s="10"/>
      <c r="E471" s="10"/>
      <c r="F471" s="10"/>
      <c r="G471" s="10"/>
      <c r="H471" s="10"/>
      <c r="I471" s="10"/>
      <c r="K471" s="10"/>
      <c r="L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R471" s="10"/>
      <c r="AS471" s="10"/>
      <c r="AU471" s="10"/>
      <c r="AV471" s="10"/>
      <c r="AW471" s="143"/>
      <c r="BD471" s="10"/>
      <c r="BE471" s="10"/>
      <c r="BF471" s="10"/>
      <c r="BG471" s="10"/>
      <c r="BH471" s="10"/>
      <c r="BI471" s="10"/>
      <c r="BJ471" s="10"/>
      <c r="BK471" s="10"/>
      <c r="BL471" s="10"/>
      <c r="BM471" s="10"/>
      <c r="BN471" s="10"/>
      <c r="BO471" s="10"/>
      <c r="BP471" s="10"/>
      <c r="BQ471" s="10"/>
      <c r="BR471" s="10"/>
      <c r="BS471" s="10"/>
      <c r="BT471" s="10"/>
      <c r="BV471" s="10"/>
      <c r="BW471" s="10"/>
    </row>
    <row r="472">
      <c r="A472" s="10"/>
      <c r="B472" s="10"/>
      <c r="C472" s="10"/>
      <c r="D472" s="10"/>
      <c r="E472" s="10"/>
      <c r="F472" s="10"/>
      <c r="G472" s="10"/>
      <c r="H472" s="10"/>
      <c r="K472" s="10"/>
      <c r="L472" s="10"/>
      <c r="N472" s="10"/>
      <c r="V472" s="10"/>
      <c r="W472" s="10"/>
      <c r="X472" s="10"/>
      <c r="Y472" s="10"/>
      <c r="Z472" s="10"/>
      <c r="AA472" s="10"/>
      <c r="AB472" s="10"/>
      <c r="AC472" s="10"/>
      <c r="AD472" s="10"/>
      <c r="AE472" s="10"/>
      <c r="AF472" s="10"/>
      <c r="AG472" s="10"/>
      <c r="AH472" s="10"/>
      <c r="AI472" s="10"/>
      <c r="AJ472" s="10"/>
      <c r="AK472" s="10"/>
      <c r="AL472" s="10"/>
      <c r="AM472" s="10"/>
      <c r="AN472" s="10"/>
      <c r="AO472" s="10"/>
      <c r="AW472" s="143"/>
      <c r="BD472" s="10"/>
      <c r="BE472" s="10"/>
      <c r="BF472" s="10"/>
      <c r="BG472" s="10"/>
      <c r="BH472" s="10"/>
      <c r="BI472" s="10"/>
      <c r="BJ472" s="10"/>
      <c r="BK472" s="10"/>
      <c r="BS472" s="10"/>
      <c r="BT472" s="10"/>
      <c r="BV472" s="10"/>
      <c r="BW472" s="10"/>
    </row>
    <row r="473">
      <c r="B473" s="10"/>
      <c r="C473" s="10"/>
      <c r="D473" s="10"/>
      <c r="E473" s="10"/>
      <c r="F473" s="10"/>
      <c r="G473" s="10"/>
      <c r="H473" s="10"/>
      <c r="K473" s="10"/>
      <c r="L473" s="10"/>
      <c r="P473" s="10"/>
      <c r="V473" s="10"/>
      <c r="W473" s="10"/>
      <c r="X473" s="10"/>
      <c r="Y473" s="10"/>
      <c r="Z473" s="10"/>
      <c r="AA473" s="10"/>
      <c r="AB473" s="10"/>
      <c r="AC473" s="10"/>
      <c r="AD473" s="10"/>
      <c r="AE473" s="10"/>
      <c r="AF473" s="10"/>
      <c r="AG473" s="10"/>
      <c r="AH473" s="10"/>
      <c r="AI473" s="10"/>
      <c r="AJ473" s="10"/>
      <c r="AK473" s="10"/>
      <c r="AL473" s="10"/>
      <c r="AM473" s="10"/>
      <c r="AN473" s="10"/>
      <c r="AO473" s="10"/>
      <c r="AW473" s="143"/>
      <c r="BD473" s="10"/>
      <c r="BE473" s="10"/>
      <c r="BF473" s="10"/>
      <c r="BG473" s="10"/>
      <c r="BH473" s="10"/>
      <c r="BI473" s="10"/>
      <c r="BJ473" s="10"/>
      <c r="BK473" s="10"/>
      <c r="BS473" s="10"/>
      <c r="BT473" s="10"/>
      <c r="BV473" s="10"/>
      <c r="BW473" s="10"/>
    </row>
    <row r="474">
      <c r="B474" s="10"/>
      <c r="C474" s="10"/>
      <c r="D474" s="10"/>
      <c r="E474" s="10"/>
      <c r="F474" s="10"/>
      <c r="G474" s="10"/>
      <c r="H474" s="10"/>
      <c r="K474" s="10"/>
      <c r="L474" s="10"/>
      <c r="N474" s="10"/>
      <c r="V474" s="10"/>
      <c r="W474" s="10"/>
      <c r="X474" s="10"/>
      <c r="Y474" s="10"/>
      <c r="Z474" s="10"/>
      <c r="AA474" s="10"/>
      <c r="AB474" s="10"/>
      <c r="AC474" s="10"/>
      <c r="AD474" s="10"/>
      <c r="AE474" s="10"/>
      <c r="AF474" s="10"/>
      <c r="AG474" s="10"/>
      <c r="AH474" s="10"/>
      <c r="AI474" s="10"/>
      <c r="AJ474" s="10"/>
      <c r="AK474" s="10"/>
      <c r="AL474" s="10"/>
      <c r="AM474" s="10"/>
      <c r="AN474" s="10"/>
      <c r="AO474" s="10"/>
      <c r="AW474" s="143"/>
      <c r="BD474" s="10"/>
      <c r="BE474" s="10"/>
      <c r="BF474" s="10"/>
      <c r="BG474" s="10"/>
      <c r="BH474" s="10"/>
      <c r="BI474" s="10"/>
      <c r="BJ474" s="10"/>
      <c r="BK474" s="10"/>
      <c r="BS474" s="10"/>
      <c r="BT474" s="10"/>
      <c r="BV474" s="10"/>
      <c r="BW474" s="10"/>
    </row>
    <row r="475">
      <c r="B475" s="10"/>
      <c r="C475" s="10"/>
      <c r="D475" s="10"/>
      <c r="E475" s="10"/>
      <c r="F475" s="10"/>
      <c r="G475" s="10"/>
      <c r="H475" s="10"/>
      <c r="J475" s="10"/>
      <c r="K475" s="10"/>
      <c r="L475" s="10"/>
      <c r="N475" s="10"/>
      <c r="V475" s="10"/>
      <c r="W475" s="10"/>
      <c r="X475" s="10"/>
      <c r="Y475" s="10"/>
      <c r="Z475" s="10"/>
      <c r="AA475" s="10"/>
      <c r="AB475" s="10"/>
      <c r="AC475" s="10"/>
      <c r="AD475" s="10"/>
      <c r="AE475" s="10"/>
      <c r="AF475" s="10"/>
      <c r="AG475" s="10"/>
      <c r="AH475" s="10"/>
      <c r="AI475" s="10"/>
      <c r="AJ475" s="10"/>
      <c r="AK475" s="10"/>
      <c r="AL475" s="10"/>
      <c r="AM475" s="10"/>
      <c r="AN475" s="10"/>
      <c r="AO475" s="10"/>
      <c r="AW475" s="244"/>
      <c r="AY475" s="10"/>
      <c r="BD475" s="10"/>
      <c r="BE475" s="10"/>
      <c r="BF475" s="10"/>
      <c r="BG475" s="10"/>
      <c r="BH475" s="10"/>
      <c r="BI475" s="10"/>
      <c r="BJ475" s="10"/>
      <c r="BK475" s="10"/>
      <c r="BS475" s="10"/>
      <c r="BT475" s="10"/>
      <c r="BV475" s="10"/>
      <c r="BW475" s="10"/>
    </row>
    <row r="476">
      <c r="A476" s="10"/>
      <c r="B476" s="10"/>
      <c r="C476" s="10"/>
      <c r="D476" s="10"/>
      <c r="E476" s="10"/>
      <c r="F476" s="10"/>
      <c r="G476" s="10"/>
      <c r="H476" s="10"/>
      <c r="J476" s="10"/>
      <c r="U476" s="10"/>
      <c r="V476" s="10"/>
      <c r="W476" s="10"/>
      <c r="X476" s="10"/>
      <c r="Y476" s="10"/>
      <c r="Z476" s="10"/>
      <c r="AA476" s="10"/>
      <c r="AB476" s="10"/>
      <c r="AC476" s="10"/>
      <c r="AD476" s="10"/>
      <c r="AE476" s="10"/>
      <c r="AF476" s="10"/>
      <c r="AG476" s="10"/>
      <c r="AH476" s="10"/>
      <c r="AI476" s="10"/>
      <c r="AJ476" s="10"/>
      <c r="AK476" s="10"/>
      <c r="AL476" s="10"/>
      <c r="AM476" s="10"/>
      <c r="AN476" s="10"/>
      <c r="AO476" s="10"/>
      <c r="AW476" s="143"/>
      <c r="BA476" s="10"/>
      <c r="BE476" s="10"/>
      <c r="BF476" s="10"/>
      <c r="BG476" s="10"/>
      <c r="BH476" s="10"/>
      <c r="BI476" s="10"/>
      <c r="BJ476" s="10"/>
      <c r="BK476" s="10"/>
      <c r="BS476" s="10"/>
      <c r="BT476" s="10"/>
      <c r="BW476" s="10"/>
    </row>
    <row r="477">
      <c r="A477" s="10"/>
      <c r="B477" s="10"/>
      <c r="C477" s="10"/>
      <c r="D477" s="10"/>
      <c r="E477" s="10"/>
      <c r="F477" s="10"/>
      <c r="G477" s="10"/>
      <c r="H477" s="10"/>
      <c r="I477" s="10"/>
      <c r="J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43"/>
      <c r="AX477" s="10"/>
      <c r="AY477" s="10"/>
      <c r="BE477" s="10"/>
      <c r="BF477" s="10"/>
      <c r="BG477" s="10"/>
      <c r="BH477" s="10"/>
      <c r="BI477" s="10"/>
      <c r="BJ477" s="10"/>
      <c r="BK477" s="10"/>
      <c r="BL477" s="10"/>
      <c r="BM477" s="10"/>
      <c r="BN477" s="10"/>
      <c r="BO477" s="10"/>
      <c r="BP477" s="10"/>
      <c r="BQ477" s="10"/>
      <c r="BR477" s="10"/>
      <c r="BS477" s="10"/>
      <c r="BT477" s="10"/>
      <c r="BW477" s="10"/>
    </row>
    <row r="478">
      <c r="A478" s="10"/>
      <c r="B478" s="10"/>
      <c r="C478" s="10"/>
      <c r="D478" s="10"/>
      <c r="E478" s="10"/>
      <c r="F478" s="10"/>
      <c r="G478" s="10"/>
      <c r="H478" s="10"/>
      <c r="I478" s="10"/>
      <c r="J478" s="10"/>
      <c r="N478" s="10"/>
      <c r="O478" s="10"/>
      <c r="P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43"/>
      <c r="AX478" s="10"/>
      <c r="AY478" s="10"/>
      <c r="BE478" s="10"/>
      <c r="BF478" s="10"/>
      <c r="BG478" s="10"/>
      <c r="BH478" s="10"/>
      <c r="BI478" s="10"/>
      <c r="BJ478" s="10"/>
      <c r="BK478" s="10"/>
      <c r="BS478" s="10"/>
      <c r="BT478" s="10"/>
      <c r="BW478" s="10"/>
    </row>
    <row r="479">
      <c r="A479" s="10"/>
      <c r="B479" s="10"/>
      <c r="C479" s="10"/>
      <c r="D479" s="10"/>
      <c r="E479" s="10"/>
      <c r="F479" s="10"/>
      <c r="G479" s="10"/>
      <c r="H479" s="10"/>
      <c r="I479" s="10"/>
      <c r="K479" s="10"/>
      <c r="L479" s="10"/>
      <c r="N479" s="10"/>
      <c r="P479" s="10"/>
      <c r="T479" s="10"/>
      <c r="U479" s="10"/>
      <c r="V479" s="10"/>
      <c r="W479" s="10"/>
      <c r="Y479" s="10"/>
      <c r="Z479" s="10"/>
      <c r="AA479" s="10"/>
      <c r="AB479" s="10"/>
      <c r="AC479" s="10"/>
      <c r="AD479" s="10"/>
      <c r="AE479" s="10"/>
      <c r="AF479" s="10"/>
      <c r="AG479" s="10"/>
      <c r="AH479" s="10"/>
      <c r="AI479" s="10"/>
      <c r="AJ479" s="10"/>
      <c r="AL479" s="10"/>
      <c r="AM479" s="10"/>
      <c r="AO479" s="10"/>
      <c r="AR479" s="10"/>
      <c r="AS479" s="10"/>
      <c r="AU479" s="10"/>
      <c r="AV479" s="10"/>
      <c r="AW479" s="143"/>
      <c r="BD479" s="10"/>
      <c r="BS479" s="10"/>
      <c r="BT479" s="10"/>
      <c r="BV479" s="10"/>
      <c r="BW479" s="10"/>
    </row>
    <row r="480">
      <c r="A480" s="10"/>
      <c r="B480" s="10"/>
      <c r="C480" s="10"/>
      <c r="D480" s="10"/>
      <c r="E480" s="10"/>
      <c r="F480" s="10"/>
      <c r="G480" s="10"/>
      <c r="H480" s="10"/>
      <c r="I480" s="10"/>
      <c r="J480" s="10"/>
      <c r="K480" s="10"/>
      <c r="L480" s="10"/>
      <c r="N480" s="10"/>
      <c r="P480" s="10"/>
      <c r="T480" s="10"/>
      <c r="U480" s="10"/>
      <c r="V480" s="10"/>
      <c r="W480" s="10"/>
      <c r="X480" s="10"/>
      <c r="Y480" s="10"/>
      <c r="Z480" s="10"/>
      <c r="AA480" s="10"/>
      <c r="AB480" s="10"/>
      <c r="AC480" s="10"/>
      <c r="AD480" s="10"/>
      <c r="AE480" s="10"/>
      <c r="AF480" s="10"/>
      <c r="AG480" s="10"/>
      <c r="AH480" s="10"/>
      <c r="AI480" s="10"/>
      <c r="AJ480" s="10"/>
      <c r="AL480" s="10"/>
      <c r="AM480" s="10"/>
      <c r="AO480" s="10"/>
      <c r="AR480" s="10"/>
      <c r="AS480" s="10"/>
      <c r="AU480" s="10"/>
      <c r="AV480" s="10"/>
      <c r="AW480" s="143"/>
      <c r="BD480" s="10"/>
      <c r="BS480" s="10"/>
      <c r="BT480" s="10"/>
      <c r="BV480" s="10"/>
      <c r="BW480" s="10"/>
    </row>
    <row r="481">
      <c r="A481" s="10"/>
      <c r="B481" s="10"/>
      <c r="C481" s="10"/>
      <c r="D481" s="10"/>
      <c r="E481" s="10"/>
      <c r="F481" s="10"/>
      <c r="G481" s="10"/>
      <c r="H481" s="10"/>
      <c r="I481" s="10"/>
      <c r="J481" s="10"/>
      <c r="K481" s="10"/>
      <c r="L481" s="10"/>
      <c r="N481" s="10"/>
      <c r="P481" s="10"/>
      <c r="T481" s="10"/>
      <c r="U481" s="10"/>
      <c r="V481" s="10"/>
      <c r="W481" s="10"/>
      <c r="X481" s="10"/>
      <c r="Y481" s="10"/>
      <c r="Z481" s="10"/>
      <c r="AA481" s="10"/>
      <c r="AB481" s="10"/>
      <c r="AC481" s="10"/>
      <c r="AD481" s="10"/>
      <c r="AE481" s="10"/>
      <c r="AF481" s="10"/>
      <c r="AG481" s="10"/>
      <c r="AH481" s="10"/>
      <c r="AI481" s="10"/>
      <c r="AJ481" s="10"/>
      <c r="AL481" s="10"/>
      <c r="AM481" s="10"/>
      <c r="AO481" s="10"/>
      <c r="AR481" s="10"/>
      <c r="AS481" s="10"/>
      <c r="AU481" s="10"/>
      <c r="AV481" s="10"/>
      <c r="AW481" s="143"/>
      <c r="BD481" s="10"/>
      <c r="BS481" s="10"/>
      <c r="BT481" s="10"/>
      <c r="BV481" s="10"/>
      <c r="BW481" s="10"/>
    </row>
    <row r="482">
      <c r="A482" s="10"/>
      <c r="B482" s="10"/>
      <c r="C482" s="10"/>
      <c r="D482" s="10"/>
      <c r="E482" s="10"/>
      <c r="F482" s="10"/>
      <c r="G482" s="10"/>
      <c r="H482" s="10"/>
      <c r="I482" s="10"/>
      <c r="J482" s="10"/>
      <c r="K482" s="10"/>
      <c r="L482" s="10"/>
      <c r="N482" s="10"/>
      <c r="P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R482" s="10"/>
      <c r="AS482" s="10"/>
      <c r="AT482" s="10"/>
      <c r="AU482" s="10"/>
      <c r="AV482" s="10"/>
      <c r="AW482" s="143"/>
      <c r="BD482" s="10"/>
      <c r="BS482" s="10"/>
      <c r="BT482" s="10"/>
      <c r="BV482" s="10"/>
      <c r="BW482" s="10"/>
    </row>
    <row r="483">
      <c r="A483" s="10"/>
      <c r="B483" s="10"/>
      <c r="C483" s="10"/>
      <c r="D483" s="10"/>
      <c r="E483" s="10"/>
      <c r="F483" s="10"/>
      <c r="G483" s="10"/>
      <c r="H483" s="10"/>
      <c r="I483" s="10"/>
      <c r="J483" s="10"/>
      <c r="K483" s="10"/>
      <c r="L483" s="10"/>
      <c r="P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R483" s="10"/>
      <c r="AS483" s="10"/>
      <c r="AU483" s="10"/>
      <c r="AV483" s="10"/>
      <c r="AW483" s="143"/>
      <c r="BD483" s="10"/>
      <c r="BS483" s="10"/>
      <c r="BT483" s="10"/>
      <c r="BV483" s="10"/>
      <c r="BW483" s="10"/>
    </row>
    <row r="484">
      <c r="A484" s="10"/>
      <c r="B484" s="10"/>
      <c r="C484" s="10"/>
      <c r="D484" s="10"/>
      <c r="E484" s="10"/>
      <c r="F484" s="10"/>
      <c r="G484" s="10"/>
      <c r="H484" s="10"/>
      <c r="K484" s="10"/>
      <c r="L484" s="10"/>
      <c r="N484" s="10"/>
      <c r="V484" s="10"/>
      <c r="W484" s="10"/>
      <c r="Y484" s="10"/>
      <c r="Z484" s="10"/>
      <c r="AA484" s="10"/>
      <c r="AB484" s="10"/>
      <c r="AC484" s="10"/>
      <c r="AD484" s="10"/>
      <c r="AE484" s="10"/>
      <c r="AF484" s="10"/>
      <c r="AG484" s="10"/>
      <c r="AH484" s="10"/>
      <c r="AI484" s="10"/>
      <c r="AJ484" s="10"/>
      <c r="AK484" s="10"/>
      <c r="AL484" s="10"/>
      <c r="AM484" s="10"/>
      <c r="AN484" s="10"/>
      <c r="AO484" s="10"/>
      <c r="AW484" s="143"/>
      <c r="AZ484" s="10"/>
      <c r="BD484" s="10"/>
      <c r="BE484" s="10"/>
      <c r="BF484" s="10"/>
      <c r="BG484" s="10"/>
      <c r="BH484" s="10"/>
      <c r="BI484" s="10"/>
      <c r="BJ484" s="10"/>
      <c r="BK484" s="10"/>
      <c r="BS484" s="10"/>
      <c r="BT484" s="10"/>
      <c r="BV484" s="10"/>
      <c r="BW484" s="10"/>
    </row>
    <row r="485">
      <c r="A485" s="10"/>
      <c r="B485" s="10"/>
      <c r="C485" s="10"/>
      <c r="D485" s="10"/>
      <c r="E485" s="10"/>
      <c r="F485" s="10"/>
      <c r="G485" s="10"/>
      <c r="H485" s="10"/>
      <c r="K485" s="10"/>
      <c r="L485" s="10"/>
      <c r="N485" s="10"/>
      <c r="V485" s="10"/>
      <c r="W485" s="10"/>
      <c r="X485" s="10"/>
      <c r="Y485" s="10"/>
      <c r="Z485" s="10"/>
      <c r="AA485" s="10"/>
      <c r="AB485" s="10"/>
      <c r="AC485" s="10"/>
      <c r="AD485" s="10"/>
      <c r="AE485" s="10"/>
      <c r="AF485" s="10"/>
      <c r="AG485" s="10"/>
      <c r="AH485" s="10"/>
      <c r="AI485" s="10"/>
      <c r="AJ485" s="10"/>
      <c r="AK485" s="10"/>
      <c r="AL485" s="10"/>
      <c r="AM485" s="10"/>
      <c r="AN485" s="10"/>
      <c r="AO485" s="10"/>
      <c r="AW485" s="143"/>
      <c r="BD485" s="10"/>
      <c r="BE485" s="10"/>
      <c r="BF485" s="10"/>
      <c r="BG485" s="10"/>
      <c r="BH485" s="10"/>
      <c r="BI485" s="10"/>
      <c r="BJ485" s="10"/>
      <c r="BK485" s="10"/>
      <c r="BS485" s="10"/>
      <c r="BT485" s="10"/>
      <c r="BV485" s="10"/>
      <c r="BW485" s="10"/>
    </row>
    <row r="486">
      <c r="A486" s="10"/>
      <c r="B486" s="10"/>
      <c r="C486" s="10"/>
      <c r="D486" s="10"/>
      <c r="E486" s="10"/>
      <c r="F486" s="10"/>
      <c r="G486" s="10"/>
      <c r="H486" s="10"/>
      <c r="I486" s="10"/>
      <c r="K486" s="10"/>
      <c r="L486" s="10"/>
      <c r="T486" s="10"/>
      <c r="U486" s="10"/>
      <c r="V486" s="10"/>
      <c r="W486" s="10"/>
      <c r="Y486" s="10"/>
      <c r="Z486" s="10"/>
      <c r="AA486" s="10"/>
      <c r="AB486" s="10"/>
      <c r="AC486" s="10"/>
      <c r="AD486" s="10"/>
      <c r="AE486" s="10"/>
      <c r="AF486" s="10"/>
      <c r="AG486" s="10"/>
      <c r="AH486" s="10"/>
      <c r="AI486" s="10"/>
      <c r="AJ486" s="10"/>
      <c r="AL486" s="10"/>
      <c r="AM486" s="10"/>
      <c r="AO486" s="10"/>
      <c r="AR486" s="10"/>
      <c r="AS486" s="10"/>
      <c r="AU486" s="10"/>
      <c r="AV486" s="10"/>
      <c r="AW486" s="143"/>
      <c r="BD486" s="10"/>
      <c r="BE486" s="10"/>
      <c r="BF486" s="10"/>
      <c r="BG486" s="10"/>
      <c r="BH486" s="10"/>
      <c r="BI486" s="10"/>
      <c r="BJ486" s="10"/>
      <c r="BK486" s="10"/>
      <c r="BS486" s="10"/>
      <c r="BT486" s="10"/>
      <c r="BV486" s="10"/>
      <c r="BW486" s="10"/>
    </row>
    <row r="487">
      <c r="A487" s="10"/>
      <c r="B487" s="10"/>
      <c r="C487" s="10"/>
      <c r="D487" s="10"/>
      <c r="E487" s="10"/>
      <c r="F487" s="10"/>
      <c r="G487" s="10"/>
      <c r="H487" s="10"/>
      <c r="I487" s="10"/>
      <c r="K487" s="10"/>
      <c r="L487" s="10"/>
      <c r="P487" s="10"/>
      <c r="T487" s="10"/>
      <c r="U487" s="10"/>
      <c r="V487" s="10"/>
      <c r="W487" s="10"/>
      <c r="Y487" s="10"/>
      <c r="Z487" s="10"/>
      <c r="AA487" s="10"/>
      <c r="AB487" s="10"/>
      <c r="AC487" s="10"/>
      <c r="AD487" s="10"/>
      <c r="AE487" s="10"/>
      <c r="AF487" s="10"/>
      <c r="AG487" s="10"/>
      <c r="AH487" s="10"/>
      <c r="AI487" s="10"/>
      <c r="AJ487" s="10"/>
      <c r="AL487" s="10"/>
      <c r="AM487" s="10"/>
      <c r="AO487" s="10"/>
      <c r="AR487" s="10"/>
      <c r="AS487" s="10"/>
      <c r="AU487" s="10"/>
      <c r="AV487" s="10"/>
      <c r="AW487" s="143"/>
      <c r="BD487" s="10"/>
      <c r="BE487" s="10"/>
      <c r="BF487" s="10"/>
      <c r="BG487" s="10"/>
      <c r="BH487" s="10"/>
      <c r="BI487" s="10"/>
      <c r="BJ487" s="10"/>
      <c r="BK487" s="10"/>
      <c r="BS487" s="10"/>
      <c r="BT487" s="10"/>
      <c r="BV487" s="10"/>
      <c r="BW487" s="10"/>
    </row>
    <row r="488">
      <c r="A488" s="10"/>
      <c r="B488" s="10"/>
      <c r="C488" s="10"/>
      <c r="D488" s="10"/>
      <c r="E488" s="10"/>
      <c r="F488" s="10"/>
      <c r="G488" s="10"/>
      <c r="H488" s="10"/>
      <c r="I488" s="10"/>
      <c r="K488" s="10"/>
      <c r="L488" s="10"/>
      <c r="P488" s="10"/>
      <c r="T488" s="10"/>
      <c r="U488" s="10"/>
      <c r="V488" s="10"/>
      <c r="W488" s="10"/>
      <c r="Y488" s="10"/>
      <c r="Z488" s="10"/>
      <c r="AA488" s="10"/>
      <c r="AB488" s="10"/>
      <c r="AC488" s="10"/>
      <c r="AD488" s="10"/>
      <c r="AE488" s="10"/>
      <c r="AF488" s="10"/>
      <c r="AG488" s="10"/>
      <c r="AH488" s="10"/>
      <c r="AI488" s="10"/>
      <c r="AJ488" s="10"/>
      <c r="AL488" s="10"/>
      <c r="AM488" s="10"/>
      <c r="AO488" s="10"/>
      <c r="AR488" s="10"/>
      <c r="AS488" s="10"/>
      <c r="AU488" s="10"/>
      <c r="AV488" s="10"/>
      <c r="AW488" s="143"/>
      <c r="BD488" s="10"/>
      <c r="BE488" s="10"/>
      <c r="BF488" s="10"/>
      <c r="BG488" s="10"/>
      <c r="BH488" s="10"/>
      <c r="BI488" s="10"/>
      <c r="BJ488" s="10"/>
      <c r="BK488" s="10"/>
      <c r="BS488" s="10"/>
      <c r="BT488" s="10"/>
      <c r="BV488" s="10"/>
      <c r="BW488" s="10"/>
    </row>
    <row r="489">
      <c r="A489" s="10"/>
      <c r="B489" s="10"/>
      <c r="C489" s="10"/>
      <c r="D489" s="10"/>
      <c r="E489" s="10"/>
      <c r="F489" s="10"/>
      <c r="G489" s="10"/>
      <c r="H489" s="10"/>
      <c r="I489" s="10"/>
      <c r="K489" s="10"/>
      <c r="L489" s="10"/>
      <c r="P489" s="10"/>
      <c r="T489" s="10"/>
      <c r="U489" s="10"/>
      <c r="V489" s="10"/>
      <c r="W489" s="10"/>
      <c r="Y489" s="10"/>
      <c r="Z489" s="10"/>
      <c r="AA489" s="10"/>
      <c r="AB489" s="10"/>
      <c r="AC489" s="10"/>
      <c r="AD489" s="10"/>
      <c r="AE489" s="10"/>
      <c r="AF489" s="10"/>
      <c r="AG489" s="10"/>
      <c r="AH489" s="10"/>
      <c r="AI489" s="10"/>
      <c r="AJ489" s="10"/>
      <c r="AL489" s="10"/>
      <c r="AM489" s="10"/>
      <c r="AO489" s="10"/>
      <c r="AR489" s="10"/>
      <c r="AS489" s="10"/>
      <c r="AU489" s="10"/>
      <c r="AV489" s="10"/>
      <c r="AW489" s="143"/>
      <c r="BD489" s="10"/>
      <c r="BE489" s="10"/>
      <c r="BF489" s="10"/>
      <c r="BG489" s="10"/>
      <c r="BH489" s="10"/>
      <c r="BI489" s="10"/>
      <c r="BJ489" s="10"/>
      <c r="BK489" s="10"/>
      <c r="BS489" s="10"/>
      <c r="BT489" s="10"/>
      <c r="BV489" s="10"/>
      <c r="BW489" s="10"/>
    </row>
    <row r="490">
      <c r="A490" s="10"/>
      <c r="B490" s="10"/>
      <c r="C490" s="10"/>
      <c r="D490" s="10"/>
      <c r="E490" s="10"/>
      <c r="F490" s="10"/>
      <c r="G490" s="10"/>
      <c r="H490" s="10"/>
      <c r="I490" s="10"/>
      <c r="K490" s="10"/>
      <c r="L490" s="10"/>
      <c r="T490" s="10"/>
      <c r="U490" s="10"/>
      <c r="V490" s="10"/>
      <c r="W490" s="10"/>
      <c r="Y490" s="10"/>
      <c r="Z490" s="10"/>
      <c r="AA490" s="10"/>
      <c r="AB490" s="10"/>
      <c r="AC490" s="10"/>
      <c r="AD490" s="10"/>
      <c r="AE490" s="10"/>
      <c r="AF490" s="10"/>
      <c r="AG490" s="10"/>
      <c r="AH490" s="10"/>
      <c r="AI490" s="10"/>
      <c r="AJ490" s="10"/>
      <c r="AL490" s="10"/>
      <c r="AM490" s="10"/>
      <c r="AO490" s="10"/>
      <c r="AR490" s="10"/>
      <c r="AS490" s="10"/>
      <c r="AU490" s="10"/>
      <c r="AV490" s="10"/>
      <c r="AW490" s="143"/>
      <c r="BD490" s="10"/>
      <c r="BE490" s="10"/>
      <c r="BF490" s="10"/>
      <c r="BG490" s="10"/>
      <c r="BH490" s="10"/>
      <c r="BI490" s="10"/>
      <c r="BJ490" s="10"/>
      <c r="BK490" s="10"/>
      <c r="BS490" s="10"/>
      <c r="BT490" s="10"/>
      <c r="BV490" s="10"/>
      <c r="BW490" s="10"/>
    </row>
    <row r="491">
      <c r="A491" s="10"/>
      <c r="B491" s="10"/>
      <c r="C491" s="10"/>
      <c r="D491" s="10"/>
      <c r="E491" s="10"/>
      <c r="F491" s="10"/>
      <c r="G491" s="10"/>
      <c r="H491" s="10"/>
      <c r="I491" s="10"/>
      <c r="P491" s="10"/>
      <c r="T491" s="10"/>
      <c r="U491" s="10"/>
      <c r="V491" s="10"/>
      <c r="W491" s="10"/>
      <c r="Y491" s="10"/>
      <c r="Z491" s="10"/>
      <c r="AA491" s="10"/>
      <c r="AB491" s="10"/>
      <c r="AC491" s="10"/>
      <c r="AD491" s="10"/>
      <c r="AE491" s="10"/>
      <c r="AF491" s="10"/>
      <c r="AG491" s="10"/>
      <c r="AH491" s="10"/>
      <c r="AI491" s="10"/>
      <c r="AJ491" s="10"/>
      <c r="AL491" s="10"/>
      <c r="AM491" s="10"/>
      <c r="AO491" s="10"/>
      <c r="AR491" s="10"/>
      <c r="AS491" s="10"/>
      <c r="AU491" s="10"/>
      <c r="AV491" s="10"/>
      <c r="AW491" s="143"/>
      <c r="BE491" s="10"/>
      <c r="BF491" s="10"/>
      <c r="BG491" s="10"/>
      <c r="BH491" s="10"/>
      <c r="BI491" s="10"/>
      <c r="BJ491" s="10"/>
      <c r="BK491" s="10"/>
      <c r="BS491" s="10"/>
      <c r="BT491" s="10"/>
      <c r="BW491" s="10"/>
    </row>
    <row r="492">
      <c r="A492" s="10"/>
      <c r="B492" s="10"/>
      <c r="C492" s="10"/>
      <c r="D492" s="10"/>
      <c r="E492" s="10"/>
      <c r="F492" s="10"/>
      <c r="G492" s="10"/>
      <c r="H492" s="10"/>
      <c r="I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U492" s="10"/>
      <c r="AV492" s="10"/>
      <c r="AW492" s="143"/>
      <c r="BE492" s="10"/>
      <c r="BF492" s="10"/>
      <c r="BG492" s="10"/>
      <c r="BH492" s="10"/>
      <c r="BI492" s="10"/>
      <c r="BJ492" s="10"/>
      <c r="BK492" s="10"/>
      <c r="BS492" s="10"/>
      <c r="BT492" s="10"/>
      <c r="BW492" s="10"/>
    </row>
    <row r="493">
      <c r="A493" s="10"/>
      <c r="B493" s="10"/>
      <c r="C493" s="10"/>
      <c r="D493" s="10"/>
      <c r="E493" s="10"/>
      <c r="F493" s="10"/>
      <c r="G493" s="10"/>
      <c r="H493" s="10"/>
      <c r="I493" s="10"/>
      <c r="P493" s="10"/>
      <c r="T493" s="10"/>
      <c r="U493" s="10"/>
      <c r="V493" s="10"/>
      <c r="W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U493" s="10"/>
      <c r="AV493" s="10"/>
      <c r="AW493" s="143"/>
      <c r="BE493" s="10"/>
      <c r="BF493" s="10"/>
      <c r="BG493" s="10"/>
      <c r="BH493" s="10"/>
      <c r="BI493" s="10"/>
      <c r="BJ493" s="10"/>
      <c r="BK493" s="10"/>
      <c r="BS493" s="10"/>
      <c r="BT493" s="10"/>
      <c r="BW493" s="10"/>
    </row>
    <row r="494">
      <c r="A494" s="10"/>
      <c r="B494" s="10"/>
      <c r="C494" s="10"/>
      <c r="D494" s="10"/>
      <c r="E494" s="10"/>
      <c r="F494" s="10"/>
      <c r="G494" s="10"/>
      <c r="H494" s="10"/>
      <c r="I494" s="10"/>
      <c r="T494" s="10"/>
      <c r="U494" s="10"/>
      <c r="V494" s="10"/>
      <c r="W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U494" s="10"/>
      <c r="AV494" s="10"/>
      <c r="AW494" s="143"/>
      <c r="BE494" s="10"/>
      <c r="BF494" s="10"/>
      <c r="BG494" s="10"/>
      <c r="BH494" s="10"/>
      <c r="BI494" s="10"/>
      <c r="BJ494" s="10"/>
      <c r="BK494" s="10"/>
      <c r="BS494" s="10"/>
      <c r="BT494" s="10"/>
      <c r="BW494" s="10"/>
    </row>
    <row r="495">
      <c r="A495" s="10"/>
      <c r="B495" s="10"/>
      <c r="C495" s="10"/>
      <c r="D495" s="10"/>
      <c r="E495" s="10"/>
      <c r="F495" s="10"/>
      <c r="G495" s="10"/>
      <c r="H495" s="10"/>
      <c r="I495" s="10"/>
      <c r="P495" s="10"/>
      <c r="T495" s="10"/>
      <c r="U495" s="10"/>
      <c r="V495" s="10"/>
      <c r="W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U495" s="10"/>
      <c r="AV495" s="10"/>
      <c r="AW495" s="143"/>
      <c r="BE495" s="10"/>
      <c r="BF495" s="10"/>
      <c r="BG495" s="10"/>
      <c r="BH495" s="10"/>
      <c r="BI495" s="10"/>
      <c r="BJ495" s="10"/>
      <c r="BK495" s="10"/>
      <c r="BS495" s="10"/>
      <c r="BT495" s="10"/>
      <c r="BW495" s="10"/>
    </row>
    <row r="496">
      <c r="A496" s="10"/>
      <c r="B496" s="10"/>
      <c r="C496" s="10"/>
      <c r="D496" s="10"/>
      <c r="E496" s="10"/>
      <c r="F496" s="10"/>
      <c r="G496" s="10"/>
      <c r="H496" s="10"/>
      <c r="I496" s="10"/>
      <c r="P496" s="10"/>
      <c r="T496" s="10"/>
      <c r="U496" s="10"/>
      <c r="V496" s="10"/>
      <c r="W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U496" s="10"/>
      <c r="AV496" s="10"/>
      <c r="AW496" s="143"/>
      <c r="BE496" s="10"/>
      <c r="BF496" s="10"/>
      <c r="BG496" s="10"/>
      <c r="BH496" s="10"/>
      <c r="BI496" s="10"/>
      <c r="BJ496" s="10"/>
      <c r="BK496" s="10"/>
      <c r="BS496" s="10"/>
      <c r="BT496" s="10"/>
      <c r="BW496" s="10"/>
    </row>
    <row r="497">
      <c r="A497" s="10"/>
      <c r="B497" s="10"/>
      <c r="C497" s="10"/>
      <c r="D497" s="10"/>
      <c r="E497" s="10"/>
      <c r="F497" s="10"/>
      <c r="G497" s="10"/>
      <c r="H497" s="10"/>
      <c r="I497" s="10"/>
      <c r="P497" s="10"/>
      <c r="T497" s="10"/>
      <c r="U497" s="10"/>
      <c r="V497" s="10"/>
      <c r="W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U497" s="10"/>
      <c r="AV497" s="10"/>
      <c r="AW497" s="143"/>
      <c r="BE497" s="10"/>
      <c r="BF497" s="10"/>
      <c r="BG497" s="10"/>
      <c r="BH497" s="10"/>
      <c r="BI497" s="10"/>
      <c r="BJ497" s="10"/>
      <c r="BK497" s="10"/>
      <c r="BS497" s="10"/>
      <c r="BT497" s="10"/>
      <c r="BW497" s="10"/>
    </row>
    <row r="498">
      <c r="A498" s="10"/>
      <c r="B498" s="10"/>
      <c r="C498" s="10"/>
      <c r="D498" s="10"/>
      <c r="E498" s="10"/>
      <c r="F498" s="10"/>
      <c r="G498" s="10"/>
      <c r="H498" s="10"/>
      <c r="I498" s="10"/>
      <c r="T498" s="10"/>
      <c r="U498" s="10"/>
      <c r="V498" s="10"/>
      <c r="W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U498" s="10"/>
      <c r="AV498" s="10"/>
      <c r="AW498" s="143"/>
      <c r="BE498" s="10"/>
      <c r="BF498" s="10"/>
      <c r="BG498" s="10"/>
      <c r="BH498" s="10"/>
      <c r="BI498" s="10"/>
      <c r="BJ498" s="10"/>
      <c r="BK498" s="10"/>
      <c r="BS498" s="10"/>
      <c r="BT498" s="10"/>
      <c r="BW498" s="10"/>
    </row>
    <row r="499">
      <c r="A499" s="10"/>
      <c r="B499" s="10"/>
      <c r="C499" s="10"/>
      <c r="D499" s="10"/>
      <c r="E499" s="10"/>
      <c r="F499" s="10"/>
      <c r="G499" s="10"/>
      <c r="H499" s="10"/>
      <c r="I499" s="10"/>
      <c r="T499" s="10"/>
      <c r="U499" s="10"/>
      <c r="V499" s="10"/>
      <c r="W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U499" s="10"/>
      <c r="AV499" s="10"/>
      <c r="AW499" s="143"/>
      <c r="BE499" s="10"/>
      <c r="BF499" s="10"/>
      <c r="BG499" s="10"/>
      <c r="BH499" s="10"/>
      <c r="BI499" s="10"/>
      <c r="BJ499" s="10"/>
      <c r="BK499" s="10"/>
      <c r="BS499" s="10"/>
      <c r="BT499" s="10"/>
      <c r="BW499" s="10"/>
    </row>
    <row r="500">
      <c r="A500" s="10"/>
      <c r="B500" s="10"/>
      <c r="C500" s="10"/>
      <c r="D500" s="10"/>
      <c r="E500" s="10"/>
      <c r="F500" s="10"/>
      <c r="G500" s="10"/>
      <c r="H500" s="10"/>
      <c r="I500" s="10"/>
      <c r="T500" s="10"/>
      <c r="U500" s="10"/>
      <c r="V500" s="10"/>
      <c r="W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U500" s="10"/>
      <c r="AV500" s="10"/>
      <c r="AW500" s="143"/>
      <c r="BE500" s="10"/>
      <c r="BF500" s="10"/>
      <c r="BG500" s="10"/>
      <c r="BH500" s="10"/>
      <c r="BI500" s="10"/>
      <c r="BJ500" s="10"/>
      <c r="BK500" s="10"/>
      <c r="BS500" s="10"/>
      <c r="BT500" s="10"/>
      <c r="BW500" s="10"/>
    </row>
    <row r="501">
      <c r="A501" s="10"/>
      <c r="B501" s="10"/>
      <c r="C501" s="10"/>
      <c r="D501" s="10"/>
      <c r="E501" s="10"/>
      <c r="F501" s="10"/>
      <c r="G501" s="10"/>
      <c r="H501" s="10"/>
      <c r="I501" s="10"/>
      <c r="T501" s="10"/>
      <c r="U501" s="10"/>
      <c r="V501" s="10"/>
      <c r="W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U501" s="10"/>
      <c r="AV501" s="10"/>
      <c r="AW501" s="143"/>
      <c r="BE501" s="10"/>
      <c r="BF501" s="10"/>
      <c r="BG501" s="10"/>
      <c r="BH501" s="10"/>
      <c r="BI501" s="10"/>
      <c r="BJ501" s="10"/>
      <c r="BK501" s="10"/>
      <c r="BS501" s="10"/>
      <c r="BT501" s="10"/>
      <c r="BW501" s="10"/>
    </row>
    <row r="502">
      <c r="A502" s="10"/>
      <c r="B502" s="10"/>
      <c r="C502" s="10"/>
      <c r="D502" s="10"/>
      <c r="E502" s="10"/>
      <c r="F502" s="10"/>
      <c r="G502" s="10"/>
      <c r="H502" s="10"/>
      <c r="I502" s="10"/>
      <c r="P502" s="10"/>
      <c r="T502" s="10"/>
      <c r="U502" s="10"/>
      <c r="V502" s="10"/>
      <c r="W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U502" s="10"/>
      <c r="AV502" s="10"/>
      <c r="AW502" s="143"/>
      <c r="BE502" s="10"/>
      <c r="BF502" s="10"/>
      <c r="BG502" s="10"/>
      <c r="BH502" s="10"/>
      <c r="BI502" s="10"/>
      <c r="BJ502" s="10"/>
      <c r="BK502" s="10"/>
      <c r="BS502" s="10"/>
      <c r="BT502" s="10"/>
      <c r="BW502" s="10"/>
    </row>
    <row r="503">
      <c r="A503" s="10"/>
      <c r="B503" s="10"/>
      <c r="C503" s="10"/>
      <c r="D503" s="10"/>
      <c r="E503" s="10"/>
      <c r="F503" s="10"/>
      <c r="G503" s="10"/>
      <c r="H503" s="10"/>
      <c r="I503" s="10"/>
      <c r="P503" s="10"/>
      <c r="T503" s="10"/>
      <c r="U503" s="10"/>
      <c r="V503" s="10"/>
      <c r="W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U503" s="10"/>
      <c r="AV503" s="10"/>
      <c r="AW503" s="143"/>
      <c r="BE503" s="10"/>
      <c r="BF503" s="10"/>
      <c r="BG503" s="10"/>
      <c r="BH503" s="10"/>
      <c r="BI503" s="10"/>
      <c r="BJ503" s="10"/>
      <c r="BK503" s="10"/>
      <c r="BS503" s="10"/>
      <c r="BT503" s="10"/>
      <c r="BW503" s="10"/>
    </row>
    <row r="504">
      <c r="A504" s="10"/>
      <c r="B504" s="10"/>
      <c r="C504" s="10"/>
      <c r="D504" s="10"/>
      <c r="E504" s="10"/>
      <c r="F504" s="10"/>
      <c r="G504" s="10"/>
      <c r="H504" s="10"/>
      <c r="I504" s="10"/>
      <c r="P504" s="10"/>
      <c r="T504" s="10"/>
      <c r="U504" s="10"/>
      <c r="V504" s="10"/>
      <c r="W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U504" s="10"/>
      <c r="AV504" s="10"/>
      <c r="AW504" s="143"/>
      <c r="BE504" s="10"/>
      <c r="BF504" s="10"/>
      <c r="BG504" s="10"/>
      <c r="BH504" s="10"/>
      <c r="BI504" s="10"/>
      <c r="BJ504" s="10"/>
      <c r="BK504" s="10"/>
      <c r="BS504" s="10"/>
      <c r="BT504" s="10"/>
      <c r="BW504" s="10"/>
    </row>
    <row r="505">
      <c r="A505" s="10"/>
      <c r="B505" s="10"/>
      <c r="C505" s="10"/>
      <c r="D505" s="10"/>
      <c r="E505" s="10"/>
      <c r="F505" s="10"/>
      <c r="G505" s="10"/>
      <c r="H505" s="10"/>
      <c r="I505" s="10"/>
      <c r="T505" s="10"/>
      <c r="U505" s="10"/>
      <c r="V505" s="10"/>
      <c r="W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U505" s="10"/>
      <c r="AV505" s="10"/>
      <c r="AW505" s="143"/>
      <c r="AX505" s="10"/>
      <c r="AY505" s="10"/>
      <c r="BE505" s="10"/>
      <c r="BF505" s="10"/>
      <c r="BG505" s="10"/>
      <c r="BH505" s="10"/>
      <c r="BI505" s="10"/>
      <c r="BJ505" s="10"/>
      <c r="BK505" s="10"/>
      <c r="BS505" s="10"/>
      <c r="BT505" s="10"/>
      <c r="BW505" s="10"/>
    </row>
    <row r="506">
      <c r="A506" s="10"/>
      <c r="B506" s="10"/>
      <c r="C506" s="10"/>
      <c r="D506" s="10"/>
      <c r="E506" s="10"/>
      <c r="F506" s="10"/>
      <c r="G506" s="10"/>
      <c r="H506" s="10"/>
      <c r="I506" s="10"/>
      <c r="T506" s="10"/>
      <c r="U506" s="10"/>
      <c r="V506" s="10"/>
      <c r="W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U506" s="10"/>
      <c r="AV506" s="10"/>
      <c r="AW506" s="143"/>
      <c r="BE506" s="10"/>
      <c r="BF506" s="10"/>
      <c r="BG506" s="10"/>
      <c r="BH506" s="10"/>
      <c r="BI506" s="10"/>
      <c r="BJ506" s="10"/>
      <c r="BK506" s="10"/>
      <c r="BS506" s="10"/>
      <c r="BT506" s="10"/>
      <c r="BW506" s="10"/>
    </row>
    <row r="507">
      <c r="A507" s="10"/>
      <c r="B507" s="10"/>
      <c r="C507" s="10"/>
      <c r="D507" s="10"/>
      <c r="E507" s="10"/>
      <c r="F507" s="10"/>
      <c r="G507" s="10"/>
      <c r="H507" s="10"/>
      <c r="I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U507" s="10"/>
      <c r="AV507" s="10"/>
      <c r="AW507" s="143"/>
      <c r="BE507" s="10"/>
      <c r="BF507" s="10"/>
      <c r="BG507" s="10"/>
      <c r="BH507" s="10"/>
      <c r="BI507" s="10"/>
      <c r="BJ507" s="10"/>
      <c r="BK507" s="10"/>
      <c r="BS507" s="10"/>
      <c r="BT507" s="10"/>
      <c r="BW507" s="10"/>
    </row>
    <row r="508">
      <c r="A508" s="10"/>
      <c r="B508" s="10"/>
      <c r="C508" s="10"/>
      <c r="D508" s="10"/>
      <c r="E508" s="10"/>
      <c r="F508" s="10"/>
      <c r="G508" s="10"/>
      <c r="H508" s="10"/>
      <c r="I508" s="10"/>
      <c r="T508" s="10"/>
      <c r="U508" s="10"/>
      <c r="V508" s="10"/>
      <c r="W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U508" s="10"/>
      <c r="AV508" s="10"/>
      <c r="AW508" s="143"/>
      <c r="BE508" s="10"/>
      <c r="BF508" s="10"/>
      <c r="BG508" s="10"/>
      <c r="BH508" s="10"/>
      <c r="BI508" s="10"/>
      <c r="BJ508" s="10"/>
      <c r="BK508" s="10"/>
      <c r="BS508" s="10"/>
      <c r="BT508" s="10"/>
      <c r="BW508" s="10"/>
    </row>
    <row r="509">
      <c r="A509" s="10"/>
      <c r="B509" s="10"/>
      <c r="C509" s="10"/>
      <c r="D509" s="10"/>
      <c r="E509" s="10"/>
      <c r="F509" s="10"/>
      <c r="G509" s="10"/>
      <c r="H509" s="10"/>
      <c r="I509" s="10"/>
      <c r="T509" s="10"/>
      <c r="U509" s="10"/>
      <c r="V509" s="10"/>
      <c r="W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U509" s="10"/>
      <c r="AV509" s="10"/>
      <c r="AW509" s="143"/>
      <c r="BE509" s="10"/>
      <c r="BF509" s="10"/>
      <c r="BG509" s="10"/>
      <c r="BH509" s="10"/>
      <c r="BI509" s="10"/>
      <c r="BJ509" s="10"/>
      <c r="BK509" s="10"/>
      <c r="BS509" s="10"/>
      <c r="BT509" s="10"/>
      <c r="BW509" s="10"/>
    </row>
    <row r="510">
      <c r="A510" s="10"/>
      <c r="B510" s="10"/>
      <c r="C510" s="10"/>
      <c r="D510" s="10"/>
      <c r="E510" s="10"/>
      <c r="F510" s="10"/>
      <c r="G510" s="10"/>
      <c r="H510" s="10"/>
      <c r="I510" s="10"/>
      <c r="T510" s="10"/>
      <c r="U510" s="10"/>
      <c r="V510" s="10"/>
      <c r="W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U510" s="10"/>
      <c r="AV510" s="10"/>
      <c r="AW510" s="143"/>
      <c r="BE510" s="10"/>
      <c r="BF510" s="10"/>
      <c r="BG510" s="10"/>
      <c r="BH510" s="10"/>
      <c r="BI510" s="10"/>
      <c r="BJ510" s="10"/>
      <c r="BK510" s="10"/>
      <c r="BS510" s="10"/>
      <c r="BT510" s="10"/>
      <c r="BW510" s="10"/>
    </row>
    <row r="511">
      <c r="A511" s="10"/>
      <c r="B511" s="10"/>
      <c r="C511" s="10"/>
      <c r="D511" s="10"/>
      <c r="E511" s="10"/>
      <c r="F511" s="10"/>
      <c r="G511" s="10"/>
      <c r="H511" s="10"/>
      <c r="I511" s="10"/>
      <c r="T511" s="10"/>
      <c r="U511" s="10"/>
      <c r="V511" s="10"/>
      <c r="W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U511" s="10"/>
      <c r="AV511" s="10"/>
      <c r="AW511" s="143"/>
      <c r="BE511" s="10"/>
      <c r="BF511" s="10"/>
      <c r="BG511" s="10"/>
      <c r="BH511" s="10"/>
      <c r="BI511" s="10"/>
      <c r="BJ511" s="10"/>
      <c r="BK511" s="10"/>
      <c r="BS511" s="10"/>
      <c r="BT511" s="10"/>
      <c r="BW511" s="10"/>
    </row>
    <row r="512">
      <c r="A512" s="10"/>
      <c r="B512" s="10"/>
      <c r="C512" s="10"/>
      <c r="D512" s="10"/>
      <c r="E512" s="10"/>
      <c r="F512" s="10"/>
      <c r="G512" s="10"/>
      <c r="H512" s="10"/>
      <c r="I512" s="10"/>
      <c r="T512" s="10"/>
      <c r="U512" s="10"/>
      <c r="V512" s="10"/>
      <c r="W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U512" s="10"/>
      <c r="AV512" s="10"/>
      <c r="AW512" s="143"/>
      <c r="BE512" s="10"/>
      <c r="BF512" s="10"/>
      <c r="BG512" s="10"/>
      <c r="BH512" s="10"/>
      <c r="BI512" s="10"/>
      <c r="BJ512" s="10"/>
      <c r="BK512" s="10"/>
      <c r="BS512" s="10"/>
      <c r="BT512" s="10"/>
      <c r="BW512" s="10"/>
    </row>
    <row r="513">
      <c r="A513" s="10"/>
      <c r="B513" s="10"/>
      <c r="C513" s="10"/>
      <c r="D513" s="10"/>
      <c r="E513" s="10"/>
      <c r="F513" s="10"/>
      <c r="G513" s="10"/>
      <c r="H513" s="10"/>
      <c r="I513" s="10"/>
      <c r="T513" s="10"/>
      <c r="U513" s="10"/>
      <c r="V513" s="10"/>
      <c r="W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U513" s="10"/>
      <c r="AV513" s="10"/>
      <c r="AW513" s="143"/>
      <c r="BE513" s="10"/>
      <c r="BF513" s="10"/>
      <c r="BG513" s="10"/>
      <c r="BH513" s="10"/>
      <c r="BI513" s="10"/>
      <c r="BJ513" s="10"/>
      <c r="BK513" s="10"/>
      <c r="BS513" s="10"/>
      <c r="BT513" s="10"/>
      <c r="BW513" s="10"/>
    </row>
    <row r="514">
      <c r="A514" s="10"/>
      <c r="B514" s="10"/>
      <c r="C514" s="10"/>
      <c r="D514" s="10"/>
      <c r="E514" s="10"/>
      <c r="F514" s="10"/>
      <c r="G514" s="10"/>
      <c r="H514" s="10"/>
      <c r="I514" s="10"/>
      <c r="T514" s="10"/>
      <c r="U514" s="10"/>
      <c r="V514" s="10"/>
      <c r="W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U514" s="10"/>
      <c r="AV514" s="10"/>
      <c r="AW514" s="143"/>
      <c r="BE514" s="10"/>
      <c r="BF514" s="10"/>
      <c r="BG514" s="10"/>
      <c r="BH514" s="10"/>
      <c r="BI514" s="10"/>
      <c r="BJ514" s="10"/>
      <c r="BK514" s="10"/>
      <c r="BS514" s="10"/>
      <c r="BT514" s="10"/>
      <c r="BW514" s="10"/>
    </row>
    <row r="515">
      <c r="A515" s="10"/>
      <c r="B515" s="10"/>
      <c r="C515" s="10"/>
      <c r="D515" s="10"/>
      <c r="E515" s="10"/>
      <c r="F515" s="10"/>
      <c r="G515" s="10"/>
      <c r="H515" s="10"/>
      <c r="I515" s="10"/>
      <c r="T515" s="10"/>
      <c r="U515" s="10"/>
      <c r="V515" s="10"/>
      <c r="W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U515" s="10"/>
      <c r="AV515" s="10"/>
      <c r="AW515" s="143"/>
      <c r="BS515" s="10"/>
      <c r="BT515" s="10"/>
      <c r="BW515" s="10"/>
    </row>
    <row r="516">
      <c r="A516" s="10"/>
      <c r="B516" s="10"/>
      <c r="C516" s="10"/>
      <c r="D516" s="10"/>
      <c r="E516" s="10"/>
      <c r="F516" s="10"/>
      <c r="G516" s="10"/>
      <c r="H516" s="10"/>
      <c r="I516" s="10"/>
      <c r="T516" s="10"/>
      <c r="U516" s="10"/>
      <c r="V516" s="10"/>
      <c r="W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U516" s="10"/>
      <c r="AV516" s="10"/>
      <c r="AW516" s="143"/>
      <c r="BE516" s="10"/>
      <c r="BF516" s="10"/>
      <c r="BG516" s="10"/>
      <c r="BH516" s="10"/>
      <c r="BI516" s="10"/>
      <c r="BJ516" s="10"/>
      <c r="BK516" s="10"/>
      <c r="BS516" s="10"/>
      <c r="BT516" s="10"/>
      <c r="BW516" s="10"/>
    </row>
    <row r="517">
      <c r="A517" s="10"/>
      <c r="B517" s="10"/>
      <c r="C517" s="10"/>
      <c r="D517" s="10"/>
      <c r="E517" s="10"/>
      <c r="F517" s="10"/>
      <c r="G517" s="10"/>
      <c r="H517" s="10"/>
      <c r="I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U517" s="10"/>
      <c r="AV517" s="10"/>
      <c r="AW517" s="143"/>
      <c r="BS517" s="10"/>
      <c r="BT517" s="10"/>
      <c r="BW517" s="10"/>
    </row>
    <row r="518">
      <c r="A518" s="10"/>
      <c r="B518" s="10"/>
      <c r="C518" s="10"/>
      <c r="D518" s="10"/>
      <c r="E518" s="10"/>
      <c r="F518" s="10"/>
      <c r="G518" s="10"/>
      <c r="H518" s="10"/>
      <c r="I518" s="10"/>
      <c r="T518" s="10"/>
      <c r="U518" s="10"/>
      <c r="V518" s="10"/>
      <c r="W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U518" s="10"/>
      <c r="AV518" s="10"/>
      <c r="AW518" s="143"/>
      <c r="BE518" s="10"/>
      <c r="BF518" s="10"/>
      <c r="BG518" s="10"/>
      <c r="BH518" s="10"/>
      <c r="BI518" s="10"/>
      <c r="BJ518" s="10"/>
      <c r="BK518" s="10"/>
      <c r="BS518" s="10"/>
      <c r="BT518" s="10"/>
      <c r="BW518" s="10"/>
    </row>
    <row r="519">
      <c r="A519" s="10"/>
      <c r="B519" s="10"/>
      <c r="C519" s="10"/>
      <c r="D519" s="10"/>
      <c r="E519" s="10"/>
      <c r="F519" s="10"/>
      <c r="G519" s="10"/>
      <c r="H519" s="10"/>
      <c r="I519" s="10"/>
      <c r="T519" s="10"/>
      <c r="U519" s="10"/>
      <c r="V519" s="10"/>
      <c r="W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U519" s="10"/>
      <c r="AV519" s="10"/>
      <c r="AW519" s="143"/>
      <c r="BE519" s="10"/>
      <c r="BF519" s="10"/>
      <c r="BG519" s="10"/>
      <c r="BH519" s="10"/>
      <c r="BI519" s="10"/>
      <c r="BJ519" s="10"/>
      <c r="BK519" s="10"/>
      <c r="BS519" s="10"/>
      <c r="BT519" s="10"/>
      <c r="BW519" s="10"/>
    </row>
    <row r="520">
      <c r="A520" s="10"/>
      <c r="B520" s="10"/>
      <c r="C520" s="10"/>
      <c r="D520" s="10"/>
      <c r="E520" s="10"/>
      <c r="F520" s="10"/>
      <c r="G520" s="10"/>
      <c r="H520" s="10"/>
      <c r="I520" s="10"/>
      <c r="T520" s="10"/>
      <c r="U520" s="10"/>
      <c r="V520" s="10"/>
      <c r="W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U520" s="10"/>
      <c r="AV520" s="10"/>
      <c r="AW520" s="143"/>
      <c r="BE520" s="10"/>
      <c r="BF520" s="10"/>
      <c r="BG520" s="10"/>
      <c r="BH520" s="10"/>
      <c r="BI520" s="10"/>
      <c r="BJ520" s="10"/>
      <c r="BK520" s="10"/>
      <c r="BS520" s="10"/>
      <c r="BT520" s="10"/>
      <c r="BW520" s="10"/>
    </row>
    <row r="521">
      <c r="A521" s="10"/>
      <c r="B521" s="10"/>
      <c r="C521" s="10"/>
      <c r="D521" s="10"/>
      <c r="E521" s="10"/>
      <c r="F521" s="10"/>
      <c r="G521" s="10"/>
      <c r="H521" s="10"/>
      <c r="I521" s="10"/>
      <c r="T521" s="10"/>
      <c r="U521" s="10"/>
      <c r="V521" s="10"/>
      <c r="W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U521" s="10"/>
      <c r="AV521" s="10"/>
      <c r="AW521" s="143"/>
      <c r="BE521" s="10"/>
      <c r="BF521" s="10"/>
      <c r="BG521" s="10"/>
      <c r="BH521" s="10"/>
      <c r="BI521" s="10"/>
      <c r="BJ521" s="10"/>
      <c r="BK521" s="10"/>
      <c r="BS521" s="10"/>
      <c r="BT521" s="10"/>
      <c r="BW521" s="10"/>
    </row>
    <row r="522">
      <c r="A522" s="10"/>
      <c r="B522" s="10"/>
      <c r="C522" s="10"/>
      <c r="D522" s="10"/>
      <c r="E522" s="10"/>
      <c r="F522" s="10"/>
      <c r="G522" s="10"/>
      <c r="H522" s="10"/>
      <c r="I522" s="10"/>
      <c r="T522" s="10"/>
      <c r="U522" s="10"/>
      <c r="V522" s="10"/>
      <c r="W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U522" s="10"/>
      <c r="AV522" s="10"/>
      <c r="AW522" s="143"/>
      <c r="BE522" s="10"/>
      <c r="BF522" s="10"/>
      <c r="BG522" s="10"/>
      <c r="BH522" s="10"/>
      <c r="BI522" s="10"/>
      <c r="BJ522" s="10"/>
      <c r="BK522" s="10"/>
      <c r="BS522" s="10"/>
      <c r="BT522" s="10"/>
      <c r="BW522" s="10"/>
    </row>
    <row r="523">
      <c r="A523" s="10"/>
      <c r="B523" s="10"/>
      <c r="C523" s="10"/>
      <c r="D523" s="10"/>
      <c r="E523" s="10"/>
      <c r="F523" s="10"/>
      <c r="G523" s="10"/>
      <c r="H523" s="10"/>
      <c r="I523" s="10"/>
      <c r="T523" s="10"/>
      <c r="U523" s="10"/>
      <c r="V523" s="10"/>
      <c r="W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U523" s="10"/>
      <c r="AV523" s="10"/>
      <c r="AW523" s="143"/>
      <c r="BE523" s="10"/>
      <c r="BF523" s="10"/>
      <c r="BG523" s="10"/>
      <c r="BH523" s="10"/>
      <c r="BI523" s="10"/>
      <c r="BJ523" s="10"/>
      <c r="BK523" s="10"/>
      <c r="BS523" s="10"/>
      <c r="BT523" s="10"/>
      <c r="BW523" s="10"/>
    </row>
    <row r="524">
      <c r="A524" s="10"/>
      <c r="B524" s="10"/>
      <c r="C524" s="10"/>
      <c r="D524" s="10"/>
      <c r="E524" s="10"/>
      <c r="F524" s="10"/>
      <c r="G524" s="10"/>
      <c r="H524" s="10"/>
      <c r="I524" s="10"/>
      <c r="P524" s="10"/>
      <c r="T524" s="10"/>
      <c r="U524" s="10"/>
      <c r="V524" s="10"/>
      <c r="W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U524" s="10"/>
      <c r="AV524" s="10"/>
      <c r="AW524" s="143"/>
      <c r="BE524" s="10"/>
      <c r="BF524" s="10"/>
      <c r="BG524" s="10"/>
      <c r="BH524" s="10"/>
      <c r="BI524" s="10"/>
      <c r="BJ524" s="10"/>
      <c r="BK524" s="10"/>
      <c r="BS524" s="10"/>
      <c r="BT524" s="10"/>
      <c r="BW524" s="10"/>
    </row>
    <row r="525">
      <c r="A525" s="10"/>
      <c r="B525" s="10"/>
      <c r="C525" s="10"/>
      <c r="D525" s="10"/>
      <c r="E525" s="10"/>
      <c r="F525" s="10"/>
      <c r="G525" s="10"/>
      <c r="H525" s="10"/>
      <c r="I525" s="10"/>
      <c r="T525" s="10"/>
      <c r="U525" s="10"/>
      <c r="V525" s="10"/>
      <c r="W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U525" s="10"/>
      <c r="AV525" s="10"/>
      <c r="AW525" s="143"/>
      <c r="BE525" s="10"/>
      <c r="BF525" s="10"/>
      <c r="BG525" s="10"/>
      <c r="BH525" s="10"/>
      <c r="BI525" s="10"/>
      <c r="BJ525" s="10"/>
      <c r="BK525" s="10"/>
      <c r="BS525" s="10"/>
      <c r="BT525" s="10"/>
      <c r="BW525" s="10"/>
    </row>
    <row r="526">
      <c r="A526" s="10"/>
      <c r="B526" s="10"/>
      <c r="C526" s="10"/>
      <c r="D526" s="10"/>
      <c r="E526" s="10"/>
      <c r="F526" s="10"/>
      <c r="G526" s="10"/>
      <c r="H526" s="10"/>
      <c r="I526" s="10"/>
      <c r="T526" s="10"/>
      <c r="U526" s="10"/>
      <c r="V526" s="10"/>
      <c r="W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U526" s="10"/>
      <c r="AV526" s="10"/>
      <c r="AW526" s="143"/>
      <c r="BS526" s="10"/>
      <c r="BT526" s="10"/>
      <c r="BW526" s="10"/>
    </row>
    <row r="527">
      <c r="A527" s="10"/>
      <c r="B527" s="10"/>
      <c r="C527" s="10"/>
      <c r="D527" s="10"/>
      <c r="E527" s="10"/>
      <c r="F527" s="10"/>
      <c r="G527" s="10"/>
      <c r="H527" s="10"/>
      <c r="I527" s="10"/>
      <c r="T527" s="10"/>
      <c r="U527" s="10"/>
      <c r="V527" s="10"/>
      <c r="W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U527" s="10"/>
      <c r="AV527" s="10"/>
      <c r="AW527" s="143"/>
      <c r="BS527" s="10"/>
      <c r="BT527" s="10"/>
      <c r="BW527" s="10"/>
    </row>
    <row r="528">
      <c r="A528" s="10"/>
      <c r="B528" s="10"/>
      <c r="C528" s="10"/>
      <c r="D528" s="10"/>
      <c r="E528" s="10"/>
      <c r="F528" s="10"/>
      <c r="G528" s="10"/>
      <c r="H528" s="10"/>
      <c r="I528" s="10"/>
      <c r="T528" s="10"/>
      <c r="U528" s="10"/>
      <c r="V528" s="10"/>
      <c r="W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U528" s="10"/>
      <c r="AV528" s="10"/>
      <c r="AW528" s="143"/>
      <c r="BS528" s="10"/>
      <c r="BT528" s="10"/>
      <c r="BW528" s="10"/>
    </row>
    <row r="529">
      <c r="A529" s="10"/>
      <c r="B529" s="10"/>
      <c r="C529" s="10"/>
      <c r="D529" s="10"/>
      <c r="E529" s="10"/>
      <c r="F529" s="10"/>
      <c r="G529" s="10"/>
      <c r="H529" s="10"/>
      <c r="I529" s="10"/>
      <c r="T529" s="10"/>
      <c r="U529" s="10"/>
      <c r="V529" s="10"/>
      <c r="W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U529" s="10"/>
      <c r="AV529" s="10"/>
      <c r="AW529" s="143"/>
      <c r="BS529" s="10"/>
      <c r="BT529" s="10"/>
      <c r="BW529" s="10"/>
    </row>
    <row r="530">
      <c r="A530" s="10"/>
      <c r="B530" s="10"/>
      <c r="C530" s="10"/>
      <c r="D530" s="10"/>
      <c r="E530" s="10"/>
      <c r="F530" s="10"/>
      <c r="G530" s="10"/>
      <c r="H530" s="10"/>
      <c r="I530" s="10"/>
      <c r="T530" s="10"/>
      <c r="U530" s="10"/>
      <c r="V530" s="10"/>
      <c r="W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U530" s="10"/>
      <c r="AV530" s="10"/>
      <c r="AW530" s="143"/>
      <c r="BS530" s="10"/>
      <c r="BT530" s="10"/>
      <c r="BW530" s="10"/>
    </row>
    <row r="531">
      <c r="A531" s="10"/>
      <c r="B531" s="10"/>
      <c r="C531" s="10"/>
      <c r="D531" s="10"/>
      <c r="E531" s="10"/>
      <c r="F531" s="10"/>
      <c r="G531" s="10"/>
      <c r="H531" s="10"/>
      <c r="I531" s="10"/>
      <c r="T531" s="10"/>
      <c r="U531" s="10"/>
      <c r="V531" s="10"/>
      <c r="W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U531" s="10"/>
      <c r="AV531" s="10"/>
      <c r="AW531" s="143"/>
      <c r="BS531" s="10"/>
      <c r="BT531" s="10"/>
      <c r="BW531" s="10"/>
    </row>
    <row r="532">
      <c r="A532" s="10"/>
      <c r="B532" s="10"/>
      <c r="C532" s="10"/>
      <c r="D532" s="10"/>
      <c r="E532" s="10"/>
      <c r="F532" s="10"/>
      <c r="G532" s="10"/>
      <c r="H532" s="10"/>
      <c r="I532" s="10"/>
      <c r="T532" s="10"/>
      <c r="U532" s="10"/>
      <c r="V532" s="10"/>
      <c r="W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U532" s="10"/>
      <c r="AV532" s="10"/>
      <c r="AW532" s="143"/>
      <c r="BS532" s="10"/>
      <c r="BT532" s="10"/>
      <c r="BW532" s="10"/>
    </row>
    <row r="533">
      <c r="A533" s="10"/>
      <c r="B533" s="10"/>
      <c r="C533" s="10"/>
      <c r="D533" s="10"/>
      <c r="E533" s="10"/>
      <c r="F533" s="10"/>
      <c r="G533" s="10"/>
      <c r="H533" s="10"/>
      <c r="I533" s="10"/>
      <c r="T533" s="10"/>
      <c r="U533" s="10"/>
      <c r="V533" s="10"/>
      <c r="W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U533" s="10"/>
      <c r="AV533" s="10"/>
      <c r="AW533" s="143"/>
      <c r="BE533" s="10"/>
      <c r="BF533" s="10"/>
      <c r="BG533" s="10"/>
      <c r="BH533" s="10"/>
      <c r="BI533" s="10"/>
      <c r="BJ533" s="10"/>
      <c r="BK533" s="10"/>
      <c r="BS533" s="10"/>
      <c r="BT533" s="10"/>
      <c r="BW533" s="10"/>
    </row>
    <row r="534">
      <c r="A534" s="10"/>
      <c r="B534" s="10"/>
      <c r="C534" s="10"/>
      <c r="D534" s="10"/>
      <c r="E534" s="10"/>
      <c r="F534" s="10"/>
      <c r="G534" s="10"/>
      <c r="H534" s="10"/>
      <c r="I534" s="10"/>
      <c r="T534" s="10"/>
      <c r="U534" s="10"/>
      <c r="V534" s="10"/>
      <c r="W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U534" s="10"/>
      <c r="AV534" s="10"/>
      <c r="AW534" s="143"/>
      <c r="BE534" s="10"/>
      <c r="BF534" s="10"/>
      <c r="BG534" s="10"/>
      <c r="BH534" s="10"/>
      <c r="BI534" s="10"/>
      <c r="BJ534" s="10"/>
      <c r="BK534" s="10"/>
      <c r="BS534" s="10"/>
      <c r="BT534" s="10"/>
      <c r="BW534" s="10"/>
    </row>
    <row r="535">
      <c r="A535" s="10"/>
      <c r="B535" s="10"/>
      <c r="C535" s="10"/>
      <c r="D535" s="10"/>
      <c r="E535" s="10"/>
      <c r="F535" s="10"/>
      <c r="G535" s="10"/>
      <c r="H535" s="10"/>
      <c r="I535" s="10"/>
      <c r="T535" s="10"/>
      <c r="U535" s="10"/>
      <c r="V535" s="10"/>
      <c r="W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U535" s="10"/>
      <c r="AV535" s="10"/>
      <c r="AW535" s="143"/>
      <c r="BE535" s="10"/>
      <c r="BF535" s="10"/>
      <c r="BG535" s="10"/>
      <c r="BH535" s="10"/>
      <c r="BI535" s="10"/>
      <c r="BJ535" s="10"/>
      <c r="BK535" s="10"/>
      <c r="BS535" s="10"/>
      <c r="BT535" s="10"/>
      <c r="BW535" s="10"/>
    </row>
    <row r="536">
      <c r="A536" s="10"/>
      <c r="B536" s="10"/>
      <c r="C536" s="10"/>
      <c r="D536" s="10"/>
      <c r="E536" s="10"/>
      <c r="F536" s="10"/>
      <c r="G536" s="10"/>
      <c r="H536" s="10"/>
      <c r="I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U536" s="10"/>
      <c r="AV536" s="10"/>
      <c r="AW536" s="143"/>
      <c r="BS536" s="10"/>
      <c r="BT536" s="10"/>
      <c r="BW536" s="10"/>
    </row>
    <row r="537">
      <c r="A537" s="10"/>
      <c r="B537" s="10"/>
      <c r="C537" s="10"/>
      <c r="D537" s="10"/>
      <c r="E537" s="10"/>
      <c r="F537" s="10"/>
      <c r="G537" s="10"/>
      <c r="H537" s="10"/>
      <c r="I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U537" s="10"/>
      <c r="AV537" s="10"/>
      <c r="AW537" s="143"/>
      <c r="BS537" s="10"/>
      <c r="BT537" s="10"/>
      <c r="BW537" s="10"/>
    </row>
    <row r="538">
      <c r="A538" s="10"/>
      <c r="B538" s="10"/>
      <c r="C538" s="10"/>
      <c r="D538" s="10"/>
      <c r="E538" s="10"/>
      <c r="F538" s="10"/>
      <c r="G538" s="10"/>
      <c r="H538" s="10"/>
      <c r="T538" s="10"/>
      <c r="U538" s="10"/>
      <c r="V538" s="10"/>
      <c r="W538" s="10"/>
      <c r="Y538" s="10"/>
      <c r="Z538" s="10"/>
      <c r="AA538" s="10"/>
      <c r="AB538" s="10"/>
      <c r="AC538" s="10"/>
      <c r="AD538" s="10"/>
      <c r="AE538" s="10"/>
      <c r="AF538" s="10"/>
      <c r="AG538" s="10"/>
      <c r="AH538" s="10"/>
      <c r="AI538" s="10"/>
      <c r="AJ538" s="10"/>
      <c r="AL538" s="10"/>
      <c r="AM538" s="10"/>
      <c r="AO538" s="10"/>
      <c r="AW538" s="143"/>
      <c r="AY538" s="10"/>
      <c r="BE538" s="10"/>
      <c r="BF538" s="10"/>
      <c r="BG538" s="10"/>
      <c r="BH538" s="10"/>
      <c r="BI538" s="10"/>
      <c r="BJ538" s="10"/>
      <c r="BK538" s="10"/>
      <c r="BS538" s="10"/>
      <c r="BT538" s="10"/>
      <c r="BW538" s="10"/>
    </row>
    <row r="539">
      <c r="A539" s="10"/>
      <c r="B539" s="10"/>
      <c r="C539" s="10"/>
      <c r="D539" s="10"/>
      <c r="E539" s="10"/>
      <c r="F539" s="10"/>
      <c r="G539" s="10"/>
      <c r="H539" s="10"/>
      <c r="T539" s="10"/>
      <c r="U539" s="10"/>
      <c r="V539" s="10"/>
      <c r="W539" s="10"/>
      <c r="Y539" s="10"/>
      <c r="Z539" s="10"/>
      <c r="AA539" s="10"/>
      <c r="AB539" s="10"/>
      <c r="AC539" s="10"/>
      <c r="AD539" s="10"/>
      <c r="AE539" s="10"/>
      <c r="AF539" s="10"/>
      <c r="AG539" s="10"/>
      <c r="AH539" s="10"/>
      <c r="AI539" s="10"/>
      <c r="AJ539" s="10"/>
      <c r="AL539" s="10"/>
      <c r="AM539" s="10"/>
      <c r="AO539" s="10"/>
      <c r="AW539" s="143"/>
      <c r="BE539" s="10"/>
      <c r="BF539" s="10"/>
      <c r="BG539" s="10"/>
      <c r="BH539" s="10"/>
      <c r="BI539" s="10"/>
      <c r="BJ539" s="10"/>
      <c r="BK539" s="10"/>
      <c r="BS539" s="10"/>
      <c r="BT539" s="10"/>
      <c r="BW539" s="10"/>
    </row>
    <row r="540">
      <c r="A540" s="10"/>
      <c r="B540" s="10"/>
      <c r="C540" s="10"/>
      <c r="D540" s="10"/>
      <c r="E540" s="10"/>
      <c r="F540" s="10"/>
      <c r="G540" s="10"/>
      <c r="H540" s="10"/>
      <c r="T540" s="10"/>
      <c r="U540" s="10"/>
      <c r="V540" s="10"/>
      <c r="W540" s="10"/>
      <c r="X540" s="10"/>
      <c r="Y540" s="10"/>
      <c r="Z540" s="10"/>
      <c r="AA540" s="10"/>
      <c r="AB540" s="10"/>
      <c r="AC540" s="10"/>
      <c r="AD540" s="10"/>
      <c r="AE540" s="10"/>
      <c r="AF540" s="10"/>
      <c r="AG540" s="10"/>
      <c r="AH540" s="10"/>
      <c r="AI540" s="10"/>
      <c r="AJ540" s="10"/>
      <c r="AL540" s="10"/>
      <c r="AM540" s="10"/>
      <c r="AO540" s="10"/>
      <c r="AW540" s="143"/>
      <c r="BE540" s="10"/>
      <c r="BF540" s="10"/>
      <c r="BG540" s="10"/>
      <c r="BH540" s="10"/>
      <c r="BI540" s="10"/>
      <c r="BJ540" s="10"/>
      <c r="BK540" s="10"/>
      <c r="BS540" s="10"/>
      <c r="BT540" s="10"/>
      <c r="BW540" s="10"/>
    </row>
    <row r="541">
      <c r="A541" s="10"/>
      <c r="B541" s="10"/>
      <c r="C541" s="10"/>
      <c r="D541" s="10"/>
      <c r="E541" s="10"/>
      <c r="F541" s="10"/>
      <c r="G541" s="10"/>
      <c r="H541" s="10"/>
      <c r="T541" s="10"/>
      <c r="U541" s="10"/>
      <c r="V541" s="10"/>
      <c r="W541" s="10"/>
      <c r="X541" s="10"/>
      <c r="Y541" s="10"/>
      <c r="Z541" s="10"/>
      <c r="AA541" s="10"/>
      <c r="AB541" s="10"/>
      <c r="AC541" s="10"/>
      <c r="AD541" s="10"/>
      <c r="AE541" s="10"/>
      <c r="AF541" s="10"/>
      <c r="AG541" s="10"/>
      <c r="AH541" s="10"/>
      <c r="AI541" s="10"/>
      <c r="AJ541" s="10"/>
      <c r="AL541" s="10"/>
      <c r="AM541" s="10"/>
      <c r="AO541" s="10"/>
      <c r="AW541" s="143"/>
      <c r="BE541" s="10"/>
      <c r="BF541" s="10"/>
      <c r="BG541" s="10"/>
      <c r="BH541" s="10"/>
      <c r="BI541" s="10"/>
      <c r="BJ541" s="10"/>
      <c r="BK541" s="10"/>
      <c r="BS541" s="10"/>
      <c r="BT541" s="10"/>
      <c r="BW541" s="10"/>
    </row>
    <row r="542">
      <c r="A542" s="10"/>
      <c r="B542" s="10"/>
      <c r="C542" s="10"/>
      <c r="D542" s="10"/>
      <c r="E542" s="10"/>
      <c r="F542" s="10"/>
      <c r="G542" s="10"/>
      <c r="H542" s="10"/>
      <c r="T542" s="10"/>
      <c r="U542" s="10"/>
      <c r="V542" s="10"/>
      <c r="W542" s="10"/>
      <c r="Y542" s="10"/>
      <c r="Z542" s="10"/>
      <c r="AA542" s="10"/>
      <c r="AB542" s="10"/>
      <c r="AC542" s="10"/>
      <c r="AD542" s="10"/>
      <c r="AE542" s="10"/>
      <c r="AF542" s="10"/>
      <c r="AG542" s="10"/>
      <c r="AH542" s="10"/>
      <c r="AI542" s="10"/>
      <c r="AJ542" s="10"/>
      <c r="AL542" s="10"/>
      <c r="AM542" s="10"/>
      <c r="AO542" s="10"/>
      <c r="AW542" s="143"/>
      <c r="BE542" s="10"/>
      <c r="BF542" s="10"/>
      <c r="BG542" s="10"/>
      <c r="BH542" s="10"/>
      <c r="BI542" s="10"/>
      <c r="BJ542" s="10"/>
      <c r="BK542" s="10"/>
      <c r="BS542" s="10"/>
      <c r="BT542" s="10"/>
      <c r="BW542" s="10"/>
    </row>
    <row r="543">
      <c r="A543" s="10"/>
      <c r="B543" s="10"/>
      <c r="C543" s="10"/>
      <c r="D543" s="10"/>
      <c r="E543" s="10"/>
      <c r="F543" s="10"/>
      <c r="G543" s="10"/>
      <c r="H543" s="10"/>
      <c r="T543" s="10"/>
      <c r="U543" s="10"/>
      <c r="V543" s="10"/>
      <c r="W543" s="10"/>
      <c r="Y543" s="10"/>
      <c r="Z543" s="10"/>
      <c r="AA543" s="10"/>
      <c r="AB543" s="10"/>
      <c r="AC543" s="10"/>
      <c r="AD543" s="10"/>
      <c r="AE543" s="10"/>
      <c r="AF543" s="10"/>
      <c r="AG543" s="10"/>
      <c r="AH543" s="10"/>
      <c r="AI543" s="10"/>
      <c r="AJ543" s="10"/>
      <c r="AL543" s="10"/>
      <c r="AM543" s="10"/>
      <c r="AO543" s="10"/>
      <c r="AW543" s="143"/>
      <c r="BE543" s="10"/>
      <c r="BF543" s="10"/>
      <c r="BG543" s="10"/>
      <c r="BH543" s="10"/>
      <c r="BI543" s="10"/>
      <c r="BJ543" s="10"/>
      <c r="BK543" s="10"/>
      <c r="BS543" s="10"/>
      <c r="BT543" s="10"/>
      <c r="BW543" s="10"/>
    </row>
    <row r="544">
      <c r="A544" s="10"/>
      <c r="B544" s="10"/>
      <c r="C544" s="10"/>
      <c r="D544" s="10"/>
      <c r="E544" s="10"/>
      <c r="F544" s="10"/>
      <c r="G544" s="10"/>
      <c r="H544" s="10"/>
      <c r="T544" s="10"/>
      <c r="U544" s="10"/>
      <c r="V544" s="10"/>
      <c r="W544" s="10"/>
      <c r="X544" s="10"/>
      <c r="Y544" s="10"/>
      <c r="Z544" s="10"/>
      <c r="AA544" s="10"/>
      <c r="AB544" s="10"/>
      <c r="AC544" s="10"/>
      <c r="AD544" s="10"/>
      <c r="AE544" s="10"/>
      <c r="AF544" s="10"/>
      <c r="AG544" s="10"/>
      <c r="AH544" s="10"/>
      <c r="AI544" s="10"/>
      <c r="AJ544" s="10"/>
      <c r="AL544" s="10"/>
      <c r="AM544" s="10"/>
      <c r="AO544" s="10"/>
      <c r="AW544" s="143"/>
      <c r="BE544" s="10"/>
      <c r="BF544" s="10"/>
      <c r="BG544" s="10"/>
      <c r="BH544" s="10"/>
      <c r="BI544" s="10"/>
      <c r="BJ544" s="10"/>
      <c r="BK544" s="10"/>
      <c r="BS544" s="10"/>
      <c r="BT544" s="10"/>
      <c r="BW544" s="10"/>
    </row>
    <row r="545">
      <c r="A545" s="10"/>
      <c r="B545" s="10"/>
      <c r="C545" s="10"/>
      <c r="D545" s="10"/>
      <c r="E545" s="10"/>
      <c r="F545" s="10"/>
      <c r="G545" s="10"/>
      <c r="H545" s="10"/>
      <c r="T545" s="10"/>
      <c r="U545" s="10"/>
      <c r="V545" s="10"/>
      <c r="W545" s="10"/>
      <c r="Y545" s="10"/>
      <c r="Z545" s="10"/>
      <c r="AA545" s="10"/>
      <c r="AB545" s="10"/>
      <c r="AC545" s="10"/>
      <c r="AD545" s="10"/>
      <c r="AE545" s="10"/>
      <c r="AF545" s="10"/>
      <c r="AG545" s="10"/>
      <c r="AH545" s="10"/>
      <c r="AI545" s="10"/>
      <c r="AJ545" s="10"/>
      <c r="AL545" s="10"/>
      <c r="AM545" s="10"/>
      <c r="AO545" s="10"/>
      <c r="AW545" s="143"/>
      <c r="BE545" s="10"/>
      <c r="BF545" s="10"/>
      <c r="BG545" s="10"/>
      <c r="BH545" s="10"/>
      <c r="BI545" s="10"/>
      <c r="BJ545" s="10"/>
      <c r="BK545" s="10"/>
      <c r="BS545" s="10"/>
      <c r="BT545" s="10"/>
      <c r="BW545" s="10"/>
    </row>
    <row r="546">
      <c r="A546" s="10"/>
      <c r="B546" s="10"/>
      <c r="C546" s="10"/>
      <c r="D546" s="10"/>
      <c r="E546" s="10"/>
      <c r="F546" s="10"/>
      <c r="G546" s="10"/>
      <c r="H546" s="10"/>
      <c r="T546" s="10"/>
      <c r="U546" s="10"/>
      <c r="V546" s="10"/>
      <c r="W546" s="10"/>
      <c r="Y546" s="10"/>
      <c r="Z546" s="10"/>
      <c r="AA546" s="10"/>
      <c r="AB546" s="10"/>
      <c r="AC546" s="10"/>
      <c r="AD546" s="10"/>
      <c r="AE546" s="10"/>
      <c r="AF546" s="10"/>
      <c r="AG546" s="10"/>
      <c r="AH546" s="10"/>
      <c r="AI546" s="10"/>
      <c r="AJ546" s="10"/>
      <c r="AL546" s="10"/>
      <c r="AM546" s="10"/>
      <c r="AO546" s="10"/>
      <c r="AW546" s="143"/>
      <c r="BE546" s="10"/>
      <c r="BF546" s="10"/>
      <c r="BG546" s="10"/>
      <c r="BH546" s="10"/>
      <c r="BI546" s="10"/>
      <c r="BJ546" s="10"/>
      <c r="BK546" s="10"/>
      <c r="BS546" s="10"/>
      <c r="BT546" s="10"/>
      <c r="BW546" s="10"/>
    </row>
    <row r="547">
      <c r="A547" s="10"/>
      <c r="B547" s="10"/>
      <c r="C547" s="10"/>
      <c r="D547" s="10"/>
      <c r="E547" s="10"/>
      <c r="F547" s="10"/>
      <c r="G547" s="10"/>
      <c r="H547" s="10"/>
      <c r="T547" s="10"/>
      <c r="U547" s="10"/>
      <c r="V547" s="10"/>
      <c r="W547" s="10"/>
      <c r="Y547" s="10"/>
      <c r="Z547" s="10"/>
      <c r="AA547" s="10"/>
      <c r="AB547" s="10"/>
      <c r="AC547" s="10"/>
      <c r="AD547" s="10"/>
      <c r="AE547" s="10"/>
      <c r="AF547" s="10"/>
      <c r="AG547" s="10"/>
      <c r="AH547" s="10"/>
      <c r="AI547" s="10"/>
      <c r="AJ547" s="10"/>
      <c r="AL547" s="10"/>
      <c r="AM547" s="10"/>
      <c r="AO547" s="10"/>
      <c r="AW547" s="143"/>
      <c r="BE547" s="10"/>
      <c r="BF547" s="10"/>
      <c r="BG547" s="10"/>
      <c r="BH547" s="10"/>
      <c r="BI547" s="10"/>
      <c r="BJ547" s="10"/>
      <c r="BK547" s="10"/>
      <c r="BS547" s="10"/>
      <c r="BT547" s="10"/>
      <c r="BW547" s="10"/>
    </row>
    <row r="548">
      <c r="A548" s="10"/>
      <c r="B548" s="10"/>
      <c r="C548" s="10"/>
      <c r="D548" s="10"/>
      <c r="E548" s="10"/>
      <c r="F548" s="10"/>
      <c r="G548" s="10"/>
      <c r="H548" s="10"/>
      <c r="T548" s="10"/>
      <c r="U548" s="10"/>
      <c r="V548" s="10"/>
      <c r="W548" s="10"/>
      <c r="Y548" s="10"/>
      <c r="Z548" s="10"/>
      <c r="AA548" s="10"/>
      <c r="AB548" s="10"/>
      <c r="AC548" s="10"/>
      <c r="AD548" s="10"/>
      <c r="AE548" s="10"/>
      <c r="AF548" s="10"/>
      <c r="AG548" s="10"/>
      <c r="AH548" s="10"/>
      <c r="AI548" s="10"/>
      <c r="AJ548" s="10"/>
      <c r="AL548" s="10"/>
      <c r="AM548" s="10"/>
      <c r="AO548" s="10"/>
      <c r="AW548" s="143"/>
      <c r="BE548" s="10"/>
      <c r="BF548" s="10"/>
      <c r="BG548" s="10"/>
      <c r="BH548" s="10"/>
      <c r="BI548" s="10"/>
      <c r="BJ548" s="10"/>
      <c r="BK548" s="10"/>
      <c r="BS548" s="10"/>
      <c r="BT548" s="10"/>
      <c r="BW548" s="10"/>
    </row>
    <row r="549">
      <c r="A549" s="10"/>
      <c r="B549" s="10"/>
      <c r="C549" s="10"/>
      <c r="D549" s="10"/>
      <c r="E549" s="10"/>
      <c r="F549" s="10"/>
      <c r="G549" s="10"/>
      <c r="H549" s="10"/>
      <c r="T549" s="10"/>
      <c r="U549" s="10"/>
      <c r="V549" s="10"/>
      <c r="W549" s="10"/>
      <c r="Y549" s="10"/>
      <c r="Z549" s="10"/>
      <c r="AA549" s="10"/>
      <c r="AB549" s="10"/>
      <c r="AC549" s="10"/>
      <c r="AD549" s="10"/>
      <c r="AE549" s="10"/>
      <c r="AF549" s="10"/>
      <c r="AG549" s="10"/>
      <c r="AH549" s="10"/>
      <c r="AI549" s="10"/>
      <c r="AJ549" s="10"/>
      <c r="AL549" s="10"/>
      <c r="AM549" s="10"/>
      <c r="AO549" s="10"/>
      <c r="AW549" s="143"/>
      <c r="BE549" s="10"/>
      <c r="BF549" s="10"/>
      <c r="BG549" s="10"/>
      <c r="BH549" s="10"/>
      <c r="BI549" s="10"/>
      <c r="BJ549" s="10"/>
      <c r="BK549" s="10"/>
      <c r="BS549" s="10"/>
      <c r="BT549" s="10"/>
      <c r="BW549" s="10"/>
    </row>
    <row r="550">
      <c r="A550" s="10"/>
      <c r="B550" s="10"/>
      <c r="C550" s="10"/>
      <c r="D550" s="10"/>
      <c r="E550" s="10"/>
      <c r="F550" s="10"/>
      <c r="G550" s="10"/>
      <c r="H550" s="10"/>
      <c r="T550" s="10"/>
      <c r="U550" s="10"/>
      <c r="V550" s="10"/>
      <c r="W550" s="10"/>
      <c r="Y550" s="10"/>
      <c r="Z550" s="10"/>
      <c r="AA550" s="10"/>
      <c r="AB550" s="10"/>
      <c r="AC550" s="10"/>
      <c r="AD550" s="10"/>
      <c r="AE550" s="10"/>
      <c r="AF550" s="10"/>
      <c r="AG550" s="10"/>
      <c r="AH550" s="10"/>
      <c r="AI550" s="10"/>
      <c r="AJ550" s="10"/>
      <c r="AL550" s="10"/>
      <c r="AM550" s="10"/>
      <c r="AO550" s="10"/>
      <c r="AW550" s="143"/>
      <c r="BE550" s="10"/>
      <c r="BF550" s="10"/>
      <c r="BG550" s="10"/>
      <c r="BH550" s="10"/>
      <c r="BI550" s="10"/>
      <c r="BJ550" s="10"/>
      <c r="BK550" s="10"/>
      <c r="BS550" s="10"/>
      <c r="BT550" s="10"/>
      <c r="BW550" s="10"/>
    </row>
    <row r="551">
      <c r="A551" s="10"/>
      <c r="B551" s="10"/>
      <c r="C551" s="10"/>
      <c r="D551" s="10"/>
      <c r="E551" s="10"/>
      <c r="F551" s="10"/>
      <c r="G551" s="10"/>
      <c r="H551" s="10"/>
      <c r="T551" s="10"/>
      <c r="U551" s="10"/>
      <c r="V551" s="10"/>
      <c r="W551" s="10"/>
      <c r="Y551" s="10"/>
      <c r="Z551" s="10"/>
      <c r="AA551" s="10"/>
      <c r="AB551" s="10"/>
      <c r="AC551" s="10"/>
      <c r="AD551" s="10"/>
      <c r="AE551" s="10"/>
      <c r="AF551" s="10"/>
      <c r="AG551" s="10"/>
      <c r="AH551" s="10"/>
      <c r="AI551" s="10"/>
      <c r="AJ551" s="10"/>
      <c r="AL551" s="10"/>
      <c r="AM551" s="10"/>
      <c r="AO551" s="10"/>
      <c r="AW551" s="143"/>
      <c r="BE551" s="10"/>
      <c r="BF551" s="10"/>
      <c r="BG551" s="10"/>
      <c r="BH551" s="10"/>
      <c r="BI551" s="10"/>
      <c r="BJ551" s="10"/>
      <c r="BK551" s="10"/>
      <c r="BS551" s="10"/>
      <c r="BT551" s="10"/>
      <c r="BW551" s="10"/>
    </row>
    <row r="552">
      <c r="A552" s="10"/>
      <c r="B552" s="10"/>
      <c r="C552" s="10"/>
      <c r="D552" s="10"/>
      <c r="E552" s="10"/>
      <c r="F552" s="10"/>
      <c r="G552" s="10"/>
      <c r="H552" s="10"/>
      <c r="T552" s="10"/>
      <c r="U552" s="10"/>
      <c r="V552" s="10"/>
      <c r="W552" s="10"/>
      <c r="Y552" s="10"/>
      <c r="Z552" s="10"/>
      <c r="AA552" s="10"/>
      <c r="AB552" s="10"/>
      <c r="AC552" s="10"/>
      <c r="AD552" s="10"/>
      <c r="AE552" s="10"/>
      <c r="AF552" s="10"/>
      <c r="AG552" s="10"/>
      <c r="AH552" s="10"/>
      <c r="AI552" s="10"/>
      <c r="AJ552" s="10"/>
      <c r="AL552" s="10"/>
      <c r="AM552" s="10"/>
      <c r="AO552" s="10"/>
      <c r="AW552" s="143"/>
      <c r="BE552" s="10"/>
      <c r="BF552" s="10"/>
      <c r="BG552" s="10"/>
      <c r="BH552" s="10"/>
      <c r="BI552" s="10"/>
      <c r="BJ552" s="10"/>
      <c r="BK552" s="10"/>
      <c r="BS552" s="10"/>
      <c r="BT552" s="10"/>
      <c r="BW552" s="10"/>
    </row>
    <row r="553">
      <c r="A553" s="10"/>
      <c r="B553" s="10"/>
      <c r="C553" s="10"/>
      <c r="D553" s="10"/>
      <c r="E553" s="10"/>
      <c r="F553" s="10"/>
      <c r="G553" s="10"/>
      <c r="H553" s="10"/>
      <c r="T553" s="10"/>
      <c r="U553" s="10"/>
      <c r="V553" s="10"/>
      <c r="W553" s="10"/>
      <c r="Y553" s="10"/>
      <c r="Z553" s="10"/>
      <c r="AA553" s="10"/>
      <c r="AB553" s="10"/>
      <c r="AC553" s="10"/>
      <c r="AD553" s="10"/>
      <c r="AE553" s="10"/>
      <c r="AF553" s="10"/>
      <c r="AG553" s="10"/>
      <c r="AH553" s="10"/>
      <c r="AI553" s="10"/>
      <c r="AJ553" s="10"/>
      <c r="AL553" s="10"/>
      <c r="AM553" s="10"/>
      <c r="AO553" s="10"/>
      <c r="AW553" s="143"/>
      <c r="BE553" s="10"/>
      <c r="BF553" s="10"/>
      <c r="BG553" s="10"/>
      <c r="BH553" s="10"/>
      <c r="BI553" s="10"/>
      <c r="BJ553" s="10"/>
      <c r="BK553" s="10"/>
      <c r="BS553" s="10"/>
      <c r="BT553" s="10"/>
      <c r="BW553" s="10"/>
    </row>
    <row r="554">
      <c r="A554" s="10"/>
      <c r="B554" s="10"/>
      <c r="C554" s="10"/>
      <c r="D554" s="10"/>
      <c r="E554" s="10"/>
      <c r="F554" s="10"/>
      <c r="G554" s="10"/>
      <c r="H554" s="10"/>
      <c r="T554" s="10"/>
      <c r="U554" s="10"/>
      <c r="V554" s="10"/>
      <c r="W554" s="10"/>
      <c r="Y554" s="10"/>
      <c r="Z554" s="10"/>
      <c r="AA554" s="10"/>
      <c r="AB554" s="10"/>
      <c r="AC554" s="10"/>
      <c r="AD554" s="10"/>
      <c r="AE554" s="10"/>
      <c r="AF554" s="10"/>
      <c r="AG554" s="10"/>
      <c r="AH554" s="10"/>
      <c r="AI554" s="10"/>
      <c r="AJ554" s="10"/>
      <c r="AL554" s="10"/>
      <c r="AM554" s="10"/>
      <c r="AO554" s="10"/>
      <c r="AW554" s="143"/>
      <c r="BE554" s="10"/>
      <c r="BF554" s="10"/>
      <c r="BG554" s="10"/>
      <c r="BH554" s="10"/>
      <c r="BI554" s="10"/>
      <c r="BJ554" s="10"/>
      <c r="BK554" s="10"/>
      <c r="BS554" s="10"/>
      <c r="BT554" s="10"/>
      <c r="BW554" s="10"/>
    </row>
    <row r="555">
      <c r="A555" s="10"/>
      <c r="B555" s="10"/>
      <c r="C555" s="10"/>
      <c r="D555" s="10"/>
      <c r="E555" s="10"/>
      <c r="F555" s="10"/>
      <c r="G555" s="10"/>
      <c r="H555" s="10"/>
      <c r="T555" s="10"/>
      <c r="U555" s="10"/>
      <c r="V555" s="10"/>
      <c r="W555" s="10"/>
      <c r="X555" s="10"/>
      <c r="Y555" s="10"/>
      <c r="Z555" s="10"/>
      <c r="AA555" s="10"/>
      <c r="AB555" s="10"/>
      <c r="AC555" s="10"/>
      <c r="AD555" s="10"/>
      <c r="AE555" s="10"/>
      <c r="AF555" s="10"/>
      <c r="AG555" s="10"/>
      <c r="AH555" s="10"/>
      <c r="AI555" s="10"/>
      <c r="AJ555" s="10"/>
      <c r="AL555" s="10"/>
      <c r="AM555" s="10"/>
      <c r="AO555" s="10"/>
      <c r="AW555" s="143"/>
      <c r="BE555" s="10"/>
      <c r="BF555" s="10"/>
      <c r="BG555" s="10"/>
      <c r="BH555" s="10"/>
      <c r="BI555" s="10"/>
      <c r="BJ555" s="10"/>
      <c r="BK555" s="10"/>
      <c r="BS555" s="10"/>
      <c r="BT555" s="10"/>
      <c r="BW555" s="10"/>
    </row>
    <row r="556">
      <c r="A556" s="10"/>
      <c r="B556" s="10"/>
      <c r="C556" s="10"/>
      <c r="D556" s="10"/>
      <c r="E556" s="10"/>
      <c r="F556" s="10"/>
      <c r="G556" s="10"/>
      <c r="H556" s="10"/>
      <c r="T556" s="10"/>
      <c r="U556" s="10"/>
      <c r="V556" s="10"/>
      <c r="W556" s="10"/>
      <c r="Y556" s="10"/>
      <c r="Z556" s="10"/>
      <c r="AA556" s="10"/>
      <c r="AB556" s="10"/>
      <c r="AC556" s="10"/>
      <c r="AD556" s="10"/>
      <c r="AE556" s="10"/>
      <c r="AF556" s="10"/>
      <c r="AG556" s="10"/>
      <c r="AH556" s="10"/>
      <c r="AI556" s="10"/>
      <c r="AJ556" s="10"/>
      <c r="AL556" s="10"/>
      <c r="AM556" s="10"/>
      <c r="AO556" s="10"/>
      <c r="AW556" s="143"/>
      <c r="BE556" s="10"/>
      <c r="BF556" s="10"/>
      <c r="BG556" s="10"/>
      <c r="BH556" s="10"/>
      <c r="BI556" s="10"/>
      <c r="BJ556" s="10"/>
      <c r="BK556" s="10"/>
      <c r="BS556" s="10"/>
      <c r="BT556" s="10"/>
      <c r="BW556" s="10"/>
    </row>
    <row r="557">
      <c r="A557" s="10"/>
      <c r="B557" s="10"/>
      <c r="C557" s="10"/>
      <c r="D557" s="10"/>
      <c r="E557" s="10"/>
      <c r="F557" s="10"/>
      <c r="G557" s="10"/>
      <c r="H557" s="10"/>
      <c r="I557" s="10"/>
      <c r="V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U557" s="10"/>
      <c r="AV557" s="10"/>
      <c r="AW557" s="143"/>
      <c r="BS557" s="10"/>
      <c r="BT557" s="10"/>
      <c r="BW557" s="10"/>
    </row>
    <row r="558">
      <c r="A558" s="10"/>
      <c r="B558" s="10"/>
      <c r="C558" s="10"/>
      <c r="D558" s="10"/>
      <c r="E558" s="10"/>
      <c r="F558" s="10"/>
      <c r="G558" s="10"/>
      <c r="H558" s="10"/>
      <c r="I558" s="10"/>
      <c r="V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U558" s="10"/>
      <c r="AV558" s="10"/>
      <c r="AW558" s="143"/>
      <c r="BS558" s="10"/>
      <c r="BT558" s="10"/>
      <c r="BW558" s="10"/>
    </row>
    <row r="559">
      <c r="A559" s="10"/>
      <c r="B559" s="10"/>
      <c r="C559" s="10"/>
      <c r="D559" s="10"/>
      <c r="E559" s="10"/>
      <c r="F559" s="10"/>
      <c r="G559" s="10"/>
      <c r="H559" s="10"/>
      <c r="I559" s="10"/>
      <c r="V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U559" s="10"/>
      <c r="AV559" s="10"/>
      <c r="AW559" s="143"/>
      <c r="BS559" s="10"/>
      <c r="BT559" s="10"/>
      <c r="BW559" s="10"/>
    </row>
    <row r="560">
      <c r="A560" s="10"/>
      <c r="B560" s="10"/>
      <c r="C560" s="10"/>
      <c r="D560" s="10"/>
      <c r="E560" s="10"/>
      <c r="F560" s="10"/>
      <c r="G560" s="10"/>
      <c r="H560" s="10"/>
      <c r="I560" s="10"/>
      <c r="V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U560" s="10"/>
      <c r="AV560" s="10"/>
      <c r="AW560" s="143"/>
      <c r="BS560" s="10"/>
      <c r="BT560" s="10"/>
      <c r="BW560" s="10"/>
    </row>
    <row r="561">
      <c r="A561" s="10"/>
      <c r="B561" s="10"/>
      <c r="C561" s="10"/>
      <c r="D561" s="10"/>
      <c r="E561" s="10"/>
      <c r="F561" s="10"/>
      <c r="G561" s="10"/>
      <c r="H561" s="10"/>
      <c r="I561" s="10"/>
      <c r="V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U561" s="10"/>
      <c r="AV561" s="10"/>
      <c r="AW561" s="143"/>
      <c r="BS561" s="10"/>
      <c r="BT561" s="10"/>
      <c r="BW561" s="10"/>
    </row>
    <row r="562">
      <c r="A562" s="10"/>
      <c r="B562" s="10"/>
      <c r="C562" s="10"/>
      <c r="D562" s="10"/>
      <c r="E562" s="10"/>
      <c r="F562" s="10"/>
      <c r="G562" s="10"/>
      <c r="H562" s="10"/>
      <c r="I562" s="10"/>
      <c r="V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U562" s="10"/>
      <c r="AV562" s="10"/>
      <c r="AW562" s="143"/>
      <c r="BS562" s="10"/>
      <c r="BT562" s="10"/>
      <c r="BW562" s="10"/>
    </row>
    <row r="563">
      <c r="A563" s="10"/>
      <c r="B563" s="10"/>
      <c r="C563" s="10"/>
      <c r="D563" s="10"/>
      <c r="E563" s="10"/>
      <c r="F563" s="10"/>
      <c r="G563" s="10"/>
      <c r="H563" s="10"/>
      <c r="I563" s="10"/>
      <c r="V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U563" s="10"/>
      <c r="AV563" s="10"/>
      <c r="AW563" s="143"/>
      <c r="BS563" s="10"/>
      <c r="BT563" s="10"/>
      <c r="BW563" s="10"/>
    </row>
    <row r="564">
      <c r="A564" s="10"/>
      <c r="B564" s="10"/>
      <c r="C564" s="10"/>
      <c r="D564" s="10"/>
      <c r="E564" s="10"/>
      <c r="F564" s="10"/>
      <c r="G564" s="10"/>
      <c r="H564" s="10"/>
      <c r="I564" s="10"/>
      <c r="V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U564" s="10"/>
      <c r="AV564" s="10"/>
      <c r="AW564" s="143"/>
      <c r="BS564" s="10"/>
      <c r="BT564" s="10"/>
      <c r="BW564" s="10"/>
    </row>
    <row r="565">
      <c r="A565" s="10"/>
      <c r="B565" s="10"/>
      <c r="C565" s="10"/>
      <c r="D565" s="10"/>
      <c r="E565" s="10"/>
      <c r="F565" s="10"/>
      <c r="G565" s="10"/>
      <c r="H565" s="10"/>
      <c r="I565" s="10"/>
      <c r="V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U565" s="10"/>
      <c r="AV565" s="10"/>
      <c r="AW565" s="143"/>
      <c r="BS565" s="10"/>
      <c r="BT565" s="10"/>
      <c r="BW565" s="10"/>
    </row>
    <row r="566">
      <c r="A566" s="10"/>
      <c r="B566" s="10"/>
      <c r="C566" s="10"/>
      <c r="D566" s="10"/>
      <c r="E566" s="10"/>
      <c r="F566" s="10"/>
      <c r="G566" s="10"/>
      <c r="H566" s="10"/>
      <c r="I566" s="10"/>
      <c r="V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U566" s="10"/>
      <c r="AV566" s="10"/>
      <c r="AW566" s="143"/>
      <c r="BS566" s="10"/>
      <c r="BT566" s="10"/>
      <c r="BW566" s="10"/>
    </row>
    <row r="567">
      <c r="A567" s="10"/>
      <c r="B567" s="10"/>
      <c r="C567" s="10"/>
      <c r="D567" s="10"/>
      <c r="E567" s="10"/>
      <c r="F567" s="10"/>
      <c r="G567" s="10"/>
      <c r="H567" s="10"/>
      <c r="I567" s="10"/>
      <c r="V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U567" s="10"/>
      <c r="AV567" s="10"/>
      <c r="AW567" s="143"/>
      <c r="BS567" s="10"/>
      <c r="BT567" s="10"/>
      <c r="BW567" s="10"/>
    </row>
    <row r="568">
      <c r="A568" s="10"/>
      <c r="B568" s="10"/>
      <c r="C568" s="10"/>
      <c r="D568" s="10"/>
      <c r="E568" s="10"/>
      <c r="F568" s="10"/>
      <c r="G568" s="10"/>
      <c r="H568" s="10"/>
      <c r="I568" s="10"/>
      <c r="V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U568" s="10"/>
      <c r="AV568" s="10"/>
      <c r="AW568" s="143"/>
      <c r="BS568" s="10"/>
      <c r="BT568" s="10"/>
      <c r="BW568" s="10"/>
    </row>
    <row r="569">
      <c r="A569" s="10"/>
      <c r="B569" s="10"/>
      <c r="C569" s="10"/>
      <c r="D569" s="10"/>
      <c r="E569" s="10"/>
      <c r="F569" s="10"/>
      <c r="G569" s="10"/>
      <c r="H569" s="10"/>
      <c r="I569" s="10"/>
      <c r="V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U569" s="10"/>
      <c r="AV569" s="10"/>
      <c r="AW569" s="143"/>
      <c r="BS569" s="10"/>
      <c r="BT569" s="10"/>
      <c r="BW569" s="10"/>
    </row>
    <row r="570">
      <c r="A570" s="10"/>
      <c r="B570" s="10"/>
      <c r="C570" s="10"/>
      <c r="D570" s="10"/>
      <c r="E570" s="10"/>
      <c r="F570" s="10"/>
      <c r="G570" s="10"/>
      <c r="H570" s="10"/>
      <c r="I570" s="10"/>
      <c r="V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U570" s="10"/>
      <c r="AV570" s="10"/>
      <c r="AW570" s="143"/>
      <c r="BS570" s="10"/>
      <c r="BT570" s="10"/>
      <c r="BW570" s="10"/>
    </row>
    <row r="571">
      <c r="A571" s="10"/>
      <c r="B571" s="10"/>
      <c r="C571" s="10"/>
      <c r="D571" s="10"/>
      <c r="E571" s="10"/>
      <c r="F571" s="10"/>
      <c r="G571" s="10"/>
      <c r="H571" s="10"/>
      <c r="I571" s="10"/>
      <c r="V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U571" s="10"/>
      <c r="AV571" s="10"/>
      <c r="AW571" s="143"/>
      <c r="BS571" s="10"/>
      <c r="BT571" s="10"/>
      <c r="BW571" s="10"/>
    </row>
    <row r="572">
      <c r="A572" s="10"/>
      <c r="B572" s="10"/>
      <c r="C572" s="10"/>
      <c r="D572" s="10"/>
      <c r="E572" s="10"/>
      <c r="F572" s="10"/>
      <c r="G572" s="10"/>
      <c r="H572" s="10"/>
      <c r="I572" s="10"/>
      <c r="V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U572" s="10"/>
      <c r="AV572" s="10"/>
      <c r="AW572" s="143"/>
      <c r="BS572" s="10"/>
      <c r="BT572" s="10"/>
      <c r="BW572" s="10"/>
    </row>
    <row r="573">
      <c r="A573" s="10"/>
      <c r="B573" s="10"/>
      <c r="C573" s="10"/>
      <c r="D573" s="10"/>
      <c r="E573" s="10"/>
      <c r="F573" s="10"/>
      <c r="G573" s="10"/>
      <c r="H573" s="10"/>
      <c r="I573" s="10"/>
      <c r="V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U573" s="10"/>
      <c r="AV573" s="10"/>
      <c r="AW573" s="143"/>
      <c r="BS573" s="10"/>
      <c r="BT573" s="10"/>
      <c r="BW573" s="10"/>
    </row>
    <row r="574">
      <c r="A574" s="10"/>
      <c r="B574" s="10"/>
      <c r="C574" s="10"/>
      <c r="D574" s="10"/>
      <c r="E574" s="10"/>
      <c r="F574" s="10"/>
      <c r="G574" s="10"/>
      <c r="H574" s="10"/>
      <c r="I574" s="10"/>
      <c r="V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U574" s="10"/>
      <c r="AV574" s="10"/>
      <c r="AW574" s="143"/>
      <c r="BS574" s="10"/>
      <c r="BT574" s="10"/>
      <c r="BW574" s="10"/>
    </row>
    <row r="575">
      <c r="A575" s="10"/>
      <c r="B575" s="10"/>
      <c r="C575" s="10"/>
      <c r="D575" s="10"/>
      <c r="E575" s="10"/>
      <c r="F575" s="10"/>
      <c r="G575" s="10"/>
      <c r="H575" s="10"/>
      <c r="I575" s="10"/>
      <c r="V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U575" s="10"/>
      <c r="AV575" s="10"/>
      <c r="AW575" s="143"/>
      <c r="BS575" s="10"/>
      <c r="BT575" s="10"/>
      <c r="BW575" s="10"/>
    </row>
    <row r="576">
      <c r="A576" s="10"/>
      <c r="B576" s="10"/>
      <c r="C576" s="10"/>
      <c r="D576" s="10"/>
      <c r="E576" s="10"/>
      <c r="F576" s="10"/>
      <c r="G576" s="10"/>
      <c r="H576" s="10"/>
      <c r="I576" s="10"/>
      <c r="V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U576" s="10"/>
      <c r="AV576" s="10"/>
      <c r="AW576" s="143"/>
      <c r="BS576" s="10"/>
      <c r="BT576" s="10"/>
      <c r="BW576" s="10"/>
    </row>
    <row r="577">
      <c r="A577" s="10"/>
      <c r="B577" s="10"/>
      <c r="C577" s="10"/>
      <c r="D577" s="10"/>
      <c r="E577" s="10"/>
      <c r="F577" s="10"/>
      <c r="G577" s="10"/>
      <c r="H577" s="10"/>
      <c r="I577" s="10"/>
      <c r="V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U577" s="10"/>
      <c r="AV577" s="10"/>
      <c r="AW577" s="143"/>
      <c r="BS577" s="10"/>
      <c r="BT577" s="10"/>
      <c r="BW577" s="10"/>
    </row>
    <row r="578">
      <c r="A578" s="10"/>
      <c r="B578" s="10"/>
      <c r="C578" s="10"/>
      <c r="D578" s="10"/>
      <c r="E578" s="10"/>
      <c r="F578" s="10"/>
      <c r="G578" s="10"/>
      <c r="H578" s="10"/>
      <c r="I578" s="10"/>
      <c r="V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U578" s="10"/>
      <c r="AV578" s="10"/>
      <c r="AW578" s="143"/>
      <c r="BS578" s="10"/>
      <c r="BT578" s="10"/>
      <c r="BW578" s="10"/>
    </row>
    <row r="579">
      <c r="A579" s="10"/>
      <c r="B579" s="10"/>
      <c r="C579" s="10"/>
      <c r="D579" s="10"/>
      <c r="E579" s="10"/>
      <c r="F579" s="10"/>
      <c r="G579" s="10"/>
      <c r="H579" s="10"/>
      <c r="I579" s="10"/>
      <c r="V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U579" s="10"/>
      <c r="AV579" s="10"/>
      <c r="AW579" s="143"/>
      <c r="BE579" s="10"/>
      <c r="BF579" s="10"/>
      <c r="BG579" s="10"/>
      <c r="BH579" s="10"/>
      <c r="BI579" s="10"/>
      <c r="BJ579" s="10"/>
      <c r="BK579" s="10"/>
      <c r="BS579" s="10"/>
      <c r="BT579" s="10"/>
      <c r="BW579" s="10"/>
    </row>
    <row r="580">
      <c r="A580" s="10"/>
      <c r="B580" s="10"/>
      <c r="C580" s="10"/>
      <c r="D580" s="10"/>
      <c r="E580" s="10"/>
      <c r="F580" s="10"/>
      <c r="G580" s="10"/>
      <c r="H580" s="10"/>
      <c r="I580" s="10"/>
      <c r="V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U580" s="10"/>
      <c r="AV580" s="10"/>
      <c r="AW580" s="143"/>
      <c r="BE580" s="10"/>
      <c r="BF580" s="10"/>
      <c r="BG580" s="10"/>
      <c r="BH580" s="10"/>
      <c r="BI580" s="10"/>
      <c r="BJ580" s="10"/>
      <c r="BK580" s="10"/>
      <c r="BS580" s="10"/>
      <c r="BT580" s="10"/>
      <c r="BW580" s="10"/>
    </row>
    <row r="581">
      <c r="A581" s="10"/>
      <c r="B581" s="10"/>
      <c r="C581" s="10"/>
      <c r="D581" s="10"/>
      <c r="E581" s="10"/>
      <c r="F581" s="10"/>
      <c r="G581" s="10"/>
      <c r="H581" s="10"/>
      <c r="I581" s="10"/>
      <c r="V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U581" s="10"/>
      <c r="AV581" s="10"/>
      <c r="AW581" s="143"/>
      <c r="BE581" s="10"/>
      <c r="BF581" s="10"/>
      <c r="BG581" s="10"/>
      <c r="BH581" s="10"/>
      <c r="BI581" s="10"/>
      <c r="BJ581" s="10"/>
      <c r="BK581" s="10"/>
      <c r="BS581" s="10"/>
      <c r="BT581" s="10"/>
      <c r="BW581" s="10"/>
    </row>
    <row r="582">
      <c r="A582" s="10"/>
      <c r="B582" s="10"/>
      <c r="C582" s="10"/>
      <c r="D582" s="10"/>
      <c r="E582" s="10"/>
      <c r="F582" s="10"/>
      <c r="G582" s="10"/>
      <c r="H582" s="10"/>
      <c r="I582" s="10"/>
      <c r="V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U582" s="10"/>
      <c r="AV582" s="10"/>
      <c r="AW582" s="143"/>
      <c r="BE582" s="10"/>
      <c r="BF582" s="10"/>
      <c r="BG582" s="10"/>
      <c r="BH582" s="10"/>
      <c r="BI582" s="10"/>
      <c r="BJ582" s="10"/>
      <c r="BK582" s="10"/>
      <c r="BS582" s="10"/>
      <c r="BT582" s="10"/>
      <c r="BW582" s="10"/>
    </row>
    <row r="583">
      <c r="A583" s="10"/>
      <c r="B583" s="10"/>
      <c r="C583" s="10"/>
      <c r="D583" s="10"/>
      <c r="E583" s="10"/>
      <c r="F583" s="10"/>
      <c r="G583" s="10"/>
      <c r="H583" s="10"/>
      <c r="I583" s="10"/>
      <c r="V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U583" s="10"/>
      <c r="AV583" s="10"/>
      <c r="AW583" s="143"/>
      <c r="BE583" s="10"/>
      <c r="BF583" s="10"/>
      <c r="BG583" s="10"/>
      <c r="BH583" s="10"/>
      <c r="BI583" s="10"/>
      <c r="BJ583" s="10"/>
      <c r="BK583" s="10"/>
      <c r="BS583" s="10"/>
      <c r="BT583" s="10"/>
      <c r="BW583" s="10"/>
    </row>
    <row r="584">
      <c r="A584" s="10"/>
      <c r="B584" s="10"/>
      <c r="C584" s="10"/>
      <c r="D584" s="10"/>
      <c r="E584" s="10"/>
      <c r="F584" s="10"/>
      <c r="G584" s="10"/>
      <c r="H584" s="10"/>
      <c r="I584" s="10"/>
      <c r="V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U584" s="10"/>
      <c r="AV584" s="10"/>
      <c r="AW584" s="143"/>
      <c r="BE584" s="10"/>
      <c r="BF584" s="10"/>
      <c r="BG584" s="10"/>
      <c r="BH584" s="10"/>
      <c r="BI584" s="10"/>
      <c r="BJ584" s="10"/>
      <c r="BK584" s="10"/>
      <c r="BS584" s="10"/>
      <c r="BT584" s="10"/>
      <c r="BW584" s="10"/>
    </row>
    <row r="585">
      <c r="A585" s="10"/>
      <c r="B585" s="10"/>
      <c r="C585" s="10"/>
      <c r="D585" s="10"/>
      <c r="E585" s="10"/>
      <c r="F585" s="10"/>
      <c r="G585" s="10"/>
      <c r="H585" s="10"/>
      <c r="I585" s="10"/>
      <c r="V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U585" s="10"/>
      <c r="AV585" s="10"/>
      <c r="AW585" s="143"/>
      <c r="BE585" s="10"/>
      <c r="BF585" s="10"/>
      <c r="BG585" s="10"/>
      <c r="BH585" s="10"/>
      <c r="BI585" s="10"/>
      <c r="BJ585" s="10"/>
      <c r="BK585" s="10"/>
      <c r="BS585" s="10"/>
      <c r="BT585" s="10"/>
      <c r="BW585" s="10"/>
    </row>
    <row r="586">
      <c r="A586" s="10"/>
      <c r="B586" s="10"/>
      <c r="C586" s="10"/>
      <c r="D586" s="10"/>
      <c r="E586" s="10"/>
      <c r="F586" s="10"/>
      <c r="G586" s="10"/>
      <c r="H586" s="10"/>
      <c r="I586" s="10"/>
      <c r="V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U586" s="10"/>
      <c r="AV586" s="10"/>
      <c r="AW586" s="143"/>
      <c r="BE586" s="10"/>
      <c r="BF586" s="10"/>
      <c r="BG586" s="10"/>
      <c r="BH586" s="10"/>
      <c r="BI586" s="10"/>
      <c r="BJ586" s="10"/>
      <c r="BK586" s="10"/>
      <c r="BS586" s="10"/>
      <c r="BT586" s="10"/>
      <c r="BW586" s="10"/>
    </row>
    <row r="587">
      <c r="A587" s="10"/>
      <c r="B587" s="10"/>
      <c r="C587" s="10"/>
      <c r="D587" s="10"/>
      <c r="E587" s="10"/>
      <c r="F587" s="10"/>
      <c r="G587" s="10"/>
      <c r="H587" s="10"/>
      <c r="I587" s="10"/>
      <c r="V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U587" s="10"/>
      <c r="AV587" s="10"/>
      <c r="AW587" s="143"/>
      <c r="BE587" s="10"/>
      <c r="BF587" s="10"/>
      <c r="BG587" s="10"/>
      <c r="BH587" s="10"/>
      <c r="BI587" s="10"/>
      <c r="BJ587" s="10"/>
      <c r="BK587" s="10"/>
      <c r="BS587" s="10"/>
      <c r="BT587" s="10"/>
      <c r="BW587" s="10"/>
    </row>
    <row r="588">
      <c r="A588" s="10"/>
      <c r="B588" s="10"/>
      <c r="C588" s="10"/>
      <c r="D588" s="10"/>
      <c r="E588" s="10"/>
      <c r="F588" s="10"/>
      <c r="G588" s="10"/>
      <c r="H588" s="10"/>
      <c r="I588" s="10"/>
      <c r="V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U588" s="10"/>
      <c r="AV588" s="10"/>
      <c r="AW588" s="143"/>
      <c r="BE588" s="10"/>
      <c r="BF588" s="10"/>
      <c r="BG588" s="10"/>
      <c r="BH588" s="10"/>
      <c r="BI588" s="10"/>
      <c r="BJ588" s="10"/>
      <c r="BK588" s="10"/>
      <c r="BS588" s="10"/>
      <c r="BT588" s="10"/>
      <c r="BW588" s="10"/>
    </row>
    <row r="589">
      <c r="A589" s="10"/>
      <c r="B589" s="10"/>
      <c r="C589" s="10"/>
      <c r="D589" s="10"/>
      <c r="E589" s="10"/>
      <c r="F589" s="10"/>
      <c r="G589" s="10"/>
      <c r="H589" s="10"/>
      <c r="I589" s="10"/>
      <c r="V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U589" s="10"/>
      <c r="AV589" s="10"/>
      <c r="AW589" s="143"/>
      <c r="BE589" s="10"/>
      <c r="BF589" s="10"/>
      <c r="BG589" s="10"/>
      <c r="BH589" s="10"/>
      <c r="BI589" s="10"/>
      <c r="BJ589" s="10"/>
      <c r="BK589" s="10"/>
      <c r="BS589" s="10"/>
      <c r="BT589" s="10"/>
      <c r="BW589" s="10"/>
    </row>
    <row r="590">
      <c r="A590" s="10"/>
      <c r="B590" s="10"/>
      <c r="C590" s="10"/>
      <c r="D590" s="10"/>
      <c r="E590" s="10"/>
      <c r="F590" s="10"/>
      <c r="G590" s="10"/>
      <c r="H590" s="10"/>
      <c r="I590" s="10"/>
      <c r="V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U590" s="10"/>
      <c r="AV590" s="10"/>
      <c r="AW590" s="143"/>
      <c r="BE590" s="10"/>
      <c r="BF590" s="10"/>
      <c r="BG590" s="10"/>
      <c r="BH590" s="10"/>
      <c r="BI590" s="10"/>
      <c r="BJ590" s="10"/>
      <c r="BK590" s="10"/>
      <c r="BS590" s="10"/>
      <c r="BT590" s="10"/>
      <c r="BW590" s="10"/>
    </row>
    <row r="591">
      <c r="A591" s="10"/>
      <c r="B591" s="10"/>
      <c r="C591" s="10"/>
      <c r="D591" s="10"/>
      <c r="E591" s="10"/>
      <c r="F591" s="10"/>
      <c r="G591" s="10"/>
      <c r="H591" s="10"/>
      <c r="I591" s="10"/>
      <c r="V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U591" s="10"/>
      <c r="AV591" s="10"/>
      <c r="AW591" s="143"/>
      <c r="BE591" s="10"/>
      <c r="BF591" s="10"/>
      <c r="BG591" s="10"/>
      <c r="BH591" s="10"/>
      <c r="BI591" s="10"/>
      <c r="BJ591" s="10"/>
      <c r="BK591" s="10"/>
      <c r="BS591" s="10"/>
      <c r="BT591" s="10"/>
      <c r="BW591" s="10"/>
    </row>
    <row r="592">
      <c r="A592" s="10"/>
      <c r="B592" s="10"/>
      <c r="C592" s="10"/>
      <c r="D592" s="10"/>
      <c r="E592" s="10"/>
      <c r="F592" s="10"/>
      <c r="G592" s="10"/>
      <c r="H592" s="10"/>
      <c r="I592" s="10"/>
      <c r="P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43"/>
      <c r="BE592" s="10"/>
      <c r="BF592" s="10"/>
      <c r="BG592" s="10"/>
      <c r="BH592" s="10"/>
      <c r="BI592" s="10"/>
      <c r="BJ592" s="10"/>
      <c r="BK592" s="10"/>
      <c r="BS592" s="10"/>
      <c r="BT592" s="10"/>
      <c r="BW592" s="10"/>
    </row>
    <row r="593">
      <c r="A593" s="10"/>
      <c r="B593" s="10"/>
      <c r="C593" s="10"/>
      <c r="D593" s="10"/>
      <c r="E593" s="10"/>
      <c r="F593" s="10"/>
      <c r="G593" s="10"/>
      <c r="H593" s="10"/>
      <c r="I593" s="10"/>
      <c r="P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43"/>
      <c r="BE593" s="10"/>
      <c r="BF593" s="10"/>
      <c r="BG593" s="10"/>
      <c r="BH593" s="10"/>
      <c r="BI593" s="10"/>
      <c r="BJ593" s="10"/>
      <c r="BK593" s="10"/>
      <c r="BS593" s="10"/>
      <c r="BT593" s="10"/>
      <c r="BW593" s="10"/>
    </row>
    <row r="594">
      <c r="A594" s="10"/>
      <c r="B594" s="10"/>
      <c r="C594" s="10"/>
      <c r="D594" s="10"/>
      <c r="E594" s="10"/>
      <c r="F594" s="10"/>
      <c r="G594" s="10"/>
      <c r="H594" s="10"/>
      <c r="I594" s="10"/>
      <c r="N594" s="10"/>
      <c r="V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U594" s="10"/>
      <c r="AV594" s="10"/>
      <c r="AW594" s="143"/>
      <c r="BS594" s="10"/>
      <c r="BT594" s="10"/>
      <c r="BW594" s="10"/>
    </row>
    <row r="595">
      <c r="A595" s="10"/>
      <c r="B595" s="10"/>
      <c r="C595" s="10"/>
      <c r="D595" s="10"/>
      <c r="E595" s="10"/>
      <c r="F595" s="10"/>
      <c r="G595" s="10"/>
      <c r="H595" s="10"/>
      <c r="I595" s="10"/>
      <c r="N595" s="10"/>
      <c r="V595" s="10"/>
      <c r="W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U595" s="10"/>
      <c r="AV595" s="10"/>
      <c r="AW595" s="143"/>
      <c r="BE595" s="10"/>
      <c r="BF595" s="10"/>
      <c r="BG595" s="10"/>
      <c r="BH595" s="10"/>
      <c r="BI595" s="10"/>
      <c r="BJ595" s="10"/>
      <c r="BK595" s="10"/>
      <c r="BS595" s="10"/>
      <c r="BT595" s="10"/>
      <c r="BW595" s="10"/>
    </row>
    <row r="596">
      <c r="A596" s="10"/>
      <c r="B596" s="10"/>
      <c r="C596" s="10"/>
      <c r="D596" s="10"/>
      <c r="E596" s="10"/>
      <c r="F596" s="10"/>
      <c r="G596" s="10"/>
      <c r="H596" s="10"/>
      <c r="I596" s="10"/>
      <c r="V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U596" s="10"/>
      <c r="AV596" s="10"/>
      <c r="AW596" s="143"/>
      <c r="BS596" s="10"/>
      <c r="BT596" s="10"/>
      <c r="BW596" s="10"/>
    </row>
    <row r="597">
      <c r="A597" s="10"/>
      <c r="B597" s="10"/>
      <c r="C597" s="10"/>
      <c r="D597" s="10"/>
      <c r="E597" s="10"/>
      <c r="F597" s="10"/>
      <c r="G597" s="10"/>
      <c r="H597" s="10"/>
      <c r="I597" s="10"/>
      <c r="N597" s="10"/>
      <c r="V597" s="10"/>
      <c r="W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U597" s="10"/>
      <c r="AV597" s="10"/>
      <c r="AW597" s="143"/>
      <c r="BE597" s="10"/>
      <c r="BF597" s="10"/>
      <c r="BG597" s="10"/>
      <c r="BH597" s="10"/>
      <c r="BI597" s="10"/>
      <c r="BJ597" s="10"/>
      <c r="BK597" s="10"/>
      <c r="BS597" s="10"/>
      <c r="BT597" s="10"/>
      <c r="BW597" s="10"/>
    </row>
    <row r="598">
      <c r="A598" s="10"/>
      <c r="B598" s="10"/>
      <c r="C598" s="10"/>
      <c r="D598" s="10"/>
      <c r="E598" s="10"/>
      <c r="F598" s="10"/>
      <c r="G598" s="10"/>
      <c r="H598" s="10"/>
      <c r="I598" s="10"/>
      <c r="N598" s="10"/>
      <c r="V598" s="10"/>
      <c r="W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U598" s="10"/>
      <c r="AV598" s="10"/>
      <c r="AW598" s="143"/>
      <c r="BE598" s="10"/>
      <c r="BF598" s="10"/>
      <c r="BG598" s="10"/>
      <c r="BH598" s="10"/>
      <c r="BI598" s="10"/>
      <c r="BJ598" s="10"/>
      <c r="BK598" s="10"/>
      <c r="BS598" s="10"/>
      <c r="BT598" s="10"/>
      <c r="BW598" s="10"/>
    </row>
    <row r="599">
      <c r="A599" s="10"/>
      <c r="B599" s="10"/>
      <c r="C599" s="10"/>
      <c r="D599" s="10"/>
      <c r="E599" s="10"/>
      <c r="F599" s="10"/>
      <c r="G599" s="10"/>
      <c r="H599" s="10"/>
      <c r="I599" s="10"/>
      <c r="N599" s="10"/>
      <c r="V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U599" s="10"/>
      <c r="AV599" s="10"/>
      <c r="AW599" s="143"/>
      <c r="BS599" s="10"/>
      <c r="BT599" s="10"/>
      <c r="BW599" s="10"/>
    </row>
    <row r="600">
      <c r="A600" s="10"/>
      <c r="B600" s="10"/>
      <c r="C600" s="10"/>
      <c r="D600" s="10"/>
      <c r="E600" s="10"/>
      <c r="F600" s="10"/>
      <c r="G600" s="10"/>
      <c r="H600" s="10"/>
      <c r="I600" s="10"/>
      <c r="N600" s="10"/>
      <c r="V600" s="10"/>
      <c r="W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U600" s="10"/>
      <c r="AV600" s="10"/>
      <c r="AW600" s="143"/>
      <c r="BE600" s="10"/>
      <c r="BF600" s="10"/>
      <c r="BG600" s="10"/>
      <c r="BH600" s="10"/>
      <c r="BI600" s="10"/>
      <c r="BJ600" s="10"/>
      <c r="BK600" s="10"/>
      <c r="BS600" s="10"/>
      <c r="BT600" s="10"/>
      <c r="BW600" s="10"/>
    </row>
    <row r="601">
      <c r="A601" s="10"/>
      <c r="B601" s="10"/>
      <c r="C601" s="10"/>
      <c r="D601" s="10"/>
      <c r="E601" s="10"/>
      <c r="F601" s="10"/>
      <c r="G601" s="10"/>
      <c r="H601" s="10"/>
      <c r="I601" s="10"/>
      <c r="N601" s="10"/>
      <c r="T601" s="10"/>
      <c r="U601" s="10"/>
      <c r="V601" s="10"/>
      <c r="W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U601" s="10"/>
      <c r="AV601" s="10"/>
      <c r="AW601" s="143"/>
      <c r="BE601" s="10"/>
      <c r="BF601" s="10"/>
      <c r="BG601" s="10"/>
      <c r="BH601" s="10"/>
      <c r="BI601" s="10"/>
      <c r="BJ601" s="10"/>
      <c r="BK601" s="10"/>
      <c r="BS601" s="10"/>
      <c r="BT601" s="10"/>
      <c r="BW601" s="10"/>
    </row>
    <row r="602">
      <c r="A602" s="10"/>
      <c r="B602" s="10"/>
      <c r="C602" s="10"/>
      <c r="D602" s="10"/>
      <c r="E602" s="10"/>
      <c r="F602" s="10"/>
      <c r="G602" s="10"/>
      <c r="H602" s="10"/>
      <c r="J602" s="10"/>
      <c r="K602" s="10"/>
      <c r="L602" s="10"/>
      <c r="P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W602" s="143"/>
      <c r="AZ602" s="10"/>
      <c r="BE602" s="10"/>
      <c r="BF602" s="10"/>
      <c r="BG602" s="10"/>
      <c r="BH602" s="10"/>
      <c r="BI602" s="10"/>
      <c r="BJ602" s="10"/>
      <c r="BK602" s="10"/>
      <c r="BS602" s="10"/>
      <c r="BT602" s="10"/>
      <c r="BW602" s="10"/>
    </row>
    <row r="603">
      <c r="A603" s="10"/>
      <c r="B603" s="10"/>
      <c r="C603" s="10"/>
      <c r="D603" s="10"/>
      <c r="E603" s="10"/>
      <c r="F603" s="10"/>
      <c r="G603" s="10"/>
      <c r="H603" s="10"/>
      <c r="K603" s="10"/>
      <c r="L603" s="10"/>
      <c r="T603" s="10"/>
      <c r="U603" s="10"/>
      <c r="V603" s="10"/>
      <c r="W603" s="10"/>
      <c r="Y603" s="10"/>
      <c r="Z603" s="10"/>
      <c r="AA603" s="10"/>
      <c r="AB603" s="10"/>
      <c r="AC603" s="10"/>
      <c r="AD603" s="10"/>
      <c r="AE603" s="10"/>
      <c r="AF603" s="10"/>
      <c r="AG603" s="10"/>
      <c r="AH603" s="10"/>
      <c r="AI603" s="10"/>
      <c r="AJ603" s="10"/>
      <c r="AK603" s="10"/>
      <c r="AL603" s="10"/>
      <c r="AM603" s="10"/>
      <c r="AN603" s="10"/>
      <c r="AO603" s="10"/>
      <c r="AW603" s="143"/>
      <c r="AZ603" s="10"/>
      <c r="BE603" s="10"/>
      <c r="BF603" s="10"/>
      <c r="BG603" s="10"/>
      <c r="BH603" s="10"/>
      <c r="BI603" s="10"/>
      <c r="BJ603" s="10"/>
      <c r="BK603" s="10"/>
      <c r="BS603" s="10"/>
      <c r="BT603" s="10"/>
      <c r="BW603" s="10"/>
    </row>
    <row r="604">
      <c r="A604" s="10"/>
      <c r="B604" s="10"/>
      <c r="C604" s="10"/>
      <c r="D604" s="10"/>
      <c r="E604" s="10"/>
      <c r="F604" s="10"/>
      <c r="G604" s="10"/>
      <c r="H604" s="10"/>
      <c r="I604" s="10"/>
      <c r="J604" s="10"/>
      <c r="N604" s="10"/>
      <c r="O604" s="10"/>
      <c r="P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43"/>
      <c r="AX604" s="10"/>
      <c r="AY604" s="10"/>
      <c r="BS604" s="10"/>
      <c r="BT604" s="10"/>
      <c r="BW604" s="10"/>
    </row>
    <row r="605">
      <c r="A605" s="10"/>
      <c r="B605" s="10"/>
      <c r="C605" s="10"/>
      <c r="D605" s="10"/>
      <c r="E605" s="10"/>
      <c r="F605" s="10"/>
      <c r="G605" s="10"/>
      <c r="H605" s="10"/>
      <c r="K605" s="10"/>
      <c r="L605" s="10"/>
      <c r="V605" s="10"/>
      <c r="W605" s="10"/>
      <c r="X605" s="10"/>
      <c r="Y605" s="10"/>
      <c r="Z605" s="10"/>
      <c r="AA605" s="10"/>
      <c r="AB605" s="10"/>
      <c r="AC605" s="10"/>
      <c r="AD605" s="10"/>
      <c r="AE605" s="10"/>
      <c r="AF605" s="10"/>
      <c r="AG605" s="10"/>
      <c r="AH605" s="10"/>
      <c r="AI605" s="10"/>
      <c r="AJ605" s="10"/>
      <c r="AK605" s="10"/>
      <c r="AL605" s="10"/>
      <c r="AM605" s="10"/>
      <c r="AN605" s="10"/>
      <c r="AO605" s="10"/>
      <c r="AW605" s="143"/>
      <c r="BA605" s="10"/>
      <c r="BB605" s="10"/>
      <c r="BC605" s="10"/>
      <c r="BD605" s="10"/>
      <c r="BE605" s="10"/>
      <c r="BF605" s="10"/>
      <c r="BG605" s="10"/>
      <c r="BH605" s="10"/>
      <c r="BI605" s="10"/>
      <c r="BJ605" s="10"/>
      <c r="BK605" s="10"/>
      <c r="BS605" s="10"/>
      <c r="BT605" s="10"/>
      <c r="BV605" s="10"/>
      <c r="BW605" s="10"/>
    </row>
    <row r="606">
      <c r="A606" s="10"/>
      <c r="B606" s="10"/>
      <c r="C606" s="10"/>
      <c r="D606" s="10"/>
      <c r="E606" s="10"/>
      <c r="F606" s="10"/>
      <c r="G606" s="10"/>
      <c r="H606" s="10"/>
      <c r="K606" s="10"/>
      <c r="L606" s="10"/>
      <c r="V606" s="10"/>
      <c r="W606" s="10"/>
      <c r="Y606" s="10"/>
      <c r="Z606" s="10"/>
      <c r="AA606" s="10"/>
      <c r="AB606" s="10"/>
      <c r="AC606" s="10"/>
      <c r="AD606" s="10"/>
      <c r="AE606" s="10"/>
      <c r="AF606" s="10"/>
      <c r="AG606" s="10"/>
      <c r="AH606" s="10"/>
      <c r="AI606" s="10"/>
      <c r="AJ606" s="10"/>
      <c r="AK606" s="10"/>
      <c r="AL606" s="10"/>
      <c r="AM606" s="10"/>
      <c r="AN606" s="10"/>
      <c r="AO606" s="10"/>
      <c r="AW606" s="143"/>
      <c r="AZ606" s="10"/>
      <c r="BA606" s="10"/>
      <c r="BB606" s="10"/>
      <c r="BC606" s="10"/>
      <c r="BD606" s="10"/>
      <c r="BE606" s="10"/>
      <c r="BF606" s="10"/>
      <c r="BG606" s="10"/>
      <c r="BH606" s="10"/>
      <c r="BI606" s="10"/>
      <c r="BJ606" s="10"/>
      <c r="BK606" s="10"/>
      <c r="BS606" s="10"/>
      <c r="BT606" s="10"/>
      <c r="BV606" s="10"/>
      <c r="BW606" s="10"/>
    </row>
    <row r="607">
      <c r="A607" s="10"/>
      <c r="B607" s="10"/>
      <c r="C607" s="10"/>
      <c r="D607" s="10"/>
      <c r="E607" s="10"/>
      <c r="F607" s="10"/>
      <c r="G607" s="10"/>
      <c r="H607" s="10"/>
      <c r="J607" s="10"/>
      <c r="K607" s="10"/>
      <c r="L607" s="10"/>
      <c r="V607" s="10"/>
      <c r="W607" s="10"/>
      <c r="X607" s="10"/>
      <c r="Y607" s="10"/>
      <c r="Z607" s="10"/>
      <c r="AA607" s="10"/>
      <c r="AB607" s="10"/>
      <c r="AC607" s="10"/>
      <c r="AD607" s="10"/>
      <c r="AE607" s="10"/>
      <c r="AF607" s="10"/>
      <c r="AG607" s="10"/>
      <c r="AH607" s="10"/>
      <c r="AI607" s="10"/>
      <c r="AJ607" s="10"/>
      <c r="AK607" s="10"/>
      <c r="AL607" s="10"/>
      <c r="AM607" s="10"/>
      <c r="AN607" s="10"/>
      <c r="AO607" s="10"/>
      <c r="AS607" s="10"/>
      <c r="AT607" s="10"/>
      <c r="AV607" s="10"/>
      <c r="AW607" s="244"/>
      <c r="BA607" s="10"/>
      <c r="BD607" s="10"/>
      <c r="BE607" s="10"/>
      <c r="BF607" s="10"/>
      <c r="BG607" s="10"/>
      <c r="BH607" s="10"/>
      <c r="BI607" s="10"/>
      <c r="BJ607" s="10"/>
      <c r="BK607" s="10"/>
      <c r="BL607" s="10"/>
      <c r="BS607" s="10"/>
      <c r="BT607" s="10"/>
      <c r="BV607" s="10"/>
      <c r="BW607" s="10"/>
    </row>
    <row r="608">
      <c r="A608" s="10"/>
      <c r="B608" s="10"/>
      <c r="C608" s="10"/>
      <c r="D608" s="10"/>
      <c r="E608" s="10"/>
      <c r="F608" s="10"/>
      <c r="G608" s="10"/>
      <c r="H608" s="10"/>
      <c r="J608" s="10"/>
      <c r="K608" s="10"/>
      <c r="L608" s="10"/>
      <c r="V608" s="10"/>
      <c r="W608" s="10"/>
      <c r="X608" s="10"/>
      <c r="Y608" s="10"/>
      <c r="Z608" s="10"/>
      <c r="AA608" s="10"/>
      <c r="AB608" s="10"/>
      <c r="AC608" s="10"/>
      <c r="AD608" s="10"/>
      <c r="AE608" s="10"/>
      <c r="AF608" s="10"/>
      <c r="AG608" s="10"/>
      <c r="AH608" s="10"/>
      <c r="AI608" s="10"/>
      <c r="AJ608" s="10"/>
      <c r="AK608" s="10"/>
      <c r="AL608" s="10"/>
      <c r="AM608" s="10"/>
      <c r="AN608" s="10"/>
      <c r="AO608" s="10"/>
      <c r="AW608" s="244"/>
      <c r="BA608" s="10"/>
      <c r="BD608" s="10"/>
      <c r="BE608" s="10"/>
      <c r="BF608" s="10"/>
      <c r="BG608" s="10"/>
      <c r="BH608" s="10"/>
      <c r="BI608" s="10"/>
      <c r="BJ608" s="10"/>
      <c r="BK608" s="10"/>
      <c r="BL608" s="10"/>
      <c r="BS608" s="10"/>
      <c r="BT608" s="10"/>
      <c r="BV608" s="10"/>
      <c r="BW608" s="10"/>
    </row>
    <row r="609">
      <c r="A609" s="10"/>
      <c r="B609" s="10"/>
      <c r="C609" s="10"/>
      <c r="D609" s="10"/>
      <c r="E609" s="10"/>
      <c r="F609" s="10"/>
      <c r="G609" s="10"/>
      <c r="H609" s="10"/>
      <c r="K609" s="10"/>
      <c r="L609" s="10"/>
      <c r="N609" s="10"/>
      <c r="O609" s="10"/>
      <c r="P609" s="10"/>
      <c r="V609" s="10"/>
      <c r="W609" s="10"/>
      <c r="X609" s="10"/>
      <c r="Y609" s="10"/>
      <c r="Z609" s="10"/>
      <c r="AA609" s="10"/>
      <c r="AB609" s="10"/>
      <c r="AC609" s="10"/>
      <c r="AD609" s="10"/>
      <c r="AE609" s="10"/>
      <c r="AF609" s="10"/>
      <c r="AG609" s="10"/>
      <c r="AH609" s="10"/>
      <c r="AI609" s="10"/>
      <c r="AJ609" s="10"/>
      <c r="AK609" s="10"/>
      <c r="AL609" s="10"/>
      <c r="AM609" s="10"/>
      <c r="AN609" s="10"/>
      <c r="AO609" s="10"/>
      <c r="AW609" s="244"/>
      <c r="BA609" s="10"/>
      <c r="BD609" s="10"/>
      <c r="BE609" s="10"/>
      <c r="BF609" s="10"/>
      <c r="BG609" s="10"/>
      <c r="BH609" s="10"/>
      <c r="BI609" s="10"/>
      <c r="BJ609" s="10"/>
      <c r="BK609" s="10"/>
      <c r="BL609" s="10"/>
      <c r="BS609" s="10"/>
      <c r="BT609" s="10"/>
      <c r="BV609" s="10"/>
      <c r="BW609" s="10"/>
    </row>
    <row r="610">
      <c r="A610" s="10"/>
      <c r="B610" s="10"/>
      <c r="C610" s="10"/>
      <c r="D610" s="10"/>
      <c r="E610" s="10"/>
      <c r="F610" s="10"/>
      <c r="G610" s="10"/>
      <c r="H610" s="10"/>
      <c r="J610" s="10"/>
      <c r="K610" s="10"/>
      <c r="L610" s="10"/>
      <c r="N610" s="10"/>
      <c r="V610" s="10"/>
      <c r="W610" s="10"/>
      <c r="X610" s="10"/>
      <c r="Y610" s="10"/>
      <c r="Z610" s="10"/>
      <c r="AA610" s="10"/>
      <c r="AB610" s="10"/>
      <c r="AC610" s="10"/>
      <c r="AD610" s="10"/>
      <c r="AE610" s="10"/>
      <c r="AF610" s="10"/>
      <c r="AG610" s="10"/>
      <c r="AH610" s="10"/>
      <c r="AI610" s="10"/>
      <c r="AJ610" s="10"/>
      <c r="AK610" s="10"/>
      <c r="AL610" s="10"/>
      <c r="AM610" s="10"/>
      <c r="AN610" s="10"/>
      <c r="AO610" s="10"/>
      <c r="AW610" s="143"/>
      <c r="BA610" s="10"/>
      <c r="BD610" s="10"/>
      <c r="BE610" s="10"/>
      <c r="BF610" s="10"/>
      <c r="BG610" s="10"/>
      <c r="BH610" s="10"/>
      <c r="BI610" s="10"/>
      <c r="BJ610" s="10"/>
      <c r="BK610" s="10"/>
      <c r="BL610" s="10"/>
      <c r="BS610" s="10"/>
      <c r="BT610" s="10"/>
      <c r="BV610" s="10"/>
      <c r="BW610" s="10"/>
    </row>
    <row r="611">
      <c r="A611" s="10"/>
      <c r="B611" s="10"/>
      <c r="C611" s="10"/>
      <c r="D611" s="10"/>
      <c r="E611" s="10"/>
      <c r="F611" s="10"/>
      <c r="G611" s="10"/>
      <c r="H611" s="10"/>
      <c r="J611" s="10"/>
      <c r="K611" s="10"/>
      <c r="L611" s="10"/>
      <c r="N611" s="10"/>
      <c r="V611" s="10"/>
      <c r="W611" s="10"/>
      <c r="X611" s="10"/>
      <c r="Y611" s="10"/>
      <c r="Z611" s="10"/>
      <c r="AA611" s="10"/>
      <c r="AB611" s="10"/>
      <c r="AC611" s="10"/>
      <c r="AD611" s="10"/>
      <c r="AE611" s="10"/>
      <c r="AF611" s="10"/>
      <c r="AG611" s="10"/>
      <c r="AH611" s="10"/>
      <c r="AI611" s="10"/>
      <c r="AJ611" s="10"/>
      <c r="AK611" s="10"/>
      <c r="AL611" s="10"/>
      <c r="AM611" s="10"/>
      <c r="AN611" s="10"/>
      <c r="AO611" s="10"/>
      <c r="AW611" s="143"/>
      <c r="BA611" s="10"/>
      <c r="BD611" s="10"/>
      <c r="BE611" s="10"/>
      <c r="BF611" s="10"/>
      <c r="BG611" s="10"/>
      <c r="BH611" s="10"/>
      <c r="BI611" s="10"/>
      <c r="BJ611" s="10"/>
      <c r="BK611" s="10"/>
      <c r="BL611" s="10"/>
      <c r="BS611" s="10"/>
      <c r="BT611" s="10"/>
      <c r="BV611" s="10"/>
      <c r="BW611" s="10"/>
    </row>
    <row r="612">
      <c r="A612" s="10"/>
      <c r="B612" s="10"/>
      <c r="C612" s="10"/>
      <c r="D612" s="10"/>
      <c r="E612" s="10"/>
      <c r="F612" s="10"/>
      <c r="G612" s="10"/>
      <c r="H612" s="10"/>
      <c r="J612" s="10"/>
      <c r="K612" s="10"/>
      <c r="L612" s="10"/>
      <c r="V612" s="10"/>
      <c r="W612" s="10"/>
      <c r="X612" s="10"/>
      <c r="Y612" s="10"/>
      <c r="Z612" s="10"/>
      <c r="AA612" s="10"/>
      <c r="AB612" s="10"/>
      <c r="AC612" s="10"/>
      <c r="AD612" s="10"/>
      <c r="AE612" s="10"/>
      <c r="AF612" s="10"/>
      <c r="AG612" s="10"/>
      <c r="AH612" s="10"/>
      <c r="AI612" s="10"/>
      <c r="AJ612" s="10"/>
      <c r="AK612" s="10"/>
      <c r="AL612" s="10"/>
      <c r="AM612" s="10"/>
      <c r="AN612" s="10"/>
      <c r="AO612" s="10"/>
      <c r="AW612" s="143"/>
      <c r="BA612" s="10"/>
      <c r="BD612" s="10"/>
      <c r="BE612" s="10"/>
      <c r="BF612" s="10"/>
      <c r="BG612" s="10"/>
      <c r="BH612" s="10"/>
      <c r="BI612" s="10"/>
      <c r="BJ612" s="10"/>
      <c r="BK612" s="10"/>
      <c r="BL612" s="10"/>
      <c r="BS612" s="10"/>
      <c r="BT612" s="10"/>
      <c r="BV612" s="10"/>
      <c r="BW612" s="10"/>
    </row>
    <row r="613">
      <c r="A613" s="10"/>
      <c r="B613" s="10"/>
      <c r="C613" s="10"/>
      <c r="D613" s="10"/>
      <c r="E613" s="10"/>
      <c r="F613" s="10"/>
      <c r="G613" s="10"/>
      <c r="H613" s="10"/>
      <c r="J613" s="10"/>
      <c r="K613" s="10"/>
      <c r="L613" s="10"/>
      <c r="P613" s="10"/>
      <c r="V613" s="10"/>
      <c r="W613" s="10"/>
      <c r="X613" s="10"/>
      <c r="Y613" s="10"/>
      <c r="Z613" s="10"/>
      <c r="AA613" s="10"/>
      <c r="AB613" s="10"/>
      <c r="AC613" s="10"/>
      <c r="AD613" s="10"/>
      <c r="AE613" s="10"/>
      <c r="AF613" s="10"/>
      <c r="AG613" s="10"/>
      <c r="AH613" s="10"/>
      <c r="AI613" s="10"/>
      <c r="AJ613" s="10"/>
      <c r="AK613" s="10"/>
      <c r="AL613" s="10"/>
      <c r="AM613" s="10"/>
      <c r="AN613" s="10"/>
      <c r="AO613" s="10"/>
      <c r="AW613" s="143"/>
      <c r="BA613" s="10"/>
      <c r="BD613" s="10"/>
      <c r="BE613" s="10"/>
      <c r="BF613" s="10"/>
      <c r="BG613" s="10"/>
      <c r="BH613" s="10"/>
      <c r="BI613" s="10"/>
      <c r="BJ613" s="10"/>
      <c r="BK613" s="10"/>
      <c r="BL613" s="10"/>
      <c r="BS613" s="10"/>
      <c r="BT613" s="10"/>
      <c r="BV613" s="10"/>
      <c r="BW613" s="10"/>
    </row>
    <row r="614">
      <c r="A614" s="10"/>
      <c r="B614" s="10"/>
      <c r="C614" s="10"/>
      <c r="D614" s="10"/>
      <c r="E614" s="10"/>
      <c r="F614" s="10"/>
      <c r="G614" s="10"/>
      <c r="H614" s="10"/>
      <c r="J614" s="10"/>
      <c r="K614" s="10"/>
      <c r="L614" s="10"/>
      <c r="P614" s="10"/>
      <c r="V614" s="10"/>
      <c r="W614" s="10"/>
      <c r="X614" s="10"/>
      <c r="Y614" s="10"/>
      <c r="Z614" s="10"/>
      <c r="AA614" s="10"/>
      <c r="AB614" s="10"/>
      <c r="AC614" s="10"/>
      <c r="AD614" s="10"/>
      <c r="AE614" s="10"/>
      <c r="AF614" s="10"/>
      <c r="AG614" s="10"/>
      <c r="AH614" s="10"/>
      <c r="AI614" s="10"/>
      <c r="AJ614" s="10"/>
      <c r="AK614" s="10"/>
      <c r="AL614" s="10"/>
      <c r="AM614" s="10"/>
      <c r="AN614" s="10"/>
      <c r="AO614" s="10"/>
      <c r="AW614" s="143"/>
      <c r="BA614" s="10"/>
      <c r="BD614" s="10"/>
      <c r="BE614" s="10"/>
      <c r="BF614" s="10"/>
      <c r="BG614" s="10"/>
      <c r="BH614" s="10"/>
      <c r="BI614" s="10"/>
      <c r="BJ614" s="10"/>
      <c r="BK614" s="10"/>
      <c r="BL614" s="10"/>
      <c r="BS614" s="10"/>
      <c r="BT614" s="10"/>
      <c r="BV614" s="10"/>
      <c r="BW614" s="10"/>
    </row>
    <row r="615">
      <c r="A615" s="10"/>
      <c r="B615" s="10"/>
      <c r="C615" s="10"/>
      <c r="D615" s="10"/>
      <c r="E615" s="10"/>
      <c r="F615" s="10"/>
      <c r="G615" s="10"/>
      <c r="H615" s="10"/>
      <c r="J615" s="10"/>
      <c r="K615" s="10"/>
      <c r="L615" s="10"/>
      <c r="P615" s="10"/>
      <c r="V615" s="10"/>
      <c r="W615" s="10"/>
      <c r="X615" s="10"/>
      <c r="Y615" s="10"/>
      <c r="Z615" s="10"/>
      <c r="AA615" s="10"/>
      <c r="AB615" s="10"/>
      <c r="AC615" s="10"/>
      <c r="AD615" s="10"/>
      <c r="AE615" s="10"/>
      <c r="AF615" s="10"/>
      <c r="AG615" s="10"/>
      <c r="AH615" s="10"/>
      <c r="AI615" s="10"/>
      <c r="AJ615" s="10"/>
      <c r="AK615" s="10"/>
      <c r="AL615" s="10"/>
      <c r="AM615" s="10"/>
      <c r="AN615" s="10"/>
      <c r="AO615" s="10"/>
      <c r="AW615" s="143"/>
      <c r="BA615" s="10"/>
      <c r="BD615" s="10"/>
      <c r="BE615" s="10"/>
      <c r="BF615" s="10"/>
      <c r="BG615" s="10"/>
      <c r="BH615" s="10"/>
      <c r="BI615" s="10"/>
      <c r="BJ615" s="10"/>
      <c r="BK615" s="10"/>
      <c r="BL615" s="10"/>
      <c r="BS615" s="10"/>
      <c r="BT615" s="10"/>
      <c r="BV615" s="10"/>
      <c r="BW615" s="10"/>
    </row>
    <row r="616">
      <c r="A616" s="10"/>
      <c r="B616" s="10"/>
      <c r="C616" s="10"/>
      <c r="D616" s="10"/>
      <c r="E616" s="10"/>
      <c r="F616" s="10"/>
      <c r="G616" s="10"/>
      <c r="H616" s="10"/>
      <c r="J616" s="10"/>
      <c r="K616" s="10"/>
      <c r="L616" s="10"/>
      <c r="N616" s="10"/>
      <c r="V616" s="10"/>
      <c r="W616" s="10"/>
      <c r="X616" s="10"/>
      <c r="Y616" s="10"/>
      <c r="Z616" s="10"/>
      <c r="AA616" s="10"/>
      <c r="AB616" s="10"/>
      <c r="AC616" s="10"/>
      <c r="AD616" s="10"/>
      <c r="AE616" s="10"/>
      <c r="AF616" s="10"/>
      <c r="AG616" s="10"/>
      <c r="AH616" s="10"/>
      <c r="AI616" s="10"/>
      <c r="AJ616" s="10"/>
      <c r="AK616" s="10"/>
      <c r="AL616" s="10"/>
      <c r="AM616" s="10"/>
      <c r="AN616" s="10"/>
      <c r="AO616" s="10"/>
      <c r="AW616" s="143"/>
      <c r="BA616" s="10"/>
      <c r="BD616" s="10"/>
      <c r="BE616" s="10"/>
      <c r="BF616" s="10"/>
      <c r="BG616" s="10"/>
      <c r="BH616" s="10"/>
      <c r="BI616" s="10"/>
      <c r="BJ616" s="10"/>
      <c r="BK616" s="10"/>
      <c r="BL616" s="10"/>
      <c r="BS616" s="10"/>
      <c r="BT616" s="10"/>
      <c r="BV616" s="10"/>
      <c r="BW616" s="10"/>
    </row>
    <row r="617">
      <c r="A617" s="10"/>
      <c r="B617" s="10"/>
      <c r="C617" s="10"/>
      <c r="D617" s="10"/>
      <c r="E617" s="10"/>
      <c r="F617" s="10"/>
      <c r="G617" s="10"/>
      <c r="H617" s="10"/>
      <c r="J617" s="10"/>
      <c r="K617" s="10"/>
      <c r="L617" s="10"/>
      <c r="N617" s="10"/>
      <c r="V617" s="10"/>
      <c r="W617" s="10"/>
      <c r="X617" s="10"/>
      <c r="Y617" s="10"/>
      <c r="Z617" s="10"/>
      <c r="AA617" s="10"/>
      <c r="AB617" s="10"/>
      <c r="AC617" s="10"/>
      <c r="AD617" s="10"/>
      <c r="AE617" s="10"/>
      <c r="AF617" s="10"/>
      <c r="AG617" s="10"/>
      <c r="AH617" s="10"/>
      <c r="AI617" s="10"/>
      <c r="AJ617" s="10"/>
      <c r="AK617" s="10"/>
      <c r="AL617" s="10"/>
      <c r="AM617" s="10"/>
      <c r="AN617" s="10"/>
      <c r="AO617" s="10"/>
      <c r="AW617" s="143"/>
      <c r="BA617" s="10"/>
      <c r="BD617" s="10"/>
      <c r="BE617" s="10"/>
      <c r="BF617" s="10"/>
      <c r="BG617" s="10"/>
      <c r="BH617" s="10"/>
      <c r="BI617" s="10"/>
      <c r="BJ617" s="10"/>
      <c r="BK617" s="10"/>
      <c r="BL617" s="10"/>
      <c r="BS617" s="10"/>
      <c r="BT617" s="10"/>
      <c r="BV617" s="10"/>
      <c r="BW617" s="10"/>
    </row>
    <row r="618">
      <c r="A618" s="10"/>
      <c r="B618" s="10"/>
      <c r="C618" s="10"/>
      <c r="D618" s="10"/>
      <c r="E618" s="10"/>
      <c r="F618" s="10"/>
      <c r="G618" s="10"/>
      <c r="H618" s="10"/>
      <c r="J618" s="10"/>
      <c r="K618" s="10"/>
      <c r="L618" s="10"/>
      <c r="P618" s="10"/>
      <c r="V618" s="10"/>
      <c r="W618" s="10"/>
      <c r="X618" s="10"/>
      <c r="Y618" s="10"/>
      <c r="Z618" s="10"/>
      <c r="AA618" s="10"/>
      <c r="AB618" s="10"/>
      <c r="AC618" s="10"/>
      <c r="AD618" s="10"/>
      <c r="AE618" s="10"/>
      <c r="AF618" s="10"/>
      <c r="AG618" s="10"/>
      <c r="AH618" s="10"/>
      <c r="AI618" s="10"/>
      <c r="AJ618" s="10"/>
      <c r="AK618" s="10"/>
      <c r="AL618" s="10"/>
      <c r="AM618" s="10"/>
      <c r="AN618" s="10"/>
      <c r="AO618" s="10"/>
      <c r="AW618" s="143"/>
      <c r="AZ618" s="10"/>
      <c r="BA618" s="10"/>
      <c r="BD618" s="10"/>
      <c r="BE618" s="10"/>
      <c r="BF618" s="10"/>
      <c r="BG618" s="10"/>
      <c r="BH618" s="10"/>
      <c r="BI618" s="10"/>
      <c r="BJ618" s="10"/>
      <c r="BK618" s="10"/>
      <c r="BL618" s="10"/>
      <c r="BS618" s="10"/>
      <c r="BT618" s="10"/>
      <c r="BV618" s="10"/>
      <c r="BW618" s="10"/>
    </row>
    <row r="619">
      <c r="A619" s="10"/>
      <c r="B619" s="10"/>
      <c r="C619" s="10"/>
      <c r="D619" s="10"/>
      <c r="E619" s="10"/>
      <c r="F619" s="10"/>
      <c r="G619" s="10"/>
      <c r="H619" s="10"/>
      <c r="K619" s="10"/>
      <c r="L619" s="10"/>
      <c r="N619" s="10"/>
      <c r="V619" s="10"/>
      <c r="W619" s="10"/>
      <c r="Y619" s="10"/>
      <c r="Z619" s="10"/>
      <c r="AA619" s="10"/>
      <c r="AB619" s="10"/>
      <c r="AC619" s="10"/>
      <c r="AD619" s="10"/>
      <c r="AE619" s="10"/>
      <c r="AF619" s="10"/>
      <c r="AG619" s="10"/>
      <c r="AH619" s="10"/>
      <c r="AI619" s="10"/>
      <c r="AJ619" s="10"/>
      <c r="AK619" s="10"/>
      <c r="AL619" s="10"/>
      <c r="AM619" s="10"/>
      <c r="AN619" s="10"/>
      <c r="AO619" s="10"/>
      <c r="AW619" s="143"/>
      <c r="AZ619" s="10"/>
      <c r="BA619" s="10"/>
      <c r="BD619" s="10"/>
      <c r="BE619" s="10"/>
      <c r="BF619" s="10"/>
      <c r="BG619" s="10"/>
      <c r="BH619" s="10"/>
      <c r="BI619" s="10"/>
      <c r="BJ619" s="10"/>
      <c r="BK619" s="10"/>
      <c r="BL619" s="10"/>
      <c r="BS619" s="10"/>
      <c r="BT619" s="10"/>
      <c r="BV619" s="10"/>
      <c r="BW619" s="10"/>
    </row>
    <row r="620">
      <c r="A620" s="10"/>
      <c r="B620" s="10"/>
      <c r="C620" s="10"/>
      <c r="D620" s="10"/>
      <c r="E620" s="10"/>
      <c r="F620" s="10"/>
      <c r="G620" s="10"/>
      <c r="H620" s="10"/>
      <c r="J620" s="10"/>
      <c r="K620" s="10"/>
      <c r="L620" s="10"/>
      <c r="V620" s="10"/>
      <c r="W620" s="10"/>
      <c r="X620" s="10"/>
      <c r="Y620" s="10"/>
      <c r="Z620" s="10"/>
      <c r="AA620" s="10"/>
      <c r="AB620" s="10"/>
      <c r="AC620" s="10"/>
      <c r="AD620" s="10"/>
      <c r="AE620" s="10"/>
      <c r="AF620" s="10"/>
      <c r="AG620" s="10"/>
      <c r="AH620" s="10"/>
      <c r="AI620" s="10"/>
      <c r="AJ620" s="10"/>
      <c r="AK620" s="10"/>
      <c r="AL620" s="10"/>
      <c r="AM620" s="10"/>
      <c r="AN620" s="10"/>
      <c r="AO620" s="10"/>
      <c r="AW620" s="143"/>
      <c r="BA620" s="10"/>
      <c r="BD620" s="10"/>
      <c r="BE620" s="10"/>
      <c r="BF620" s="10"/>
      <c r="BG620" s="10"/>
      <c r="BH620" s="10"/>
      <c r="BI620" s="10"/>
      <c r="BJ620" s="10"/>
      <c r="BK620" s="10"/>
      <c r="BL620" s="10"/>
      <c r="BS620" s="10"/>
      <c r="BT620" s="10"/>
      <c r="BV620" s="10"/>
      <c r="BW620" s="10"/>
    </row>
    <row r="621">
      <c r="A621" s="10"/>
      <c r="B621" s="10"/>
      <c r="C621" s="10"/>
      <c r="D621" s="10"/>
      <c r="E621" s="10"/>
      <c r="F621" s="10"/>
      <c r="G621" s="10"/>
      <c r="H621" s="10"/>
      <c r="K621" s="10"/>
      <c r="L621" s="10"/>
      <c r="N621" s="10"/>
      <c r="P621" s="10"/>
      <c r="V621" s="10"/>
      <c r="W621" s="10"/>
      <c r="Y621" s="10"/>
      <c r="Z621" s="10"/>
      <c r="AA621" s="10"/>
      <c r="AB621" s="10"/>
      <c r="AC621" s="10"/>
      <c r="AD621" s="10"/>
      <c r="AE621" s="10"/>
      <c r="AF621" s="10"/>
      <c r="AG621" s="10"/>
      <c r="AH621" s="10"/>
      <c r="AI621" s="10"/>
      <c r="AJ621" s="10"/>
      <c r="AK621" s="10"/>
      <c r="AL621" s="10"/>
      <c r="AM621" s="10"/>
      <c r="AN621" s="10"/>
      <c r="AO621" s="10"/>
      <c r="AW621" s="143"/>
      <c r="BA621" s="10"/>
      <c r="BD621" s="10"/>
      <c r="BE621" s="10"/>
      <c r="BF621" s="10"/>
      <c r="BG621" s="10"/>
      <c r="BH621" s="10"/>
      <c r="BI621" s="10"/>
      <c r="BJ621" s="10"/>
      <c r="BK621" s="10"/>
      <c r="BL621" s="10"/>
      <c r="BS621" s="10"/>
      <c r="BT621" s="10"/>
      <c r="BV621" s="10"/>
      <c r="BW621" s="10"/>
    </row>
    <row r="622">
      <c r="A622" s="10"/>
      <c r="B622" s="10"/>
      <c r="C622" s="10"/>
      <c r="D622" s="10"/>
      <c r="E622" s="10"/>
      <c r="F622" s="10"/>
      <c r="G622" s="10"/>
      <c r="H622" s="10"/>
      <c r="K622" s="10"/>
      <c r="L622" s="10"/>
      <c r="U622" s="10"/>
      <c r="V622" s="10"/>
      <c r="W622" s="10"/>
      <c r="Y622" s="10"/>
      <c r="Z622" s="10"/>
      <c r="AA622" s="10"/>
      <c r="AB622" s="10"/>
      <c r="AC622" s="10"/>
      <c r="AD622" s="10"/>
      <c r="AE622" s="10"/>
      <c r="AF622" s="10"/>
      <c r="AG622" s="10"/>
      <c r="AH622" s="10"/>
      <c r="AI622" s="10"/>
      <c r="AJ622" s="10"/>
      <c r="AL622" s="10"/>
      <c r="AM622" s="10"/>
      <c r="AO622" s="10"/>
      <c r="AW622" s="143"/>
      <c r="BA622" s="10"/>
      <c r="BD622" s="10"/>
      <c r="BE622" s="10"/>
      <c r="BF622" s="10"/>
      <c r="BG622" s="10"/>
      <c r="BH622" s="10"/>
      <c r="BI622" s="10"/>
      <c r="BJ622" s="10"/>
      <c r="BK622" s="10"/>
      <c r="BS622" s="10"/>
      <c r="BT622" s="10"/>
      <c r="BV622" s="10"/>
      <c r="BW622" s="10"/>
    </row>
    <row r="623">
      <c r="B623" s="10"/>
      <c r="C623" s="10"/>
      <c r="D623" s="10"/>
      <c r="E623" s="10"/>
      <c r="F623" s="10"/>
      <c r="G623" s="10"/>
      <c r="H623" s="10"/>
      <c r="K623" s="10"/>
      <c r="L623" s="10"/>
      <c r="P623" s="10"/>
      <c r="T623" s="10"/>
      <c r="U623" s="10"/>
      <c r="V623" s="10"/>
      <c r="W623" s="10"/>
      <c r="Y623" s="10"/>
      <c r="Z623" s="10"/>
      <c r="AA623" s="10"/>
      <c r="AB623" s="10"/>
      <c r="AC623" s="10"/>
      <c r="AD623" s="10"/>
      <c r="AE623" s="10"/>
      <c r="AF623" s="10"/>
      <c r="AG623" s="10"/>
      <c r="AH623" s="10"/>
      <c r="AI623" s="10"/>
      <c r="AJ623" s="10"/>
      <c r="AL623" s="10"/>
      <c r="AM623" s="10"/>
      <c r="AO623" s="10"/>
      <c r="AW623" s="143"/>
      <c r="BA623" s="10"/>
      <c r="BD623" s="10"/>
      <c r="BE623" s="10"/>
      <c r="BF623" s="10"/>
      <c r="BG623" s="10"/>
      <c r="BH623" s="10"/>
      <c r="BI623" s="10"/>
      <c r="BJ623" s="10"/>
      <c r="BK623" s="10"/>
      <c r="BL623" s="10"/>
      <c r="BM623" s="10"/>
      <c r="BN623" s="10"/>
      <c r="BO623" s="10"/>
      <c r="BP623" s="10"/>
      <c r="BQ623" s="10"/>
      <c r="BR623" s="10"/>
      <c r="BS623" s="10"/>
      <c r="BT623" s="10"/>
      <c r="BV623" s="10"/>
      <c r="BW623" s="10"/>
    </row>
    <row r="624">
      <c r="B624" s="10"/>
      <c r="C624" s="10"/>
      <c r="D624" s="10"/>
      <c r="E624" s="10"/>
      <c r="F624" s="10"/>
      <c r="G624" s="10"/>
      <c r="H624" s="10"/>
      <c r="K624" s="10"/>
      <c r="L624" s="10"/>
      <c r="N624" s="10"/>
      <c r="T624" s="10"/>
      <c r="U624" s="10"/>
      <c r="V624" s="10"/>
      <c r="W624" s="10"/>
      <c r="Y624" s="10"/>
      <c r="Z624" s="10"/>
      <c r="AA624" s="10"/>
      <c r="AB624" s="10"/>
      <c r="AC624" s="10"/>
      <c r="AD624" s="10"/>
      <c r="AE624" s="10"/>
      <c r="AF624" s="10"/>
      <c r="AG624" s="10"/>
      <c r="AH624" s="10"/>
      <c r="AI624" s="10"/>
      <c r="AJ624" s="10"/>
      <c r="AL624" s="10"/>
      <c r="AM624" s="10"/>
      <c r="AO624" s="10"/>
      <c r="AW624" s="143"/>
      <c r="BA624" s="10"/>
      <c r="BD624" s="10"/>
      <c r="BE624" s="10"/>
      <c r="BF624" s="10"/>
      <c r="BG624" s="10"/>
      <c r="BH624" s="10"/>
      <c r="BI624" s="10"/>
      <c r="BJ624" s="10"/>
      <c r="BK624" s="10"/>
      <c r="BL624" s="10"/>
      <c r="BS624" s="10"/>
      <c r="BT624" s="10"/>
      <c r="BV624" s="10"/>
      <c r="BW624" s="10"/>
    </row>
    <row r="625">
      <c r="B625" s="10"/>
      <c r="C625" s="10"/>
      <c r="D625" s="10"/>
      <c r="E625" s="10"/>
      <c r="F625" s="10"/>
      <c r="G625" s="10"/>
      <c r="H625" s="10"/>
      <c r="K625" s="10"/>
      <c r="L625" s="10"/>
      <c r="P625" s="10"/>
      <c r="T625" s="10"/>
      <c r="U625" s="10"/>
      <c r="V625" s="10"/>
      <c r="W625" s="10"/>
      <c r="Y625" s="10"/>
      <c r="Z625" s="10"/>
      <c r="AA625" s="10"/>
      <c r="AB625" s="10"/>
      <c r="AC625" s="10"/>
      <c r="AD625" s="10"/>
      <c r="AE625" s="10"/>
      <c r="AF625" s="10"/>
      <c r="AG625" s="10"/>
      <c r="AH625" s="10"/>
      <c r="AI625" s="10"/>
      <c r="AJ625" s="10"/>
      <c r="AL625" s="10"/>
      <c r="AM625" s="10"/>
      <c r="AO625" s="10"/>
      <c r="AW625" s="143"/>
      <c r="BA625" s="10"/>
      <c r="BD625" s="10"/>
      <c r="BE625" s="10"/>
      <c r="BF625" s="10"/>
      <c r="BG625" s="10"/>
      <c r="BH625" s="10"/>
      <c r="BI625" s="10"/>
      <c r="BJ625" s="10"/>
      <c r="BK625" s="10"/>
      <c r="BL625" s="10"/>
      <c r="BS625" s="10"/>
      <c r="BT625" s="10"/>
      <c r="BV625" s="10"/>
      <c r="BW625" s="10"/>
    </row>
    <row r="626">
      <c r="B626" s="10"/>
      <c r="C626" s="10"/>
      <c r="D626" s="10"/>
      <c r="E626" s="10"/>
      <c r="F626" s="10"/>
      <c r="G626" s="10"/>
      <c r="H626" s="10"/>
      <c r="K626" s="10"/>
      <c r="L626" s="10"/>
      <c r="N626" s="10"/>
      <c r="P626" s="10"/>
      <c r="T626" s="10"/>
      <c r="U626" s="10"/>
      <c r="V626" s="10"/>
      <c r="W626" s="10"/>
      <c r="Y626" s="10"/>
      <c r="Z626" s="10"/>
      <c r="AA626" s="10"/>
      <c r="AB626" s="10"/>
      <c r="AC626" s="10"/>
      <c r="AD626" s="10"/>
      <c r="AE626" s="10"/>
      <c r="AF626" s="10"/>
      <c r="AG626" s="10"/>
      <c r="AH626" s="10"/>
      <c r="AI626" s="10"/>
      <c r="AJ626" s="10"/>
      <c r="AL626" s="10"/>
      <c r="AM626" s="10"/>
      <c r="AO626" s="10"/>
      <c r="AW626" s="143"/>
      <c r="BA626" s="10"/>
      <c r="BD626" s="10"/>
      <c r="BE626" s="10"/>
      <c r="BF626" s="10"/>
      <c r="BG626" s="10"/>
      <c r="BH626" s="10"/>
      <c r="BI626" s="10"/>
      <c r="BJ626" s="10"/>
      <c r="BK626" s="10"/>
      <c r="BL626" s="10"/>
      <c r="BS626" s="10"/>
      <c r="BT626" s="10"/>
      <c r="BV626" s="10"/>
      <c r="BW626" s="10"/>
    </row>
    <row r="627">
      <c r="B627" s="10"/>
      <c r="C627" s="10"/>
      <c r="D627" s="10"/>
      <c r="E627" s="10"/>
      <c r="F627" s="10"/>
      <c r="G627" s="10"/>
      <c r="H627" s="10"/>
      <c r="K627" s="10"/>
      <c r="L627" s="10"/>
      <c r="P627" s="10"/>
      <c r="Q627" s="10"/>
      <c r="R627" s="10"/>
      <c r="S627" s="10"/>
      <c r="T627" s="10"/>
      <c r="U627" s="10"/>
      <c r="V627" s="10"/>
      <c r="W627" s="10"/>
      <c r="Y627" s="10"/>
      <c r="Z627" s="10"/>
      <c r="AA627" s="10"/>
      <c r="AB627" s="10"/>
      <c r="AC627" s="10"/>
      <c r="AD627" s="10"/>
      <c r="AE627" s="10"/>
      <c r="AF627" s="10"/>
      <c r="AG627" s="10"/>
      <c r="AH627" s="10"/>
      <c r="AI627" s="10"/>
      <c r="AJ627" s="10"/>
      <c r="AL627" s="10"/>
      <c r="AM627" s="10"/>
      <c r="AO627" s="10"/>
      <c r="AW627" s="143"/>
      <c r="BA627" s="10"/>
      <c r="BD627" s="10"/>
      <c r="BE627" s="10"/>
      <c r="BF627" s="10"/>
      <c r="BG627" s="10"/>
      <c r="BH627" s="10"/>
      <c r="BI627" s="10"/>
      <c r="BJ627" s="10"/>
      <c r="BK627" s="10"/>
      <c r="BL627" s="10"/>
      <c r="BS627" s="10"/>
      <c r="BT627" s="10"/>
      <c r="BV627" s="10"/>
      <c r="BW627" s="10"/>
    </row>
    <row r="628">
      <c r="A628" s="10"/>
      <c r="B628" s="10"/>
      <c r="C628" s="10"/>
      <c r="D628" s="10"/>
      <c r="E628" s="10"/>
      <c r="F628" s="10"/>
      <c r="G628" s="10"/>
      <c r="H628" s="10"/>
      <c r="K628" s="10"/>
      <c r="L628" s="10"/>
      <c r="U628" s="10"/>
      <c r="V628" s="10"/>
      <c r="W628" s="10"/>
      <c r="X628" s="10"/>
      <c r="Y628" s="10"/>
      <c r="Z628" s="10"/>
      <c r="AA628" s="10"/>
      <c r="AB628" s="10"/>
      <c r="AC628" s="10"/>
      <c r="AD628" s="10"/>
      <c r="AE628" s="10"/>
      <c r="AF628" s="10"/>
      <c r="AG628" s="10"/>
      <c r="AH628" s="10"/>
      <c r="AI628" s="10"/>
      <c r="AJ628" s="10"/>
      <c r="AL628" s="10"/>
      <c r="AM628" s="10"/>
      <c r="AO628" s="10"/>
      <c r="AW628" s="143"/>
      <c r="BA628" s="10"/>
      <c r="BD628" s="10"/>
      <c r="BE628" s="10"/>
      <c r="BF628" s="10"/>
      <c r="BG628" s="10"/>
      <c r="BH628" s="10"/>
      <c r="BI628" s="10"/>
      <c r="BJ628" s="10"/>
      <c r="BK628" s="10"/>
      <c r="BS628" s="10"/>
      <c r="BT628" s="10"/>
      <c r="BV628" s="10"/>
      <c r="BW628" s="10"/>
    </row>
    <row r="629">
      <c r="A629" s="10"/>
      <c r="B629" s="10"/>
      <c r="C629" s="10"/>
      <c r="D629" s="10"/>
      <c r="E629" s="10"/>
      <c r="F629" s="10"/>
      <c r="G629" s="10"/>
      <c r="H629" s="10"/>
      <c r="J629" s="10"/>
      <c r="K629" s="10"/>
      <c r="L629" s="10"/>
      <c r="N629" s="10"/>
      <c r="U629" s="10"/>
      <c r="V629" s="10"/>
      <c r="W629" s="10"/>
      <c r="X629" s="10"/>
      <c r="Y629" s="10"/>
      <c r="Z629" s="10"/>
      <c r="AA629" s="10"/>
      <c r="AB629" s="10"/>
      <c r="AC629" s="10"/>
      <c r="AD629" s="10"/>
      <c r="AE629" s="10"/>
      <c r="AG629" s="10"/>
      <c r="AH629" s="10"/>
      <c r="AI629" s="10"/>
      <c r="AJ629" s="10"/>
      <c r="AK629" s="10"/>
      <c r="AL629" s="10"/>
      <c r="AM629" s="10"/>
      <c r="AN629" s="10"/>
      <c r="AO629" s="10"/>
      <c r="AW629" s="244"/>
      <c r="BA629" s="10"/>
      <c r="BD629" s="10"/>
      <c r="BE629" s="10"/>
      <c r="BF629" s="10"/>
      <c r="BG629" s="10"/>
      <c r="BH629" s="10"/>
      <c r="BI629" s="10"/>
      <c r="BJ629" s="10"/>
      <c r="BK629" s="10"/>
      <c r="BS629" s="10"/>
      <c r="BT629" s="10"/>
      <c r="BV629" s="10"/>
      <c r="BW629" s="10"/>
    </row>
    <row r="630">
      <c r="A630" s="10"/>
      <c r="B630" s="10"/>
      <c r="C630" s="10"/>
      <c r="D630" s="10"/>
      <c r="E630" s="10"/>
      <c r="F630" s="10"/>
      <c r="G630" s="10"/>
      <c r="H630" s="10"/>
      <c r="J630" s="10"/>
      <c r="K630" s="10"/>
      <c r="L630" s="10"/>
      <c r="U630" s="10"/>
      <c r="V630" s="10"/>
      <c r="W630" s="10"/>
      <c r="X630" s="10"/>
      <c r="Y630" s="10"/>
      <c r="Z630" s="10"/>
      <c r="AA630" s="10"/>
      <c r="AB630" s="10"/>
      <c r="AC630" s="10"/>
      <c r="AD630" s="10"/>
      <c r="AE630" s="10"/>
      <c r="AF630" s="10"/>
      <c r="AG630" s="10"/>
      <c r="AH630" s="10"/>
      <c r="AI630" s="10"/>
      <c r="AJ630" s="10"/>
      <c r="AK630" s="10"/>
      <c r="AL630" s="10"/>
      <c r="AM630" s="10"/>
      <c r="AN630" s="10"/>
      <c r="AO630" s="10"/>
      <c r="AU630" s="10"/>
      <c r="AW630" s="143"/>
      <c r="BA630" s="10"/>
      <c r="BD630" s="10"/>
      <c r="BE630" s="10"/>
      <c r="BF630" s="10"/>
      <c r="BG630" s="10"/>
      <c r="BH630" s="10"/>
      <c r="BI630" s="10"/>
      <c r="BJ630" s="10"/>
      <c r="BK630" s="10"/>
      <c r="BL630" s="10"/>
      <c r="BS630" s="10"/>
      <c r="BT630" s="10"/>
      <c r="BV630" s="10"/>
      <c r="BW630" s="10"/>
    </row>
    <row r="631">
      <c r="A631" s="10"/>
      <c r="B631" s="10"/>
      <c r="C631" s="10"/>
      <c r="D631" s="10"/>
      <c r="E631" s="10"/>
      <c r="F631" s="10"/>
      <c r="G631" s="10"/>
      <c r="H631" s="10"/>
      <c r="J631" s="10"/>
      <c r="O631" s="10"/>
      <c r="P631" s="10"/>
      <c r="U631" s="10"/>
      <c r="V631" s="10"/>
      <c r="W631" s="10"/>
      <c r="X631" s="10"/>
      <c r="Y631" s="10"/>
      <c r="Z631" s="10"/>
      <c r="AA631" s="10"/>
      <c r="AB631" s="10"/>
      <c r="AC631" s="10"/>
      <c r="AD631" s="10"/>
      <c r="AE631" s="10"/>
      <c r="AF631" s="10"/>
      <c r="AG631" s="10"/>
      <c r="AH631" s="10"/>
      <c r="AI631" s="10"/>
      <c r="AJ631" s="10"/>
      <c r="AK631" s="10"/>
      <c r="AL631" s="10"/>
      <c r="AM631" s="10"/>
      <c r="AN631" s="10"/>
      <c r="AO631" s="10"/>
      <c r="AU631" s="10"/>
      <c r="AW631" s="143"/>
      <c r="BA631" s="10"/>
      <c r="BS631" s="10"/>
      <c r="BT631" s="10"/>
      <c r="BW631" s="10"/>
    </row>
    <row r="632">
      <c r="A632" s="10"/>
      <c r="B632" s="10"/>
      <c r="C632" s="10"/>
      <c r="D632" s="10"/>
      <c r="E632" s="10"/>
      <c r="F632" s="10"/>
      <c r="G632" s="10"/>
      <c r="H632" s="10"/>
      <c r="J632" s="10"/>
      <c r="P632" s="10"/>
      <c r="V632" s="10"/>
      <c r="W632" s="10"/>
      <c r="X632" s="10"/>
      <c r="Y632" s="10"/>
      <c r="Z632" s="10"/>
      <c r="AA632" s="10"/>
      <c r="AB632" s="10"/>
      <c r="AC632" s="10"/>
      <c r="AD632" s="10"/>
      <c r="AE632" s="10"/>
      <c r="AF632" s="10"/>
      <c r="AG632" s="10"/>
      <c r="AH632" s="10"/>
      <c r="AI632" s="10"/>
      <c r="AJ632" s="10"/>
      <c r="AK632" s="10"/>
      <c r="AL632" s="10"/>
      <c r="AM632" s="10"/>
      <c r="AN632" s="10"/>
      <c r="AO632" s="10"/>
      <c r="AW632" s="143"/>
      <c r="AZ632" s="10"/>
      <c r="BA632" s="10"/>
      <c r="BE632" s="10"/>
      <c r="BF632" s="10"/>
      <c r="BG632" s="10"/>
      <c r="BH632" s="10"/>
      <c r="BI632" s="10"/>
      <c r="BJ632" s="10"/>
      <c r="BK632" s="10"/>
      <c r="BS632" s="10"/>
      <c r="BT632" s="10"/>
      <c r="BU632" s="10"/>
      <c r="BW632" s="10"/>
    </row>
    <row r="633">
      <c r="A633" s="10"/>
      <c r="B633" s="10"/>
      <c r="C633" s="10"/>
      <c r="D633" s="10"/>
      <c r="E633" s="10"/>
      <c r="F633" s="10"/>
      <c r="G633" s="10"/>
      <c r="H633" s="10"/>
      <c r="I633" s="10"/>
      <c r="J633" s="10"/>
      <c r="K633" s="10"/>
      <c r="L633" s="10"/>
      <c r="N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R633" s="10"/>
      <c r="AS633" s="10"/>
      <c r="AU633" s="10"/>
      <c r="AV633" s="10"/>
      <c r="AW633" s="143"/>
      <c r="BA633" s="10"/>
      <c r="BD633" s="10"/>
      <c r="BE633" s="10"/>
      <c r="BF633" s="10"/>
      <c r="BG633" s="10"/>
      <c r="BH633" s="10"/>
      <c r="BI633" s="10"/>
      <c r="BJ633" s="10"/>
      <c r="BK633" s="10"/>
      <c r="BS633" s="10"/>
      <c r="BT633" s="10"/>
      <c r="BV633" s="10"/>
      <c r="BW633" s="10"/>
    </row>
    <row r="634">
      <c r="A634" s="10"/>
      <c r="B634" s="10"/>
      <c r="C634" s="10"/>
      <c r="D634" s="10"/>
      <c r="E634" s="10"/>
      <c r="F634" s="10"/>
      <c r="G634" s="10"/>
      <c r="H634" s="10"/>
      <c r="I634" s="10"/>
      <c r="K634" s="10"/>
      <c r="L634" s="10"/>
      <c r="N634" s="10"/>
      <c r="O634" s="10"/>
      <c r="T634" s="10"/>
      <c r="U634" s="10"/>
      <c r="V634" s="10"/>
      <c r="W634" s="10"/>
      <c r="Y634" s="10"/>
      <c r="Z634" s="10"/>
      <c r="AA634" s="10"/>
      <c r="AB634" s="10"/>
      <c r="AC634" s="10"/>
      <c r="AD634" s="10"/>
      <c r="AE634" s="10"/>
      <c r="AF634" s="10"/>
      <c r="AG634" s="10"/>
      <c r="AH634" s="10"/>
      <c r="AI634" s="10"/>
      <c r="AJ634" s="10"/>
      <c r="AK634" s="10"/>
      <c r="AL634" s="10"/>
      <c r="AM634" s="10"/>
      <c r="AN634" s="10"/>
      <c r="AO634" s="10"/>
      <c r="AR634" s="10"/>
      <c r="AS634" s="10"/>
      <c r="AU634" s="10"/>
      <c r="AV634" s="10"/>
      <c r="AW634" s="143"/>
      <c r="AZ634" s="10"/>
      <c r="BA634" s="10"/>
      <c r="BD634" s="10"/>
      <c r="BE634" s="10"/>
      <c r="BF634" s="10"/>
      <c r="BG634" s="10"/>
      <c r="BH634" s="10"/>
      <c r="BI634" s="10"/>
      <c r="BJ634" s="10"/>
      <c r="BK634" s="10"/>
      <c r="BS634" s="10"/>
      <c r="BT634" s="10"/>
      <c r="BV634" s="10"/>
      <c r="BW634" s="10"/>
    </row>
    <row r="635">
      <c r="A635" s="10"/>
      <c r="B635" s="10"/>
      <c r="C635" s="10"/>
      <c r="D635" s="10"/>
      <c r="E635" s="10"/>
      <c r="F635" s="10"/>
      <c r="G635" s="10"/>
      <c r="H635" s="10"/>
      <c r="I635" s="10"/>
      <c r="J635" s="10"/>
      <c r="K635" s="10"/>
      <c r="L635" s="10"/>
      <c r="N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R635" s="10"/>
      <c r="AS635" s="10"/>
      <c r="AU635" s="10"/>
      <c r="AV635" s="10"/>
      <c r="AW635" s="143"/>
      <c r="BA635" s="10"/>
      <c r="BD635" s="10"/>
      <c r="BS635" s="10"/>
      <c r="BT635" s="10"/>
      <c r="BV635" s="10"/>
      <c r="BW635" s="10"/>
    </row>
    <row r="636">
      <c r="A636" s="10"/>
      <c r="B636" s="10"/>
      <c r="C636" s="10"/>
      <c r="D636" s="10"/>
      <c r="E636" s="10"/>
      <c r="F636" s="10"/>
      <c r="G636" s="10"/>
      <c r="H636" s="10"/>
      <c r="I636" s="10"/>
      <c r="J636" s="10"/>
      <c r="K636" s="10"/>
      <c r="L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R636" s="10"/>
      <c r="AS636" s="10"/>
      <c r="AU636" s="10"/>
      <c r="AV636" s="10"/>
      <c r="AW636" s="143"/>
      <c r="BA636" s="10"/>
      <c r="BD636" s="10"/>
      <c r="BT636" s="10"/>
      <c r="BV636" s="10"/>
      <c r="BW636" s="10"/>
    </row>
    <row r="637">
      <c r="A637" s="10"/>
      <c r="B637" s="10"/>
      <c r="C637" s="10"/>
      <c r="D637" s="10"/>
      <c r="E637" s="10"/>
      <c r="F637" s="10"/>
      <c r="G637" s="10"/>
      <c r="H637" s="10"/>
      <c r="I637" s="10"/>
      <c r="K637" s="10"/>
      <c r="L637" s="10"/>
      <c r="N637" s="10"/>
      <c r="P637" s="10"/>
      <c r="T637" s="10"/>
      <c r="U637" s="10"/>
      <c r="V637" s="10"/>
      <c r="W637" s="10"/>
      <c r="Y637" s="10"/>
      <c r="Z637" s="10"/>
      <c r="AA637" s="10"/>
      <c r="AB637" s="10"/>
      <c r="AC637" s="10"/>
      <c r="AD637" s="10"/>
      <c r="AE637" s="10"/>
      <c r="AF637" s="10"/>
      <c r="AG637" s="10"/>
      <c r="AH637" s="10"/>
      <c r="AI637" s="10"/>
      <c r="AJ637" s="10"/>
      <c r="AK637" s="10"/>
      <c r="AL637" s="10"/>
      <c r="AM637" s="10"/>
      <c r="AN637" s="10"/>
      <c r="AO637" s="10"/>
      <c r="AR637" s="10"/>
      <c r="AS637" s="10"/>
      <c r="AU637" s="10"/>
      <c r="AW637" s="143"/>
      <c r="BA637" s="10"/>
      <c r="BD637" s="10"/>
      <c r="BS637" s="10"/>
      <c r="BT637" s="10"/>
      <c r="BV637" s="10"/>
      <c r="BW637" s="10"/>
    </row>
    <row r="638">
      <c r="A638" s="10"/>
      <c r="B638" s="10"/>
      <c r="C638" s="10"/>
      <c r="D638" s="10"/>
      <c r="E638" s="10"/>
      <c r="F638" s="10"/>
      <c r="G638" s="10"/>
      <c r="H638" s="10"/>
      <c r="I638" s="10"/>
      <c r="K638" s="10"/>
      <c r="L638" s="10"/>
      <c r="N638" s="10"/>
      <c r="T638" s="10"/>
      <c r="U638" s="10"/>
      <c r="V638" s="10"/>
      <c r="W638" s="10"/>
      <c r="Y638" s="10"/>
      <c r="Z638" s="10"/>
      <c r="AA638" s="10"/>
      <c r="AB638" s="10"/>
      <c r="AC638" s="10"/>
      <c r="AD638" s="10"/>
      <c r="AE638" s="10"/>
      <c r="AF638" s="10"/>
      <c r="AG638" s="10"/>
      <c r="AH638" s="10"/>
      <c r="AI638" s="10"/>
      <c r="AJ638" s="10"/>
      <c r="AK638" s="10"/>
      <c r="AL638" s="10"/>
      <c r="AM638" s="10"/>
      <c r="AN638" s="10"/>
      <c r="AO638" s="10"/>
      <c r="AR638" s="10"/>
      <c r="AS638" s="10"/>
      <c r="AU638" s="10"/>
      <c r="AV638" s="10"/>
      <c r="AW638" s="143"/>
      <c r="BA638" s="10"/>
      <c r="BD638" s="10"/>
      <c r="BS638" s="10"/>
      <c r="BT638" s="10"/>
      <c r="BV638" s="10"/>
      <c r="BW638" s="10"/>
    </row>
    <row r="639">
      <c r="A639" s="10"/>
      <c r="B639" s="10"/>
      <c r="C639" s="10"/>
      <c r="D639" s="10"/>
      <c r="E639" s="10"/>
      <c r="F639" s="10"/>
      <c r="G639" s="10"/>
      <c r="H639" s="10"/>
      <c r="I639" s="10"/>
      <c r="J639" s="10"/>
      <c r="K639" s="10"/>
      <c r="L639" s="10"/>
      <c r="N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R639" s="10"/>
      <c r="AS639" s="10"/>
      <c r="AU639" s="10"/>
      <c r="AV639" s="10"/>
      <c r="AW639" s="143"/>
      <c r="BA639" s="10"/>
      <c r="BD639" s="10"/>
      <c r="BS639" s="10"/>
      <c r="BT639" s="10"/>
      <c r="BV639" s="10"/>
      <c r="BW639" s="10"/>
    </row>
    <row r="640">
      <c r="A640" s="10"/>
      <c r="B640" s="10"/>
      <c r="C640" s="10"/>
      <c r="D640" s="10"/>
      <c r="E640" s="10"/>
      <c r="F640" s="10"/>
      <c r="G640" s="10"/>
      <c r="H640" s="10"/>
      <c r="I640" s="10"/>
      <c r="J640" s="10"/>
      <c r="K640" s="10"/>
      <c r="L640" s="10"/>
      <c r="N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R640" s="10"/>
      <c r="AS640" s="10"/>
      <c r="AU640" s="10"/>
      <c r="AV640" s="10"/>
      <c r="AW640" s="143"/>
      <c r="BA640" s="10"/>
      <c r="BD640" s="10"/>
      <c r="BS640" s="10"/>
      <c r="BT640" s="10"/>
      <c r="BV640" s="10"/>
      <c r="BW640" s="10"/>
    </row>
    <row r="641">
      <c r="A641" s="10"/>
      <c r="B641" s="10"/>
      <c r="C641" s="10"/>
      <c r="D641" s="10"/>
      <c r="E641" s="10"/>
      <c r="F641" s="10"/>
      <c r="G641" s="10"/>
      <c r="H641" s="10"/>
      <c r="I641" s="10"/>
      <c r="J641" s="10"/>
      <c r="K641" s="10"/>
      <c r="L641" s="10"/>
      <c r="N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R641" s="10"/>
      <c r="AS641" s="10"/>
      <c r="AU641" s="10"/>
      <c r="AV641" s="10"/>
      <c r="AW641" s="143"/>
      <c r="BA641" s="10"/>
      <c r="BD641" s="10"/>
      <c r="BS641" s="10"/>
      <c r="BT641" s="10"/>
      <c r="BV641" s="10"/>
      <c r="BW641" s="10"/>
    </row>
    <row r="642">
      <c r="A642" s="10"/>
      <c r="B642" s="10"/>
      <c r="C642" s="10"/>
      <c r="D642" s="10"/>
      <c r="E642" s="10"/>
      <c r="F642" s="10"/>
      <c r="G642" s="10"/>
      <c r="H642" s="10"/>
      <c r="I642" s="10"/>
      <c r="J642" s="10"/>
      <c r="K642" s="10"/>
      <c r="L642" s="10"/>
      <c r="O642" s="10"/>
      <c r="P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R642" s="10"/>
      <c r="AS642" s="10"/>
      <c r="AU642" s="10"/>
      <c r="AV642" s="10"/>
      <c r="AW642" s="143"/>
      <c r="AZ642" s="10"/>
      <c r="BA642" s="10"/>
      <c r="BD642" s="10"/>
      <c r="BS642" s="10"/>
      <c r="BT642" s="10"/>
      <c r="BV642" s="10"/>
      <c r="BW642" s="10"/>
    </row>
    <row r="643">
      <c r="A643" s="10"/>
      <c r="B643" s="10"/>
      <c r="C643" s="10"/>
      <c r="D643" s="10"/>
      <c r="E643" s="10"/>
      <c r="F643" s="10"/>
      <c r="G643" s="10"/>
      <c r="H643" s="10"/>
      <c r="I643" s="10"/>
      <c r="J643" s="10"/>
      <c r="K643" s="10"/>
      <c r="L643" s="10"/>
      <c r="N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R643" s="10"/>
      <c r="AS643" s="10"/>
      <c r="AU643" s="10"/>
      <c r="AV643" s="10"/>
      <c r="AW643" s="143"/>
      <c r="AZ643" s="10"/>
      <c r="BA643" s="10"/>
      <c r="BD643" s="10"/>
      <c r="BS643" s="10"/>
      <c r="BT643" s="10"/>
      <c r="BV643" s="10"/>
      <c r="BW643" s="10"/>
    </row>
    <row r="644">
      <c r="A644" s="10"/>
      <c r="B644" s="10"/>
      <c r="C644" s="10"/>
      <c r="D644" s="10"/>
      <c r="E644" s="10"/>
      <c r="F644" s="10"/>
      <c r="G644" s="10"/>
      <c r="H644" s="10"/>
      <c r="I644" s="10"/>
      <c r="K644" s="10"/>
      <c r="L644" s="10"/>
      <c r="U644" s="10"/>
      <c r="V644" s="10"/>
      <c r="W644" s="10"/>
      <c r="Y644" s="10"/>
      <c r="Z644" s="10"/>
      <c r="AA644" s="10"/>
      <c r="AB644" s="10"/>
      <c r="AC644" s="10"/>
      <c r="AD644" s="10"/>
      <c r="AE644" s="10"/>
      <c r="AF644" s="10"/>
      <c r="AG644" s="10"/>
      <c r="AH644" s="10"/>
      <c r="AI644" s="10"/>
      <c r="AJ644" s="10"/>
      <c r="AK644" s="10"/>
      <c r="AL644" s="10"/>
      <c r="AM644" s="10"/>
      <c r="AO644" s="10"/>
      <c r="AR644" s="10"/>
      <c r="AS644" s="10"/>
      <c r="AU644" s="10"/>
      <c r="AV644" s="10"/>
      <c r="AW644" s="143"/>
      <c r="BA644" s="10"/>
      <c r="BD644" s="10"/>
      <c r="BE644" s="10"/>
      <c r="BF644" s="10"/>
      <c r="BG644" s="10"/>
      <c r="BH644" s="10"/>
      <c r="BI644" s="10"/>
      <c r="BJ644" s="10"/>
      <c r="BK644" s="10"/>
      <c r="BS644" s="10"/>
      <c r="BT644" s="10"/>
      <c r="BV644" s="10"/>
      <c r="BW644" s="10"/>
    </row>
    <row r="645">
      <c r="A645" s="10"/>
      <c r="B645" s="10"/>
      <c r="C645" s="10"/>
      <c r="D645" s="10"/>
      <c r="E645" s="10"/>
      <c r="F645" s="10"/>
      <c r="G645" s="10"/>
      <c r="H645" s="10"/>
      <c r="I645" s="10"/>
      <c r="K645" s="10"/>
      <c r="L645" s="10"/>
      <c r="N645" s="10"/>
      <c r="U645" s="10"/>
      <c r="V645" s="10"/>
      <c r="W645" s="10"/>
      <c r="Y645" s="10"/>
      <c r="Z645" s="10"/>
      <c r="AA645" s="10"/>
      <c r="AB645" s="10"/>
      <c r="AC645" s="10"/>
      <c r="AD645" s="10"/>
      <c r="AE645" s="10"/>
      <c r="AF645" s="10"/>
      <c r="AG645" s="10"/>
      <c r="AH645" s="10"/>
      <c r="AI645" s="10"/>
      <c r="AJ645" s="10"/>
      <c r="AK645" s="10"/>
      <c r="AL645" s="10"/>
      <c r="AM645" s="10"/>
      <c r="AO645" s="10"/>
      <c r="AR645" s="10"/>
      <c r="AS645" s="10"/>
      <c r="AU645" s="10"/>
      <c r="AV645" s="10"/>
      <c r="AW645" s="143"/>
      <c r="BA645" s="10"/>
      <c r="BD645" s="10"/>
      <c r="BE645" s="10"/>
      <c r="BF645" s="10"/>
      <c r="BG645" s="10"/>
      <c r="BH645" s="10"/>
      <c r="BI645" s="10"/>
      <c r="BJ645" s="10"/>
      <c r="BK645" s="10"/>
      <c r="BS645" s="10"/>
      <c r="BT645" s="10"/>
      <c r="BV645" s="10"/>
      <c r="BW645" s="10"/>
    </row>
    <row r="646">
      <c r="A646" s="10"/>
      <c r="B646" s="10"/>
      <c r="C646" s="10"/>
      <c r="D646" s="10"/>
      <c r="E646" s="10"/>
      <c r="F646" s="10"/>
      <c r="G646" s="10"/>
      <c r="H646" s="10"/>
      <c r="I646" s="10"/>
      <c r="K646" s="10"/>
      <c r="L646" s="10"/>
      <c r="Q646" s="10"/>
      <c r="R646" s="10"/>
      <c r="S646" s="10"/>
      <c r="T646" s="10"/>
      <c r="U646" s="10"/>
      <c r="V646" s="10"/>
      <c r="W646" s="10"/>
      <c r="Y646" s="10"/>
      <c r="Z646" s="10"/>
      <c r="AA646" s="10"/>
      <c r="AB646" s="10"/>
      <c r="AC646" s="10"/>
      <c r="AD646" s="10"/>
      <c r="AE646" s="10"/>
      <c r="AF646" s="10"/>
      <c r="AG646" s="10"/>
      <c r="AH646" s="10"/>
      <c r="AI646" s="10"/>
      <c r="AJ646" s="10"/>
      <c r="AK646" s="10"/>
      <c r="AL646" s="10"/>
      <c r="AM646" s="10"/>
      <c r="AN646" s="10"/>
      <c r="AO646" s="10"/>
      <c r="AR646" s="10"/>
      <c r="AS646" s="10"/>
      <c r="AU646" s="10"/>
      <c r="AV646" s="10"/>
      <c r="AW646" s="143"/>
      <c r="BA646" s="10"/>
      <c r="BD646" s="10"/>
      <c r="BE646" s="10"/>
      <c r="BF646" s="10"/>
      <c r="BG646" s="10"/>
      <c r="BH646" s="10"/>
      <c r="BI646" s="10"/>
      <c r="BJ646" s="10"/>
      <c r="BK646" s="10"/>
      <c r="BN646" s="10"/>
      <c r="BO646" s="10"/>
      <c r="BQ646" s="10"/>
      <c r="BR646" s="10"/>
      <c r="BS646" s="10"/>
      <c r="BT646" s="10"/>
      <c r="BV646" s="10"/>
      <c r="BW646" s="10"/>
    </row>
    <row r="647">
      <c r="A647" s="10"/>
      <c r="B647" s="10"/>
      <c r="C647" s="10"/>
      <c r="D647" s="10"/>
      <c r="E647" s="10"/>
      <c r="F647" s="10"/>
      <c r="G647" s="10"/>
      <c r="H647" s="10"/>
      <c r="I647" s="10"/>
      <c r="K647" s="10"/>
      <c r="L647" s="10"/>
      <c r="T647" s="10"/>
      <c r="U647" s="10"/>
      <c r="V647" s="10"/>
      <c r="W647" s="10"/>
      <c r="Y647" s="10"/>
      <c r="Z647" s="10"/>
      <c r="AA647" s="10"/>
      <c r="AB647" s="10"/>
      <c r="AC647" s="10"/>
      <c r="AD647" s="10"/>
      <c r="AE647" s="10"/>
      <c r="AF647" s="10"/>
      <c r="AG647" s="10"/>
      <c r="AH647" s="10"/>
      <c r="AI647" s="10"/>
      <c r="AJ647" s="10"/>
      <c r="AK647" s="10"/>
      <c r="AL647" s="10"/>
      <c r="AM647" s="10"/>
      <c r="AN647" s="10"/>
      <c r="AO647" s="10"/>
      <c r="AR647" s="10"/>
      <c r="AS647" s="10"/>
      <c r="AU647" s="10"/>
      <c r="AV647" s="10"/>
      <c r="AW647" s="143"/>
      <c r="BA647" s="10"/>
      <c r="BD647" s="10"/>
      <c r="BE647" s="10"/>
      <c r="BF647" s="10"/>
      <c r="BG647" s="10"/>
      <c r="BH647" s="10"/>
      <c r="BI647" s="10"/>
      <c r="BJ647" s="10"/>
      <c r="BK647" s="10"/>
      <c r="BT647" s="10"/>
      <c r="BV647" s="10"/>
      <c r="BW647" s="10"/>
    </row>
    <row r="648">
      <c r="A648" s="10"/>
      <c r="B648" s="10"/>
      <c r="C648" s="10"/>
      <c r="D648" s="10"/>
      <c r="E648" s="10"/>
      <c r="F648" s="10"/>
      <c r="G648" s="10"/>
      <c r="H648" s="10"/>
      <c r="I648" s="10"/>
      <c r="K648" s="10"/>
      <c r="L648" s="10"/>
      <c r="Q648" s="10"/>
      <c r="R648" s="10"/>
      <c r="S648" s="10"/>
      <c r="T648" s="10"/>
      <c r="U648" s="10"/>
      <c r="V648" s="10"/>
      <c r="W648" s="10"/>
      <c r="Y648" s="10"/>
      <c r="Z648" s="10"/>
      <c r="AA648" s="10"/>
      <c r="AB648" s="10"/>
      <c r="AC648" s="10"/>
      <c r="AD648" s="10"/>
      <c r="AE648" s="10"/>
      <c r="AF648" s="10"/>
      <c r="AG648" s="10"/>
      <c r="AH648" s="10"/>
      <c r="AI648" s="10"/>
      <c r="AJ648" s="10"/>
      <c r="AK648" s="10"/>
      <c r="AL648" s="10"/>
      <c r="AM648" s="10"/>
      <c r="AN648" s="10"/>
      <c r="AO648" s="10"/>
      <c r="AR648" s="10"/>
      <c r="AS648" s="10"/>
      <c r="AU648" s="10"/>
      <c r="AV648" s="10"/>
      <c r="AW648" s="143"/>
      <c r="BA648" s="10"/>
      <c r="BD648" s="10"/>
      <c r="BE648" s="10"/>
      <c r="BF648" s="10"/>
      <c r="BG648" s="10"/>
      <c r="BH648" s="10"/>
      <c r="BI648" s="10"/>
      <c r="BJ648" s="10"/>
      <c r="BK648" s="10"/>
      <c r="BN648" s="10"/>
      <c r="BQ648" s="10"/>
      <c r="BT648" s="10"/>
      <c r="BV648" s="10"/>
      <c r="BW648" s="10"/>
    </row>
    <row r="649">
      <c r="A649" s="10"/>
      <c r="B649" s="10"/>
      <c r="C649" s="10"/>
      <c r="D649" s="10"/>
      <c r="E649" s="10"/>
      <c r="F649" s="10"/>
      <c r="G649" s="10"/>
      <c r="H649" s="10"/>
      <c r="I649" s="10"/>
      <c r="K649" s="10"/>
      <c r="L649" s="10"/>
      <c r="P649" s="10"/>
      <c r="T649" s="10"/>
      <c r="U649" s="10"/>
      <c r="V649" s="10"/>
      <c r="W649" s="10"/>
      <c r="Y649" s="10"/>
      <c r="Z649" s="10"/>
      <c r="AA649" s="10"/>
      <c r="AB649" s="10"/>
      <c r="AC649" s="10"/>
      <c r="AD649" s="10"/>
      <c r="AE649" s="10"/>
      <c r="AF649" s="10"/>
      <c r="AG649" s="10"/>
      <c r="AH649" s="10"/>
      <c r="AI649" s="10"/>
      <c r="AJ649" s="10"/>
      <c r="AK649" s="10"/>
      <c r="AL649" s="10"/>
      <c r="AM649" s="10"/>
      <c r="AN649" s="10"/>
      <c r="AO649" s="10"/>
      <c r="AR649" s="10"/>
      <c r="AS649" s="10"/>
      <c r="AU649" s="10"/>
      <c r="AW649" s="143"/>
      <c r="BA649" s="10"/>
      <c r="BD649" s="10"/>
      <c r="BL649" s="10"/>
      <c r="BO649" s="10"/>
      <c r="BR649" s="10"/>
      <c r="BS649" s="10"/>
      <c r="BT649" s="10"/>
      <c r="BV649" s="10"/>
      <c r="BW649" s="10"/>
    </row>
    <row r="650">
      <c r="A650" s="10"/>
      <c r="B650" s="10"/>
      <c r="C650" s="10"/>
      <c r="D650" s="10"/>
      <c r="E650" s="10"/>
      <c r="F650" s="10"/>
      <c r="G650" s="10"/>
      <c r="H650" s="10"/>
      <c r="I650" s="10"/>
      <c r="J650" s="10"/>
      <c r="K650" s="10"/>
      <c r="L650" s="10"/>
      <c r="P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R650" s="10"/>
      <c r="AS650" s="10"/>
      <c r="AU650" s="10"/>
      <c r="AW650" s="143"/>
      <c r="AZ650" s="10"/>
      <c r="BA650" s="10"/>
      <c r="BD650" s="10"/>
      <c r="BS650" s="10"/>
      <c r="BT650" s="10"/>
      <c r="BV650" s="10"/>
      <c r="BW650" s="10"/>
    </row>
    <row r="651">
      <c r="A651" s="10"/>
      <c r="B651" s="10"/>
      <c r="C651" s="10"/>
      <c r="D651" s="10"/>
      <c r="E651" s="10"/>
      <c r="F651" s="10"/>
      <c r="G651" s="10"/>
      <c r="H651" s="10"/>
      <c r="I651" s="10"/>
      <c r="J651" s="10"/>
      <c r="K651" s="10"/>
      <c r="L651" s="10"/>
      <c r="N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U651" s="10"/>
      <c r="AW651" s="143"/>
      <c r="BA651" s="10"/>
      <c r="BD651" s="10"/>
      <c r="BT651" s="10"/>
      <c r="BV651" s="10"/>
      <c r="BW651" s="10"/>
    </row>
    <row r="652">
      <c r="A652" s="10"/>
      <c r="B652" s="10"/>
      <c r="C652" s="10"/>
      <c r="D652" s="10"/>
      <c r="E652" s="10"/>
      <c r="F652" s="10"/>
      <c r="G652" s="10"/>
      <c r="H652" s="10"/>
      <c r="I652" s="10"/>
      <c r="J652" s="10"/>
      <c r="K652" s="10"/>
      <c r="L652" s="10"/>
      <c r="O652" s="10"/>
      <c r="P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R652" s="10"/>
      <c r="AS652" s="10"/>
      <c r="AU652" s="10"/>
      <c r="AW652" s="143"/>
      <c r="BA652" s="10"/>
      <c r="BD652" s="10"/>
      <c r="BS652" s="10"/>
      <c r="BT652" s="10"/>
      <c r="BV652" s="10"/>
      <c r="BW652" s="10"/>
    </row>
    <row r="653">
      <c r="A653" s="10"/>
      <c r="B653" s="10"/>
      <c r="C653" s="10"/>
      <c r="D653" s="10"/>
      <c r="E653" s="10"/>
      <c r="F653" s="10"/>
      <c r="G653" s="10"/>
      <c r="H653" s="10"/>
      <c r="I653" s="10"/>
      <c r="J653" s="10"/>
      <c r="K653" s="10"/>
      <c r="L653" s="10"/>
      <c r="N653" s="10"/>
      <c r="P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W653" s="143"/>
      <c r="BA653" s="10"/>
      <c r="BD653" s="10"/>
      <c r="BS653" s="10"/>
      <c r="BT653" s="10"/>
      <c r="BV653" s="10"/>
      <c r="BW653" s="10"/>
    </row>
    <row r="654">
      <c r="A654" s="10"/>
      <c r="B654" s="10"/>
      <c r="C654" s="10"/>
      <c r="D654" s="10"/>
      <c r="E654" s="10"/>
      <c r="F654" s="10"/>
      <c r="G654" s="10"/>
      <c r="H654" s="10"/>
      <c r="I654" s="10"/>
      <c r="J654" s="10"/>
      <c r="K654" s="10"/>
      <c r="L654" s="10"/>
      <c r="N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R654" s="10"/>
      <c r="AS654" s="10"/>
      <c r="AU654" s="10"/>
      <c r="AW654" s="143"/>
      <c r="BA654" s="10"/>
      <c r="BD654" s="10"/>
      <c r="BS654" s="10"/>
      <c r="BT654" s="10"/>
      <c r="BV654" s="10"/>
      <c r="BW654" s="10"/>
    </row>
    <row r="655">
      <c r="A655" s="10"/>
      <c r="B655" s="10"/>
      <c r="C655" s="10"/>
      <c r="D655" s="10"/>
      <c r="E655" s="10"/>
      <c r="F655" s="10"/>
      <c r="G655" s="10"/>
      <c r="H655" s="10"/>
      <c r="I655" s="10"/>
      <c r="J655" s="10"/>
      <c r="K655" s="10"/>
      <c r="L655" s="10"/>
      <c r="N655" s="10"/>
      <c r="P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R655" s="10"/>
      <c r="AS655" s="10"/>
      <c r="AU655" s="10"/>
      <c r="AW655" s="143"/>
      <c r="BA655" s="10"/>
      <c r="BD655" s="10"/>
      <c r="BS655" s="10"/>
      <c r="BT655" s="10"/>
      <c r="BV655" s="10"/>
      <c r="BW655" s="10"/>
    </row>
    <row r="656">
      <c r="A656" s="10"/>
      <c r="B656" s="10"/>
      <c r="C656" s="10"/>
      <c r="D656" s="10"/>
      <c r="E656" s="10"/>
      <c r="F656" s="10"/>
      <c r="G656" s="10"/>
      <c r="H656" s="10"/>
      <c r="I656" s="10"/>
      <c r="J656" s="10"/>
      <c r="K656" s="10"/>
      <c r="L656" s="10"/>
      <c r="N656" s="10"/>
      <c r="P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U656" s="10"/>
      <c r="AW656" s="143"/>
      <c r="BA656" s="10"/>
      <c r="BD656" s="10"/>
      <c r="BS656" s="10"/>
      <c r="BT656" s="10"/>
      <c r="BV656" s="10"/>
      <c r="BW656" s="10"/>
    </row>
    <row r="657">
      <c r="A657" s="10"/>
      <c r="B657" s="10"/>
      <c r="C657" s="10"/>
      <c r="D657" s="10"/>
      <c r="E657" s="10"/>
      <c r="F657" s="10"/>
      <c r="G657" s="10"/>
      <c r="H657" s="10"/>
      <c r="I657" s="10"/>
      <c r="J657" s="10"/>
      <c r="K657" s="10"/>
      <c r="L657" s="10"/>
      <c r="N657" s="10"/>
      <c r="P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R657" s="10"/>
      <c r="AS657" s="10"/>
      <c r="AU657" s="10"/>
      <c r="AW657" s="143"/>
      <c r="BA657" s="10"/>
      <c r="BD657" s="10"/>
      <c r="BT657" s="10"/>
      <c r="BV657" s="10"/>
      <c r="BW657" s="10"/>
    </row>
    <row r="658">
      <c r="A658" s="10"/>
      <c r="B658" s="10"/>
      <c r="C658" s="10"/>
      <c r="D658" s="10"/>
      <c r="E658" s="10"/>
      <c r="F658" s="10"/>
      <c r="G658" s="10"/>
      <c r="H658" s="10"/>
      <c r="I658" s="10"/>
      <c r="J658" s="10"/>
      <c r="K658" s="10"/>
      <c r="L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W658" s="143"/>
      <c r="BA658" s="10"/>
      <c r="BD658" s="10"/>
      <c r="BL658" s="10"/>
      <c r="BO658" s="10"/>
      <c r="BR658" s="10"/>
      <c r="BS658" s="10"/>
      <c r="BT658" s="10"/>
      <c r="BV658" s="10"/>
      <c r="BW658" s="10"/>
    </row>
    <row r="659">
      <c r="A659" s="10"/>
      <c r="B659" s="10"/>
      <c r="C659" s="10"/>
      <c r="D659" s="10"/>
      <c r="E659" s="10"/>
      <c r="F659" s="10"/>
      <c r="G659" s="10"/>
      <c r="H659" s="10"/>
      <c r="I659" s="10"/>
      <c r="J659" s="10"/>
      <c r="K659" s="10"/>
      <c r="L659" s="10"/>
      <c r="O659" s="10"/>
      <c r="P659" s="10"/>
      <c r="Q659" s="10"/>
      <c r="R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W659" s="143"/>
      <c r="BA659" s="10"/>
      <c r="BD659" s="10"/>
      <c r="BS659" s="10"/>
      <c r="BT659" s="10"/>
      <c r="BV659" s="10"/>
      <c r="BW659" s="10"/>
    </row>
    <row r="660">
      <c r="A660" s="10"/>
      <c r="B660" s="10"/>
      <c r="C660" s="10"/>
      <c r="D660" s="10"/>
      <c r="E660" s="10"/>
      <c r="F660" s="10"/>
      <c r="G660" s="10"/>
      <c r="H660" s="10"/>
      <c r="K660" s="10"/>
      <c r="L660" s="10"/>
      <c r="Q660" s="10"/>
      <c r="R660" s="10"/>
      <c r="V660" s="10"/>
      <c r="W660" s="10"/>
      <c r="Y660" s="10"/>
      <c r="Z660" s="10"/>
      <c r="AA660" s="10"/>
      <c r="AB660" s="10"/>
      <c r="AC660" s="10"/>
      <c r="AD660" s="10"/>
      <c r="AE660" s="10"/>
      <c r="AF660" s="10"/>
      <c r="AG660" s="10"/>
      <c r="AH660" s="10"/>
      <c r="AI660" s="10"/>
      <c r="AJ660" s="10"/>
      <c r="AK660" s="10"/>
      <c r="AL660" s="10"/>
      <c r="AM660" s="10"/>
      <c r="AO660" s="10"/>
      <c r="AW660" s="143"/>
      <c r="BA660" s="10"/>
      <c r="BD660" s="10"/>
      <c r="BE660" s="10"/>
      <c r="BF660" s="10"/>
      <c r="BG660" s="10"/>
      <c r="BH660" s="10"/>
      <c r="BI660" s="10"/>
      <c r="BJ660" s="10"/>
      <c r="BK660" s="10"/>
      <c r="BL660" s="10"/>
      <c r="BM660" s="10"/>
      <c r="BN660" s="10"/>
      <c r="BO660" s="10"/>
      <c r="BP660" s="10"/>
      <c r="BQ660" s="10"/>
      <c r="BR660" s="10"/>
      <c r="BS660" s="10"/>
      <c r="BT660" s="10"/>
      <c r="BV660" s="10"/>
      <c r="BW660" s="10"/>
    </row>
    <row r="661">
      <c r="A661" s="10"/>
      <c r="B661" s="10"/>
      <c r="C661" s="10"/>
      <c r="D661" s="10"/>
      <c r="E661" s="10"/>
      <c r="F661" s="10"/>
      <c r="G661" s="10"/>
      <c r="H661" s="10"/>
      <c r="K661" s="10"/>
      <c r="L661" s="10"/>
      <c r="P661" s="10"/>
      <c r="U661" s="10"/>
      <c r="V661" s="10"/>
      <c r="W661" s="10"/>
      <c r="Y661" s="10"/>
      <c r="Z661" s="10"/>
      <c r="AA661" s="10"/>
      <c r="AB661" s="10"/>
      <c r="AC661" s="10"/>
      <c r="AD661" s="10"/>
      <c r="AE661" s="10"/>
      <c r="AF661" s="10"/>
      <c r="AG661" s="10"/>
      <c r="AH661" s="10"/>
      <c r="AI661" s="10"/>
      <c r="AJ661" s="10"/>
      <c r="AK661" s="10"/>
      <c r="AL661" s="10"/>
      <c r="AM661" s="10"/>
      <c r="AN661" s="10"/>
      <c r="AO661" s="10"/>
      <c r="AW661" s="143"/>
      <c r="BA661" s="10"/>
      <c r="BD661" s="10"/>
      <c r="BE661" s="10"/>
      <c r="BF661" s="10"/>
      <c r="BG661" s="10"/>
      <c r="BH661" s="10"/>
      <c r="BI661" s="10"/>
      <c r="BJ661" s="10"/>
      <c r="BK661" s="10"/>
      <c r="BL661" s="10"/>
      <c r="BS661" s="10"/>
      <c r="BT661" s="10"/>
      <c r="BV661" s="10"/>
      <c r="BW661" s="10"/>
    </row>
    <row r="662">
      <c r="A662" s="10"/>
      <c r="B662" s="10"/>
      <c r="C662" s="10"/>
      <c r="D662" s="10"/>
      <c r="E662" s="10"/>
      <c r="F662" s="10"/>
      <c r="G662" s="10"/>
      <c r="H662" s="10"/>
      <c r="K662" s="10"/>
      <c r="L662" s="10"/>
      <c r="P662" s="10"/>
      <c r="U662" s="10"/>
      <c r="V662" s="10"/>
      <c r="W662" s="10"/>
      <c r="X662" s="10"/>
      <c r="Y662" s="10"/>
      <c r="Z662" s="10"/>
      <c r="AA662" s="10"/>
      <c r="AB662" s="10"/>
      <c r="AC662" s="10"/>
      <c r="AD662" s="10"/>
      <c r="AE662" s="10"/>
      <c r="AF662" s="10"/>
      <c r="AG662" s="10"/>
      <c r="AH662" s="10"/>
      <c r="AI662" s="10"/>
      <c r="AJ662" s="10"/>
      <c r="AK662" s="10"/>
      <c r="AL662" s="10"/>
      <c r="AM662" s="10"/>
      <c r="AN662" s="10"/>
      <c r="AO662" s="10"/>
      <c r="AW662" s="143"/>
      <c r="BA662" s="10"/>
      <c r="BD662" s="10"/>
      <c r="BE662" s="10"/>
      <c r="BF662" s="10"/>
      <c r="BG662" s="10"/>
      <c r="BH662" s="10"/>
      <c r="BI662" s="10"/>
      <c r="BJ662" s="10"/>
      <c r="BK662" s="10"/>
      <c r="BS662" s="10"/>
      <c r="BT662" s="10"/>
      <c r="BV662" s="10"/>
      <c r="BW662" s="10"/>
    </row>
    <row r="663">
      <c r="A663" s="10"/>
      <c r="B663" s="10"/>
      <c r="C663" s="10"/>
      <c r="D663" s="10"/>
      <c r="E663" s="10"/>
      <c r="F663" s="10"/>
      <c r="G663" s="10"/>
      <c r="H663" s="10"/>
      <c r="K663" s="10"/>
      <c r="L663" s="10"/>
      <c r="U663" s="10"/>
      <c r="V663" s="10"/>
      <c r="W663" s="10"/>
      <c r="X663" s="10"/>
      <c r="Y663" s="10"/>
      <c r="Z663" s="10"/>
      <c r="AA663" s="10"/>
      <c r="AB663" s="10"/>
      <c r="AC663" s="10"/>
      <c r="AD663" s="10"/>
      <c r="AE663" s="10"/>
      <c r="AF663" s="10"/>
      <c r="AG663" s="10"/>
      <c r="AH663" s="10"/>
      <c r="AI663" s="10"/>
      <c r="AJ663" s="10"/>
      <c r="AK663" s="10"/>
      <c r="AL663" s="10"/>
      <c r="AM663" s="10"/>
      <c r="AN663" s="10"/>
      <c r="AO663" s="10"/>
      <c r="AW663" s="143"/>
      <c r="BA663" s="10"/>
      <c r="BD663" s="10"/>
      <c r="BE663" s="10"/>
      <c r="BF663" s="10"/>
      <c r="BG663" s="10"/>
      <c r="BH663" s="10"/>
      <c r="BI663" s="10"/>
      <c r="BJ663" s="10"/>
      <c r="BK663" s="10"/>
      <c r="BT663" s="10"/>
      <c r="BV663" s="10"/>
      <c r="BW663" s="10"/>
    </row>
    <row r="664">
      <c r="A664" s="10"/>
      <c r="B664" s="10"/>
      <c r="C664" s="10"/>
      <c r="D664" s="10"/>
      <c r="E664" s="10"/>
      <c r="F664" s="10"/>
      <c r="G664" s="10"/>
      <c r="H664" s="10"/>
      <c r="I664" s="10"/>
      <c r="J664" s="10"/>
      <c r="K664" s="10"/>
      <c r="L664" s="10"/>
      <c r="N664" s="10"/>
      <c r="P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R664" s="10"/>
      <c r="AS664" s="10"/>
      <c r="AT664" s="10"/>
      <c r="AU664" s="10"/>
      <c r="AV664" s="10"/>
      <c r="AW664" s="143"/>
      <c r="AZ664" s="10"/>
      <c r="BA664" s="10"/>
      <c r="BD664" s="10"/>
      <c r="BS664" s="10"/>
      <c r="BT664" s="10"/>
      <c r="BV664" s="10"/>
      <c r="BW664" s="10"/>
    </row>
    <row r="665">
      <c r="A665" s="10"/>
      <c r="B665" s="10"/>
      <c r="C665" s="10"/>
      <c r="D665" s="10"/>
      <c r="E665" s="10"/>
      <c r="F665" s="10"/>
      <c r="G665" s="10"/>
      <c r="H665" s="10"/>
      <c r="I665" s="10"/>
      <c r="J665" s="10"/>
      <c r="K665" s="10"/>
      <c r="L665" s="10"/>
      <c r="N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R665" s="10"/>
      <c r="AS665" s="10"/>
      <c r="AT665" s="10"/>
      <c r="AU665" s="10"/>
      <c r="AV665" s="10"/>
      <c r="AW665" s="143"/>
      <c r="AZ665" s="10"/>
      <c r="BA665" s="10"/>
      <c r="BD665" s="10"/>
      <c r="BL665" s="10"/>
      <c r="BO665" s="10"/>
      <c r="BR665" s="10"/>
      <c r="BS665" s="10"/>
      <c r="BT665" s="10"/>
      <c r="BV665" s="10"/>
      <c r="BW665" s="10"/>
    </row>
    <row r="666">
      <c r="A666" s="10"/>
      <c r="B666" s="10"/>
      <c r="C666" s="10"/>
      <c r="D666" s="10"/>
      <c r="E666" s="10"/>
      <c r="F666" s="10"/>
      <c r="G666" s="10"/>
      <c r="H666" s="10"/>
      <c r="I666" s="10"/>
      <c r="K666" s="10"/>
      <c r="L666" s="10"/>
      <c r="N666" s="10"/>
      <c r="T666" s="10"/>
      <c r="U666" s="10"/>
      <c r="V666" s="10"/>
      <c r="W666" s="10"/>
      <c r="Y666" s="10"/>
      <c r="Z666" s="10"/>
      <c r="AA666" s="10"/>
      <c r="AB666" s="10"/>
      <c r="AC666" s="10"/>
      <c r="AD666" s="10"/>
      <c r="AE666" s="10"/>
      <c r="AF666" s="10"/>
      <c r="AG666" s="10"/>
      <c r="AH666" s="10"/>
      <c r="AI666" s="10"/>
      <c r="AJ666" s="10"/>
      <c r="AK666" s="10"/>
      <c r="AL666" s="10"/>
      <c r="AM666" s="10"/>
      <c r="AN666" s="10"/>
      <c r="AO666" s="10"/>
      <c r="AR666" s="10"/>
      <c r="AS666" s="10"/>
      <c r="AT666" s="10"/>
      <c r="AU666" s="10"/>
      <c r="AV666" s="10"/>
      <c r="AW666" s="143"/>
      <c r="BA666" s="10"/>
      <c r="BD666" s="10"/>
      <c r="BL666" s="10"/>
      <c r="BO666" s="10"/>
      <c r="BR666" s="10"/>
      <c r="BS666" s="10"/>
      <c r="BT666" s="10"/>
      <c r="BV666" s="10"/>
      <c r="BW666" s="10"/>
    </row>
    <row r="667">
      <c r="A667" s="10"/>
      <c r="B667" s="10"/>
      <c r="C667" s="10"/>
      <c r="D667" s="10"/>
      <c r="E667" s="10"/>
      <c r="F667" s="10"/>
      <c r="G667" s="10"/>
      <c r="H667" s="10"/>
      <c r="I667" s="10"/>
      <c r="K667" s="10"/>
      <c r="L667" s="10"/>
      <c r="N667" s="10"/>
      <c r="T667" s="10"/>
      <c r="U667" s="10"/>
      <c r="V667" s="10"/>
      <c r="W667" s="10"/>
      <c r="X667" s="10"/>
      <c r="Y667" s="10"/>
      <c r="Z667" s="10"/>
      <c r="AA667" s="10"/>
      <c r="AB667" s="10"/>
      <c r="AC667" s="10"/>
      <c r="AD667" s="10"/>
      <c r="AE667" s="10"/>
      <c r="AF667" s="10"/>
      <c r="AG667" s="10"/>
      <c r="AH667" s="10"/>
      <c r="AI667" s="10"/>
      <c r="AJ667" s="10"/>
      <c r="AL667" s="10"/>
      <c r="AM667" s="10"/>
      <c r="AO667" s="10"/>
      <c r="AR667" s="10"/>
      <c r="AS667" s="10"/>
      <c r="AU667" s="10"/>
      <c r="AV667" s="10"/>
      <c r="AW667" s="143"/>
      <c r="BA667" s="10"/>
      <c r="BD667" s="10"/>
      <c r="BS667" s="10"/>
      <c r="BT667" s="10"/>
      <c r="BV667" s="10"/>
      <c r="BW667" s="10"/>
    </row>
    <row r="668">
      <c r="A668" s="10"/>
      <c r="B668" s="10"/>
      <c r="C668" s="10"/>
      <c r="D668" s="10"/>
      <c r="E668" s="10"/>
      <c r="F668" s="10"/>
      <c r="G668" s="10"/>
      <c r="H668" s="10"/>
      <c r="I668" s="10"/>
      <c r="J668" s="10"/>
      <c r="K668" s="10"/>
      <c r="L668" s="10"/>
      <c r="N668" s="10"/>
      <c r="T668" s="10"/>
      <c r="U668" s="10"/>
      <c r="V668" s="10"/>
      <c r="W668" s="10"/>
      <c r="X668" s="10"/>
      <c r="Y668" s="10"/>
      <c r="Z668" s="10"/>
      <c r="AA668" s="10"/>
      <c r="AB668" s="10"/>
      <c r="AC668" s="10"/>
      <c r="AD668" s="10"/>
      <c r="AE668" s="10"/>
      <c r="AF668" s="10"/>
      <c r="AG668" s="10"/>
      <c r="AH668" s="10"/>
      <c r="AI668" s="10"/>
      <c r="AJ668" s="10"/>
      <c r="AL668" s="10"/>
      <c r="AM668" s="10"/>
      <c r="AO668" s="10"/>
      <c r="AR668" s="10"/>
      <c r="AS668" s="10"/>
      <c r="AT668" s="10"/>
      <c r="AU668" s="10"/>
      <c r="AV668" s="10"/>
      <c r="AW668" s="143"/>
      <c r="AZ668" s="10"/>
      <c r="BA668" s="10"/>
      <c r="BD668" s="10"/>
      <c r="BE668" s="10"/>
      <c r="BF668" s="10"/>
      <c r="BG668" s="10"/>
      <c r="BH668" s="10"/>
      <c r="BI668" s="10"/>
      <c r="BJ668" s="10"/>
      <c r="BK668" s="10"/>
      <c r="BL668" s="10"/>
      <c r="BO668" s="10"/>
      <c r="BR668" s="10"/>
      <c r="BS668" s="10"/>
      <c r="BT668" s="10"/>
      <c r="BV668" s="10"/>
      <c r="BW668" s="10"/>
    </row>
    <row r="669">
      <c r="A669" s="10"/>
      <c r="B669" s="10"/>
      <c r="C669" s="10"/>
      <c r="D669" s="10"/>
      <c r="E669" s="10"/>
      <c r="F669" s="10"/>
      <c r="G669" s="10"/>
      <c r="H669" s="10"/>
      <c r="I669" s="10"/>
      <c r="K669" s="10"/>
      <c r="L669" s="10"/>
      <c r="N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R669" s="10"/>
      <c r="AS669" s="10"/>
      <c r="AT669" s="10"/>
      <c r="AU669" s="10"/>
      <c r="AV669" s="10"/>
      <c r="AW669" s="143"/>
      <c r="BA669" s="10"/>
      <c r="BD669" s="10"/>
      <c r="BS669" s="10"/>
      <c r="BT669" s="10"/>
      <c r="BV669" s="10"/>
      <c r="BW669" s="10"/>
    </row>
    <row r="670">
      <c r="A670" s="10"/>
      <c r="B670" s="10"/>
      <c r="C670" s="10"/>
      <c r="D670" s="10"/>
      <c r="E670" s="10"/>
      <c r="F670" s="10"/>
      <c r="G670" s="10"/>
      <c r="H670" s="10"/>
      <c r="I670" s="10"/>
      <c r="J670" s="10"/>
      <c r="K670" s="10"/>
      <c r="L670" s="10"/>
      <c r="N670" s="10"/>
      <c r="P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R670" s="10"/>
      <c r="AS670" s="10"/>
      <c r="AT670" s="10"/>
      <c r="AU670" s="10"/>
      <c r="AV670" s="10"/>
      <c r="AW670" s="143"/>
      <c r="BA670" s="10"/>
      <c r="BD670" s="10"/>
      <c r="BS670" s="10"/>
      <c r="BT670" s="10"/>
      <c r="BV670" s="10"/>
      <c r="BW670" s="10"/>
    </row>
    <row r="671">
      <c r="A671" s="10"/>
      <c r="B671" s="10"/>
      <c r="C671" s="10"/>
      <c r="D671" s="10"/>
      <c r="E671" s="10"/>
      <c r="F671" s="10"/>
      <c r="G671" s="10"/>
      <c r="H671" s="10"/>
      <c r="I671" s="10"/>
      <c r="J671" s="10"/>
      <c r="K671" s="10"/>
      <c r="L671" s="10"/>
      <c r="N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R671" s="10"/>
      <c r="AS671" s="10"/>
      <c r="AT671" s="10"/>
      <c r="AU671" s="10"/>
      <c r="AV671" s="10"/>
      <c r="AW671" s="143"/>
      <c r="AZ671" s="10"/>
      <c r="BA671" s="10"/>
      <c r="BD671" s="10"/>
      <c r="BS671" s="10"/>
      <c r="BT671" s="10"/>
      <c r="BV671" s="10"/>
      <c r="BW671" s="10"/>
    </row>
    <row r="672">
      <c r="A672" s="10"/>
      <c r="B672" s="10"/>
      <c r="C672" s="10"/>
      <c r="D672" s="10"/>
      <c r="E672" s="10"/>
      <c r="F672" s="10"/>
      <c r="G672" s="10"/>
      <c r="H672" s="10"/>
      <c r="I672" s="10"/>
      <c r="K672" s="10"/>
      <c r="L672" s="10"/>
      <c r="N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R672" s="10"/>
      <c r="AS672" s="10"/>
      <c r="AT672" s="10"/>
      <c r="AU672" s="10"/>
      <c r="AV672" s="10"/>
      <c r="AW672" s="143"/>
      <c r="BA672" s="10"/>
      <c r="BD672" s="10"/>
      <c r="BL672" s="10"/>
      <c r="BO672" s="10"/>
      <c r="BR672" s="10"/>
      <c r="BS672" s="10"/>
      <c r="BT672" s="10"/>
      <c r="BV672" s="10"/>
      <c r="BW672" s="10"/>
    </row>
    <row r="673">
      <c r="A673" s="10"/>
      <c r="B673" s="10"/>
      <c r="C673" s="10"/>
      <c r="D673" s="10"/>
      <c r="E673" s="10"/>
      <c r="F673" s="10"/>
      <c r="G673" s="10"/>
      <c r="H673" s="10"/>
      <c r="I673" s="10"/>
      <c r="J673" s="10"/>
      <c r="K673" s="10"/>
      <c r="L673" s="10"/>
      <c r="N673" s="10"/>
      <c r="T673" s="10"/>
      <c r="U673" s="10"/>
      <c r="V673" s="10"/>
      <c r="W673" s="10"/>
      <c r="X673" s="10"/>
      <c r="Y673" s="10"/>
      <c r="Z673" s="10"/>
      <c r="AA673" s="10"/>
      <c r="AB673" s="10"/>
      <c r="AC673" s="10"/>
      <c r="AD673" s="10"/>
      <c r="AE673" s="10"/>
      <c r="AF673" s="10"/>
      <c r="AG673" s="10"/>
      <c r="AH673" s="10"/>
      <c r="AI673" s="10"/>
      <c r="AJ673" s="10"/>
      <c r="AL673" s="10"/>
      <c r="AM673" s="10"/>
      <c r="AO673" s="10"/>
      <c r="AR673" s="10"/>
      <c r="AS673" s="10"/>
      <c r="AU673" s="10"/>
      <c r="AV673" s="10"/>
      <c r="AW673" s="143"/>
      <c r="BA673" s="10"/>
      <c r="BD673" s="10"/>
      <c r="BL673" s="10"/>
      <c r="BO673" s="10"/>
      <c r="BR673" s="10"/>
      <c r="BS673" s="10"/>
      <c r="BT673" s="10"/>
      <c r="BV673" s="10"/>
      <c r="BW673" s="10"/>
    </row>
    <row r="674">
      <c r="A674" s="10"/>
      <c r="B674" s="10"/>
      <c r="C674" s="10"/>
      <c r="D674" s="10"/>
      <c r="E674" s="10"/>
      <c r="F674" s="10"/>
      <c r="G674" s="10"/>
      <c r="H674" s="10"/>
      <c r="I674" s="10"/>
      <c r="J674" s="10"/>
      <c r="K674" s="10"/>
      <c r="L674" s="10"/>
      <c r="N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R674" s="10"/>
      <c r="AS674" s="10"/>
      <c r="AT674" s="10"/>
      <c r="AU674" s="10"/>
      <c r="AV674" s="10"/>
      <c r="AW674" s="143"/>
      <c r="BA674" s="10"/>
      <c r="BD674" s="10"/>
      <c r="BS674" s="10"/>
      <c r="BT674" s="10"/>
      <c r="BV674" s="10"/>
      <c r="BW674" s="10"/>
    </row>
    <row r="675">
      <c r="A675" s="10"/>
      <c r="B675" s="10"/>
      <c r="C675" s="10"/>
      <c r="D675" s="10"/>
      <c r="E675" s="10"/>
      <c r="F675" s="10"/>
      <c r="G675" s="10"/>
      <c r="H675" s="10"/>
      <c r="I675" s="10"/>
      <c r="K675" s="10"/>
      <c r="L675" s="10"/>
      <c r="N675" s="10"/>
      <c r="P675" s="10"/>
      <c r="Q675" s="10"/>
      <c r="R675" s="10"/>
      <c r="S675" s="10"/>
      <c r="T675" s="10"/>
      <c r="U675" s="10"/>
      <c r="V675" s="10"/>
      <c r="W675" s="10"/>
      <c r="Y675" s="10"/>
      <c r="Z675" s="10"/>
      <c r="AA675" s="10"/>
      <c r="AB675" s="10"/>
      <c r="AC675" s="10"/>
      <c r="AD675" s="10"/>
      <c r="AE675" s="10"/>
      <c r="AF675" s="10"/>
      <c r="AG675" s="10"/>
      <c r="AH675" s="10"/>
      <c r="AI675" s="10"/>
      <c r="AJ675" s="10"/>
      <c r="AK675" s="10"/>
      <c r="AL675" s="10"/>
      <c r="AM675" s="10"/>
      <c r="AN675" s="10"/>
      <c r="AO675" s="10"/>
      <c r="AR675" s="10"/>
      <c r="AS675" s="10"/>
      <c r="AT675" s="10"/>
      <c r="AU675" s="10"/>
      <c r="AV675" s="10"/>
      <c r="AW675" s="143"/>
      <c r="BA675" s="10"/>
      <c r="BD675" s="10"/>
      <c r="BE675" s="10"/>
      <c r="BF675" s="10"/>
      <c r="BG675" s="10"/>
      <c r="BH675" s="10"/>
      <c r="BI675" s="10"/>
      <c r="BJ675" s="10"/>
      <c r="BK675" s="10"/>
      <c r="BL675" s="10"/>
      <c r="BM675" s="10"/>
      <c r="BN675" s="10"/>
      <c r="BO675" s="10"/>
      <c r="BP675" s="10"/>
      <c r="BQ675" s="10"/>
      <c r="BR675" s="10"/>
      <c r="BS675" s="10"/>
      <c r="BT675" s="10"/>
      <c r="BV675" s="10"/>
      <c r="BW675" s="10"/>
    </row>
    <row r="676">
      <c r="A676" s="10"/>
      <c r="B676" s="10"/>
      <c r="C676" s="10"/>
      <c r="D676" s="10"/>
      <c r="E676" s="10"/>
      <c r="F676" s="10"/>
      <c r="G676" s="10"/>
      <c r="H676" s="10"/>
      <c r="I676" s="10"/>
      <c r="J676" s="10"/>
      <c r="K676" s="10"/>
      <c r="L676" s="10"/>
      <c r="N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R676" s="10"/>
      <c r="AS676" s="10"/>
      <c r="AT676" s="10"/>
      <c r="AU676" s="10"/>
      <c r="AV676" s="10"/>
      <c r="AW676" s="143"/>
      <c r="BA676" s="10"/>
      <c r="BD676" s="10"/>
      <c r="BS676" s="10"/>
      <c r="BT676" s="10"/>
      <c r="BV676" s="10"/>
      <c r="BW676" s="10"/>
    </row>
    <row r="677">
      <c r="A677" s="10"/>
      <c r="B677" s="10"/>
      <c r="C677" s="10"/>
      <c r="D677" s="10"/>
      <c r="E677" s="10"/>
      <c r="F677" s="10"/>
      <c r="G677" s="10"/>
      <c r="H677" s="10"/>
      <c r="I677" s="10"/>
      <c r="K677" s="10"/>
      <c r="L677" s="10"/>
      <c r="O677" s="10"/>
      <c r="Q677" s="10"/>
      <c r="R677" s="10"/>
      <c r="T677" s="10"/>
      <c r="U677" s="10"/>
      <c r="V677" s="10"/>
      <c r="W677" s="10"/>
      <c r="Y677" s="10"/>
      <c r="Z677" s="10"/>
      <c r="AA677" s="10"/>
      <c r="AB677" s="10"/>
      <c r="AC677" s="10"/>
      <c r="AD677" s="10"/>
      <c r="AE677" s="10"/>
      <c r="AF677" s="10"/>
      <c r="AG677" s="10"/>
      <c r="AH677" s="10"/>
      <c r="AI677" s="10"/>
      <c r="AJ677" s="10"/>
      <c r="AK677" s="10"/>
      <c r="AL677" s="10"/>
      <c r="AM677" s="10"/>
      <c r="AN677" s="10"/>
      <c r="AO677" s="10"/>
      <c r="AR677" s="10"/>
      <c r="AS677" s="10"/>
      <c r="AU677" s="10"/>
      <c r="AV677" s="10"/>
      <c r="AW677" s="143"/>
      <c r="AZ677" s="10"/>
      <c r="BA677" s="10"/>
      <c r="BD677" s="10"/>
      <c r="BE677" s="10"/>
      <c r="BF677" s="10"/>
      <c r="BG677" s="10"/>
      <c r="BH677" s="10"/>
      <c r="BI677" s="10"/>
      <c r="BJ677" s="10"/>
      <c r="BK677" s="10"/>
      <c r="BL677" s="10"/>
      <c r="BO677" s="10"/>
      <c r="BR677" s="10"/>
      <c r="BS677" s="10"/>
      <c r="BT677" s="10"/>
      <c r="BV677" s="10"/>
      <c r="BW677" s="10"/>
    </row>
    <row r="678">
      <c r="A678" s="10"/>
      <c r="B678" s="10"/>
      <c r="C678" s="10"/>
      <c r="D678" s="10"/>
      <c r="E678" s="10"/>
      <c r="F678" s="10"/>
      <c r="G678" s="10"/>
      <c r="H678" s="10"/>
      <c r="I678" s="10"/>
      <c r="K678" s="10"/>
      <c r="L678" s="10"/>
      <c r="Q678" s="10"/>
      <c r="R678" s="10"/>
      <c r="T678" s="10"/>
      <c r="U678" s="10"/>
      <c r="V678" s="10"/>
      <c r="W678" s="10"/>
      <c r="Y678" s="10"/>
      <c r="Z678" s="10"/>
      <c r="AA678" s="10"/>
      <c r="AB678" s="10"/>
      <c r="AC678" s="10"/>
      <c r="AD678" s="10"/>
      <c r="AE678" s="10"/>
      <c r="AF678" s="10"/>
      <c r="AG678" s="10"/>
      <c r="AH678" s="10"/>
      <c r="AI678" s="10"/>
      <c r="AJ678" s="10"/>
      <c r="AK678" s="10"/>
      <c r="AL678" s="10"/>
      <c r="AM678" s="10"/>
      <c r="AN678" s="10"/>
      <c r="AO678" s="10"/>
      <c r="AR678" s="10"/>
      <c r="AS678" s="10"/>
      <c r="AU678" s="10"/>
      <c r="AV678" s="10"/>
      <c r="AW678" s="143"/>
      <c r="BA678" s="10"/>
      <c r="BD678" s="10"/>
      <c r="BE678" s="10"/>
      <c r="BF678" s="10"/>
      <c r="BG678" s="10"/>
      <c r="BH678" s="10"/>
      <c r="BI678" s="10"/>
      <c r="BJ678" s="10"/>
      <c r="BK678" s="10"/>
      <c r="BL678" s="10"/>
      <c r="BM678" s="10"/>
      <c r="BN678" s="10"/>
      <c r="BO678" s="10"/>
      <c r="BP678" s="10"/>
      <c r="BQ678" s="10"/>
      <c r="BR678" s="10"/>
      <c r="BS678" s="10"/>
      <c r="BT678" s="10"/>
      <c r="BV678" s="10"/>
      <c r="BW678" s="10"/>
    </row>
    <row r="679">
      <c r="A679" s="10"/>
      <c r="B679" s="10"/>
      <c r="C679" s="10"/>
      <c r="D679" s="10"/>
      <c r="E679" s="10"/>
      <c r="F679" s="10"/>
      <c r="G679" s="10"/>
      <c r="H679" s="10"/>
      <c r="I679" s="10"/>
      <c r="J679" s="10"/>
      <c r="K679" s="10"/>
      <c r="L679" s="10"/>
      <c r="N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R679" s="10"/>
      <c r="AS679" s="10"/>
      <c r="AU679" s="10"/>
      <c r="AV679" s="10"/>
      <c r="AW679" s="143"/>
      <c r="AZ679" s="10"/>
      <c r="BA679" s="10"/>
      <c r="BD679" s="10"/>
      <c r="BE679" s="10"/>
      <c r="BF679" s="10"/>
      <c r="BG679" s="10"/>
      <c r="BH679" s="10"/>
      <c r="BI679" s="10"/>
      <c r="BJ679" s="10"/>
      <c r="BK679" s="10"/>
      <c r="BL679" s="10"/>
      <c r="BM679" s="10"/>
      <c r="BN679" s="10"/>
      <c r="BO679" s="10"/>
      <c r="BP679" s="10"/>
      <c r="BQ679" s="10"/>
      <c r="BR679" s="10"/>
      <c r="BS679" s="10"/>
      <c r="BT679" s="10"/>
      <c r="BV679" s="10"/>
      <c r="BW679" s="10"/>
    </row>
    <row r="680">
      <c r="A680" s="10"/>
      <c r="B680" s="10"/>
      <c r="C680" s="10"/>
      <c r="D680" s="10"/>
      <c r="E680" s="10"/>
      <c r="F680" s="10"/>
      <c r="G680" s="10"/>
      <c r="H680" s="10"/>
      <c r="I680" s="10"/>
      <c r="J680" s="10"/>
      <c r="K680" s="10"/>
      <c r="L680" s="10"/>
      <c r="O680" s="10"/>
      <c r="P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R680" s="10"/>
      <c r="AS680" s="10"/>
      <c r="AU680" s="10"/>
      <c r="AV680" s="10"/>
      <c r="AW680" s="143"/>
      <c r="BA680" s="10"/>
      <c r="BD680" s="10"/>
      <c r="BE680" s="10"/>
      <c r="BF680" s="10"/>
      <c r="BG680" s="10"/>
      <c r="BH680" s="10"/>
      <c r="BI680" s="10"/>
      <c r="BJ680" s="10"/>
      <c r="BK680" s="10"/>
      <c r="BS680" s="10"/>
      <c r="BT680" s="10"/>
      <c r="BV680" s="10"/>
      <c r="BW680" s="10"/>
    </row>
    <row r="681">
      <c r="A681" s="10"/>
      <c r="B681" s="10"/>
      <c r="C681" s="10"/>
      <c r="D681" s="10"/>
      <c r="E681" s="10"/>
      <c r="F681" s="10"/>
      <c r="G681" s="10"/>
      <c r="H681" s="10"/>
      <c r="I681" s="10"/>
      <c r="J681" s="10"/>
      <c r="K681" s="10"/>
      <c r="L681" s="10"/>
      <c r="O681" s="10"/>
      <c r="P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R681" s="10"/>
      <c r="AS681" s="10"/>
      <c r="AU681" s="10"/>
      <c r="AV681" s="10"/>
      <c r="AW681" s="143"/>
      <c r="BA681" s="10"/>
      <c r="BD681" s="10"/>
      <c r="BE681" s="10"/>
      <c r="BF681" s="10"/>
      <c r="BG681" s="10"/>
      <c r="BH681" s="10"/>
      <c r="BI681" s="10"/>
      <c r="BJ681" s="10"/>
      <c r="BK681" s="10"/>
      <c r="BS681" s="10"/>
      <c r="BT681" s="10"/>
      <c r="BV681" s="10"/>
      <c r="BW681" s="10"/>
    </row>
    <row r="682">
      <c r="A682" s="10"/>
      <c r="B682" s="10"/>
      <c r="C682" s="10"/>
      <c r="D682" s="10"/>
      <c r="E682" s="10"/>
      <c r="F682" s="10"/>
      <c r="G682" s="10"/>
      <c r="H682" s="10"/>
      <c r="I682" s="10"/>
      <c r="J682" s="10"/>
      <c r="K682" s="10"/>
      <c r="L682" s="10"/>
      <c r="O682" s="10"/>
      <c r="P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c r="AU682" s="10"/>
      <c r="AV682" s="10"/>
      <c r="AW682" s="143"/>
      <c r="AZ682" s="10"/>
      <c r="BA682" s="10"/>
      <c r="BD682" s="10"/>
      <c r="BE682" s="10"/>
      <c r="BF682" s="10"/>
      <c r="BG682" s="10"/>
      <c r="BH682" s="10"/>
      <c r="BI682" s="10"/>
      <c r="BJ682" s="10"/>
      <c r="BK682" s="10"/>
      <c r="BS682" s="10"/>
      <c r="BT682" s="10"/>
      <c r="BV682" s="10"/>
      <c r="BW682" s="10"/>
    </row>
    <row r="683">
      <c r="A683" s="10"/>
      <c r="B683" s="10"/>
      <c r="C683" s="10"/>
      <c r="D683" s="10"/>
      <c r="E683" s="10"/>
      <c r="F683" s="10"/>
      <c r="G683" s="10"/>
      <c r="H683" s="10"/>
      <c r="I683" s="10"/>
      <c r="K683" s="10"/>
      <c r="L683" s="10"/>
      <c r="P683" s="10"/>
      <c r="T683" s="10"/>
      <c r="U683" s="10"/>
      <c r="V683" s="10"/>
      <c r="W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U683" s="10"/>
      <c r="AV683" s="10"/>
      <c r="AW683" s="143"/>
      <c r="BA683" s="10"/>
      <c r="BD683" s="10"/>
      <c r="BE683" s="10"/>
      <c r="BF683" s="10"/>
      <c r="BG683" s="10"/>
      <c r="BH683" s="10"/>
      <c r="BI683" s="10"/>
      <c r="BJ683" s="10"/>
      <c r="BK683" s="10"/>
      <c r="BS683" s="10"/>
      <c r="BT683" s="10"/>
      <c r="BV683" s="10"/>
      <c r="BW683" s="10"/>
    </row>
    <row r="684">
      <c r="A684" s="10"/>
      <c r="B684" s="10"/>
      <c r="C684" s="10"/>
      <c r="D684" s="10"/>
      <c r="E684" s="10"/>
      <c r="F684" s="10"/>
      <c r="G684" s="10"/>
      <c r="H684" s="10"/>
      <c r="I684" s="10"/>
      <c r="K684" s="10"/>
      <c r="L684" s="10"/>
      <c r="O684" s="10"/>
      <c r="P684" s="10"/>
      <c r="Q684" s="10"/>
      <c r="R684" s="10"/>
      <c r="S684" s="10"/>
      <c r="T684" s="10"/>
      <c r="U684" s="10"/>
      <c r="V684" s="10"/>
      <c r="W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U684" s="10"/>
      <c r="AV684" s="10"/>
      <c r="AW684" s="143"/>
      <c r="AZ684" s="10"/>
      <c r="BA684" s="10"/>
      <c r="BD684" s="10"/>
      <c r="BE684" s="10"/>
      <c r="BF684" s="10"/>
      <c r="BG684" s="10"/>
      <c r="BH684" s="10"/>
      <c r="BI684" s="10"/>
      <c r="BJ684" s="10"/>
      <c r="BK684" s="10"/>
      <c r="BL684" s="10"/>
      <c r="BM684" s="10"/>
      <c r="BN684" s="10"/>
      <c r="BO684" s="10"/>
      <c r="BP684" s="10"/>
      <c r="BQ684" s="10"/>
      <c r="BR684" s="10"/>
      <c r="BS684" s="10"/>
      <c r="BT684" s="10"/>
      <c r="BV684" s="10"/>
      <c r="BW684" s="10"/>
    </row>
    <row r="685">
      <c r="A685" s="10"/>
      <c r="B685" s="10"/>
      <c r="C685" s="10"/>
      <c r="D685" s="10"/>
      <c r="E685" s="10"/>
      <c r="F685" s="10"/>
      <c r="G685" s="10"/>
      <c r="H685" s="10"/>
      <c r="I685" s="10"/>
      <c r="K685" s="10"/>
      <c r="L685" s="10"/>
      <c r="O685" s="10"/>
      <c r="P685" s="10"/>
      <c r="T685" s="10"/>
      <c r="U685" s="10"/>
      <c r="V685" s="10"/>
      <c r="W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U685" s="10"/>
      <c r="AV685" s="10"/>
      <c r="AW685" s="143"/>
      <c r="BA685" s="10"/>
      <c r="BD685" s="10"/>
      <c r="BE685" s="10"/>
      <c r="BF685" s="10"/>
      <c r="BG685" s="10"/>
      <c r="BH685" s="10"/>
      <c r="BI685" s="10"/>
      <c r="BJ685" s="10"/>
      <c r="BK685" s="10"/>
      <c r="BS685" s="10"/>
      <c r="BT685" s="10"/>
      <c r="BV685" s="10"/>
      <c r="BW685" s="10"/>
    </row>
    <row r="686">
      <c r="A686" s="10"/>
      <c r="B686" s="10"/>
      <c r="C686" s="10"/>
      <c r="D686" s="10"/>
      <c r="E686" s="10"/>
      <c r="F686" s="10"/>
      <c r="G686" s="10"/>
      <c r="H686" s="10"/>
      <c r="I686" s="10"/>
      <c r="J686" s="10"/>
      <c r="K686" s="10"/>
      <c r="L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R686" s="10"/>
      <c r="AS686" s="10"/>
      <c r="AT686" s="10"/>
      <c r="AU686" s="10"/>
      <c r="AV686" s="10"/>
      <c r="AW686" s="143"/>
      <c r="AZ686" s="10"/>
      <c r="BA686" s="10"/>
      <c r="BD686" s="10"/>
      <c r="BE686" s="10"/>
      <c r="BF686" s="10"/>
      <c r="BG686" s="10"/>
      <c r="BH686" s="10"/>
      <c r="BI686" s="10"/>
      <c r="BJ686" s="10"/>
      <c r="BK686" s="10"/>
      <c r="BL686" s="10"/>
      <c r="BO686" s="10"/>
      <c r="BR686" s="10"/>
      <c r="BS686" s="10"/>
      <c r="BT686" s="10"/>
      <c r="BV686" s="10"/>
      <c r="BW686" s="10"/>
    </row>
    <row r="687">
      <c r="A687" s="10"/>
      <c r="B687" s="10"/>
      <c r="C687" s="10"/>
      <c r="D687" s="10"/>
      <c r="E687" s="10"/>
      <c r="F687" s="10"/>
      <c r="G687" s="10"/>
      <c r="H687" s="10"/>
      <c r="I687" s="10"/>
      <c r="J687" s="10"/>
      <c r="K687" s="10"/>
      <c r="L687" s="10"/>
      <c r="P687" s="10"/>
      <c r="T687" s="10"/>
      <c r="U687" s="10"/>
      <c r="V687" s="10"/>
      <c r="W687" s="10"/>
      <c r="X687" s="10"/>
      <c r="Y687" s="10"/>
      <c r="Z687" s="10"/>
      <c r="AA687" s="10"/>
      <c r="AB687" s="10"/>
      <c r="AC687" s="10"/>
      <c r="AD687" s="10"/>
      <c r="AE687" s="10"/>
      <c r="AF687" s="10"/>
      <c r="AG687" s="10"/>
      <c r="AH687" s="10"/>
      <c r="AI687" s="10"/>
      <c r="AJ687" s="10"/>
      <c r="AL687" s="10"/>
      <c r="AM687" s="10"/>
      <c r="AN687" s="10"/>
      <c r="AO687" s="10"/>
      <c r="AR687" s="10"/>
      <c r="AS687" s="10"/>
      <c r="AT687" s="10"/>
      <c r="AU687" s="10"/>
      <c r="AV687" s="10"/>
      <c r="AW687" s="143"/>
      <c r="BA687" s="10"/>
      <c r="BD687" s="10"/>
      <c r="BE687" s="10"/>
      <c r="BF687" s="10"/>
      <c r="BG687" s="10"/>
      <c r="BH687" s="10"/>
      <c r="BI687" s="10"/>
      <c r="BJ687" s="10"/>
      <c r="BK687" s="10"/>
      <c r="BS687" s="10"/>
      <c r="BT687" s="10"/>
      <c r="BV687" s="10"/>
      <c r="BW687" s="10"/>
    </row>
    <row r="688">
      <c r="A688" s="10"/>
      <c r="B688" s="10"/>
      <c r="C688" s="10"/>
      <c r="D688" s="10"/>
      <c r="E688" s="10"/>
      <c r="F688" s="10"/>
      <c r="G688" s="10"/>
      <c r="H688" s="10"/>
      <c r="I688" s="10"/>
      <c r="J688" s="10"/>
      <c r="K688" s="10"/>
      <c r="L688" s="10"/>
      <c r="O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R688" s="10"/>
      <c r="AS688" s="10"/>
      <c r="AT688" s="10"/>
      <c r="AU688" s="10"/>
      <c r="AV688" s="10"/>
      <c r="AW688" s="143"/>
      <c r="AZ688" s="10"/>
      <c r="BA688" s="10"/>
      <c r="BD688" s="10"/>
      <c r="BE688" s="10"/>
      <c r="BF688" s="10"/>
      <c r="BG688" s="10"/>
      <c r="BH688" s="10"/>
      <c r="BI688" s="10"/>
      <c r="BJ688" s="10"/>
      <c r="BK688" s="10"/>
      <c r="BT688" s="10"/>
      <c r="BV688" s="10"/>
      <c r="BW688" s="10"/>
    </row>
    <row r="689">
      <c r="A689" s="10"/>
      <c r="B689" s="10"/>
      <c r="C689" s="10"/>
      <c r="D689" s="10"/>
      <c r="E689" s="10"/>
      <c r="F689" s="10"/>
      <c r="G689" s="10"/>
      <c r="H689" s="10"/>
      <c r="I689" s="10"/>
      <c r="J689" s="10"/>
      <c r="K689" s="10"/>
      <c r="L689" s="10"/>
      <c r="P689" s="10"/>
      <c r="Q689" s="10"/>
      <c r="R689" s="10"/>
      <c r="S689" s="10"/>
      <c r="T689" s="10"/>
      <c r="U689" s="10"/>
      <c r="V689" s="10"/>
      <c r="W689" s="10"/>
      <c r="X689" s="10"/>
      <c r="Y689" s="10"/>
      <c r="Z689" s="10"/>
      <c r="AA689" s="10"/>
      <c r="AB689" s="10"/>
      <c r="AC689" s="10"/>
      <c r="AD689" s="10"/>
      <c r="AE689" s="10"/>
      <c r="AF689" s="10"/>
      <c r="AG689" s="10"/>
      <c r="AH689" s="10"/>
      <c r="AI689" s="10"/>
      <c r="AJ689" s="10"/>
      <c r="AL689" s="10"/>
      <c r="AM689" s="10"/>
      <c r="AO689" s="10"/>
      <c r="AR689" s="10"/>
      <c r="AS689" s="10"/>
      <c r="AT689" s="10"/>
      <c r="AU689" s="10"/>
      <c r="AV689" s="10"/>
      <c r="AW689" s="143"/>
      <c r="BA689" s="10"/>
      <c r="BD689" s="10"/>
      <c r="BE689" s="10"/>
      <c r="BF689" s="10"/>
      <c r="BG689" s="10"/>
      <c r="BH689" s="10"/>
      <c r="BI689" s="10"/>
      <c r="BJ689" s="10"/>
      <c r="BK689" s="10"/>
      <c r="BL689" s="10"/>
      <c r="BT689" s="10"/>
      <c r="BV689" s="10"/>
      <c r="BW689" s="10"/>
    </row>
    <row r="690">
      <c r="A690" s="10"/>
      <c r="B690" s="10"/>
      <c r="C690" s="10"/>
      <c r="D690" s="10"/>
      <c r="E690" s="10"/>
      <c r="F690" s="10"/>
      <c r="G690" s="10"/>
      <c r="H690" s="10"/>
      <c r="I690" s="10"/>
      <c r="J690" s="10"/>
      <c r="K690" s="10"/>
      <c r="L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R690" s="10"/>
      <c r="AS690" s="10"/>
      <c r="AT690" s="10"/>
      <c r="AU690" s="10"/>
      <c r="AV690" s="10"/>
      <c r="AW690" s="143"/>
      <c r="BA690" s="10"/>
      <c r="BD690" s="10"/>
      <c r="BE690" s="10"/>
      <c r="BF690" s="10"/>
      <c r="BG690" s="10"/>
      <c r="BH690" s="10"/>
      <c r="BI690" s="10"/>
      <c r="BJ690" s="10"/>
      <c r="BK690" s="10"/>
      <c r="BS690" s="10"/>
      <c r="BT690" s="10"/>
      <c r="BV690" s="10"/>
      <c r="BW690" s="10"/>
    </row>
    <row r="691">
      <c r="A691" s="10"/>
      <c r="B691" s="10"/>
      <c r="C691" s="10"/>
      <c r="D691" s="10"/>
      <c r="E691" s="10"/>
      <c r="F691" s="10"/>
      <c r="G691" s="10"/>
      <c r="H691" s="10"/>
      <c r="I691" s="10"/>
      <c r="J691" s="10"/>
      <c r="K691" s="10"/>
      <c r="L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R691" s="10"/>
      <c r="AS691" s="10"/>
      <c r="AU691" s="10"/>
      <c r="AV691" s="10"/>
      <c r="AW691" s="143"/>
      <c r="AZ691" s="10"/>
      <c r="BA691" s="10"/>
      <c r="BD691" s="10"/>
      <c r="BE691" s="10"/>
      <c r="BF691" s="10"/>
      <c r="BG691" s="10"/>
      <c r="BH691" s="10"/>
      <c r="BI691" s="10"/>
      <c r="BJ691" s="10"/>
      <c r="BK691" s="10"/>
      <c r="BL691" s="10"/>
      <c r="BM691" s="10"/>
      <c r="BN691" s="10"/>
      <c r="BO691" s="10"/>
      <c r="BP691" s="10"/>
      <c r="BQ691" s="10"/>
      <c r="BR691" s="10"/>
      <c r="BS691" s="10"/>
      <c r="BT691" s="10"/>
      <c r="BU691" s="10"/>
      <c r="BV691" s="10"/>
      <c r="BW691" s="10"/>
    </row>
    <row r="692">
      <c r="A692" s="10"/>
      <c r="B692" s="10"/>
      <c r="C692" s="10"/>
      <c r="D692" s="10"/>
      <c r="E692" s="10"/>
      <c r="F692" s="10"/>
      <c r="G692" s="10"/>
      <c r="H692" s="10"/>
      <c r="I692" s="10"/>
      <c r="J692" s="10"/>
      <c r="K692" s="10"/>
      <c r="L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R692" s="10"/>
      <c r="AS692" s="10"/>
      <c r="AU692" s="10"/>
      <c r="AV692" s="10"/>
      <c r="AW692" s="143"/>
      <c r="AZ692" s="10"/>
      <c r="BA692" s="10"/>
      <c r="BD692" s="10"/>
      <c r="BL692" s="10"/>
      <c r="BO692" s="10"/>
      <c r="BR692" s="10"/>
      <c r="BS692" s="10"/>
      <c r="BT692" s="10"/>
      <c r="BV692" s="10"/>
      <c r="BW692" s="10"/>
    </row>
    <row r="693">
      <c r="A693" s="10"/>
      <c r="B693" s="10"/>
      <c r="C693" s="10"/>
      <c r="D693" s="10"/>
      <c r="E693" s="10"/>
      <c r="F693" s="10"/>
      <c r="G693" s="10"/>
      <c r="H693" s="10"/>
      <c r="I693" s="10"/>
      <c r="J693" s="10"/>
      <c r="K693" s="10"/>
      <c r="L693" s="10"/>
      <c r="P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R693" s="10"/>
      <c r="AS693" s="10"/>
      <c r="AU693" s="10"/>
      <c r="AV693" s="10"/>
      <c r="AW693" s="143"/>
      <c r="AZ693" s="10"/>
      <c r="BA693" s="10"/>
      <c r="BD693" s="10"/>
      <c r="BS693" s="10"/>
      <c r="BT693" s="10"/>
      <c r="BV693" s="10"/>
      <c r="BW693" s="10"/>
    </row>
    <row r="694">
      <c r="A694" s="10"/>
      <c r="B694" s="10"/>
      <c r="C694" s="10"/>
      <c r="D694" s="10"/>
      <c r="E694" s="10"/>
      <c r="F694" s="10"/>
      <c r="G694" s="10"/>
      <c r="H694" s="10"/>
      <c r="K694" s="10"/>
      <c r="L694" s="10"/>
      <c r="P694" s="10"/>
      <c r="Q694" s="10"/>
      <c r="R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W694" s="143"/>
      <c r="BD694" s="10"/>
      <c r="BL694" s="10"/>
      <c r="BO694" s="10"/>
      <c r="BR694" s="10"/>
      <c r="BS694" s="10"/>
      <c r="BT694" s="10"/>
      <c r="BV694" s="10"/>
      <c r="BW694" s="10"/>
    </row>
    <row r="695">
      <c r="A695" s="10"/>
      <c r="B695" s="10"/>
      <c r="C695" s="10"/>
      <c r="D695" s="10"/>
      <c r="E695" s="10"/>
      <c r="F695" s="10"/>
      <c r="G695" s="10"/>
      <c r="H695" s="10"/>
      <c r="K695" s="10"/>
      <c r="L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W695" s="143"/>
      <c r="BD695" s="10"/>
      <c r="BE695" s="10"/>
      <c r="BF695" s="10"/>
      <c r="BG695" s="10"/>
      <c r="BH695" s="10"/>
      <c r="BI695" s="10"/>
      <c r="BJ695" s="10"/>
      <c r="BK695" s="10"/>
      <c r="BM695" s="10"/>
      <c r="BN695" s="10"/>
      <c r="BP695" s="10"/>
      <c r="BQ695" s="10"/>
      <c r="BS695" s="10"/>
      <c r="BT695" s="10"/>
      <c r="BV695" s="10"/>
      <c r="BW695" s="10"/>
    </row>
    <row r="696">
      <c r="A696" s="10"/>
      <c r="B696" s="10"/>
      <c r="C696" s="10"/>
      <c r="D696" s="10"/>
      <c r="E696" s="10"/>
      <c r="F696" s="10"/>
      <c r="G696" s="10"/>
      <c r="H696" s="10"/>
      <c r="I696" s="10"/>
      <c r="J696" s="10"/>
      <c r="K696" s="10"/>
      <c r="L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R696" s="10"/>
      <c r="AS696" s="10"/>
      <c r="AU696" s="10"/>
      <c r="AV696" s="10"/>
      <c r="AW696" s="143"/>
      <c r="BA696" s="10"/>
      <c r="BD696" s="10"/>
      <c r="BE696" s="10"/>
      <c r="BF696" s="10"/>
      <c r="BG696" s="10"/>
      <c r="BH696" s="10"/>
      <c r="BI696" s="10"/>
      <c r="BJ696" s="10"/>
      <c r="BK696" s="10"/>
      <c r="BL696" s="10"/>
      <c r="BM696" s="10"/>
      <c r="BN696" s="10"/>
      <c r="BO696" s="10"/>
      <c r="BP696" s="10"/>
      <c r="BQ696" s="10"/>
      <c r="BR696" s="10"/>
      <c r="BS696" s="10"/>
      <c r="BT696" s="10"/>
      <c r="BV696" s="10"/>
      <c r="BW696" s="10"/>
    </row>
    <row r="697">
      <c r="A697" s="10"/>
      <c r="B697" s="10"/>
      <c r="C697" s="10"/>
      <c r="D697" s="10"/>
      <c r="E697" s="10"/>
      <c r="F697" s="10"/>
      <c r="G697" s="10"/>
      <c r="H697" s="10"/>
      <c r="I697" s="10"/>
      <c r="J697" s="10"/>
      <c r="K697" s="10"/>
      <c r="L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R697" s="10"/>
      <c r="AS697" s="10"/>
      <c r="AU697" s="10"/>
      <c r="AV697" s="10"/>
      <c r="AW697" s="143"/>
      <c r="BA697" s="10"/>
      <c r="BD697" s="10"/>
      <c r="BE697" s="10"/>
      <c r="BF697" s="10"/>
      <c r="BG697" s="10"/>
      <c r="BH697" s="10"/>
      <c r="BI697" s="10"/>
      <c r="BJ697" s="10"/>
      <c r="BK697" s="10"/>
      <c r="BL697" s="10"/>
      <c r="BM697" s="10"/>
      <c r="BN697" s="10"/>
      <c r="BO697" s="10"/>
      <c r="BP697" s="10"/>
      <c r="BQ697" s="10"/>
      <c r="BR697" s="10"/>
      <c r="BS697" s="10"/>
      <c r="BT697" s="10"/>
      <c r="BV697" s="10"/>
      <c r="BW697" s="10"/>
    </row>
    <row r="698">
      <c r="A698" s="10"/>
      <c r="B698" s="10"/>
      <c r="C698" s="10"/>
      <c r="D698" s="10"/>
      <c r="E698" s="10"/>
      <c r="F698" s="10"/>
      <c r="G698" s="10"/>
      <c r="H698" s="10"/>
      <c r="I698" s="10"/>
      <c r="J698" s="10"/>
      <c r="K698" s="10"/>
      <c r="L698" s="10"/>
      <c r="P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R698" s="10"/>
      <c r="AS698" s="10"/>
      <c r="AU698" s="10"/>
      <c r="AV698" s="10"/>
      <c r="AW698" s="143"/>
      <c r="BA698" s="10"/>
      <c r="BD698" s="10"/>
      <c r="BE698" s="10"/>
      <c r="BF698" s="10"/>
      <c r="BG698" s="10"/>
      <c r="BH698" s="10"/>
      <c r="BI698" s="10"/>
      <c r="BJ698" s="10"/>
      <c r="BK698" s="10"/>
      <c r="BS698" s="10"/>
      <c r="BT698" s="10"/>
      <c r="BV698" s="10"/>
      <c r="BW698" s="10"/>
    </row>
    <row r="699">
      <c r="A699" s="10"/>
      <c r="B699" s="10"/>
      <c r="C699" s="10"/>
      <c r="D699" s="10"/>
      <c r="E699" s="10"/>
      <c r="F699" s="10"/>
      <c r="G699" s="10"/>
      <c r="H699" s="10"/>
      <c r="J699" s="10"/>
      <c r="K699" s="10"/>
      <c r="L699" s="10"/>
      <c r="P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W699" s="143"/>
      <c r="BA699" s="10"/>
      <c r="BD699" s="10"/>
      <c r="BE699" s="10"/>
      <c r="BF699" s="10"/>
      <c r="BG699" s="10"/>
      <c r="BH699" s="10"/>
      <c r="BI699" s="10"/>
      <c r="BJ699" s="10"/>
      <c r="BK699" s="10"/>
      <c r="BS699" s="10"/>
      <c r="BT699" s="10"/>
      <c r="BV699" s="10"/>
      <c r="BW699" s="10"/>
    </row>
    <row r="700">
      <c r="A700" s="10"/>
      <c r="B700" s="10"/>
      <c r="C700" s="10"/>
      <c r="D700" s="10"/>
      <c r="E700" s="10"/>
      <c r="F700" s="10"/>
      <c r="G700" s="10"/>
      <c r="H700" s="10"/>
      <c r="J700" s="10"/>
      <c r="K700" s="10"/>
      <c r="L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W700" s="143"/>
      <c r="BA700" s="10"/>
      <c r="BD700" s="10"/>
      <c r="BE700" s="10"/>
      <c r="BF700" s="10"/>
      <c r="BG700" s="10"/>
      <c r="BH700" s="10"/>
      <c r="BI700" s="10"/>
      <c r="BJ700" s="10"/>
      <c r="BK700" s="10"/>
      <c r="BL700" s="10"/>
      <c r="BO700" s="10"/>
      <c r="BR700" s="10"/>
      <c r="BS700" s="10"/>
      <c r="BT700" s="10"/>
      <c r="BV700" s="10"/>
      <c r="BW700" s="10"/>
    </row>
    <row r="701">
      <c r="A701" s="10"/>
      <c r="B701" s="10"/>
      <c r="C701" s="10"/>
      <c r="D701" s="10"/>
      <c r="E701" s="10"/>
      <c r="F701" s="10"/>
      <c r="G701" s="10"/>
      <c r="H701" s="10"/>
      <c r="K701" s="10"/>
      <c r="L701" s="10"/>
      <c r="O701" s="10"/>
      <c r="P701" s="10"/>
      <c r="T701" s="10"/>
      <c r="U701" s="10"/>
      <c r="V701" s="10"/>
      <c r="W701" s="10"/>
      <c r="Y701" s="10"/>
      <c r="Z701" s="10"/>
      <c r="AA701" s="10"/>
      <c r="AB701" s="10"/>
      <c r="AC701" s="10"/>
      <c r="AD701" s="10"/>
      <c r="AE701" s="10"/>
      <c r="AF701" s="10"/>
      <c r="AG701" s="10"/>
      <c r="AH701" s="10"/>
      <c r="AI701" s="10"/>
      <c r="AJ701" s="10"/>
      <c r="AK701" s="10"/>
      <c r="AL701" s="10"/>
      <c r="AM701" s="10"/>
      <c r="AN701" s="10"/>
      <c r="AO701" s="10"/>
      <c r="AW701" s="143"/>
      <c r="BA701" s="10"/>
      <c r="BD701" s="10"/>
      <c r="BE701" s="10"/>
      <c r="BF701" s="10"/>
      <c r="BG701" s="10"/>
      <c r="BH701" s="10"/>
      <c r="BI701" s="10"/>
      <c r="BJ701" s="10"/>
      <c r="BK701" s="10"/>
      <c r="BL701" s="10"/>
      <c r="BM701" s="10"/>
      <c r="BN701" s="10"/>
      <c r="BO701" s="10"/>
      <c r="BP701" s="10"/>
      <c r="BQ701" s="10"/>
      <c r="BR701" s="10"/>
      <c r="BS701" s="10"/>
      <c r="BT701" s="10"/>
      <c r="BV701" s="10"/>
      <c r="BW701" s="10"/>
    </row>
    <row r="702">
      <c r="A702" s="10"/>
      <c r="B702" s="10"/>
      <c r="C702" s="10"/>
      <c r="D702" s="10"/>
      <c r="E702" s="10"/>
      <c r="F702" s="10"/>
      <c r="G702" s="10"/>
      <c r="H702" s="10"/>
      <c r="K702" s="10"/>
      <c r="L702" s="10"/>
      <c r="O702" s="10"/>
      <c r="P702" s="10"/>
      <c r="T702" s="10"/>
      <c r="U702" s="10"/>
      <c r="V702" s="10"/>
      <c r="W702" s="10"/>
      <c r="Y702" s="10"/>
      <c r="Z702" s="10"/>
      <c r="AA702" s="10"/>
      <c r="AB702" s="10"/>
      <c r="AC702" s="10"/>
      <c r="AD702" s="10"/>
      <c r="AE702" s="10"/>
      <c r="AF702" s="10"/>
      <c r="AG702" s="10"/>
      <c r="AH702" s="10"/>
      <c r="AI702" s="10"/>
      <c r="AJ702" s="10"/>
      <c r="AK702" s="10"/>
      <c r="AL702" s="10"/>
      <c r="AM702" s="10"/>
      <c r="AN702" s="10"/>
      <c r="AO702" s="10"/>
      <c r="AW702" s="143"/>
      <c r="BA702" s="10"/>
      <c r="BD702" s="10"/>
      <c r="BE702" s="10"/>
      <c r="BF702" s="10"/>
      <c r="BG702" s="10"/>
      <c r="BH702" s="10"/>
      <c r="BI702" s="10"/>
      <c r="BJ702" s="10"/>
      <c r="BK702" s="10"/>
      <c r="BL702" s="10"/>
      <c r="BM702" s="10"/>
      <c r="BN702" s="10"/>
      <c r="BO702" s="10"/>
      <c r="BP702" s="10"/>
      <c r="BQ702" s="10"/>
      <c r="BR702" s="10"/>
      <c r="BS702" s="10"/>
      <c r="BT702" s="10"/>
      <c r="BV702" s="10"/>
      <c r="BW702" s="10"/>
    </row>
    <row r="703">
      <c r="A703" s="10"/>
      <c r="B703" s="10"/>
      <c r="C703" s="10"/>
      <c r="D703" s="10"/>
      <c r="E703" s="10"/>
      <c r="F703" s="10"/>
      <c r="G703" s="10"/>
      <c r="H703" s="10"/>
      <c r="J703" s="10"/>
      <c r="K703" s="10"/>
      <c r="L703" s="10"/>
      <c r="P703" s="10"/>
      <c r="Q703" s="10"/>
      <c r="R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W703" s="143"/>
      <c r="BA703" s="10"/>
      <c r="BD703" s="10"/>
      <c r="BE703" s="10"/>
      <c r="BF703" s="10"/>
      <c r="BG703" s="10"/>
      <c r="BH703" s="10"/>
      <c r="BI703" s="10"/>
      <c r="BJ703" s="10"/>
      <c r="BK703" s="10"/>
      <c r="BL703" s="10"/>
      <c r="BM703" s="10"/>
      <c r="BN703" s="10"/>
      <c r="BO703" s="10"/>
      <c r="BP703" s="10"/>
      <c r="BQ703" s="10"/>
      <c r="BR703" s="10"/>
      <c r="BS703" s="10"/>
      <c r="BT703" s="10"/>
      <c r="BV703" s="10"/>
      <c r="BW703" s="10"/>
    </row>
    <row r="704">
      <c r="A704" s="10"/>
      <c r="B704" s="10"/>
      <c r="C704" s="10"/>
      <c r="D704" s="10"/>
      <c r="E704" s="10"/>
      <c r="F704" s="10"/>
      <c r="G704" s="10"/>
      <c r="H704" s="10"/>
      <c r="K704" s="10"/>
      <c r="L704" s="10"/>
      <c r="N704" s="10"/>
      <c r="P704" s="10"/>
      <c r="T704" s="10"/>
      <c r="U704" s="10"/>
      <c r="V704" s="10"/>
      <c r="W704" s="10"/>
      <c r="Y704" s="10"/>
      <c r="Z704" s="10"/>
      <c r="AA704" s="10"/>
      <c r="AB704" s="10"/>
      <c r="AC704" s="10"/>
      <c r="AD704" s="10"/>
      <c r="AE704" s="10"/>
      <c r="AF704" s="10"/>
      <c r="AG704" s="10"/>
      <c r="AH704" s="10"/>
      <c r="AI704" s="10"/>
      <c r="AJ704" s="10"/>
      <c r="AK704" s="10"/>
      <c r="AL704" s="10"/>
      <c r="AM704" s="10"/>
      <c r="AN704" s="10"/>
      <c r="AO704" s="10"/>
      <c r="AW704" s="143"/>
      <c r="BA704" s="10"/>
      <c r="BD704" s="10"/>
      <c r="BE704" s="10"/>
      <c r="BF704" s="10"/>
      <c r="BG704" s="10"/>
      <c r="BH704" s="10"/>
      <c r="BI704" s="10"/>
      <c r="BJ704" s="10"/>
      <c r="BK704" s="10"/>
      <c r="BS704" s="10"/>
      <c r="BT704" s="10"/>
      <c r="BV704" s="10"/>
      <c r="BW704" s="10"/>
    </row>
    <row r="705">
      <c r="A705" s="10"/>
      <c r="B705" s="10"/>
      <c r="C705" s="10"/>
      <c r="D705" s="10"/>
      <c r="E705" s="10"/>
      <c r="F705" s="10"/>
      <c r="G705" s="10"/>
      <c r="H705" s="10"/>
      <c r="I705" s="10"/>
      <c r="K705" s="10"/>
      <c r="L705" s="10"/>
      <c r="N705" s="10"/>
      <c r="P705" s="10"/>
      <c r="T705" s="10"/>
      <c r="U705" s="10"/>
      <c r="V705" s="10"/>
      <c r="W705" s="10"/>
      <c r="Y705" s="10"/>
      <c r="Z705" s="10"/>
      <c r="AA705" s="10"/>
      <c r="AB705" s="10"/>
      <c r="AC705" s="10"/>
      <c r="AD705" s="10"/>
      <c r="AE705" s="10"/>
      <c r="AF705" s="10"/>
      <c r="AG705" s="10"/>
      <c r="AH705" s="10"/>
      <c r="AI705" s="10"/>
      <c r="AJ705" s="10"/>
      <c r="AK705" s="10"/>
      <c r="AL705" s="10"/>
      <c r="AM705" s="10"/>
      <c r="AN705" s="10"/>
      <c r="AO705" s="10"/>
      <c r="AS705" s="10"/>
      <c r="AT705" s="10"/>
      <c r="AW705" s="143"/>
      <c r="BA705" s="10"/>
      <c r="BD705" s="10"/>
      <c r="BE705" s="10"/>
      <c r="BF705" s="10"/>
      <c r="BG705" s="10"/>
      <c r="BH705" s="10"/>
      <c r="BI705" s="10"/>
      <c r="BJ705" s="10"/>
      <c r="BK705" s="10"/>
      <c r="BS705" s="10"/>
      <c r="BT705" s="10"/>
      <c r="BV705" s="10"/>
      <c r="BW705" s="10"/>
    </row>
    <row r="706">
      <c r="A706" s="10"/>
      <c r="B706" s="10"/>
      <c r="C706" s="10"/>
      <c r="D706" s="10"/>
      <c r="E706" s="10"/>
      <c r="F706" s="10"/>
      <c r="G706" s="10"/>
      <c r="H706" s="10"/>
      <c r="I706" s="10"/>
      <c r="K706" s="10"/>
      <c r="L706" s="10"/>
      <c r="N706" s="10"/>
      <c r="P706" s="10"/>
      <c r="T706" s="10"/>
      <c r="U706" s="10"/>
      <c r="V706" s="10"/>
      <c r="W706" s="10"/>
      <c r="Y706" s="10"/>
      <c r="Z706" s="10"/>
      <c r="AA706" s="10"/>
      <c r="AB706" s="10"/>
      <c r="AC706" s="10"/>
      <c r="AD706" s="10"/>
      <c r="AE706" s="10"/>
      <c r="AF706" s="10"/>
      <c r="AG706" s="10"/>
      <c r="AH706" s="10"/>
      <c r="AI706" s="10"/>
      <c r="AJ706" s="10"/>
      <c r="AK706" s="10"/>
      <c r="AL706" s="10"/>
      <c r="AM706" s="10"/>
      <c r="AN706" s="10"/>
      <c r="AO706" s="10"/>
      <c r="AS706" s="10"/>
      <c r="AT706" s="10"/>
      <c r="AW706" s="143"/>
      <c r="BA706" s="10"/>
      <c r="BD706" s="10"/>
      <c r="BE706" s="10"/>
      <c r="BF706" s="10"/>
      <c r="BG706" s="10"/>
      <c r="BH706" s="10"/>
      <c r="BI706" s="10"/>
      <c r="BJ706" s="10"/>
      <c r="BK706" s="10"/>
      <c r="BS706" s="10"/>
      <c r="BT706" s="10"/>
      <c r="BV706" s="10"/>
      <c r="BW706" s="10"/>
    </row>
    <row r="707">
      <c r="A707" s="10"/>
      <c r="B707" s="10"/>
      <c r="C707" s="10"/>
      <c r="D707" s="10"/>
      <c r="E707" s="10"/>
      <c r="F707" s="10"/>
      <c r="G707" s="10"/>
      <c r="H707" s="10"/>
      <c r="I707" s="10"/>
      <c r="J707" s="10"/>
      <c r="K707" s="10"/>
      <c r="L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R707" s="10"/>
      <c r="AS707" s="10"/>
      <c r="AU707" s="10"/>
      <c r="AV707" s="10"/>
      <c r="AW707" s="143"/>
      <c r="BA707" s="10"/>
      <c r="BD707" s="10"/>
      <c r="BE707" s="10"/>
      <c r="BF707" s="10"/>
      <c r="BG707" s="10"/>
      <c r="BH707" s="10"/>
      <c r="BI707" s="10"/>
      <c r="BJ707" s="10"/>
      <c r="BK707" s="10"/>
      <c r="BL707" s="10"/>
      <c r="BO707" s="10"/>
      <c r="BR707" s="10"/>
      <c r="BS707" s="10"/>
      <c r="BT707" s="10"/>
      <c r="BV707" s="10"/>
      <c r="BW707" s="10"/>
    </row>
    <row r="708">
      <c r="A708" s="10"/>
      <c r="B708" s="10"/>
      <c r="C708" s="10"/>
      <c r="D708" s="10"/>
      <c r="E708" s="10"/>
      <c r="F708" s="10"/>
      <c r="G708" s="10"/>
      <c r="H708" s="10"/>
      <c r="I708" s="10"/>
      <c r="J708" s="10"/>
      <c r="K708" s="10"/>
      <c r="L708" s="10"/>
      <c r="P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R708" s="10"/>
      <c r="AS708" s="10"/>
      <c r="AU708" s="10"/>
      <c r="AV708" s="10"/>
      <c r="AW708" s="143"/>
      <c r="BA708" s="10"/>
      <c r="BD708" s="10"/>
      <c r="BE708" s="10"/>
      <c r="BF708" s="10"/>
      <c r="BG708" s="10"/>
      <c r="BH708" s="10"/>
      <c r="BI708" s="10"/>
      <c r="BJ708" s="10"/>
      <c r="BK708" s="10"/>
      <c r="BS708" s="10"/>
      <c r="BT708" s="10"/>
      <c r="BV708" s="10"/>
      <c r="BW708" s="10"/>
    </row>
    <row r="709">
      <c r="A709" s="10"/>
      <c r="B709" s="10"/>
      <c r="C709" s="10"/>
      <c r="D709" s="10"/>
      <c r="E709" s="10"/>
      <c r="F709" s="10"/>
      <c r="G709" s="10"/>
      <c r="H709" s="10"/>
      <c r="I709" s="10"/>
      <c r="K709" s="10"/>
      <c r="L709" s="10"/>
      <c r="P709" s="10"/>
      <c r="Q709" s="10"/>
      <c r="R709" s="10"/>
      <c r="S709" s="10"/>
      <c r="T709" s="10"/>
      <c r="U709" s="10"/>
      <c r="V709" s="10"/>
      <c r="W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U709" s="10"/>
      <c r="AV709" s="10"/>
      <c r="AW709" s="143"/>
      <c r="BA709" s="10"/>
      <c r="BD709" s="10"/>
      <c r="BE709" s="10"/>
      <c r="BF709" s="10"/>
      <c r="BG709" s="10"/>
      <c r="BH709" s="10"/>
      <c r="BI709" s="10"/>
      <c r="BJ709" s="10"/>
      <c r="BK709" s="10"/>
      <c r="BL709" s="10"/>
      <c r="BO709" s="10"/>
      <c r="BR709" s="10"/>
      <c r="BS709" s="10"/>
      <c r="BT709" s="10"/>
      <c r="BV709" s="10"/>
      <c r="BW709" s="10"/>
    </row>
    <row r="710">
      <c r="A710" s="10"/>
      <c r="B710" s="10"/>
      <c r="C710" s="10"/>
      <c r="D710" s="10"/>
      <c r="E710" s="10"/>
      <c r="F710" s="10"/>
      <c r="G710" s="10"/>
      <c r="H710" s="10"/>
      <c r="I710" s="10"/>
      <c r="J710" s="10"/>
      <c r="K710" s="10"/>
      <c r="L710" s="10"/>
      <c r="N710" s="10"/>
      <c r="O710" s="10"/>
      <c r="P710" s="10"/>
      <c r="Q710" s="10"/>
      <c r="R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U710" s="10"/>
      <c r="AV710" s="10"/>
      <c r="AW710" s="143"/>
      <c r="BA710" s="10"/>
      <c r="BD710" s="10"/>
      <c r="BE710" s="10"/>
      <c r="BF710" s="10"/>
      <c r="BG710" s="10"/>
      <c r="BH710" s="10"/>
      <c r="BI710" s="10"/>
      <c r="BJ710" s="10"/>
      <c r="BK710" s="10"/>
      <c r="BL710" s="10"/>
      <c r="BO710" s="10"/>
      <c r="BR710" s="10"/>
      <c r="BS710" s="10"/>
      <c r="BT710" s="10"/>
      <c r="BV710" s="10"/>
      <c r="BW710" s="10"/>
    </row>
    <row r="711">
      <c r="A711" s="10"/>
      <c r="B711" s="10"/>
      <c r="C711" s="10"/>
      <c r="D711" s="10"/>
      <c r="E711" s="10"/>
      <c r="F711" s="10"/>
      <c r="G711" s="10"/>
      <c r="H711" s="10"/>
      <c r="I711" s="10"/>
      <c r="K711" s="10"/>
      <c r="L711" s="10"/>
      <c r="P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U711" s="10"/>
      <c r="AV711" s="10"/>
      <c r="AW711" s="143"/>
      <c r="BA711" s="10"/>
      <c r="BD711" s="10"/>
      <c r="BS711" s="10"/>
      <c r="BT711" s="10"/>
      <c r="BV711" s="10"/>
      <c r="BW711" s="10"/>
    </row>
    <row r="712">
      <c r="A712" s="10"/>
      <c r="B712" s="10"/>
      <c r="C712" s="10"/>
      <c r="D712" s="10"/>
      <c r="E712" s="10"/>
      <c r="F712" s="10"/>
      <c r="G712" s="10"/>
      <c r="H712" s="10"/>
      <c r="I712" s="10"/>
      <c r="K712" s="10"/>
      <c r="L712" s="10"/>
      <c r="P712" s="10"/>
      <c r="T712" s="10"/>
      <c r="U712" s="10"/>
      <c r="V712" s="10"/>
      <c r="W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U712" s="10"/>
      <c r="AV712" s="10"/>
      <c r="AW712" s="143"/>
      <c r="BA712" s="10"/>
      <c r="BD712" s="10"/>
      <c r="BE712" s="10"/>
      <c r="BF712" s="10"/>
      <c r="BG712" s="10"/>
      <c r="BH712" s="10"/>
      <c r="BI712" s="10"/>
      <c r="BJ712" s="10"/>
      <c r="BK712" s="10"/>
      <c r="BS712" s="10"/>
      <c r="BT712" s="10"/>
      <c r="BV712" s="10"/>
      <c r="BW712" s="10"/>
    </row>
    <row r="713">
      <c r="A713" s="10"/>
      <c r="B713" s="10"/>
      <c r="C713" s="10"/>
      <c r="D713" s="10"/>
      <c r="E713" s="10"/>
      <c r="F713" s="10"/>
      <c r="G713" s="10"/>
      <c r="H713" s="10"/>
      <c r="I713" s="10"/>
      <c r="K713" s="10"/>
      <c r="L713" s="10"/>
      <c r="O713" s="10"/>
      <c r="P713" s="10"/>
      <c r="T713" s="10"/>
      <c r="U713" s="10"/>
      <c r="V713" s="10"/>
      <c r="W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U713" s="10"/>
      <c r="AV713" s="10"/>
      <c r="AW713" s="143"/>
      <c r="BA713" s="10"/>
      <c r="BD713" s="10"/>
      <c r="BS713" s="10"/>
      <c r="BT713" s="10"/>
      <c r="BV713" s="10"/>
      <c r="BW713" s="10"/>
    </row>
    <row r="714">
      <c r="A714" s="10"/>
      <c r="B714" s="10"/>
      <c r="C714" s="10"/>
      <c r="D714" s="10"/>
      <c r="E714" s="10"/>
      <c r="F714" s="10"/>
      <c r="G714" s="10"/>
      <c r="H714" s="10"/>
      <c r="I714" s="10"/>
      <c r="K714" s="10"/>
      <c r="L714" s="10"/>
      <c r="O714" s="10"/>
      <c r="P714" s="10"/>
      <c r="Q714" s="10"/>
      <c r="R714" s="10"/>
      <c r="S714" s="10"/>
      <c r="T714" s="10"/>
      <c r="U714" s="10"/>
      <c r="V714" s="10"/>
      <c r="W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U714" s="10"/>
      <c r="AV714" s="10"/>
      <c r="AW714" s="143"/>
      <c r="AZ714" s="10"/>
      <c r="BA714" s="10"/>
      <c r="BD714" s="10"/>
      <c r="BE714" s="10"/>
      <c r="BF714" s="10"/>
      <c r="BG714" s="10"/>
      <c r="BH714" s="10"/>
      <c r="BI714" s="10"/>
      <c r="BJ714" s="10"/>
      <c r="BK714" s="10"/>
      <c r="BL714" s="10"/>
      <c r="BM714" s="10"/>
      <c r="BN714" s="10"/>
      <c r="BO714" s="10"/>
      <c r="BP714" s="10"/>
      <c r="BQ714" s="10"/>
      <c r="BR714" s="10"/>
      <c r="BS714" s="10"/>
      <c r="BT714" s="10"/>
      <c r="BV714" s="10"/>
      <c r="BW714" s="10"/>
    </row>
    <row r="715">
      <c r="A715" s="10"/>
      <c r="B715" s="10"/>
      <c r="C715" s="10"/>
      <c r="D715" s="10"/>
      <c r="E715" s="10"/>
      <c r="F715" s="10"/>
      <c r="G715" s="10"/>
      <c r="H715" s="10"/>
      <c r="I715" s="10"/>
      <c r="K715" s="10"/>
      <c r="L715" s="10"/>
      <c r="N715" s="10"/>
      <c r="P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U715" s="10"/>
      <c r="AV715" s="10"/>
      <c r="AW715" s="143"/>
      <c r="BA715" s="10"/>
      <c r="BD715" s="10"/>
      <c r="BS715" s="10"/>
      <c r="BT715" s="10"/>
      <c r="BV715" s="10"/>
      <c r="BW715" s="10"/>
    </row>
    <row r="716">
      <c r="A716" s="10"/>
      <c r="B716" s="10"/>
      <c r="C716" s="10"/>
      <c r="D716" s="10"/>
      <c r="E716" s="10"/>
      <c r="F716" s="10"/>
      <c r="G716" s="10"/>
      <c r="H716" s="10"/>
      <c r="K716" s="10"/>
      <c r="L716" s="10"/>
      <c r="O716" s="10"/>
      <c r="P716" s="10"/>
      <c r="Q716" s="10"/>
      <c r="R716" s="10"/>
      <c r="S716" s="10"/>
      <c r="T716" s="10"/>
      <c r="U716" s="10"/>
      <c r="V716" s="10"/>
      <c r="W716" s="10"/>
      <c r="Y716" s="10"/>
      <c r="Z716" s="10"/>
      <c r="AA716" s="10"/>
      <c r="AB716" s="10"/>
      <c r="AC716" s="10"/>
      <c r="AD716" s="10"/>
      <c r="AE716" s="10"/>
      <c r="AF716" s="10"/>
      <c r="AG716" s="10"/>
      <c r="AH716" s="10"/>
      <c r="AI716" s="10"/>
      <c r="AJ716" s="10"/>
      <c r="AK716" s="10"/>
      <c r="AL716" s="10"/>
      <c r="AM716" s="10"/>
      <c r="AN716" s="10"/>
      <c r="AO716" s="10"/>
      <c r="AW716" s="143"/>
      <c r="BA716" s="10"/>
      <c r="BD716" s="10"/>
      <c r="BE716" s="10"/>
      <c r="BF716" s="10"/>
      <c r="BG716" s="10"/>
      <c r="BH716" s="10"/>
      <c r="BI716" s="10"/>
      <c r="BJ716" s="10"/>
      <c r="BK716" s="10"/>
      <c r="BL716" s="10"/>
      <c r="BM716" s="10"/>
      <c r="BN716" s="10"/>
      <c r="BO716" s="10"/>
      <c r="BP716" s="10"/>
      <c r="BQ716" s="10"/>
      <c r="BR716" s="10"/>
      <c r="BS716" s="10"/>
      <c r="BT716" s="10"/>
      <c r="BV716" s="10"/>
      <c r="BW716" s="10"/>
    </row>
    <row r="717">
      <c r="A717" s="10"/>
      <c r="B717" s="10"/>
      <c r="C717" s="10"/>
      <c r="D717" s="10"/>
      <c r="E717" s="10"/>
      <c r="F717" s="10"/>
      <c r="G717" s="10"/>
      <c r="H717" s="10"/>
      <c r="K717" s="10"/>
      <c r="L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W717" s="143"/>
      <c r="AZ717" s="10"/>
      <c r="BA717" s="10"/>
      <c r="BD717" s="10"/>
      <c r="BE717" s="10"/>
      <c r="BF717" s="10"/>
      <c r="BG717" s="10"/>
      <c r="BH717" s="10"/>
      <c r="BI717" s="10"/>
      <c r="BJ717" s="10"/>
      <c r="BK717" s="10"/>
      <c r="BT717" s="10"/>
      <c r="BV717" s="10"/>
      <c r="BW717" s="10"/>
    </row>
    <row r="718">
      <c r="A718" s="10"/>
      <c r="B718" s="10"/>
      <c r="C718" s="10"/>
      <c r="D718" s="10"/>
      <c r="E718" s="10"/>
      <c r="F718" s="10"/>
      <c r="G718" s="10"/>
      <c r="H718" s="10"/>
      <c r="K718" s="10"/>
      <c r="L718" s="10"/>
      <c r="T718" s="10"/>
      <c r="U718" s="10"/>
      <c r="V718" s="10"/>
      <c r="W718" s="10"/>
      <c r="X718" s="10"/>
      <c r="Y718" s="10"/>
      <c r="Z718" s="10"/>
      <c r="AA718" s="10"/>
      <c r="AB718" s="10"/>
      <c r="AC718" s="10"/>
      <c r="AD718" s="10"/>
      <c r="AE718" s="10"/>
      <c r="AF718" s="10"/>
      <c r="AG718" s="10"/>
      <c r="AH718" s="10"/>
      <c r="AI718" s="10"/>
      <c r="AJ718" s="10"/>
      <c r="AL718" s="10"/>
      <c r="AM718" s="10"/>
      <c r="AO718" s="10"/>
      <c r="AW718" s="143"/>
      <c r="BA718" s="10"/>
      <c r="BD718" s="10"/>
      <c r="BE718" s="10"/>
      <c r="BF718" s="10"/>
      <c r="BG718" s="10"/>
      <c r="BH718" s="10"/>
      <c r="BI718" s="10"/>
      <c r="BJ718" s="10"/>
      <c r="BK718" s="10"/>
      <c r="BS718" s="10"/>
      <c r="BT718" s="10"/>
      <c r="BV718" s="10"/>
      <c r="BW718" s="10"/>
    </row>
    <row r="719">
      <c r="A719" s="10"/>
      <c r="B719" s="10"/>
      <c r="C719" s="10"/>
      <c r="D719" s="10"/>
      <c r="E719" s="10"/>
      <c r="F719" s="10"/>
      <c r="G719" s="10"/>
      <c r="H719" s="10"/>
      <c r="K719" s="10"/>
      <c r="L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W719" s="143"/>
      <c r="BA719" s="10"/>
      <c r="BD719" s="10"/>
      <c r="BE719" s="10"/>
      <c r="BF719" s="10"/>
      <c r="BG719" s="10"/>
      <c r="BH719" s="10"/>
      <c r="BI719" s="10"/>
      <c r="BJ719" s="10"/>
      <c r="BK719" s="10"/>
      <c r="BS719" s="10"/>
      <c r="BT719" s="10"/>
      <c r="BV719" s="10"/>
      <c r="BW719" s="10"/>
    </row>
    <row r="720">
      <c r="A720" s="10"/>
      <c r="B720" s="10"/>
      <c r="C720" s="10"/>
      <c r="D720" s="10"/>
      <c r="E720" s="10"/>
      <c r="F720" s="10"/>
      <c r="G720" s="10"/>
      <c r="H720" s="10"/>
      <c r="K720" s="10"/>
      <c r="L720" s="10"/>
      <c r="T720" s="10"/>
      <c r="U720" s="10"/>
      <c r="V720" s="10"/>
      <c r="W720" s="10"/>
      <c r="X720" s="10"/>
      <c r="Y720" s="10"/>
      <c r="Z720" s="10"/>
      <c r="AA720" s="10"/>
      <c r="AB720" s="10"/>
      <c r="AC720" s="10"/>
      <c r="AD720" s="10"/>
      <c r="AE720" s="10"/>
      <c r="AF720" s="10"/>
      <c r="AG720" s="10"/>
      <c r="AH720" s="10"/>
      <c r="AI720" s="10"/>
      <c r="AJ720" s="10"/>
      <c r="AK720" s="10"/>
      <c r="AL720" s="10"/>
      <c r="AM720" s="10"/>
      <c r="AO720" s="10"/>
      <c r="AW720" s="143"/>
      <c r="BA720" s="10"/>
      <c r="BD720" s="10"/>
      <c r="BE720" s="10"/>
      <c r="BF720" s="10"/>
      <c r="BG720" s="10"/>
      <c r="BH720" s="10"/>
      <c r="BI720" s="10"/>
      <c r="BJ720" s="10"/>
      <c r="BK720" s="10"/>
      <c r="BS720" s="10"/>
      <c r="BT720" s="10"/>
      <c r="BV720" s="10"/>
      <c r="BW720" s="10"/>
    </row>
    <row r="721">
      <c r="A721" s="10"/>
      <c r="B721" s="10"/>
      <c r="C721" s="10"/>
      <c r="D721" s="10"/>
      <c r="E721" s="10"/>
      <c r="F721" s="10"/>
      <c r="G721" s="10"/>
      <c r="H721" s="10"/>
      <c r="K721" s="10"/>
      <c r="L721" s="10"/>
      <c r="T721" s="10"/>
      <c r="U721" s="10"/>
      <c r="V721" s="10"/>
      <c r="W721" s="10"/>
      <c r="X721" s="10"/>
      <c r="Y721" s="10"/>
      <c r="Z721" s="10"/>
      <c r="AA721" s="10"/>
      <c r="AB721" s="10"/>
      <c r="AC721" s="10"/>
      <c r="AD721" s="10"/>
      <c r="AE721" s="10"/>
      <c r="AF721" s="10"/>
      <c r="AG721" s="10"/>
      <c r="AH721" s="10"/>
      <c r="AI721" s="10"/>
      <c r="AJ721" s="10"/>
      <c r="AK721" s="10"/>
      <c r="AL721" s="10"/>
      <c r="AM721" s="10"/>
      <c r="AO721" s="10"/>
      <c r="AW721" s="143"/>
      <c r="BA721" s="10"/>
      <c r="BD721" s="10"/>
      <c r="BE721" s="10"/>
      <c r="BF721" s="10"/>
      <c r="BG721" s="10"/>
      <c r="BH721" s="10"/>
      <c r="BI721" s="10"/>
      <c r="BJ721" s="10"/>
      <c r="BK721" s="10"/>
      <c r="BS721" s="10"/>
      <c r="BT721" s="10"/>
      <c r="BV721" s="10"/>
      <c r="BW721" s="10"/>
    </row>
    <row r="722">
      <c r="A722" s="10"/>
      <c r="B722" s="10"/>
      <c r="C722" s="10"/>
      <c r="D722" s="10"/>
      <c r="E722" s="10"/>
      <c r="F722" s="10"/>
      <c r="G722" s="10"/>
      <c r="H722" s="10"/>
      <c r="K722" s="10"/>
      <c r="L722" s="10"/>
      <c r="T722" s="10"/>
      <c r="U722" s="10"/>
      <c r="V722" s="10"/>
      <c r="W722" s="10"/>
      <c r="X722" s="10"/>
      <c r="Y722" s="10"/>
      <c r="Z722" s="10"/>
      <c r="AA722" s="10"/>
      <c r="AB722" s="10"/>
      <c r="AC722" s="10"/>
      <c r="AD722" s="10"/>
      <c r="AE722" s="10"/>
      <c r="AF722" s="10"/>
      <c r="AG722" s="10"/>
      <c r="AH722" s="10"/>
      <c r="AI722" s="10"/>
      <c r="AJ722" s="10"/>
      <c r="AK722" s="10"/>
      <c r="AL722" s="10"/>
      <c r="AN722" s="10"/>
      <c r="AO722" s="10"/>
      <c r="AW722" s="143"/>
      <c r="BA722" s="10"/>
      <c r="BD722" s="10"/>
      <c r="BE722" s="10"/>
      <c r="BF722" s="10"/>
      <c r="BG722" s="10"/>
      <c r="BH722" s="10"/>
      <c r="BI722" s="10"/>
      <c r="BJ722" s="10"/>
      <c r="BK722" s="10"/>
      <c r="BS722" s="10"/>
      <c r="BT722" s="10"/>
      <c r="BV722" s="10"/>
      <c r="BW722" s="10"/>
    </row>
    <row r="723">
      <c r="A723" s="10"/>
      <c r="B723" s="10"/>
      <c r="C723" s="10"/>
      <c r="D723" s="10"/>
      <c r="E723" s="10"/>
      <c r="F723" s="10"/>
      <c r="G723" s="10"/>
      <c r="H723" s="10"/>
      <c r="K723" s="10"/>
      <c r="L723" s="10"/>
      <c r="T723" s="10"/>
      <c r="U723" s="10"/>
      <c r="V723" s="10"/>
      <c r="W723" s="10"/>
      <c r="X723" s="10"/>
      <c r="Y723" s="10"/>
      <c r="Z723" s="10"/>
      <c r="AA723" s="10"/>
      <c r="AB723" s="10"/>
      <c r="AC723" s="10"/>
      <c r="AD723" s="10"/>
      <c r="AE723" s="10"/>
      <c r="AF723" s="10"/>
      <c r="AG723" s="10"/>
      <c r="AH723" s="10"/>
      <c r="AI723" s="10"/>
      <c r="AJ723" s="10"/>
      <c r="AK723" s="10"/>
      <c r="AL723" s="10"/>
      <c r="AM723" s="10"/>
      <c r="AO723" s="10"/>
      <c r="AW723" s="143"/>
      <c r="BA723" s="10"/>
      <c r="BD723" s="10"/>
      <c r="BE723" s="10"/>
      <c r="BF723" s="10"/>
      <c r="BG723" s="10"/>
      <c r="BH723" s="10"/>
      <c r="BI723" s="10"/>
      <c r="BJ723" s="10"/>
      <c r="BK723" s="10"/>
      <c r="BS723" s="10"/>
      <c r="BT723" s="10"/>
      <c r="BV723" s="10"/>
      <c r="BW723" s="10"/>
    </row>
    <row r="724">
      <c r="A724" s="10"/>
      <c r="B724" s="10"/>
      <c r="C724" s="10"/>
      <c r="D724" s="10"/>
      <c r="E724" s="10"/>
      <c r="F724" s="10"/>
      <c r="G724" s="10"/>
      <c r="H724" s="10"/>
      <c r="K724" s="10"/>
      <c r="L724" s="10"/>
      <c r="P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W724" s="143"/>
      <c r="BA724" s="10"/>
      <c r="BD724" s="10"/>
      <c r="BS724" s="10"/>
      <c r="BT724" s="10"/>
      <c r="BV724" s="10"/>
      <c r="BW724" s="10"/>
    </row>
    <row r="725">
      <c r="A725" s="10"/>
      <c r="B725" s="10"/>
      <c r="C725" s="10"/>
      <c r="D725" s="10"/>
      <c r="E725" s="10"/>
      <c r="F725" s="10"/>
      <c r="G725" s="10"/>
      <c r="H725" s="10"/>
      <c r="J725" s="10"/>
      <c r="K725" s="10"/>
      <c r="L725" s="10"/>
      <c r="T725" s="10"/>
      <c r="U725" s="10"/>
      <c r="V725" s="10"/>
      <c r="W725" s="10"/>
      <c r="X725" s="10"/>
      <c r="Y725" s="10"/>
      <c r="Z725" s="10"/>
      <c r="AA725" s="10"/>
      <c r="AB725" s="10"/>
      <c r="AC725" s="10"/>
      <c r="AD725" s="10"/>
      <c r="AE725" s="10"/>
      <c r="AF725" s="10"/>
      <c r="AG725" s="10"/>
      <c r="AH725" s="10"/>
      <c r="AI725" s="10"/>
      <c r="AJ725" s="10"/>
      <c r="AL725" s="10"/>
      <c r="AM725" s="10"/>
      <c r="AO725" s="10"/>
      <c r="AW725" s="143"/>
      <c r="BA725" s="10"/>
      <c r="BD725" s="10"/>
      <c r="BS725" s="10"/>
      <c r="BT725" s="10"/>
      <c r="BV725" s="10"/>
      <c r="BW725" s="10"/>
    </row>
    <row r="726">
      <c r="A726" s="10"/>
      <c r="B726" s="10"/>
      <c r="C726" s="10"/>
      <c r="D726" s="10"/>
      <c r="E726" s="10"/>
      <c r="F726" s="10"/>
      <c r="G726" s="10"/>
      <c r="H726" s="10"/>
      <c r="K726" s="10"/>
      <c r="L726" s="10"/>
      <c r="O726" s="10"/>
      <c r="P726" s="10"/>
      <c r="T726" s="10"/>
      <c r="U726" s="10"/>
      <c r="V726" s="10"/>
      <c r="W726" s="10"/>
      <c r="Y726" s="10"/>
      <c r="Z726" s="10"/>
      <c r="AA726" s="10"/>
      <c r="AB726" s="10"/>
      <c r="AC726" s="10"/>
      <c r="AD726" s="10"/>
      <c r="AE726" s="10"/>
      <c r="AF726" s="10"/>
      <c r="AG726" s="10"/>
      <c r="AH726" s="10"/>
      <c r="AI726" s="10"/>
      <c r="AJ726" s="10"/>
      <c r="AK726" s="10"/>
      <c r="AL726" s="10"/>
      <c r="AM726" s="10"/>
      <c r="AN726" s="10"/>
      <c r="AO726" s="10"/>
      <c r="AW726" s="143"/>
      <c r="BA726" s="10"/>
      <c r="BD726" s="10"/>
      <c r="BS726" s="10"/>
      <c r="BT726" s="10"/>
      <c r="BV726" s="10"/>
      <c r="BW726" s="10"/>
    </row>
    <row r="727">
      <c r="A727" s="10"/>
      <c r="B727" s="10"/>
      <c r="C727" s="10"/>
      <c r="D727" s="10"/>
      <c r="E727" s="10"/>
      <c r="F727" s="10"/>
      <c r="G727" s="10"/>
      <c r="H727" s="10"/>
      <c r="I727" s="10"/>
      <c r="K727" s="10"/>
      <c r="L727" s="10"/>
      <c r="P727" s="10"/>
      <c r="Q727" s="10"/>
      <c r="R727" s="10"/>
      <c r="T727" s="10"/>
      <c r="U727" s="10"/>
      <c r="V727" s="10"/>
      <c r="W727" s="10"/>
      <c r="Y727" s="10"/>
      <c r="Z727" s="10"/>
      <c r="AA727" s="10"/>
      <c r="AB727" s="10"/>
      <c r="AC727" s="10"/>
      <c r="AD727" s="10"/>
      <c r="AE727" s="10"/>
      <c r="AF727" s="10"/>
      <c r="AG727" s="10"/>
      <c r="AH727" s="10"/>
      <c r="AI727" s="10"/>
      <c r="AJ727" s="10"/>
      <c r="AK727" s="10"/>
      <c r="AL727" s="10"/>
      <c r="AM727" s="10"/>
      <c r="AN727" s="10"/>
      <c r="AO727" s="10"/>
      <c r="AR727" s="10"/>
      <c r="AS727" s="10"/>
      <c r="AU727" s="10"/>
      <c r="AV727" s="10"/>
      <c r="AW727" s="143"/>
      <c r="AZ727" s="10"/>
      <c r="BD727" s="10"/>
      <c r="BE727" s="10"/>
      <c r="BF727" s="10"/>
      <c r="BG727" s="10"/>
      <c r="BH727" s="10"/>
      <c r="BI727" s="10"/>
      <c r="BJ727" s="10"/>
      <c r="BK727" s="10"/>
      <c r="BL727" s="10"/>
      <c r="BM727" s="10"/>
      <c r="BN727" s="10"/>
      <c r="BO727" s="10"/>
      <c r="BP727" s="10"/>
      <c r="BQ727" s="10"/>
      <c r="BR727" s="10"/>
      <c r="BS727" s="10"/>
      <c r="BT727" s="10"/>
      <c r="BV727" s="10"/>
      <c r="BW727" s="10"/>
    </row>
    <row r="728">
      <c r="A728" s="10"/>
      <c r="B728" s="10"/>
      <c r="C728" s="10"/>
      <c r="D728" s="10"/>
      <c r="E728" s="10"/>
      <c r="F728" s="10"/>
      <c r="G728" s="10"/>
      <c r="H728" s="10"/>
      <c r="I728" s="10"/>
      <c r="K728" s="10"/>
      <c r="L728" s="10"/>
      <c r="P728" s="10"/>
      <c r="T728" s="10"/>
      <c r="U728" s="10"/>
      <c r="V728" s="10"/>
      <c r="W728" s="10"/>
      <c r="Y728" s="10"/>
      <c r="Z728" s="10"/>
      <c r="AA728" s="10"/>
      <c r="AB728" s="10"/>
      <c r="AC728" s="10"/>
      <c r="AD728" s="10"/>
      <c r="AE728" s="10"/>
      <c r="AF728" s="10"/>
      <c r="AG728" s="10"/>
      <c r="AH728" s="10"/>
      <c r="AI728" s="10"/>
      <c r="AJ728" s="10"/>
      <c r="AK728" s="10"/>
      <c r="AL728" s="10"/>
      <c r="AM728" s="10"/>
      <c r="AN728" s="10"/>
      <c r="AO728" s="10"/>
      <c r="AR728" s="10"/>
      <c r="AS728" s="10"/>
      <c r="AU728" s="10"/>
      <c r="AV728" s="10"/>
      <c r="AW728" s="143"/>
      <c r="AZ728" s="10"/>
      <c r="BD728" s="10"/>
      <c r="BE728" s="10"/>
      <c r="BF728" s="10"/>
      <c r="BG728" s="10"/>
      <c r="BH728" s="10"/>
      <c r="BI728" s="10"/>
      <c r="BJ728" s="10"/>
      <c r="BK728" s="10"/>
      <c r="BS728" s="10"/>
      <c r="BT728" s="10"/>
      <c r="BV728" s="10"/>
      <c r="BW728" s="10"/>
    </row>
    <row r="729">
      <c r="A729" s="10"/>
      <c r="B729" s="10"/>
      <c r="C729" s="10"/>
      <c r="D729" s="10"/>
      <c r="E729" s="10"/>
      <c r="F729" s="10"/>
      <c r="G729" s="10"/>
      <c r="H729" s="10"/>
      <c r="I729" s="10"/>
      <c r="K729" s="10"/>
      <c r="L729" s="10"/>
      <c r="O729" s="10"/>
      <c r="P729" s="10"/>
      <c r="T729" s="10"/>
      <c r="U729" s="10"/>
      <c r="V729" s="10"/>
      <c r="W729" s="10"/>
      <c r="Y729" s="10"/>
      <c r="Z729" s="10"/>
      <c r="AA729" s="10"/>
      <c r="AB729" s="10"/>
      <c r="AC729" s="10"/>
      <c r="AD729" s="10"/>
      <c r="AE729" s="10"/>
      <c r="AF729" s="10"/>
      <c r="AG729" s="10"/>
      <c r="AH729" s="10"/>
      <c r="AI729" s="10"/>
      <c r="AJ729" s="10"/>
      <c r="AK729" s="10"/>
      <c r="AL729" s="10"/>
      <c r="AM729" s="10"/>
      <c r="AN729" s="10"/>
      <c r="AO729" s="10"/>
      <c r="AR729" s="10"/>
      <c r="AS729" s="10"/>
      <c r="AU729" s="10"/>
      <c r="AV729" s="10"/>
      <c r="AW729" s="143"/>
      <c r="BD729" s="10"/>
      <c r="BE729" s="10"/>
      <c r="BF729" s="10"/>
      <c r="BG729" s="10"/>
      <c r="BH729" s="10"/>
      <c r="BI729" s="10"/>
      <c r="BJ729" s="10"/>
      <c r="BK729" s="10"/>
      <c r="BS729" s="10"/>
      <c r="BT729" s="10"/>
      <c r="BV729" s="10"/>
      <c r="BW729" s="10"/>
    </row>
    <row r="730">
      <c r="A730" s="10"/>
      <c r="B730" s="10"/>
      <c r="C730" s="10"/>
      <c r="D730" s="10"/>
      <c r="E730" s="10"/>
      <c r="F730" s="10"/>
      <c r="G730" s="10"/>
      <c r="H730" s="10"/>
      <c r="I730" s="10"/>
      <c r="K730" s="10"/>
      <c r="L730" s="10"/>
      <c r="P730" s="10"/>
      <c r="T730" s="10"/>
      <c r="U730" s="10"/>
      <c r="V730" s="10"/>
      <c r="W730" s="10"/>
      <c r="Y730" s="10"/>
      <c r="Z730" s="10"/>
      <c r="AA730" s="10"/>
      <c r="AB730" s="10"/>
      <c r="AC730" s="10"/>
      <c r="AD730" s="10"/>
      <c r="AE730" s="10"/>
      <c r="AF730" s="10"/>
      <c r="AG730" s="10"/>
      <c r="AH730" s="10"/>
      <c r="AI730" s="10"/>
      <c r="AJ730" s="10"/>
      <c r="AK730" s="10"/>
      <c r="AL730" s="10"/>
      <c r="AM730" s="10"/>
      <c r="AN730" s="10"/>
      <c r="AO730" s="10"/>
      <c r="AR730" s="10"/>
      <c r="AS730" s="10"/>
      <c r="AU730" s="10"/>
      <c r="AV730" s="10"/>
      <c r="AW730" s="143"/>
      <c r="BD730" s="10"/>
      <c r="BE730" s="10"/>
      <c r="BF730" s="10"/>
      <c r="BG730" s="10"/>
      <c r="BH730" s="10"/>
      <c r="BI730" s="10"/>
      <c r="BJ730" s="10"/>
      <c r="BK730" s="10"/>
      <c r="BS730" s="10"/>
      <c r="BT730" s="10"/>
      <c r="BV730" s="10"/>
      <c r="BW730" s="10"/>
    </row>
    <row r="731">
      <c r="A731" s="10"/>
      <c r="B731" s="10"/>
      <c r="C731" s="10"/>
      <c r="D731" s="10"/>
      <c r="E731" s="10"/>
      <c r="F731" s="10"/>
      <c r="G731" s="10"/>
      <c r="H731" s="10"/>
      <c r="I731" s="10"/>
      <c r="K731" s="10"/>
      <c r="L731" s="10"/>
      <c r="O731" s="10"/>
      <c r="P731" s="10"/>
      <c r="T731" s="10"/>
      <c r="U731" s="10"/>
      <c r="V731" s="10"/>
      <c r="W731" s="10"/>
      <c r="Y731" s="10"/>
      <c r="Z731" s="10"/>
      <c r="AA731" s="10"/>
      <c r="AB731" s="10"/>
      <c r="AC731" s="10"/>
      <c r="AD731" s="10"/>
      <c r="AE731" s="10"/>
      <c r="AF731" s="10"/>
      <c r="AG731" s="10"/>
      <c r="AH731" s="10"/>
      <c r="AI731" s="10"/>
      <c r="AJ731" s="10"/>
      <c r="AK731" s="10"/>
      <c r="AL731" s="10"/>
      <c r="AM731" s="10"/>
      <c r="AN731" s="10"/>
      <c r="AO731" s="10"/>
      <c r="AR731" s="10"/>
      <c r="AS731" s="10"/>
      <c r="AU731" s="10"/>
      <c r="AV731" s="10"/>
      <c r="AW731" s="143"/>
      <c r="BD731" s="10"/>
      <c r="BE731" s="10"/>
      <c r="BF731" s="10"/>
      <c r="BG731" s="10"/>
      <c r="BH731" s="10"/>
      <c r="BI731" s="10"/>
      <c r="BJ731" s="10"/>
      <c r="BK731" s="10"/>
      <c r="BS731" s="10"/>
      <c r="BT731" s="10"/>
      <c r="BV731" s="10"/>
      <c r="BW731" s="10"/>
    </row>
    <row r="732">
      <c r="A732" s="10"/>
      <c r="B732" s="10"/>
      <c r="C732" s="10"/>
      <c r="D732" s="10"/>
      <c r="E732" s="10"/>
      <c r="F732" s="10"/>
      <c r="G732" s="10"/>
      <c r="H732" s="10"/>
      <c r="I732" s="10"/>
      <c r="K732" s="10"/>
      <c r="L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R732" s="10"/>
      <c r="AS732" s="10"/>
      <c r="AU732" s="10"/>
      <c r="AV732" s="10"/>
      <c r="AW732" s="143"/>
      <c r="BD732" s="10"/>
      <c r="BE732" s="10"/>
      <c r="BF732" s="10"/>
      <c r="BG732" s="10"/>
      <c r="BH732" s="10"/>
      <c r="BI732" s="10"/>
      <c r="BJ732" s="10"/>
      <c r="BK732" s="10"/>
      <c r="BS732" s="10"/>
      <c r="BT732" s="10"/>
      <c r="BV732" s="10"/>
      <c r="BW732" s="10"/>
    </row>
    <row r="733">
      <c r="A733" s="10"/>
      <c r="B733" s="10"/>
      <c r="C733" s="10"/>
      <c r="D733" s="10"/>
      <c r="E733" s="10"/>
      <c r="F733" s="10"/>
      <c r="G733" s="10"/>
      <c r="H733" s="10"/>
      <c r="I733" s="10"/>
      <c r="K733" s="10"/>
      <c r="L733" s="10"/>
      <c r="P733" s="10"/>
      <c r="Q733" s="10"/>
      <c r="R733" s="10"/>
      <c r="S733" s="10"/>
      <c r="T733" s="10"/>
      <c r="U733" s="10"/>
      <c r="V733" s="10"/>
      <c r="W733" s="10"/>
      <c r="Y733" s="10"/>
      <c r="Z733" s="10"/>
      <c r="AA733" s="10"/>
      <c r="AB733" s="10"/>
      <c r="AC733" s="10"/>
      <c r="AD733" s="10"/>
      <c r="AE733" s="10"/>
      <c r="AF733" s="10"/>
      <c r="AG733" s="10"/>
      <c r="AH733" s="10"/>
      <c r="AI733" s="10"/>
      <c r="AJ733" s="10"/>
      <c r="AK733" s="10"/>
      <c r="AL733" s="10"/>
      <c r="AM733" s="10"/>
      <c r="AN733" s="10"/>
      <c r="AO733" s="10"/>
      <c r="AR733" s="10"/>
      <c r="AS733" s="10"/>
      <c r="AU733" s="10"/>
      <c r="AV733" s="10"/>
      <c r="AW733" s="143"/>
      <c r="BD733" s="10"/>
      <c r="BE733" s="10"/>
      <c r="BF733" s="10"/>
      <c r="BG733" s="10"/>
      <c r="BH733" s="10"/>
      <c r="BI733" s="10"/>
      <c r="BJ733" s="10"/>
      <c r="BK733" s="10"/>
      <c r="BL733" s="10"/>
      <c r="BO733" s="10"/>
      <c r="BR733" s="10"/>
      <c r="BS733" s="10"/>
      <c r="BT733" s="10"/>
      <c r="BV733" s="10"/>
      <c r="BW733" s="10"/>
    </row>
    <row r="734">
      <c r="A734" s="10"/>
      <c r="B734" s="10"/>
      <c r="C734" s="10"/>
      <c r="D734" s="10"/>
      <c r="E734" s="10"/>
      <c r="F734" s="10"/>
      <c r="G734" s="10"/>
      <c r="H734" s="10"/>
      <c r="I734" s="10"/>
      <c r="K734" s="10"/>
      <c r="L734" s="10"/>
      <c r="P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R734" s="10"/>
      <c r="AS734" s="10"/>
      <c r="AU734" s="10"/>
      <c r="AV734" s="10"/>
      <c r="AW734" s="143"/>
      <c r="BD734" s="10"/>
      <c r="BE734" s="10"/>
      <c r="BF734" s="10"/>
      <c r="BG734" s="10"/>
      <c r="BH734" s="10"/>
      <c r="BI734" s="10"/>
      <c r="BJ734" s="10"/>
      <c r="BK734" s="10"/>
      <c r="BS734" s="10"/>
      <c r="BT734" s="10"/>
      <c r="BV734" s="10"/>
      <c r="BW734" s="10"/>
    </row>
    <row r="735">
      <c r="A735" s="10"/>
      <c r="B735" s="10"/>
      <c r="C735" s="10"/>
      <c r="D735" s="10"/>
      <c r="E735" s="10"/>
      <c r="F735" s="10"/>
      <c r="G735" s="10"/>
      <c r="H735" s="10"/>
      <c r="I735" s="10"/>
      <c r="K735" s="10"/>
      <c r="L735" s="10"/>
      <c r="P735" s="10"/>
      <c r="T735" s="10"/>
      <c r="U735" s="10"/>
      <c r="V735" s="10"/>
      <c r="W735" s="10"/>
      <c r="Y735" s="10"/>
      <c r="Z735" s="10"/>
      <c r="AA735" s="10"/>
      <c r="AB735" s="10"/>
      <c r="AC735" s="10"/>
      <c r="AD735" s="10"/>
      <c r="AE735" s="10"/>
      <c r="AF735" s="10"/>
      <c r="AG735" s="10"/>
      <c r="AH735" s="10"/>
      <c r="AI735" s="10"/>
      <c r="AJ735" s="10"/>
      <c r="AK735" s="10"/>
      <c r="AL735" s="10"/>
      <c r="AM735" s="10"/>
      <c r="AN735" s="10"/>
      <c r="AO735" s="10"/>
      <c r="AR735" s="10"/>
      <c r="AS735" s="10"/>
      <c r="AU735" s="10"/>
      <c r="AV735" s="10"/>
      <c r="AW735" s="143"/>
      <c r="BD735" s="10"/>
      <c r="BE735" s="10"/>
      <c r="BF735" s="10"/>
      <c r="BG735" s="10"/>
      <c r="BH735" s="10"/>
      <c r="BI735" s="10"/>
      <c r="BJ735" s="10"/>
      <c r="BK735" s="10"/>
      <c r="BS735" s="10"/>
      <c r="BT735" s="10"/>
      <c r="BV735" s="10"/>
      <c r="BW735" s="10"/>
    </row>
    <row r="736">
      <c r="A736" s="10"/>
      <c r="B736" s="10"/>
      <c r="C736" s="10"/>
      <c r="D736" s="10"/>
      <c r="E736" s="10"/>
      <c r="F736" s="10"/>
      <c r="G736" s="10"/>
      <c r="H736" s="10"/>
      <c r="I736" s="10"/>
      <c r="K736" s="10"/>
      <c r="L736" s="10"/>
      <c r="O736" s="10"/>
      <c r="P736" s="10"/>
      <c r="T736" s="10"/>
      <c r="U736" s="10"/>
      <c r="V736" s="10"/>
      <c r="W736" s="10"/>
      <c r="Y736" s="10"/>
      <c r="Z736" s="10"/>
      <c r="AA736" s="10"/>
      <c r="AB736" s="10"/>
      <c r="AC736" s="10"/>
      <c r="AD736" s="10"/>
      <c r="AE736" s="10"/>
      <c r="AF736" s="10"/>
      <c r="AG736" s="10"/>
      <c r="AH736" s="10"/>
      <c r="AI736" s="10"/>
      <c r="AJ736" s="10"/>
      <c r="AK736" s="10"/>
      <c r="AL736" s="10"/>
      <c r="AM736" s="10"/>
      <c r="AN736" s="10"/>
      <c r="AO736" s="10"/>
      <c r="AR736" s="10"/>
      <c r="AS736" s="10"/>
      <c r="AU736" s="10"/>
      <c r="AV736" s="10"/>
      <c r="AW736" s="143"/>
      <c r="BD736" s="10"/>
      <c r="BE736" s="10"/>
      <c r="BF736" s="10"/>
      <c r="BG736" s="10"/>
      <c r="BH736" s="10"/>
      <c r="BI736" s="10"/>
      <c r="BJ736" s="10"/>
      <c r="BK736" s="10"/>
      <c r="BS736" s="10"/>
      <c r="BT736" s="10"/>
      <c r="BV736" s="10"/>
      <c r="BW736" s="10"/>
    </row>
    <row r="737">
      <c r="A737" s="10"/>
      <c r="B737" s="10"/>
      <c r="C737" s="10"/>
      <c r="D737" s="10"/>
      <c r="E737" s="10"/>
      <c r="F737" s="10"/>
      <c r="G737" s="10"/>
      <c r="H737" s="10"/>
      <c r="I737" s="10"/>
      <c r="K737" s="10"/>
      <c r="L737" s="10"/>
      <c r="P737" s="10"/>
      <c r="T737" s="10"/>
      <c r="U737" s="10"/>
      <c r="V737" s="10"/>
      <c r="W737" s="10"/>
      <c r="Y737" s="10"/>
      <c r="Z737" s="10"/>
      <c r="AA737" s="10"/>
      <c r="AB737" s="10"/>
      <c r="AC737" s="10"/>
      <c r="AD737" s="10"/>
      <c r="AE737" s="10"/>
      <c r="AF737" s="10"/>
      <c r="AG737" s="10"/>
      <c r="AH737" s="10"/>
      <c r="AI737" s="10"/>
      <c r="AJ737" s="10"/>
      <c r="AK737" s="10"/>
      <c r="AL737" s="10"/>
      <c r="AM737" s="10"/>
      <c r="AN737" s="10"/>
      <c r="AO737" s="10"/>
      <c r="AR737" s="10"/>
      <c r="AS737" s="10"/>
      <c r="AU737" s="10"/>
      <c r="AV737" s="10"/>
      <c r="AW737" s="143"/>
      <c r="AZ737" s="10"/>
      <c r="BD737" s="10"/>
      <c r="BE737" s="10"/>
      <c r="BF737" s="10"/>
      <c r="BG737" s="10"/>
      <c r="BH737" s="10"/>
      <c r="BI737" s="10"/>
      <c r="BJ737" s="10"/>
      <c r="BK737" s="10"/>
      <c r="BS737" s="10"/>
      <c r="BT737" s="10"/>
      <c r="BV737" s="10"/>
      <c r="BW737" s="10"/>
    </row>
    <row r="738">
      <c r="A738" s="10"/>
      <c r="B738" s="10"/>
      <c r="C738" s="10"/>
      <c r="D738" s="10"/>
      <c r="E738" s="10"/>
      <c r="F738" s="10"/>
      <c r="G738" s="10"/>
      <c r="H738" s="10"/>
      <c r="I738" s="10"/>
      <c r="K738" s="10"/>
      <c r="L738" s="10"/>
      <c r="P738" s="10"/>
      <c r="T738" s="10"/>
      <c r="U738" s="10"/>
      <c r="V738" s="10"/>
      <c r="W738" s="10"/>
      <c r="Y738" s="10"/>
      <c r="Z738" s="10"/>
      <c r="AA738" s="10"/>
      <c r="AB738" s="10"/>
      <c r="AC738" s="10"/>
      <c r="AD738" s="10"/>
      <c r="AE738" s="10"/>
      <c r="AF738" s="10"/>
      <c r="AG738" s="10"/>
      <c r="AH738" s="10"/>
      <c r="AI738" s="10"/>
      <c r="AJ738" s="10"/>
      <c r="AK738" s="10"/>
      <c r="AL738" s="10"/>
      <c r="AM738" s="10"/>
      <c r="AN738" s="10"/>
      <c r="AO738" s="10"/>
      <c r="AR738" s="10"/>
      <c r="AS738" s="10"/>
      <c r="AU738" s="10"/>
      <c r="AV738" s="10"/>
      <c r="AW738" s="143"/>
      <c r="AZ738" s="10"/>
      <c r="BD738" s="10"/>
      <c r="BE738" s="10"/>
      <c r="BF738" s="10"/>
      <c r="BG738" s="10"/>
      <c r="BH738" s="10"/>
      <c r="BI738" s="10"/>
      <c r="BJ738" s="10"/>
      <c r="BK738" s="10"/>
      <c r="BS738" s="10"/>
      <c r="BT738" s="10"/>
      <c r="BV738" s="10"/>
      <c r="BW738" s="10"/>
    </row>
    <row r="739">
      <c r="A739" s="10"/>
      <c r="B739" s="10"/>
      <c r="C739" s="10"/>
      <c r="D739" s="10"/>
      <c r="E739" s="10"/>
      <c r="F739" s="10"/>
      <c r="G739" s="10"/>
      <c r="H739" s="10"/>
      <c r="I739" s="10"/>
      <c r="K739" s="10"/>
      <c r="L739" s="10"/>
      <c r="P739" s="10"/>
      <c r="T739" s="10"/>
      <c r="U739" s="10"/>
      <c r="V739" s="10"/>
      <c r="W739" s="10"/>
      <c r="Y739" s="10"/>
      <c r="Z739" s="10"/>
      <c r="AA739" s="10"/>
      <c r="AB739" s="10"/>
      <c r="AC739" s="10"/>
      <c r="AD739" s="10"/>
      <c r="AE739" s="10"/>
      <c r="AF739" s="10"/>
      <c r="AG739" s="10"/>
      <c r="AH739" s="10"/>
      <c r="AI739" s="10"/>
      <c r="AJ739" s="10"/>
      <c r="AK739" s="10"/>
      <c r="AL739" s="10"/>
      <c r="AM739" s="10"/>
      <c r="AN739" s="10"/>
      <c r="AO739" s="10"/>
      <c r="AR739" s="10"/>
      <c r="AS739" s="10"/>
      <c r="AU739" s="10"/>
      <c r="AV739" s="10"/>
      <c r="AW739" s="143"/>
      <c r="BD739" s="10"/>
      <c r="BE739" s="10"/>
      <c r="BF739" s="10"/>
      <c r="BG739" s="10"/>
      <c r="BH739" s="10"/>
      <c r="BI739" s="10"/>
      <c r="BJ739" s="10"/>
      <c r="BK739" s="10"/>
      <c r="BS739" s="10"/>
      <c r="BT739" s="10"/>
      <c r="BV739" s="10"/>
      <c r="BW739" s="10"/>
    </row>
    <row r="740">
      <c r="A740" s="10"/>
      <c r="B740" s="10"/>
      <c r="C740" s="10"/>
      <c r="D740" s="10"/>
      <c r="E740" s="10"/>
      <c r="F740" s="10"/>
      <c r="G740" s="10"/>
      <c r="H740" s="10"/>
      <c r="I740" s="10"/>
      <c r="K740" s="10"/>
      <c r="L740" s="10"/>
      <c r="O740" s="10"/>
      <c r="P740" s="10"/>
      <c r="T740" s="10"/>
      <c r="U740" s="10"/>
      <c r="V740" s="10"/>
      <c r="W740" s="10"/>
      <c r="Y740" s="10"/>
      <c r="Z740" s="10"/>
      <c r="AA740" s="10"/>
      <c r="AB740" s="10"/>
      <c r="AC740" s="10"/>
      <c r="AD740" s="10"/>
      <c r="AE740" s="10"/>
      <c r="AF740" s="10"/>
      <c r="AG740" s="10"/>
      <c r="AH740" s="10"/>
      <c r="AI740" s="10"/>
      <c r="AJ740" s="10"/>
      <c r="AK740" s="10"/>
      <c r="AL740" s="10"/>
      <c r="AM740" s="10"/>
      <c r="AN740" s="10"/>
      <c r="AO740" s="10"/>
      <c r="AR740" s="10"/>
      <c r="AS740" s="10"/>
      <c r="AU740" s="10"/>
      <c r="AV740" s="10"/>
      <c r="AW740" s="143"/>
      <c r="AZ740" s="10"/>
      <c r="BD740" s="10"/>
      <c r="BE740" s="10"/>
      <c r="BF740" s="10"/>
      <c r="BG740" s="10"/>
      <c r="BH740" s="10"/>
      <c r="BI740" s="10"/>
      <c r="BJ740" s="10"/>
      <c r="BK740" s="10"/>
      <c r="BS740" s="10"/>
      <c r="BT740" s="10"/>
      <c r="BV740" s="10"/>
      <c r="BW740" s="10"/>
    </row>
    <row r="741">
      <c r="A741" s="10"/>
      <c r="B741" s="10"/>
      <c r="C741" s="10"/>
      <c r="D741" s="10"/>
      <c r="E741" s="10"/>
      <c r="F741" s="10"/>
      <c r="G741" s="10"/>
      <c r="H741" s="10"/>
      <c r="I741" s="10"/>
      <c r="K741" s="10"/>
      <c r="L741" s="10"/>
      <c r="P741" s="10"/>
      <c r="T741" s="10"/>
      <c r="U741" s="10"/>
      <c r="V741" s="10"/>
      <c r="W741" s="10"/>
      <c r="Y741" s="10"/>
      <c r="Z741" s="10"/>
      <c r="AA741" s="10"/>
      <c r="AB741" s="10"/>
      <c r="AC741" s="10"/>
      <c r="AD741" s="10"/>
      <c r="AE741" s="10"/>
      <c r="AF741" s="10"/>
      <c r="AG741" s="10"/>
      <c r="AH741" s="10"/>
      <c r="AI741" s="10"/>
      <c r="AJ741" s="10"/>
      <c r="AK741" s="10"/>
      <c r="AL741" s="10"/>
      <c r="AM741" s="10"/>
      <c r="AN741" s="10"/>
      <c r="AO741" s="10"/>
      <c r="AR741" s="10"/>
      <c r="AS741" s="10"/>
      <c r="AU741" s="10"/>
      <c r="AV741" s="10"/>
      <c r="AW741" s="143"/>
      <c r="AZ741" s="10"/>
      <c r="BD741" s="10"/>
      <c r="BE741" s="10"/>
      <c r="BF741" s="10"/>
      <c r="BG741" s="10"/>
      <c r="BH741" s="10"/>
      <c r="BI741" s="10"/>
      <c r="BJ741" s="10"/>
      <c r="BK741" s="10"/>
      <c r="BS741" s="10"/>
      <c r="BT741" s="10"/>
      <c r="BV741" s="10"/>
      <c r="BW741" s="10"/>
    </row>
    <row r="742">
      <c r="A742" s="10"/>
      <c r="B742" s="10"/>
      <c r="C742" s="10"/>
      <c r="D742" s="10"/>
      <c r="E742" s="10"/>
      <c r="F742" s="10"/>
      <c r="G742" s="10"/>
      <c r="H742" s="10"/>
      <c r="I742" s="10"/>
      <c r="K742" s="10"/>
      <c r="L742" s="10"/>
      <c r="O742" s="10"/>
      <c r="P742" s="10"/>
      <c r="T742" s="10"/>
      <c r="U742" s="10"/>
      <c r="V742" s="10"/>
      <c r="W742" s="10"/>
      <c r="Y742" s="10"/>
      <c r="Z742" s="10"/>
      <c r="AA742" s="10"/>
      <c r="AB742" s="10"/>
      <c r="AC742" s="10"/>
      <c r="AD742" s="10"/>
      <c r="AE742" s="10"/>
      <c r="AF742" s="10"/>
      <c r="AG742" s="10"/>
      <c r="AH742" s="10"/>
      <c r="AI742" s="10"/>
      <c r="AJ742" s="10"/>
      <c r="AK742" s="10"/>
      <c r="AL742" s="10"/>
      <c r="AM742" s="10"/>
      <c r="AN742" s="10"/>
      <c r="AO742" s="10"/>
      <c r="AR742" s="10"/>
      <c r="AS742" s="10"/>
      <c r="AU742" s="10"/>
      <c r="AV742" s="10"/>
      <c r="AW742" s="143"/>
      <c r="BD742" s="10"/>
      <c r="BE742" s="10"/>
      <c r="BF742" s="10"/>
      <c r="BG742" s="10"/>
      <c r="BH742" s="10"/>
      <c r="BI742" s="10"/>
      <c r="BJ742" s="10"/>
      <c r="BK742" s="10"/>
      <c r="BS742" s="10"/>
      <c r="BT742" s="10"/>
      <c r="BV742" s="10"/>
      <c r="BW742" s="10"/>
    </row>
    <row r="743">
      <c r="A743" s="10"/>
      <c r="B743" s="10"/>
      <c r="C743" s="10"/>
      <c r="D743" s="10"/>
      <c r="E743" s="10"/>
      <c r="F743" s="10"/>
      <c r="G743" s="10"/>
      <c r="H743" s="10"/>
      <c r="I743" s="10"/>
      <c r="K743" s="10"/>
      <c r="L743" s="10"/>
      <c r="O743" s="10"/>
      <c r="P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R743" s="10"/>
      <c r="AS743" s="10"/>
      <c r="AU743" s="10"/>
      <c r="AV743" s="10"/>
      <c r="AW743" s="143"/>
      <c r="AZ743" s="10"/>
      <c r="BD743" s="10"/>
      <c r="BE743" s="10"/>
      <c r="BF743" s="10"/>
      <c r="BG743" s="10"/>
      <c r="BH743" s="10"/>
      <c r="BI743" s="10"/>
      <c r="BJ743" s="10"/>
      <c r="BK743" s="10"/>
      <c r="BT743" s="10"/>
      <c r="BV743" s="10"/>
      <c r="BW743" s="10"/>
    </row>
    <row r="744">
      <c r="A744" s="10"/>
      <c r="B744" s="10"/>
      <c r="C744" s="10"/>
      <c r="D744" s="10"/>
      <c r="E744" s="10"/>
      <c r="F744" s="10"/>
      <c r="G744" s="10"/>
      <c r="H744" s="10"/>
      <c r="I744" s="10"/>
      <c r="K744" s="10"/>
      <c r="L744" s="10"/>
      <c r="P744" s="10"/>
      <c r="T744" s="10"/>
      <c r="U744" s="10"/>
      <c r="V744" s="10"/>
      <c r="W744" s="10"/>
      <c r="Y744" s="10"/>
      <c r="Z744" s="10"/>
      <c r="AA744" s="10"/>
      <c r="AB744" s="10"/>
      <c r="AC744" s="10"/>
      <c r="AD744" s="10"/>
      <c r="AE744" s="10"/>
      <c r="AF744" s="10"/>
      <c r="AG744" s="10"/>
      <c r="AH744" s="10"/>
      <c r="AI744" s="10"/>
      <c r="AJ744" s="10"/>
      <c r="AK744" s="10"/>
      <c r="AL744" s="10"/>
      <c r="AM744" s="10"/>
      <c r="AN744" s="10"/>
      <c r="AO744" s="10"/>
      <c r="AR744" s="10"/>
      <c r="AS744" s="10"/>
      <c r="AU744" s="10"/>
      <c r="AV744" s="10"/>
      <c r="AW744" s="143"/>
      <c r="BD744" s="10"/>
      <c r="BE744" s="10"/>
      <c r="BF744" s="10"/>
      <c r="BG744" s="10"/>
      <c r="BH744" s="10"/>
      <c r="BI744" s="10"/>
      <c r="BJ744" s="10"/>
      <c r="BK744" s="10"/>
      <c r="BS744" s="10"/>
      <c r="BT744" s="10"/>
      <c r="BV744" s="10"/>
      <c r="BW744" s="10"/>
    </row>
    <row r="745">
      <c r="A745" s="10"/>
      <c r="B745" s="10"/>
      <c r="C745" s="10"/>
      <c r="D745" s="10"/>
      <c r="E745" s="10"/>
      <c r="F745" s="10"/>
      <c r="G745" s="10"/>
      <c r="H745" s="10"/>
      <c r="I745" s="10"/>
      <c r="K745" s="10"/>
      <c r="L745" s="10"/>
      <c r="O745" s="10"/>
      <c r="P745" s="10"/>
      <c r="T745" s="10"/>
      <c r="U745" s="10"/>
      <c r="V745" s="10"/>
      <c r="W745" s="10"/>
      <c r="Y745" s="10"/>
      <c r="Z745" s="10"/>
      <c r="AA745" s="10"/>
      <c r="AB745" s="10"/>
      <c r="AC745" s="10"/>
      <c r="AD745" s="10"/>
      <c r="AE745" s="10"/>
      <c r="AF745" s="10"/>
      <c r="AG745" s="10"/>
      <c r="AH745" s="10"/>
      <c r="AI745" s="10"/>
      <c r="AJ745" s="10"/>
      <c r="AK745" s="10"/>
      <c r="AL745" s="10"/>
      <c r="AM745" s="10"/>
      <c r="AN745" s="10"/>
      <c r="AO745" s="10"/>
      <c r="AR745" s="10"/>
      <c r="AS745" s="10"/>
      <c r="AU745" s="10"/>
      <c r="AV745" s="10"/>
      <c r="AW745" s="143"/>
      <c r="BD745" s="10"/>
      <c r="BE745" s="10"/>
      <c r="BF745" s="10"/>
      <c r="BG745" s="10"/>
      <c r="BH745" s="10"/>
      <c r="BI745" s="10"/>
      <c r="BJ745" s="10"/>
      <c r="BK745" s="10"/>
      <c r="BS745" s="10"/>
      <c r="BT745" s="10"/>
      <c r="BV745" s="10"/>
      <c r="BW745" s="10"/>
    </row>
    <row r="746">
      <c r="A746" s="10"/>
      <c r="B746" s="10"/>
      <c r="C746" s="10"/>
      <c r="D746" s="10"/>
      <c r="E746" s="10"/>
      <c r="F746" s="10"/>
      <c r="G746" s="10"/>
      <c r="H746" s="10"/>
      <c r="I746" s="10"/>
      <c r="K746" s="10"/>
      <c r="L746" s="10"/>
      <c r="P746" s="10"/>
      <c r="Q746" s="10"/>
      <c r="R746" s="10"/>
      <c r="S746" s="10"/>
      <c r="T746" s="10"/>
      <c r="U746" s="10"/>
      <c r="V746" s="10"/>
      <c r="W746" s="10"/>
      <c r="Y746" s="10"/>
      <c r="Z746" s="10"/>
      <c r="AA746" s="10"/>
      <c r="AB746" s="10"/>
      <c r="AC746" s="10"/>
      <c r="AD746" s="10"/>
      <c r="AE746" s="10"/>
      <c r="AF746" s="10"/>
      <c r="AG746" s="10"/>
      <c r="AH746" s="10"/>
      <c r="AI746" s="10"/>
      <c r="AJ746" s="10"/>
      <c r="AK746" s="10"/>
      <c r="AL746" s="10"/>
      <c r="AM746" s="10"/>
      <c r="AN746" s="10"/>
      <c r="AO746" s="10"/>
      <c r="AR746" s="10"/>
      <c r="AS746" s="10"/>
      <c r="AU746" s="10"/>
      <c r="AV746" s="10"/>
      <c r="AW746" s="143"/>
      <c r="BD746" s="10"/>
      <c r="BE746" s="10"/>
      <c r="BF746" s="10"/>
      <c r="BG746" s="10"/>
      <c r="BH746" s="10"/>
      <c r="BI746" s="10"/>
      <c r="BJ746" s="10"/>
      <c r="BK746" s="10"/>
      <c r="BL746" s="10"/>
      <c r="BN746" s="10"/>
      <c r="BO746" s="10"/>
      <c r="BQ746" s="10"/>
      <c r="BR746" s="10"/>
      <c r="BT746" s="10"/>
      <c r="BV746" s="10"/>
      <c r="BW746" s="10"/>
    </row>
    <row r="747">
      <c r="A747" s="10"/>
      <c r="B747" s="10"/>
      <c r="C747" s="10"/>
      <c r="D747" s="10"/>
      <c r="E747" s="10"/>
      <c r="F747" s="10"/>
      <c r="G747" s="10"/>
      <c r="H747" s="10"/>
      <c r="I747" s="10"/>
      <c r="J747" s="10"/>
      <c r="K747" s="10"/>
      <c r="L747" s="10"/>
      <c r="O747" s="10"/>
      <c r="P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43"/>
      <c r="AZ747" s="10"/>
      <c r="BD747" s="10"/>
      <c r="BE747" s="10"/>
      <c r="BF747" s="10"/>
      <c r="BG747" s="10"/>
      <c r="BH747" s="10"/>
      <c r="BI747" s="10"/>
      <c r="BJ747" s="10"/>
      <c r="BK747" s="10"/>
      <c r="BS747" s="10"/>
      <c r="BT747" s="10"/>
      <c r="BV747" s="10"/>
      <c r="BW747" s="10"/>
    </row>
    <row r="748">
      <c r="A748" s="10"/>
      <c r="B748" s="10"/>
      <c r="C748" s="10"/>
      <c r="D748" s="10"/>
      <c r="E748" s="10"/>
      <c r="F748" s="10"/>
      <c r="G748" s="10"/>
      <c r="H748" s="10"/>
      <c r="I748" s="10"/>
      <c r="K748" s="10"/>
      <c r="L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43"/>
      <c r="AZ748" s="10"/>
      <c r="BD748" s="10"/>
      <c r="BE748" s="10"/>
      <c r="BF748" s="10"/>
      <c r="BG748" s="10"/>
      <c r="BH748" s="10"/>
      <c r="BI748" s="10"/>
      <c r="BJ748" s="10"/>
      <c r="BK748" s="10"/>
      <c r="BL748" s="10"/>
      <c r="BM748" s="10"/>
      <c r="BN748" s="10"/>
      <c r="BO748" s="10"/>
      <c r="BP748" s="10"/>
      <c r="BQ748" s="10"/>
      <c r="BR748" s="10"/>
      <c r="BS748" s="10"/>
      <c r="BT748" s="10"/>
      <c r="BV748" s="10"/>
      <c r="BW748" s="10"/>
    </row>
    <row r="749">
      <c r="A749" s="10"/>
      <c r="B749" s="10"/>
      <c r="C749" s="10"/>
      <c r="D749" s="10"/>
      <c r="E749" s="10"/>
      <c r="F749" s="10"/>
      <c r="G749" s="10"/>
      <c r="H749" s="10"/>
      <c r="I749" s="10"/>
      <c r="J749" s="10"/>
      <c r="K749" s="10"/>
      <c r="L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c r="AU749" s="10"/>
      <c r="AV749" s="10"/>
      <c r="AW749" s="143"/>
      <c r="BD749" s="10"/>
      <c r="BE749" s="10"/>
      <c r="BF749" s="10"/>
      <c r="BG749" s="10"/>
      <c r="BH749" s="10"/>
      <c r="BI749" s="10"/>
      <c r="BJ749" s="10"/>
      <c r="BK749" s="10"/>
      <c r="BS749" s="10"/>
      <c r="BT749" s="10"/>
      <c r="BV749" s="10"/>
      <c r="BW749" s="10"/>
    </row>
    <row r="750">
      <c r="A750" s="10"/>
      <c r="B750" s="10"/>
      <c r="C750" s="10"/>
      <c r="D750" s="10"/>
      <c r="E750" s="10"/>
      <c r="F750" s="10"/>
      <c r="G750" s="10"/>
      <c r="H750" s="10"/>
      <c r="I750" s="10"/>
      <c r="J750" s="10"/>
      <c r="K750" s="10"/>
      <c r="L750" s="10"/>
      <c r="P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U750" s="10"/>
      <c r="AV750" s="10"/>
      <c r="AW750" s="143"/>
      <c r="AZ750" s="10"/>
      <c r="BD750" s="10"/>
      <c r="BE750" s="10"/>
      <c r="BF750" s="10"/>
      <c r="BG750" s="10"/>
      <c r="BH750" s="10"/>
      <c r="BI750" s="10"/>
      <c r="BJ750" s="10"/>
      <c r="BK750" s="10"/>
      <c r="BS750" s="10"/>
      <c r="BT750" s="10"/>
      <c r="BV750" s="10"/>
      <c r="BW750" s="10"/>
    </row>
    <row r="751">
      <c r="A751" s="10"/>
      <c r="B751" s="10"/>
      <c r="C751" s="10"/>
      <c r="D751" s="10"/>
      <c r="E751" s="10"/>
      <c r="F751" s="10"/>
      <c r="G751" s="10"/>
      <c r="H751" s="10"/>
      <c r="I751" s="10"/>
      <c r="J751" s="10"/>
      <c r="K751" s="10"/>
      <c r="L751" s="10"/>
      <c r="P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43"/>
      <c r="AZ751" s="10"/>
      <c r="BD751" s="10"/>
      <c r="BE751" s="10"/>
      <c r="BF751" s="10"/>
      <c r="BG751" s="10"/>
      <c r="BH751" s="10"/>
      <c r="BI751" s="10"/>
      <c r="BJ751" s="10"/>
      <c r="BK751" s="10"/>
      <c r="BS751" s="10"/>
      <c r="BT751" s="10"/>
      <c r="BV751" s="10"/>
      <c r="BW751" s="10"/>
    </row>
    <row r="752">
      <c r="A752" s="10"/>
      <c r="B752" s="10"/>
      <c r="C752" s="10"/>
      <c r="D752" s="10"/>
      <c r="E752" s="10"/>
      <c r="F752" s="10"/>
      <c r="G752" s="10"/>
      <c r="H752" s="10"/>
      <c r="I752" s="10"/>
      <c r="J752" s="10"/>
      <c r="K752" s="10"/>
      <c r="L752" s="10"/>
      <c r="P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43"/>
      <c r="BD752" s="10"/>
      <c r="BE752" s="10"/>
      <c r="BF752" s="10"/>
      <c r="BG752" s="10"/>
      <c r="BH752" s="10"/>
      <c r="BI752" s="10"/>
      <c r="BJ752" s="10"/>
      <c r="BK752" s="10"/>
      <c r="BS752" s="10"/>
      <c r="BT752" s="10"/>
      <c r="BV752" s="10"/>
      <c r="BW752" s="10"/>
    </row>
    <row r="753">
      <c r="A753" s="10"/>
      <c r="B753" s="10"/>
      <c r="C753" s="10"/>
      <c r="D753" s="10"/>
      <c r="E753" s="10"/>
      <c r="F753" s="10"/>
      <c r="G753" s="10"/>
      <c r="H753" s="10"/>
      <c r="I753" s="10"/>
      <c r="J753" s="10"/>
      <c r="K753" s="10"/>
      <c r="L753" s="10"/>
      <c r="P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c r="AU753" s="10"/>
      <c r="AV753" s="10"/>
      <c r="AW753" s="143"/>
      <c r="BD753" s="10"/>
      <c r="BE753" s="10"/>
      <c r="BF753" s="10"/>
      <c r="BG753" s="10"/>
      <c r="BH753" s="10"/>
      <c r="BI753" s="10"/>
      <c r="BJ753" s="10"/>
      <c r="BK753" s="10"/>
      <c r="BS753" s="10"/>
      <c r="BT753" s="10"/>
      <c r="BV753" s="10"/>
      <c r="BW753" s="10"/>
    </row>
    <row r="754">
      <c r="A754" s="10"/>
      <c r="B754" s="10"/>
      <c r="C754" s="10"/>
      <c r="D754" s="10"/>
      <c r="E754" s="10"/>
      <c r="F754" s="10"/>
      <c r="G754" s="10"/>
      <c r="H754" s="10"/>
      <c r="I754" s="10"/>
      <c r="K754" s="10"/>
      <c r="L754" s="10"/>
      <c r="O754" s="10"/>
      <c r="P754" s="10"/>
      <c r="Q754" s="10"/>
      <c r="R754" s="10"/>
      <c r="S754" s="10"/>
      <c r="T754" s="10"/>
      <c r="U754" s="10"/>
      <c r="V754" s="10"/>
      <c r="W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U754" s="10"/>
      <c r="AV754" s="10"/>
      <c r="AW754" s="143"/>
      <c r="BD754" s="10"/>
      <c r="BE754" s="10"/>
      <c r="BF754" s="10"/>
      <c r="BG754" s="10"/>
      <c r="BH754" s="10"/>
      <c r="BI754" s="10"/>
      <c r="BJ754" s="10"/>
      <c r="BK754" s="10"/>
      <c r="BL754" s="10"/>
      <c r="BM754" s="10"/>
      <c r="BN754" s="10"/>
      <c r="BO754" s="10"/>
      <c r="BP754" s="10"/>
      <c r="BQ754" s="10"/>
      <c r="BR754" s="10"/>
      <c r="BS754" s="10"/>
      <c r="BT754" s="10"/>
      <c r="BV754" s="10"/>
      <c r="BW754" s="10"/>
    </row>
    <row r="755">
      <c r="A755" s="10"/>
      <c r="B755" s="10"/>
      <c r="C755" s="10"/>
      <c r="D755" s="10"/>
      <c r="E755" s="10"/>
      <c r="F755" s="10"/>
      <c r="G755" s="10"/>
      <c r="H755" s="10"/>
      <c r="I755" s="10"/>
      <c r="K755" s="10"/>
      <c r="L755" s="10"/>
      <c r="N755" s="10"/>
      <c r="T755" s="10"/>
      <c r="U755" s="10"/>
      <c r="V755" s="10"/>
      <c r="W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U755" s="10"/>
      <c r="AV755" s="10"/>
      <c r="AW755" s="143"/>
      <c r="AZ755" s="10"/>
      <c r="BD755" s="10"/>
      <c r="BE755" s="10"/>
      <c r="BF755" s="10"/>
      <c r="BG755" s="10"/>
      <c r="BH755" s="10"/>
      <c r="BI755" s="10"/>
      <c r="BJ755" s="10"/>
      <c r="BK755" s="10"/>
      <c r="BL755" s="10"/>
      <c r="BM755" s="10"/>
      <c r="BN755" s="10"/>
      <c r="BO755" s="10"/>
      <c r="BP755" s="10"/>
      <c r="BQ755" s="10"/>
      <c r="BR755" s="10"/>
      <c r="BS755" s="10"/>
      <c r="BT755" s="10"/>
      <c r="BV755" s="10"/>
      <c r="BW755" s="10"/>
    </row>
    <row r="756">
      <c r="A756" s="10"/>
      <c r="B756" s="10"/>
      <c r="C756" s="10"/>
      <c r="D756" s="10"/>
      <c r="E756" s="10"/>
      <c r="F756" s="10"/>
      <c r="G756" s="10"/>
      <c r="H756" s="10"/>
      <c r="I756" s="10"/>
      <c r="K756" s="10"/>
      <c r="L756" s="10"/>
      <c r="P756" s="10"/>
      <c r="Q756" s="10"/>
      <c r="R756" s="10"/>
      <c r="T756" s="10"/>
      <c r="U756" s="10"/>
      <c r="V756" s="10"/>
      <c r="W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U756" s="10"/>
      <c r="AV756" s="10"/>
      <c r="AW756" s="143"/>
      <c r="AZ756" s="10"/>
      <c r="BB756" s="10"/>
      <c r="BD756" s="10"/>
      <c r="BE756" s="10"/>
      <c r="BF756" s="10"/>
      <c r="BG756" s="10"/>
      <c r="BH756" s="10"/>
      <c r="BI756" s="10"/>
      <c r="BJ756" s="10"/>
      <c r="BK756" s="10"/>
      <c r="BL756" s="10"/>
      <c r="BM756" s="10"/>
      <c r="BN756" s="10"/>
      <c r="BO756" s="10"/>
      <c r="BP756" s="10"/>
      <c r="BQ756" s="10"/>
      <c r="BR756" s="10"/>
      <c r="BS756" s="10"/>
      <c r="BT756" s="10"/>
      <c r="BV756" s="10"/>
      <c r="BW756" s="10"/>
    </row>
    <row r="757">
      <c r="A757" s="10"/>
      <c r="B757" s="10"/>
      <c r="C757" s="10"/>
      <c r="D757" s="10"/>
      <c r="E757" s="10"/>
      <c r="F757" s="10"/>
      <c r="G757" s="10"/>
      <c r="H757" s="10"/>
      <c r="I757" s="10"/>
      <c r="K757" s="10"/>
      <c r="L757" s="10"/>
      <c r="P757" s="10"/>
      <c r="T757" s="10"/>
      <c r="U757" s="10"/>
      <c r="V757" s="10"/>
      <c r="W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U757" s="10"/>
      <c r="AV757" s="10"/>
      <c r="AW757" s="143"/>
      <c r="BD757" s="10"/>
      <c r="BS757" s="10"/>
      <c r="BT757" s="10"/>
      <c r="BV757" s="10"/>
      <c r="BW757" s="10"/>
    </row>
    <row r="758">
      <c r="A758" s="10"/>
      <c r="B758" s="10"/>
      <c r="C758" s="10"/>
      <c r="D758" s="10"/>
      <c r="E758" s="10"/>
      <c r="F758" s="10"/>
      <c r="G758" s="10"/>
      <c r="H758" s="10"/>
      <c r="I758" s="10"/>
      <c r="K758" s="10"/>
      <c r="L758" s="10"/>
      <c r="O758" s="10"/>
      <c r="P758" s="10"/>
      <c r="T758" s="10"/>
      <c r="U758" s="10"/>
      <c r="V758" s="10"/>
      <c r="W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U758" s="10"/>
      <c r="AV758" s="10"/>
      <c r="AW758" s="143"/>
      <c r="AZ758" s="10"/>
      <c r="BD758" s="10"/>
      <c r="BE758" s="10"/>
      <c r="BF758" s="10"/>
      <c r="BG758" s="10"/>
      <c r="BH758" s="10"/>
      <c r="BI758" s="10"/>
      <c r="BJ758" s="10"/>
      <c r="BK758" s="10"/>
      <c r="BL758" s="10"/>
      <c r="BO758" s="10"/>
      <c r="BR758" s="10"/>
      <c r="BS758" s="10"/>
      <c r="BT758" s="10"/>
      <c r="BV758" s="10"/>
      <c r="BW758" s="10"/>
    </row>
    <row r="759">
      <c r="A759" s="10"/>
      <c r="B759" s="10"/>
      <c r="C759" s="10"/>
      <c r="D759" s="10"/>
      <c r="E759" s="10"/>
      <c r="F759" s="10"/>
      <c r="G759" s="10"/>
      <c r="H759" s="10"/>
      <c r="I759" s="10"/>
      <c r="K759" s="10"/>
      <c r="L759" s="10"/>
      <c r="P759" s="10"/>
      <c r="T759" s="10"/>
      <c r="U759" s="10"/>
      <c r="V759" s="10"/>
      <c r="W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U759" s="10"/>
      <c r="AV759" s="10"/>
      <c r="AW759" s="143"/>
      <c r="BD759" s="10"/>
      <c r="BS759" s="10"/>
      <c r="BT759" s="10"/>
      <c r="BV759" s="10"/>
      <c r="BW759" s="10"/>
    </row>
    <row r="760">
      <c r="A760" s="10"/>
      <c r="B760" s="10"/>
      <c r="C760" s="10"/>
      <c r="D760" s="10"/>
      <c r="E760" s="10"/>
      <c r="F760" s="10"/>
      <c r="G760" s="10"/>
      <c r="H760" s="10"/>
      <c r="I760" s="10"/>
      <c r="K760" s="10"/>
      <c r="L760" s="10"/>
      <c r="P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U760" s="10"/>
      <c r="AV760" s="10"/>
      <c r="AW760" s="143"/>
      <c r="BD760" s="10"/>
      <c r="BT760" s="10"/>
      <c r="BV760" s="10"/>
      <c r="BW760" s="10"/>
    </row>
    <row r="761">
      <c r="A761" s="10"/>
      <c r="B761" s="10"/>
      <c r="C761" s="10"/>
      <c r="D761" s="10"/>
      <c r="E761" s="10"/>
      <c r="F761" s="10"/>
      <c r="G761" s="10"/>
      <c r="H761" s="10"/>
      <c r="I761" s="10"/>
      <c r="K761" s="10"/>
      <c r="L761" s="10"/>
      <c r="P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U761" s="10"/>
      <c r="AV761" s="10"/>
      <c r="AW761" s="143"/>
      <c r="BD761" s="10"/>
      <c r="BS761" s="10"/>
      <c r="BT761" s="10"/>
      <c r="BV761" s="10"/>
      <c r="BW761" s="10"/>
    </row>
    <row r="762">
      <c r="A762" s="10"/>
      <c r="B762" s="10"/>
      <c r="C762" s="10"/>
      <c r="D762" s="10"/>
      <c r="E762" s="10"/>
      <c r="F762" s="10"/>
      <c r="G762" s="10"/>
      <c r="H762" s="10"/>
      <c r="I762" s="10"/>
      <c r="K762" s="10"/>
      <c r="L762" s="10"/>
      <c r="P762" s="10"/>
      <c r="T762" s="10"/>
      <c r="U762" s="10"/>
      <c r="V762" s="10"/>
      <c r="W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U762" s="10"/>
      <c r="AV762" s="10"/>
      <c r="AW762" s="143"/>
      <c r="BD762" s="10"/>
      <c r="BS762" s="10"/>
      <c r="BT762" s="10"/>
      <c r="BV762" s="10"/>
      <c r="BW762" s="10"/>
    </row>
    <row r="763">
      <c r="A763" s="10"/>
      <c r="B763" s="10"/>
      <c r="C763" s="10"/>
      <c r="D763" s="10"/>
      <c r="E763" s="10"/>
      <c r="F763" s="10"/>
      <c r="G763" s="10"/>
      <c r="H763" s="10"/>
      <c r="I763" s="10"/>
      <c r="J763" s="10"/>
      <c r="K763" s="10"/>
      <c r="L763" s="10"/>
      <c r="P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U763" s="10"/>
      <c r="AV763" s="10"/>
      <c r="AW763" s="143"/>
      <c r="BD763" s="10"/>
      <c r="BE763" s="10"/>
      <c r="BF763" s="10"/>
      <c r="BG763" s="10"/>
      <c r="BH763" s="10"/>
      <c r="BI763" s="10"/>
      <c r="BJ763" s="10"/>
      <c r="BK763" s="10"/>
      <c r="BL763" s="10"/>
      <c r="BM763" s="10"/>
      <c r="BN763" s="10"/>
      <c r="BO763" s="10"/>
      <c r="BP763" s="10"/>
      <c r="BQ763" s="10"/>
      <c r="BR763" s="10"/>
      <c r="BS763" s="10"/>
      <c r="BT763" s="10"/>
      <c r="BV763" s="10"/>
      <c r="BW763" s="10"/>
    </row>
    <row r="764">
      <c r="A764" s="10"/>
      <c r="B764" s="10"/>
      <c r="C764" s="10"/>
      <c r="D764" s="10"/>
      <c r="E764" s="10"/>
      <c r="F764" s="10"/>
      <c r="G764" s="10"/>
      <c r="H764" s="10"/>
      <c r="I764" s="10"/>
      <c r="J764" s="10"/>
      <c r="K764" s="10"/>
      <c r="L764" s="10"/>
      <c r="P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U764" s="10"/>
      <c r="AV764" s="10"/>
      <c r="AW764" s="143"/>
      <c r="BD764" s="10"/>
      <c r="BS764" s="10"/>
      <c r="BT764" s="10"/>
      <c r="BV764" s="10"/>
      <c r="BW764" s="10"/>
    </row>
    <row r="765">
      <c r="A765" s="10"/>
      <c r="B765" s="10"/>
      <c r="C765" s="10"/>
      <c r="D765" s="10"/>
      <c r="E765" s="10"/>
      <c r="F765" s="10"/>
      <c r="G765" s="10"/>
      <c r="H765" s="10"/>
      <c r="I765" s="10"/>
      <c r="J765" s="10"/>
      <c r="K765" s="10"/>
      <c r="L765" s="10"/>
      <c r="P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U765" s="10"/>
      <c r="AV765" s="10"/>
      <c r="AW765" s="143"/>
      <c r="BD765" s="10"/>
      <c r="BS765" s="10"/>
      <c r="BT765" s="10"/>
      <c r="BV765" s="10"/>
      <c r="BW765" s="10"/>
    </row>
    <row r="766">
      <c r="A766" s="10"/>
      <c r="B766" s="10"/>
      <c r="C766" s="10"/>
      <c r="D766" s="10"/>
      <c r="E766" s="10"/>
      <c r="F766" s="10"/>
      <c r="G766" s="10"/>
      <c r="H766" s="10"/>
      <c r="I766" s="10"/>
      <c r="J766" s="10"/>
      <c r="K766" s="10"/>
      <c r="L766" s="10"/>
      <c r="P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U766" s="10"/>
      <c r="AV766" s="10"/>
      <c r="AW766" s="143"/>
      <c r="BD766" s="10"/>
      <c r="BS766" s="10"/>
      <c r="BT766" s="10"/>
      <c r="BV766" s="10"/>
      <c r="BW766" s="10"/>
    </row>
    <row r="767">
      <c r="A767" s="10"/>
      <c r="B767" s="10"/>
      <c r="C767" s="10"/>
      <c r="D767" s="10"/>
      <c r="E767" s="10"/>
      <c r="F767" s="10"/>
      <c r="G767" s="10"/>
      <c r="H767" s="10"/>
      <c r="I767" s="10"/>
      <c r="J767" s="10"/>
      <c r="K767" s="10"/>
      <c r="L767" s="10"/>
      <c r="P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U767" s="10"/>
      <c r="AV767" s="10"/>
      <c r="AW767" s="143"/>
      <c r="BD767" s="10"/>
      <c r="BS767" s="10"/>
      <c r="BT767" s="10"/>
      <c r="BV767" s="10"/>
      <c r="BW767" s="10"/>
    </row>
    <row r="768">
      <c r="A768" s="10"/>
      <c r="B768" s="10"/>
      <c r="C768" s="10"/>
      <c r="D768" s="10"/>
      <c r="E768" s="10"/>
      <c r="F768" s="10"/>
      <c r="G768" s="10"/>
      <c r="H768" s="10"/>
      <c r="I768" s="10"/>
      <c r="J768" s="10"/>
      <c r="K768" s="10"/>
      <c r="L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U768" s="10"/>
      <c r="AV768" s="10"/>
      <c r="AW768" s="143"/>
      <c r="BD768" s="10"/>
      <c r="BS768" s="10"/>
      <c r="BT768" s="10"/>
      <c r="BV768" s="10"/>
      <c r="BW768" s="10"/>
    </row>
    <row r="769">
      <c r="A769" s="10"/>
      <c r="B769" s="10"/>
      <c r="C769" s="10"/>
      <c r="D769" s="10"/>
      <c r="E769" s="10"/>
      <c r="F769" s="10"/>
      <c r="G769" s="10"/>
      <c r="H769" s="10"/>
      <c r="I769" s="10"/>
      <c r="J769" s="10"/>
      <c r="K769" s="10"/>
      <c r="L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U769" s="10"/>
      <c r="AV769" s="10"/>
      <c r="AW769" s="143"/>
      <c r="BD769" s="10"/>
      <c r="BS769" s="10"/>
      <c r="BT769" s="10"/>
      <c r="BV769" s="10"/>
      <c r="BW769" s="10"/>
    </row>
    <row r="770">
      <c r="A770" s="10"/>
      <c r="B770" s="10"/>
      <c r="C770" s="10"/>
      <c r="D770" s="10"/>
      <c r="E770" s="10"/>
      <c r="F770" s="10"/>
      <c r="G770" s="10"/>
      <c r="H770" s="10"/>
      <c r="K770" s="10"/>
      <c r="L770" s="10"/>
      <c r="N770" s="10"/>
      <c r="P770" s="10"/>
      <c r="T770" s="10"/>
      <c r="U770" s="10"/>
      <c r="V770" s="10"/>
      <c r="W770" s="10"/>
      <c r="Y770" s="10"/>
      <c r="Z770" s="10"/>
      <c r="AA770" s="10"/>
      <c r="AB770" s="10"/>
      <c r="AC770" s="10"/>
      <c r="AD770" s="10"/>
      <c r="AE770" s="10"/>
      <c r="AF770" s="10"/>
      <c r="AG770" s="10"/>
      <c r="AH770" s="10"/>
      <c r="AI770" s="10"/>
      <c r="AJ770" s="10"/>
      <c r="AK770" s="10"/>
      <c r="AL770" s="10"/>
      <c r="AM770" s="10"/>
      <c r="AN770" s="10"/>
      <c r="AO770" s="10"/>
      <c r="AV770" s="10"/>
      <c r="AW770" s="143"/>
      <c r="BD770" s="10"/>
      <c r="BE770" s="10"/>
      <c r="BF770" s="10"/>
      <c r="BG770" s="10"/>
      <c r="BH770" s="10"/>
      <c r="BI770" s="10"/>
      <c r="BJ770" s="10"/>
      <c r="BK770" s="10"/>
      <c r="BL770" s="10"/>
      <c r="BM770" s="10"/>
      <c r="BN770" s="10"/>
      <c r="BO770" s="10"/>
      <c r="BR770" s="10"/>
      <c r="BS770" s="10"/>
      <c r="BT770" s="10"/>
      <c r="BV770" s="10"/>
      <c r="BW770" s="10"/>
    </row>
    <row r="771">
      <c r="A771" s="10"/>
      <c r="B771" s="10"/>
      <c r="C771" s="10"/>
      <c r="D771" s="10"/>
      <c r="E771" s="10"/>
      <c r="F771" s="10"/>
      <c r="G771" s="10"/>
      <c r="H771" s="10"/>
      <c r="J771" s="10"/>
      <c r="K771" s="10"/>
      <c r="L771" s="10"/>
      <c r="N771" s="10"/>
      <c r="P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W771" s="143"/>
      <c r="AX771" s="10"/>
      <c r="AY771" s="10"/>
      <c r="BD771" s="10"/>
      <c r="BE771" s="10"/>
      <c r="BF771" s="10"/>
      <c r="BG771" s="10"/>
      <c r="BH771" s="10"/>
      <c r="BI771" s="10"/>
      <c r="BJ771" s="10"/>
      <c r="BK771" s="10"/>
      <c r="BS771" s="10"/>
      <c r="BT771" s="10"/>
      <c r="BV771" s="10"/>
      <c r="BW771" s="10"/>
    </row>
    <row r="772">
      <c r="A772" s="10"/>
      <c r="B772" s="10"/>
      <c r="C772" s="10"/>
      <c r="D772" s="10"/>
      <c r="E772" s="10"/>
      <c r="F772" s="10"/>
      <c r="G772" s="10"/>
      <c r="H772" s="10"/>
      <c r="J772" s="10"/>
      <c r="K772" s="10"/>
      <c r="L772" s="10"/>
      <c r="N772" s="10"/>
      <c r="P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S772" s="10"/>
      <c r="AU772" s="10"/>
      <c r="AW772" s="143"/>
      <c r="BD772" s="10"/>
      <c r="BE772" s="10"/>
      <c r="BF772" s="10"/>
      <c r="BG772" s="10"/>
      <c r="BH772" s="10"/>
      <c r="BI772" s="10"/>
      <c r="BJ772" s="10"/>
      <c r="BK772" s="10"/>
      <c r="BL772" s="10"/>
      <c r="BM772" s="10"/>
      <c r="BN772" s="10"/>
      <c r="BO772" s="10"/>
      <c r="BP772" s="10"/>
      <c r="BQ772" s="10"/>
      <c r="BR772" s="10"/>
      <c r="BS772" s="10"/>
      <c r="BT772" s="10"/>
      <c r="BV772" s="10"/>
      <c r="BW772" s="10"/>
    </row>
    <row r="773">
      <c r="A773" s="10"/>
      <c r="B773" s="10"/>
      <c r="C773" s="10"/>
      <c r="D773" s="10"/>
      <c r="E773" s="10"/>
      <c r="F773" s="10"/>
      <c r="G773" s="10"/>
      <c r="H773" s="10"/>
      <c r="K773" s="10"/>
      <c r="L773" s="10"/>
      <c r="T773" s="10"/>
      <c r="U773" s="10"/>
      <c r="V773" s="10"/>
      <c r="W773" s="10"/>
      <c r="Y773" s="10"/>
      <c r="Z773" s="10"/>
      <c r="AA773" s="10"/>
      <c r="AB773" s="10"/>
      <c r="AC773" s="10"/>
      <c r="AD773" s="10"/>
      <c r="AE773" s="10"/>
      <c r="AF773" s="10"/>
      <c r="AG773" s="10"/>
      <c r="AH773" s="10"/>
      <c r="AI773" s="10"/>
      <c r="AJ773" s="10"/>
      <c r="AL773" s="10"/>
      <c r="AM773" s="10"/>
      <c r="AO773" s="10"/>
      <c r="AW773" s="143"/>
      <c r="BD773" s="10"/>
      <c r="BE773" s="10"/>
      <c r="BF773" s="10"/>
      <c r="BG773" s="10"/>
      <c r="BH773" s="10"/>
      <c r="BI773" s="10"/>
      <c r="BJ773" s="10"/>
      <c r="BK773" s="10"/>
      <c r="BS773" s="10"/>
      <c r="BT773" s="10"/>
      <c r="BV773" s="10"/>
      <c r="BW773" s="10"/>
    </row>
    <row r="774">
      <c r="A774" s="10"/>
      <c r="B774" s="10"/>
      <c r="C774" s="10"/>
      <c r="D774" s="10"/>
      <c r="E774" s="10"/>
      <c r="F774" s="10"/>
      <c r="G774" s="10"/>
      <c r="H774" s="10"/>
      <c r="I774" s="10"/>
      <c r="K774" s="10"/>
      <c r="L774" s="10"/>
      <c r="N774" s="10"/>
      <c r="P774" s="10"/>
      <c r="T774" s="10"/>
      <c r="U774" s="10"/>
      <c r="V774" s="10"/>
      <c r="W774" s="10"/>
      <c r="Y774" s="10"/>
      <c r="Z774" s="10"/>
      <c r="AA774" s="10"/>
      <c r="AB774" s="10"/>
      <c r="AC774" s="10"/>
      <c r="AD774" s="10"/>
      <c r="AE774" s="10"/>
      <c r="AF774" s="10"/>
      <c r="AG774" s="10"/>
      <c r="AH774" s="10"/>
      <c r="AI774" s="10"/>
      <c r="AJ774" s="10"/>
      <c r="AL774" s="10"/>
      <c r="AM774" s="10"/>
      <c r="AN774" s="10"/>
      <c r="AO774" s="10"/>
      <c r="AW774" s="143"/>
      <c r="BD774" s="10"/>
      <c r="BE774" s="10"/>
      <c r="BF774" s="10"/>
      <c r="BG774" s="10"/>
      <c r="BH774" s="10"/>
      <c r="BI774" s="10"/>
      <c r="BJ774" s="10"/>
      <c r="BK774" s="10"/>
      <c r="BS774" s="10"/>
      <c r="BT774" s="10"/>
      <c r="BV774" s="10"/>
      <c r="BW774" s="10"/>
    </row>
    <row r="775">
      <c r="A775" s="10"/>
      <c r="B775" s="10"/>
      <c r="C775" s="10"/>
      <c r="D775" s="10"/>
      <c r="E775" s="10"/>
      <c r="F775" s="10"/>
      <c r="G775" s="10"/>
      <c r="H775" s="10"/>
      <c r="I775" s="10"/>
      <c r="J775" s="10"/>
      <c r="K775" s="10"/>
      <c r="L775" s="10"/>
      <c r="N775" s="10"/>
      <c r="P775" s="10"/>
      <c r="T775" s="10"/>
      <c r="U775" s="10"/>
      <c r="V775" s="10"/>
      <c r="W775" s="10"/>
      <c r="Y775" s="10"/>
      <c r="Z775" s="10"/>
      <c r="AA775" s="10"/>
      <c r="AB775" s="10"/>
      <c r="AC775" s="10"/>
      <c r="AD775" s="10"/>
      <c r="AE775" s="10"/>
      <c r="AF775" s="10"/>
      <c r="AG775" s="10"/>
      <c r="AH775" s="10"/>
      <c r="AI775" s="10"/>
      <c r="AJ775" s="10"/>
      <c r="AL775" s="10"/>
      <c r="AM775" s="10"/>
      <c r="AN775" s="10"/>
      <c r="AO775" s="10"/>
      <c r="AW775" s="143"/>
      <c r="BD775" s="10"/>
      <c r="BE775" s="10"/>
      <c r="BF775" s="10"/>
      <c r="BG775" s="10"/>
      <c r="BH775" s="10"/>
      <c r="BI775" s="10"/>
      <c r="BJ775" s="10"/>
      <c r="BK775" s="10"/>
      <c r="BS775" s="10"/>
      <c r="BT775" s="10"/>
      <c r="BV775" s="10"/>
      <c r="BW775" s="10"/>
    </row>
    <row r="776">
      <c r="A776" s="10"/>
      <c r="B776" s="10"/>
      <c r="C776" s="10"/>
      <c r="D776" s="10"/>
      <c r="E776" s="10"/>
      <c r="F776" s="10"/>
      <c r="G776" s="10"/>
      <c r="H776" s="10"/>
      <c r="I776" s="10"/>
      <c r="K776" s="10"/>
      <c r="L776" s="10"/>
      <c r="P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U776" s="10"/>
      <c r="AV776" s="10"/>
      <c r="AW776" s="143"/>
      <c r="BD776" s="10"/>
      <c r="BE776" s="10"/>
      <c r="BF776" s="10"/>
      <c r="BG776" s="10"/>
      <c r="BH776" s="10"/>
      <c r="BI776" s="10"/>
      <c r="BJ776" s="10"/>
      <c r="BK776" s="10"/>
      <c r="BS776" s="10"/>
      <c r="BT776" s="10"/>
      <c r="BV776" s="10"/>
      <c r="BW776" s="10"/>
    </row>
    <row r="777">
      <c r="A777" s="10"/>
      <c r="B777" s="10"/>
      <c r="C777" s="10"/>
      <c r="D777" s="10"/>
      <c r="E777" s="10"/>
      <c r="F777" s="10"/>
      <c r="G777" s="10"/>
      <c r="H777" s="10"/>
      <c r="I777" s="10"/>
      <c r="K777" s="10"/>
      <c r="L777" s="10"/>
      <c r="P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U777" s="10"/>
      <c r="AV777" s="10"/>
      <c r="AW777" s="143"/>
      <c r="BD777" s="10"/>
      <c r="BE777" s="10"/>
      <c r="BF777" s="10"/>
      <c r="BG777" s="10"/>
      <c r="BH777" s="10"/>
      <c r="BI777" s="10"/>
      <c r="BJ777" s="10"/>
      <c r="BK777" s="10"/>
      <c r="BL777" s="10"/>
      <c r="BO777" s="10"/>
      <c r="BR777" s="10"/>
      <c r="BS777" s="10"/>
      <c r="BT777" s="10"/>
      <c r="BV777" s="10"/>
      <c r="BW777" s="10"/>
    </row>
    <row r="778">
      <c r="A778" s="10"/>
      <c r="B778" s="10"/>
      <c r="C778" s="10"/>
      <c r="D778" s="10"/>
      <c r="E778" s="10"/>
      <c r="F778" s="10"/>
      <c r="G778" s="10"/>
      <c r="H778" s="10"/>
      <c r="I778" s="10"/>
      <c r="K778" s="10"/>
      <c r="L778" s="10"/>
      <c r="P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U778" s="10"/>
      <c r="AV778" s="10"/>
      <c r="AW778" s="143"/>
      <c r="AZ778" s="10"/>
      <c r="BD778" s="10"/>
      <c r="BE778" s="10"/>
      <c r="BF778" s="10"/>
      <c r="BG778" s="10"/>
      <c r="BH778" s="10"/>
      <c r="BI778" s="10"/>
      <c r="BJ778" s="10"/>
      <c r="BK778" s="10"/>
      <c r="BS778" s="10"/>
      <c r="BT778" s="10"/>
      <c r="BV778" s="10"/>
      <c r="BW778" s="10"/>
    </row>
    <row r="779">
      <c r="A779" s="10"/>
      <c r="B779" s="10"/>
      <c r="C779" s="10"/>
      <c r="D779" s="10"/>
      <c r="E779" s="10"/>
      <c r="F779" s="10"/>
      <c r="G779" s="10"/>
      <c r="H779" s="10"/>
      <c r="K779" s="10"/>
      <c r="L779" s="10"/>
      <c r="Q779" s="10"/>
      <c r="R779" s="10"/>
      <c r="T779" s="10"/>
      <c r="U779" s="10"/>
      <c r="V779" s="10"/>
      <c r="W779" s="10"/>
      <c r="Y779" s="10"/>
      <c r="Z779" s="10"/>
      <c r="AA779" s="10"/>
      <c r="AB779" s="10"/>
      <c r="AC779" s="10"/>
      <c r="AD779" s="10"/>
      <c r="AE779" s="10"/>
      <c r="AF779" s="10"/>
      <c r="AG779" s="10"/>
      <c r="AH779" s="10"/>
      <c r="AI779" s="10"/>
      <c r="AJ779" s="10"/>
      <c r="AK779" s="10"/>
      <c r="AL779" s="10"/>
      <c r="AM779" s="10"/>
      <c r="AN779" s="10"/>
      <c r="AO779" s="10"/>
      <c r="AW779" s="143"/>
      <c r="BD779" s="10"/>
      <c r="BE779" s="10"/>
      <c r="BF779" s="10"/>
      <c r="BG779" s="10"/>
      <c r="BH779" s="10"/>
      <c r="BI779" s="10"/>
      <c r="BJ779" s="10"/>
      <c r="BK779" s="10"/>
      <c r="BL779" s="10"/>
      <c r="BM779" s="10"/>
      <c r="BN779" s="10"/>
      <c r="BO779" s="10"/>
      <c r="BP779" s="10"/>
      <c r="BQ779" s="10"/>
      <c r="BR779" s="10"/>
      <c r="BS779" s="10"/>
      <c r="BT779" s="10"/>
      <c r="BV779" s="10"/>
      <c r="BW779" s="10"/>
    </row>
    <row r="780">
      <c r="A780" s="10"/>
      <c r="B780" s="10"/>
      <c r="C780" s="10"/>
      <c r="D780" s="10"/>
      <c r="E780" s="10"/>
      <c r="F780" s="10"/>
      <c r="G780" s="10"/>
      <c r="H780" s="10"/>
      <c r="K780" s="10"/>
      <c r="L780" s="10"/>
      <c r="T780" s="10"/>
      <c r="U780" s="10"/>
      <c r="V780" s="10"/>
      <c r="W780" s="10"/>
      <c r="Y780" s="10"/>
      <c r="Z780" s="10"/>
      <c r="AA780" s="10"/>
      <c r="AB780" s="10"/>
      <c r="AC780" s="10"/>
      <c r="AD780" s="10"/>
      <c r="AE780" s="10"/>
      <c r="AF780" s="10"/>
      <c r="AG780" s="10"/>
      <c r="AH780" s="10"/>
      <c r="AI780" s="10"/>
      <c r="AJ780" s="10"/>
      <c r="AK780" s="10"/>
      <c r="AL780" s="10"/>
      <c r="AM780" s="10"/>
      <c r="AN780" s="10"/>
      <c r="AO780" s="10"/>
      <c r="AW780" s="143"/>
      <c r="BD780" s="10"/>
      <c r="BE780" s="10"/>
      <c r="BF780" s="10"/>
      <c r="BG780" s="10"/>
      <c r="BH780" s="10"/>
      <c r="BI780" s="10"/>
      <c r="BJ780" s="10"/>
      <c r="BK780" s="10"/>
      <c r="BS780" s="10"/>
      <c r="BT780" s="10"/>
      <c r="BV780" s="10"/>
      <c r="BW780" s="10"/>
    </row>
    <row r="781">
      <c r="A781" s="10"/>
      <c r="B781" s="10"/>
      <c r="C781" s="10"/>
      <c r="D781" s="10"/>
      <c r="E781" s="10"/>
      <c r="F781" s="10"/>
      <c r="G781" s="10"/>
      <c r="H781" s="10"/>
      <c r="K781" s="10"/>
      <c r="L781" s="10"/>
      <c r="T781" s="10"/>
      <c r="U781" s="10"/>
      <c r="V781" s="10"/>
      <c r="W781" s="10"/>
      <c r="Y781" s="10"/>
      <c r="Z781" s="10"/>
      <c r="AA781" s="10"/>
      <c r="AB781" s="10"/>
      <c r="AC781" s="10"/>
      <c r="AD781" s="10"/>
      <c r="AE781" s="10"/>
      <c r="AF781" s="10"/>
      <c r="AG781" s="10"/>
      <c r="AH781" s="10"/>
      <c r="AI781" s="10"/>
      <c r="AJ781" s="10"/>
      <c r="AK781" s="10"/>
      <c r="AL781" s="10"/>
      <c r="AM781" s="10"/>
      <c r="AN781" s="10"/>
      <c r="AO781" s="10"/>
      <c r="AW781" s="143"/>
      <c r="BD781" s="10"/>
      <c r="BE781" s="10"/>
      <c r="BF781" s="10"/>
      <c r="BG781" s="10"/>
      <c r="BH781" s="10"/>
      <c r="BI781" s="10"/>
      <c r="BJ781" s="10"/>
      <c r="BK781" s="10"/>
      <c r="BS781" s="10"/>
      <c r="BT781" s="10"/>
      <c r="BV781" s="10"/>
      <c r="BW781" s="10"/>
    </row>
    <row r="782">
      <c r="A782" s="10"/>
      <c r="B782" s="10"/>
      <c r="C782" s="10"/>
      <c r="D782" s="10"/>
      <c r="E782" s="10"/>
      <c r="F782" s="10"/>
      <c r="G782" s="10"/>
      <c r="H782" s="10"/>
      <c r="K782" s="10"/>
      <c r="L782" s="10"/>
      <c r="T782" s="10"/>
      <c r="U782" s="10"/>
      <c r="V782" s="10"/>
      <c r="W782" s="10"/>
      <c r="Y782" s="10"/>
      <c r="Z782" s="10"/>
      <c r="AA782" s="10"/>
      <c r="AB782" s="10"/>
      <c r="AC782" s="10"/>
      <c r="AD782" s="10"/>
      <c r="AE782" s="10"/>
      <c r="AF782" s="10"/>
      <c r="AG782" s="10"/>
      <c r="AH782" s="10"/>
      <c r="AI782" s="10"/>
      <c r="AJ782" s="10"/>
      <c r="AK782" s="10"/>
      <c r="AL782" s="10"/>
      <c r="AM782" s="10"/>
      <c r="AN782" s="10"/>
      <c r="AO782" s="10"/>
      <c r="AW782" s="143"/>
      <c r="BD782" s="10"/>
      <c r="BE782" s="10"/>
      <c r="BF782" s="10"/>
      <c r="BG782" s="10"/>
      <c r="BH782" s="10"/>
      <c r="BI782" s="10"/>
      <c r="BJ782" s="10"/>
      <c r="BK782" s="10"/>
      <c r="BS782" s="10"/>
      <c r="BT782" s="10"/>
      <c r="BV782" s="10"/>
      <c r="BW782" s="10"/>
    </row>
    <row r="783">
      <c r="A783" s="10"/>
      <c r="B783" s="10"/>
      <c r="C783" s="10"/>
      <c r="D783" s="10"/>
      <c r="E783" s="10"/>
      <c r="F783" s="10"/>
      <c r="G783" s="10"/>
      <c r="H783" s="10"/>
      <c r="J783" s="10"/>
      <c r="K783" s="10"/>
      <c r="L783" s="10"/>
      <c r="P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W783" s="244"/>
      <c r="AZ783" s="10"/>
      <c r="BD783" s="10"/>
      <c r="BE783" s="10"/>
      <c r="BF783" s="10"/>
      <c r="BG783" s="10"/>
      <c r="BH783" s="10"/>
      <c r="BI783" s="10"/>
      <c r="BJ783" s="10"/>
      <c r="BK783" s="10"/>
      <c r="BS783" s="10"/>
      <c r="BT783" s="10"/>
      <c r="BV783" s="10"/>
      <c r="BW783" s="10"/>
    </row>
    <row r="784">
      <c r="A784" s="10"/>
      <c r="B784" s="10"/>
      <c r="C784" s="10"/>
      <c r="D784" s="10"/>
      <c r="E784" s="10"/>
      <c r="F784" s="10"/>
      <c r="G784" s="10"/>
      <c r="H784" s="10"/>
      <c r="K784" s="10"/>
      <c r="L784" s="10"/>
      <c r="P784" s="10"/>
      <c r="Q784" s="10"/>
      <c r="R784" s="10"/>
      <c r="T784" s="10"/>
      <c r="U784" s="10"/>
      <c r="V784" s="10"/>
      <c r="W784" s="10"/>
      <c r="Y784" s="10"/>
      <c r="Z784" s="10"/>
      <c r="AA784" s="10"/>
      <c r="AB784" s="10"/>
      <c r="AC784" s="10"/>
      <c r="AD784" s="10"/>
      <c r="AE784" s="10"/>
      <c r="AF784" s="10"/>
      <c r="AG784" s="10"/>
      <c r="AH784" s="10"/>
      <c r="AI784" s="10"/>
      <c r="AJ784" s="10"/>
      <c r="AK784" s="10"/>
      <c r="AL784" s="10"/>
      <c r="AM784" s="10"/>
      <c r="AN784" s="10"/>
      <c r="AO784" s="10"/>
      <c r="AW784" s="143"/>
      <c r="BD784" s="10"/>
      <c r="BE784" s="10"/>
      <c r="BF784" s="10"/>
      <c r="BG784" s="10"/>
      <c r="BH784" s="10"/>
      <c r="BI784" s="10"/>
      <c r="BJ784" s="10"/>
      <c r="BK784" s="10"/>
      <c r="BL784" s="10"/>
      <c r="BM784" s="10"/>
      <c r="BN784" s="10"/>
      <c r="BO784" s="10"/>
      <c r="BP784" s="10"/>
      <c r="BQ784" s="10"/>
      <c r="BR784" s="10"/>
      <c r="BS784" s="10"/>
      <c r="BT784" s="10"/>
      <c r="BV784" s="10"/>
      <c r="BW784" s="10"/>
    </row>
    <row r="785">
      <c r="A785" s="10"/>
      <c r="B785" s="10"/>
      <c r="C785" s="10"/>
      <c r="D785" s="10"/>
      <c r="E785" s="10"/>
      <c r="F785" s="10"/>
      <c r="G785" s="10"/>
      <c r="H785" s="10"/>
      <c r="K785" s="10"/>
      <c r="L785" s="10"/>
      <c r="N785" s="10"/>
      <c r="T785" s="10"/>
      <c r="U785" s="10"/>
      <c r="V785" s="10"/>
      <c r="W785" s="10"/>
      <c r="Y785" s="10"/>
      <c r="Z785" s="10"/>
      <c r="AA785" s="10"/>
      <c r="AB785" s="10"/>
      <c r="AC785" s="10"/>
      <c r="AD785" s="10"/>
      <c r="AE785" s="10"/>
      <c r="AF785" s="10"/>
      <c r="AG785" s="10"/>
      <c r="AH785" s="10"/>
      <c r="AI785" s="10"/>
      <c r="AJ785" s="10"/>
      <c r="AK785" s="10"/>
      <c r="AL785" s="10"/>
      <c r="AM785" s="10"/>
      <c r="AN785" s="10"/>
      <c r="AO785" s="10"/>
      <c r="AW785" s="143"/>
      <c r="BD785" s="10"/>
      <c r="BS785" s="10"/>
      <c r="BT785" s="10"/>
      <c r="BV785" s="10"/>
      <c r="BW785" s="10"/>
    </row>
    <row r="786">
      <c r="A786" s="10"/>
      <c r="B786" s="10"/>
      <c r="C786" s="10"/>
      <c r="D786" s="10"/>
      <c r="E786" s="10"/>
      <c r="F786" s="10"/>
      <c r="G786" s="10"/>
      <c r="H786" s="10"/>
      <c r="K786" s="10"/>
      <c r="L786" s="10"/>
      <c r="N786" s="10"/>
      <c r="P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W786" s="244"/>
      <c r="BD786" s="10"/>
      <c r="BS786" s="10"/>
      <c r="BT786" s="10"/>
      <c r="BV786" s="10"/>
      <c r="BW786" s="10"/>
    </row>
    <row r="787">
      <c r="A787" s="10"/>
      <c r="B787" s="10"/>
      <c r="C787" s="10"/>
      <c r="D787" s="10"/>
      <c r="E787" s="10"/>
      <c r="F787" s="10"/>
      <c r="G787" s="10"/>
      <c r="H787" s="10"/>
      <c r="J787" s="10"/>
      <c r="K787" s="10"/>
      <c r="L787" s="10"/>
      <c r="P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W787" s="143"/>
      <c r="BT787" s="10"/>
      <c r="BW787" s="10"/>
    </row>
    <row r="788">
      <c r="A788" s="10"/>
      <c r="B788" s="10"/>
      <c r="C788" s="10"/>
      <c r="D788" s="10"/>
      <c r="E788" s="10"/>
      <c r="F788" s="10"/>
      <c r="G788" s="10"/>
      <c r="H788" s="10"/>
      <c r="J788" s="10"/>
      <c r="K788" s="10"/>
      <c r="L788" s="10"/>
      <c r="P788" s="10"/>
      <c r="T788" s="10"/>
      <c r="U788" s="10"/>
      <c r="V788" s="10"/>
      <c r="W788" s="10"/>
      <c r="Y788" s="10"/>
      <c r="Z788" s="10"/>
      <c r="AA788" s="10"/>
      <c r="AB788" s="10"/>
      <c r="AC788" s="10"/>
      <c r="AD788" s="10"/>
      <c r="AE788" s="10"/>
      <c r="AF788" s="10"/>
      <c r="AG788" s="10"/>
      <c r="AH788" s="10"/>
      <c r="AI788" s="10"/>
      <c r="AJ788" s="10"/>
      <c r="AK788" s="10"/>
      <c r="AL788" s="10"/>
      <c r="AM788" s="10"/>
      <c r="AN788" s="10"/>
      <c r="AO788" s="10"/>
      <c r="AW788" s="143"/>
      <c r="BD788" s="10"/>
      <c r="BL788" s="10"/>
      <c r="BO788" s="10"/>
      <c r="BR788" s="10"/>
      <c r="BS788" s="10"/>
      <c r="BT788" s="10"/>
      <c r="BW788" s="10"/>
    </row>
    <row r="789">
      <c r="A789" s="10"/>
      <c r="B789" s="10"/>
      <c r="C789" s="10"/>
      <c r="D789" s="10"/>
      <c r="E789" s="10"/>
      <c r="F789" s="10"/>
      <c r="G789" s="10"/>
      <c r="H789" s="10"/>
      <c r="T789" s="10"/>
      <c r="U789" s="10"/>
      <c r="V789" s="10"/>
      <c r="W789" s="10"/>
      <c r="Y789" s="10"/>
      <c r="Z789" s="10"/>
      <c r="AA789" s="10"/>
      <c r="AB789" s="10"/>
      <c r="AC789" s="10"/>
      <c r="AD789" s="10"/>
      <c r="AE789" s="10"/>
      <c r="AF789" s="10"/>
      <c r="AG789" s="10"/>
      <c r="AH789" s="10"/>
      <c r="AI789" s="10"/>
      <c r="AJ789" s="10"/>
      <c r="AK789" s="10"/>
      <c r="AL789" s="10"/>
      <c r="AM789" s="10"/>
      <c r="AN789" s="10"/>
      <c r="AO789" s="10"/>
      <c r="AW789" s="143"/>
      <c r="BE789" s="10"/>
      <c r="BF789" s="10"/>
      <c r="BG789" s="10"/>
      <c r="BH789" s="10"/>
      <c r="BI789" s="10"/>
      <c r="BJ789" s="10"/>
      <c r="BK789" s="10"/>
      <c r="BS789" s="10"/>
      <c r="BT789" s="10"/>
      <c r="BW789" s="10"/>
    </row>
    <row r="790">
      <c r="A790" s="10"/>
      <c r="B790" s="10"/>
      <c r="C790" s="10"/>
      <c r="D790" s="10"/>
      <c r="E790" s="10"/>
      <c r="F790" s="10"/>
      <c r="G790" s="10"/>
      <c r="H790" s="10"/>
      <c r="J790" s="10"/>
      <c r="N790" s="10"/>
      <c r="P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W790" s="143"/>
      <c r="BE790" s="10"/>
      <c r="BF790" s="10"/>
      <c r="BG790" s="10"/>
      <c r="BH790" s="10"/>
      <c r="BI790" s="10"/>
      <c r="BJ790" s="10"/>
      <c r="BK790" s="10"/>
      <c r="BN790" s="10"/>
      <c r="BQ790" s="10"/>
      <c r="BT790" s="10"/>
      <c r="BW790" s="10"/>
    </row>
    <row r="791">
      <c r="A791" s="10"/>
      <c r="B791" s="10"/>
      <c r="C791" s="10"/>
      <c r="D791" s="10"/>
      <c r="E791" s="10"/>
      <c r="F791" s="10"/>
      <c r="G791" s="10"/>
      <c r="H791" s="10"/>
      <c r="J791" s="10"/>
      <c r="N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W791" s="143"/>
      <c r="AX791" s="10"/>
      <c r="AY791" s="10"/>
      <c r="BE791" s="10"/>
      <c r="BF791" s="10"/>
      <c r="BG791" s="10"/>
      <c r="BH791" s="10"/>
      <c r="BI791" s="10"/>
      <c r="BJ791" s="10"/>
      <c r="BK791" s="10"/>
      <c r="BS791" s="10"/>
      <c r="BT791" s="10"/>
      <c r="BW791" s="10"/>
    </row>
    <row r="792">
      <c r="A792" s="10"/>
      <c r="B792" s="10"/>
      <c r="C792" s="10"/>
      <c r="D792" s="10"/>
      <c r="E792" s="10"/>
      <c r="F792" s="10"/>
      <c r="G792" s="10"/>
      <c r="H792" s="10"/>
      <c r="J792" s="10"/>
      <c r="K792" s="10"/>
      <c r="L792" s="10"/>
      <c r="P792" s="10"/>
      <c r="Q792" s="10"/>
      <c r="R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W792" s="143"/>
      <c r="BD792" s="10"/>
      <c r="BE792" s="10"/>
      <c r="BF792" s="10"/>
      <c r="BG792" s="10"/>
      <c r="BH792" s="10"/>
      <c r="BI792" s="10"/>
      <c r="BJ792" s="10"/>
      <c r="BK792" s="10"/>
      <c r="BL792" s="10"/>
      <c r="BM792" s="10"/>
      <c r="BN792" s="10"/>
      <c r="BO792" s="10"/>
      <c r="BP792" s="10"/>
      <c r="BQ792" s="10"/>
      <c r="BR792" s="10"/>
      <c r="BS792" s="10"/>
      <c r="BT792" s="10"/>
      <c r="BV792" s="10"/>
      <c r="BW792" s="10"/>
    </row>
    <row r="793">
      <c r="A793" s="10"/>
      <c r="B793" s="10"/>
      <c r="C793" s="10"/>
      <c r="D793" s="10"/>
      <c r="E793" s="10"/>
      <c r="F793" s="10"/>
      <c r="G793" s="10"/>
      <c r="H793" s="10"/>
      <c r="J793" s="10"/>
      <c r="K793" s="10"/>
      <c r="L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W793" s="143"/>
      <c r="BD793" s="10"/>
      <c r="BE793" s="10"/>
      <c r="BF793" s="10"/>
      <c r="BG793" s="10"/>
      <c r="BH793" s="10"/>
      <c r="BI793" s="10"/>
      <c r="BJ793" s="10"/>
      <c r="BK793" s="10"/>
      <c r="BS793" s="10"/>
      <c r="BT793" s="10"/>
      <c r="BV793" s="10"/>
      <c r="BW793" s="10"/>
    </row>
    <row r="794">
      <c r="A794" s="10"/>
      <c r="B794" s="10"/>
      <c r="C794" s="10"/>
      <c r="D794" s="10"/>
      <c r="E794" s="10"/>
      <c r="F794" s="10"/>
      <c r="G794" s="10"/>
      <c r="H794" s="10"/>
      <c r="J794" s="10"/>
      <c r="K794" s="10"/>
      <c r="L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W794" s="143"/>
      <c r="BD794" s="10"/>
      <c r="BE794" s="10"/>
      <c r="BF794" s="10"/>
      <c r="BG794" s="10"/>
      <c r="BH794" s="10"/>
      <c r="BI794" s="10"/>
      <c r="BJ794" s="10"/>
      <c r="BK794" s="10"/>
      <c r="BS794" s="10"/>
      <c r="BT794" s="10"/>
      <c r="BV794" s="10"/>
      <c r="BW794" s="10"/>
    </row>
    <row r="795">
      <c r="A795" s="10"/>
      <c r="B795" s="10"/>
      <c r="C795" s="10"/>
      <c r="D795" s="10"/>
      <c r="E795" s="10"/>
      <c r="F795" s="10"/>
      <c r="G795" s="10"/>
      <c r="H795" s="10"/>
      <c r="J795" s="10"/>
      <c r="K795" s="10"/>
      <c r="L795" s="10"/>
      <c r="N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W795" s="143"/>
      <c r="BD795" s="10"/>
      <c r="BE795" s="10"/>
      <c r="BF795" s="10"/>
      <c r="BG795" s="10"/>
      <c r="BH795" s="10"/>
      <c r="BI795" s="10"/>
      <c r="BJ795" s="10"/>
      <c r="BK795" s="10"/>
      <c r="BS795" s="10"/>
      <c r="BT795" s="10"/>
      <c r="BV795" s="10"/>
      <c r="BW795" s="10"/>
    </row>
    <row r="796">
      <c r="A796" s="10"/>
      <c r="B796" s="10"/>
      <c r="C796" s="10"/>
      <c r="D796" s="10"/>
      <c r="E796" s="10"/>
      <c r="F796" s="10"/>
      <c r="G796" s="10"/>
      <c r="H796" s="10"/>
      <c r="J796" s="10"/>
      <c r="K796" s="10"/>
      <c r="L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W796" s="143"/>
      <c r="AX796" s="10"/>
      <c r="AY796" s="10"/>
      <c r="BD796" s="10"/>
      <c r="BE796" s="10"/>
      <c r="BF796" s="10"/>
      <c r="BG796" s="10"/>
      <c r="BH796" s="10"/>
      <c r="BI796" s="10"/>
      <c r="BJ796" s="10"/>
      <c r="BK796" s="10"/>
      <c r="BS796" s="10"/>
      <c r="BT796" s="10"/>
      <c r="BV796" s="10"/>
      <c r="BW796" s="10"/>
    </row>
    <row r="797">
      <c r="A797" s="10"/>
      <c r="B797" s="10"/>
      <c r="C797" s="10"/>
      <c r="D797" s="10"/>
      <c r="E797" s="10"/>
      <c r="F797" s="10"/>
      <c r="G797" s="10"/>
      <c r="H797" s="10"/>
      <c r="I797" s="10"/>
      <c r="J797" s="10"/>
      <c r="N797" s="10"/>
      <c r="P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W797" s="143"/>
      <c r="BS797" s="10"/>
      <c r="BT797" s="10"/>
      <c r="BW797" s="10"/>
    </row>
    <row r="798">
      <c r="A798" s="10"/>
      <c r="B798" s="10"/>
      <c r="C798" s="10"/>
      <c r="D798" s="10"/>
      <c r="E798" s="10"/>
      <c r="F798" s="10"/>
      <c r="G798" s="10"/>
      <c r="H798" s="10"/>
      <c r="I798" s="10"/>
      <c r="J798" s="10"/>
      <c r="N798" s="10"/>
      <c r="P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c r="AW798" s="143"/>
      <c r="BS798" s="10"/>
      <c r="BT798" s="10"/>
      <c r="BW798" s="10"/>
    </row>
    <row r="799">
      <c r="A799" s="10"/>
      <c r="B799" s="10"/>
      <c r="C799" s="10"/>
      <c r="D799" s="10"/>
      <c r="E799" s="10"/>
      <c r="F799" s="10"/>
      <c r="G799" s="10"/>
      <c r="H799" s="10"/>
      <c r="I799" s="10"/>
      <c r="N799" s="10"/>
      <c r="P799" s="10"/>
      <c r="T799" s="10"/>
      <c r="U799" s="10"/>
      <c r="V799" s="10"/>
      <c r="W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U799" s="10"/>
      <c r="AW799" s="143"/>
      <c r="BS799" s="10"/>
      <c r="BT799" s="10"/>
      <c r="BW799" s="10"/>
    </row>
    <row r="800">
      <c r="A800" s="10"/>
      <c r="B800" s="10"/>
      <c r="C800" s="10"/>
      <c r="D800" s="10"/>
      <c r="E800" s="10"/>
      <c r="F800" s="10"/>
      <c r="G800" s="10"/>
      <c r="H800" s="10"/>
      <c r="I800" s="10"/>
      <c r="N800" s="10"/>
      <c r="P800" s="10"/>
      <c r="T800" s="10"/>
      <c r="U800" s="10"/>
      <c r="V800" s="10"/>
      <c r="W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U800" s="10"/>
      <c r="AW800" s="143"/>
      <c r="BS800" s="10"/>
      <c r="BT800" s="10"/>
      <c r="BW800" s="10"/>
    </row>
    <row r="801">
      <c r="A801" s="10"/>
      <c r="B801" s="10"/>
      <c r="C801" s="10"/>
      <c r="D801" s="10"/>
      <c r="E801" s="10"/>
      <c r="F801" s="10"/>
      <c r="G801" s="10"/>
      <c r="H801" s="10"/>
      <c r="I801" s="10"/>
      <c r="K801" s="10"/>
      <c r="L801" s="10"/>
      <c r="N801" s="10"/>
      <c r="P801" s="10"/>
      <c r="T801" s="10"/>
      <c r="U801" s="10"/>
      <c r="V801" s="10"/>
      <c r="W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W801" s="143"/>
      <c r="BD801" s="10"/>
      <c r="BL801" s="10"/>
      <c r="BO801" s="10"/>
      <c r="BR801" s="10"/>
      <c r="BS801" s="10"/>
      <c r="BT801" s="10"/>
      <c r="BW801" s="10"/>
    </row>
    <row r="802">
      <c r="A802" s="10"/>
      <c r="B802" s="10"/>
      <c r="C802" s="10"/>
      <c r="D802" s="10"/>
      <c r="E802" s="10"/>
      <c r="F802" s="10"/>
      <c r="G802" s="10"/>
      <c r="H802" s="10"/>
      <c r="I802" s="10"/>
      <c r="N802" s="10"/>
      <c r="O802" s="10"/>
      <c r="P802" s="10"/>
      <c r="T802" s="10"/>
      <c r="U802" s="10"/>
      <c r="V802" s="10"/>
      <c r="W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U802" s="10"/>
      <c r="AW802" s="143"/>
      <c r="BS802" s="10"/>
      <c r="BT802" s="10"/>
      <c r="BW802" s="10"/>
    </row>
    <row r="803">
      <c r="A803" s="10"/>
      <c r="B803" s="10"/>
      <c r="C803" s="10"/>
      <c r="D803" s="10"/>
      <c r="E803" s="10"/>
      <c r="F803" s="10"/>
      <c r="G803" s="10"/>
      <c r="H803" s="10"/>
      <c r="I803" s="10"/>
      <c r="N803" s="10"/>
      <c r="P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W803" s="143"/>
      <c r="BS803" s="10"/>
      <c r="BT803" s="10"/>
      <c r="BU803" s="10"/>
      <c r="BW803" s="10"/>
    </row>
    <row r="804">
      <c r="A804" s="10"/>
      <c r="B804" s="10"/>
      <c r="C804" s="10"/>
      <c r="D804" s="10"/>
      <c r="E804" s="10"/>
      <c r="F804" s="10"/>
      <c r="G804" s="10"/>
      <c r="H804" s="10"/>
      <c r="I804" s="10"/>
      <c r="N804" s="10"/>
      <c r="P804" s="10"/>
      <c r="T804" s="10"/>
      <c r="U804" s="10"/>
      <c r="V804" s="10"/>
      <c r="W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W804" s="143"/>
      <c r="BT804" s="10"/>
      <c r="BW804" s="10"/>
    </row>
    <row r="805">
      <c r="A805" s="10"/>
      <c r="B805" s="10"/>
      <c r="C805" s="10"/>
      <c r="D805" s="10"/>
      <c r="E805" s="10"/>
      <c r="F805" s="10"/>
      <c r="G805" s="10"/>
      <c r="H805" s="10"/>
      <c r="I805" s="10"/>
      <c r="N805" s="10"/>
      <c r="P805" s="10"/>
      <c r="T805" s="10"/>
      <c r="U805" s="10"/>
      <c r="V805" s="10"/>
      <c r="W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U805" s="10"/>
      <c r="AW805" s="143"/>
      <c r="AZ805" s="10"/>
      <c r="BS805" s="10"/>
      <c r="BT805" s="10"/>
      <c r="BW805" s="10"/>
    </row>
    <row r="806">
      <c r="A806" s="10"/>
      <c r="B806" s="10"/>
      <c r="C806" s="10"/>
      <c r="D806" s="10"/>
      <c r="E806" s="10"/>
      <c r="F806" s="10"/>
      <c r="G806" s="10"/>
      <c r="H806" s="10"/>
      <c r="J806" s="10"/>
      <c r="K806" s="10"/>
      <c r="L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W806" s="143"/>
      <c r="BD806" s="10"/>
      <c r="BE806" s="10"/>
      <c r="BF806" s="10"/>
      <c r="BG806" s="10"/>
      <c r="BH806" s="10"/>
      <c r="BI806" s="10"/>
      <c r="BJ806" s="10"/>
      <c r="BK806" s="10"/>
      <c r="BL806" s="10"/>
      <c r="BM806" s="10"/>
      <c r="BN806" s="10"/>
      <c r="BO806" s="10"/>
      <c r="BP806" s="10"/>
      <c r="BQ806" s="10"/>
      <c r="BR806" s="10"/>
      <c r="BS806" s="10"/>
      <c r="BT806" s="10"/>
      <c r="BV806" s="10"/>
      <c r="BW806" s="10"/>
    </row>
    <row r="807">
      <c r="A807" s="10"/>
      <c r="B807" s="10"/>
      <c r="C807" s="10"/>
      <c r="D807" s="10"/>
      <c r="E807" s="10"/>
      <c r="F807" s="10"/>
      <c r="G807" s="10"/>
      <c r="H807" s="10"/>
      <c r="J807" s="10"/>
      <c r="K807" s="10"/>
      <c r="L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W807" s="143"/>
      <c r="BD807" s="10"/>
      <c r="BE807" s="10"/>
      <c r="BF807" s="10"/>
      <c r="BG807" s="10"/>
      <c r="BH807" s="10"/>
      <c r="BI807" s="10"/>
      <c r="BJ807" s="10"/>
      <c r="BK807" s="10"/>
      <c r="BS807" s="10"/>
      <c r="BT807" s="10"/>
      <c r="BV807" s="10"/>
      <c r="BW807" s="10"/>
    </row>
    <row r="808">
      <c r="A808" s="10"/>
      <c r="B808" s="10"/>
      <c r="C808" s="10"/>
      <c r="D808" s="10"/>
      <c r="E808" s="10"/>
      <c r="F808" s="10"/>
      <c r="G808" s="10"/>
      <c r="H808" s="10"/>
      <c r="J808" s="10"/>
      <c r="K808" s="10"/>
      <c r="L808" s="10"/>
      <c r="N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W808" s="143"/>
      <c r="BD808" s="10"/>
      <c r="BE808" s="10"/>
      <c r="BF808" s="10"/>
      <c r="BG808" s="10"/>
      <c r="BH808" s="10"/>
      <c r="BI808" s="10"/>
      <c r="BJ808" s="10"/>
      <c r="BK808" s="10"/>
      <c r="BS808" s="10"/>
      <c r="BT808" s="10"/>
      <c r="BV808" s="10"/>
      <c r="BW808" s="10"/>
    </row>
    <row r="809">
      <c r="A809" s="10"/>
      <c r="B809" s="10"/>
      <c r="C809" s="10"/>
      <c r="D809" s="10"/>
      <c r="E809" s="10"/>
      <c r="F809" s="10"/>
      <c r="G809" s="10"/>
      <c r="H809" s="10"/>
      <c r="J809" s="10"/>
      <c r="K809" s="10"/>
      <c r="L809" s="10"/>
      <c r="N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W809" s="143"/>
      <c r="BD809" s="10"/>
      <c r="BS809" s="10"/>
      <c r="BT809" s="10"/>
      <c r="BV809" s="10"/>
      <c r="BW809" s="10"/>
    </row>
    <row r="810">
      <c r="A810" s="10"/>
      <c r="B810" s="10"/>
      <c r="C810" s="10"/>
      <c r="D810" s="10"/>
      <c r="E810" s="10"/>
      <c r="F810" s="10"/>
      <c r="G810" s="10"/>
      <c r="H810" s="10"/>
      <c r="J810" s="10"/>
      <c r="K810" s="10"/>
      <c r="L810" s="10"/>
      <c r="N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W810" s="143"/>
      <c r="BD810" s="10"/>
      <c r="BS810" s="10"/>
      <c r="BT810" s="10"/>
      <c r="BV810" s="10"/>
      <c r="BW810" s="10"/>
    </row>
    <row r="811">
      <c r="A811" s="10"/>
      <c r="B811" s="10"/>
      <c r="C811" s="10"/>
      <c r="D811" s="10"/>
      <c r="E811" s="10"/>
      <c r="F811" s="10"/>
      <c r="G811" s="10"/>
      <c r="H811" s="10"/>
      <c r="J811" s="10"/>
      <c r="K811" s="10"/>
      <c r="L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W811" s="143"/>
      <c r="BD811" s="10"/>
      <c r="BS811" s="10"/>
      <c r="BT811" s="10"/>
      <c r="BV811" s="10"/>
      <c r="BW811" s="10"/>
    </row>
    <row r="812">
      <c r="A812" s="10"/>
      <c r="B812" s="10"/>
      <c r="C812" s="10"/>
      <c r="D812" s="10"/>
      <c r="E812" s="10"/>
      <c r="F812" s="10"/>
      <c r="G812" s="10"/>
      <c r="H812" s="10"/>
      <c r="K812" s="10"/>
      <c r="L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W812" s="143"/>
      <c r="AZ812" s="10"/>
      <c r="BD812" s="10"/>
      <c r="BS812" s="10"/>
      <c r="BT812" s="10"/>
      <c r="BV812" s="10"/>
      <c r="BW812" s="10"/>
    </row>
    <row r="813">
      <c r="A813" s="10"/>
      <c r="B813" s="10"/>
      <c r="C813" s="10"/>
      <c r="D813" s="10"/>
      <c r="E813" s="10"/>
      <c r="F813" s="10"/>
      <c r="G813" s="10"/>
      <c r="H813" s="10"/>
      <c r="J813" s="10"/>
      <c r="K813" s="10"/>
      <c r="L813" s="10"/>
      <c r="P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W813" s="143"/>
      <c r="BD813" s="10"/>
      <c r="BL813" s="10"/>
      <c r="BM813" s="10"/>
      <c r="BO813" s="10"/>
      <c r="BP813" s="10"/>
      <c r="BR813" s="10"/>
      <c r="BS813" s="10"/>
      <c r="BT813" s="10"/>
      <c r="BV813" s="10"/>
      <c r="BW813" s="10"/>
    </row>
    <row r="814">
      <c r="A814" s="10"/>
      <c r="B814" s="10"/>
      <c r="C814" s="10"/>
      <c r="D814" s="10"/>
      <c r="E814" s="10"/>
      <c r="F814" s="10"/>
      <c r="G814" s="10"/>
      <c r="H814" s="10"/>
      <c r="J814" s="10"/>
      <c r="K814" s="10"/>
      <c r="L814" s="10"/>
      <c r="N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W814" s="143"/>
      <c r="BD814" s="10"/>
      <c r="BS814" s="10"/>
      <c r="BT814" s="10"/>
      <c r="BV814" s="10"/>
      <c r="BW814" s="10"/>
    </row>
    <row r="815">
      <c r="A815" s="10"/>
      <c r="B815" s="10"/>
      <c r="C815" s="10"/>
      <c r="D815" s="10"/>
      <c r="E815" s="10"/>
      <c r="F815" s="10"/>
      <c r="G815" s="10"/>
      <c r="H815" s="10"/>
      <c r="I815" s="10"/>
      <c r="J815" s="10"/>
      <c r="K815" s="10"/>
      <c r="L815" s="10"/>
      <c r="P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U815" s="10"/>
      <c r="AV815" s="10"/>
      <c r="AW815" s="143"/>
      <c r="AX815" s="10"/>
      <c r="AY815" s="10"/>
      <c r="BD815" s="10"/>
      <c r="BE815" s="10"/>
      <c r="BF815" s="10"/>
      <c r="BG815" s="10"/>
      <c r="BH815" s="10"/>
      <c r="BI815" s="10"/>
      <c r="BJ815" s="10"/>
      <c r="BK815" s="10"/>
      <c r="BL815" s="10"/>
      <c r="BM815" s="10"/>
      <c r="BN815" s="10"/>
      <c r="BO815" s="10"/>
      <c r="BP815" s="10"/>
      <c r="BQ815" s="10"/>
      <c r="BR815" s="10"/>
      <c r="BS815" s="10"/>
      <c r="BT815" s="10"/>
      <c r="BV815" s="10"/>
      <c r="BW815" s="10"/>
    </row>
    <row r="816">
      <c r="A816" s="10"/>
      <c r="B816" s="10"/>
      <c r="C816" s="10"/>
      <c r="D816" s="10"/>
      <c r="E816" s="10"/>
      <c r="F816" s="10"/>
      <c r="G816" s="10"/>
      <c r="H816" s="10"/>
      <c r="I816" s="10"/>
      <c r="J816" s="10"/>
      <c r="K816" s="10"/>
      <c r="L816" s="10"/>
      <c r="P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S816" s="10"/>
      <c r="AT816" s="10"/>
      <c r="AU816" s="10"/>
      <c r="AV816" s="10"/>
      <c r="AW816" s="143"/>
      <c r="BD816" s="10"/>
      <c r="BE816" s="10"/>
      <c r="BF816" s="10"/>
      <c r="BG816" s="10"/>
      <c r="BH816" s="10"/>
      <c r="BI816" s="10"/>
      <c r="BJ816" s="10"/>
      <c r="BK816" s="10"/>
      <c r="BL816" s="10"/>
      <c r="BM816" s="10"/>
      <c r="BN816" s="10"/>
      <c r="BO816" s="10"/>
      <c r="BP816" s="10"/>
      <c r="BQ816" s="10"/>
      <c r="BR816" s="10"/>
      <c r="BS816" s="10"/>
      <c r="BT816" s="10"/>
      <c r="BV816" s="10"/>
      <c r="BW816" s="10"/>
    </row>
    <row r="817">
      <c r="A817" s="10"/>
      <c r="B817" s="10"/>
      <c r="C817" s="10"/>
      <c r="D817" s="10"/>
      <c r="E817" s="10"/>
      <c r="F817" s="10"/>
      <c r="G817" s="10"/>
      <c r="H817" s="10"/>
      <c r="I817" s="10"/>
      <c r="J817" s="10"/>
      <c r="K817" s="10"/>
      <c r="L817" s="10"/>
      <c r="N817" s="10"/>
      <c r="P817" s="10"/>
      <c r="T817" s="10"/>
      <c r="U817" s="10"/>
      <c r="V817" s="10"/>
      <c r="W817" s="10"/>
      <c r="X817" s="10"/>
      <c r="Y817" s="10"/>
      <c r="Z817" s="10"/>
      <c r="AA817" s="10"/>
      <c r="AB817" s="10"/>
      <c r="AC817" s="10"/>
      <c r="AD817" s="10"/>
      <c r="AE817" s="10"/>
      <c r="AF817" s="10"/>
      <c r="AG817" s="10"/>
      <c r="AH817" s="10"/>
      <c r="AI817" s="10"/>
      <c r="AJ817" s="10"/>
      <c r="AL817" s="10"/>
      <c r="AM817" s="10"/>
      <c r="AO817" s="10"/>
      <c r="AU817" s="10"/>
      <c r="AV817" s="10"/>
      <c r="AW817" s="143"/>
      <c r="BD817" s="10"/>
      <c r="BE817" s="10"/>
      <c r="BF817" s="10"/>
      <c r="BG817" s="10"/>
      <c r="BH817" s="10"/>
      <c r="BI817" s="10"/>
      <c r="BJ817" s="10"/>
      <c r="BK817" s="10"/>
      <c r="BL817" s="10"/>
      <c r="BM817" s="10"/>
      <c r="BN817" s="10"/>
      <c r="BO817" s="10"/>
      <c r="BP817" s="10"/>
      <c r="BQ817" s="10"/>
      <c r="BR817" s="10"/>
      <c r="BS817" s="10"/>
      <c r="BT817" s="10"/>
      <c r="BV817" s="10"/>
      <c r="BW817" s="10"/>
    </row>
    <row r="818">
      <c r="A818" s="10"/>
      <c r="B818" s="10"/>
      <c r="C818" s="10"/>
      <c r="D818" s="10"/>
      <c r="E818" s="10"/>
      <c r="F818" s="10"/>
      <c r="G818" s="10"/>
      <c r="H818" s="10"/>
      <c r="I818" s="10"/>
      <c r="J818" s="10"/>
      <c r="K818" s="10"/>
      <c r="L818" s="10"/>
      <c r="N818" s="10"/>
      <c r="P818" s="10"/>
      <c r="T818" s="10"/>
      <c r="U818" s="10"/>
      <c r="V818" s="10"/>
      <c r="W818" s="10"/>
      <c r="X818" s="10"/>
      <c r="Y818" s="10"/>
      <c r="Z818" s="10"/>
      <c r="AA818" s="10"/>
      <c r="AB818" s="10"/>
      <c r="AC818" s="10"/>
      <c r="AD818" s="10"/>
      <c r="AE818" s="10"/>
      <c r="AF818" s="10"/>
      <c r="AG818" s="10"/>
      <c r="AH818" s="10"/>
      <c r="AI818" s="10"/>
      <c r="AJ818" s="10"/>
      <c r="AL818" s="10"/>
      <c r="AM818" s="10"/>
      <c r="AO818" s="10"/>
      <c r="AU818" s="10"/>
      <c r="AV818" s="10"/>
      <c r="AW818" s="143"/>
      <c r="BD818" s="10"/>
      <c r="BS818" s="10"/>
      <c r="BT818" s="10"/>
      <c r="BV818" s="10"/>
      <c r="BW818" s="10"/>
    </row>
    <row r="819">
      <c r="A819" s="10"/>
      <c r="B819" s="10"/>
      <c r="C819" s="10"/>
      <c r="D819" s="10"/>
      <c r="E819" s="10"/>
      <c r="F819" s="10"/>
      <c r="G819" s="10"/>
      <c r="H819" s="10"/>
      <c r="J819" s="10"/>
      <c r="K819" s="10"/>
      <c r="L819" s="10"/>
      <c r="U819" s="10"/>
      <c r="V819" s="10"/>
      <c r="W819" s="10"/>
      <c r="X819" s="10"/>
      <c r="Y819" s="10"/>
      <c r="Z819" s="10"/>
      <c r="AA819" s="10"/>
      <c r="AB819" s="10"/>
      <c r="AC819" s="10"/>
      <c r="AD819" s="10"/>
      <c r="AE819" s="10"/>
      <c r="AF819" s="10"/>
      <c r="AG819" s="10"/>
      <c r="AH819" s="10"/>
      <c r="AI819" s="10"/>
      <c r="AJ819" s="10"/>
      <c r="AK819" s="10"/>
      <c r="AL819" s="10"/>
      <c r="AM819" s="10"/>
      <c r="AN819" s="10"/>
      <c r="AO819" s="10"/>
      <c r="AS819" s="10"/>
      <c r="AV819" s="10"/>
      <c r="AW819" s="143"/>
      <c r="BD819" s="10"/>
      <c r="BE819" s="10"/>
      <c r="BF819" s="10"/>
      <c r="BG819" s="10"/>
      <c r="BH819" s="10"/>
      <c r="BI819" s="10"/>
      <c r="BJ819" s="10"/>
      <c r="BK819" s="10"/>
      <c r="BL819" s="10"/>
      <c r="BM819" s="10"/>
      <c r="BN819" s="10"/>
      <c r="BO819" s="10"/>
      <c r="BP819" s="10"/>
      <c r="BQ819" s="10"/>
      <c r="BR819" s="10"/>
      <c r="BS819" s="10"/>
      <c r="BT819" s="10"/>
      <c r="BV819" s="10"/>
      <c r="BW819" s="10"/>
    </row>
    <row r="820">
      <c r="A820" s="10"/>
      <c r="B820" s="10"/>
      <c r="C820" s="10"/>
      <c r="D820" s="10"/>
      <c r="E820" s="10"/>
      <c r="F820" s="10"/>
      <c r="G820" s="10"/>
      <c r="H820" s="10"/>
      <c r="K820" s="10"/>
      <c r="L820" s="10"/>
      <c r="V820" s="10"/>
      <c r="W820" s="10"/>
      <c r="Y820" s="10"/>
      <c r="Z820" s="10"/>
      <c r="AA820" s="10"/>
      <c r="AB820" s="10"/>
      <c r="AC820" s="10"/>
      <c r="AD820" s="10"/>
      <c r="AE820" s="10"/>
      <c r="AF820" s="10"/>
      <c r="AG820" s="10"/>
      <c r="AH820" s="10"/>
      <c r="AI820" s="10"/>
      <c r="AJ820" s="10"/>
      <c r="AK820" s="10"/>
      <c r="AL820" s="10"/>
      <c r="AM820" s="10"/>
      <c r="AN820" s="10"/>
      <c r="AO820" s="10"/>
      <c r="AW820" s="143"/>
      <c r="BD820" s="10"/>
      <c r="BE820" s="10"/>
      <c r="BF820" s="10"/>
      <c r="BG820" s="10"/>
      <c r="BH820" s="10"/>
      <c r="BI820" s="10"/>
      <c r="BJ820" s="10"/>
      <c r="BK820" s="10"/>
      <c r="BL820" s="10"/>
      <c r="BM820" s="10"/>
      <c r="BO820" s="10"/>
      <c r="BP820" s="10"/>
      <c r="BR820" s="10"/>
      <c r="BS820" s="10"/>
      <c r="BT820" s="10"/>
      <c r="BV820" s="10"/>
      <c r="BW820" s="10"/>
    </row>
    <row r="821">
      <c r="A821" s="10"/>
      <c r="B821" s="10"/>
      <c r="C821" s="10"/>
      <c r="D821" s="10"/>
      <c r="E821" s="10"/>
      <c r="F821" s="10"/>
      <c r="G821" s="10"/>
      <c r="H821" s="10"/>
      <c r="K821" s="10"/>
      <c r="L821" s="10"/>
      <c r="U821" s="10"/>
      <c r="V821" s="10"/>
      <c r="W821" s="10"/>
      <c r="X821" s="10"/>
      <c r="Y821" s="10"/>
      <c r="Z821" s="10"/>
      <c r="AA821" s="10"/>
      <c r="AB821" s="10"/>
      <c r="AC821" s="10"/>
      <c r="AD821" s="10"/>
      <c r="AE821" s="10"/>
      <c r="AF821" s="10"/>
      <c r="AG821" s="10"/>
      <c r="AH821" s="10"/>
      <c r="AI821" s="10"/>
      <c r="AJ821" s="10"/>
      <c r="AK821" s="10"/>
      <c r="AL821" s="10"/>
      <c r="AM821" s="10"/>
      <c r="AN821" s="10"/>
      <c r="AO821" s="10"/>
      <c r="AW821" s="143"/>
      <c r="BD821" s="10"/>
      <c r="BS821" s="10"/>
      <c r="BT821" s="10"/>
      <c r="BV821" s="10"/>
      <c r="BW821" s="10"/>
    </row>
    <row r="822">
      <c r="A822" s="10"/>
      <c r="B822" s="10"/>
      <c r="C822" s="10"/>
      <c r="D822" s="10"/>
      <c r="E822" s="10"/>
      <c r="F822" s="10"/>
      <c r="G822" s="10"/>
      <c r="H822" s="10"/>
      <c r="K822" s="10"/>
      <c r="L822" s="10"/>
      <c r="U822" s="10"/>
      <c r="V822" s="10"/>
      <c r="W822" s="10"/>
      <c r="X822" s="10"/>
      <c r="Y822" s="10"/>
      <c r="Z822" s="10"/>
      <c r="AA822" s="10"/>
      <c r="AB822" s="10"/>
      <c r="AC822" s="10"/>
      <c r="AD822" s="10"/>
      <c r="AE822" s="10"/>
      <c r="AF822" s="10"/>
      <c r="AG822" s="10"/>
      <c r="AH822" s="10"/>
      <c r="AI822" s="10"/>
      <c r="AJ822" s="10"/>
      <c r="AK822" s="10"/>
      <c r="AL822" s="10"/>
      <c r="AM822" s="10"/>
      <c r="AN822" s="10"/>
      <c r="AO822" s="10"/>
      <c r="AW822" s="143"/>
      <c r="AZ822" s="10"/>
      <c r="BD822" s="10"/>
      <c r="BL822" s="10"/>
      <c r="BO822" s="10"/>
      <c r="BR822" s="10"/>
      <c r="BS822" s="10"/>
      <c r="BT822" s="10"/>
      <c r="BV822" s="10"/>
      <c r="BW822" s="10"/>
    </row>
    <row r="823">
      <c r="A823" s="10"/>
      <c r="B823" s="10"/>
      <c r="C823" s="10"/>
      <c r="D823" s="10"/>
      <c r="E823" s="10"/>
      <c r="F823" s="10"/>
      <c r="G823" s="10"/>
      <c r="H823" s="10"/>
      <c r="K823" s="10"/>
      <c r="L823" s="10"/>
      <c r="V823" s="10"/>
      <c r="W823" s="10"/>
      <c r="X823" s="10"/>
      <c r="Y823" s="10"/>
      <c r="Z823" s="10"/>
      <c r="AA823" s="10"/>
      <c r="AB823" s="10"/>
      <c r="AC823" s="10"/>
      <c r="AD823" s="10"/>
      <c r="AE823" s="10"/>
      <c r="AF823" s="10"/>
      <c r="AG823" s="10"/>
      <c r="AH823" s="10"/>
      <c r="AI823" s="10"/>
      <c r="AJ823" s="10"/>
      <c r="AK823" s="10"/>
      <c r="AL823" s="10"/>
      <c r="AM823" s="10"/>
      <c r="AN823" s="10"/>
      <c r="AO823" s="10"/>
      <c r="AW823" s="143"/>
      <c r="AZ823" s="10"/>
      <c r="BD823" s="10"/>
      <c r="BL823" s="10"/>
      <c r="BO823" s="10"/>
      <c r="BR823" s="10"/>
      <c r="BS823" s="10"/>
      <c r="BT823" s="10"/>
      <c r="BV823" s="10"/>
      <c r="BW823" s="10"/>
    </row>
    <row r="824">
      <c r="A824" s="10"/>
      <c r="B824" s="10"/>
      <c r="C824" s="10"/>
      <c r="D824" s="10"/>
      <c r="E824" s="10"/>
      <c r="F824" s="10"/>
      <c r="G824" s="10"/>
      <c r="H824" s="10"/>
      <c r="J824" s="10"/>
      <c r="K824" s="10"/>
      <c r="L824" s="10"/>
      <c r="U824" s="10"/>
      <c r="V824" s="10"/>
      <c r="W824" s="10"/>
      <c r="X824" s="10"/>
      <c r="Y824" s="10"/>
      <c r="Z824" s="10"/>
      <c r="AA824" s="10"/>
      <c r="AB824" s="10"/>
      <c r="AC824" s="10"/>
      <c r="AD824" s="10"/>
      <c r="AE824" s="10"/>
      <c r="AF824" s="10"/>
      <c r="AG824" s="10"/>
      <c r="AH824" s="10"/>
      <c r="AI824" s="10"/>
      <c r="AJ824" s="10"/>
      <c r="AK824" s="10"/>
      <c r="AL824" s="10"/>
      <c r="AM824" s="10"/>
      <c r="AN824" s="10"/>
      <c r="AO824" s="10"/>
      <c r="AW824" s="143"/>
      <c r="AZ824" s="10"/>
      <c r="BD824" s="10"/>
      <c r="BE824" s="10"/>
      <c r="BF824" s="10"/>
      <c r="BG824" s="10"/>
      <c r="BH824" s="10"/>
      <c r="BI824" s="10"/>
      <c r="BJ824" s="10"/>
      <c r="BK824" s="10"/>
      <c r="BS824" s="10"/>
      <c r="BT824" s="10"/>
      <c r="BV824" s="10"/>
      <c r="BW824" s="10"/>
    </row>
    <row r="825">
      <c r="A825" s="10"/>
      <c r="B825" s="10"/>
      <c r="C825" s="10"/>
      <c r="D825" s="10"/>
      <c r="E825" s="10"/>
      <c r="F825" s="10"/>
      <c r="G825" s="10"/>
      <c r="H825" s="10"/>
      <c r="J825" s="10"/>
      <c r="K825" s="10"/>
      <c r="L825" s="10"/>
      <c r="P825" s="10"/>
      <c r="U825" s="10"/>
      <c r="V825" s="10"/>
      <c r="W825" s="10"/>
      <c r="X825" s="10"/>
      <c r="Y825" s="10"/>
      <c r="Z825" s="10"/>
      <c r="AA825" s="10"/>
      <c r="AB825" s="10"/>
      <c r="AC825" s="10"/>
      <c r="AD825" s="10"/>
      <c r="AE825" s="10"/>
      <c r="AF825" s="10"/>
      <c r="AG825" s="10"/>
      <c r="AH825" s="10"/>
      <c r="AI825" s="10"/>
      <c r="AJ825" s="10"/>
      <c r="AK825" s="10"/>
      <c r="AL825" s="10"/>
      <c r="AM825" s="10"/>
      <c r="AN825" s="10"/>
      <c r="AO825" s="10"/>
      <c r="AW825" s="143"/>
      <c r="BD825" s="10"/>
      <c r="BE825" s="10"/>
      <c r="BF825" s="10"/>
      <c r="BG825" s="10"/>
      <c r="BH825" s="10"/>
      <c r="BI825" s="10"/>
      <c r="BJ825" s="10"/>
      <c r="BK825" s="10"/>
      <c r="BL825" s="10"/>
      <c r="BO825" s="10"/>
      <c r="BR825" s="10"/>
      <c r="BS825" s="10"/>
      <c r="BT825" s="10"/>
      <c r="BV825" s="10"/>
      <c r="BW825" s="10"/>
    </row>
    <row r="826">
      <c r="A826" s="10"/>
      <c r="B826" s="10"/>
      <c r="C826" s="10"/>
      <c r="D826" s="10"/>
      <c r="E826" s="10"/>
      <c r="F826" s="10"/>
      <c r="G826" s="10"/>
      <c r="H826" s="10"/>
      <c r="J826" s="10"/>
      <c r="K826" s="10"/>
      <c r="L826" s="10"/>
      <c r="U826" s="10"/>
      <c r="V826" s="10"/>
      <c r="W826" s="10"/>
      <c r="X826" s="10"/>
      <c r="Y826" s="10"/>
      <c r="Z826" s="10"/>
      <c r="AA826" s="10"/>
      <c r="AB826" s="10"/>
      <c r="AC826" s="10"/>
      <c r="AD826" s="10"/>
      <c r="AE826" s="10"/>
      <c r="AF826" s="10"/>
      <c r="AG826" s="10"/>
      <c r="AH826" s="10"/>
      <c r="AI826" s="10"/>
      <c r="AJ826" s="10"/>
      <c r="AK826" s="10"/>
      <c r="AL826" s="10"/>
      <c r="AM826" s="10"/>
      <c r="AN826" s="10"/>
      <c r="AO826" s="10"/>
      <c r="AW826" s="143"/>
      <c r="BD826" s="10"/>
      <c r="BE826" s="10"/>
      <c r="BF826" s="10"/>
      <c r="BG826" s="10"/>
      <c r="BH826" s="10"/>
      <c r="BI826" s="10"/>
      <c r="BJ826" s="10"/>
      <c r="BK826" s="10"/>
      <c r="BS826" s="10"/>
      <c r="BT826" s="10"/>
      <c r="BV826" s="10"/>
      <c r="BW826" s="10"/>
    </row>
    <row r="827">
      <c r="A827" s="10"/>
      <c r="B827" s="10"/>
      <c r="C827" s="10"/>
      <c r="D827" s="10"/>
      <c r="E827" s="10"/>
      <c r="F827" s="10"/>
      <c r="G827" s="10"/>
      <c r="H827" s="10"/>
      <c r="J827" s="10"/>
      <c r="K827" s="10"/>
      <c r="L827" s="10"/>
      <c r="U827" s="10"/>
      <c r="V827" s="10"/>
      <c r="W827" s="10"/>
      <c r="X827" s="10"/>
      <c r="Y827" s="10"/>
      <c r="Z827" s="10"/>
      <c r="AA827" s="10"/>
      <c r="AB827" s="10"/>
      <c r="AC827" s="10"/>
      <c r="AD827" s="10"/>
      <c r="AE827" s="10"/>
      <c r="AF827" s="10"/>
      <c r="AG827" s="10"/>
      <c r="AH827" s="10"/>
      <c r="AI827" s="10"/>
      <c r="AJ827" s="10"/>
      <c r="AK827" s="10"/>
      <c r="AL827" s="10"/>
      <c r="AM827" s="10"/>
      <c r="AN827" s="10"/>
      <c r="AO827" s="10"/>
      <c r="AW827" s="143"/>
      <c r="BD827" s="10"/>
      <c r="BE827" s="10"/>
      <c r="BF827" s="10"/>
      <c r="BG827" s="10"/>
      <c r="BH827" s="10"/>
      <c r="BI827" s="10"/>
      <c r="BJ827" s="10"/>
      <c r="BK827" s="10"/>
      <c r="BS827" s="10"/>
      <c r="BT827" s="10"/>
      <c r="BV827" s="10"/>
      <c r="BW827" s="10"/>
    </row>
    <row r="828">
      <c r="A828" s="10"/>
      <c r="B828" s="10"/>
      <c r="C828" s="10"/>
      <c r="D828" s="10"/>
      <c r="E828" s="10"/>
      <c r="F828" s="10"/>
      <c r="G828" s="10"/>
      <c r="H828" s="10"/>
      <c r="J828" s="10"/>
      <c r="K828" s="10"/>
      <c r="L828" s="10"/>
      <c r="U828" s="10"/>
      <c r="V828" s="10"/>
      <c r="W828" s="10"/>
      <c r="X828" s="10"/>
      <c r="Y828" s="10"/>
      <c r="Z828" s="10"/>
      <c r="AA828" s="10"/>
      <c r="AB828" s="10"/>
      <c r="AC828" s="10"/>
      <c r="AD828" s="10"/>
      <c r="AE828" s="10"/>
      <c r="AF828" s="10"/>
      <c r="AG828" s="10"/>
      <c r="AH828" s="10"/>
      <c r="AI828" s="10"/>
      <c r="AJ828" s="10"/>
      <c r="AK828" s="10"/>
      <c r="AL828" s="10"/>
      <c r="AM828" s="10"/>
      <c r="AN828" s="10"/>
      <c r="AO828" s="10"/>
      <c r="AW828" s="143"/>
      <c r="BD828" s="10"/>
      <c r="BE828" s="10"/>
      <c r="BF828" s="10"/>
      <c r="BG828" s="10"/>
      <c r="BH828" s="10"/>
      <c r="BI828" s="10"/>
      <c r="BJ828" s="10"/>
      <c r="BK828" s="10"/>
      <c r="BS828" s="10"/>
      <c r="BT828" s="10"/>
      <c r="BV828" s="10"/>
      <c r="BW828" s="10"/>
    </row>
    <row r="829">
      <c r="A829" s="10"/>
      <c r="B829" s="10"/>
      <c r="C829" s="10"/>
      <c r="D829" s="10"/>
      <c r="E829" s="10"/>
      <c r="F829" s="10"/>
      <c r="G829" s="10"/>
      <c r="H829" s="10"/>
      <c r="J829" s="10"/>
      <c r="K829" s="10"/>
      <c r="L829" s="10"/>
      <c r="U829" s="10"/>
      <c r="V829" s="10"/>
      <c r="W829" s="10"/>
      <c r="X829" s="10"/>
      <c r="Y829" s="10"/>
      <c r="Z829" s="10"/>
      <c r="AA829" s="10"/>
      <c r="AB829" s="10"/>
      <c r="AC829" s="10"/>
      <c r="AD829" s="10"/>
      <c r="AE829" s="10"/>
      <c r="AF829" s="10"/>
      <c r="AG829" s="10"/>
      <c r="AH829" s="10"/>
      <c r="AI829" s="10"/>
      <c r="AJ829" s="10"/>
      <c r="AK829" s="10"/>
      <c r="AL829" s="10"/>
      <c r="AM829" s="10"/>
      <c r="AN829" s="10"/>
      <c r="AO829" s="10"/>
      <c r="AW829" s="143"/>
      <c r="BD829" s="10"/>
      <c r="BE829" s="10"/>
      <c r="BF829" s="10"/>
      <c r="BG829" s="10"/>
      <c r="BH829" s="10"/>
      <c r="BI829" s="10"/>
      <c r="BJ829" s="10"/>
      <c r="BK829" s="10"/>
      <c r="BS829" s="10"/>
      <c r="BT829" s="10"/>
      <c r="BV829" s="10"/>
      <c r="BW829" s="10"/>
    </row>
    <row r="830">
      <c r="A830" s="10"/>
      <c r="B830" s="10"/>
      <c r="C830" s="10"/>
      <c r="D830" s="10"/>
      <c r="E830" s="10"/>
      <c r="F830" s="10"/>
      <c r="G830" s="10"/>
      <c r="H830" s="10"/>
      <c r="J830" s="10"/>
      <c r="K830" s="10"/>
      <c r="L830" s="10"/>
      <c r="U830" s="10"/>
      <c r="V830" s="10"/>
      <c r="W830" s="10"/>
      <c r="X830" s="10"/>
      <c r="Y830" s="10"/>
      <c r="Z830" s="10"/>
      <c r="AA830" s="10"/>
      <c r="AB830" s="10"/>
      <c r="AC830" s="10"/>
      <c r="AD830" s="10"/>
      <c r="AE830" s="10"/>
      <c r="AF830" s="10"/>
      <c r="AG830" s="10"/>
      <c r="AH830" s="10"/>
      <c r="AI830" s="10"/>
      <c r="AJ830" s="10"/>
      <c r="AK830" s="10"/>
      <c r="AL830" s="10"/>
      <c r="AM830" s="10"/>
      <c r="AN830" s="10"/>
      <c r="AO830" s="10"/>
      <c r="AW830" s="143"/>
      <c r="BD830" s="10"/>
      <c r="BE830" s="10"/>
      <c r="BF830" s="10"/>
      <c r="BG830" s="10"/>
      <c r="BH830" s="10"/>
      <c r="BI830" s="10"/>
      <c r="BJ830" s="10"/>
      <c r="BK830" s="10"/>
      <c r="BS830" s="10"/>
      <c r="BT830" s="10"/>
      <c r="BV830" s="10"/>
      <c r="BW830" s="10"/>
    </row>
    <row r="831">
      <c r="A831" s="10"/>
      <c r="B831" s="10"/>
      <c r="C831" s="10"/>
      <c r="D831" s="10"/>
      <c r="E831" s="10"/>
      <c r="F831" s="10"/>
      <c r="G831" s="10"/>
      <c r="H831" s="10"/>
      <c r="J831" s="10"/>
      <c r="K831" s="10"/>
      <c r="L831" s="10"/>
      <c r="V831" s="10"/>
      <c r="W831" s="10"/>
      <c r="X831" s="10"/>
      <c r="Y831" s="10"/>
      <c r="Z831" s="10"/>
      <c r="AA831" s="10"/>
      <c r="AB831" s="10"/>
      <c r="AC831" s="10"/>
      <c r="AD831" s="10"/>
      <c r="AE831" s="10"/>
      <c r="AF831" s="10"/>
      <c r="AG831" s="10"/>
      <c r="AH831" s="10"/>
      <c r="AI831" s="10"/>
      <c r="AJ831" s="10"/>
      <c r="AK831" s="10"/>
      <c r="AL831" s="10"/>
      <c r="AM831" s="10"/>
      <c r="AO831" s="10"/>
      <c r="AW831" s="143"/>
      <c r="BD831" s="10"/>
      <c r="BE831" s="10"/>
      <c r="BF831" s="10"/>
      <c r="BG831" s="10"/>
      <c r="BH831" s="10"/>
      <c r="BI831" s="10"/>
      <c r="BJ831" s="10"/>
      <c r="BK831" s="10"/>
      <c r="BL831" s="10"/>
      <c r="BM831" s="10"/>
      <c r="BN831" s="10"/>
      <c r="BO831" s="10"/>
      <c r="BP831" s="10"/>
      <c r="BQ831" s="10"/>
      <c r="BR831" s="10"/>
      <c r="BS831" s="10"/>
      <c r="BT831" s="10"/>
      <c r="BV831" s="10"/>
      <c r="BW831" s="10"/>
    </row>
    <row r="832">
      <c r="A832" s="10"/>
      <c r="B832" s="10"/>
      <c r="C832" s="10"/>
      <c r="D832" s="10"/>
      <c r="E832" s="10"/>
      <c r="F832" s="10"/>
      <c r="G832" s="10"/>
      <c r="H832" s="10"/>
      <c r="J832" s="10"/>
      <c r="K832" s="10"/>
      <c r="L832" s="10"/>
      <c r="V832" s="10"/>
      <c r="W832" s="10"/>
      <c r="X832" s="10"/>
      <c r="Y832" s="10"/>
      <c r="Z832" s="10"/>
      <c r="AA832" s="10"/>
      <c r="AB832" s="10"/>
      <c r="AC832" s="10"/>
      <c r="AD832" s="10"/>
      <c r="AE832" s="10"/>
      <c r="AF832" s="10"/>
      <c r="AG832" s="10"/>
      <c r="AH832" s="10"/>
      <c r="AI832" s="10"/>
      <c r="AJ832" s="10"/>
      <c r="AK832" s="10"/>
      <c r="AL832" s="10"/>
      <c r="AM832" s="10"/>
      <c r="AO832" s="10"/>
      <c r="AW832" s="143"/>
      <c r="BD832" s="10"/>
      <c r="BE832" s="10"/>
      <c r="BF832" s="10"/>
      <c r="BG832" s="10"/>
      <c r="BH832" s="10"/>
      <c r="BI832" s="10"/>
      <c r="BJ832" s="10"/>
      <c r="BK832" s="10"/>
      <c r="BL832" s="10"/>
      <c r="BO832" s="10"/>
      <c r="BR832" s="10"/>
      <c r="BS832" s="10"/>
      <c r="BT832" s="10"/>
      <c r="BV832" s="10"/>
      <c r="BW832" s="10"/>
    </row>
    <row r="833">
      <c r="A833" s="10"/>
      <c r="B833" s="10"/>
      <c r="C833" s="10"/>
      <c r="D833" s="10"/>
      <c r="E833" s="10"/>
      <c r="F833" s="10"/>
      <c r="G833" s="10"/>
      <c r="H833" s="10"/>
      <c r="J833" s="10"/>
      <c r="K833" s="10"/>
      <c r="L833" s="10"/>
      <c r="U833" s="10"/>
      <c r="V833" s="10"/>
      <c r="W833" s="10"/>
      <c r="X833" s="10"/>
      <c r="Y833" s="10"/>
      <c r="Z833" s="10"/>
      <c r="AA833" s="10"/>
      <c r="AB833" s="10"/>
      <c r="AC833" s="10"/>
      <c r="AD833" s="10"/>
      <c r="AE833" s="10"/>
      <c r="AF833" s="10"/>
      <c r="AG833" s="10"/>
      <c r="AH833" s="10"/>
      <c r="AI833" s="10"/>
      <c r="AJ833" s="10"/>
      <c r="AK833" s="10"/>
      <c r="AL833" s="10"/>
      <c r="AM833" s="10"/>
      <c r="AO833" s="10"/>
      <c r="AW833" s="143"/>
      <c r="BD833" s="10"/>
      <c r="BE833" s="10"/>
      <c r="BF833" s="10"/>
      <c r="BG833" s="10"/>
      <c r="BH833" s="10"/>
      <c r="BI833" s="10"/>
      <c r="BJ833" s="10"/>
      <c r="BK833" s="10"/>
      <c r="BS833" s="10"/>
      <c r="BT833" s="10"/>
      <c r="BV833" s="10"/>
      <c r="BW833" s="10"/>
    </row>
    <row r="834">
      <c r="A834" s="10"/>
      <c r="B834" s="10"/>
      <c r="C834" s="10"/>
      <c r="D834" s="10"/>
      <c r="E834" s="10"/>
      <c r="F834" s="10"/>
      <c r="G834" s="10"/>
      <c r="H834" s="10"/>
      <c r="J834" s="10"/>
      <c r="K834" s="10"/>
      <c r="L834" s="10"/>
      <c r="V834" s="10"/>
      <c r="W834" s="10"/>
      <c r="X834" s="10"/>
      <c r="Y834" s="10"/>
      <c r="Z834" s="10"/>
      <c r="AA834" s="10"/>
      <c r="AB834" s="10"/>
      <c r="AC834" s="10"/>
      <c r="AD834" s="10"/>
      <c r="AE834" s="10"/>
      <c r="AF834" s="10"/>
      <c r="AG834" s="10"/>
      <c r="AH834" s="10"/>
      <c r="AI834" s="10"/>
      <c r="AJ834" s="10"/>
      <c r="AK834" s="10"/>
      <c r="AL834" s="10"/>
      <c r="AM834" s="10"/>
      <c r="AN834" s="10"/>
      <c r="AO834" s="10"/>
      <c r="AW834" s="143"/>
      <c r="AZ834" s="10"/>
      <c r="BD834" s="10"/>
      <c r="BL834" s="10"/>
      <c r="BO834" s="10"/>
      <c r="BR834" s="10"/>
      <c r="BS834" s="10"/>
      <c r="BT834" s="10"/>
      <c r="BV834" s="10"/>
      <c r="BW834" s="10"/>
    </row>
    <row r="835">
      <c r="A835" s="10"/>
      <c r="B835" s="10"/>
      <c r="C835" s="10"/>
      <c r="D835" s="10"/>
      <c r="E835" s="10"/>
      <c r="F835" s="10"/>
      <c r="G835" s="10"/>
      <c r="H835" s="10"/>
      <c r="J835" s="10"/>
      <c r="K835" s="10"/>
      <c r="L835" s="10"/>
      <c r="V835" s="10"/>
      <c r="W835" s="10"/>
      <c r="X835" s="10"/>
      <c r="Y835" s="10"/>
      <c r="Z835" s="10"/>
      <c r="AA835" s="10"/>
      <c r="AB835" s="10"/>
      <c r="AC835" s="10"/>
      <c r="AD835" s="10"/>
      <c r="AE835" s="10"/>
      <c r="AF835" s="10"/>
      <c r="AG835" s="10"/>
      <c r="AH835" s="10"/>
      <c r="AI835" s="10"/>
      <c r="AJ835" s="10"/>
      <c r="AK835" s="10"/>
      <c r="AL835" s="10"/>
      <c r="AM835" s="10"/>
      <c r="AO835" s="10"/>
      <c r="AW835" s="143"/>
      <c r="AZ835" s="10"/>
      <c r="BD835" s="10"/>
      <c r="BL835" s="10"/>
      <c r="BO835" s="10"/>
      <c r="BR835" s="10"/>
      <c r="BS835" s="10"/>
      <c r="BT835" s="10"/>
      <c r="BV835" s="10"/>
      <c r="BW835" s="10"/>
    </row>
    <row r="836">
      <c r="A836" s="10"/>
      <c r="B836" s="10"/>
      <c r="C836" s="10"/>
      <c r="D836" s="10"/>
      <c r="E836" s="10"/>
      <c r="F836" s="10"/>
      <c r="G836" s="10"/>
      <c r="H836" s="10"/>
      <c r="J836" s="10"/>
      <c r="K836" s="10"/>
      <c r="L836" s="10"/>
      <c r="U836" s="10"/>
      <c r="V836" s="10"/>
      <c r="W836" s="10"/>
      <c r="X836" s="10"/>
      <c r="Y836" s="10"/>
      <c r="Z836" s="10"/>
      <c r="AA836" s="10"/>
      <c r="AB836" s="10"/>
      <c r="AC836" s="10"/>
      <c r="AD836" s="10"/>
      <c r="AE836" s="10"/>
      <c r="AF836" s="10"/>
      <c r="AG836" s="10"/>
      <c r="AH836" s="10"/>
      <c r="AI836" s="10"/>
      <c r="AJ836" s="10"/>
      <c r="AK836" s="10"/>
      <c r="AL836" s="10"/>
      <c r="AM836" s="10"/>
      <c r="AN836" s="10"/>
      <c r="AO836" s="10"/>
      <c r="AW836" s="143"/>
      <c r="AZ836" s="10"/>
      <c r="BD836" s="10"/>
      <c r="BE836" s="10"/>
      <c r="BF836" s="10"/>
      <c r="BG836" s="10"/>
      <c r="BH836" s="10"/>
      <c r="BI836" s="10"/>
      <c r="BJ836" s="10"/>
      <c r="BK836" s="10"/>
      <c r="BS836" s="10"/>
      <c r="BT836" s="10"/>
      <c r="BV836" s="10"/>
      <c r="BW836" s="10"/>
    </row>
    <row r="837">
      <c r="A837" s="10"/>
      <c r="B837" s="10"/>
      <c r="C837" s="10"/>
      <c r="D837" s="10"/>
      <c r="E837" s="10"/>
      <c r="F837" s="10"/>
      <c r="G837" s="10"/>
      <c r="H837" s="10"/>
      <c r="J837" s="10"/>
      <c r="K837" s="10"/>
      <c r="L837" s="10"/>
      <c r="P837" s="10"/>
      <c r="V837" s="10"/>
      <c r="W837" s="10"/>
      <c r="X837" s="10"/>
      <c r="Y837" s="10"/>
      <c r="Z837" s="10"/>
      <c r="AA837" s="10"/>
      <c r="AB837" s="10"/>
      <c r="AC837" s="10"/>
      <c r="AD837" s="10"/>
      <c r="AE837" s="10"/>
      <c r="AF837" s="10"/>
      <c r="AG837" s="10"/>
      <c r="AH837" s="10"/>
      <c r="AI837" s="10"/>
      <c r="AJ837" s="10"/>
      <c r="AK837" s="10"/>
      <c r="AL837" s="10"/>
      <c r="AM837" s="10"/>
      <c r="AO837" s="10"/>
      <c r="AW837" s="143"/>
      <c r="BD837" s="10"/>
      <c r="BE837" s="10"/>
      <c r="BF837" s="10"/>
      <c r="BG837" s="10"/>
      <c r="BH837" s="10"/>
      <c r="BI837" s="10"/>
      <c r="BJ837" s="10"/>
      <c r="BK837" s="10"/>
      <c r="BL837" s="10"/>
      <c r="BO837" s="10"/>
      <c r="BR837" s="10"/>
      <c r="BS837" s="10"/>
      <c r="BT837" s="10"/>
      <c r="BV837" s="10"/>
      <c r="BW837" s="10"/>
    </row>
    <row r="838">
      <c r="A838" s="10"/>
      <c r="B838" s="10"/>
      <c r="C838" s="10"/>
      <c r="D838" s="10"/>
      <c r="E838" s="10"/>
      <c r="F838" s="10"/>
      <c r="G838" s="10"/>
      <c r="H838" s="10"/>
      <c r="J838" s="10"/>
      <c r="K838" s="10"/>
      <c r="L838" s="10"/>
      <c r="U838" s="10"/>
      <c r="V838" s="10"/>
      <c r="W838" s="10"/>
      <c r="X838" s="10"/>
      <c r="Y838" s="10"/>
      <c r="Z838" s="10"/>
      <c r="AA838" s="10"/>
      <c r="AB838" s="10"/>
      <c r="AC838" s="10"/>
      <c r="AD838" s="10"/>
      <c r="AE838" s="10"/>
      <c r="AF838" s="10"/>
      <c r="AG838" s="10"/>
      <c r="AH838" s="10"/>
      <c r="AI838" s="10"/>
      <c r="AJ838" s="10"/>
      <c r="AK838" s="10"/>
      <c r="AL838" s="10"/>
      <c r="AM838" s="10"/>
      <c r="AO838" s="10"/>
      <c r="AW838" s="143"/>
      <c r="BD838" s="10"/>
      <c r="BE838" s="10"/>
      <c r="BF838" s="10"/>
      <c r="BG838" s="10"/>
      <c r="BH838" s="10"/>
      <c r="BI838" s="10"/>
      <c r="BJ838" s="10"/>
      <c r="BK838" s="10"/>
      <c r="BS838" s="10"/>
      <c r="BT838" s="10"/>
      <c r="BV838" s="10"/>
      <c r="BW838" s="10"/>
    </row>
    <row r="839">
      <c r="A839" s="10"/>
      <c r="B839" s="10"/>
      <c r="C839" s="10"/>
      <c r="D839" s="10"/>
      <c r="E839" s="10"/>
      <c r="F839" s="10"/>
      <c r="G839" s="10"/>
      <c r="H839" s="10"/>
      <c r="J839" s="10"/>
      <c r="K839" s="10"/>
      <c r="L839" s="10"/>
      <c r="U839" s="10"/>
      <c r="V839" s="10"/>
      <c r="W839" s="10"/>
      <c r="X839" s="10"/>
      <c r="Y839" s="10"/>
      <c r="Z839" s="10"/>
      <c r="AA839" s="10"/>
      <c r="AB839" s="10"/>
      <c r="AC839" s="10"/>
      <c r="AD839" s="10"/>
      <c r="AE839" s="10"/>
      <c r="AF839" s="10"/>
      <c r="AG839" s="10"/>
      <c r="AH839" s="10"/>
      <c r="AI839" s="10"/>
      <c r="AJ839" s="10"/>
      <c r="AK839" s="10"/>
      <c r="AL839" s="10"/>
      <c r="AM839" s="10"/>
      <c r="AO839" s="10"/>
      <c r="AW839" s="143"/>
      <c r="BD839" s="10"/>
      <c r="BE839" s="10"/>
      <c r="BF839" s="10"/>
      <c r="BG839" s="10"/>
      <c r="BH839" s="10"/>
      <c r="BI839" s="10"/>
      <c r="BJ839" s="10"/>
      <c r="BK839" s="10"/>
      <c r="BS839" s="10"/>
      <c r="BT839" s="10"/>
      <c r="BV839" s="10"/>
      <c r="BW839" s="10"/>
    </row>
    <row r="840">
      <c r="A840" s="10"/>
      <c r="B840" s="10"/>
      <c r="C840" s="10"/>
      <c r="D840" s="10"/>
      <c r="E840" s="10"/>
      <c r="F840" s="10"/>
      <c r="G840" s="10"/>
      <c r="H840" s="10"/>
      <c r="J840" s="10"/>
      <c r="K840" s="10"/>
      <c r="L840" s="10"/>
      <c r="U840" s="10"/>
      <c r="V840" s="10"/>
      <c r="W840" s="10"/>
      <c r="X840" s="10"/>
      <c r="Y840" s="10"/>
      <c r="Z840" s="10"/>
      <c r="AA840" s="10"/>
      <c r="AB840" s="10"/>
      <c r="AC840" s="10"/>
      <c r="AD840" s="10"/>
      <c r="AE840" s="10"/>
      <c r="AF840" s="10"/>
      <c r="AG840" s="10"/>
      <c r="AH840" s="10"/>
      <c r="AI840" s="10"/>
      <c r="AJ840" s="10"/>
      <c r="AK840" s="10"/>
      <c r="AL840" s="10"/>
      <c r="AM840" s="10"/>
      <c r="AO840" s="10"/>
      <c r="AW840" s="143"/>
      <c r="BD840" s="10"/>
      <c r="BE840" s="10"/>
      <c r="BF840" s="10"/>
      <c r="BG840" s="10"/>
      <c r="BH840" s="10"/>
      <c r="BI840" s="10"/>
      <c r="BJ840" s="10"/>
      <c r="BK840" s="10"/>
      <c r="BS840" s="10"/>
      <c r="BT840" s="10"/>
      <c r="BV840" s="10"/>
      <c r="BW840" s="10"/>
    </row>
    <row r="841">
      <c r="A841" s="10"/>
      <c r="B841" s="10"/>
      <c r="C841" s="10"/>
      <c r="D841" s="10"/>
      <c r="E841" s="10"/>
      <c r="F841" s="10"/>
      <c r="G841" s="10"/>
      <c r="H841" s="10"/>
      <c r="J841" s="10"/>
      <c r="K841" s="10"/>
      <c r="L841" s="10"/>
      <c r="U841" s="10"/>
      <c r="V841" s="10"/>
      <c r="W841" s="10"/>
      <c r="X841" s="10"/>
      <c r="Y841" s="10"/>
      <c r="Z841" s="10"/>
      <c r="AA841" s="10"/>
      <c r="AB841" s="10"/>
      <c r="AC841" s="10"/>
      <c r="AD841" s="10"/>
      <c r="AE841" s="10"/>
      <c r="AF841" s="10"/>
      <c r="AG841" s="10"/>
      <c r="AH841" s="10"/>
      <c r="AI841" s="10"/>
      <c r="AJ841" s="10"/>
      <c r="AK841" s="10"/>
      <c r="AL841" s="10"/>
      <c r="AM841" s="10"/>
      <c r="AO841" s="10"/>
      <c r="AW841" s="143"/>
      <c r="BD841" s="10"/>
      <c r="BE841" s="10"/>
      <c r="BF841" s="10"/>
      <c r="BG841" s="10"/>
      <c r="BH841" s="10"/>
      <c r="BI841" s="10"/>
      <c r="BJ841" s="10"/>
      <c r="BK841" s="10"/>
      <c r="BS841" s="10"/>
      <c r="BT841" s="10"/>
      <c r="BV841" s="10"/>
      <c r="BW841" s="10"/>
    </row>
    <row r="842">
      <c r="A842" s="10"/>
      <c r="B842" s="10"/>
      <c r="C842" s="10"/>
      <c r="D842" s="10"/>
      <c r="E842" s="10"/>
      <c r="F842" s="10"/>
      <c r="G842" s="10"/>
      <c r="H842" s="10"/>
      <c r="J842" s="10"/>
      <c r="K842" s="10"/>
      <c r="L842" s="10"/>
      <c r="U842" s="10"/>
      <c r="V842" s="10"/>
      <c r="W842" s="10"/>
      <c r="X842" s="10"/>
      <c r="Y842" s="10"/>
      <c r="Z842" s="10"/>
      <c r="AA842" s="10"/>
      <c r="AB842" s="10"/>
      <c r="AC842" s="10"/>
      <c r="AD842" s="10"/>
      <c r="AE842" s="10"/>
      <c r="AF842" s="10"/>
      <c r="AG842" s="10"/>
      <c r="AH842" s="10"/>
      <c r="AI842" s="10"/>
      <c r="AJ842" s="10"/>
      <c r="AK842" s="10"/>
      <c r="AL842" s="10"/>
      <c r="AM842" s="10"/>
      <c r="AO842" s="10"/>
      <c r="AW842" s="143"/>
      <c r="BD842" s="10"/>
      <c r="BE842" s="10"/>
      <c r="BF842" s="10"/>
      <c r="BG842" s="10"/>
      <c r="BH842" s="10"/>
      <c r="BI842" s="10"/>
      <c r="BJ842" s="10"/>
      <c r="BK842" s="10"/>
      <c r="BS842" s="10"/>
      <c r="BT842" s="10"/>
      <c r="BV842" s="10"/>
      <c r="BW842" s="10"/>
    </row>
    <row r="843">
      <c r="A843" s="10"/>
      <c r="B843" s="10"/>
      <c r="C843" s="10"/>
      <c r="D843" s="10"/>
      <c r="E843" s="10"/>
      <c r="F843" s="10"/>
      <c r="G843" s="10"/>
      <c r="H843" s="10"/>
      <c r="J843" s="10"/>
      <c r="K843" s="10"/>
      <c r="L843" s="10"/>
      <c r="O843" s="10"/>
      <c r="Q843" s="10"/>
      <c r="R843" s="10"/>
      <c r="V843" s="10"/>
      <c r="W843" s="10"/>
      <c r="X843" s="10"/>
      <c r="Y843" s="10"/>
      <c r="Z843" s="10"/>
      <c r="AA843" s="10"/>
      <c r="AB843" s="10"/>
      <c r="AC843" s="10"/>
      <c r="AD843" s="10"/>
      <c r="AE843" s="10"/>
      <c r="AF843" s="10"/>
      <c r="AG843" s="10"/>
      <c r="AH843" s="10"/>
      <c r="AI843" s="10"/>
      <c r="AJ843" s="10"/>
      <c r="AK843" s="10"/>
      <c r="AL843" s="10"/>
      <c r="AM843" s="10"/>
      <c r="AN843" s="10"/>
      <c r="AO843" s="10"/>
      <c r="AW843" s="143"/>
      <c r="BD843" s="10"/>
      <c r="BE843" s="10"/>
      <c r="BF843" s="10"/>
      <c r="BG843" s="10"/>
      <c r="BH843" s="10"/>
      <c r="BI843" s="10"/>
      <c r="BJ843" s="10"/>
      <c r="BK843" s="10"/>
      <c r="BL843" s="10"/>
      <c r="BO843" s="10"/>
      <c r="BR843" s="10"/>
      <c r="BS843" s="10"/>
      <c r="BT843" s="10"/>
      <c r="BV843" s="10"/>
      <c r="BW843" s="10"/>
    </row>
    <row r="844">
      <c r="A844" s="10"/>
      <c r="B844" s="10"/>
      <c r="C844" s="10"/>
      <c r="D844" s="10"/>
      <c r="E844" s="10"/>
      <c r="F844" s="10"/>
      <c r="G844" s="10"/>
      <c r="H844" s="10"/>
      <c r="K844" s="10"/>
      <c r="L844" s="10"/>
      <c r="V844" s="10"/>
      <c r="W844" s="10"/>
      <c r="Y844" s="10"/>
      <c r="Z844" s="10"/>
      <c r="AA844" s="10"/>
      <c r="AB844" s="10"/>
      <c r="AC844" s="10"/>
      <c r="AD844" s="10"/>
      <c r="AE844" s="10"/>
      <c r="AF844" s="10"/>
      <c r="AG844" s="10"/>
      <c r="AH844" s="10"/>
      <c r="AI844" s="10"/>
      <c r="AJ844" s="10"/>
      <c r="AK844" s="10"/>
      <c r="AL844" s="10"/>
      <c r="AM844" s="10"/>
      <c r="AN844" s="10"/>
      <c r="AO844" s="10"/>
      <c r="AW844" s="143"/>
      <c r="BD844" s="10"/>
      <c r="BE844" s="10"/>
      <c r="BF844" s="10"/>
      <c r="BG844" s="10"/>
      <c r="BH844" s="10"/>
      <c r="BI844" s="10"/>
      <c r="BJ844" s="10"/>
      <c r="BK844" s="10"/>
      <c r="BS844" s="10"/>
      <c r="BT844" s="10"/>
      <c r="BV844" s="10"/>
      <c r="BW844" s="10"/>
    </row>
    <row r="845">
      <c r="A845" s="10"/>
      <c r="B845" s="10"/>
      <c r="C845" s="10"/>
      <c r="D845" s="10"/>
      <c r="E845" s="10"/>
      <c r="F845" s="10"/>
      <c r="G845" s="10"/>
      <c r="H845" s="10"/>
      <c r="K845" s="10"/>
      <c r="L845" s="10"/>
      <c r="V845" s="10"/>
      <c r="W845" s="10"/>
      <c r="X845" s="10"/>
      <c r="Y845" s="10"/>
      <c r="Z845" s="10"/>
      <c r="AA845" s="10"/>
      <c r="AB845" s="10"/>
      <c r="AC845" s="10"/>
      <c r="AD845" s="10"/>
      <c r="AE845" s="10"/>
      <c r="AF845" s="10"/>
      <c r="AG845" s="10"/>
      <c r="AH845" s="10"/>
      <c r="AI845" s="10"/>
      <c r="AJ845" s="10"/>
      <c r="AK845" s="10"/>
      <c r="AL845" s="10"/>
      <c r="AM845" s="10"/>
      <c r="AN845" s="10"/>
      <c r="AO845" s="10"/>
      <c r="AW845" s="143"/>
      <c r="BD845" s="10"/>
      <c r="BE845" s="10"/>
      <c r="BF845" s="10"/>
      <c r="BG845" s="10"/>
      <c r="BH845" s="10"/>
      <c r="BI845" s="10"/>
      <c r="BJ845" s="10"/>
      <c r="BK845" s="10"/>
      <c r="BS845" s="10"/>
      <c r="BT845" s="10"/>
      <c r="BV845" s="10"/>
      <c r="BW845" s="10"/>
    </row>
    <row r="846">
      <c r="A846" s="10"/>
      <c r="B846" s="10"/>
      <c r="C846" s="10"/>
      <c r="D846" s="10"/>
      <c r="E846" s="10"/>
      <c r="F846" s="10"/>
      <c r="G846" s="10"/>
      <c r="H846" s="10"/>
      <c r="K846" s="10"/>
      <c r="L846" s="10"/>
      <c r="V846" s="10"/>
      <c r="W846" s="10"/>
      <c r="X846" s="10"/>
      <c r="Y846" s="10"/>
      <c r="Z846" s="10"/>
      <c r="AA846" s="10"/>
      <c r="AB846" s="10"/>
      <c r="AC846" s="10"/>
      <c r="AD846" s="10"/>
      <c r="AE846" s="10"/>
      <c r="AF846" s="10"/>
      <c r="AG846" s="10"/>
      <c r="AH846" s="10"/>
      <c r="AI846" s="10"/>
      <c r="AJ846" s="10"/>
      <c r="AK846" s="10"/>
      <c r="AL846" s="10"/>
      <c r="AM846" s="10"/>
      <c r="AN846" s="10"/>
      <c r="AO846" s="10"/>
      <c r="AW846" s="143"/>
      <c r="BD846" s="10"/>
      <c r="BE846" s="10"/>
      <c r="BF846" s="10"/>
      <c r="BG846" s="10"/>
      <c r="BH846" s="10"/>
      <c r="BI846" s="10"/>
      <c r="BJ846" s="10"/>
      <c r="BK846" s="10"/>
      <c r="BS846" s="10"/>
      <c r="BT846" s="10"/>
      <c r="BV846" s="10"/>
      <c r="BW846" s="10"/>
    </row>
    <row r="847">
      <c r="A847" s="10"/>
      <c r="B847" s="10"/>
      <c r="C847" s="10"/>
      <c r="D847" s="10"/>
      <c r="E847" s="10"/>
      <c r="F847" s="10"/>
      <c r="G847" s="10"/>
      <c r="H847" s="10"/>
      <c r="K847" s="10"/>
      <c r="L847" s="10"/>
      <c r="N847" s="10"/>
      <c r="V847" s="10"/>
      <c r="W847" s="10"/>
      <c r="X847" s="10"/>
      <c r="Y847" s="10"/>
      <c r="Z847" s="10"/>
      <c r="AA847" s="10"/>
      <c r="AB847" s="10"/>
      <c r="AC847" s="10"/>
      <c r="AD847" s="10"/>
      <c r="AE847" s="10"/>
      <c r="AF847" s="10"/>
      <c r="AG847" s="10"/>
      <c r="AH847" s="10"/>
      <c r="AI847" s="10"/>
      <c r="AJ847" s="10"/>
      <c r="AK847" s="10"/>
      <c r="AL847" s="10"/>
      <c r="AM847" s="10"/>
      <c r="AN847" s="10"/>
      <c r="AO847" s="10"/>
      <c r="AW847" s="143"/>
      <c r="BD847" s="10"/>
      <c r="BE847" s="10"/>
      <c r="BF847" s="10"/>
      <c r="BG847" s="10"/>
      <c r="BH847" s="10"/>
      <c r="BI847" s="10"/>
      <c r="BJ847" s="10"/>
      <c r="BK847" s="10"/>
      <c r="BS847" s="10"/>
      <c r="BT847" s="10"/>
      <c r="BV847" s="10"/>
      <c r="BW847" s="10"/>
    </row>
    <row r="848">
      <c r="A848" s="10"/>
      <c r="B848" s="10"/>
      <c r="C848" s="10"/>
      <c r="D848" s="10"/>
      <c r="E848" s="10"/>
      <c r="F848" s="10"/>
      <c r="G848" s="10"/>
      <c r="H848" s="10"/>
      <c r="K848" s="10"/>
      <c r="L848" s="10"/>
      <c r="N848" s="10"/>
      <c r="V848" s="10"/>
      <c r="W848" s="10"/>
      <c r="X848" s="10"/>
      <c r="Y848" s="10"/>
      <c r="Z848" s="10"/>
      <c r="AA848" s="10"/>
      <c r="AB848" s="10"/>
      <c r="AC848" s="10"/>
      <c r="AD848" s="10"/>
      <c r="AE848" s="10"/>
      <c r="AF848" s="10"/>
      <c r="AG848" s="10"/>
      <c r="AH848" s="10"/>
      <c r="AI848" s="10"/>
      <c r="AJ848" s="10"/>
      <c r="AK848" s="10"/>
      <c r="AL848" s="10"/>
      <c r="AM848" s="10"/>
      <c r="AN848" s="10"/>
      <c r="AO848" s="10"/>
      <c r="AW848" s="143"/>
      <c r="BD848" s="10"/>
      <c r="BE848" s="10"/>
      <c r="BF848" s="10"/>
      <c r="BG848" s="10"/>
      <c r="BH848" s="10"/>
      <c r="BI848" s="10"/>
      <c r="BJ848" s="10"/>
      <c r="BK848" s="10"/>
      <c r="BS848" s="10"/>
      <c r="BT848" s="10"/>
      <c r="BV848" s="10"/>
      <c r="BW848" s="10"/>
    </row>
    <row r="849">
      <c r="A849" s="10"/>
      <c r="B849" s="10"/>
      <c r="C849" s="10"/>
      <c r="D849" s="10"/>
      <c r="E849" s="10"/>
      <c r="F849" s="10"/>
      <c r="G849" s="10"/>
      <c r="H849" s="10"/>
      <c r="K849" s="10"/>
      <c r="L849" s="10"/>
      <c r="N849" s="10"/>
      <c r="V849" s="10"/>
      <c r="W849" s="10"/>
      <c r="X849" s="10"/>
      <c r="Y849" s="10"/>
      <c r="Z849" s="10"/>
      <c r="AA849" s="10"/>
      <c r="AB849" s="10"/>
      <c r="AC849" s="10"/>
      <c r="AD849" s="10"/>
      <c r="AE849" s="10"/>
      <c r="AF849" s="10"/>
      <c r="AG849" s="10"/>
      <c r="AH849" s="10"/>
      <c r="AI849" s="10"/>
      <c r="AJ849" s="10"/>
      <c r="AK849" s="10"/>
      <c r="AL849" s="10"/>
      <c r="AM849" s="10"/>
      <c r="AN849" s="10"/>
      <c r="AO849" s="10"/>
      <c r="AT849" s="10"/>
      <c r="AW849" s="143"/>
      <c r="BA849" s="10"/>
      <c r="BD849" s="10"/>
      <c r="BE849" s="10"/>
      <c r="BF849" s="10"/>
      <c r="BG849" s="10"/>
      <c r="BH849" s="10"/>
      <c r="BI849" s="10"/>
      <c r="BJ849" s="10"/>
      <c r="BK849" s="10"/>
      <c r="BS849" s="10"/>
      <c r="BT849" s="10"/>
      <c r="BV849" s="10"/>
      <c r="BW849" s="10"/>
    </row>
    <row r="850">
      <c r="A850" s="10"/>
      <c r="B850" s="10"/>
      <c r="C850" s="10"/>
      <c r="D850" s="10"/>
      <c r="E850" s="10"/>
      <c r="F850" s="10"/>
      <c r="G850" s="10"/>
      <c r="H850" s="10"/>
      <c r="K850" s="10"/>
      <c r="L850" s="10"/>
      <c r="N850" s="10"/>
      <c r="V850" s="10"/>
      <c r="W850" s="10"/>
      <c r="X850" s="10"/>
      <c r="Y850" s="10"/>
      <c r="Z850" s="10"/>
      <c r="AA850" s="10"/>
      <c r="AB850" s="10"/>
      <c r="AC850" s="10"/>
      <c r="AD850" s="10"/>
      <c r="AE850" s="10"/>
      <c r="AF850" s="10"/>
      <c r="AG850" s="10"/>
      <c r="AH850" s="10"/>
      <c r="AI850" s="10"/>
      <c r="AJ850" s="10"/>
      <c r="AK850" s="10"/>
      <c r="AL850" s="10"/>
      <c r="AM850" s="10"/>
      <c r="AN850" s="10"/>
      <c r="AO850" s="10"/>
      <c r="AW850" s="143"/>
      <c r="BD850" s="10"/>
      <c r="BE850" s="10"/>
      <c r="BF850" s="10"/>
      <c r="BG850" s="10"/>
      <c r="BH850" s="10"/>
      <c r="BI850" s="10"/>
      <c r="BJ850" s="10"/>
      <c r="BK850" s="10"/>
      <c r="BS850" s="10"/>
      <c r="BT850" s="10"/>
      <c r="BV850" s="10"/>
      <c r="BW850" s="10"/>
    </row>
    <row r="851">
      <c r="A851" s="10"/>
      <c r="B851" s="10"/>
      <c r="C851" s="10"/>
      <c r="D851" s="10"/>
      <c r="E851" s="10"/>
      <c r="F851" s="10"/>
      <c r="G851" s="10"/>
      <c r="H851" s="10"/>
      <c r="J851" s="10"/>
      <c r="K851" s="10"/>
      <c r="L851" s="10"/>
      <c r="N851" s="10"/>
      <c r="V851" s="10"/>
      <c r="W851" s="10"/>
      <c r="X851" s="10"/>
      <c r="Y851" s="10"/>
      <c r="Z851" s="10"/>
      <c r="AA851" s="10"/>
      <c r="AB851" s="10"/>
      <c r="AC851" s="10"/>
      <c r="AD851" s="10"/>
      <c r="AE851" s="10"/>
      <c r="AF851" s="10"/>
      <c r="AG851" s="10"/>
      <c r="AH851" s="10"/>
      <c r="AI851" s="10"/>
      <c r="AJ851" s="10"/>
      <c r="AK851" s="10"/>
      <c r="AL851" s="10"/>
      <c r="AM851" s="10"/>
      <c r="AN851" s="10"/>
      <c r="AO851" s="10"/>
      <c r="AW851" s="143"/>
      <c r="BD851" s="10"/>
      <c r="BE851" s="10"/>
      <c r="BF851" s="10"/>
      <c r="BG851" s="10"/>
      <c r="BH851" s="10"/>
      <c r="BI851" s="10"/>
      <c r="BJ851" s="10"/>
      <c r="BK851" s="10"/>
      <c r="BS851" s="10"/>
      <c r="BT851" s="10"/>
      <c r="BV851" s="10"/>
      <c r="BW851" s="10"/>
    </row>
    <row r="852">
      <c r="A852" s="10"/>
      <c r="B852" s="10"/>
      <c r="C852" s="10"/>
      <c r="D852" s="10"/>
      <c r="E852" s="10"/>
      <c r="F852" s="10"/>
      <c r="G852" s="10"/>
      <c r="H852" s="10"/>
      <c r="J852" s="10"/>
      <c r="K852" s="10"/>
      <c r="L852" s="10"/>
      <c r="N852" s="10"/>
      <c r="O852" s="10"/>
      <c r="P852" s="10"/>
      <c r="V852" s="10"/>
      <c r="W852" s="10"/>
      <c r="X852" s="10"/>
      <c r="Y852" s="10"/>
      <c r="Z852" s="10"/>
      <c r="AA852" s="10"/>
      <c r="AB852" s="10"/>
      <c r="AC852" s="10"/>
      <c r="AD852" s="10"/>
      <c r="AE852" s="10"/>
      <c r="AF852" s="10"/>
      <c r="AG852" s="10"/>
      <c r="AH852" s="10"/>
      <c r="AI852" s="10"/>
      <c r="AJ852" s="10"/>
      <c r="AL852" s="10"/>
      <c r="AM852" s="10"/>
      <c r="AO852" s="10"/>
      <c r="AW852" s="143"/>
      <c r="BD852" s="10"/>
      <c r="BE852" s="10"/>
      <c r="BF852" s="10"/>
      <c r="BG852" s="10"/>
      <c r="BH852" s="10"/>
      <c r="BI852" s="10"/>
      <c r="BJ852" s="10"/>
      <c r="BK852" s="10"/>
      <c r="BT852" s="10"/>
      <c r="BV852" s="10"/>
      <c r="BW852" s="10"/>
    </row>
    <row r="853">
      <c r="A853" s="10"/>
      <c r="B853" s="10"/>
      <c r="C853" s="10"/>
      <c r="D853" s="10"/>
      <c r="E853" s="10"/>
      <c r="F853" s="10"/>
      <c r="G853" s="10"/>
      <c r="H853" s="10"/>
      <c r="K853" s="10"/>
      <c r="L853" s="10"/>
      <c r="N853" s="10"/>
      <c r="P853" s="10"/>
      <c r="Q853" s="10"/>
      <c r="R853" s="10"/>
      <c r="T853" s="10"/>
      <c r="V853" s="10"/>
      <c r="W853" s="10"/>
      <c r="Y853" s="10"/>
      <c r="Z853" s="10"/>
      <c r="AA853" s="10"/>
      <c r="AB853" s="10"/>
      <c r="AC853" s="10"/>
      <c r="AD853" s="10"/>
      <c r="AE853" s="10"/>
      <c r="AF853" s="10"/>
      <c r="AG853" s="10"/>
      <c r="AH853" s="10"/>
      <c r="AI853" s="10"/>
      <c r="AJ853" s="10"/>
      <c r="AK853" s="10"/>
      <c r="AL853" s="10"/>
      <c r="AM853" s="10"/>
      <c r="AN853" s="10"/>
      <c r="AO853" s="10"/>
      <c r="AW853" s="143"/>
      <c r="BD853" s="10"/>
      <c r="BE853" s="10"/>
      <c r="BF853" s="10"/>
      <c r="BG853" s="10"/>
      <c r="BH853" s="10"/>
      <c r="BI853" s="10"/>
      <c r="BJ853" s="10"/>
      <c r="BK853" s="10"/>
      <c r="BL853" s="10"/>
      <c r="BN853" s="10"/>
      <c r="BO853" s="10"/>
      <c r="BQ853" s="10"/>
      <c r="BR853" s="10"/>
      <c r="BT853" s="10"/>
      <c r="BV853" s="10"/>
      <c r="BW853" s="10"/>
    </row>
    <row r="854">
      <c r="A854" s="10"/>
      <c r="B854" s="10"/>
      <c r="C854" s="10"/>
      <c r="D854" s="10"/>
      <c r="E854" s="10"/>
      <c r="F854" s="10"/>
      <c r="G854" s="10"/>
      <c r="H854" s="10"/>
      <c r="J854" s="10"/>
      <c r="K854" s="10"/>
      <c r="L854" s="10"/>
      <c r="N854" s="10"/>
      <c r="T854" s="10"/>
      <c r="V854" s="10"/>
      <c r="W854" s="10"/>
      <c r="X854" s="10"/>
      <c r="Y854" s="10"/>
      <c r="Z854" s="10"/>
      <c r="AA854" s="10"/>
      <c r="AB854" s="10"/>
      <c r="AC854" s="10"/>
      <c r="AD854" s="10"/>
      <c r="AE854" s="10"/>
      <c r="AF854" s="10"/>
      <c r="AG854" s="10"/>
      <c r="AH854" s="10"/>
      <c r="AI854" s="10"/>
      <c r="AJ854" s="10"/>
      <c r="AK854" s="10"/>
      <c r="AL854" s="10"/>
      <c r="AM854" s="10"/>
      <c r="AN854" s="10"/>
      <c r="AO854" s="10"/>
      <c r="AW854" s="143"/>
      <c r="BD854" s="10"/>
      <c r="BE854" s="10"/>
      <c r="BF854" s="10"/>
      <c r="BG854" s="10"/>
      <c r="BH854" s="10"/>
      <c r="BI854" s="10"/>
      <c r="BJ854" s="10"/>
      <c r="BK854" s="10"/>
      <c r="BT854" s="10"/>
      <c r="BV854" s="10"/>
      <c r="BW854" s="10"/>
    </row>
    <row r="855">
      <c r="A855" s="10"/>
      <c r="B855" s="10"/>
      <c r="C855" s="10"/>
      <c r="D855" s="10"/>
      <c r="E855" s="10"/>
      <c r="F855" s="10"/>
      <c r="G855" s="10"/>
      <c r="H855" s="10"/>
      <c r="K855" s="10"/>
      <c r="L855" s="10"/>
      <c r="N855" s="10"/>
      <c r="V855" s="10"/>
      <c r="W855" s="10"/>
      <c r="Y855" s="10"/>
      <c r="Z855" s="10"/>
      <c r="AA855" s="10"/>
      <c r="AB855" s="10"/>
      <c r="AC855" s="10"/>
      <c r="AD855" s="10"/>
      <c r="AE855" s="10"/>
      <c r="AF855" s="10"/>
      <c r="AG855" s="10"/>
      <c r="AH855" s="10"/>
      <c r="AI855" s="10"/>
      <c r="AJ855" s="10"/>
      <c r="AK855" s="10"/>
      <c r="AL855" s="10"/>
      <c r="AM855" s="10"/>
      <c r="AN855" s="10"/>
      <c r="AO855" s="10"/>
      <c r="AW855" s="143"/>
      <c r="AZ855" s="10"/>
      <c r="BD855" s="10"/>
      <c r="BE855" s="10"/>
      <c r="BF855" s="10"/>
      <c r="BG855" s="10"/>
      <c r="BH855" s="10"/>
      <c r="BI855" s="10"/>
      <c r="BJ855" s="10"/>
      <c r="BK855" s="10"/>
      <c r="BL855" s="10"/>
      <c r="BO855" s="10"/>
      <c r="BR855" s="10"/>
      <c r="BS855" s="10"/>
      <c r="BT855" s="10"/>
      <c r="BV855" s="10"/>
      <c r="BW855" s="10"/>
    </row>
    <row r="856">
      <c r="A856" s="10"/>
      <c r="B856" s="10"/>
      <c r="C856" s="10"/>
      <c r="D856" s="10"/>
      <c r="E856" s="10"/>
      <c r="F856" s="10"/>
      <c r="G856" s="10"/>
      <c r="H856" s="10"/>
      <c r="K856" s="10"/>
      <c r="L856" s="10"/>
      <c r="N856" s="10"/>
      <c r="P856" s="10"/>
      <c r="V856" s="10"/>
      <c r="W856" s="10"/>
      <c r="X856" s="10"/>
      <c r="Y856" s="10"/>
      <c r="Z856" s="10"/>
      <c r="AA856" s="10"/>
      <c r="AB856" s="10"/>
      <c r="AC856" s="10"/>
      <c r="AD856" s="10"/>
      <c r="AE856" s="10"/>
      <c r="AF856" s="10"/>
      <c r="AG856" s="10"/>
      <c r="AH856" s="10"/>
      <c r="AI856" s="10"/>
      <c r="AJ856" s="10"/>
      <c r="AK856" s="10"/>
      <c r="AL856" s="10"/>
      <c r="AM856" s="10"/>
      <c r="AN856" s="10"/>
      <c r="AO856" s="10"/>
      <c r="AW856" s="143"/>
      <c r="BD856" s="10"/>
      <c r="BE856" s="10"/>
      <c r="BF856" s="10"/>
      <c r="BG856" s="10"/>
      <c r="BH856" s="10"/>
      <c r="BI856" s="10"/>
      <c r="BJ856" s="10"/>
      <c r="BK856" s="10"/>
      <c r="BS856" s="10"/>
      <c r="BT856" s="10"/>
      <c r="BV856" s="10"/>
      <c r="BW856" s="10"/>
    </row>
    <row r="857">
      <c r="A857" s="10"/>
      <c r="B857" s="10"/>
      <c r="C857" s="10"/>
      <c r="D857" s="10"/>
      <c r="E857" s="10"/>
      <c r="F857" s="10"/>
      <c r="G857" s="10"/>
      <c r="H857" s="10"/>
      <c r="K857" s="10"/>
      <c r="L857" s="10"/>
      <c r="N857" s="10"/>
      <c r="P857" s="10"/>
      <c r="V857" s="10"/>
      <c r="W857" s="10"/>
      <c r="Y857" s="10"/>
      <c r="Z857" s="10"/>
      <c r="AA857" s="10"/>
      <c r="AB857" s="10"/>
      <c r="AC857" s="10"/>
      <c r="AD857" s="10"/>
      <c r="AE857" s="10"/>
      <c r="AF857" s="10"/>
      <c r="AG857" s="10"/>
      <c r="AH857" s="10"/>
      <c r="AI857" s="10"/>
      <c r="AJ857" s="10"/>
      <c r="AK857" s="10"/>
      <c r="AL857" s="10"/>
      <c r="AM857" s="10"/>
      <c r="AN857" s="10"/>
      <c r="AO857" s="10"/>
      <c r="AW857" s="143"/>
      <c r="BD857" s="10"/>
      <c r="BE857" s="10"/>
      <c r="BF857" s="10"/>
      <c r="BG857" s="10"/>
      <c r="BH857" s="10"/>
      <c r="BI857" s="10"/>
      <c r="BJ857" s="10"/>
      <c r="BK857" s="10"/>
      <c r="BL857" s="10"/>
      <c r="BM857" s="10"/>
      <c r="BN857" s="10"/>
      <c r="BO857" s="10"/>
      <c r="BP857" s="10"/>
      <c r="BQ857" s="10"/>
      <c r="BR857" s="10"/>
      <c r="BS857" s="10"/>
      <c r="BT857" s="10"/>
      <c r="BV857" s="10"/>
      <c r="BW857" s="10"/>
    </row>
    <row r="858">
      <c r="A858" s="10"/>
      <c r="B858" s="10"/>
      <c r="C858" s="10"/>
      <c r="D858" s="10"/>
      <c r="E858" s="10"/>
      <c r="F858" s="10"/>
      <c r="G858" s="10"/>
      <c r="H858" s="10"/>
      <c r="K858" s="10"/>
      <c r="L858" s="10"/>
      <c r="N858" s="10"/>
      <c r="V858" s="10"/>
      <c r="W858" s="10"/>
      <c r="Y858" s="10"/>
      <c r="Z858" s="10"/>
      <c r="AA858" s="10"/>
      <c r="AB858" s="10"/>
      <c r="AC858" s="10"/>
      <c r="AD858" s="10"/>
      <c r="AE858" s="10"/>
      <c r="AF858" s="10"/>
      <c r="AG858" s="10"/>
      <c r="AH858" s="10"/>
      <c r="AI858" s="10"/>
      <c r="AJ858" s="10"/>
      <c r="AK858" s="10"/>
      <c r="AL858" s="10"/>
      <c r="AM858" s="10"/>
      <c r="AN858" s="10"/>
      <c r="AO858" s="10"/>
      <c r="AW858" s="143"/>
      <c r="BD858" s="10"/>
      <c r="BE858" s="10"/>
      <c r="BF858" s="10"/>
      <c r="BG858" s="10"/>
      <c r="BH858" s="10"/>
      <c r="BI858" s="10"/>
      <c r="BJ858" s="10"/>
      <c r="BK858" s="10"/>
      <c r="BS858" s="10"/>
      <c r="BT858" s="10"/>
      <c r="BV858" s="10"/>
      <c r="BW858" s="10"/>
    </row>
    <row r="859">
      <c r="A859" s="10"/>
      <c r="B859" s="10"/>
      <c r="C859" s="10"/>
      <c r="D859" s="10"/>
      <c r="E859" s="10"/>
      <c r="F859" s="10"/>
      <c r="G859" s="10"/>
      <c r="H859" s="10"/>
      <c r="I859" s="10"/>
      <c r="K859" s="10"/>
      <c r="L859" s="10"/>
      <c r="T859" s="10"/>
      <c r="U859" s="10"/>
      <c r="V859" s="10"/>
      <c r="W859" s="10"/>
      <c r="Y859" s="10"/>
      <c r="Z859" s="10"/>
      <c r="AA859" s="10"/>
      <c r="AB859" s="10"/>
      <c r="AC859" s="10"/>
      <c r="AD859" s="10"/>
      <c r="AE859" s="10"/>
      <c r="AF859" s="10"/>
      <c r="AG859" s="10"/>
      <c r="AH859" s="10"/>
      <c r="AI859" s="10"/>
      <c r="AJ859" s="10"/>
      <c r="AK859" s="10"/>
      <c r="AL859" s="10"/>
      <c r="AM859" s="10"/>
      <c r="AN859" s="10"/>
      <c r="AO859" s="10"/>
      <c r="AW859" s="143"/>
      <c r="BD859" s="10"/>
      <c r="BE859" s="10"/>
      <c r="BF859" s="10"/>
      <c r="BG859" s="10"/>
      <c r="BH859" s="10"/>
      <c r="BI859" s="10"/>
      <c r="BJ859" s="10"/>
      <c r="BK859" s="10"/>
      <c r="BL859" s="10"/>
      <c r="BM859" s="10"/>
      <c r="BN859" s="10"/>
      <c r="BO859" s="10"/>
      <c r="BP859" s="10"/>
      <c r="BQ859" s="10"/>
      <c r="BR859" s="10"/>
      <c r="BS859" s="10"/>
      <c r="BT859" s="10"/>
      <c r="BV859" s="10"/>
      <c r="BW859" s="10"/>
    </row>
    <row r="860">
      <c r="A860" s="10"/>
      <c r="B860" s="10"/>
      <c r="C860" s="10"/>
      <c r="D860" s="10"/>
      <c r="E860" s="10"/>
      <c r="F860" s="10"/>
      <c r="G860" s="10"/>
      <c r="H860" s="10"/>
      <c r="I860" s="10"/>
      <c r="J860" s="10"/>
      <c r="K860" s="10"/>
      <c r="L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W860" s="143"/>
      <c r="BD860" s="10"/>
      <c r="BE860" s="10"/>
      <c r="BF860" s="10"/>
      <c r="BG860" s="10"/>
      <c r="BH860" s="10"/>
      <c r="BI860" s="10"/>
      <c r="BJ860" s="10"/>
      <c r="BK860" s="10"/>
      <c r="BL860" s="10"/>
      <c r="BM860" s="10"/>
      <c r="BN860" s="10"/>
      <c r="BO860" s="10"/>
      <c r="BP860" s="10"/>
      <c r="BQ860" s="10"/>
      <c r="BR860" s="10"/>
      <c r="BS860" s="10"/>
      <c r="BT860" s="10"/>
      <c r="BV860" s="10"/>
      <c r="BW860" s="10"/>
    </row>
    <row r="861">
      <c r="A861" s="10"/>
      <c r="B861" s="10"/>
      <c r="C861" s="10"/>
      <c r="D861" s="10"/>
      <c r="E861" s="10"/>
      <c r="F861" s="10"/>
      <c r="G861" s="10"/>
      <c r="H861" s="10"/>
      <c r="K861" s="10"/>
      <c r="L861" s="10"/>
      <c r="O861" s="10"/>
      <c r="P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W861" s="143"/>
      <c r="BD861" s="10"/>
      <c r="BE861" s="10"/>
      <c r="BF861" s="10"/>
      <c r="BG861" s="10"/>
      <c r="BH861" s="10"/>
      <c r="BI861" s="10"/>
      <c r="BJ861" s="10"/>
      <c r="BK861" s="10"/>
      <c r="BL861" s="10"/>
      <c r="BM861" s="10"/>
      <c r="BN861" s="10"/>
      <c r="BO861" s="10"/>
      <c r="BP861" s="10"/>
      <c r="BQ861" s="10"/>
      <c r="BR861" s="10"/>
      <c r="BS861" s="10"/>
      <c r="BT861" s="10"/>
      <c r="BV861" s="10"/>
      <c r="BW861" s="10"/>
    </row>
    <row r="862">
      <c r="A862" s="10"/>
      <c r="B862" s="10"/>
      <c r="C862" s="10"/>
      <c r="D862" s="10"/>
      <c r="E862" s="10"/>
      <c r="F862" s="10"/>
      <c r="G862" s="10"/>
      <c r="H862" s="10"/>
      <c r="K862" s="10"/>
      <c r="L862" s="10"/>
      <c r="N862" s="10"/>
      <c r="P862" s="10"/>
      <c r="U862" s="10"/>
      <c r="V862" s="10"/>
      <c r="W862" s="10"/>
      <c r="X862" s="10"/>
      <c r="Y862" s="10"/>
      <c r="Z862" s="10"/>
      <c r="AA862" s="10"/>
      <c r="AB862" s="10"/>
      <c r="AC862" s="10"/>
      <c r="AD862" s="10"/>
      <c r="AE862" s="10"/>
      <c r="AF862" s="10"/>
      <c r="AG862" s="10"/>
      <c r="AH862" s="10"/>
      <c r="AI862" s="10"/>
      <c r="AJ862" s="10"/>
      <c r="AK862" s="10"/>
      <c r="AL862" s="10"/>
      <c r="AM862" s="10"/>
      <c r="AN862" s="10"/>
      <c r="AO862" s="10"/>
      <c r="AW862" s="143"/>
      <c r="BD862" s="10"/>
      <c r="BE862" s="10"/>
      <c r="BF862" s="10"/>
      <c r="BG862" s="10"/>
      <c r="BH862" s="10"/>
      <c r="BI862" s="10"/>
      <c r="BJ862" s="10"/>
      <c r="BK862" s="10"/>
      <c r="BL862" s="10"/>
      <c r="BM862" s="10"/>
      <c r="BN862" s="10"/>
      <c r="BO862" s="10"/>
      <c r="BP862" s="10"/>
      <c r="BQ862" s="10"/>
      <c r="BR862" s="10"/>
      <c r="BS862" s="10"/>
      <c r="BT862" s="10"/>
      <c r="BV862" s="10"/>
      <c r="BW862" s="10"/>
    </row>
    <row r="863">
      <c r="A863" s="10"/>
      <c r="B863" s="10"/>
      <c r="C863" s="10"/>
      <c r="D863" s="10"/>
      <c r="E863" s="10"/>
      <c r="F863" s="10"/>
      <c r="G863" s="10"/>
      <c r="H863" s="10"/>
      <c r="I863" s="10"/>
      <c r="J863" s="10"/>
      <c r="K863" s="10"/>
      <c r="L863" s="10"/>
      <c r="N863" s="10"/>
      <c r="P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U863" s="10"/>
      <c r="AV863" s="10"/>
      <c r="AW863" s="143"/>
      <c r="BD863" s="10"/>
      <c r="BL863" s="10"/>
      <c r="BO863" s="10"/>
      <c r="BR863" s="10"/>
      <c r="BS863" s="10"/>
      <c r="BT863" s="10"/>
      <c r="BV863" s="10"/>
      <c r="BW863" s="10"/>
    </row>
    <row r="864">
      <c r="A864" s="10"/>
      <c r="B864" s="10"/>
      <c r="C864" s="10"/>
      <c r="D864" s="10"/>
      <c r="E864" s="10"/>
      <c r="F864" s="10"/>
      <c r="G864" s="10"/>
      <c r="H864" s="10"/>
      <c r="N864" s="10"/>
      <c r="T864" s="10"/>
      <c r="U864" s="10"/>
      <c r="V864" s="10"/>
      <c r="W864" s="10"/>
      <c r="Y864" s="10"/>
      <c r="Z864" s="10"/>
      <c r="AA864" s="10"/>
      <c r="AB864" s="10"/>
      <c r="AC864" s="10"/>
      <c r="AD864" s="10"/>
      <c r="AE864" s="10"/>
      <c r="AF864" s="10"/>
      <c r="AG864" s="10"/>
      <c r="AH864" s="10"/>
      <c r="AI864" s="10"/>
      <c r="AJ864" s="10"/>
      <c r="AL864" s="10"/>
      <c r="AM864" s="10"/>
      <c r="AO864" s="10"/>
      <c r="AW864" s="143"/>
      <c r="BS864" s="10"/>
      <c r="BT864" s="10"/>
      <c r="BW864" s="10"/>
    </row>
    <row r="865">
      <c r="A865" s="10"/>
      <c r="B865" s="10"/>
      <c r="C865" s="10"/>
      <c r="D865" s="10"/>
      <c r="E865" s="10"/>
      <c r="F865" s="10"/>
      <c r="G865" s="10"/>
      <c r="H865" s="10"/>
      <c r="N865" s="10"/>
      <c r="T865" s="10"/>
      <c r="U865" s="10"/>
      <c r="V865" s="10"/>
      <c r="W865" s="10"/>
      <c r="Y865" s="10"/>
      <c r="Z865" s="10"/>
      <c r="AA865" s="10"/>
      <c r="AB865" s="10"/>
      <c r="AC865" s="10"/>
      <c r="AD865" s="10"/>
      <c r="AE865" s="10"/>
      <c r="AF865" s="10"/>
      <c r="AG865" s="10"/>
      <c r="AH865" s="10"/>
      <c r="AI865" s="10"/>
      <c r="AJ865" s="10"/>
      <c r="AL865" s="10"/>
      <c r="AM865" s="10"/>
      <c r="AO865" s="10"/>
      <c r="AW865" s="143"/>
      <c r="BS865" s="10"/>
      <c r="BT865" s="10"/>
      <c r="BW865" s="10"/>
    </row>
    <row r="866">
      <c r="A866" s="10"/>
      <c r="B866" s="10"/>
      <c r="C866" s="10"/>
      <c r="D866" s="10"/>
      <c r="E866" s="10"/>
      <c r="F866" s="10"/>
      <c r="G866" s="10"/>
      <c r="H866" s="10"/>
      <c r="T866" s="10"/>
      <c r="U866" s="10"/>
      <c r="V866" s="10"/>
      <c r="W866" s="10"/>
      <c r="Y866" s="10"/>
      <c r="Z866" s="10"/>
      <c r="AA866" s="10"/>
      <c r="AB866" s="10"/>
      <c r="AC866" s="10"/>
      <c r="AD866" s="10"/>
      <c r="AE866" s="10"/>
      <c r="AF866" s="10"/>
      <c r="AG866" s="10"/>
      <c r="AH866" s="10"/>
      <c r="AI866" s="10"/>
      <c r="AJ866" s="10"/>
      <c r="AL866" s="10"/>
      <c r="AM866" s="10"/>
      <c r="AO866" s="10"/>
      <c r="AW866" s="143"/>
      <c r="BS866" s="10"/>
      <c r="BT866" s="10"/>
      <c r="BW866" s="10"/>
    </row>
    <row r="867">
      <c r="A867" s="10"/>
      <c r="B867" s="10"/>
      <c r="C867" s="10"/>
      <c r="D867" s="10"/>
      <c r="E867" s="10"/>
      <c r="F867" s="10"/>
      <c r="G867" s="10"/>
      <c r="H867" s="10"/>
      <c r="N867" s="10"/>
      <c r="T867" s="10"/>
      <c r="U867" s="10"/>
      <c r="V867" s="10"/>
      <c r="W867" s="10"/>
      <c r="Y867" s="10"/>
      <c r="Z867" s="10"/>
      <c r="AA867" s="10"/>
      <c r="AB867" s="10"/>
      <c r="AC867" s="10"/>
      <c r="AD867" s="10"/>
      <c r="AE867" s="10"/>
      <c r="AF867" s="10"/>
      <c r="AG867" s="10"/>
      <c r="AH867" s="10"/>
      <c r="AI867" s="10"/>
      <c r="AJ867" s="10"/>
      <c r="AL867" s="10"/>
      <c r="AM867" s="10"/>
      <c r="AO867" s="10"/>
      <c r="AW867" s="143"/>
      <c r="BS867" s="10"/>
      <c r="BT867" s="10"/>
      <c r="BW867" s="10"/>
    </row>
    <row r="868">
      <c r="A868" s="10"/>
      <c r="B868" s="10"/>
      <c r="C868" s="10"/>
      <c r="D868" s="10"/>
      <c r="E868" s="10"/>
      <c r="F868" s="10"/>
      <c r="G868" s="10"/>
      <c r="H868" s="10"/>
      <c r="N868" s="10"/>
      <c r="T868" s="10"/>
      <c r="U868" s="10"/>
      <c r="V868" s="10"/>
      <c r="W868" s="10"/>
      <c r="Y868" s="10"/>
      <c r="Z868" s="10"/>
      <c r="AA868" s="10"/>
      <c r="AB868" s="10"/>
      <c r="AC868" s="10"/>
      <c r="AD868" s="10"/>
      <c r="AE868" s="10"/>
      <c r="AF868" s="10"/>
      <c r="AG868" s="10"/>
      <c r="AH868" s="10"/>
      <c r="AI868" s="10"/>
      <c r="AJ868" s="10"/>
      <c r="AL868" s="10"/>
      <c r="AM868" s="10"/>
      <c r="AO868" s="10"/>
      <c r="AW868" s="143"/>
      <c r="BS868" s="10"/>
      <c r="BT868" s="10"/>
      <c r="BW868" s="10"/>
    </row>
    <row r="869">
      <c r="A869" s="10"/>
      <c r="B869" s="10"/>
      <c r="C869" s="10"/>
      <c r="D869" s="10"/>
      <c r="E869" s="10"/>
      <c r="F869" s="10"/>
      <c r="G869" s="10"/>
      <c r="H869" s="10"/>
      <c r="N869" s="10"/>
      <c r="T869" s="10"/>
      <c r="U869" s="10"/>
      <c r="V869" s="10"/>
      <c r="W869" s="10"/>
      <c r="Y869" s="10"/>
      <c r="Z869" s="10"/>
      <c r="AA869" s="10"/>
      <c r="AB869" s="10"/>
      <c r="AC869" s="10"/>
      <c r="AD869" s="10"/>
      <c r="AE869" s="10"/>
      <c r="AF869" s="10"/>
      <c r="AG869" s="10"/>
      <c r="AH869" s="10"/>
      <c r="AI869" s="10"/>
      <c r="AJ869" s="10"/>
      <c r="AL869" s="10"/>
      <c r="AM869" s="10"/>
      <c r="AO869" s="10"/>
      <c r="AW869" s="143"/>
      <c r="BS869" s="10"/>
      <c r="BT869" s="10"/>
      <c r="BW869" s="10"/>
    </row>
    <row r="870">
      <c r="A870" s="10"/>
      <c r="B870" s="10"/>
      <c r="C870" s="10"/>
      <c r="D870" s="10"/>
      <c r="E870" s="10"/>
      <c r="F870" s="10"/>
      <c r="G870" s="10"/>
      <c r="H870" s="10"/>
      <c r="T870" s="10"/>
      <c r="U870" s="10"/>
      <c r="V870" s="10"/>
      <c r="W870" s="10"/>
      <c r="Y870" s="10"/>
      <c r="Z870" s="10"/>
      <c r="AA870" s="10"/>
      <c r="AB870" s="10"/>
      <c r="AC870" s="10"/>
      <c r="AD870" s="10"/>
      <c r="AE870" s="10"/>
      <c r="AF870" s="10"/>
      <c r="AG870" s="10"/>
      <c r="AH870" s="10"/>
      <c r="AI870" s="10"/>
      <c r="AJ870" s="10"/>
      <c r="AL870" s="10"/>
      <c r="AM870" s="10"/>
      <c r="AO870" s="10"/>
      <c r="AW870" s="143"/>
      <c r="BS870" s="10"/>
      <c r="BT870" s="10"/>
      <c r="BW870" s="10"/>
    </row>
    <row r="871">
      <c r="A871" s="10"/>
      <c r="B871" s="10"/>
      <c r="C871" s="10"/>
      <c r="D871" s="10"/>
      <c r="E871" s="10"/>
      <c r="F871" s="10"/>
      <c r="G871" s="10"/>
      <c r="H871" s="10"/>
      <c r="N871" s="10"/>
      <c r="T871" s="10"/>
      <c r="U871" s="10"/>
      <c r="V871" s="10"/>
      <c r="W871" s="10"/>
      <c r="Y871" s="10"/>
      <c r="Z871" s="10"/>
      <c r="AA871" s="10"/>
      <c r="AB871" s="10"/>
      <c r="AC871" s="10"/>
      <c r="AD871" s="10"/>
      <c r="AE871" s="10"/>
      <c r="AF871" s="10"/>
      <c r="AG871" s="10"/>
      <c r="AH871" s="10"/>
      <c r="AI871" s="10"/>
      <c r="AJ871" s="10"/>
      <c r="AL871" s="10"/>
      <c r="AM871" s="10"/>
      <c r="AO871" s="10"/>
      <c r="AW871" s="143"/>
      <c r="BS871" s="10"/>
      <c r="BT871" s="10"/>
      <c r="BW871" s="10"/>
    </row>
    <row r="872">
      <c r="A872" s="10"/>
      <c r="B872" s="10"/>
      <c r="C872" s="10"/>
      <c r="D872" s="10"/>
      <c r="E872" s="10"/>
      <c r="F872" s="10"/>
      <c r="G872" s="10"/>
      <c r="H872" s="10"/>
      <c r="I872" s="10"/>
      <c r="K872" s="10"/>
      <c r="L872" s="10"/>
      <c r="O872" s="10"/>
      <c r="P872" s="10"/>
      <c r="T872" s="10"/>
      <c r="U872" s="10"/>
      <c r="V872" s="10"/>
      <c r="W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U872" s="10"/>
      <c r="AV872" s="10"/>
      <c r="AW872" s="143"/>
      <c r="BD872" s="10"/>
      <c r="BE872" s="10"/>
      <c r="BF872" s="10"/>
      <c r="BG872" s="10"/>
      <c r="BH872" s="10"/>
      <c r="BI872" s="10"/>
      <c r="BJ872" s="10"/>
      <c r="BK872" s="10"/>
      <c r="BL872" s="10"/>
      <c r="BM872" s="10"/>
      <c r="BN872" s="10"/>
      <c r="BO872" s="10"/>
      <c r="BP872" s="10"/>
      <c r="BQ872" s="10"/>
      <c r="BR872" s="10"/>
      <c r="BS872" s="10"/>
      <c r="BT872" s="10"/>
      <c r="BV872" s="10"/>
      <c r="BW872" s="10"/>
    </row>
    <row r="873">
      <c r="A873" s="10"/>
      <c r="B873" s="10"/>
      <c r="C873" s="10"/>
      <c r="D873" s="10"/>
      <c r="E873" s="10"/>
      <c r="F873" s="10"/>
      <c r="G873" s="10"/>
      <c r="H873" s="10"/>
      <c r="I873" s="10"/>
      <c r="K873" s="10"/>
      <c r="L873" s="10"/>
      <c r="N873" s="10"/>
      <c r="P873" s="10"/>
      <c r="T873" s="10"/>
      <c r="U873" s="10"/>
      <c r="V873" s="10"/>
      <c r="W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U873" s="10"/>
      <c r="AV873" s="10"/>
      <c r="AW873" s="143"/>
      <c r="BD873" s="10"/>
      <c r="BE873" s="10"/>
      <c r="BF873" s="10"/>
      <c r="BG873" s="10"/>
      <c r="BH873" s="10"/>
      <c r="BI873" s="10"/>
      <c r="BJ873" s="10"/>
      <c r="BK873" s="10"/>
      <c r="BL873" s="10"/>
      <c r="BM873" s="10"/>
      <c r="BN873" s="10"/>
      <c r="BO873" s="10"/>
      <c r="BP873" s="10"/>
      <c r="BQ873" s="10"/>
      <c r="BR873" s="10"/>
      <c r="BS873" s="10"/>
      <c r="BT873" s="10"/>
      <c r="BV873" s="10"/>
      <c r="BW873" s="10"/>
    </row>
    <row r="874">
      <c r="A874" s="10"/>
      <c r="B874" s="10"/>
      <c r="C874" s="10"/>
      <c r="D874" s="10"/>
      <c r="E874" s="10"/>
      <c r="F874" s="10"/>
      <c r="G874" s="10"/>
      <c r="H874" s="10"/>
      <c r="K874" s="10"/>
      <c r="L874" s="10"/>
      <c r="O874" s="10"/>
      <c r="P874" s="10"/>
      <c r="U874" s="10"/>
      <c r="V874" s="10"/>
      <c r="W874" s="10"/>
      <c r="Y874" s="10"/>
      <c r="Z874" s="10"/>
      <c r="AA874" s="10"/>
      <c r="AB874" s="10"/>
      <c r="AC874" s="10"/>
      <c r="AD874" s="10"/>
      <c r="AE874" s="10"/>
      <c r="AF874" s="10"/>
      <c r="AG874" s="10"/>
      <c r="AH874" s="10"/>
      <c r="AI874" s="10"/>
      <c r="AJ874" s="10"/>
      <c r="AK874" s="10"/>
      <c r="AL874" s="10"/>
      <c r="AM874" s="10"/>
      <c r="AN874" s="10"/>
      <c r="AO874" s="10"/>
      <c r="AW874" s="143"/>
      <c r="AZ874" s="10"/>
      <c r="BD874" s="10"/>
      <c r="BE874" s="10"/>
      <c r="BF874" s="10"/>
      <c r="BG874" s="10"/>
      <c r="BH874" s="10"/>
      <c r="BI874" s="10"/>
      <c r="BJ874" s="10"/>
      <c r="BK874" s="10"/>
      <c r="BL874" s="10"/>
      <c r="BM874" s="10"/>
      <c r="BN874" s="10"/>
      <c r="BO874" s="10"/>
      <c r="BP874" s="10"/>
      <c r="BQ874" s="10"/>
      <c r="BR874" s="10"/>
      <c r="BS874" s="10"/>
      <c r="BT874" s="10"/>
      <c r="BV874" s="10"/>
      <c r="BW874" s="10"/>
    </row>
    <row r="875">
      <c r="A875" s="10"/>
      <c r="B875" s="10"/>
      <c r="C875" s="10"/>
      <c r="D875" s="10"/>
      <c r="E875" s="10"/>
      <c r="F875" s="10"/>
      <c r="G875" s="10"/>
      <c r="H875" s="10"/>
      <c r="J875" s="10"/>
      <c r="K875" s="10"/>
      <c r="L875" s="10"/>
      <c r="O875" s="10"/>
      <c r="P875" s="10"/>
      <c r="U875" s="10"/>
      <c r="V875" s="10"/>
      <c r="W875" s="10"/>
      <c r="X875" s="10"/>
      <c r="Y875" s="10"/>
      <c r="Z875" s="10"/>
      <c r="AA875" s="10"/>
      <c r="AB875" s="10"/>
      <c r="AC875" s="10"/>
      <c r="AD875" s="10"/>
      <c r="AE875" s="10"/>
      <c r="AF875" s="10"/>
      <c r="AG875" s="10"/>
      <c r="AH875" s="10"/>
      <c r="AI875" s="10"/>
      <c r="AJ875" s="10"/>
      <c r="AK875" s="10"/>
      <c r="AL875" s="10"/>
      <c r="AM875" s="10"/>
      <c r="AN875" s="10"/>
      <c r="AO875" s="10"/>
      <c r="AW875" s="143"/>
      <c r="AZ875" s="10"/>
      <c r="BD875" s="10"/>
      <c r="BE875" s="10"/>
      <c r="BF875" s="10"/>
      <c r="BG875" s="10"/>
      <c r="BH875" s="10"/>
      <c r="BI875" s="10"/>
      <c r="BJ875" s="10"/>
      <c r="BK875" s="10"/>
      <c r="BS875" s="10"/>
      <c r="BT875" s="10"/>
      <c r="BV875" s="10"/>
      <c r="BW875" s="10"/>
    </row>
    <row r="876">
      <c r="A876" s="10"/>
      <c r="B876" s="10"/>
      <c r="C876" s="10"/>
      <c r="D876" s="10"/>
      <c r="E876" s="10"/>
      <c r="F876" s="10"/>
      <c r="G876" s="10"/>
      <c r="H876" s="10"/>
      <c r="J876" s="10"/>
      <c r="K876" s="10"/>
      <c r="L876" s="10"/>
      <c r="O876" s="10"/>
      <c r="P876" s="10"/>
      <c r="U876" s="10"/>
      <c r="V876" s="10"/>
      <c r="W876" s="10"/>
      <c r="X876" s="10"/>
      <c r="Y876" s="10"/>
      <c r="Z876" s="10"/>
      <c r="AA876" s="10"/>
      <c r="AB876" s="10"/>
      <c r="AC876" s="10"/>
      <c r="AD876" s="10"/>
      <c r="AE876" s="10"/>
      <c r="AF876" s="10"/>
      <c r="AG876" s="10"/>
      <c r="AH876" s="10"/>
      <c r="AI876" s="10"/>
      <c r="AJ876" s="10"/>
      <c r="AK876" s="10"/>
      <c r="AL876" s="10"/>
      <c r="AM876" s="10"/>
      <c r="AN876" s="10"/>
      <c r="AO876" s="10"/>
      <c r="AW876" s="143"/>
      <c r="AZ876" s="10"/>
      <c r="BD876" s="10"/>
      <c r="BE876" s="10"/>
      <c r="BF876" s="10"/>
      <c r="BG876" s="10"/>
      <c r="BH876" s="10"/>
      <c r="BI876" s="10"/>
      <c r="BJ876" s="10"/>
      <c r="BK876" s="10"/>
      <c r="BS876" s="10"/>
      <c r="BT876" s="10"/>
      <c r="BV876" s="10"/>
      <c r="BW876" s="10"/>
    </row>
    <row r="877">
      <c r="A877" s="10"/>
      <c r="B877" s="10"/>
      <c r="C877" s="10"/>
      <c r="D877" s="10"/>
      <c r="E877" s="10"/>
      <c r="F877" s="10"/>
      <c r="G877" s="10"/>
      <c r="H877" s="10"/>
      <c r="J877" s="10"/>
      <c r="K877" s="10"/>
      <c r="L877" s="10"/>
      <c r="O877" s="10"/>
      <c r="P877" s="10"/>
      <c r="U877" s="10"/>
      <c r="V877" s="10"/>
      <c r="W877" s="10"/>
      <c r="X877" s="10"/>
      <c r="Y877" s="10"/>
      <c r="Z877" s="10"/>
      <c r="AA877" s="10"/>
      <c r="AB877" s="10"/>
      <c r="AC877" s="10"/>
      <c r="AD877" s="10"/>
      <c r="AE877" s="10"/>
      <c r="AF877" s="10"/>
      <c r="AG877" s="10"/>
      <c r="AH877" s="10"/>
      <c r="AI877" s="10"/>
      <c r="AJ877" s="10"/>
      <c r="AK877" s="10"/>
      <c r="AL877" s="10"/>
      <c r="AM877" s="10"/>
      <c r="AN877" s="10"/>
      <c r="AO877" s="10"/>
      <c r="AW877" s="143"/>
      <c r="AZ877" s="10"/>
      <c r="BD877" s="10"/>
      <c r="BE877" s="10"/>
      <c r="BF877" s="10"/>
      <c r="BG877" s="10"/>
      <c r="BH877" s="10"/>
      <c r="BI877" s="10"/>
      <c r="BJ877" s="10"/>
      <c r="BK877" s="10"/>
      <c r="BS877" s="10"/>
      <c r="BT877" s="10"/>
      <c r="BV877" s="10"/>
      <c r="BW877" s="10"/>
    </row>
    <row r="878">
      <c r="A878" s="10"/>
      <c r="B878" s="10"/>
      <c r="C878" s="10"/>
      <c r="D878" s="10"/>
      <c r="E878" s="10"/>
      <c r="F878" s="10"/>
      <c r="G878" s="10"/>
      <c r="H878" s="10"/>
      <c r="J878" s="10"/>
      <c r="K878" s="10"/>
      <c r="L878" s="10"/>
      <c r="O878" s="10"/>
      <c r="P878" s="10"/>
      <c r="U878" s="10"/>
      <c r="V878" s="10"/>
      <c r="W878" s="10"/>
      <c r="X878" s="10"/>
      <c r="Y878" s="10"/>
      <c r="Z878" s="10"/>
      <c r="AA878" s="10"/>
      <c r="AB878" s="10"/>
      <c r="AC878" s="10"/>
      <c r="AD878" s="10"/>
      <c r="AE878" s="10"/>
      <c r="AF878" s="10"/>
      <c r="AG878" s="10"/>
      <c r="AH878" s="10"/>
      <c r="AI878" s="10"/>
      <c r="AJ878" s="10"/>
      <c r="AK878" s="10"/>
      <c r="AL878" s="10"/>
      <c r="AM878" s="10"/>
      <c r="AN878" s="10"/>
      <c r="AO878" s="10"/>
      <c r="AW878" s="143"/>
      <c r="AZ878" s="10"/>
      <c r="BD878" s="10"/>
      <c r="BE878" s="10"/>
      <c r="BF878" s="10"/>
      <c r="BG878" s="10"/>
      <c r="BH878" s="10"/>
      <c r="BI878" s="10"/>
      <c r="BJ878" s="10"/>
      <c r="BK878" s="10"/>
      <c r="BS878" s="10"/>
      <c r="BT878" s="10"/>
      <c r="BV878" s="10"/>
      <c r="BW878" s="10"/>
    </row>
    <row r="879">
      <c r="A879" s="10"/>
      <c r="B879" s="10"/>
      <c r="C879" s="10"/>
      <c r="D879" s="10"/>
      <c r="E879" s="10"/>
      <c r="F879" s="10"/>
      <c r="G879" s="10"/>
      <c r="H879" s="10"/>
      <c r="J879" s="10"/>
      <c r="K879" s="10"/>
      <c r="L879" s="10"/>
      <c r="O879" s="10"/>
      <c r="P879" s="10"/>
      <c r="U879" s="10"/>
      <c r="V879" s="10"/>
      <c r="W879" s="10"/>
      <c r="X879" s="10"/>
      <c r="Y879" s="10"/>
      <c r="Z879" s="10"/>
      <c r="AA879" s="10"/>
      <c r="AB879" s="10"/>
      <c r="AC879" s="10"/>
      <c r="AD879" s="10"/>
      <c r="AE879" s="10"/>
      <c r="AF879" s="10"/>
      <c r="AG879" s="10"/>
      <c r="AH879" s="10"/>
      <c r="AI879" s="10"/>
      <c r="AJ879" s="10"/>
      <c r="AK879" s="10"/>
      <c r="AL879" s="10"/>
      <c r="AM879" s="10"/>
      <c r="AN879" s="10"/>
      <c r="AO879" s="10"/>
      <c r="AW879" s="143"/>
      <c r="AZ879" s="10"/>
      <c r="BD879" s="10"/>
      <c r="BE879" s="10"/>
      <c r="BF879" s="10"/>
      <c r="BG879" s="10"/>
      <c r="BH879" s="10"/>
      <c r="BI879" s="10"/>
      <c r="BJ879" s="10"/>
      <c r="BK879" s="10"/>
      <c r="BS879" s="10"/>
      <c r="BT879" s="10"/>
      <c r="BV879" s="10"/>
      <c r="BW879" s="10"/>
    </row>
    <row r="880">
      <c r="A880" s="10"/>
      <c r="B880" s="10"/>
      <c r="C880" s="10"/>
      <c r="D880" s="10"/>
      <c r="E880" s="10"/>
      <c r="F880" s="10"/>
      <c r="G880" s="10"/>
      <c r="H880" s="10"/>
      <c r="I880" s="10"/>
      <c r="J880" s="10"/>
      <c r="K880" s="10"/>
      <c r="L880" s="10"/>
      <c r="N880" s="10"/>
      <c r="T880" s="10"/>
      <c r="U880" s="10"/>
      <c r="V880" s="10"/>
      <c r="W880" s="10"/>
      <c r="Y880" s="10"/>
      <c r="Z880" s="10"/>
      <c r="AA880" s="10"/>
      <c r="AB880" s="10"/>
      <c r="AC880" s="10"/>
      <c r="AD880" s="10"/>
      <c r="AE880" s="10"/>
      <c r="AF880" s="10"/>
      <c r="AG880" s="10"/>
      <c r="AH880" s="10"/>
      <c r="AI880" s="10"/>
      <c r="AJ880" s="10"/>
      <c r="AK880" s="10"/>
      <c r="AL880" s="10"/>
      <c r="AM880" s="10"/>
      <c r="AN880" s="10"/>
      <c r="AO880" s="10"/>
      <c r="AW880" s="143"/>
      <c r="BD880" s="10"/>
      <c r="BE880" s="10"/>
      <c r="BF880" s="10"/>
      <c r="BG880" s="10"/>
      <c r="BH880" s="10"/>
      <c r="BI880" s="10"/>
      <c r="BJ880" s="10"/>
      <c r="BK880" s="10"/>
      <c r="BL880" s="10"/>
      <c r="BM880" s="10"/>
      <c r="BN880" s="10"/>
      <c r="BO880" s="10"/>
      <c r="BP880" s="10"/>
      <c r="BQ880" s="10"/>
      <c r="BR880" s="10"/>
      <c r="BS880" s="10"/>
      <c r="BT880" s="10"/>
      <c r="BV880" s="10"/>
      <c r="BW880" s="10"/>
    </row>
    <row r="881">
      <c r="A881" s="10"/>
      <c r="B881" s="10"/>
      <c r="C881" s="10"/>
      <c r="D881" s="10"/>
      <c r="E881" s="10"/>
      <c r="F881" s="10"/>
      <c r="G881" s="10"/>
      <c r="H881" s="10"/>
      <c r="I881" s="10"/>
      <c r="J881" s="10"/>
      <c r="K881" s="10"/>
      <c r="L881" s="10"/>
      <c r="P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W881" s="143"/>
      <c r="BD881" s="10"/>
      <c r="BE881" s="10"/>
      <c r="BF881" s="10"/>
      <c r="BG881" s="10"/>
      <c r="BH881" s="10"/>
      <c r="BI881" s="10"/>
      <c r="BJ881" s="10"/>
      <c r="BK881" s="10"/>
      <c r="BL881" s="10"/>
      <c r="BM881" s="10"/>
      <c r="BN881" s="10"/>
      <c r="BO881" s="10"/>
      <c r="BP881" s="10"/>
      <c r="BQ881" s="10"/>
      <c r="BR881" s="10"/>
      <c r="BS881" s="10"/>
      <c r="BT881" s="10"/>
      <c r="BV881" s="10"/>
      <c r="BW881" s="10"/>
    </row>
    <row r="882">
      <c r="A882" s="10"/>
      <c r="B882" s="10"/>
      <c r="C882" s="10"/>
      <c r="D882" s="10"/>
      <c r="E882" s="10"/>
      <c r="F882" s="10"/>
      <c r="G882" s="10"/>
      <c r="H882" s="10"/>
      <c r="I882" s="10"/>
      <c r="J882" s="10"/>
      <c r="K882" s="10"/>
      <c r="L882" s="10"/>
      <c r="N882" s="10"/>
      <c r="P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W882" s="143"/>
      <c r="BD882" s="10"/>
      <c r="BS882" s="10"/>
      <c r="BT882" s="10"/>
      <c r="BV882" s="10"/>
      <c r="BW882" s="10"/>
    </row>
    <row r="883">
      <c r="A883" s="10"/>
      <c r="B883" s="10"/>
      <c r="C883" s="10"/>
      <c r="D883" s="10"/>
      <c r="E883" s="10"/>
      <c r="F883" s="10"/>
      <c r="G883" s="10"/>
      <c r="H883" s="10"/>
      <c r="I883" s="10"/>
      <c r="J883" s="10"/>
      <c r="K883" s="10"/>
      <c r="L883" s="10"/>
      <c r="N883" s="10"/>
      <c r="P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W883" s="143"/>
      <c r="BD883" s="10"/>
      <c r="BS883" s="10"/>
      <c r="BT883" s="10"/>
      <c r="BV883" s="10"/>
      <c r="BW883" s="10"/>
    </row>
    <row r="884">
      <c r="A884" s="10"/>
      <c r="B884" s="10"/>
      <c r="C884" s="10"/>
      <c r="D884" s="10"/>
      <c r="E884" s="10"/>
      <c r="F884" s="10"/>
      <c r="G884" s="10"/>
      <c r="H884" s="10"/>
      <c r="I884" s="10"/>
      <c r="K884" s="10"/>
      <c r="L884" s="10"/>
      <c r="N884" s="10"/>
      <c r="P884" s="10"/>
      <c r="T884" s="10"/>
      <c r="U884" s="10"/>
      <c r="V884" s="10"/>
      <c r="W884" s="10"/>
      <c r="Y884" s="10"/>
      <c r="Z884" s="10"/>
      <c r="AA884" s="10"/>
      <c r="AB884" s="10"/>
      <c r="AC884" s="10"/>
      <c r="AD884" s="10"/>
      <c r="AE884" s="10"/>
      <c r="AF884" s="10"/>
      <c r="AG884" s="10"/>
      <c r="AH884" s="10"/>
      <c r="AI884" s="10"/>
      <c r="AJ884" s="10"/>
      <c r="AK884" s="10"/>
      <c r="AL884" s="10"/>
      <c r="AM884" s="10"/>
      <c r="AN884" s="10"/>
      <c r="AO884" s="10"/>
      <c r="AW884" s="143"/>
      <c r="BD884" s="10"/>
      <c r="BS884" s="10"/>
      <c r="BT884" s="10"/>
      <c r="BV884" s="10"/>
      <c r="BW884" s="10"/>
    </row>
    <row r="885">
      <c r="A885" s="10"/>
      <c r="B885" s="10"/>
      <c r="C885" s="10"/>
      <c r="D885" s="10"/>
      <c r="E885" s="10"/>
      <c r="F885" s="10"/>
      <c r="G885" s="10"/>
      <c r="H885" s="10"/>
      <c r="I885" s="10"/>
      <c r="J885" s="10"/>
      <c r="K885" s="10"/>
      <c r="L885" s="10"/>
      <c r="N885" s="10"/>
      <c r="P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W885" s="143"/>
      <c r="BD885" s="10"/>
      <c r="BE885" s="10"/>
      <c r="BF885" s="10"/>
      <c r="BG885" s="10"/>
      <c r="BH885" s="10"/>
      <c r="BI885" s="10"/>
      <c r="BJ885" s="10"/>
      <c r="BK885" s="10"/>
      <c r="BL885" s="10"/>
      <c r="BM885" s="10"/>
      <c r="BN885" s="10"/>
      <c r="BO885" s="10"/>
      <c r="BP885" s="10"/>
      <c r="BQ885" s="10"/>
      <c r="BR885" s="10"/>
      <c r="BS885" s="10"/>
      <c r="BT885" s="10"/>
      <c r="BV885" s="10"/>
      <c r="BW885" s="10"/>
    </row>
    <row r="886">
      <c r="A886" s="10"/>
      <c r="B886" s="10"/>
      <c r="C886" s="10"/>
      <c r="D886" s="10"/>
      <c r="E886" s="10"/>
      <c r="F886" s="10"/>
      <c r="G886" s="10"/>
      <c r="H886" s="10"/>
      <c r="I886" s="10"/>
      <c r="K886" s="10"/>
      <c r="L886" s="10"/>
      <c r="N886" s="10"/>
      <c r="P886" s="10"/>
      <c r="T886" s="10"/>
      <c r="U886" s="10"/>
      <c r="V886" s="10"/>
      <c r="W886" s="10"/>
      <c r="Y886" s="10"/>
      <c r="Z886" s="10"/>
      <c r="AA886" s="10"/>
      <c r="AB886" s="10"/>
      <c r="AC886" s="10"/>
      <c r="AD886" s="10"/>
      <c r="AE886" s="10"/>
      <c r="AF886" s="10"/>
      <c r="AG886" s="10"/>
      <c r="AH886" s="10"/>
      <c r="AI886" s="10"/>
      <c r="AJ886" s="10"/>
      <c r="AK886" s="10"/>
      <c r="AL886" s="10"/>
      <c r="AM886" s="10"/>
      <c r="AN886" s="10"/>
      <c r="AO886" s="10"/>
      <c r="AW886" s="143"/>
      <c r="BD886" s="10"/>
      <c r="BE886" s="10"/>
      <c r="BF886" s="10"/>
      <c r="BG886" s="10"/>
      <c r="BH886" s="10"/>
      <c r="BI886" s="10"/>
      <c r="BJ886" s="10"/>
      <c r="BK886" s="10"/>
      <c r="BL886" s="10"/>
      <c r="BM886" s="10"/>
      <c r="BN886" s="10"/>
      <c r="BO886" s="10"/>
      <c r="BP886" s="10"/>
      <c r="BQ886" s="10"/>
      <c r="BR886" s="10"/>
      <c r="BS886" s="10"/>
      <c r="BT886" s="10"/>
      <c r="BV886" s="10"/>
      <c r="BW886" s="10"/>
    </row>
    <row r="887">
      <c r="A887" s="10"/>
      <c r="B887" s="10"/>
      <c r="C887" s="10"/>
      <c r="D887" s="10"/>
      <c r="E887" s="10"/>
      <c r="F887" s="10"/>
      <c r="G887" s="10"/>
      <c r="H887" s="10"/>
      <c r="I887" s="10"/>
      <c r="K887" s="10"/>
      <c r="L887" s="10"/>
      <c r="N887" s="10"/>
      <c r="P887" s="10"/>
      <c r="T887" s="10"/>
      <c r="U887" s="10"/>
      <c r="V887" s="10"/>
      <c r="W887" s="10"/>
      <c r="Y887" s="10"/>
      <c r="Z887" s="10"/>
      <c r="AA887" s="10"/>
      <c r="AB887" s="10"/>
      <c r="AC887" s="10"/>
      <c r="AD887" s="10"/>
      <c r="AE887" s="10"/>
      <c r="AF887" s="10"/>
      <c r="AG887" s="10"/>
      <c r="AH887" s="10"/>
      <c r="AI887" s="10"/>
      <c r="AJ887" s="10"/>
      <c r="AK887" s="10"/>
      <c r="AL887" s="10"/>
      <c r="AM887" s="10"/>
      <c r="AN887" s="10"/>
      <c r="AO887" s="10"/>
      <c r="AW887" s="143"/>
      <c r="BD887" s="10"/>
      <c r="BS887" s="10"/>
      <c r="BT887" s="10"/>
      <c r="BV887" s="10"/>
      <c r="BW887" s="10"/>
    </row>
    <row r="888">
      <c r="A888" s="10"/>
      <c r="B888" s="10"/>
      <c r="C888" s="10"/>
      <c r="D888" s="10"/>
      <c r="E888" s="10"/>
      <c r="F888" s="10"/>
      <c r="G888" s="10"/>
      <c r="H888" s="10"/>
      <c r="I888" s="10"/>
      <c r="K888" s="10"/>
      <c r="L888" s="10"/>
      <c r="N888" s="10"/>
      <c r="P888" s="10"/>
      <c r="T888" s="10"/>
      <c r="U888" s="10"/>
      <c r="V888" s="10"/>
      <c r="W888" s="10"/>
      <c r="Y888" s="10"/>
      <c r="Z888" s="10"/>
      <c r="AA888" s="10"/>
      <c r="AB888" s="10"/>
      <c r="AC888" s="10"/>
      <c r="AD888" s="10"/>
      <c r="AE888" s="10"/>
      <c r="AF888" s="10"/>
      <c r="AG888" s="10"/>
      <c r="AH888" s="10"/>
      <c r="AI888" s="10"/>
      <c r="AJ888" s="10"/>
      <c r="AK888" s="10"/>
      <c r="AL888" s="10"/>
      <c r="AM888" s="10"/>
      <c r="AN888" s="10"/>
      <c r="AO888" s="10"/>
      <c r="AW888" s="143"/>
      <c r="BD888" s="10"/>
      <c r="BS888" s="10"/>
      <c r="BT888" s="10"/>
      <c r="BV888" s="10"/>
      <c r="BW888" s="10"/>
    </row>
    <row r="889">
      <c r="A889" s="10"/>
      <c r="B889" s="10"/>
      <c r="C889" s="10"/>
      <c r="D889" s="10"/>
      <c r="E889" s="10"/>
      <c r="F889" s="10"/>
      <c r="G889" s="10"/>
      <c r="H889" s="10"/>
      <c r="I889" s="10"/>
      <c r="K889" s="10"/>
      <c r="L889" s="10"/>
      <c r="N889" s="10"/>
      <c r="P889" s="10"/>
      <c r="T889" s="10"/>
      <c r="U889" s="10"/>
      <c r="V889" s="10"/>
      <c r="W889" s="10"/>
      <c r="Y889" s="10"/>
      <c r="Z889" s="10"/>
      <c r="AA889" s="10"/>
      <c r="AB889" s="10"/>
      <c r="AC889" s="10"/>
      <c r="AD889" s="10"/>
      <c r="AE889" s="10"/>
      <c r="AF889" s="10"/>
      <c r="AG889" s="10"/>
      <c r="AH889" s="10"/>
      <c r="AI889" s="10"/>
      <c r="AJ889" s="10"/>
      <c r="AK889" s="10"/>
      <c r="AL889" s="10"/>
      <c r="AM889" s="10"/>
      <c r="AN889" s="10"/>
      <c r="AO889" s="10"/>
      <c r="AW889" s="143"/>
      <c r="BD889" s="10"/>
      <c r="BE889" s="10"/>
      <c r="BF889" s="10"/>
      <c r="BG889" s="10"/>
      <c r="BH889" s="10"/>
      <c r="BI889" s="10"/>
      <c r="BJ889" s="10"/>
      <c r="BK889" s="10"/>
      <c r="BL889" s="10"/>
      <c r="BM889" s="10"/>
      <c r="BN889" s="10"/>
      <c r="BO889" s="10"/>
      <c r="BP889" s="10"/>
      <c r="BQ889" s="10"/>
      <c r="BR889" s="10"/>
      <c r="BS889" s="10"/>
      <c r="BT889" s="10"/>
      <c r="BV889" s="10"/>
      <c r="BW889" s="10"/>
    </row>
    <row r="890">
      <c r="A890" s="10"/>
      <c r="B890" s="10"/>
      <c r="C890" s="10"/>
      <c r="D890" s="10"/>
      <c r="E890" s="10"/>
      <c r="F890" s="10"/>
      <c r="G890" s="10"/>
      <c r="H890" s="10"/>
      <c r="I890" s="10"/>
      <c r="K890" s="10"/>
      <c r="L890" s="10"/>
      <c r="O890" s="10"/>
      <c r="P890" s="10"/>
      <c r="T890" s="10"/>
      <c r="U890" s="10"/>
      <c r="V890" s="10"/>
      <c r="W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U890" s="10"/>
      <c r="AV890" s="10"/>
      <c r="AW890" s="143"/>
      <c r="BD890" s="10"/>
      <c r="BL890" s="10"/>
      <c r="BO890" s="10"/>
      <c r="BR890" s="10"/>
      <c r="BS890" s="10"/>
      <c r="BT890" s="10"/>
      <c r="BV890" s="10"/>
      <c r="BW890" s="10"/>
    </row>
    <row r="891">
      <c r="A891" s="10"/>
      <c r="B891" s="10"/>
      <c r="C891" s="10"/>
      <c r="D891" s="10"/>
      <c r="E891" s="10"/>
      <c r="F891" s="10"/>
      <c r="G891" s="10"/>
      <c r="H891" s="10"/>
      <c r="I891" s="10"/>
      <c r="J891" s="10"/>
      <c r="K891" s="10"/>
      <c r="L891" s="10"/>
      <c r="N891" s="10"/>
      <c r="P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U891" s="10"/>
      <c r="AV891" s="10"/>
      <c r="AW891" s="143"/>
      <c r="BD891" s="10"/>
      <c r="BT891" s="10"/>
      <c r="BV891" s="10"/>
      <c r="BW891" s="10"/>
    </row>
    <row r="892">
      <c r="A892" s="10"/>
      <c r="B892" s="10"/>
      <c r="C892" s="10"/>
      <c r="D892" s="10"/>
      <c r="E892" s="10"/>
      <c r="F892" s="10"/>
      <c r="G892" s="10"/>
      <c r="H892" s="10"/>
      <c r="I892" s="10"/>
      <c r="K892" s="10"/>
      <c r="L892" s="10"/>
      <c r="P892" s="10"/>
      <c r="T892" s="10"/>
      <c r="U892" s="10"/>
      <c r="V892" s="10"/>
      <c r="W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U892" s="10"/>
      <c r="AV892" s="10"/>
      <c r="AW892" s="143"/>
      <c r="BD892" s="10"/>
      <c r="BE892" s="10"/>
      <c r="BF892" s="10"/>
      <c r="BG892" s="10"/>
      <c r="BH892" s="10"/>
      <c r="BI892" s="10"/>
      <c r="BJ892" s="10"/>
      <c r="BK892" s="10"/>
      <c r="BR892" s="10"/>
      <c r="BS892" s="10"/>
      <c r="BT892" s="10"/>
      <c r="BV892" s="10"/>
      <c r="BW892" s="10"/>
    </row>
    <row r="893">
      <c r="A893" s="10"/>
      <c r="B893" s="10"/>
      <c r="C893" s="10"/>
      <c r="D893" s="10"/>
      <c r="E893" s="10"/>
      <c r="F893" s="10"/>
      <c r="G893" s="10"/>
      <c r="H893" s="10"/>
      <c r="I893" s="10"/>
      <c r="K893" s="10"/>
      <c r="L893" s="10"/>
      <c r="P893" s="10"/>
      <c r="T893" s="10"/>
      <c r="U893" s="10"/>
      <c r="V893" s="10"/>
      <c r="W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U893" s="10"/>
      <c r="AV893" s="10"/>
      <c r="AW893" s="143"/>
      <c r="BD893" s="10"/>
      <c r="BE893" s="10"/>
      <c r="BF893" s="10"/>
      <c r="BG893" s="10"/>
      <c r="BH893" s="10"/>
      <c r="BI893" s="10"/>
      <c r="BJ893" s="10"/>
      <c r="BK893" s="10"/>
      <c r="BS893" s="10"/>
      <c r="BT893" s="10"/>
      <c r="BV893" s="10"/>
      <c r="BW893" s="10"/>
    </row>
    <row r="894">
      <c r="A894" s="10"/>
      <c r="B894" s="10"/>
      <c r="C894" s="10"/>
      <c r="D894" s="10"/>
      <c r="E894" s="10"/>
      <c r="F894" s="10"/>
      <c r="G894" s="10"/>
      <c r="H894" s="10"/>
      <c r="I894" s="10"/>
      <c r="J894" s="10"/>
      <c r="K894" s="10"/>
      <c r="L894" s="10"/>
      <c r="P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U894" s="10"/>
      <c r="AV894" s="10"/>
      <c r="AW894" s="143"/>
      <c r="AZ894" s="10"/>
      <c r="BD894" s="10"/>
      <c r="BE894" s="10"/>
      <c r="BF894" s="10"/>
      <c r="BG894" s="10"/>
      <c r="BH894" s="10"/>
      <c r="BI894" s="10"/>
      <c r="BJ894" s="10"/>
      <c r="BK894" s="10"/>
      <c r="BL894" s="10"/>
      <c r="BM894" s="10"/>
      <c r="BN894" s="10"/>
      <c r="BO894" s="10"/>
      <c r="BP894" s="10"/>
      <c r="BQ894" s="10"/>
      <c r="BR894" s="10"/>
      <c r="BS894" s="10"/>
      <c r="BT894" s="10"/>
      <c r="BV894" s="10"/>
      <c r="BW894" s="10"/>
    </row>
    <row r="895">
      <c r="A895" s="10"/>
      <c r="B895" s="10"/>
      <c r="C895" s="10"/>
      <c r="D895" s="10"/>
      <c r="E895" s="10"/>
      <c r="F895" s="10"/>
      <c r="G895" s="10"/>
      <c r="H895" s="10"/>
      <c r="I895" s="10"/>
      <c r="J895" s="10"/>
      <c r="K895" s="10"/>
      <c r="L895" s="10"/>
      <c r="N895" s="10"/>
      <c r="O895" s="10"/>
      <c r="P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U895" s="10"/>
      <c r="AV895" s="10"/>
      <c r="AW895" s="143"/>
      <c r="AZ895" s="10"/>
      <c r="BD895" s="10"/>
      <c r="BE895" s="10"/>
      <c r="BF895" s="10"/>
      <c r="BG895" s="10"/>
      <c r="BH895" s="10"/>
      <c r="BI895" s="10"/>
      <c r="BJ895" s="10"/>
      <c r="BK895" s="10"/>
      <c r="BS895" s="10"/>
      <c r="BT895" s="10"/>
      <c r="BV895" s="10"/>
      <c r="BW895" s="10"/>
    </row>
    <row r="896">
      <c r="A896" s="10"/>
      <c r="B896" s="10"/>
      <c r="C896" s="10"/>
      <c r="D896" s="10"/>
      <c r="E896" s="10"/>
      <c r="F896" s="10"/>
      <c r="G896" s="10"/>
      <c r="H896" s="10"/>
      <c r="I896" s="10"/>
      <c r="J896" s="10"/>
      <c r="K896" s="10"/>
      <c r="L896" s="10"/>
      <c r="O896" s="10"/>
      <c r="P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U896" s="10"/>
      <c r="AV896" s="10"/>
      <c r="AW896" s="143"/>
      <c r="BD896" s="10"/>
      <c r="BE896" s="10"/>
      <c r="BF896" s="10"/>
      <c r="BG896" s="10"/>
      <c r="BH896" s="10"/>
      <c r="BI896" s="10"/>
      <c r="BJ896" s="10"/>
      <c r="BK896" s="10"/>
      <c r="BS896" s="10"/>
      <c r="BT896" s="10"/>
      <c r="BV896" s="10"/>
      <c r="BW896" s="10"/>
    </row>
    <row r="897">
      <c r="A897" s="10"/>
      <c r="B897" s="10"/>
      <c r="C897" s="10"/>
      <c r="D897" s="10"/>
      <c r="E897" s="10"/>
      <c r="F897" s="10"/>
      <c r="G897" s="10"/>
      <c r="H897" s="10"/>
      <c r="I897" s="10"/>
      <c r="J897" s="10"/>
      <c r="K897" s="10"/>
      <c r="L897" s="10"/>
      <c r="O897" s="10"/>
      <c r="P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U897" s="10"/>
      <c r="AV897" s="10"/>
      <c r="AW897" s="143"/>
      <c r="BD897" s="10"/>
      <c r="BE897" s="10"/>
      <c r="BF897" s="10"/>
      <c r="BG897" s="10"/>
      <c r="BH897" s="10"/>
      <c r="BI897" s="10"/>
      <c r="BJ897" s="10"/>
      <c r="BK897" s="10"/>
      <c r="BS897" s="10"/>
      <c r="BT897" s="10"/>
      <c r="BV897" s="10"/>
      <c r="BW897" s="10"/>
    </row>
    <row r="898">
      <c r="A898" s="10"/>
      <c r="B898" s="10"/>
      <c r="C898" s="10"/>
      <c r="D898" s="10"/>
      <c r="E898" s="10"/>
      <c r="F898" s="10"/>
      <c r="G898" s="10"/>
      <c r="H898" s="10"/>
      <c r="I898" s="10"/>
      <c r="K898" s="10"/>
      <c r="L898" s="10"/>
      <c r="N898" s="10"/>
      <c r="P898" s="10"/>
      <c r="T898" s="10"/>
      <c r="U898" s="10"/>
      <c r="V898" s="10"/>
      <c r="W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U898" s="10"/>
      <c r="AV898" s="10"/>
      <c r="AW898" s="143"/>
      <c r="BD898" s="10"/>
      <c r="BS898" s="10"/>
      <c r="BT898" s="10"/>
      <c r="BV898" s="10"/>
      <c r="BW898" s="10"/>
    </row>
    <row r="899">
      <c r="A899" s="10"/>
      <c r="B899" s="10"/>
      <c r="C899" s="10"/>
      <c r="D899" s="10"/>
      <c r="E899" s="10"/>
      <c r="F899" s="10"/>
      <c r="G899" s="10"/>
      <c r="H899" s="10"/>
      <c r="I899" s="10"/>
      <c r="J899" s="10"/>
      <c r="K899" s="10"/>
      <c r="L899" s="10"/>
      <c r="N899" s="10"/>
      <c r="O899" s="10"/>
      <c r="P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0"/>
      <c r="AU899" s="10"/>
      <c r="AV899" s="10"/>
      <c r="AW899" s="143"/>
      <c r="AX899" s="10"/>
      <c r="AY899" s="10"/>
      <c r="BD899" s="10"/>
      <c r="BE899" s="10"/>
      <c r="BF899" s="10"/>
      <c r="BG899" s="10"/>
      <c r="BH899" s="10"/>
      <c r="BI899" s="10"/>
      <c r="BJ899" s="10"/>
      <c r="BK899" s="10"/>
      <c r="BL899" s="10"/>
      <c r="BM899" s="10"/>
      <c r="BO899" s="10"/>
      <c r="BP899" s="10"/>
      <c r="BR899" s="10"/>
      <c r="BS899" s="10"/>
      <c r="BT899" s="10"/>
      <c r="BV899" s="10"/>
      <c r="BW899" s="10"/>
    </row>
    <row r="900">
      <c r="A900" s="10"/>
      <c r="B900" s="10"/>
      <c r="C900" s="10"/>
      <c r="D900" s="10"/>
      <c r="E900" s="10"/>
      <c r="F900" s="10"/>
      <c r="G900" s="10"/>
      <c r="H900" s="10"/>
      <c r="I900" s="10"/>
      <c r="K900" s="10"/>
      <c r="L900" s="10"/>
      <c r="N900" s="10"/>
      <c r="P900" s="10"/>
      <c r="T900" s="10"/>
      <c r="U900" s="10"/>
      <c r="V900" s="10"/>
      <c r="W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U900" s="10"/>
      <c r="AV900" s="10"/>
      <c r="AW900" s="143"/>
      <c r="BD900" s="10"/>
      <c r="BE900" s="10"/>
      <c r="BF900" s="10"/>
      <c r="BG900" s="10"/>
      <c r="BH900" s="10"/>
      <c r="BI900" s="10"/>
      <c r="BJ900" s="10"/>
      <c r="BK900" s="10"/>
      <c r="BS900" s="10"/>
      <c r="BT900" s="10"/>
      <c r="BV900" s="10"/>
      <c r="BW900" s="10"/>
    </row>
    <row r="901">
      <c r="A901" s="10"/>
      <c r="B901" s="10"/>
      <c r="C901" s="10"/>
      <c r="D901" s="10"/>
      <c r="E901" s="10"/>
      <c r="F901" s="10"/>
      <c r="G901" s="10"/>
      <c r="H901" s="10"/>
      <c r="I901" s="10"/>
      <c r="K901" s="10"/>
      <c r="L901" s="10"/>
      <c r="N901" s="10"/>
      <c r="P901" s="10"/>
      <c r="T901" s="10"/>
      <c r="U901" s="10"/>
      <c r="V901" s="10"/>
      <c r="W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U901" s="10"/>
      <c r="AV901" s="10"/>
      <c r="AW901" s="143"/>
      <c r="BD901" s="10"/>
      <c r="BE901" s="10"/>
      <c r="BF901" s="10"/>
      <c r="BG901" s="10"/>
      <c r="BH901" s="10"/>
      <c r="BI901" s="10"/>
      <c r="BJ901" s="10"/>
      <c r="BK901" s="10"/>
      <c r="BL901" s="10"/>
      <c r="BO901" s="10"/>
      <c r="BR901" s="10"/>
      <c r="BS901" s="10"/>
      <c r="BT901" s="10"/>
      <c r="BV901" s="10"/>
      <c r="BW901" s="10"/>
    </row>
    <row r="902">
      <c r="A902" s="10"/>
      <c r="B902" s="10"/>
      <c r="C902" s="10"/>
      <c r="D902" s="10"/>
      <c r="E902" s="10"/>
      <c r="F902" s="10"/>
      <c r="G902" s="10"/>
      <c r="H902" s="10"/>
      <c r="I902" s="10"/>
      <c r="K902" s="10"/>
      <c r="L902" s="10"/>
      <c r="T902" s="10"/>
      <c r="U902" s="10"/>
      <c r="V902" s="10"/>
      <c r="W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U902" s="10"/>
      <c r="AV902" s="10"/>
      <c r="AW902" s="143"/>
      <c r="BD902" s="10"/>
      <c r="BE902" s="10"/>
      <c r="BF902" s="10"/>
      <c r="BG902" s="10"/>
      <c r="BH902" s="10"/>
      <c r="BI902" s="10"/>
      <c r="BJ902" s="10"/>
      <c r="BK902" s="10"/>
      <c r="BL902" s="10"/>
      <c r="BM902" s="10"/>
      <c r="BN902" s="10"/>
      <c r="BO902" s="10"/>
      <c r="BP902" s="10"/>
      <c r="BQ902" s="10"/>
      <c r="BR902" s="10"/>
      <c r="BS902" s="10"/>
      <c r="BT902" s="10"/>
      <c r="BV902" s="10"/>
      <c r="BW902" s="10"/>
    </row>
    <row r="903">
      <c r="A903" s="10"/>
      <c r="B903" s="10"/>
      <c r="C903" s="10"/>
      <c r="D903" s="10"/>
      <c r="E903" s="10"/>
      <c r="F903" s="10"/>
      <c r="G903" s="10"/>
      <c r="H903" s="10"/>
      <c r="I903" s="10"/>
      <c r="K903" s="10"/>
      <c r="L903" s="10"/>
      <c r="P903" s="10"/>
      <c r="T903" s="10"/>
      <c r="U903" s="10"/>
      <c r="V903" s="10"/>
      <c r="W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U903" s="10"/>
      <c r="AV903" s="10"/>
      <c r="AW903" s="143"/>
      <c r="BD903" s="10"/>
      <c r="BE903" s="10"/>
      <c r="BF903" s="10"/>
      <c r="BG903" s="10"/>
      <c r="BH903" s="10"/>
      <c r="BI903" s="10"/>
      <c r="BJ903" s="10"/>
      <c r="BK903" s="10"/>
      <c r="BS903" s="10"/>
      <c r="BT903" s="10"/>
      <c r="BV903" s="10"/>
      <c r="BW903" s="10"/>
    </row>
    <row r="904">
      <c r="A904" s="10"/>
      <c r="B904" s="10"/>
      <c r="C904" s="10"/>
      <c r="D904" s="10"/>
      <c r="E904" s="10"/>
      <c r="F904" s="10"/>
      <c r="G904" s="10"/>
      <c r="H904" s="10"/>
      <c r="I904" s="10"/>
      <c r="J904" s="10"/>
      <c r="K904" s="10"/>
      <c r="L904" s="10"/>
      <c r="P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U904" s="10"/>
      <c r="AV904" s="10"/>
      <c r="AW904" s="143"/>
      <c r="BD904" s="10"/>
      <c r="BE904" s="10"/>
      <c r="BF904" s="10"/>
      <c r="BG904" s="10"/>
      <c r="BH904" s="10"/>
      <c r="BI904" s="10"/>
      <c r="BJ904" s="10"/>
      <c r="BK904" s="10"/>
      <c r="BS904" s="10"/>
      <c r="BT904" s="10"/>
      <c r="BV904" s="10"/>
      <c r="BW904" s="10"/>
    </row>
    <row r="905">
      <c r="A905" s="10"/>
      <c r="B905" s="10"/>
      <c r="C905" s="10"/>
      <c r="D905" s="10"/>
      <c r="E905" s="10"/>
      <c r="F905" s="10"/>
      <c r="G905" s="10"/>
      <c r="H905" s="10"/>
      <c r="I905" s="10"/>
      <c r="K905" s="10"/>
      <c r="L905" s="10"/>
      <c r="P905" s="10"/>
      <c r="T905" s="10"/>
      <c r="U905" s="10"/>
      <c r="V905" s="10"/>
      <c r="W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U905" s="10"/>
      <c r="AV905" s="10"/>
      <c r="AW905" s="143"/>
      <c r="BD905" s="10"/>
      <c r="BE905" s="10"/>
      <c r="BF905" s="10"/>
      <c r="BG905" s="10"/>
      <c r="BH905" s="10"/>
      <c r="BI905" s="10"/>
      <c r="BJ905" s="10"/>
      <c r="BK905" s="10"/>
      <c r="BS905" s="10"/>
      <c r="BT905" s="10"/>
      <c r="BV905" s="10"/>
      <c r="BW905" s="10"/>
    </row>
    <row r="906">
      <c r="A906" s="10"/>
      <c r="B906" s="10"/>
      <c r="C906" s="10"/>
      <c r="D906" s="10"/>
      <c r="E906" s="10"/>
      <c r="F906" s="10"/>
      <c r="G906" s="10"/>
      <c r="H906" s="10"/>
      <c r="I906" s="10"/>
      <c r="K906" s="10"/>
      <c r="L906" s="10"/>
      <c r="N906" s="10"/>
      <c r="P906" s="10"/>
      <c r="T906" s="10"/>
      <c r="U906" s="10"/>
      <c r="V906" s="10"/>
      <c r="W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U906" s="10"/>
      <c r="AV906" s="10"/>
      <c r="AW906" s="143"/>
      <c r="BD906" s="10"/>
      <c r="BE906" s="10"/>
      <c r="BF906" s="10"/>
      <c r="BG906" s="10"/>
      <c r="BH906" s="10"/>
      <c r="BI906" s="10"/>
      <c r="BJ906" s="10"/>
      <c r="BK906" s="10"/>
      <c r="BS906" s="10"/>
      <c r="BT906" s="10"/>
      <c r="BV906" s="10"/>
      <c r="BW906" s="10"/>
    </row>
    <row r="907">
      <c r="A907" s="10"/>
      <c r="B907" s="10"/>
      <c r="C907" s="10"/>
      <c r="D907" s="10"/>
      <c r="E907" s="10"/>
      <c r="F907" s="10"/>
      <c r="G907" s="10"/>
      <c r="H907" s="10"/>
      <c r="I907" s="10"/>
      <c r="K907" s="10"/>
      <c r="L907" s="10"/>
      <c r="N907" s="10"/>
      <c r="P907" s="10"/>
      <c r="T907" s="10"/>
      <c r="U907" s="10"/>
      <c r="V907" s="10"/>
      <c r="W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U907" s="10"/>
      <c r="AV907" s="10"/>
      <c r="AW907" s="143"/>
      <c r="BD907" s="10"/>
      <c r="BE907" s="10"/>
      <c r="BF907" s="10"/>
      <c r="BG907" s="10"/>
      <c r="BH907" s="10"/>
      <c r="BI907" s="10"/>
      <c r="BJ907" s="10"/>
      <c r="BK907" s="10"/>
      <c r="BL907" s="10"/>
      <c r="BM907" s="10"/>
      <c r="BN907" s="10"/>
      <c r="BO907" s="10"/>
      <c r="BP907" s="10"/>
      <c r="BQ907" s="10"/>
      <c r="BR907" s="10"/>
      <c r="BS907" s="10"/>
      <c r="BT907" s="10"/>
      <c r="BV907" s="10"/>
      <c r="BW907" s="10"/>
    </row>
    <row r="908">
      <c r="A908" s="10"/>
      <c r="B908" s="10"/>
      <c r="C908" s="10"/>
      <c r="D908" s="10"/>
      <c r="E908" s="10"/>
      <c r="F908" s="10"/>
      <c r="G908" s="10"/>
      <c r="H908" s="10"/>
      <c r="I908" s="10"/>
      <c r="K908" s="10"/>
      <c r="L908" s="10"/>
      <c r="N908" s="10"/>
      <c r="P908" s="10"/>
      <c r="T908" s="10"/>
      <c r="U908" s="10"/>
      <c r="V908" s="10"/>
      <c r="W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U908" s="10"/>
      <c r="AV908" s="10"/>
      <c r="AW908" s="143"/>
      <c r="BD908" s="10"/>
      <c r="BE908" s="10"/>
      <c r="BF908" s="10"/>
      <c r="BG908" s="10"/>
      <c r="BH908" s="10"/>
      <c r="BI908" s="10"/>
      <c r="BJ908" s="10"/>
      <c r="BK908" s="10"/>
      <c r="BS908" s="10"/>
      <c r="BT908" s="10"/>
      <c r="BV908" s="10"/>
      <c r="BW908" s="10"/>
    </row>
    <row r="909">
      <c r="A909" s="10"/>
      <c r="B909" s="10"/>
      <c r="C909" s="10"/>
      <c r="D909" s="10"/>
      <c r="E909" s="10"/>
      <c r="F909" s="10"/>
      <c r="G909" s="10"/>
      <c r="H909" s="10"/>
      <c r="I909" s="10"/>
      <c r="J909" s="10"/>
      <c r="K909" s="10"/>
      <c r="L909" s="10"/>
      <c r="P909" s="10"/>
      <c r="T909" s="10"/>
      <c r="U909" s="10"/>
      <c r="V909" s="10"/>
      <c r="W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U909" s="10"/>
      <c r="AV909" s="10"/>
      <c r="AW909" s="143"/>
      <c r="BD909" s="10"/>
      <c r="BE909" s="10"/>
      <c r="BF909" s="10"/>
      <c r="BG909" s="10"/>
      <c r="BH909" s="10"/>
      <c r="BI909" s="10"/>
      <c r="BJ909" s="10"/>
      <c r="BK909" s="10"/>
      <c r="BS909" s="10"/>
      <c r="BT909" s="10"/>
      <c r="BU909" s="10"/>
      <c r="BV909" s="10"/>
      <c r="BW909" s="10"/>
    </row>
    <row r="910">
      <c r="A910" s="10"/>
      <c r="B910" s="10"/>
      <c r="C910" s="10"/>
      <c r="D910" s="10"/>
      <c r="E910" s="10"/>
      <c r="F910" s="10"/>
      <c r="G910" s="10"/>
      <c r="H910" s="10"/>
      <c r="K910" s="10"/>
      <c r="L910" s="10"/>
      <c r="P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W910" s="143"/>
      <c r="BD910" s="10"/>
      <c r="BS910" s="10"/>
      <c r="BT910" s="10"/>
      <c r="BV910" s="10"/>
      <c r="BW910" s="10"/>
    </row>
    <row r="911">
      <c r="A911" s="10"/>
      <c r="B911" s="10"/>
      <c r="C911" s="10"/>
      <c r="D911" s="10"/>
      <c r="E911" s="10"/>
      <c r="F911" s="10"/>
      <c r="G911" s="10"/>
      <c r="H911" s="10"/>
      <c r="K911" s="10"/>
      <c r="L911" s="10"/>
      <c r="P911" s="10"/>
      <c r="T911" s="10"/>
      <c r="U911" s="10"/>
      <c r="V911" s="10"/>
      <c r="W911" s="10"/>
      <c r="Y911" s="10"/>
      <c r="Z911" s="10"/>
      <c r="AA911" s="10"/>
      <c r="AB911" s="10"/>
      <c r="AC911" s="10"/>
      <c r="AD911" s="10"/>
      <c r="AE911" s="10"/>
      <c r="AF911" s="10"/>
      <c r="AG911" s="10"/>
      <c r="AH911" s="10"/>
      <c r="AI911" s="10"/>
      <c r="AJ911" s="10"/>
      <c r="AK911" s="10"/>
      <c r="AL911" s="10"/>
      <c r="AM911" s="10"/>
      <c r="AN911" s="10"/>
      <c r="AO911" s="10"/>
      <c r="AW911" s="143"/>
      <c r="AZ911" s="10"/>
      <c r="BD911" s="10"/>
      <c r="BE911" s="10"/>
      <c r="BF911" s="10"/>
      <c r="BG911" s="10"/>
      <c r="BH911" s="10"/>
      <c r="BI911" s="10"/>
      <c r="BJ911" s="10"/>
      <c r="BK911" s="10"/>
      <c r="BL911" s="10"/>
      <c r="BO911" s="10"/>
      <c r="BR911" s="10"/>
      <c r="BS911" s="10"/>
      <c r="BT911" s="10"/>
      <c r="BV911" s="10"/>
      <c r="BW911" s="10"/>
    </row>
    <row r="912">
      <c r="A912" s="10"/>
      <c r="B912" s="10"/>
      <c r="C912" s="10"/>
      <c r="D912" s="10"/>
      <c r="E912" s="10"/>
      <c r="F912" s="10"/>
      <c r="G912" s="10"/>
      <c r="H912" s="10"/>
      <c r="K912" s="10"/>
      <c r="L912" s="10"/>
      <c r="P912" s="10"/>
      <c r="T912" s="10"/>
      <c r="U912" s="10"/>
      <c r="V912" s="10"/>
      <c r="W912" s="10"/>
      <c r="Y912" s="10"/>
      <c r="Z912" s="10"/>
      <c r="AA912" s="10"/>
      <c r="AB912" s="10"/>
      <c r="AC912" s="10"/>
      <c r="AD912" s="10"/>
      <c r="AE912" s="10"/>
      <c r="AF912" s="10"/>
      <c r="AG912" s="10"/>
      <c r="AH912" s="10"/>
      <c r="AI912" s="10"/>
      <c r="AJ912" s="10"/>
      <c r="AK912" s="10"/>
      <c r="AL912" s="10"/>
      <c r="AM912" s="10"/>
      <c r="AO912" s="10"/>
      <c r="AW912" s="143"/>
      <c r="AZ912" s="10"/>
      <c r="BD912" s="10"/>
      <c r="BE912" s="10"/>
      <c r="BF912" s="10"/>
      <c r="BG912" s="10"/>
      <c r="BH912" s="10"/>
      <c r="BI912" s="10"/>
      <c r="BJ912" s="10"/>
      <c r="BK912" s="10"/>
      <c r="BS912" s="10"/>
      <c r="BT912" s="10"/>
      <c r="BV912" s="10"/>
      <c r="BW912" s="10"/>
    </row>
    <row r="913">
      <c r="A913" s="10"/>
      <c r="B913" s="10"/>
      <c r="C913" s="10"/>
      <c r="D913" s="10"/>
      <c r="E913" s="10"/>
      <c r="F913" s="10"/>
      <c r="G913" s="10"/>
      <c r="H913" s="10"/>
      <c r="K913" s="10"/>
      <c r="L913" s="10"/>
      <c r="P913" s="10"/>
      <c r="T913" s="10"/>
      <c r="U913" s="10"/>
      <c r="V913" s="10"/>
      <c r="W913" s="10"/>
      <c r="X913" s="10"/>
      <c r="Y913" s="10"/>
      <c r="Z913" s="10"/>
      <c r="AA913" s="10"/>
      <c r="AB913" s="10"/>
      <c r="AC913" s="10"/>
      <c r="AD913" s="10"/>
      <c r="AE913" s="10"/>
      <c r="AF913" s="10"/>
      <c r="AG913" s="10"/>
      <c r="AH913" s="10"/>
      <c r="AI913" s="10"/>
      <c r="AJ913" s="10"/>
      <c r="AK913" s="10"/>
      <c r="AL913" s="10"/>
      <c r="AM913" s="10"/>
      <c r="AO913" s="10"/>
      <c r="AW913" s="143"/>
      <c r="AZ913" s="10"/>
      <c r="BD913" s="10"/>
      <c r="BS913" s="10"/>
      <c r="BT913" s="10"/>
      <c r="BV913" s="10"/>
      <c r="BW913" s="10"/>
    </row>
    <row r="914">
      <c r="A914" s="10"/>
      <c r="B914" s="10"/>
      <c r="C914" s="10"/>
      <c r="D914" s="10"/>
      <c r="E914" s="10"/>
      <c r="F914" s="10"/>
      <c r="G914" s="10"/>
      <c r="H914" s="10"/>
      <c r="K914" s="10"/>
      <c r="L914" s="10"/>
      <c r="P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W914" s="143"/>
      <c r="BD914" s="10"/>
      <c r="BS914" s="10"/>
      <c r="BT914" s="10"/>
      <c r="BV914" s="10"/>
      <c r="BW914" s="10"/>
    </row>
    <row r="915">
      <c r="A915" s="10"/>
      <c r="B915" s="10"/>
      <c r="C915" s="10"/>
      <c r="D915" s="10"/>
      <c r="E915" s="10"/>
      <c r="F915" s="10"/>
      <c r="G915" s="10"/>
      <c r="H915" s="10"/>
      <c r="K915" s="10"/>
      <c r="L915" s="10"/>
      <c r="O915" s="10"/>
      <c r="P915" s="10"/>
      <c r="T915" s="10"/>
      <c r="U915" s="10"/>
      <c r="V915" s="10"/>
      <c r="W915" s="10"/>
      <c r="Y915" s="10"/>
      <c r="Z915" s="10"/>
      <c r="AA915" s="10"/>
      <c r="AB915" s="10"/>
      <c r="AC915" s="10"/>
      <c r="AD915" s="10"/>
      <c r="AE915" s="10"/>
      <c r="AF915" s="10"/>
      <c r="AG915" s="10"/>
      <c r="AH915" s="10"/>
      <c r="AI915" s="10"/>
      <c r="AJ915" s="10"/>
      <c r="AK915" s="10"/>
      <c r="AL915" s="10"/>
      <c r="AM915" s="10"/>
      <c r="AN915" s="10"/>
      <c r="AO915" s="10"/>
      <c r="AW915" s="143"/>
      <c r="BD915" s="10"/>
      <c r="BE915" s="10"/>
      <c r="BF915" s="10"/>
      <c r="BG915" s="10"/>
      <c r="BH915" s="10"/>
      <c r="BI915" s="10"/>
      <c r="BJ915" s="10"/>
      <c r="BK915" s="10"/>
      <c r="BL915" s="10"/>
      <c r="BO915" s="10"/>
      <c r="BR915" s="10"/>
      <c r="BT915" s="10"/>
      <c r="BV915" s="10"/>
      <c r="BW915" s="10"/>
    </row>
    <row r="916">
      <c r="A916" s="10"/>
      <c r="B916" s="10"/>
      <c r="C916" s="10"/>
      <c r="D916" s="10"/>
      <c r="E916" s="10"/>
      <c r="F916" s="10"/>
      <c r="G916" s="10"/>
      <c r="H916" s="10"/>
      <c r="K916" s="10"/>
      <c r="L916" s="10"/>
      <c r="P916" s="10"/>
      <c r="Q916" s="10"/>
      <c r="R916" s="10"/>
      <c r="S916" s="10"/>
      <c r="T916" s="10"/>
      <c r="U916" s="10"/>
      <c r="V916" s="10"/>
      <c r="W916" s="10"/>
      <c r="Y916" s="10"/>
      <c r="Z916" s="10"/>
      <c r="AA916" s="10"/>
      <c r="AB916" s="10"/>
      <c r="AC916" s="10"/>
      <c r="AD916" s="10"/>
      <c r="AE916" s="10"/>
      <c r="AF916" s="10"/>
      <c r="AG916" s="10"/>
      <c r="AH916" s="10"/>
      <c r="AI916" s="10"/>
      <c r="AJ916" s="10"/>
      <c r="AK916" s="10"/>
      <c r="AL916" s="10"/>
      <c r="AM916" s="10"/>
      <c r="AN916" s="10"/>
      <c r="AO916" s="10"/>
      <c r="AW916" s="143"/>
      <c r="BD916" s="10"/>
      <c r="BE916" s="10"/>
      <c r="BF916" s="10"/>
      <c r="BG916" s="10"/>
      <c r="BH916" s="10"/>
      <c r="BI916" s="10"/>
      <c r="BJ916" s="10"/>
      <c r="BK916" s="10"/>
      <c r="BL916" s="10"/>
      <c r="BM916" s="10"/>
      <c r="BN916" s="10"/>
      <c r="BO916" s="10"/>
      <c r="BP916" s="10"/>
      <c r="BQ916" s="10"/>
      <c r="BR916" s="10"/>
      <c r="BS916" s="10"/>
      <c r="BT916" s="10"/>
      <c r="BV916" s="10"/>
      <c r="BW916" s="10"/>
    </row>
    <row r="917">
      <c r="A917" s="10"/>
      <c r="B917" s="10"/>
      <c r="C917" s="10"/>
      <c r="D917" s="10"/>
      <c r="E917" s="10"/>
      <c r="F917" s="10"/>
      <c r="G917" s="10"/>
      <c r="H917" s="10"/>
      <c r="K917" s="10"/>
      <c r="L917" s="10"/>
      <c r="Q917" s="10"/>
      <c r="R917" s="10"/>
      <c r="S917" s="10"/>
      <c r="V917" s="10"/>
      <c r="W917" s="10"/>
      <c r="Y917" s="10"/>
      <c r="Z917" s="10"/>
      <c r="AA917" s="10"/>
      <c r="AB917" s="10"/>
      <c r="AC917" s="10"/>
      <c r="AD917" s="10"/>
      <c r="AE917" s="10"/>
      <c r="AF917" s="10"/>
      <c r="AG917" s="10"/>
      <c r="AH917" s="10"/>
      <c r="AI917" s="10"/>
      <c r="AJ917" s="10"/>
      <c r="AK917" s="10"/>
      <c r="AL917" s="10"/>
      <c r="AM917" s="10"/>
      <c r="AN917" s="10"/>
      <c r="AO917" s="10"/>
      <c r="AW917" s="143"/>
      <c r="BD917" s="10"/>
      <c r="BE917" s="10"/>
      <c r="BF917" s="10"/>
      <c r="BG917" s="10"/>
      <c r="BH917" s="10"/>
      <c r="BI917" s="10"/>
      <c r="BJ917" s="10"/>
      <c r="BK917" s="10"/>
      <c r="BL917" s="10"/>
      <c r="BM917" s="10"/>
      <c r="BN917" s="10"/>
      <c r="BO917" s="10"/>
      <c r="BP917" s="10"/>
      <c r="BQ917" s="10"/>
      <c r="BR917" s="10"/>
      <c r="BS917" s="10"/>
      <c r="BT917" s="10"/>
      <c r="BV917" s="10"/>
      <c r="BW917" s="10"/>
    </row>
    <row r="918">
      <c r="A918" s="10"/>
      <c r="B918" s="10"/>
      <c r="C918" s="10"/>
      <c r="D918" s="10"/>
      <c r="E918" s="10"/>
      <c r="F918" s="10"/>
      <c r="G918" s="10"/>
      <c r="H918" s="10"/>
      <c r="K918" s="10"/>
      <c r="L918" s="10"/>
      <c r="V918" s="10"/>
      <c r="W918" s="10"/>
      <c r="Y918" s="10"/>
      <c r="Z918" s="10"/>
      <c r="AA918" s="10"/>
      <c r="AB918" s="10"/>
      <c r="AC918" s="10"/>
      <c r="AD918" s="10"/>
      <c r="AE918" s="10"/>
      <c r="AF918" s="10"/>
      <c r="AG918" s="10"/>
      <c r="AH918" s="10"/>
      <c r="AI918" s="10"/>
      <c r="AJ918" s="10"/>
      <c r="AK918" s="10"/>
      <c r="AL918" s="10"/>
      <c r="AM918" s="10"/>
      <c r="AN918" s="10"/>
      <c r="AO918" s="10"/>
      <c r="AW918" s="143"/>
      <c r="BD918" s="10"/>
      <c r="BE918" s="10"/>
      <c r="BF918" s="10"/>
      <c r="BG918" s="10"/>
      <c r="BH918" s="10"/>
      <c r="BI918" s="10"/>
      <c r="BJ918" s="10"/>
      <c r="BK918" s="10"/>
      <c r="BS918" s="10"/>
      <c r="BT918" s="10"/>
      <c r="BV918" s="10"/>
      <c r="BW918" s="10"/>
    </row>
    <row r="919">
      <c r="A919" s="10"/>
      <c r="B919" s="10"/>
      <c r="C919" s="10"/>
      <c r="D919" s="10"/>
      <c r="E919" s="10"/>
      <c r="F919" s="10"/>
      <c r="G919" s="10"/>
      <c r="H919" s="10"/>
      <c r="K919" s="10"/>
      <c r="L919" s="10"/>
      <c r="N919" s="10"/>
      <c r="V919" s="10"/>
      <c r="W919" s="10"/>
      <c r="Y919" s="10"/>
      <c r="Z919" s="10"/>
      <c r="AA919" s="10"/>
      <c r="AB919" s="10"/>
      <c r="AC919" s="10"/>
      <c r="AD919" s="10"/>
      <c r="AE919" s="10"/>
      <c r="AF919" s="10"/>
      <c r="AG919" s="10"/>
      <c r="AH919" s="10"/>
      <c r="AI919" s="10"/>
      <c r="AJ919" s="10"/>
      <c r="AK919" s="10"/>
      <c r="AL919" s="10"/>
      <c r="AM919" s="10"/>
      <c r="AN919" s="10"/>
      <c r="AO919" s="10"/>
      <c r="AW919" s="143"/>
      <c r="BD919" s="10"/>
      <c r="BE919" s="10"/>
      <c r="BF919" s="10"/>
      <c r="BG919" s="10"/>
      <c r="BH919" s="10"/>
      <c r="BI919" s="10"/>
      <c r="BJ919" s="10"/>
      <c r="BK919" s="10"/>
      <c r="BS919" s="10"/>
      <c r="BT919" s="10"/>
      <c r="BV919" s="10"/>
      <c r="BW919" s="10"/>
    </row>
    <row r="920">
      <c r="A920" s="10"/>
      <c r="B920" s="10"/>
      <c r="C920" s="10"/>
      <c r="D920" s="10"/>
      <c r="E920" s="10"/>
      <c r="F920" s="10"/>
      <c r="G920" s="10"/>
      <c r="H920" s="10"/>
      <c r="K920" s="10"/>
      <c r="L920" s="10"/>
      <c r="N920" s="10"/>
      <c r="V920" s="10"/>
      <c r="W920" s="10"/>
      <c r="Y920" s="10"/>
      <c r="Z920" s="10"/>
      <c r="AA920" s="10"/>
      <c r="AB920" s="10"/>
      <c r="AC920" s="10"/>
      <c r="AD920" s="10"/>
      <c r="AE920" s="10"/>
      <c r="AF920" s="10"/>
      <c r="AG920" s="10"/>
      <c r="AH920" s="10"/>
      <c r="AI920" s="10"/>
      <c r="AJ920" s="10"/>
      <c r="AK920" s="10"/>
      <c r="AL920" s="10"/>
      <c r="AM920" s="10"/>
      <c r="AN920" s="10"/>
      <c r="AO920" s="10"/>
      <c r="AW920" s="143"/>
      <c r="BD920" s="10"/>
      <c r="BE920" s="10"/>
      <c r="BF920" s="10"/>
      <c r="BG920" s="10"/>
      <c r="BH920" s="10"/>
      <c r="BI920" s="10"/>
      <c r="BJ920" s="10"/>
      <c r="BK920" s="10"/>
      <c r="BS920" s="10"/>
      <c r="BT920" s="10"/>
      <c r="BV920" s="10"/>
      <c r="BW920" s="10"/>
    </row>
    <row r="921">
      <c r="A921" s="10"/>
      <c r="B921" s="10"/>
      <c r="C921" s="10"/>
      <c r="D921" s="10"/>
      <c r="E921" s="10"/>
      <c r="F921" s="10"/>
      <c r="G921" s="10"/>
      <c r="H921" s="10"/>
      <c r="K921" s="10"/>
      <c r="L921" s="10"/>
      <c r="N921" s="10"/>
      <c r="V921" s="10"/>
      <c r="W921" s="10"/>
      <c r="Y921" s="10"/>
      <c r="Z921" s="10"/>
      <c r="AA921" s="10"/>
      <c r="AB921" s="10"/>
      <c r="AC921" s="10"/>
      <c r="AD921" s="10"/>
      <c r="AE921" s="10"/>
      <c r="AF921" s="10"/>
      <c r="AG921" s="10"/>
      <c r="AH921" s="10"/>
      <c r="AI921" s="10"/>
      <c r="AJ921" s="10"/>
      <c r="AK921" s="10"/>
      <c r="AL921" s="10"/>
      <c r="AM921" s="10"/>
      <c r="AN921" s="10"/>
      <c r="AO921" s="10"/>
      <c r="AW921" s="143"/>
      <c r="BD921" s="10"/>
      <c r="BE921" s="10"/>
      <c r="BF921" s="10"/>
      <c r="BG921" s="10"/>
      <c r="BH921" s="10"/>
      <c r="BI921" s="10"/>
      <c r="BJ921" s="10"/>
      <c r="BK921" s="10"/>
      <c r="BS921" s="10"/>
      <c r="BT921" s="10"/>
      <c r="BV921" s="10"/>
      <c r="BW921" s="10"/>
    </row>
    <row r="922">
      <c r="A922" s="10"/>
      <c r="B922" s="10"/>
      <c r="C922" s="10"/>
      <c r="D922" s="10"/>
      <c r="E922" s="10"/>
      <c r="F922" s="10"/>
      <c r="G922" s="10"/>
      <c r="H922" s="10"/>
      <c r="K922" s="10"/>
      <c r="L922" s="10"/>
      <c r="V922" s="10"/>
      <c r="W922" s="10"/>
      <c r="Y922" s="10"/>
      <c r="Z922" s="10"/>
      <c r="AA922" s="10"/>
      <c r="AB922" s="10"/>
      <c r="AC922" s="10"/>
      <c r="AD922" s="10"/>
      <c r="AE922" s="10"/>
      <c r="AF922" s="10"/>
      <c r="AG922" s="10"/>
      <c r="AH922" s="10"/>
      <c r="AI922" s="10"/>
      <c r="AJ922" s="10"/>
      <c r="AK922" s="10"/>
      <c r="AL922" s="10"/>
      <c r="AM922" s="10"/>
      <c r="AN922" s="10"/>
      <c r="AO922" s="10"/>
      <c r="AW922" s="143"/>
      <c r="BD922" s="10"/>
      <c r="BE922" s="10"/>
      <c r="BF922" s="10"/>
      <c r="BG922" s="10"/>
      <c r="BH922" s="10"/>
      <c r="BI922" s="10"/>
      <c r="BJ922" s="10"/>
      <c r="BK922" s="10"/>
      <c r="BS922" s="10"/>
      <c r="BT922" s="10"/>
      <c r="BV922" s="10"/>
      <c r="BW922" s="10"/>
    </row>
    <row r="923">
      <c r="A923" s="10"/>
      <c r="B923" s="10"/>
      <c r="C923" s="10"/>
      <c r="D923" s="10"/>
      <c r="E923" s="10"/>
      <c r="F923" s="10"/>
      <c r="G923" s="10"/>
      <c r="H923" s="10"/>
      <c r="K923" s="10"/>
      <c r="L923" s="10"/>
      <c r="P923" s="10"/>
      <c r="V923" s="10"/>
      <c r="W923" s="10"/>
      <c r="Y923" s="10"/>
      <c r="Z923" s="10"/>
      <c r="AA923" s="10"/>
      <c r="AB923" s="10"/>
      <c r="AC923" s="10"/>
      <c r="AD923" s="10"/>
      <c r="AE923" s="10"/>
      <c r="AF923" s="10"/>
      <c r="AG923" s="10"/>
      <c r="AH923" s="10"/>
      <c r="AI923" s="10"/>
      <c r="AJ923" s="10"/>
      <c r="AK923" s="10"/>
      <c r="AL923" s="10"/>
      <c r="AM923" s="10"/>
      <c r="AN923" s="10"/>
      <c r="AO923" s="10"/>
      <c r="AW923" s="143"/>
      <c r="BD923" s="10"/>
      <c r="BE923" s="10"/>
      <c r="BF923" s="10"/>
      <c r="BG923" s="10"/>
      <c r="BH923" s="10"/>
      <c r="BI923" s="10"/>
      <c r="BJ923" s="10"/>
      <c r="BK923" s="10"/>
      <c r="BS923" s="10"/>
      <c r="BT923" s="10"/>
      <c r="BV923" s="10"/>
      <c r="BW923" s="10"/>
    </row>
    <row r="924">
      <c r="A924" s="10"/>
      <c r="B924" s="10"/>
      <c r="C924" s="10"/>
      <c r="D924" s="10"/>
      <c r="E924" s="10"/>
      <c r="F924" s="10"/>
      <c r="G924" s="10"/>
      <c r="H924" s="10"/>
      <c r="K924" s="10"/>
      <c r="L924" s="10"/>
      <c r="P924" s="10"/>
      <c r="V924" s="10"/>
      <c r="W924" s="10"/>
      <c r="Y924" s="10"/>
      <c r="Z924" s="10"/>
      <c r="AA924" s="10"/>
      <c r="AB924" s="10"/>
      <c r="AC924" s="10"/>
      <c r="AD924" s="10"/>
      <c r="AE924" s="10"/>
      <c r="AF924" s="10"/>
      <c r="AG924" s="10"/>
      <c r="AH924" s="10"/>
      <c r="AI924" s="10"/>
      <c r="AJ924" s="10"/>
      <c r="AK924" s="10"/>
      <c r="AL924" s="10"/>
      <c r="AM924" s="10"/>
      <c r="AN924" s="10"/>
      <c r="AO924" s="10"/>
      <c r="AW924" s="143"/>
      <c r="BD924" s="10"/>
      <c r="BE924" s="10"/>
      <c r="BF924" s="10"/>
      <c r="BG924" s="10"/>
      <c r="BH924" s="10"/>
      <c r="BI924" s="10"/>
      <c r="BJ924" s="10"/>
      <c r="BK924" s="10"/>
      <c r="BS924" s="10"/>
      <c r="BT924" s="10"/>
      <c r="BV924" s="10"/>
      <c r="BW924" s="10"/>
    </row>
    <row r="925">
      <c r="A925" s="10"/>
      <c r="B925" s="10"/>
      <c r="C925" s="10"/>
      <c r="D925" s="10"/>
      <c r="E925" s="10"/>
      <c r="F925" s="10"/>
      <c r="G925" s="10"/>
      <c r="H925" s="10"/>
      <c r="J925" s="10"/>
      <c r="K925" s="10"/>
      <c r="L925" s="10"/>
      <c r="V925" s="10"/>
      <c r="W925" s="10"/>
      <c r="Y925" s="10"/>
      <c r="Z925" s="10"/>
      <c r="AA925" s="10"/>
      <c r="AB925" s="10"/>
      <c r="AC925" s="10"/>
      <c r="AD925" s="10"/>
      <c r="AE925" s="10"/>
      <c r="AF925" s="10"/>
      <c r="AG925" s="10"/>
      <c r="AH925" s="10"/>
      <c r="AI925" s="10"/>
      <c r="AJ925" s="10"/>
      <c r="AK925" s="10"/>
      <c r="AL925" s="10"/>
      <c r="AM925" s="10"/>
      <c r="AN925" s="10"/>
      <c r="AO925" s="10"/>
      <c r="AW925" s="143"/>
      <c r="BD925" s="10"/>
      <c r="BE925" s="10"/>
      <c r="BF925" s="10"/>
      <c r="BG925" s="10"/>
      <c r="BH925" s="10"/>
      <c r="BI925" s="10"/>
      <c r="BJ925" s="10"/>
      <c r="BK925" s="10"/>
      <c r="BS925" s="10"/>
      <c r="BT925" s="10"/>
      <c r="BV925" s="10"/>
      <c r="BW925" s="10"/>
    </row>
    <row r="926">
      <c r="A926" s="10"/>
      <c r="B926" s="10"/>
      <c r="C926" s="10"/>
      <c r="D926" s="10"/>
      <c r="E926" s="10"/>
      <c r="F926" s="10"/>
      <c r="G926" s="10"/>
      <c r="H926" s="10"/>
      <c r="K926" s="10"/>
      <c r="L926" s="10"/>
      <c r="N926" s="10"/>
      <c r="P926" s="10"/>
      <c r="Q926" s="10"/>
      <c r="R926" s="10"/>
      <c r="S926" s="10"/>
      <c r="V926" s="10"/>
      <c r="W926" s="10"/>
      <c r="Y926" s="10"/>
      <c r="Z926" s="10"/>
      <c r="AA926" s="10"/>
      <c r="AB926" s="10"/>
      <c r="AC926" s="10"/>
      <c r="AD926" s="10"/>
      <c r="AE926" s="10"/>
      <c r="AF926" s="10"/>
      <c r="AG926" s="10"/>
      <c r="AH926" s="10"/>
      <c r="AI926" s="10"/>
      <c r="AJ926" s="10"/>
      <c r="AK926" s="10"/>
      <c r="AL926" s="10"/>
      <c r="AM926" s="10"/>
      <c r="AN926" s="10"/>
      <c r="AO926" s="10"/>
      <c r="AW926" s="143"/>
      <c r="BD926" s="10"/>
      <c r="BE926" s="10"/>
      <c r="BF926" s="10"/>
      <c r="BG926" s="10"/>
      <c r="BH926" s="10"/>
      <c r="BI926" s="10"/>
      <c r="BJ926" s="10"/>
      <c r="BK926" s="10"/>
      <c r="BL926" s="10"/>
      <c r="BO926" s="10"/>
      <c r="BR926" s="10"/>
      <c r="BS926" s="10"/>
      <c r="BT926" s="10"/>
      <c r="BV926" s="10"/>
      <c r="BW926" s="10"/>
    </row>
    <row r="927">
      <c r="A927" s="10"/>
      <c r="B927" s="10"/>
      <c r="C927" s="10"/>
      <c r="D927" s="10"/>
      <c r="E927" s="10"/>
      <c r="F927" s="10"/>
      <c r="G927" s="10"/>
      <c r="H927" s="10"/>
      <c r="K927" s="10"/>
      <c r="L927" s="10"/>
      <c r="U927" s="10"/>
      <c r="V927" s="10"/>
      <c r="W927" s="10"/>
      <c r="Y927" s="10"/>
      <c r="Z927" s="10"/>
      <c r="AA927" s="10"/>
      <c r="AB927" s="10"/>
      <c r="AC927" s="10"/>
      <c r="AD927" s="10"/>
      <c r="AE927" s="10"/>
      <c r="AF927" s="10"/>
      <c r="AG927" s="10"/>
      <c r="AH927" s="10"/>
      <c r="AI927" s="10"/>
      <c r="AJ927" s="10"/>
      <c r="AK927" s="10"/>
      <c r="AL927" s="10"/>
      <c r="AM927" s="10"/>
      <c r="AN927" s="10"/>
      <c r="AO927" s="10"/>
      <c r="AW927" s="143"/>
      <c r="BD927" s="10"/>
      <c r="BE927" s="10"/>
      <c r="BF927" s="10"/>
      <c r="BG927" s="10"/>
      <c r="BH927" s="10"/>
      <c r="BI927" s="10"/>
      <c r="BJ927" s="10"/>
      <c r="BK927" s="10"/>
      <c r="BL927" s="10"/>
      <c r="BM927" s="10"/>
      <c r="BN927" s="10"/>
      <c r="BO927" s="10"/>
      <c r="BR927" s="10"/>
      <c r="BS927" s="10"/>
      <c r="BT927" s="10"/>
      <c r="BV927" s="10"/>
      <c r="BW927" s="10"/>
    </row>
    <row r="928">
      <c r="A928" s="10"/>
      <c r="B928" s="10"/>
      <c r="C928" s="10"/>
      <c r="D928" s="10"/>
      <c r="E928" s="10"/>
      <c r="F928" s="10"/>
      <c r="G928" s="10"/>
      <c r="H928" s="10"/>
      <c r="K928" s="10"/>
      <c r="L928" s="10"/>
      <c r="P928" s="10"/>
      <c r="U928" s="10"/>
      <c r="V928" s="10"/>
      <c r="W928" s="10"/>
      <c r="Y928" s="10"/>
      <c r="Z928" s="10"/>
      <c r="AA928" s="10"/>
      <c r="AB928" s="10"/>
      <c r="AC928" s="10"/>
      <c r="AD928" s="10"/>
      <c r="AE928" s="10"/>
      <c r="AF928" s="10"/>
      <c r="AG928" s="10"/>
      <c r="AH928" s="10"/>
      <c r="AI928" s="10"/>
      <c r="AJ928" s="10"/>
      <c r="AK928" s="10"/>
      <c r="AL928" s="10"/>
      <c r="AM928" s="10"/>
      <c r="AN928" s="10"/>
      <c r="AO928" s="10"/>
      <c r="AW928" s="143"/>
      <c r="BD928" s="10"/>
      <c r="BE928" s="10"/>
      <c r="BF928" s="10"/>
      <c r="BG928" s="10"/>
      <c r="BH928" s="10"/>
      <c r="BI928" s="10"/>
      <c r="BJ928" s="10"/>
      <c r="BK928" s="10"/>
      <c r="BL928" s="10"/>
      <c r="BM928" s="10"/>
      <c r="BN928" s="10"/>
      <c r="BO928" s="10"/>
      <c r="BP928" s="10"/>
      <c r="BQ928" s="10"/>
      <c r="BR928" s="10"/>
      <c r="BS928" s="10"/>
      <c r="BT928" s="10"/>
      <c r="BV928" s="10"/>
      <c r="BW928" s="10"/>
    </row>
    <row r="929">
      <c r="A929" s="10"/>
      <c r="B929" s="10"/>
      <c r="C929" s="10"/>
      <c r="D929" s="10"/>
      <c r="E929" s="10"/>
      <c r="F929" s="10"/>
      <c r="G929" s="10"/>
      <c r="H929" s="10"/>
      <c r="K929" s="10"/>
      <c r="L929" s="10"/>
      <c r="N929" s="10"/>
      <c r="U929" s="10"/>
      <c r="V929" s="10"/>
      <c r="W929" s="10"/>
      <c r="Y929" s="10"/>
      <c r="Z929" s="10"/>
      <c r="AA929" s="10"/>
      <c r="AB929" s="10"/>
      <c r="AC929" s="10"/>
      <c r="AD929" s="10"/>
      <c r="AE929" s="10"/>
      <c r="AF929" s="10"/>
      <c r="AG929" s="10"/>
      <c r="AH929" s="10"/>
      <c r="AI929" s="10"/>
      <c r="AJ929" s="10"/>
      <c r="AL929" s="10"/>
      <c r="AM929" s="10"/>
      <c r="AO929" s="10"/>
      <c r="AW929" s="143"/>
      <c r="BD929" s="10"/>
      <c r="BE929" s="10"/>
      <c r="BF929" s="10"/>
      <c r="BG929" s="10"/>
      <c r="BH929" s="10"/>
      <c r="BI929" s="10"/>
      <c r="BJ929" s="10"/>
      <c r="BK929" s="10"/>
      <c r="BS929" s="10"/>
      <c r="BT929" s="10"/>
      <c r="BV929" s="10"/>
      <c r="BW929" s="10"/>
    </row>
    <row r="930">
      <c r="A930" s="10"/>
      <c r="B930" s="10"/>
      <c r="C930" s="10"/>
      <c r="D930" s="10"/>
      <c r="E930" s="10"/>
      <c r="F930" s="10"/>
      <c r="G930" s="10"/>
      <c r="H930" s="10"/>
      <c r="K930" s="10"/>
      <c r="L930" s="10"/>
      <c r="N930" s="10"/>
      <c r="U930" s="10"/>
      <c r="V930" s="10"/>
      <c r="W930" s="10"/>
      <c r="Y930" s="10"/>
      <c r="Z930" s="10"/>
      <c r="AA930" s="10"/>
      <c r="AB930" s="10"/>
      <c r="AC930" s="10"/>
      <c r="AD930" s="10"/>
      <c r="AE930" s="10"/>
      <c r="AF930" s="10"/>
      <c r="AG930" s="10"/>
      <c r="AH930" s="10"/>
      <c r="AI930" s="10"/>
      <c r="AJ930" s="10"/>
      <c r="AK930" s="10"/>
      <c r="AL930" s="10"/>
      <c r="AM930" s="10"/>
      <c r="AN930" s="10"/>
      <c r="AO930" s="10"/>
      <c r="AW930" s="143"/>
      <c r="BD930" s="10"/>
      <c r="BE930" s="10"/>
      <c r="BF930" s="10"/>
      <c r="BG930" s="10"/>
      <c r="BH930" s="10"/>
      <c r="BI930" s="10"/>
      <c r="BJ930" s="10"/>
      <c r="BK930" s="10"/>
      <c r="BS930" s="10"/>
      <c r="BT930" s="10"/>
      <c r="BV930" s="10"/>
      <c r="BW930" s="10"/>
    </row>
    <row r="931">
      <c r="A931" s="10"/>
      <c r="B931" s="10"/>
      <c r="C931" s="10"/>
      <c r="D931" s="10"/>
      <c r="E931" s="10"/>
      <c r="F931" s="10"/>
      <c r="G931" s="10"/>
      <c r="H931" s="10"/>
      <c r="K931" s="10"/>
      <c r="L931" s="10"/>
      <c r="N931" s="10"/>
      <c r="U931" s="10"/>
      <c r="V931" s="10"/>
      <c r="W931" s="10"/>
      <c r="Y931" s="10"/>
      <c r="Z931" s="10"/>
      <c r="AA931" s="10"/>
      <c r="AB931" s="10"/>
      <c r="AC931" s="10"/>
      <c r="AD931" s="10"/>
      <c r="AE931" s="10"/>
      <c r="AF931" s="10"/>
      <c r="AG931" s="10"/>
      <c r="AH931" s="10"/>
      <c r="AI931" s="10"/>
      <c r="AJ931" s="10"/>
      <c r="AK931" s="10"/>
      <c r="AL931" s="10"/>
      <c r="AM931" s="10"/>
      <c r="AN931" s="10"/>
      <c r="AO931" s="10"/>
      <c r="AW931" s="143"/>
      <c r="BD931" s="10"/>
      <c r="BE931" s="10"/>
      <c r="BF931" s="10"/>
      <c r="BG931" s="10"/>
      <c r="BH931" s="10"/>
      <c r="BI931" s="10"/>
      <c r="BJ931" s="10"/>
      <c r="BK931" s="10"/>
      <c r="BS931" s="10"/>
      <c r="BT931" s="10"/>
      <c r="BV931" s="10"/>
      <c r="BW931" s="10"/>
    </row>
    <row r="932">
      <c r="A932" s="10"/>
      <c r="B932" s="10"/>
      <c r="C932" s="10"/>
      <c r="D932" s="10"/>
      <c r="E932" s="10"/>
      <c r="F932" s="10"/>
      <c r="G932" s="10"/>
      <c r="H932" s="10"/>
      <c r="K932" s="10"/>
      <c r="L932" s="10"/>
      <c r="U932" s="10"/>
      <c r="V932" s="10"/>
      <c r="W932" s="10"/>
      <c r="Y932" s="10"/>
      <c r="Z932" s="10"/>
      <c r="AA932" s="10"/>
      <c r="AB932" s="10"/>
      <c r="AC932" s="10"/>
      <c r="AD932" s="10"/>
      <c r="AE932" s="10"/>
      <c r="AF932" s="10"/>
      <c r="AG932" s="10"/>
      <c r="AH932" s="10"/>
      <c r="AI932" s="10"/>
      <c r="AJ932" s="10"/>
      <c r="AK932" s="10"/>
      <c r="AL932" s="10"/>
      <c r="AN932" s="10"/>
      <c r="AO932" s="10"/>
      <c r="AW932" s="143"/>
      <c r="BD932" s="10"/>
      <c r="BE932" s="10"/>
      <c r="BF932" s="10"/>
      <c r="BG932" s="10"/>
      <c r="BH932" s="10"/>
      <c r="BI932" s="10"/>
      <c r="BJ932" s="10"/>
      <c r="BK932" s="10"/>
      <c r="BS932" s="10"/>
      <c r="BT932" s="10"/>
      <c r="BV932" s="10"/>
      <c r="BW932" s="10"/>
    </row>
    <row r="933">
      <c r="A933" s="10"/>
      <c r="B933" s="10"/>
      <c r="C933" s="10"/>
      <c r="D933" s="10"/>
      <c r="E933" s="10"/>
      <c r="F933" s="10"/>
      <c r="G933" s="10"/>
      <c r="H933" s="10"/>
      <c r="K933" s="10"/>
      <c r="L933" s="10"/>
      <c r="P933" s="10"/>
      <c r="U933" s="10"/>
      <c r="V933" s="10"/>
      <c r="W933" s="10"/>
      <c r="Y933" s="10"/>
      <c r="Z933" s="10"/>
      <c r="AA933" s="10"/>
      <c r="AB933" s="10"/>
      <c r="AC933" s="10"/>
      <c r="AD933" s="10"/>
      <c r="AE933" s="10"/>
      <c r="AF933" s="10"/>
      <c r="AG933" s="10"/>
      <c r="AH933" s="10"/>
      <c r="AI933" s="10"/>
      <c r="AJ933" s="10"/>
      <c r="AK933" s="10"/>
      <c r="AL933" s="10"/>
      <c r="AM933" s="10"/>
      <c r="AN933" s="10"/>
      <c r="AO933" s="10"/>
      <c r="AW933" s="143"/>
      <c r="BD933" s="10"/>
      <c r="BE933" s="10"/>
      <c r="BF933" s="10"/>
      <c r="BG933" s="10"/>
      <c r="BH933" s="10"/>
      <c r="BI933" s="10"/>
      <c r="BJ933" s="10"/>
      <c r="BK933" s="10"/>
      <c r="BS933" s="10"/>
      <c r="BT933" s="10"/>
      <c r="BV933" s="10"/>
      <c r="BW933" s="10"/>
    </row>
    <row r="934">
      <c r="A934" s="10"/>
      <c r="B934" s="10"/>
      <c r="C934" s="10"/>
      <c r="D934" s="10"/>
      <c r="E934" s="10"/>
      <c r="F934" s="10"/>
      <c r="G934" s="10"/>
      <c r="H934" s="10"/>
      <c r="J934" s="10"/>
      <c r="K934" s="10"/>
      <c r="L934" s="10"/>
      <c r="U934" s="10"/>
      <c r="V934" s="10"/>
      <c r="W934" s="10"/>
      <c r="X934" s="10"/>
      <c r="Y934" s="10"/>
      <c r="Z934" s="10"/>
      <c r="AA934" s="10"/>
      <c r="AB934" s="10"/>
      <c r="AC934" s="10"/>
      <c r="AD934" s="10"/>
      <c r="AE934" s="10"/>
      <c r="AF934" s="10"/>
      <c r="AG934" s="10"/>
      <c r="AH934" s="10"/>
      <c r="AI934" s="10"/>
      <c r="AJ934" s="10"/>
      <c r="AK934" s="10"/>
      <c r="AL934" s="10"/>
      <c r="AN934" s="10"/>
      <c r="AO934" s="10"/>
      <c r="AP934" s="10"/>
      <c r="AQ934" s="10"/>
      <c r="AR934" s="10"/>
      <c r="AV934" s="10"/>
      <c r="AW934" s="143"/>
      <c r="BD934" s="10"/>
      <c r="BE934" s="10"/>
      <c r="BF934" s="10"/>
      <c r="BG934" s="10"/>
      <c r="BH934" s="10"/>
      <c r="BI934" s="10"/>
      <c r="BJ934" s="10"/>
      <c r="BK934" s="10"/>
      <c r="BS934" s="10"/>
      <c r="BT934" s="10"/>
      <c r="BV934" s="10"/>
      <c r="BW934" s="10"/>
    </row>
    <row r="935">
      <c r="A935" s="10"/>
      <c r="B935" s="10"/>
      <c r="C935" s="10"/>
      <c r="D935" s="10"/>
      <c r="E935" s="10"/>
      <c r="F935" s="10"/>
      <c r="G935" s="10"/>
      <c r="H935" s="10"/>
      <c r="K935" s="10"/>
      <c r="L935" s="10"/>
      <c r="P935" s="10"/>
      <c r="U935" s="10"/>
      <c r="V935" s="10"/>
      <c r="W935" s="10"/>
      <c r="X935" s="10"/>
      <c r="Y935" s="10"/>
      <c r="Z935" s="10"/>
      <c r="AA935" s="10"/>
      <c r="AB935" s="10"/>
      <c r="AC935" s="10"/>
      <c r="AD935" s="10"/>
      <c r="AE935" s="10"/>
      <c r="AF935" s="10"/>
      <c r="AG935" s="10"/>
      <c r="AH935" s="10"/>
      <c r="AI935" s="10"/>
      <c r="AJ935" s="10"/>
      <c r="AK935" s="10"/>
      <c r="AL935" s="10"/>
      <c r="AM935" s="10"/>
      <c r="AN935" s="10"/>
      <c r="AO935" s="10"/>
      <c r="AW935" s="143"/>
      <c r="BD935" s="10"/>
      <c r="BE935" s="10"/>
      <c r="BF935" s="10"/>
      <c r="BG935" s="10"/>
      <c r="BH935" s="10"/>
      <c r="BI935" s="10"/>
      <c r="BJ935" s="10"/>
      <c r="BK935" s="10"/>
      <c r="BS935" s="10"/>
      <c r="BT935" s="10"/>
      <c r="BV935" s="10"/>
      <c r="BW935" s="10"/>
    </row>
    <row r="936">
      <c r="A936" s="10"/>
      <c r="B936" s="10"/>
      <c r="C936" s="10"/>
      <c r="D936" s="10"/>
      <c r="E936" s="10"/>
      <c r="F936" s="10"/>
      <c r="G936" s="10"/>
      <c r="H936" s="10"/>
      <c r="K936" s="10"/>
      <c r="L936" s="10"/>
      <c r="U936" s="10"/>
      <c r="V936" s="10"/>
      <c r="W936" s="10"/>
      <c r="Y936" s="10"/>
      <c r="Z936" s="10"/>
      <c r="AA936" s="10"/>
      <c r="AB936" s="10"/>
      <c r="AC936" s="10"/>
      <c r="AD936" s="10"/>
      <c r="AE936" s="10"/>
      <c r="AF936" s="10"/>
      <c r="AG936" s="10"/>
      <c r="AH936" s="10"/>
      <c r="AI936" s="10"/>
      <c r="AJ936" s="10"/>
      <c r="AK936" s="10"/>
      <c r="AL936" s="10"/>
      <c r="AM936" s="10"/>
      <c r="AN936" s="10"/>
      <c r="AO936" s="10"/>
      <c r="AW936" s="143"/>
      <c r="BD936" s="10"/>
      <c r="BE936" s="10"/>
      <c r="BF936" s="10"/>
      <c r="BG936" s="10"/>
      <c r="BH936" s="10"/>
      <c r="BI936" s="10"/>
      <c r="BJ936" s="10"/>
      <c r="BK936" s="10"/>
      <c r="BS936" s="10"/>
      <c r="BT936" s="10"/>
      <c r="BV936" s="10"/>
      <c r="BW936" s="10"/>
    </row>
    <row r="937">
      <c r="A937" s="10"/>
      <c r="B937" s="10"/>
      <c r="C937" s="10"/>
      <c r="D937" s="10"/>
      <c r="E937" s="10"/>
      <c r="F937" s="10"/>
      <c r="G937" s="10"/>
      <c r="H937" s="10"/>
      <c r="I937" s="10"/>
      <c r="J937" s="10"/>
      <c r="K937" s="10"/>
      <c r="L937" s="10"/>
      <c r="N937" s="10"/>
      <c r="P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R937" s="10"/>
      <c r="AS937" s="10"/>
      <c r="AU937" s="10"/>
      <c r="AV937" s="10"/>
      <c r="AW937" s="143"/>
      <c r="BD937" s="10"/>
      <c r="BL937" s="10"/>
      <c r="BO937" s="10"/>
      <c r="BR937" s="10"/>
      <c r="BS937" s="10"/>
      <c r="BT937" s="10"/>
      <c r="BV937" s="10"/>
      <c r="BW937" s="10"/>
    </row>
    <row r="938">
      <c r="A938" s="10"/>
      <c r="B938" s="10"/>
      <c r="C938" s="10"/>
      <c r="D938" s="10"/>
      <c r="E938" s="10"/>
      <c r="F938" s="10"/>
      <c r="G938" s="10"/>
      <c r="H938" s="10"/>
      <c r="I938" s="10"/>
      <c r="J938" s="10"/>
      <c r="K938" s="10"/>
      <c r="L938" s="10"/>
      <c r="N938" s="10"/>
      <c r="P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R938" s="10"/>
      <c r="AS938" s="10"/>
      <c r="AU938" s="10"/>
      <c r="AV938" s="10"/>
      <c r="AW938" s="143"/>
      <c r="BD938" s="10"/>
      <c r="BS938" s="10"/>
      <c r="BT938" s="10"/>
      <c r="BV938" s="10"/>
      <c r="BW938" s="10"/>
    </row>
    <row r="939">
      <c r="A939" s="10"/>
      <c r="B939" s="10"/>
      <c r="C939" s="10"/>
      <c r="D939" s="10"/>
      <c r="E939" s="10"/>
      <c r="F939" s="10"/>
      <c r="G939" s="10"/>
      <c r="H939" s="10"/>
      <c r="I939" s="10"/>
      <c r="J939" s="10"/>
      <c r="K939" s="10"/>
      <c r="L939" s="10"/>
      <c r="N939" s="10"/>
      <c r="T939" s="10"/>
      <c r="U939" s="10"/>
      <c r="V939" s="10"/>
      <c r="W939" s="10"/>
      <c r="X939" s="10"/>
      <c r="Y939" s="10"/>
      <c r="Z939" s="10"/>
      <c r="AA939" s="10"/>
      <c r="AB939" s="10"/>
      <c r="AC939" s="10"/>
      <c r="AD939" s="10"/>
      <c r="AE939" s="10"/>
      <c r="AF939" s="10"/>
      <c r="AG939" s="10"/>
      <c r="AH939" s="10"/>
      <c r="AI939" s="10"/>
      <c r="AJ939" s="10"/>
      <c r="AL939" s="10"/>
      <c r="AM939" s="10"/>
      <c r="AO939" s="10"/>
      <c r="AR939" s="10"/>
      <c r="AS939" s="10"/>
      <c r="AU939" s="10"/>
      <c r="AV939" s="10"/>
      <c r="AW939" s="143"/>
      <c r="BD939" s="10"/>
      <c r="BT939" s="10"/>
      <c r="BV939" s="10"/>
      <c r="BW939" s="10"/>
    </row>
    <row r="940">
      <c r="A940" s="10"/>
      <c r="B940" s="10"/>
      <c r="C940" s="10"/>
      <c r="D940" s="10"/>
      <c r="E940" s="10"/>
      <c r="F940" s="10"/>
      <c r="G940" s="10"/>
      <c r="H940" s="10"/>
      <c r="I940" s="10"/>
      <c r="J940" s="10"/>
      <c r="K940" s="10"/>
      <c r="L940" s="10"/>
      <c r="N940" s="10"/>
      <c r="O940" s="10"/>
      <c r="P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R940" s="10"/>
      <c r="AS940" s="10"/>
      <c r="AU940" s="10"/>
      <c r="AV940" s="10"/>
      <c r="AW940" s="143"/>
      <c r="BD940" s="10"/>
      <c r="BS940" s="10"/>
      <c r="BT940" s="10"/>
      <c r="BV940" s="10"/>
      <c r="BW940" s="10"/>
    </row>
    <row r="941">
      <c r="A941" s="10"/>
      <c r="B941" s="10"/>
      <c r="C941" s="10"/>
      <c r="D941" s="10"/>
      <c r="E941" s="10"/>
      <c r="F941" s="10"/>
      <c r="G941" s="10"/>
      <c r="H941" s="10"/>
      <c r="I941" s="10"/>
      <c r="J941" s="10"/>
      <c r="K941" s="10"/>
      <c r="L941" s="10"/>
      <c r="N941" s="10"/>
      <c r="O941" s="10"/>
      <c r="P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R941" s="10"/>
      <c r="AS941" s="10"/>
      <c r="AU941" s="10"/>
      <c r="AV941" s="10"/>
      <c r="AW941" s="143"/>
      <c r="BD941" s="10"/>
      <c r="BS941" s="10"/>
      <c r="BT941" s="10"/>
      <c r="BV941" s="10"/>
      <c r="BW941" s="10"/>
    </row>
    <row r="942">
      <c r="A942" s="10"/>
      <c r="B942" s="10"/>
      <c r="C942" s="10"/>
      <c r="D942" s="10"/>
      <c r="E942" s="10"/>
      <c r="F942" s="10"/>
      <c r="G942" s="10"/>
      <c r="H942" s="10"/>
      <c r="I942" s="10"/>
      <c r="J942" s="10"/>
      <c r="K942" s="10"/>
      <c r="L942" s="10"/>
      <c r="N942" s="10"/>
      <c r="P942" s="10"/>
      <c r="T942" s="10"/>
      <c r="U942" s="10"/>
      <c r="V942" s="10"/>
      <c r="W942" s="10"/>
      <c r="X942" s="10"/>
      <c r="Y942" s="10"/>
      <c r="Z942" s="10"/>
      <c r="AA942" s="10"/>
      <c r="AB942" s="10"/>
      <c r="AC942" s="10"/>
      <c r="AD942" s="10"/>
      <c r="AE942" s="10"/>
      <c r="AF942" s="10"/>
      <c r="AG942" s="10"/>
      <c r="AH942" s="10"/>
      <c r="AI942" s="10"/>
      <c r="AJ942" s="10"/>
      <c r="AL942" s="10"/>
      <c r="AM942" s="10"/>
      <c r="AO942" s="10"/>
      <c r="AR942" s="10"/>
      <c r="AS942" s="10"/>
      <c r="AU942" s="10"/>
      <c r="AV942" s="10"/>
      <c r="AW942" s="143"/>
      <c r="BD942" s="10"/>
      <c r="BS942" s="10"/>
      <c r="BT942" s="10"/>
      <c r="BV942" s="10"/>
      <c r="BW942" s="10"/>
    </row>
    <row r="943">
      <c r="A943" s="10"/>
      <c r="B943" s="10"/>
      <c r="C943" s="10"/>
      <c r="D943" s="10"/>
      <c r="E943" s="10"/>
      <c r="F943" s="10"/>
      <c r="G943" s="10"/>
      <c r="H943" s="10"/>
      <c r="I943" s="10"/>
      <c r="J943" s="10"/>
      <c r="K943" s="10"/>
      <c r="L943" s="10"/>
      <c r="N943" s="10"/>
      <c r="P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R943" s="10"/>
      <c r="AS943" s="10"/>
      <c r="AU943" s="10"/>
      <c r="AV943" s="10"/>
      <c r="AW943" s="143"/>
      <c r="BD943" s="10"/>
      <c r="BS943" s="10"/>
      <c r="BT943" s="10"/>
      <c r="BV943" s="10"/>
      <c r="BW943" s="10"/>
    </row>
    <row r="944">
      <c r="A944" s="10"/>
      <c r="B944" s="10"/>
      <c r="C944" s="10"/>
      <c r="D944" s="10"/>
      <c r="E944" s="10"/>
      <c r="F944" s="10"/>
      <c r="G944" s="10"/>
      <c r="H944" s="10"/>
      <c r="I944" s="10"/>
      <c r="J944" s="10"/>
      <c r="K944" s="10"/>
      <c r="L944" s="10"/>
      <c r="N944" s="10"/>
      <c r="P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R944" s="10"/>
      <c r="AS944" s="10"/>
      <c r="AU944" s="10"/>
      <c r="AV944" s="10"/>
      <c r="AW944" s="143"/>
      <c r="BD944" s="10"/>
      <c r="BS944" s="10"/>
      <c r="BT944" s="10"/>
      <c r="BV944" s="10"/>
      <c r="BW944" s="10"/>
    </row>
    <row r="945">
      <c r="A945" s="10"/>
      <c r="B945" s="10"/>
      <c r="C945" s="10"/>
      <c r="D945" s="10"/>
      <c r="E945" s="10"/>
      <c r="F945" s="10"/>
      <c r="G945" s="10"/>
      <c r="H945" s="10"/>
      <c r="I945" s="10"/>
      <c r="J945" s="10"/>
      <c r="K945" s="10"/>
      <c r="L945" s="10"/>
      <c r="P945" s="10"/>
      <c r="Q945" s="10"/>
      <c r="R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R945" s="10"/>
      <c r="AS945" s="10"/>
      <c r="AT945" s="10"/>
      <c r="AU945" s="10"/>
      <c r="AV945" s="10"/>
      <c r="AW945" s="143"/>
      <c r="BD945" s="10"/>
      <c r="BE945" s="10"/>
      <c r="BF945" s="10"/>
      <c r="BG945" s="10"/>
      <c r="BH945" s="10"/>
      <c r="BI945" s="10"/>
      <c r="BJ945" s="10"/>
      <c r="BK945" s="10"/>
      <c r="BL945" s="10"/>
      <c r="BO945" s="10"/>
      <c r="BR945" s="10"/>
      <c r="BS945" s="10"/>
      <c r="BT945" s="10"/>
      <c r="BV945" s="10"/>
      <c r="BW945" s="10"/>
    </row>
    <row r="946">
      <c r="A946" s="10"/>
      <c r="B946" s="10"/>
      <c r="C946" s="10"/>
      <c r="D946" s="10"/>
      <c r="E946" s="10"/>
      <c r="F946" s="10"/>
      <c r="G946" s="10"/>
      <c r="H946" s="10"/>
      <c r="I946" s="10"/>
      <c r="J946" s="10"/>
      <c r="K946" s="10"/>
      <c r="L946" s="10"/>
      <c r="P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R946" s="10"/>
      <c r="AS946" s="10"/>
      <c r="AT946" s="10"/>
      <c r="AU946" s="10"/>
      <c r="AV946" s="10"/>
      <c r="AW946" s="143"/>
      <c r="AX946" s="10"/>
      <c r="AY946" s="10"/>
      <c r="BD946" s="10"/>
      <c r="BE946" s="10"/>
      <c r="BF946" s="10"/>
      <c r="BG946" s="10"/>
      <c r="BH946" s="10"/>
      <c r="BI946" s="10"/>
      <c r="BJ946" s="10"/>
      <c r="BK946" s="10"/>
      <c r="BL946" s="10"/>
      <c r="BO946" s="10"/>
      <c r="BR946" s="10"/>
      <c r="BT946" s="10"/>
      <c r="BV946" s="10"/>
      <c r="BW946" s="10"/>
    </row>
    <row r="947">
      <c r="A947" s="10"/>
      <c r="B947" s="10"/>
      <c r="C947" s="10"/>
      <c r="D947" s="10"/>
      <c r="E947" s="10"/>
      <c r="F947" s="10"/>
      <c r="G947" s="10"/>
      <c r="H947" s="10"/>
      <c r="I947" s="10"/>
      <c r="J947" s="10"/>
      <c r="K947" s="10"/>
      <c r="L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R947" s="10"/>
      <c r="AS947" s="10"/>
      <c r="AT947" s="10"/>
      <c r="AU947" s="10"/>
      <c r="AV947" s="10"/>
      <c r="AW947" s="143"/>
      <c r="AX947" s="10"/>
      <c r="AY947" s="10"/>
      <c r="BD947" s="10"/>
      <c r="BE947" s="10"/>
      <c r="BF947" s="10"/>
      <c r="BG947" s="10"/>
      <c r="BH947" s="10"/>
      <c r="BI947" s="10"/>
      <c r="BJ947" s="10"/>
      <c r="BK947" s="10"/>
      <c r="BL947" s="10"/>
      <c r="BN947" s="10"/>
      <c r="BO947" s="10"/>
      <c r="BQ947" s="10"/>
      <c r="BT947" s="10"/>
      <c r="BV947" s="10"/>
      <c r="BW947" s="10"/>
    </row>
    <row r="948">
      <c r="A948" s="10"/>
      <c r="B948" s="10"/>
      <c r="C948" s="10"/>
      <c r="D948" s="10"/>
      <c r="E948" s="10"/>
      <c r="F948" s="10"/>
      <c r="G948" s="10"/>
      <c r="H948" s="10"/>
      <c r="I948" s="10"/>
      <c r="J948" s="10"/>
      <c r="K948" s="10"/>
      <c r="L948" s="10"/>
      <c r="N948" s="10"/>
      <c r="P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R948" s="10"/>
      <c r="AS948" s="10"/>
      <c r="AT948" s="10"/>
      <c r="AU948" s="10"/>
      <c r="AV948" s="10"/>
      <c r="AW948" s="143"/>
      <c r="AX948" s="10"/>
      <c r="AY948" s="10"/>
      <c r="BD948" s="10"/>
      <c r="BE948" s="10"/>
      <c r="BF948" s="10"/>
      <c r="BG948" s="10"/>
      <c r="BH948" s="10"/>
      <c r="BI948" s="10"/>
      <c r="BJ948" s="10"/>
      <c r="BK948" s="10"/>
      <c r="BS948" s="10"/>
      <c r="BT948" s="10"/>
      <c r="BV948" s="10"/>
      <c r="BW948" s="10"/>
    </row>
    <row r="949">
      <c r="A949" s="10"/>
      <c r="B949" s="10"/>
      <c r="C949" s="10"/>
      <c r="D949" s="10"/>
      <c r="E949" s="10"/>
      <c r="F949" s="10"/>
      <c r="G949" s="10"/>
      <c r="H949" s="10"/>
      <c r="I949" s="10"/>
      <c r="J949" s="10"/>
      <c r="K949" s="10"/>
      <c r="L949" s="10"/>
      <c r="N949" s="10"/>
      <c r="P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R949" s="10"/>
      <c r="AS949" s="10"/>
      <c r="AT949" s="10"/>
      <c r="AU949" s="10"/>
      <c r="AV949" s="10"/>
      <c r="AW949" s="143"/>
      <c r="AX949" s="10"/>
      <c r="AY949" s="10"/>
      <c r="AZ949" s="10"/>
      <c r="BD949" s="10"/>
      <c r="BE949" s="10"/>
      <c r="BF949" s="10"/>
      <c r="BG949" s="10"/>
      <c r="BH949" s="10"/>
      <c r="BI949" s="10"/>
      <c r="BJ949" s="10"/>
      <c r="BK949" s="10"/>
      <c r="BS949" s="10"/>
      <c r="BT949" s="10"/>
      <c r="BV949" s="10"/>
      <c r="BW949" s="10"/>
    </row>
    <row r="950">
      <c r="A950" s="10"/>
      <c r="B950" s="10"/>
      <c r="C950" s="10"/>
      <c r="D950" s="10"/>
      <c r="E950" s="10"/>
      <c r="F950" s="10"/>
      <c r="G950" s="10"/>
      <c r="H950" s="10"/>
      <c r="I950" s="10"/>
      <c r="K950" s="10"/>
      <c r="L950" s="10"/>
      <c r="N950" s="10"/>
      <c r="P950" s="10"/>
      <c r="T950" s="10"/>
      <c r="U950" s="10"/>
      <c r="V950" s="10"/>
      <c r="W950" s="10"/>
      <c r="Y950" s="10"/>
      <c r="Z950" s="10"/>
      <c r="AA950" s="10"/>
      <c r="AB950" s="10"/>
      <c r="AC950" s="10"/>
      <c r="AD950" s="10"/>
      <c r="AE950" s="10"/>
      <c r="AF950" s="10"/>
      <c r="AG950" s="10"/>
      <c r="AH950" s="10"/>
      <c r="AI950" s="10"/>
      <c r="AJ950" s="10"/>
      <c r="AK950" s="10"/>
      <c r="AL950" s="10"/>
      <c r="AM950" s="10"/>
      <c r="AN950" s="10"/>
      <c r="AO950" s="10"/>
      <c r="AR950" s="10"/>
      <c r="AS950" s="10"/>
      <c r="AU950" s="10"/>
      <c r="AV950" s="10"/>
      <c r="AW950" s="143"/>
      <c r="BD950" s="10"/>
      <c r="BE950" s="10"/>
      <c r="BF950" s="10"/>
      <c r="BG950" s="10"/>
      <c r="BH950" s="10"/>
      <c r="BI950" s="10"/>
      <c r="BJ950" s="10"/>
      <c r="BK950" s="10"/>
      <c r="BL950" s="10"/>
      <c r="BS950" s="10"/>
      <c r="BT950" s="10"/>
      <c r="BV950" s="10"/>
      <c r="BW950" s="10"/>
    </row>
    <row r="951">
      <c r="A951" s="10"/>
      <c r="B951" s="10"/>
      <c r="C951" s="10"/>
      <c r="D951" s="10"/>
      <c r="E951" s="10"/>
      <c r="F951" s="10"/>
      <c r="G951" s="10"/>
      <c r="H951" s="10"/>
      <c r="I951" s="10"/>
      <c r="J951" s="10"/>
      <c r="K951" s="10"/>
      <c r="L951" s="10"/>
      <c r="N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R951" s="10"/>
      <c r="AS951" s="10"/>
      <c r="AU951" s="10"/>
      <c r="AV951" s="10"/>
      <c r="AW951" s="143"/>
      <c r="BD951" s="10"/>
      <c r="BE951" s="10"/>
      <c r="BF951" s="10"/>
      <c r="BG951" s="10"/>
      <c r="BH951" s="10"/>
      <c r="BI951" s="10"/>
      <c r="BJ951" s="10"/>
      <c r="BK951" s="10"/>
      <c r="BL951" s="10"/>
      <c r="BO951" s="10"/>
      <c r="BR951" s="10"/>
      <c r="BS951" s="10"/>
      <c r="BT951" s="10"/>
      <c r="BV951" s="10"/>
      <c r="BW951" s="10"/>
    </row>
    <row r="952">
      <c r="A952" s="10"/>
      <c r="B952" s="10"/>
      <c r="C952" s="10"/>
      <c r="D952" s="10"/>
      <c r="E952" s="10"/>
      <c r="F952" s="10"/>
      <c r="G952" s="10"/>
      <c r="H952" s="10"/>
      <c r="I952" s="10"/>
      <c r="J952" s="10"/>
      <c r="K952" s="10"/>
      <c r="L952" s="10"/>
      <c r="N952" s="10"/>
      <c r="P952" s="10"/>
      <c r="T952" s="10"/>
      <c r="U952" s="10"/>
      <c r="V952" s="10"/>
      <c r="W952" s="10"/>
      <c r="X952" s="10"/>
      <c r="Y952" s="10"/>
      <c r="Z952" s="10"/>
      <c r="AA952" s="10"/>
      <c r="AB952" s="10"/>
      <c r="AC952" s="10"/>
      <c r="AD952" s="10"/>
      <c r="AE952" s="10"/>
      <c r="AF952" s="10"/>
      <c r="AG952" s="10"/>
      <c r="AH952" s="10"/>
      <c r="AI952" s="10"/>
      <c r="AJ952" s="10"/>
      <c r="AL952" s="10"/>
      <c r="AM952" s="10"/>
      <c r="AO952" s="10"/>
      <c r="AR952" s="10"/>
      <c r="AS952" s="10"/>
      <c r="AU952" s="10"/>
      <c r="AV952" s="10"/>
      <c r="AW952" s="143"/>
      <c r="BD952" s="10"/>
      <c r="BS952" s="10"/>
      <c r="BT952" s="10"/>
      <c r="BV952" s="10"/>
      <c r="BW952" s="10"/>
    </row>
    <row r="953">
      <c r="A953" s="10"/>
      <c r="B953" s="10"/>
      <c r="C953" s="10"/>
      <c r="D953" s="10"/>
      <c r="E953" s="10"/>
      <c r="F953" s="10"/>
      <c r="G953" s="10"/>
      <c r="H953" s="10"/>
      <c r="I953" s="10"/>
      <c r="J953" s="10"/>
      <c r="K953" s="10"/>
      <c r="L953" s="10"/>
      <c r="N953" s="10"/>
      <c r="P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R953" s="10"/>
      <c r="AS953" s="10"/>
      <c r="AU953" s="10"/>
      <c r="AV953" s="10"/>
      <c r="AW953" s="143"/>
      <c r="BD953" s="10"/>
      <c r="BS953" s="10"/>
      <c r="BT953" s="10"/>
      <c r="BV953" s="10"/>
      <c r="BW953" s="10"/>
    </row>
    <row r="954">
      <c r="A954" s="10"/>
      <c r="B954" s="10"/>
      <c r="C954" s="10"/>
      <c r="D954" s="10"/>
      <c r="E954" s="10"/>
      <c r="F954" s="10"/>
      <c r="G954" s="10"/>
      <c r="H954" s="10"/>
      <c r="I954" s="10"/>
      <c r="J954" s="10"/>
      <c r="K954" s="10"/>
      <c r="L954" s="10"/>
      <c r="N954" s="10"/>
      <c r="P954" s="10"/>
      <c r="T954" s="10"/>
      <c r="U954" s="10"/>
      <c r="V954" s="10"/>
      <c r="W954" s="10"/>
      <c r="X954" s="10"/>
      <c r="Y954" s="10"/>
      <c r="Z954" s="10"/>
      <c r="AA954" s="10"/>
      <c r="AB954" s="10"/>
      <c r="AC954" s="10"/>
      <c r="AD954" s="10"/>
      <c r="AE954" s="10"/>
      <c r="AF954" s="10"/>
      <c r="AG954" s="10"/>
      <c r="AH954" s="10"/>
      <c r="AI954" s="10"/>
      <c r="AJ954" s="10"/>
      <c r="AL954" s="10"/>
      <c r="AM954" s="10"/>
      <c r="AO954" s="10"/>
      <c r="AR954" s="10"/>
      <c r="AS954" s="10"/>
      <c r="AU954" s="10"/>
      <c r="AV954" s="10"/>
      <c r="AW954" s="143"/>
      <c r="BD954" s="10"/>
      <c r="BS954" s="10"/>
      <c r="BT954" s="10"/>
      <c r="BV954" s="10"/>
      <c r="BW954" s="10"/>
    </row>
    <row r="955">
      <c r="A955" s="10"/>
      <c r="B955" s="10"/>
      <c r="C955" s="10"/>
      <c r="D955" s="10"/>
      <c r="E955" s="10"/>
      <c r="F955" s="10"/>
      <c r="G955" s="10"/>
      <c r="H955" s="10"/>
      <c r="I955" s="10"/>
      <c r="K955" s="10"/>
      <c r="L955" s="10"/>
      <c r="N955" s="10"/>
      <c r="P955" s="10"/>
      <c r="T955" s="10"/>
      <c r="U955" s="10"/>
      <c r="V955" s="10"/>
      <c r="W955" s="10"/>
      <c r="X955" s="10"/>
      <c r="Y955" s="10"/>
      <c r="Z955" s="10"/>
      <c r="AA955" s="10"/>
      <c r="AB955" s="10"/>
      <c r="AC955" s="10"/>
      <c r="AD955" s="10"/>
      <c r="AE955" s="10"/>
      <c r="AF955" s="10"/>
      <c r="AG955" s="10"/>
      <c r="AH955" s="10"/>
      <c r="AI955" s="10"/>
      <c r="AJ955" s="10"/>
      <c r="AK955" s="10"/>
      <c r="AL955" s="10"/>
      <c r="AM955" s="10"/>
      <c r="AO955" s="10"/>
      <c r="AR955" s="10"/>
      <c r="AS955" s="10"/>
      <c r="AU955" s="10"/>
      <c r="AV955" s="10"/>
      <c r="AW955" s="143"/>
      <c r="BD955" s="10"/>
      <c r="BS955" s="10"/>
      <c r="BT955" s="10"/>
      <c r="BV955" s="10"/>
      <c r="BW955" s="10"/>
    </row>
    <row r="956">
      <c r="A956" s="10"/>
      <c r="B956" s="10"/>
      <c r="C956" s="10"/>
      <c r="D956" s="10"/>
      <c r="E956" s="10"/>
      <c r="F956" s="10"/>
      <c r="G956" s="10"/>
      <c r="H956" s="10"/>
      <c r="I956" s="10"/>
      <c r="K956" s="10"/>
      <c r="L956" s="10"/>
      <c r="N956" s="10"/>
      <c r="P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R956" s="10"/>
      <c r="AS956" s="10"/>
      <c r="AU956" s="10"/>
      <c r="AV956" s="10"/>
      <c r="AW956" s="143"/>
      <c r="BD956" s="10"/>
      <c r="BK956" s="10"/>
      <c r="BL956" s="10"/>
      <c r="BN956" s="10"/>
      <c r="BO956" s="10"/>
      <c r="BQ956" s="10"/>
      <c r="BR956" s="10"/>
      <c r="BS956" s="10"/>
      <c r="BT956" s="10"/>
      <c r="BV956" s="10"/>
      <c r="BW956" s="10"/>
    </row>
    <row r="957">
      <c r="A957" s="10"/>
      <c r="B957" s="10"/>
      <c r="C957" s="10"/>
      <c r="D957" s="10"/>
      <c r="E957" s="10"/>
      <c r="F957" s="10"/>
      <c r="G957" s="10"/>
      <c r="H957" s="10"/>
      <c r="I957" s="10"/>
      <c r="J957" s="10"/>
      <c r="K957" s="10"/>
      <c r="L957" s="10"/>
      <c r="N957" s="10"/>
      <c r="P957" s="10"/>
      <c r="T957" s="10"/>
      <c r="U957" s="10"/>
      <c r="V957" s="10"/>
      <c r="Y957" s="10"/>
      <c r="Z957" s="10"/>
      <c r="AA957" s="10"/>
      <c r="AB957" s="10"/>
      <c r="AC957" s="10"/>
      <c r="AD957" s="10"/>
      <c r="AE957" s="10"/>
      <c r="AF957" s="10"/>
      <c r="AG957" s="10"/>
      <c r="AH957" s="10"/>
      <c r="AI957" s="10"/>
      <c r="AJ957" s="10"/>
      <c r="AK957" s="10"/>
      <c r="AL957" s="10"/>
      <c r="AM957" s="10"/>
      <c r="AN957" s="10"/>
      <c r="AO957" s="10"/>
      <c r="AR957" s="10"/>
      <c r="AS957" s="10"/>
      <c r="AU957" s="10"/>
      <c r="AV957" s="10"/>
      <c r="AW957" s="143"/>
      <c r="BD957" s="10"/>
      <c r="BS957" s="10"/>
      <c r="BT957" s="10"/>
      <c r="BV957" s="10"/>
      <c r="BW957" s="10"/>
    </row>
    <row r="958">
      <c r="A958" s="10"/>
      <c r="B958" s="10"/>
      <c r="C958" s="10"/>
      <c r="D958" s="10"/>
      <c r="E958" s="10"/>
      <c r="F958" s="10"/>
      <c r="G958" s="10"/>
      <c r="H958" s="10"/>
      <c r="I958" s="10"/>
      <c r="J958" s="10"/>
      <c r="K958" s="10"/>
      <c r="L958" s="10"/>
      <c r="N958" s="10"/>
      <c r="P958" s="10"/>
      <c r="T958" s="10"/>
      <c r="U958" s="10"/>
      <c r="V958" s="10"/>
      <c r="W958" s="10"/>
      <c r="X958" s="10"/>
      <c r="Y958" s="10"/>
      <c r="Z958" s="10"/>
      <c r="AA958" s="10"/>
      <c r="AB958" s="10"/>
      <c r="AC958" s="10"/>
      <c r="AD958" s="10"/>
      <c r="AE958" s="10"/>
      <c r="AF958" s="10"/>
      <c r="AG958" s="10"/>
      <c r="AH958" s="10"/>
      <c r="AI958" s="10"/>
      <c r="AJ958" s="10"/>
      <c r="AL958" s="10"/>
      <c r="AM958" s="10"/>
      <c r="AO958" s="10"/>
      <c r="AR958" s="10"/>
      <c r="AS958" s="10"/>
      <c r="AU958" s="10"/>
      <c r="AV958" s="10"/>
      <c r="AW958" s="143"/>
      <c r="BD958" s="10"/>
      <c r="BS958" s="10"/>
      <c r="BT958" s="10"/>
      <c r="BV958" s="10"/>
      <c r="BW958" s="10"/>
    </row>
    <row r="959">
      <c r="A959" s="10"/>
      <c r="B959" s="10"/>
      <c r="C959" s="10"/>
      <c r="D959" s="10"/>
      <c r="E959" s="10"/>
      <c r="F959" s="10"/>
      <c r="G959" s="10"/>
      <c r="H959" s="10"/>
      <c r="I959" s="10"/>
      <c r="J959" s="10"/>
      <c r="K959" s="10"/>
      <c r="L959" s="10"/>
      <c r="N959" s="10"/>
      <c r="P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R959" s="10"/>
      <c r="AS959" s="10"/>
      <c r="AU959" s="10"/>
      <c r="AV959" s="10"/>
      <c r="AW959" s="143"/>
      <c r="BD959" s="10"/>
      <c r="BM959" s="10"/>
      <c r="BP959" s="10"/>
      <c r="BS959" s="10"/>
      <c r="BT959" s="10"/>
      <c r="BV959" s="10"/>
      <c r="BW959" s="10"/>
    </row>
    <row r="960">
      <c r="A960" s="10"/>
      <c r="B960" s="10"/>
      <c r="C960" s="10"/>
      <c r="D960" s="10"/>
      <c r="E960" s="10"/>
      <c r="F960" s="10"/>
      <c r="G960" s="10"/>
      <c r="H960" s="10"/>
      <c r="I960" s="10"/>
      <c r="J960" s="10"/>
      <c r="K960" s="10"/>
      <c r="L960" s="10"/>
      <c r="N960" s="10"/>
      <c r="P960" s="10"/>
      <c r="T960" s="10"/>
      <c r="U960" s="10"/>
      <c r="V960" s="10"/>
      <c r="W960" s="10"/>
      <c r="X960" s="10"/>
      <c r="Y960" s="10"/>
      <c r="Z960" s="10"/>
      <c r="AA960" s="10"/>
      <c r="AB960" s="10"/>
      <c r="AC960" s="10"/>
      <c r="AD960" s="10"/>
      <c r="AE960" s="10"/>
      <c r="AF960" s="10"/>
      <c r="AG960" s="10"/>
      <c r="AH960" s="10"/>
      <c r="AI960" s="10"/>
      <c r="AJ960" s="10"/>
      <c r="AL960" s="10"/>
      <c r="AM960" s="10"/>
      <c r="AO960" s="10"/>
      <c r="AR960" s="10"/>
      <c r="AS960" s="10"/>
      <c r="AU960" s="10"/>
      <c r="AV960" s="10"/>
      <c r="AW960" s="143"/>
      <c r="BD960" s="10"/>
      <c r="BS960" s="10"/>
      <c r="BT960" s="10"/>
      <c r="BV960" s="10"/>
      <c r="BW960" s="10"/>
    </row>
    <row r="961">
      <c r="A961" s="10"/>
      <c r="B961" s="10"/>
      <c r="C961" s="10"/>
      <c r="D961" s="10"/>
      <c r="E961" s="10"/>
      <c r="F961" s="10"/>
      <c r="G961" s="10"/>
      <c r="H961" s="10"/>
      <c r="I961" s="10"/>
      <c r="J961" s="10"/>
      <c r="K961" s="10"/>
      <c r="L961" s="10"/>
      <c r="N961" s="10"/>
      <c r="P961" s="10"/>
      <c r="T961" s="10"/>
      <c r="U961" s="10"/>
      <c r="V961" s="10"/>
      <c r="W961" s="10"/>
      <c r="X961" s="10"/>
      <c r="Y961" s="10"/>
      <c r="Z961" s="10"/>
      <c r="AA961" s="10"/>
      <c r="AB961" s="10"/>
      <c r="AC961" s="10"/>
      <c r="AD961" s="10"/>
      <c r="AE961" s="10"/>
      <c r="AF961" s="10"/>
      <c r="AG961" s="10"/>
      <c r="AH961" s="10"/>
      <c r="AI961" s="10"/>
      <c r="AJ961" s="10"/>
      <c r="AL961" s="10"/>
      <c r="AM961" s="10"/>
      <c r="AO961" s="10"/>
      <c r="AR961" s="10"/>
      <c r="AS961" s="10"/>
      <c r="AU961" s="10"/>
      <c r="AV961" s="10"/>
      <c r="AW961" s="143"/>
      <c r="BD961" s="10"/>
      <c r="BS961" s="10"/>
      <c r="BT961" s="10"/>
      <c r="BV961" s="10"/>
      <c r="BW961" s="10"/>
    </row>
    <row r="962">
      <c r="A962" s="10"/>
      <c r="B962" s="10"/>
      <c r="C962" s="10"/>
      <c r="D962" s="10"/>
      <c r="E962" s="10"/>
      <c r="F962" s="10"/>
      <c r="G962" s="10"/>
      <c r="H962" s="10"/>
      <c r="I962" s="10"/>
      <c r="J962" s="10"/>
      <c r="K962" s="10"/>
      <c r="L962" s="10"/>
      <c r="N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R962" s="10"/>
      <c r="AS962" s="10"/>
      <c r="AT962" s="10"/>
      <c r="AU962" s="10"/>
      <c r="AV962" s="10"/>
      <c r="AW962" s="143"/>
      <c r="BD962" s="10"/>
      <c r="BL962" s="10"/>
      <c r="BO962" s="10"/>
      <c r="BR962" s="10"/>
      <c r="BS962" s="10"/>
      <c r="BT962" s="10"/>
      <c r="BV962" s="10"/>
      <c r="BW962" s="10"/>
    </row>
    <row r="963">
      <c r="B963" s="10"/>
      <c r="C963" s="10"/>
      <c r="D963" s="10"/>
      <c r="E963" s="10"/>
      <c r="F963" s="10"/>
      <c r="G963" s="10"/>
      <c r="H963" s="10"/>
      <c r="I963" s="10"/>
      <c r="J963" s="10"/>
      <c r="K963" s="10"/>
      <c r="L963" s="10"/>
      <c r="O963" s="10"/>
      <c r="P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R963" s="10"/>
      <c r="AS963" s="10"/>
      <c r="AU963" s="10"/>
      <c r="AV963" s="10"/>
      <c r="AW963" s="143"/>
      <c r="AZ963" s="10"/>
      <c r="BD963" s="10"/>
      <c r="BE963" s="10"/>
      <c r="BG963" s="10"/>
      <c r="BI963" s="10"/>
      <c r="BS963" s="10"/>
      <c r="BT963" s="10"/>
      <c r="BV963" s="10"/>
      <c r="BW963" s="10"/>
    </row>
    <row r="964">
      <c r="B964" s="10"/>
      <c r="C964" s="10"/>
      <c r="D964" s="10"/>
      <c r="E964" s="10"/>
      <c r="F964" s="10"/>
      <c r="G964" s="10"/>
      <c r="H964" s="10"/>
      <c r="I964" s="10"/>
      <c r="J964" s="10"/>
      <c r="K964" s="10"/>
      <c r="L964" s="10"/>
      <c r="N964" s="10"/>
      <c r="P964" s="10"/>
      <c r="T964" s="10"/>
      <c r="U964" s="10"/>
      <c r="V964" s="10"/>
      <c r="W964" s="10"/>
      <c r="X964" s="10"/>
      <c r="Y964" s="10"/>
      <c r="Z964" s="10"/>
      <c r="AA964" s="10"/>
      <c r="AB964" s="10"/>
      <c r="AC964" s="10"/>
      <c r="AD964" s="10"/>
      <c r="AE964" s="10"/>
      <c r="AF964" s="10"/>
      <c r="AG964" s="10"/>
      <c r="AH964" s="10"/>
      <c r="AI964" s="10"/>
      <c r="AJ964" s="10"/>
      <c r="AL964" s="10"/>
      <c r="AM964" s="10"/>
      <c r="AO964" s="10"/>
      <c r="AR964" s="10"/>
      <c r="AS964" s="10"/>
      <c r="AU964" s="10"/>
      <c r="AV964" s="10"/>
      <c r="AW964" s="143"/>
      <c r="BD964" s="10"/>
      <c r="BS964" s="10"/>
      <c r="BT964" s="10"/>
      <c r="BV964" s="10"/>
      <c r="BW964" s="10"/>
    </row>
    <row r="965">
      <c r="A965" s="10"/>
      <c r="B965" s="10"/>
      <c r="C965" s="10"/>
      <c r="D965" s="10"/>
      <c r="E965" s="10"/>
      <c r="F965" s="10"/>
      <c r="G965" s="10"/>
      <c r="H965" s="10"/>
      <c r="K965" s="10"/>
      <c r="L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W965" s="143"/>
      <c r="BD965" s="10"/>
      <c r="BE965" s="10"/>
      <c r="BF965" s="10"/>
      <c r="BG965" s="10"/>
      <c r="BH965" s="10"/>
      <c r="BI965" s="10"/>
      <c r="BJ965" s="10"/>
      <c r="BK965" s="10"/>
      <c r="BL965" s="10"/>
      <c r="BO965" s="10"/>
      <c r="BR965" s="10"/>
      <c r="BS965" s="10"/>
      <c r="BT965" s="10"/>
      <c r="BV965" s="10"/>
      <c r="BW965" s="10"/>
    </row>
    <row r="966">
      <c r="A966" s="10"/>
      <c r="B966" s="10"/>
      <c r="C966" s="10"/>
      <c r="D966" s="10"/>
      <c r="E966" s="10"/>
      <c r="F966" s="10"/>
      <c r="G966" s="10"/>
      <c r="H966" s="10"/>
      <c r="K966" s="10"/>
      <c r="L966" s="10"/>
      <c r="T966" s="10"/>
      <c r="U966" s="10"/>
      <c r="V966" s="10"/>
      <c r="W966" s="10"/>
      <c r="X966" s="10"/>
      <c r="Y966" s="10"/>
      <c r="Z966" s="10"/>
      <c r="AA966" s="10"/>
      <c r="AB966" s="10"/>
      <c r="AC966" s="10"/>
      <c r="AD966" s="10"/>
      <c r="AE966" s="10"/>
      <c r="AF966" s="10"/>
      <c r="AG966" s="10"/>
      <c r="AH966" s="10"/>
      <c r="AI966" s="10"/>
      <c r="AJ966" s="10"/>
      <c r="AL966" s="10"/>
      <c r="AM966" s="10"/>
      <c r="AO966" s="10"/>
      <c r="AW966" s="143"/>
      <c r="BD966" s="10"/>
      <c r="BE966" s="10"/>
      <c r="BF966" s="10"/>
      <c r="BG966" s="10"/>
      <c r="BH966" s="10"/>
      <c r="BI966" s="10"/>
      <c r="BJ966" s="10"/>
      <c r="BK966" s="10"/>
      <c r="BS966" s="10"/>
      <c r="BT966" s="10"/>
      <c r="BV966" s="10"/>
      <c r="BW966" s="10"/>
    </row>
    <row r="967">
      <c r="A967" s="10"/>
      <c r="B967" s="10"/>
      <c r="C967" s="10"/>
      <c r="D967" s="10"/>
      <c r="E967" s="10"/>
      <c r="F967" s="10"/>
      <c r="G967" s="10"/>
      <c r="H967" s="10"/>
      <c r="K967" s="10"/>
      <c r="L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W967" s="143"/>
      <c r="BD967" s="10"/>
      <c r="BE967" s="10"/>
      <c r="BF967" s="10"/>
      <c r="BG967" s="10"/>
      <c r="BH967" s="10"/>
      <c r="BI967" s="10"/>
      <c r="BJ967" s="10"/>
      <c r="BK967" s="10"/>
      <c r="BS967" s="10"/>
      <c r="BT967" s="10"/>
      <c r="BV967" s="10"/>
      <c r="BW967" s="10"/>
    </row>
    <row r="968">
      <c r="A968" s="10"/>
      <c r="B968" s="10"/>
      <c r="C968" s="10"/>
      <c r="D968" s="10"/>
      <c r="E968" s="10"/>
      <c r="F968" s="10"/>
      <c r="G968" s="10"/>
      <c r="H968" s="10"/>
      <c r="K968" s="10"/>
      <c r="L968" s="10"/>
      <c r="T968" s="10"/>
      <c r="U968" s="10"/>
      <c r="V968" s="10"/>
      <c r="W968" s="10"/>
      <c r="Y968" s="10"/>
      <c r="Z968" s="10"/>
      <c r="AA968" s="10"/>
      <c r="AB968" s="10"/>
      <c r="AC968" s="10"/>
      <c r="AD968" s="10"/>
      <c r="AE968" s="10"/>
      <c r="AF968" s="10"/>
      <c r="AG968" s="10"/>
      <c r="AH968" s="10"/>
      <c r="AI968" s="10"/>
      <c r="AJ968" s="10"/>
      <c r="AK968" s="10"/>
      <c r="AL968" s="10"/>
      <c r="AM968" s="10"/>
      <c r="AN968" s="10"/>
      <c r="AO968" s="10"/>
      <c r="AW968" s="143"/>
      <c r="BD968" s="10"/>
      <c r="BE968" s="10"/>
      <c r="BF968" s="10"/>
      <c r="BG968" s="10"/>
      <c r="BH968" s="10"/>
      <c r="BI968" s="10"/>
      <c r="BJ968" s="10"/>
      <c r="BK968" s="10"/>
      <c r="BS968" s="10"/>
      <c r="BT968" s="10"/>
      <c r="BV968" s="10"/>
      <c r="BW968" s="10"/>
    </row>
    <row r="969">
      <c r="A969" s="10"/>
      <c r="B969" s="10"/>
      <c r="C969" s="10"/>
      <c r="D969" s="10"/>
      <c r="E969" s="10"/>
      <c r="F969" s="10"/>
      <c r="G969" s="10"/>
      <c r="H969" s="10"/>
      <c r="K969" s="10"/>
      <c r="L969" s="10"/>
      <c r="N969" s="10"/>
      <c r="O969" s="10"/>
      <c r="P969" s="10"/>
      <c r="T969" s="10"/>
      <c r="U969" s="10"/>
      <c r="V969" s="10"/>
      <c r="W969" s="10"/>
      <c r="Y969" s="10"/>
      <c r="Z969" s="10"/>
      <c r="AA969" s="10"/>
      <c r="AB969" s="10"/>
      <c r="AC969" s="10"/>
      <c r="AD969" s="10"/>
      <c r="AE969" s="10"/>
      <c r="AF969" s="10"/>
      <c r="AG969" s="10"/>
      <c r="AH969" s="10"/>
      <c r="AI969" s="10"/>
      <c r="AJ969" s="10"/>
      <c r="AK969" s="10"/>
      <c r="AL969" s="10"/>
      <c r="AM969" s="10"/>
      <c r="AN969" s="10"/>
      <c r="AO969" s="10"/>
      <c r="AW969" s="143"/>
      <c r="AZ969" s="10"/>
      <c r="BD969" s="10"/>
      <c r="BE969" s="10"/>
      <c r="BF969" s="10"/>
      <c r="BG969" s="10"/>
      <c r="BH969" s="10"/>
      <c r="BI969" s="10"/>
      <c r="BJ969" s="10"/>
      <c r="BK969" s="10"/>
      <c r="BS969" s="10"/>
      <c r="BT969" s="10"/>
      <c r="BV969" s="10"/>
      <c r="BW969" s="10"/>
    </row>
    <row r="970">
      <c r="A970" s="10"/>
      <c r="B970" s="10"/>
      <c r="C970" s="10"/>
      <c r="D970" s="10"/>
      <c r="E970" s="10"/>
      <c r="F970" s="10"/>
      <c r="G970" s="10"/>
      <c r="H970" s="10"/>
      <c r="K970" s="10"/>
      <c r="L970" s="10"/>
      <c r="N970" s="10"/>
      <c r="P970" s="10"/>
      <c r="T970" s="10"/>
      <c r="U970" s="10"/>
      <c r="V970" s="10"/>
      <c r="W970" s="10"/>
      <c r="X970" s="10"/>
      <c r="Y970" s="10"/>
      <c r="Z970" s="10"/>
      <c r="AA970" s="10"/>
      <c r="AB970" s="10"/>
      <c r="AC970" s="10"/>
      <c r="AD970" s="10"/>
      <c r="AE970" s="10"/>
      <c r="AF970" s="10"/>
      <c r="AG970" s="10"/>
      <c r="AH970" s="10"/>
      <c r="AI970" s="10"/>
      <c r="AJ970" s="10"/>
      <c r="AL970" s="10"/>
      <c r="AM970" s="10"/>
      <c r="AO970" s="10"/>
      <c r="AW970" s="143"/>
      <c r="BD970" s="10"/>
      <c r="BE970" s="10"/>
      <c r="BF970" s="10"/>
      <c r="BG970" s="10"/>
      <c r="BH970" s="10"/>
      <c r="BI970" s="10"/>
      <c r="BJ970" s="10"/>
      <c r="BK970" s="10"/>
      <c r="BS970" s="10"/>
      <c r="BT970" s="10"/>
      <c r="BV970" s="10"/>
      <c r="BW970" s="10"/>
    </row>
    <row r="971">
      <c r="A971" s="10"/>
      <c r="B971" s="10"/>
      <c r="C971" s="10"/>
      <c r="D971" s="10"/>
      <c r="E971" s="10"/>
      <c r="F971" s="10"/>
      <c r="G971" s="10"/>
      <c r="H971" s="10"/>
      <c r="J971" s="10"/>
      <c r="K971" s="10"/>
      <c r="L971" s="10"/>
      <c r="N971" s="10"/>
      <c r="O971" s="10"/>
      <c r="P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W971" s="143"/>
      <c r="BD971" s="10"/>
      <c r="BE971" s="10"/>
      <c r="BF971" s="10"/>
      <c r="BG971" s="10"/>
      <c r="BH971" s="10"/>
      <c r="BI971" s="10"/>
      <c r="BJ971" s="10"/>
      <c r="BS971" s="10"/>
      <c r="BT971" s="10"/>
      <c r="BV971" s="10"/>
      <c r="BW971" s="10"/>
    </row>
    <row r="972">
      <c r="A972" s="10"/>
      <c r="B972" s="10"/>
      <c r="C972" s="10"/>
      <c r="D972" s="10"/>
      <c r="E972" s="10"/>
      <c r="F972" s="10"/>
      <c r="G972" s="10"/>
      <c r="H972" s="10"/>
      <c r="I972" s="10"/>
      <c r="K972" s="10"/>
      <c r="L972" s="10"/>
      <c r="N972" s="10"/>
      <c r="O972" s="10"/>
      <c r="P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R972" s="10"/>
      <c r="AS972" s="10"/>
      <c r="AU972" s="10"/>
      <c r="AV972" s="10"/>
      <c r="AW972" s="143"/>
      <c r="AZ972" s="10"/>
      <c r="BD972" s="10"/>
      <c r="BT972" s="10"/>
      <c r="BV972" s="10"/>
      <c r="BW972" s="10"/>
    </row>
    <row r="973">
      <c r="A973" s="10"/>
      <c r="B973" s="10"/>
      <c r="C973" s="10"/>
      <c r="D973" s="10"/>
      <c r="E973" s="10"/>
      <c r="F973" s="10"/>
      <c r="G973" s="10"/>
      <c r="H973" s="10"/>
      <c r="I973" s="10"/>
      <c r="K973" s="10"/>
      <c r="L973" s="10"/>
      <c r="N973" s="10"/>
      <c r="P973" s="10"/>
      <c r="T973" s="10"/>
      <c r="U973" s="10"/>
      <c r="V973" s="10"/>
      <c r="W973" s="10"/>
      <c r="Y973" s="10"/>
      <c r="Z973" s="10"/>
      <c r="AA973" s="10"/>
      <c r="AB973" s="10"/>
      <c r="AC973" s="10"/>
      <c r="AD973" s="10"/>
      <c r="AE973" s="10"/>
      <c r="AF973" s="10"/>
      <c r="AG973" s="10"/>
      <c r="AH973" s="10"/>
      <c r="AI973" s="10"/>
      <c r="AJ973" s="10"/>
      <c r="AL973" s="10"/>
      <c r="AM973" s="10"/>
      <c r="AO973" s="10"/>
      <c r="AR973" s="10"/>
      <c r="AS973" s="10"/>
      <c r="AU973" s="10"/>
      <c r="AV973" s="10"/>
      <c r="AW973" s="143"/>
      <c r="BD973" s="10"/>
      <c r="BE973" s="10"/>
      <c r="BF973" s="10"/>
      <c r="BG973" s="10"/>
      <c r="BH973" s="10"/>
      <c r="BI973" s="10"/>
      <c r="BJ973" s="10"/>
      <c r="BK973" s="10"/>
      <c r="BT973" s="10"/>
      <c r="BV973" s="10"/>
      <c r="BW973" s="10"/>
    </row>
    <row r="974">
      <c r="A974" s="10"/>
      <c r="B974" s="10"/>
      <c r="C974" s="10"/>
      <c r="D974" s="10"/>
      <c r="E974" s="10"/>
      <c r="F974" s="10"/>
      <c r="G974" s="10"/>
      <c r="H974" s="10"/>
      <c r="I974" s="10"/>
      <c r="K974" s="10"/>
      <c r="L974" s="10"/>
      <c r="N974" s="10"/>
      <c r="P974" s="10"/>
      <c r="T974" s="10"/>
      <c r="U974" s="10"/>
      <c r="V974" s="10"/>
      <c r="W974" s="10"/>
      <c r="Y974" s="10"/>
      <c r="Z974" s="10"/>
      <c r="AA974" s="10"/>
      <c r="AB974" s="10"/>
      <c r="AC974" s="10"/>
      <c r="AD974" s="10"/>
      <c r="AE974" s="10"/>
      <c r="AF974" s="10"/>
      <c r="AG974" s="10"/>
      <c r="AH974" s="10"/>
      <c r="AI974" s="10"/>
      <c r="AJ974" s="10"/>
      <c r="AL974" s="10"/>
      <c r="AM974" s="10"/>
      <c r="AO974" s="10"/>
      <c r="AR974" s="10"/>
      <c r="AS974" s="10"/>
      <c r="AU974" s="10"/>
      <c r="AV974" s="10"/>
      <c r="AW974" s="143"/>
      <c r="BD974" s="10"/>
      <c r="BE974" s="10"/>
      <c r="BF974" s="10"/>
      <c r="BG974" s="10"/>
      <c r="BH974" s="10"/>
      <c r="BI974" s="10"/>
      <c r="BJ974" s="10"/>
      <c r="BK974" s="10"/>
      <c r="BS974" s="10"/>
      <c r="BT974" s="10"/>
      <c r="BV974" s="10"/>
      <c r="BW974" s="10"/>
    </row>
    <row r="975">
      <c r="A975" s="10"/>
      <c r="B975" s="10"/>
      <c r="C975" s="10"/>
      <c r="D975" s="10"/>
      <c r="E975" s="10"/>
      <c r="F975" s="10"/>
      <c r="G975" s="10"/>
      <c r="H975" s="10"/>
      <c r="I975" s="10"/>
      <c r="K975" s="10"/>
      <c r="L975" s="10"/>
      <c r="N975" s="10"/>
      <c r="T975" s="10"/>
      <c r="U975" s="10"/>
      <c r="V975" s="10"/>
      <c r="W975" s="10"/>
      <c r="X975" s="10"/>
      <c r="Y975" s="10"/>
      <c r="Z975" s="10"/>
      <c r="AA975" s="10"/>
      <c r="AB975" s="10"/>
      <c r="AC975" s="10"/>
      <c r="AD975" s="10"/>
      <c r="AE975" s="10"/>
      <c r="AF975" s="10"/>
      <c r="AG975" s="10"/>
      <c r="AH975" s="10"/>
      <c r="AI975" s="10"/>
      <c r="AJ975" s="10"/>
      <c r="AL975" s="10"/>
      <c r="AM975" s="10"/>
      <c r="AO975" s="10"/>
      <c r="AR975" s="10"/>
      <c r="AS975" s="10"/>
      <c r="AU975" s="10"/>
      <c r="AV975" s="10"/>
      <c r="AW975" s="143"/>
      <c r="BD975" s="10"/>
      <c r="BL975" s="10"/>
      <c r="BO975" s="10"/>
      <c r="BR975" s="10"/>
      <c r="BS975" s="10"/>
      <c r="BT975" s="10"/>
      <c r="BV975" s="10"/>
      <c r="BW975" s="10"/>
    </row>
    <row r="976">
      <c r="A976" s="10"/>
      <c r="B976" s="10"/>
      <c r="C976" s="10"/>
      <c r="D976" s="10"/>
      <c r="E976" s="10"/>
      <c r="F976" s="10"/>
      <c r="G976" s="10"/>
      <c r="H976" s="10"/>
      <c r="I976" s="10"/>
      <c r="J976" s="10"/>
      <c r="K976" s="10"/>
      <c r="L976" s="10"/>
      <c r="N976" s="10"/>
      <c r="O976" s="10"/>
      <c r="P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R976" s="10"/>
      <c r="AS976" s="10"/>
      <c r="AU976" s="10"/>
      <c r="AV976" s="10"/>
      <c r="AW976" s="143"/>
      <c r="BD976" s="10"/>
      <c r="BS976" s="10"/>
      <c r="BT976" s="10"/>
      <c r="BV976" s="10"/>
      <c r="BW976" s="10"/>
    </row>
    <row r="977">
      <c r="A977" s="10"/>
      <c r="B977" s="10"/>
      <c r="C977" s="10"/>
      <c r="D977" s="10"/>
      <c r="E977" s="10"/>
      <c r="F977" s="10"/>
      <c r="G977" s="10"/>
      <c r="H977" s="10"/>
      <c r="I977" s="10"/>
      <c r="K977" s="10"/>
      <c r="L977" s="10"/>
      <c r="N977" s="10"/>
      <c r="P977" s="10"/>
      <c r="T977" s="10"/>
      <c r="U977" s="10"/>
      <c r="V977" s="10"/>
      <c r="W977" s="10"/>
      <c r="Y977" s="10"/>
      <c r="Z977" s="10"/>
      <c r="AA977" s="10"/>
      <c r="AB977" s="10"/>
      <c r="AC977" s="10"/>
      <c r="AD977" s="10"/>
      <c r="AE977" s="10"/>
      <c r="AF977" s="10"/>
      <c r="AG977" s="10"/>
      <c r="AH977" s="10"/>
      <c r="AI977" s="10"/>
      <c r="AJ977" s="10"/>
      <c r="AK977" s="10"/>
      <c r="AL977" s="10"/>
      <c r="AM977" s="10"/>
      <c r="AN977" s="10"/>
      <c r="AO977" s="10"/>
      <c r="AR977" s="10"/>
      <c r="AS977" s="10"/>
      <c r="AU977" s="10"/>
      <c r="AV977" s="10"/>
      <c r="AW977" s="143"/>
      <c r="BD977" s="10"/>
      <c r="BT977" s="10"/>
      <c r="BV977" s="10"/>
      <c r="BW977" s="10"/>
    </row>
    <row r="978">
      <c r="A978" s="10"/>
      <c r="B978" s="10"/>
      <c r="C978" s="10"/>
      <c r="D978" s="10"/>
      <c r="E978" s="10"/>
      <c r="F978" s="10"/>
      <c r="G978" s="10"/>
      <c r="H978" s="10"/>
      <c r="K978" s="10"/>
      <c r="L978" s="10"/>
      <c r="P978" s="10"/>
      <c r="T978" s="10"/>
      <c r="U978" s="10"/>
      <c r="V978" s="10"/>
      <c r="W978" s="10"/>
      <c r="Y978" s="10"/>
      <c r="Z978" s="10"/>
      <c r="AA978" s="10"/>
      <c r="AB978" s="10"/>
      <c r="AC978" s="10"/>
      <c r="AD978" s="10"/>
      <c r="AE978" s="10"/>
      <c r="AF978" s="10"/>
      <c r="AG978" s="10"/>
      <c r="AH978" s="10"/>
      <c r="AI978" s="10"/>
      <c r="AJ978" s="10"/>
      <c r="AL978" s="10"/>
      <c r="AM978" s="10"/>
      <c r="AO978" s="10"/>
      <c r="AW978" s="143"/>
      <c r="BD978" s="10"/>
      <c r="BE978" s="10"/>
      <c r="BF978" s="10"/>
      <c r="BG978" s="10"/>
      <c r="BH978" s="10"/>
      <c r="BI978" s="10"/>
      <c r="BJ978" s="10"/>
      <c r="BK978" s="10"/>
      <c r="BS978" s="10"/>
      <c r="BT978" s="10"/>
      <c r="BV978" s="10"/>
      <c r="BW978" s="10"/>
    </row>
    <row r="979">
      <c r="A979" s="10"/>
      <c r="B979" s="10"/>
      <c r="C979" s="10"/>
      <c r="D979" s="10"/>
      <c r="E979" s="10"/>
      <c r="F979" s="10"/>
      <c r="G979" s="10"/>
      <c r="H979" s="10"/>
      <c r="K979" s="10"/>
      <c r="L979" s="10"/>
      <c r="P979" s="10"/>
      <c r="T979" s="10"/>
      <c r="U979" s="10"/>
      <c r="V979" s="10"/>
      <c r="W979" s="10"/>
      <c r="Y979" s="10"/>
      <c r="Z979" s="10"/>
      <c r="AA979" s="10"/>
      <c r="AB979" s="10"/>
      <c r="AC979" s="10"/>
      <c r="AD979" s="10"/>
      <c r="AE979" s="10"/>
      <c r="AF979" s="10"/>
      <c r="AG979" s="10"/>
      <c r="AH979" s="10"/>
      <c r="AI979" s="10"/>
      <c r="AJ979" s="10"/>
      <c r="AL979" s="10"/>
      <c r="AM979" s="10"/>
      <c r="AO979" s="10"/>
      <c r="AW979" s="143"/>
      <c r="BD979" s="10"/>
      <c r="BE979" s="10"/>
      <c r="BF979" s="10"/>
      <c r="BG979" s="10"/>
      <c r="BH979" s="10"/>
      <c r="BI979" s="10"/>
      <c r="BJ979" s="10"/>
      <c r="BK979" s="10"/>
      <c r="BS979" s="10"/>
      <c r="BT979" s="10"/>
      <c r="BV979" s="10"/>
      <c r="BW979" s="10"/>
    </row>
    <row r="980">
      <c r="A980" s="10"/>
      <c r="B980" s="10"/>
      <c r="C980" s="10"/>
      <c r="D980" s="10"/>
      <c r="E980" s="10"/>
      <c r="F980" s="10"/>
      <c r="G980" s="10"/>
      <c r="H980" s="10"/>
      <c r="K980" s="10"/>
      <c r="L980" s="10"/>
      <c r="P980" s="10"/>
      <c r="T980" s="10"/>
      <c r="U980" s="10"/>
      <c r="V980" s="10"/>
      <c r="W980" s="10"/>
      <c r="Y980" s="10"/>
      <c r="Z980" s="10"/>
      <c r="AA980" s="10"/>
      <c r="AB980" s="10"/>
      <c r="AC980" s="10"/>
      <c r="AD980" s="10"/>
      <c r="AE980" s="10"/>
      <c r="AF980" s="10"/>
      <c r="AG980" s="10"/>
      <c r="AH980" s="10"/>
      <c r="AI980" s="10"/>
      <c r="AJ980" s="10"/>
      <c r="AL980" s="10"/>
      <c r="AM980" s="10"/>
      <c r="AO980" s="10"/>
      <c r="AW980" s="143"/>
      <c r="BD980" s="10"/>
      <c r="BE980" s="10"/>
      <c r="BF980" s="10"/>
      <c r="BG980" s="10"/>
      <c r="BH980" s="10"/>
      <c r="BI980" s="10"/>
      <c r="BJ980" s="10"/>
      <c r="BK980" s="10"/>
      <c r="BS980" s="10"/>
      <c r="BT980" s="10"/>
      <c r="BV980" s="10"/>
      <c r="BW980" s="10"/>
    </row>
    <row r="981">
      <c r="A981" s="10"/>
      <c r="B981" s="10"/>
      <c r="C981" s="10"/>
      <c r="D981" s="10"/>
      <c r="E981" s="10"/>
      <c r="F981" s="10"/>
      <c r="G981" s="10"/>
      <c r="H981" s="10"/>
      <c r="K981" s="10"/>
      <c r="L981" s="10"/>
      <c r="P981" s="10"/>
      <c r="T981" s="10"/>
      <c r="U981" s="10"/>
      <c r="V981" s="10"/>
      <c r="W981" s="10"/>
      <c r="Y981" s="10"/>
      <c r="Z981" s="10"/>
      <c r="AA981" s="10"/>
      <c r="AB981" s="10"/>
      <c r="AC981" s="10"/>
      <c r="AD981" s="10"/>
      <c r="AE981" s="10"/>
      <c r="AF981" s="10"/>
      <c r="AG981" s="10"/>
      <c r="AH981" s="10"/>
      <c r="AI981" s="10"/>
      <c r="AJ981" s="10"/>
      <c r="AL981" s="10"/>
      <c r="AM981" s="10"/>
      <c r="AO981" s="10"/>
      <c r="AW981" s="143"/>
      <c r="BD981" s="10"/>
      <c r="BE981" s="10"/>
      <c r="BF981" s="10"/>
      <c r="BG981" s="10"/>
      <c r="BH981" s="10"/>
      <c r="BI981" s="10"/>
      <c r="BJ981" s="10"/>
      <c r="BK981" s="10"/>
      <c r="BS981" s="10"/>
      <c r="BT981" s="10"/>
      <c r="BV981" s="10"/>
      <c r="BW981" s="10"/>
    </row>
    <row r="982">
      <c r="A982" s="10"/>
      <c r="B982" s="10"/>
      <c r="C982" s="10"/>
      <c r="D982" s="10"/>
      <c r="E982" s="10"/>
      <c r="F982" s="10"/>
      <c r="G982" s="10"/>
      <c r="H982" s="10"/>
      <c r="K982" s="10"/>
      <c r="L982" s="10"/>
      <c r="P982" s="10"/>
      <c r="T982" s="10"/>
      <c r="U982" s="10"/>
      <c r="V982" s="10"/>
      <c r="W982" s="10"/>
      <c r="X982" s="10"/>
      <c r="Y982" s="10"/>
      <c r="Z982" s="10"/>
      <c r="AA982" s="10"/>
      <c r="AB982" s="10"/>
      <c r="AC982" s="10"/>
      <c r="AD982" s="10"/>
      <c r="AE982" s="10"/>
      <c r="AF982" s="10"/>
      <c r="AG982" s="10"/>
      <c r="AH982" s="10"/>
      <c r="AI982" s="10"/>
      <c r="AJ982" s="10"/>
      <c r="AL982" s="10"/>
      <c r="AM982" s="10"/>
      <c r="AO982" s="10"/>
      <c r="AW982" s="143"/>
      <c r="BD982" s="10"/>
      <c r="BS982" s="10"/>
      <c r="BT982" s="10"/>
      <c r="BV982" s="10"/>
      <c r="BW982" s="10"/>
    </row>
    <row r="983">
      <c r="A983" s="10"/>
      <c r="B983" s="10"/>
      <c r="C983" s="10"/>
      <c r="D983" s="10"/>
      <c r="E983" s="10"/>
      <c r="F983" s="10"/>
      <c r="G983" s="10"/>
      <c r="H983" s="10"/>
      <c r="K983" s="10"/>
      <c r="L983" s="10"/>
      <c r="P983" s="10"/>
      <c r="T983" s="10"/>
      <c r="U983" s="10"/>
      <c r="V983" s="10"/>
      <c r="W983" s="10"/>
      <c r="Y983" s="10"/>
      <c r="Z983" s="10"/>
      <c r="AA983" s="10"/>
      <c r="AB983" s="10"/>
      <c r="AC983" s="10"/>
      <c r="AD983" s="10"/>
      <c r="AE983" s="10"/>
      <c r="AF983" s="10"/>
      <c r="AG983" s="10"/>
      <c r="AH983" s="10"/>
      <c r="AI983" s="10"/>
      <c r="AJ983" s="10"/>
      <c r="AL983" s="10"/>
      <c r="AM983" s="10"/>
      <c r="AO983" s="10"/>
      <c r="AW983" s="143"/>
      <c r="BD983" s="10"/>
      <c r="BE983" s="10"/>
      <c r="BF983" s="10"/>
      <c r="BG983" s="10"/>
      <c r="BH983" s="10"/>
      <c r="BI983" s="10"/>
      <c r="BJ983" s="10"/>
      <c r="BK983" s="10"/>
      <c r="BS983" s="10"/>
      <c r="BT983" s="10"/>
      <c r="BV983" s="10"/>
      <c r="BW983" s="10"/>
    </row>
    <row r="984">
      <c r="A984" s="10"/>
      <c r="B984" s="10"/>
      <c r="C984" s="10"/>
      <c r="D984" s="10"/>
      <c r="E984" s="10"/>
      <c r="F984" s="10"/>
      <c r="G984" s="10"/>
      <c r="H984" s="10"/>
      <c r="J984" s="10"/>
      <c r="K984" s="10"/>
      <c r="L984" s="10"/>
      <c r="P984" s="10"/>
      <c r="T984" s="10"/>
      <c r="U984" s="10"/>
      <c r="V984" s="10"/>
      <c r="W984" s="10"/>
      <c r="X984" s="10"/>
      <c r="Y984" s="10"/>
      <c r="Z984" s="10"/>
      <c r="AA984" s="10"/>
      <c r="AB984" s="10"/>
      <c r="AC984" s="10"/>
      <c r="AD984" s="10"/>
      <c r="AE984" s="10"/>
      <c r="AF984" s="10"/>
      <c r="AG984" s="10"/>
      <c r="AH984" s="10"/>
      <c r="AI984" s="10"/>
      <c r="AJ984" s="10"/>
      <c r="AL984" s="10"/>
      <c r="AM984" s="10"/>
      <c r="AO984" s="10"/>
      <c r="AW984" s="143"/>
      <c r="BD984" s="10"/>
      <c r="BS984" s="10"/>
      <c r="BT984" s="10"/>
      <c r="BV984" s="10"/>
      <c r="BW984" s="10"/>
    </row>
    <row r="985">
      <c r="A985" s="10"/>
      <c r="B985" s="10"/>
      <c r="C985" s="10"/>
      <c r="D985" s="10"/>
      <c r="E985" s="10"/>
      <c r="F985" s="10"/>
      <c r="G985" s="10"/>
      <c r="H985" s="10"/>
      <c r="K985" s="10"/>
      <c r="L985" s="10"/>
      <c r="P985" s="10"/>
      <c r="T985" s="10"/>
      <c r="U985" s="10"/>
      <c r="V985" s="10"/>
      <c r="W985" s="10"/>
      <c r="Y985" s="10"/>
      <c r="Z985" s="10"/>
      <c r="AA985" s="10"/>
      <c r="AB985" s="10"/>
      <c r="AC985" s="10"/>
      <c r="AD985" s="10"/>
      <c r="AE985" s="10"/>
      <c r="AF985" s="10"/>
      <c r="AG985" s="10"/>
      <c r="AH985" s="10"/>
      <c r="AI985" s="10"/>
      <c r="AJ985" s="10"/>
      <c r="AL985" s="10"/>
      <c r="AM985" s="10"/>
      <c r="AO985" s="10"/>
      <c r="AW985" s="143"/>
      <c r="BD985" s="10"/>
      <c r="BE985" s="10"/>
      <c r="BF985" s="10"/>
      <c r="BG985" s="10"/>
      <c r="BH985" s="10"/>
      <c r="BI985" s="10"/>
      <c r="BJ985" s="10"/>
      <c r="BK985" s="10"/>
      <c r="BS985" s="10"/>
      <c r="BT985" s="10"/>
      <c r="BV985" s="10"/>
      <c r="BW985" s="10"/>
    </row>
    <row r="986">
      <c r="A986" s="10"/>
      <c r="B986" s="10"/>
      <c r="C986" s="10"/>
      <c r="D986" s="10"/>
      <c r="E986" s="10"/>
      <c r="F986" s="10"/>
      <c r="G986" s="10"/>
      <c r="H986" s="10"/>
      <c r="K986" s="10"/>
      <c r="L986" s="10"/>
      <c r="P986" s="10"/>
      <c r="T986" s="10"/>
      <c r="U986" s="10"/>
      <c r="V986" s="10"/>
      <c r="W986" s="10"/>
      <c r="Y986" s="10"/>
      <c r="Z986" s="10"/>
      <c r="AA986" s="10"/>
      <c r="AB986" s="10"/>
      <c r="AC986" s="10"/>
      <c r="AD986" s="10"/>
      <c r="AE986" s="10"/>
      <c r="AF986" s="10"/>
      <c r="AG986" s="10"/>
      <c r="AH986" s="10"/>
      <c r="AI986" s="10"/>
      <c r="AJ986" s="10"/>
      <c r="AL986" s="10"/>
      <c r="AM986" s="10"/>
      <c r="AO986" s="10"/>
      <c r="AW986" s="143"/>
      <c r="BD986" s="10"/>
      <c r="BE986" s="10"/>
      <c r="BF986" s="10"/>
      <c r="BG986" s="10"/>
      <c r="BH986" s="10"/>
      <c r="BI986" s="10"/>
      <c r="BJ986" s="10"/>
      <c r="BK986" s="10"/>
      <c r="BS986" s="10"/>
      <c r="BT986" s="10"/>
      <c r="BV986" s="10"/>
      <c r="BW986" s="10"/>
    </row>
    <row r="987">
      <c r="A987" s="10"/>
      <c r="B987" s="10"/>
      <c r="C987" s="10"/>
      <c r="D987" s="10"/>
      <c r="E987" s="10"/>
      <c r="F987" s="10"/>
      <c r="G987" s="10"/>
      <c r="H987" s="10"/>
      <c r="K987" s="10"/>
      <c r="L987" s="10"/>
      <c r="P987" s="10"/>
      <c r="T987" s="10"/>
      <c r="U987" s="10"/>
      <c r="V987" s="10"/>
      <c r="W987" s="10"/>
      <c r="Y987" s="10"/>
      <c r="Z987" s="10"/>
      <c r="AA987" s="10"/>
      <c r="AB987" s="10"/>
      <c r="AC987" s="10"/>
      <c r="AD987" s="10"/>
      <c r="AE987" s="10"/>
      <c r="AF987" s="10"/>
      <c r="AG987" s="10"/>
      <c r="AH987" s="10"/>
      <c r="AI987" s="10"/>
      <c r="AJ987" s="10"/>
      <c r="AL987" s="10"/>
      <c r="AM987" s="10"/>
      <c r="AO987" s="10"/>
      <c r="AW987" s="143"/>
      <c r="BD987" s="10"/>
      <c r="BE987" s="10"/>
      <c r="BF987" s="10"/>
      <c r="BG987" s="10"/>
      <c r="BH987" s="10"/>
      <c r="BI987" s="10"/>
      <c r="BJ987" s="10"/>
      <c r="BK987" s="10"/>
      <c r="BS987" s="10"/>
      <c r="BT987" s="10"/>
      <c r="BV987" s="10"/>
      <c r="BW987" s="10"/>
    </row>
    <row r="988">
      <c r="A988" s="10"/>
      <c r="B988" s="10"/>
      <c r="C988" s="10"/>
      <c r="D988" s="10"/>
      <c r="E988" s="10"/>
      <c r="F988" s="10"/>
      <c r="G988" s="10"/>
      <c r="H988" s="10"/>
      <c r="K988" s="10"/>
      <c r="L988" s="10"/>
      <c r="P988" s="10"/>
      <c r="T988" s="10"/>
      <c r="U988" s="10"/>
      <c r="V988" s="10"/>
      <c r="W988" s="10"/>
      <c r="Y988" s="10"/>
      <c r="Z988" s="10"/>
      <c r="AA988" s="10"/>
      <c r="AB988" s="10"/>
      <c r="AC988" s="10"/>
      <c r="AD988" s="10"/>
      <c r="AE988" s="10"/>
      <c r="AF988" s="10"/>
      <c r="AG988" s="10"/>
      <c r="AH988" s="10"/>
      <c r="AI988" s="10"/>
      <c r="AJ988" s="10"/>
      <c r="AL988" s="10"/>
      <c r="AM988" s="10"/>
      <c r="AO988" s="10"/>
      <c r="AW988" s="143"/>
      <c r="BD988" s="10"/>
      <c r="BE988" s="10"/>
      <c r="BF988" s="10"/>
      <c r="BG988" s="10"/>
      <c r="BH988" s="10"/>
      <c r="BI988" s="10"/>
      <c r="BJ988" s="10"/>
      <c r="BK988" s="10"/>
      <c r="BS988" s="10"/>
      <c r="BT988" s="10"/>
      <c r="BV988" s="10"/>
      <c r="BW988" s="10"/>
    </row>
    <row r="989">
      <c r="A989" s="10"/>
      <c r="B989" s="10"/>
      <c r="C989" s="10"/>
      <c r="D989" s="10"/>
      <c r="E989" s="10"/>
      <c r="F989" s="10"/>
      <c r="G989" s="10"/>
      <c r="H989" s="10"/>
      <c r="K989" s="10"/>
      <c r="L989" s="10"/>
      <c r="P989" s="10"/>
      <c r="T989" s="10"/>
      <c r="U989" s="10"/>
      <c r="V989" s="10"/>
      <c r="W989" s="10"/>
      <c r="Y989" s="10"/>
      <c r="Z989" s="10"/>
      <c r="AA989" s="10"/>
      <c r="AB989" s="10"/>
      <c r="AC989" s="10"/>
      <c r="AD989" s="10"/>
      <c r="AE989" s="10"/>
      <c r="AF989" s="10"/>
      <c r="AG989" s="10"/>
      <c r="AH989" s="10"/>
      <c r="AI989" s="10"/>
      <c r="AJ989" s="10"/>
      <c r="AL989" s="10"/>
      <c r="AM989" s="10"/>
      <c r="AO989" s="10"/>
      <c r="AW989" s="143"/>
      <c r="BD989" s="10"/>
      <c r="BE989" s="10"/>
      <c r="BF989" s="10"/>
      <c r="BG989" s="10"/>
      <c r="BH989" s="10"/>
      <c r="BI989" s="10"/>
      <c r="BJ989" s="10"/>
      <c r="BK989" s="10"/>
      <c r="BS989" s="10"/>
      <c r="BT989" s="10"/>
      <c r="BV989" s="10"/>
      <c r="BW989" s="10"/>
    </row>
    <row r="990">
      <c r="A990" s="10"/>
      <c r="B990" s="10"/>
      <c r="C990" s="10"/>
      <c r="D990" s="10"/>
      <c r="E990" s="10"/>
      <c r="F990" s="10"/>
      <c r="G990" s="10"/>
      <c r="H990" s="10"/>
      <c r="K990" s="10"/>
      <c r="L990" s="10"/>
      <c r="P990" s="10"/>
      <c r="T990" s="10"/>
      <c r="U990" s="10"/>
      <c r="V990" s="10"/>
      <c r="W990" s="10"/>
      <c r="Y990" s="10"/>
      <c r="Z990" s="10"/>
      <c r="AA990" s="10"/>
      <c r="AB990" s="10"/>
      <c r="AC990" s="10"/>
      <c r="AD990" s="10"/>
      <c r="AE990" s="10"/>
      <c r="AF990" s="10"/>
      <c r="AG990" s="10"/>
      <c r="AH990" s="10"/>
      <c r="AI990" s="10"/>
      <c r="AJ990" s="10"/>
      <c r="AL990" s="10"/>
      <c r="AM990" s="10"/>
      <c r="AO990" s="10"/>
      <c r="AW990" s="143"/>
      <c r="BD990" s="10"/>
      <c r="BE990" s="10"/>
      <c r="BF990" s="10"/>
      <c r="BG990" s="10"/>
      <c r="BH990" s="10"/>
      <c r="BI990" s="10"/>
      <c r="BJ990" s="10"/>
      <c r="BK990" s="10"/>
      <c r="BS990" s="10"/>
      <c r="BT990" s="10"/>
      <c r="BV990" s="10"/>
      <c r="BW990" s="10"/>
    </row>
    <row r="991">
      <c r="A991" s="10"/>
      <c r="B991" s="10"/>
      <c r="C991" s="10"/>
      <c r="D991" s="10"/>
      <c r="E991" s="10"/>
      <c r="F991" s="10"/>
      <c r="G991" s="10"/>
      <c r="H991" s="10"/>
      <c r="K991" s="10"/>
      <c r="L991" s="10"/>
      <c r="T991" s="10"/>
      <c r="U991" s="10"/>
      <c r="V991" s="10"/>
      <c r="W991" s="10"/>
      <c r="Y991" s="10"/>
      <c r="Z991" s="10"/>
      <c r="AA991" s="10"/>
      <c r="AB991" s="10"/>
      <c r="AC991" s="10"/>
      <c r="AD991" s="10"/>
      <c r="AE991" s="10"/>
      <c r="AF991" s="10"/>
      <c r="AG991" s="10"/>
      <c r="AH991" s="10"/>
      <c r="AI991" s="10"/>
      <c r="AJ991" s="10"/>
      <c r="AL991" s="10"/>
      <c r="AM991" s="10"/>
      <c r="AO991" s="10"/>
      <c r="AW991" s="143"/>
      <c r="BD991" s="10"/>
      <c r="BE991" s="10"/>
      <c r="BF991" s="10"/>
      <c r="BG991" s="10"/>
      <c r="BH991" s="10"/>
      <c r="BI991" s="10"/>
      <c r="BJ991" s="10"/>
      <c r="BK991" s="10"/>
      <c r="BS991" s="10"/>
      <c r="BT991" s="10"/>
      <c r="BV991" s="10"/>
      <c r="BW991" s="10"/>
    </row>
    <row r="992">
      <c r="A992" s="10"/>
      <c r="B992" s="10"/>
      <c r="C992" s="10"/>
      <c r="D992" s="10"/>
      <c r="E992" s="10"/>
      <c r="F992" s="10"/>
      <c r="G992" s="10"/>
      <c r="H992" s="10"/>
      <c r="K992" s="10"/>
      <c r="L992" s="10"/>
      <c r="P992" s="10"/>
      <c r="T992" s="10"/>
      <c r="U992" s="10"/>
      <c r="V992" s="10"/>
      <c r="W992" s="10"/>
      <c r="X992" s="10"/>
      <c r="Y992" s="10"/>
      <c r="Z992" s="10"/>
      <c r="AA992" s="10"/>
      <c r="AB992" s="10"/>
      <c r="AC992" s="10"/>
      <c r="AD992" s="10"/>
      <c r="AE992" s="10"/>
      <c r="AF992" s="10"/>
      <c r="AG992" s="10"/>
      <c r="AH992" s="10"/>
      <c r="AI992" s="10"/>
      <c r="AJ992" s="10"/>
      <c r="AL992" s="10"/>
      <c r="AM992" s="10"/>
      <c r="AO992" s="10"/>
      <c r="AW992" s="143"/>
      <c r="BD992" s="10"/>
      <c r="BE992" s="10"/>
      <c r="BF992" s="10"/>
      <c r="BG992" s="10"/>
      <c r="BH992" s="10"/>
      <c r="BI992" s="10"/>
      <c r="BJ992" s="10"/>
      <c r="BK992" s="10"/>
      <c r="BS992" s="10"/>
      <c r="BT992" s="10"/>
      <c r="BV992" s="10"/>
      <c r="BW992" s="10"/>
    </row>
    <row r="993">
      <c r="A993" s="10"/>
      <c r="B993" s="10"/>
      <c r="C993" s="10"/>
      <c r="D993" s="10"/>
      <c r="E993" s="10"/>
      <c r="F993" s="10"/>
      <c r="G993" s="10"/>
      <c r="H993" s="10"/>
      <c r="K993" s="10"/>
      <c r="L993" s="10"/>
      <c r="P993" s="10"/>
      <c r="T993" s="10"/>
      <c r="U993" s="10"/>
      <c r="V993" s="10"/>
      <c r="W993" s="10"/>
      <c r="Y993" s="10"/>
      <c r="Z993" s="10"/>
      <c r="AA993" s="10"/>
      <c r="AB993" s="10"/>
      <c r="AC993" s="10"/>
      <c r="AD993" s="10"/>
      <c r="AE993" s="10"/>
      <c r="AF993" s="10"/>
      <c r="AG993" s="10"/>
      <c r="AH993" s="10"/>
      <c r="AI993" s="10"/>
      <c r="AJ993" s="10"/>
      <c r="AL993" s="10"/>
      <c r="AM993" s="10"/>
      <c r="AO993" s="10"/>
      <c r="AW993" s="143"/>
      <c r="BD993" s="10"/>
      <c r="BE993" s="10"/>
      <c r="BF993" s="10"/>
      <c r="BG993" s="10"/>
      <c r="BH993" s="10"/>
      <c r="BI993" s="10"/>
      <c r="BJ993" s="10"/>
      <c r="BK993" s="10"/>
      <c r="BS993" s="10"/>
      <c r="BT993" s="10"/>
      <c r="BV993" s="10"/>
      <c r="BW993" s="10"/>
    </row>
    <row r="994">
      <c r="A994" s="10"/>
      <c r="B994" s="10"/>
      <c r="C994" s="10"/>
      <c r="D994" s="10"/>
      <c r="E994" s="10"/>
      <c r="F994" s="10"/>
      <c r="G994" s="10"/>
      <c r="H994" s="10"/>
      <c r="K994" s="10"/>
      <c r="L994" s="10"/>
      <c r="P994" s="10"/>
      <c r="T994" s="10"/>
      <c r="U994" s="10"/>
      <c r="V994" s="10"/>
      <c r="W994" s="10"/>
      <c r="Y994" s="10"/>
      <c r="Z994" s="10"/>
      <c r="AA994" s="10"/>
      <c r="AB994" s="10"/>
      <c r="AC994" s="10"/>
      <c r="AD994" s="10"/>
      <c r="AE994" s="10"/>
      <c r="AF994" s="10"/>
      <c r="AG994" s="10"/>
      <c r="AH994" s="10"/>
      <c r="AI994" s="10"/>
      <c r="AJ994" s="10"/>
      <c r="AL994" s="10"/>
      <c r="AM994" s="10"/>
      <c r="AO994" s="10"/>
      <c r="AW994" s="143"/>
      <c r="BD994" s="10"/>
      <c r="BE994" s="10"/>
      <c r="BF994" s="10"/>
      <c r="BG994" s="10"/>
      <c r="BH994" s="10"/>
      <c r="BI994" s="10"/>
      <c r="BJ994" s="10"/>
      <c r="BK994" s="10"/>
      <c r="BS994" s="10"/>
      <c r="BT994" s="10"/>
      <c r="BV994" s="10"/>
      <c r="BW994" s="10"/>
    </row>
    <row r="995">
      <c r="A995" s="10"/>
      <c r="B995" s="10"/>
      <c r="C995" s="10"/>
      <c r="D995" s="10"/>
      <c r="E995" s="10"/>
      <c r="F995" s="10"/>
      <c r="G995" s="10"/>
      <c r="H995" s="10"/>
      <c r="K995" s="10"/>
      <c r="L995" s="10"/>
      <c r="T995" s="10"/>
      <c r="U995" s="10"/>
      <c r="V995" s="10"/>
      <c r="W995" s="10"/>
      <c r="X995" s="10"/>
      <c r="Y995" s="10"/>
      <c r="Z995" s="10"/>
      <c r="AA995" s="10"/>
      <c r="AB995" s="10"/>
      <c r="AC995" s="10"/>
      <c r="AD995" s="10"/>
      <c r="AE995" s="10"/>
      <c r="AF995" s="10"/>
      <c r="AG995" s="10"/>
      <c r="AH995" s="10"/>
      <c r="AI995" s="10"/>
      <c r="AJ995" s="10"/>
      <c r="AL995" s="10"/>
      <c r="AM995" s="10"/>
      <c r="AO995" s="10"/>
      <c r="AW995" s="143"/>
      <c r="BD995" s="10"/>
      <c r="BS995" s="10"/>
      <c r="BT995" s="10"/>
      <c r="BV995" s="10"/>
      <c r="BW995" s="10"/>
    </row>
    <row r="996">
      <c r="A996" s="10"/>
      <c r="B996" s="10"/>
      <c r="C996" s="10"/>
      <c r="D996" s="10"/>
      <c r="E996" s="10"/>
      <c r="F996" s="10"/>
      <c r="G996" s="10"/>
      <c r="H996" s="10"/>
      <c r="K996" s="10"/>
      <c r="L996" s="10"/>
      <c r="P996" s="10"/>
      <c r="T996" s="10"/>
      <c r="U996" s="10"/>
      <c r="V996" s="10"/>
      <c r="W996" s="10"/>
      <c r="X996" s="10"/>
      <c r="Y996" s="10"/>
      <c r="Z996" s="10"/>
      <c r="AA996" s="10"/>
      <c r="AB996" s="10"/>
      <c r="AC996" s="10"/>
      <c r="AD996" s="10"/>
      <c r="AE996" s="10"/>
      <c r="AF996" s="10"/>
      <c r="AG996" s="10"/>
      <c r="AH996" s="10"/>
      <c r="AI996" s="10"/>
      <c r="AJ996" s="10"/>
      <c r="AL996" s="10"/>
      <c r="AM996" s="10"/>
      <c r="AO996" s="10"/>
      <c r="AW996" s="143"/>
      <c r="BD996" s="10"/>
      <c r="BE996" s="10"/>
      <c r="BF996" s="10"/>
      <c r="BG996" s="10"/>
      <c r="BH996" s="10"/>
      <c r="BI996" s="10"/>
      <c r="BJ996" s="10"/>
      <c r="BK996" s="10"/>
      <c r="BS996" s="10"/>
      <c r="BT996" s="10"/>
      <c r="BV996" s="10"/>
      <c r="BW996" s="10"/>
    </row>
    <row r="997">
      <c r="A997" s="10"/>
      <c r="B997" s="10"/>
      <c r="C997" s="10"/>
      <c r="D997" s="10"/>
      <c r="E997" s="10"/>
      <c r="F997" s="10"/>
      <c r="G997" s="10"/>
      <c r="H997" s="10"/>
      <c r="K997" s="10"/>
      <c r="L997" s="10"/>
      <c r="P997" s="10"/>
      <c r="T997" s="10"/>
      <c r="U997" s="10"/>
      <c r="V997" s="10"/>
      <c r="W997" s="10"/>
      <c r="X997" s="10"/>
      <c r="Y997" s="10"/>
      <c r="Z997" s="10"/>
      <c r="AA997" s="10"/>
      <c r="AB997" s="10"/>
      <c r="AC997" s="10"/>
      <c r="AD997" s="10"/>
      <c r="AE997" s="10"/>
      <c r="AF997" s="10"/>
      <c r="AG997" s="10"/>
      <c r="AH997" s="10"/>
      <c r="AI997" s="10"/>
      <c r="AJ997" s="10"/>
      <c r="AL997" s="10"/>
      <c r="AM997" s="10"/>
      <c r="AO997" s="10"/>
      <c r="AW997" s="143"/>
      <c r="BD997" s="10"/>
      <c r="BE997" s="10"/>
      <c r="BF997" s="10"/>
      <c r="BG997" s="10"/>
      <c r="BH997" s="10"/>
      <c r="BI997" s="10"/>
      <c r="BJ997" s="10"/>
      <c r="BK997" s="10"/>
      <c r="BS997" s="10"/>
      <c r="BT997" s="10"/>
      <c r="BV997" s="10"/>
      <c r="BW997" s="10"/>
    </row>
    <row r="998">
      <c r="A998" s="10"/>
      <c r="B998" s="10"/>
      <c r="C998" s="10"/>
      <c r="D998" s="10"/>
      <c r="E998" s="10"/>
      <c r="F998" s="10"/>
      <c r="G998" s="10"/>
      <c r="H998" s="10"/>
      <c r="I998" s="10"/>
      <c r="N998" s="10"/>
      <c r="P998" s="10"/>
      <c r="T998" s="10"/>
      <c r="U998" s="10"/>
      <c r="V998" s="10"/>
      <c r="W998" s="10"/>
      <c r="Y998" s="10"/>
      <c r="Z998" s="10"/>
      <c r="AA998" s="10"/>
      <c r="AB998" s="10"/>
      <c r="AC998" s="10"/>
      <c r="AD998" s="10"/>
      <c r="AE998" s="10"/>
      <c r="AF998" s="10"/>
      <c r="AG998" s="10"/>
      <c r="AH998" s="10"/>
      <c r="AI998" s="10"/>
      <c r="AJ998" s="10"/>
      <c r="AK998" s="10"/>
      <c r="AL998" s="10"/>
      <c r="AM998" s="10"/>
      <c r="AN998" s="10"/>
      <c r="AO998" s="10"/>
      <c r="AR998" s="10"/>
      <c r="AS998" s="10"/>
      <c r="AU998" s="10"/>
      <c r="AV998" s="10"/>
      <c r="AW998" s="143"/>
      <c r="BE998" s="10"/>
      <c r="BF998" s="10"/>
      <c r="BG998" s="10"/>
      <c r="BH998" s="10"/>
      <c r="BI998" s="10"/>
      <c r="BJ998" s="10"/>
      <c r="BK998" s="10"/>
      <c r="BL998" s="10"/>
      <c r="BO998" s="10"/>
      <c r="BR998" s="10"/>
      <c r="BS998" s="10"/>
      <c r="BT998" s="10"/>
      <c r="BW998" s="10"/>
    </row>
    <row r="999">
      <c r="A999" s="10"/>
      <c r="B999" s="10"/>
      <c r="C999" s="10"/>
      <c r="D999" s="10"/>
      <c r="E999" s="10"/>
      <c r="F999" s="10"/>
      <c r="G999" s="10"/>
      <c r="H999" s="10"/>
      <c r="I999" s="10"/>
      <c r="N999" s="10"/>
      <c r="P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R999" s="10"/>
      <c r="AS999" s="10"/>
      <c r="AU999" s="10"/>
      <c r="AV999" s="10"/>
      <c r="AW999" s="143"/>
      <c r="BT999" s="10"/>
      <c r="BW999" s="10"/>
    </row>
    <row r="1000">
      <c r="A1000" s="10"/>
      <c r="B1000" s="10"/>
      <c r="C1000" s="10"/>
      <c r="D1000" s="10"/>
      <c r="E1000" s="10"/>
      <c r="F1000" s="10"/>
      <c r="G1000" s="10"/>
      <c r="H1000" s="10"/>
      <c r="I1000" s="10"/>
      <c r="N1000" s="10"/>
      <c r="P1000" s="10"/>
      <c r="T1000" s="10"/>
      <c r="U1000" s="10"/>
      <c r="V1000" s="10"/>
      <c r="W1000" s="10"/>
      <c r="Y1000" s="10"/>
      <c r="Z1000" s="10"/>
      <c r="AA1000" s="10"/>
      <c r="AB1000" s="10"/>
      <c r="AC1000" s="10"/>
      <c r="AD1000" s="10"/>
      <c r="AE1000" s="10"/>
      <c r="AF1000" s="10"/>
      <c r="AG1000" s="10"/>
      <c r="AH1000" s="10"/>
      <c r="AI1000" s="10"/>
      <c r="AJ1000" s="10"/>
      <c r="AK1000" s="10"/>
      <c r="AL1000" s="10"/>
      <c r="AM1000" s="10"/>
      <c r="AN1000" s="10"/>
      <c r="AO1000" s="10"/>
      <c r="AR1000" s="10"/>
      <c r="AS1000" s="10"/>
      <c r="AU1000" s="10"/>
      <c r="AV1000" s="10"/>
      <c r="AW1000" s="143"/>
      <c r="BE1000" s="10"/>
      <c r="BF1000" s="10"/>
      <c r="BG1000" s="10"/>
      <c r="BH1000" s="10"/>
      <c r="BI1000" s="10"/>
      <c r="BJ1000" s="10"/>
      <c r="BK1000" s="10"/>
      <c r="BS1000" s="10"/>
      <c r="BT1000" s="10"/>
      <c r="BW1000" s="10"/>
    </row>
    <row r="1001">
      <c r="A1001" s="10"/>
      <c r="B1001" s="10"/>
      <c r="C1001" s="10"/>
      <c r="D1001" s="10"/>
      <c r="E1001" s="10"/>
      <c r="F1001" s="10"/>
      <c r="G1001" s="10"/>
      <c r="H1001" s="10"/>
      <c r="I1001" s="10"/>
      <c r="N1001" s="10"/>
      <c r="P1001" s="10"/>
      <c r="T1001" s="10"/>
      <c r="U1001" s="10"/>
      <c r="V1001" s="10"/>
      <c r="W1001" s="10"/>
      <c r="Y1001" s="10"/>
      <c r="Z1001" s="10"/>
      <c r="AA1001" s="10"/>
      <c r="AB1001" s="10"/>
      <c r="AC1001" s="10"/>
      <c r="AD1001" s="10"/>
      <c r="AE1001" s="10"/>
      <c r="AF1001" s="10"/>
      <c r="AG1001" s="10"/>
      <c r="AH1001" s="10"/>
      <c r="AI1001" s="10"/>
      <c r="AJ1001" s="10"/>
      <c r="AK1001" s="10"/>
      <c r="AL1001" s="10"/>
      <c r="AM1001" s="10"/>
      <c r="AN1001" s="10"/>
      <c r="AO1001" s="10"/>
      <c r="AR1001" s="10"/>
      <c r="AS1001" s="10"/>
      <c r="AU1001" s="10"/>
      <c r="AV1001" s="10"/>
      <c r="AW1001" s="143"/>
      <c r="BE1001" s="10"/>
      <c r="BF1001" s="10"/>
      <c r="BG1001" s="10"/>
      <c r="BH1001" s="10"/>
      <c r="BI1001" s="10"/>
      <c r="BJ1001" s="10"/>
      <c r="BK1001" s="10"/>
      <c r="BS1001" s="10"/>
      <c r="BT1001" s="10"/>
      <c r="BW1001" s="10"/>
    </row>
    <row r="1002">
      <c r="A1002" s="10"/>
      <c r="B1002" s="10"/>
      <c r="C1002" s="10"/>
      <c r="D1002" s="10"/>
      <c r="E1002" s="10"/>
      <c r="F1002" s="10"/>
      <c r="G1002" s="10"/>
      <c r="H1002" s="10"/>
      <c r="I1002" s="10"/>
      <c r="N1002" s="10"/>
      <c r="P1002" s="10"/>
      <c r="T1002" s="10"/>
      <c r="U1002" s="10"/>
      <c r="V1002" s="10"/>
      <c r="W1002" s="10"/>
      <c r="Y1002" s="10"/>
      <c r="Z1002" s="10"/>
      <c r="AA1002" s="10"/>
      <c r="AB1002" s="10"/>
      <c r="AC1002" s="10"/>
      <c r="AD1002" s="10"/>
      <c r="AE1002" s="10"/>
      <c r="AF1002" s="10"/>
      <c r="AG1002" s="10"/>
      <c r="AH1002" s="10"/>
      <c r="AI1002" s="10"/>
      <c r="AJ1002" s="10"/>
      <c r="AK1002" s="10"/>
      <c r="AL1002" s="10"/>
      <c r="AM1002" s="10"/>
      <c r="AN1002" s="10"/>
      <c r="AO1002" s="10"/>
      <c r="AR1002" s="10"/>
      <c r="AS1002" s="10"/>
      <c r="AU1002" s="10"/>
      <c r="AV1002" s="10"/>
      <c r="AW1002" s="143"/>
      <c r="BE1002" s="10"/>
      <c r="BF1002" s="10"/>
      <c r="BG1002" s="10"/>
      <c r="BH1002" s="10"/>
      <c r="BI1002" s="10"/>
      <c r="BJ1002" s="10"/>
      <c r="BK1002" s="10"/>
      <c r="BS1002" s="10"/>
      <c r="BT1002" s="10"/>
      <c r="BW1002" s="10"/>
    </row>
    <row r="1003">
      <c r="A1003" s="10"/>
      <c r="B1003" s="10"/>
      <c r="C1003" s="10"/>
      <c r="D1003" s="10"/>
      <c r="E1003" s="10"/>
      <c r="F1003" s="10"/>
      <c r="G1003" s="10"/>
      <c r="H1003" s="10"/>
      <c r="I1003" s="10"/>
      <c r="N1003" s="10"/>
      <c r="P1003" s="10"/>
      <c r="T1003" s="10"/>
      <c r="U1003" s="10"/>
      <c r="V1003" s="10"/>
      <c r="W1003" s="10"/>
      <c r="Y1003" s="10"/>
      <c r="Z1003" s="10"/>
      <c r="AA1003" s="10"/>
      <c r="AB1003" s="10"/>
      <c r="AC1003" s="10"/>
      <c r="AD1003" s="10"/>
      <c r="AE1003" s="10"/>
      <c r="AF1003" s="10"/>
      <c r="AG1003" s="10"/>
      <c r="AH1003" s="10"/>
      <c r="AI1003" s="10"/>
      <c r="AJ1003" s="10"/>
      <c r="AK1003" s="10"/>
      <c r="AL1003" s="10"/>
      <c r="AM1003" s="10"/>
      <c r="AN1003" s="10"/>
      <c r="AO1003" s="10"/>
      <c r="AR1003" s="10"/>
      <c r="AS1003" s="10"/>
      <c r="AU1003" s="10"/>
      <c r="AV1003" s="10"/>
      <c r="AW1003" s="143"/>
      <c r="BE1003" s="10"/>
      <c r="BF1003" s="10"/>
      <c r="BG1003" s="10"/>
      <c r="BH1003" s="10"/>
      <c r="BI1003" s="10"/>
      <c r="BJ1003" s="10"/>
      <c r="BK1003" s="10"/>
      <c r="BS1003" s="10"/>
      <c r="BT1003" s="10"/>
      <c r="BW1003" s="10"/>
    </row>
    <row r="1004">
      <c r="A1004" s="10"/>
      <c r="B1004" s="10"/>
      <c r="C1004" s="10"/>
      <c r="D1004" s="10"/>
      <c r="E1004" s="10"/>
      <c r="F1004" s="10"/>
      <c r="G1004" s="10"/>
      <c r="H1004" s="10"/>
      <c r="I1004" s="10"/>
      <c r="N1004" s="10"/>
      <c r="P1004" s="10"/>
      <c r="T1004" s="10"/>
      <c r="U1004" s="10"/>
      <c r="V1004" s="10"/>
      <c r="W1004" s="10"/>
      <c r="X1004" s="10"/>
      <c r="Y1004" s="10"/>
      <c r="Z1004" s="10"/>
      <c r="AA1004" s="10"/>
      <c r="AB1004" s="10"/>
      <c r="AC1004" s="10"/>
      <c r="AD1004" s="10"/>
      <c r="AE1004" s="10"/>
      <c r="AF1004" s="10"/>
      <c r="AG1004" s="10"/>
      <c r="AH1004" s="10"/>
      <c r="AI1004" s="10"/>
      <c r="AJ1004" s="10"/>
      <c r="AK1004" s="10"/>
      <c r="AL1004" s="10"/>
      <c r="AM1004" s="10"/>
      <c r="AN1004" s="10"/>
      <c r="AO1004" s="10"/>
      <c r="AR1004" s="10"/>
      <c r="AS1004" s="10"/>
      <c r="AU1004" s="10"/>
      <c r="AV1004" s="10"/>
      <c r="AW1004" s="143"/>
      <c r="BE1004" s="10"/>
      <c r="BF1004" s="10"/>
      <c r="BG1004" s="10"/>
      <c r="BH1004" s="10"/>
      <c r="BI1004" s="10"/>
      <c r="BJ1004" s="10"/>
      <c r="BK1004" s="10"/>
      <c r="BS1004" s="10"/>
      <c r="BT1004" s="10"/>
      <c r="BW1004" s="10"/>
    </row>
    <row r="1005">
      <c r="A1005" s="10"/>
      <c r="B1005" s="10"/>
      <c r="C1005" s="10"/>
      <c r="D1005" s="10"/>
      <c r="E1005" s="10"/>
      <c r="F1005" s="10"/>
      <c r="G1005" s="10"/>
      <c r="H1005" s="10"/>
      <c r="I1005" s="10"/>
      <c r="N1005" s="10"/>
      <c r="P1005" s="10"/>
      <c r="T1005" s="10"/>
      <c r="U1005" s="10"/>
      <c r="V1005" s="10"/>
      <c r="W1005" s="10"/>
      <c r="X1005" s="10"/>
      <c r="Y1005" s="10"/>
      <c r="Z1005" s="10"/>
      <c r="AA1005" s="10"/>
      <c r="AB1005" s="10"/>
      <c r="AC1005" s="10"/>
      <c r="AD1005" s="10"/>
      <c r="AE1005" s="10"/>
      <c r="AF1005" s="10"/>
      <c r="AG1005" s="10"/>
      <c r="AH1005" s="10"/>
      <c r="AI1005" s="10"/>
      <c r="AJ1005" s="10"/>
      <c r="AL1005" s="10"/>
      <c r="AM1005" s="10"/>
      <c r="AO1005" s="10"/>
      <c r="AR1005" s="10"/>
      <c r="AS1005" s="10"/>
      <c r="AU1005" s="10"/>
      <c r="AV1005" s="10"/>
      <c r="AW1005" s="143"/>
      <c r="BE1005" s="10"/>
      <c r="BF1005" s="10"/>
      <c r="BG1005" s="10"/>
      <c r="BH1005" s="10"/>
      <c r="BI1005" s="10"/>
      <c r="BJ1005" s="10"/>
      <c r="BK1005" s="10"/>
      <c r="BT1005" s="10"/>
      <c r="BW1005" s="10"/>
    </row>
    <row r="1006">
      <c r="A1006" s="10"/>
      <c r="B1006" s="10"/>
      <c r="C1006" s="10"/>
      <c r="D1006" s="10"/>
      <c r="E1006" s="10"/>
      <c r="F1006" s="10"/>
      <c r="H1006" s="10"/>
      <c r="I1006" s="10"/>
      <c r="K1006" s="10"/>
      <c r="L1006" s="10"/>
      <c r="T1006" s="10"/>
      <c r="U1006" s="10"/>
      <c r="V1006" s="10"/>
      <c r="W1006" s="10"/>
      <c r="Y1006" s="10"/>
      <c r="Z1006" s="10"/>
      <c r="AA1006" s="10"/>
      <c r="AB1006" s="10"/>
      <c r="AC1006" s="10"/>
      <c r="AD1006" s="10"/>
      <c r="AE1006" s="10"/>
      <c r="AF1006" s="10"/>
      <c r="AG1006" s="10"/>
      <c r="AH1006" s="10"/>
      <c r="AI1006" s="10"/>
      <c r="AJ1006" s="10"/>
      <c r="AK1006" s="10"/>
      <c r="AL1006" s="10"/>
      <c r="AM1006" s="10"/>
      <c r="AN1006" s="10"/>
      <c r="AO1006" s="10"/>
      <c r="AR1006" s="10"/>
      <c r="AS1006" s="10"/>
      <c r="AU1006" s="10"/>
      <c r="AV1006" s="10"/>
      <c r="AW1006" s="143"/>
      <c r="BE1006" s="10"/>
      <c r="BF1006" s="10"/>
      <c r="BG1006" s="10"/>
      <c r="BH1006" s="10"/>
      <c r="BI1006" s="10"/>
      <c r="BJ1006" s="10"/>
      <c r="BK1006" s="10"/>
      <c r="BL1006" s="10"/>
      <c r="BO1006" s="10"/>
      <c r="BR1006" s="10"/>
      <c r="BS1006" s="10"/>
      <c r="BT1006" s="10"/>
      <c r="BW1006" s="10"/>
    </row>
    <row r="1007">
      <c r="A1007" s="10"/>
      <c r="B1007" s="10"/>
      <c r="C1007" s="10"/>
      <c r="D1007" s="10"/>
      <c r="E1007" s="10"/>
      <c r="F1007" s="10"/>
      <c r="H1007" s="10"/>
      <c r="I1007" s="10"/>
      <c r="K1007" s="10"/>
      <c r="L1007" s="10"/>
      <c r="T1007" s="10"/>
      <c r="U1007" s="10"/>
      <c r="V1007" s="10"/>
      <c r="W1007" s="10"/>
      <c r="Y1007" s="10"/>
      <c r="Z1007" s="10"/>
      <c r="AA1007" s="10"/>
      <c r="AB1007" s="10"/>
      <c r="AC1007" s="10"/>
      <c r="AD1007" s="10"/>
      <c r="AE1007" s="10"/>
      <c r="AF1007" s="10"/>
      <c r="AG1007" s="10"/>
      <c r="AH1007" s="10"/>
      <c r="AI1007" s="10"/>
      <c r="AJ1007" s="10"/>
      <c r="AK1007" s="10"/>
      <c r="AL1007" s="10"/>
      <c r="AM1007" s="10"/>
      <c r="AN1007" s="10"/>
      <c r="AO1007" s="10"/>
      <c r="AR1007" s="10"/>
      <c r="AS1007" s="10"/>
      <c r="AU1007" s="10"/>
      <c r="AV1007" s="10"/>
      <c r="AW1007" s="143"/>
      <c r="BE1007" s="10"/>
      <c r="BF1007" s="10"/>
      <c r="BG1007" s="10"/>
      <c r="BH1007" s="10"/>
      <c r="BI1007" s="10"/>
      <c r="BJ1007" s="10"/>
      <c r="BK1007" s="10"/>
      <c r="BL1007" s="10"/>
      <c r="BO1007" s="10"/>
      <c r="BR1007" s="10"/>
      <c r="BT1007" s="10"/>
      <c r="BW1007" s="10"/>
    </row>
    <row r="1008">
      <c r="A1008" s="10"/>
      <c r="B1008" s="10"/>
      <c r="C1008" s="10"/>
      <c r="D1008" s="10"/>
      <c r="E1008" s="10"/>
      <c r="F1008" s="10"/>
      <c r="H1008" s="10"/>
      <c r="I1008" s="10"/>
      <c r="K1008" s="10"/>
      <c r="L1008" s="10"/>
      <c r="T1008" s="10"/>
      <c r="U1008" s="10"/>
      <c r="V1008" s="10"/>
      <c r="W1008" s="10"/>
      <c r="Y1008" s="10"/>
      <c r="Z1008" s="10"/>
      <c r="AA1008" s="10"/>
      <c r="AB1008" s="10"/>
      <c r="AC1008" s="10"/>
      <c r="AD1008" s="10"/>
      <c r="AE1008" s="10"/>
      <c r="AF1008" s="10"/>
      <c r="AG1008" s="10"/>
      <c r="AH1008" s="10"/>
      <c r="AI1008" s="10"/>
      <c r="AJ1008" s="10"/>
      <c r="AK1008" s="10"/>
      <c r="AL1008" s="10"/>
      <c r="AM1008" s="10"/>
      <c r="AN1008" s="10"/>
      <c r="AO1008" s="10"/>
      <c r="AR1008" s="10"/>
      <c r="AS1008" s="10"/>
      <c r="AU1008" s="10"/>
      <c r="AV1008" s="10"/>
      <c r="AW1008" s="143"/>
      <c r="BE1008" s="10"/>
      <c r="BF1008" s="10"/>
      <c r="BG1008" s="10"/>
      <c r="BH1008" s="10"/>
      <c r="BI1008" s="10"/>
      <c r="BJ1008" s="10"/>
      <c r="BK1008" s="10"/>
      <c r="BS1008" s="10"/>
      <c r="BT1008" s="10"/>
      <c r="BW1008" s="10"/>
    </row>
    <row r="1009">
      <c r="A1009" s="10"/>
      <c r="B1009" s="10"/>
      <c r="C1009" s="10"/>
      <c r="D1009" s="10"/>
      <c r="E1009" s="10"/>
      <c r="F1009" s="10"/>
      <c r="G1009" s="10"/>
      <c r="H1009" s="10"/>
      <c r="I1009" s="10"/>
      <c r="N1009" s="10"/>
      <c r="T1009" s="10"/>
      <c r="U1009" s="10"/>
      <c r="V1009" s="10"/>
      <c r="W1009" s="10"/>
      <c r="Y1009" s="10"/>
      <c r="Z1009" s="10"/>
      <c r="AA1009" s="10"/>
      <c r="AB1009" s="10"/>
      <c r="AC1009" s="10"/>
      <c r="AD1009" s="10"/>
      <c r="AE1009" s="10"/>
      <c r="AF1009" s="10"/>
      <c r="AG1009" s="10"/>
      <c r="AH1009" s="10"/>
      <c r="AI1009" s="10"/>
      <c r="AJ1009" s="10"/>
      <c r="AK1009" s="10"/>
      <c r="AL1009" s="10"/>
      <c r="AM1009" s="10"/>
      <c r="AN1009" s="10"/>
      <c r="AO1009" s="10"/>
      <c r="AP1009" s="10"/>
      <c r="AQ1009" s="10"/>
      <c r="AR1009" s="10"/>
      <c r="AS1009" s="10"/>
      <c r="AU1009" s="10"/>
      <c r="AV1009" s="10"/>
      <c r="AW1009" s="143"/>
      <c r="BE1009" s="10"/>
      <c r="BF1009" s="10"/>
      <c r="BG1009" s="10"/>
      <c r="BH1009" s="10"/>
      <c r="BI1009" s="10"/>
      <c r="BJ1009" s="10"/>
      <c r="BK1009" s="10"/>
      <c r="BL1009" s="10"/>
      <c r="BO1009" s="10"/>
      <c r="BR1009" s="10"/>
      <c r="BS1009" s="10"/>
      <c r="BT1009" s="10"/>
      <c r="BW1009" s="10"/>
    </row>
    <row r="1010">
      <c r="A1010" s="10"/>
      <c r="B1010" s="10"/>
      <c r="C1010" s="10"/>
      <c r="D1010" s="10"/>
      <c r="E1010" s="10"/>
      <c r="F1010" s="10"/>
      <c r="G1010" s="10"/>
      <c r="H1010" s="10"/>
      <c r="I1010" s="10"/>
      <c r="N1010" s="10"/>
      <c r="T1010" s="10"/>
      <c r="U1010" s="10"/>
      <c r="V1010" s="10"/>
      <c r="W1010" s="10"/>
      <c r="Y1010" s="10"/>
      <c r="Z1010" s="10"/>
      <c r="AA1010" s="10"/>
      <c r="AB1010" s="10"/>
      <c r="AC1010" s="10"/>
      <c r="AD1010" s="10"/>
      <c r="AE1010" s="10"/>
      <c r="AF1010" s="10"/>
      <c r="AG1010" s="10"/>
      <c r="AH1010" s="10"/>
      <c r="AI1010" s="10"/>
      <c r="AJ1010" s="10"/>
      <c r="AK1010" s="10"/>
      <c r="AL1010" s="10"/>
      <c r="AM1010" s="10"/>
      <c r="AN1010" s="10"/>
      <c r="AO1010" s="10"/>
      <c r="AP1010" s="10"/>
      <c r="AQ1010" s="10"/>
      <c r="AR1010" s="10"/>
      <c r="AS1010" s="10"/>
      <c r="AU1010" s="10"/>
      <c r="AV1010" s="10"/>
      <c r="AW1010" s="143"/>
      <c r="BE1010" s="10"/>
      <c r="BF1010" s="10"/>
      <c r="BG1010" s="10"/>
      <c r="BH1010" s="10"/>
      <c r="BI1010" s="10"/>
      <c r="BJ1010" s="10"/>
      <c r="BK1010" s="10"/>
      <c r="BS1010" s="10"/>
      <c r="BT1010" s="10"/>
      <c r="BW1010" s="10"/>
    </row>
    <row r="1011">
      <c r="A1011" s="10"/>
      <c r="B1011" s="10"/>
      <c r="C1011" s="10"/>
      <c r="D1011" s="10"/>
      <c r="E1011" s="10"/>
      <c r="F1011" s="10"/>
      <c r="G1011" s="10"/>
      <c r="H1011" s="10"/>
      <c r="I1011" s="10"/>
      <c r="N1011" s="10"/>
      <c r="T1011" s="10"/>
      <c r="U1011" s="10"/>
      <c r="V1011" s="10"/>
      <c r="W1011" s="10"/>
      <c r="Y1011" s="10"/>
      <c r="Z1011" s="10"/>
      <c r="AA1011" s="10"/>
      <c r="AB1011" s="10"/>
      <c r="AC1011" s="10"/>
      <c r="AD1011" s="10"/>
      <c r="AE1011" s="10"/>
      <c r="AF1011" s="10"/>
      <c r="AG1011" s="10"/>
      <c r="AH1011" s="10"/>
      <c r="AI1011" s="10"/>
      <c r="AJ1011" s="10"/>
      <c r="AK1011" s="10"/>
      <c r="AL1011" s="10"/>
      <c r="AM1011" s="10"/>
      <c r="AN1011" s="10"/>
      <c r="AO1011" s="10"/>
      <c r="AP1011" s="10"/>
      <c r="AQ1011" s="10"/>
      <c r="AR1011" s="10"/>
      <c r="AS1011" s="10"/>
      <c r="AU1011" s="10"/>
      <c r="AV1011" s="10"/>
      <c r="AW1011" s="143"/>
      <c r="BE1011" s="10"/>
      <c r="BF1011" s="10"/>
      <c r="BG1011" s="10"/>
      <c r="BH1011" s="10"/>
      <c r="BI1011" s="10"/>
      <c r="BJ1011" s="10"/>
      <c r="BK1011" s="10"/>
      <c r="BS1011" s="10"/>
      <c r="BT1011" s="10"/>
      <c r="BW1011" s="10"/>
    </row>
    <row r="1012">
      <c r="A1012" s="10"/>
      <c r="B1012" s="10"/>
      <c r="C1012" s="10"/>
      <c r="D1012" s="10"/>
      <c r="E1012" s="10"/>
      <c r="F1012" s="10"/>
      <c r="G1012" s="10"/>
      <c r="H1012" s="10"/>
      <c r="I1012" s="10"/>
      <c r="N1012" s="10"/>
      <c r="T1012" s="10"/>
      <c r="U1012" s="10"/>
      <c r="V1012" s="10"/>
      <c r="W1012" s="10"/>
      <c r="Y1012" s="10"/>
      <c r="Z1012" s="10"/>
      <c r="AA1012" s="10"/>
      <c r="AB1012" s="10"/>
      <c r="AC1012" s="10"/>
      <c r="AD1012" s="10"/>
      <c r="AE1012" s="10"/>
      <c r="AF1012" s="10"/>
      <c r="AG1012" s="10"/>
      <c r="AH1012" s="10"/>
      <c r="AI1012" s="10"/>
      <c r="AJ1012" s="10"/>
      <c r="AK1012" s="10"/>
      <c r="AL1012" s="10"/>
      <c r="AM1012" s="10"/>
      <c r="AN1012" s="10"/>
      <c r="AO1012" s="10"/>
      <c r="AP1012" s="10"/>
      <c r="AQ1012" s="10"/>
      <c r="AR1012" s="10"/>
      <c r="AS1012" s="10"/>
      <c r="AU1012" s="10"/>
      <c r="AV1012" s="10"/>
      <c r="AW1012" s="143"/>
      <c r="BE1012" s="10"/>
      <c r="BF1012" s="10"/>
      <c r="BG1012" s="10"/>
      <c r="BH1012" s="10"/>
      <c r="BI1012" s="10"/>
      <c r="BJ1012" s="10"/>
      <c r="BK1012" s="10"/>
      <c r="BS1012" s="10"/>
      <c r="BT1012" s="10"/>
      <c r="BW1012" s="10"/>
    </row>
    <row r="1013">
      <c r="A1013" s="10"/>
      <c r="B1013" s="10"/>
      <c r="C1013" s="10"/>
      <c r="D1013" s="10"/>
      <c r="E1013" s="10"/>
      <c r="F1013" s="10"/>
      <c r="G1013" s="10"/>
      <c r="H1013" s="10"/>
      <c r="I1013" s="10"/>
      <c r="N1013" s="10"/>
      <c r="P1013" s="10"/>
      <c r="T1013" s="10"/>
      <c r="U1013" s="10"/>
      <c r="V1013" s="10"/>
      <c r="W1013" s="10"/>
      <c r="Y1013" s="10"/>
      <c r="Z1013" s="10"/>
      <c r="AA1013" s="10"/>
      <c r="AB1013" s="10"/>
      <c r="AC1013" s="10"/>
      <c r="AD1013" s="10"/>
      <c r="AE1013" s="10"/>
      <c r="AF1013" s="10"/>
      <c r="AG1013" s="10"/>
      <c r="AH1013" s="10"/>
      <c r="AI1013" s="10"/>
      <c r="AJ1013" s="10"/>
      <c r="AK1013" s="10"/>
      <c r="AL1013" s="10"/>
      <c r="AM1013" s="10"/>
      <c r="AN1013" s="10"/>
      <c r="AO1013" s="10"/>
      <c r="AP1013" s="10"/>
      <c r="AQ1013" s="10"/>
      <c r="AR1013" s="10"/>
      <c r="AS1013" s="10"/>
      <c r="AU1013" s="10"/>
      <c r="AV1013" s="10"/>
      <c r="AW1013" s="143"/>
      <c r="BE1013" s="10"/>
      <c r="BF1013" s="10"/>
      <c r="BG1013" s="10"/>
      <c r="BH1013" s="10"/>
      <c r="BI1013" s="10"/>
      <c r="BJ1013" s="10"/>
      <c r="BK1013" s="10"/>
      <c r="BS1013" s="10"/>
      <c r="BT1013" s="10"/>
      <c r="BW1013" s="10"/>
    </row>
    <row r="1014">
      <c r="A1014" s="10"/>
      <c r="B1014" s="10"/>
      <c r="C1014" s="10"/>
      <c r="D1014" s="10"/>
      <c r="E1014" s="10"/>
      <c r="F1014" s="10"/>
      <c r="G1014" s="10"/>
      <c r="H1014" s="10"/>
      <c r="I1014" s="10"/>
      <c r="N1014" s="10"/>
      <c r="P1014" s="10"/>
      <c r="T1014" s="10"/>
      <c r="U1014" s="10"/>
      <c r="V1014" s="10"/>
      <c r="W1014" s="10"/>
      <c r="Y1014" s="10"/>
      <c r="Z1014" s="10"/>
      <c r="AA1014" s="10"/>
      <c r="AB1014" s="10"/>
      <c r="AC1014" s="10"/>
      <c r="AD1014" s="10"/>
      <c r="AE1014" s="10"/>
      <c r="AF1014" s="10"/>
      <c r="AG1014" s="10"/>
      <c r="AH1014" s="10"/>
      <c r="AI1014" s="10"/>
      <c r="AJ1014" s="10"/>
      <c r="AK1014" s="10"/>
      <c r="AL1014" s="10"/>
      <c r="AM1014" s="10"/>
      <c r="AN1014" s="10"/>
      <c r="AO1014" s="10"/>
      <c r="AP1014" s="10"/>
      <c r="AQ1014" s="10"/>
      <c r="AR1014" s="10"/>
      <c r="AS1014" s="10"/>
      <c r="AU1014" s="10"/>
      <c r="AV1014" s="10"/>
      <c r="AW1014" s="143"/>
      <c r="BE1014" s="10"/>
      <c r="BF1014" s="10"/>
      <c r="BG1014" s="10"/>
      <c r="BH1014" s="10"/>
      <c r="BI1014" s="10"/>
      <c r="BJ1014" s="10"/>
      <c r="BK1014" s="10"/>
      <c r="BS1014" s="10"/>
      <c r="BT1014" s="10"/>
      <c r="BW1014" s="10"/>
    </row>
    <row r="1015">
      <c r="A1015" s="10"/>
      <c r="B1015" s="10"/>
      <c r="C1015" s="10"/>
      <c r="D1015" s="10"/>
      <c r="E1015" s="10"/>
      <c r="F1015" s="10"/>
      <c r="G1015" s="10"/>
      <c r="H1015" s="10"/>
      <c r="I1015" s="10"/>
      <c r="N1015" s="10"/>
      <c r="T1015" s="10"/>
      <c r="U1015" s="10"/>
      <c r="V1015" s="10"/>
      <c r="W1015" s="10"/>
      <c r="X1015" s="10"/>
      <c r="Y1015" s="10"/>
      <c r="Z1015" s="10"/>
      <c r="AA1015" s="10"/>
      <c r="AB1015" s="10"/>
      <c r="AC1015" s="10"/>
      <c r="AD1015" s="10"/>
      <c r="AE1015" s="10"/>
      <c r="AF1015" s="10"/>
      <c r="AG1015" s="10"/>
      <c r="AH1015" s="10"/>
      <c r="AI1015" s="10"/>
      <c r="AJ1015" s="10"/>
      <c r="AK1015" s="10"/>
      <c r="AL1015" s="10"/>
      <c r="AM1015" s="10"/>
      <c r="AN1015" s="10"/>
      <c r="AO1015" s="10"/>
      <c r="AP1015" s="10"/>
      <c r="AQ1015" s="10"/>
      <c r="AR1015" s="10"/>
      <c r="AS1015" s="10"/>
      <c r="AU1015" s="10"/>
      <c r="AV1015" s="10"/>
      <c r="AW1015" s="143"/>
      <c r="BE1015" s="10"/>
      <c r="BF1015" s="10"/>
      <c r="BG1015" s="10"/>
      <c r="BH1015" s="10"/>
      <c r="BI1015" s="10"/>
      <c r="BJ1015" s="10"/>
      <c r="BK1015" s="10"/>
      <c r="BS1015" s="10"/>
      <c r="BT1015" s="10"/>
      <c r="BW1015" s="10"/>
    </row>
    <row r="1016">
      <c r="A1016" s="10"/>
      <c r="B1016" s="10"/>
      <c r="C1016" s="10"/>
      <c r="D1016" s="10"/>
      <c r="E1016" s="10"/>
      <c r="F1016" s="10"/>
      <c r="G1016" s="10"/>
      <c r="H1016" s="10"/>
      <c r="I1016" s="10"/>
      <c r="J1016" s="10"/>
      <c r="N1016" s="10"/>
      <c r="P1016" s="10"/>
      <c r="T1016" s="10"/>
      <c r="U1016" s="10"/>
      <c r="V1016" s="10"/>
      <c r="W1016" s="10"/>
      <c r="X1016" s="10"/>
      <c r="Y1016" s="10"/>
      <c r="Z1016" s="10"/>
      <c r="AA1016" s="10"/>
      <c r="AB1016" s="10"/>
      <c r="AC1016" s="10"/>
      <c r="AD1016" s="10"/>
      <c r="AE1016" s="10"/>
      <c r="AF1016" s="10"/>
      <c r="AG1016" s="10"/>
      <c r="AH1016" s="10"/>
      <c r="AI1016" s="10"/>
      <c r="AJ1016" s="10"/>
      <c r="AK1016" s="10"/>
      <c r="AL1016" s="10"/>
      <c r="AM1016" s="10"/>
      <c r="AN1016" s="10"/>
      <c r="AO1016" s="10"/>
      <c r="AP1016" s="10"/>
      <c r="AQ1016" s="10"/>
      <c r="AR1016" s="10"/>
      <c r="AS1016" s="10"/>
      <c r="AU1016" s="10"/>
      <c r="AV1016" s="10"/>
      <c r="AW1016" s="143"/>
      <c r="BS1016" s="10"/>
      <c r="BT1016" s="10"/>
      <c r="BW1016" s="10"/>
    </row>
    <row r="1017">
      <c r="A1017" s="10"/>
      <c r="B1017" s="10"/>
      <c r="C1017" s="10"/>
      <c r="D1017" s="10"/>
      <c r="E1017" s="10"/>
      <c r="F1017" s="10"/>
      <c r="G1017" s="10"/>
      <c r="H1017" s="10"/>
      <c r="I1017" s="10"/>
      <c r="N1017" s="10"/>
      <c r="P1017" s="10"/>
      <c r="T1017" s="10"/>
      <c r="U1017" s="10"/>
      <c r="V1017" s="10"/>
      <c r="W1017" s="10"/>
      <c r="Y1017" s="10"/>
      <c r="Z1017" s="10"/>
      <c r="AA1017" s="10"/>
      <c r="AB1017" s="10"/>
      <c r="AC1017" s="10"/>
      <c r="AD1017" s="10"/>
      <c r="AE1017" s="10"/>
      <c r="AF1017" s="10"/>
      <c r="AG1017" s="10"/>
      <c r="AH1017" s="10"/>
      <c r="AI1017" s="10"/>
      <c r="AJ1017" s="10"/>
      <c r="AK1017" s="10"/>
      <c r="AL1017" s="10"/>
      <c r="AM1017" s="10"/>
      <c r="AN1017" s="10"/>
      <c r="AO1017" s="10"/>
      <c r="AP1017" s="10"/>
      <c r="AQ1017" s="10"/>
      <c r="AR1017" s="10"/>
      <c r="AS1017" s="10"/>
      <c r="AU1017" s="10"/>
      <c r="AV1017" s="10"/>
      <c r="AW1017" s="143"/>
      <c r="BE1017" s="10"/>
      <c r="BF1017" s="10"/>
      <c r="BG1017" s="10"/>
      <c r="BH1017" s="10"/>
      <c r="BI1017" s="10"/>
      <c r="BJ1017" s="10"/>
      <c r="BK1017" s="10"/>
      <c r="BL1017" s="10"/>
      <c r="BO1017" s="10"/>
      <c r="BR1017" s="10"/>
      <c r="BT1017" s="10"/>
      <c r="BW1017" s="10"/>
    </row>
    <row r="1018">
      <c r="A1018" s="10"/>
      <c r="B1018" s="10"/>
      <c r="C1018" s="10"/>
      <c r="D1018" s="10"/>
      <c r="E1018" s="10"/>
      <c r="F1018" s="10"/>
      <c r="G1018" s="10"/>
      <c r="H1018" s="10"/>
      <c r="I1018" s="10"/>
      <c r="N1018" s="10"/>
      <c r="P1018" s="10"/>
      <c r="T1018" s="10"/>
      <c r="U1018" s="10"/>
      <c r="V1018" s="10"/>
      <c r="W1018" s="10"/>
      <c r="Y1018" s="10"/>
      <c r="Z1018" s="10"/>
      <c r="AA1018" s="10"/>
      <c r="AB1018" s="10"/>
      <c r="AC1018" s="10"/>
      <c r="AD1018" s="10"/>
      <c r="AE1018" s="10"/>
      <c r="AF1018" s="10"/>
      <c r="AG1018" s="10"/>
      <c r="AH1018" s="10"/>
      <c r="AI1018" s="10"/>
      <c r="AJ1018" s="10"/>
      <c r="AK1018" s="10"/>
      <c r="AL1018" s="10"/>
      <c r="AM1018" s="10"/>
      <c r="AN1018" s="10"/>
      <c r="AO1018" s="10"/>
      <c r="AP1018" s="10"/>
      <c r="AQ1018" s="10"/>
      <c r="AR1018" s="10"/>
      <c r="AS1018" s="10"/>
      <c r="AU1018" s="10"/>
      <c r="AV1018" s="10"/>
      <c r="AW1018" s="143"/>
      <c r="BE1018" s="10"/>
      <c r="BF1018" s="10"/>
      <c r="BG1018" s="10"/>
      <c r="BH1018" s="10"/>
      <c r="BI1018" s="10"/>
      <c r="BJ1018" s="10"/>
      <c r="BK1018" s="10"/>
      <c r="BS1018" s="10"/>
      <c r="BT1018" s="10"/>
      <c r="BW1018" s="10"/>
    </row>
    <row r="1019">
      <c r="A1019" s="10"/>
      <c r="B1019" s="10"/>
      <c r="C1019" s="10"/>
      <c r="D1019" s="10"/>
      <c r="E1019" s="10"/>
      <c r="F1019" s="10"/>
      <c r="G1019" s="10"/>
      <c r="H1019" s="10"/>
      <c r="I1019" s="10"/>
      <c r="K1019" s="10"/>
      <c r="L1019" s="10"/>
      <c r="N1019" s="10"/>
      <c r="P1019" s="10"/>
      <c r="U1019" s="10"/>
      <c r="V1019" s="10"/>
      <c r="W1019" s="10"/>
      <c r="Y1019" s="10"/>
      <c r="Z1019" s="10"/>
      <c r="AA1019" s="10"/>
      <c r="AB1019" s="10"/>
      <c r="AC1019" s="10"/>
      <c r="AD1019" s="10"/>
      <c r="AE1019" s="10"/>
      <c r="AF1019" s="10"/>
      <c r="AG1019" s="10"/>
      <c r="AH1019" s="10"/>
      <c r="AI1019" s="10"/>
      <c r="AJ1019" s="10"/>
      <c r="AK1019" s="10"/>
      <c r="AL1019" s="10"/>
      <c r="AM1019" s="10"/>
      <c r="AN1019" s="10"/>
      <c r="AO1019" s="10"/>
      <c r="AP1019" s="10"/>
      <c r="AQ1019" s="10"/>
      <c r="AR1019" s="10"/>
      <c r="AS1019" s="10"/>
      <c r="AU1019" s="10"/>
      <c r="AV1019" s="10"/>
      <c r="AW1019" s="143"/>
      <c r="BE1019" s="10"/>
      <c r="BF1019" s="10"/>
      <c r="BG1019" s="10"/>
      <c r="BH1019" s="10"/>
      <c r="BI1019" s="10"/>
      <c r="BJ1019" s="10"/>
      <c r="BK1019" s="10"/>
      <c r="BL1019" s="10"/>
      <c r="BM1019" s="10"/>
      <c r="BN1019" s="10"/>
      <c r="BO1019" s="10"/>
      <c r="BP1019" s="10"/>
      <c r="BQ1019" s="10"/>
      <c r="BR1019" s="10"/>
      <c r="BS1019" s="10"/>
      <c r="BT1019" s="10"/>
      <c r="BW1019" s="10"/>
    </row>
    <row r="1020">
      <c r="A1020" s="10"/>
      <c r="B1020" s="10"/>
      <c r="C1020" s="10"/>
      <c r="D1020" s="10"/>
      <c r="E1020" s="10"/>
      <c r="F1020" s="10"/>
      <c r="G1020" s="10"/>
      <c r="H1020" s="10"/>
      <c r="I1020" s="10"/>
      <c r="K1020" s="10"/>
      <c r="L1020" s="10"/>
      <c r="N1020" s="10"/>
      <c r="P1020" s="10"/>
      <c r="U1020" s="10"/>
      <c r="V1020" s="10"/>
      <c r="W1020" s="10"/>
      <c r="Y1020" s="10"/>
      <c r="Z1020" s="10"/>
      <c r="AA1020" s="10"/>
      <c r="AB1020" s="10"/>
      <c r="AC1020" s="10"/>
      <c r="AD1020" s="10"/>
      <c r="AE1020" s="10"/>
      <c r="AF1020" s="10"/>
      <c r="AG1020" s="10"/>
      <c r="AH1020" s="10"/>
      <c r="AI1020" s="10"/>
      <c r="AJ1020" s="10"/>
      <c r="AK1020" s="10"/>
      <c r="AL1020" s="10"/>
      <c r="AM1020" s="10"/>
      <c r="AN1020" s="10"/>
      <c r="AO1020" s="10"/>
      <c r="AP1020" s="10"/>
      <c r="AQ1020" s="10"/>
      <c r="AR1020" s="10"/>
      <c r="AS1020" s="10"/>
      <c r="AU1020" s="10"/>
      <c r="AV1020" s="10"/>
      <c r="AW1020" s="143"/>
      <c r="BE1020" s="10"/>
      <c r="BF1020" s="10"/>
      <c r="BG1020" s="10"/>
      <c r="BH1020" s="10"/>
      <c r="BI1020" s="10"/>
      <c r="BJ1020" s="10"/>
      <c r="BK1020" s="10"/>
      <c r="BL1020" s="10"/>
      <c r="BM1020" s="10"/>
      <c r="BO1020" s="10"/>
      <c r="BP1020" s="10"/>
      <c r="BR1020" s="10"/>
      <c r="BS1020" s="10"/>
      <c r="BT1020" s="10"/>
      <c r="BW1020" s="10"/>
    </row>
    <row r="1021">
      <c r="A1021" s="10"/>
      <c r="B1021" s="10"/>
      <c r="C1021" s="10"/>
      <c r="D1021" s="10"/>
      <c r="E1021" s="10"/>
      <c r="F1021" s="10"/>
      <c r="G1021" s="10"/>
      <c r="H1021" s="10"/>
      <c r="I1021" s="10"/>
      <c r="K1021" s="10"/>
      <c r="L1021" s="10"/>
      <c r="N1021" s="10"/>
      <c r="U1021" s="10"/>
      <c r="V1021" s="10"/>
      <c r="W1021" s="10"/>
      <c r="Y1021" s="10"/>
      <c r="Z1021" s="10"/>
      <c r="AA1021" s="10"/>
      <c r="AB1021" s="10"/>
      <c r="AC1021" s="10"/>
      <c r="AD1021" s="10"/>
      <c r="AE1021" s="10"/>
      <c r="AF1021" s="10"/>
      <c r="AG1021" s="10"/>
      <c r="AH1021" s="10"/>
      <c r="AI1021" s="10"/>
      <c r="AJ1021" s="10"/>
      <c r="AK1021" s="10"/>
      <c r="AL1021" s="10"/>
      <c r="AM1021" s="10"/>
      <c r="AN1021" s="10"/>
      <c r="AO1021" s="10"/>
      <c r="AP1021" s="10"/>
      <c r="AQ1021" s="10"/>
      <c r="AR1021" s="10"/>
      <c r="AS1021" s="10"/>
      <c r="AU1021" s="10"/>
      <c r="AV1021" s="10"/>
      <c r="AW1021" s="143"/>
      <c r="AX1021" s="10"/>
      <c r="AY1021" s="10"/>
      <c r="BE1021" s="10"/>
      <c r="BF1021" s="10"/>
      <c r="BG1021" s="10"/>
      <c r="BH1021" s="10"/>
      <c r="BI1021" s="10"/>
      <c r="BJ1021" s="10"/>
      <c r="BK1021" s="10"/>
      <c r="BS1021" s="10"/>
      <c r="BT1021" s="10"/>
      <c r="BW1021" s="10"/>
    </row>
    <row r="1022">
      <c r="A1022" s="10"/>
      <c r="B1022" s="10"/>
      <c r="C1022" s="10"/>
      <c r="D1022" s="10"/>
      <c r="E1022" s="10"/>
      <c r="F1022" s="10"/>
      <c r="G1022" s="10"/>
      <c r="H1022" s="10"/>
      <c r="I1022" s="10"/>
      <c r="N1022" s="10"/>
      <c r="P1022" s="10"/>
      <c r="T1022" s="10"/>
      <c r="U1022" s="10"/>
      <c r="V1022" s="10"/>
      <c r="W1022" s="10"/>
      <c r="Y1022" s="10"/>
      <c r="Z1022" s="10"/>
      <c r="AA1022" s="10"/>
      <c r="AB1022" s="10"/>
      <c r="AC1022" s="10"/>
      <c r="AD1022" s="10"/>
      <c r="AE1022" s="10"/>
      <c r="AF1022" s="10"/>
      <c r="AG1022" s="10"/>
      <c r="AH1022" s="10"/>
      <c r="AI1022" s="10"/>
      <c r="AJ1022" s="10"/>
      <c r="AK1022" s="10"/>
      <c r="AL1022" s="10"/>
      <c r="AM1022" s="10"/>
      <c r="AN1022" s="10"/>
      <c r="AO1022" s="10"/>
      <c r="AP1022" s="10"/>
      <c r="AQ1022" s="10"/>
      <c r="AR1022" s="10"/>
      <c r="AS1022" s="10"/>
      <c r="AT1022" s="10"/>
      <c r="AU1022" s="10"/>
      <c r="AV1022" s="10"/>
      <c r="AW1022" s="143"/>
      <c r="BE1022" s="10"/>
      <c r="BF1022" s="10"/>
      <c r="BG1022" s="10"/>
      <c r="BH1022" s="10"/>
      <c r="BI1022" s="10"/>
      <c r="BJ1022" s="10"/>
      <c r="BK1022" s="10"/>
      <c r="BL1022" s="10"/>
      <c r="BO1022" s="10"/>
      <c r="BR1022" s="10"/>
      <c r="BS1022" s="10"/>
      <c r="BT1022" s="10"/>
      <c r="BW1022" s="10"/>
    </row>
    <row r="1023">
      <c r="A1023" s="10"/>
      <c r="B1023" s="10"/>
      <c r="C1023" s="10"/>
      <c r="D1023" s="10"/>
      <c r="E1023" s="10"/>
      <c r="F1023" s="10"/>
      <c r="G1023" s="10"/>
      <c r="H1023" s="10"/>
      <c r="I1023" s="10"/>
      <c r="N1023" s="10"/>
      <c r="P1023" s="10"/>
      <c r="T1023" s="10"/>
      <c r="U1023" s="10"/>
      <c r="V1023" s="10"/>
      <c r="W1023" s="10"/>
      <c r="X1023" s="10"/>
      <c r="Y1023" s="10"/>
      <c r="Z1023" s="10"/>
      <c r="AA1023" s="10"/>
      <c r="AB1023" s="10"/>
      <c r="AC1023" s="10"/>
      <c r="AD1023" s="10"/>
      <c r="AE1023" s="10"/>
      <c r="AF1023" s="10"/>
      <c r="AG1023" s="10"/>
      <c r="AH1023" s="10"/>
      <c r="AI1023" s="10"/>
      <c r="AJ1023" s="10"/>
      <c r="AK1023" s="10"/>
      <c r="AL1023" s="10"/>
      <c r="AM1023" s="10"/>
      <c r="AN1023" s="10"/>
      <c r="AO1023" s="10"/>
      <c r="AP1023" s="10"/>
      <c r="AQ1023" s="10"/>
      <c r="AR1023" s="10"/>
      <c r="AS1023" s="10"/>
      <c r="AT1023" s="10"/>
      <c r="AU1023" s="10"/>
      <c r="AV1023" s="10"/>
      <c r="AW1023" s="143"/>
      <c r="BS1023" s="10"/>
      <c r="BT1023" s="10"/>
      <c r="BW1023" s="10"/>
    </row>
    <row r="1024">
      <c r="A1024" s="10"/>
      <c r="B1024" s="10"/>
      <c r="C1024" s="10"/>
      <c r="D1024" s="10"/>
      <c r="E1024" s="10"/>
      <c r="F1024" s="10"/>
      <c r="G1024" s="10"/>
      <c r="H1024" s="10"/>
      <c r="I1024" s="10"/>
      <c r="N1024" s="10"/>
      <c r="P1024" s="10"/>
      <c r="T1024" s="10"/>
      <c r="U1024" s="10"/>
      <c r="V1024" s="10"/>
      <c r="W1024" s="10"/>
      <c r="Y1024" s="10"/>
      <c r="Z1024" s="10"/>
      <c r="AA1024" s="10"/>
      <c r="AB1024" s="10"/>
      <c r="AC1024" s="10"/>
      <c r="AD1024" s="10"/>
      <c r="AE1024" s="10"/>
      <c r="AF1024" s="10"/>
      <c r="AG1024" s="10"/>
      <c r="AH1024" s="10"/>
      <c r="AI1024" s="10"/>
      <c r="AJ1024" s="10"/>
      <c r="AK1024" s="10"/>
      <c r="AL1024" s="10"/>
      <c r="AM1024" s="10"/>
      <c r="AN1024" s="10"/>
      <c r="AO1024" s="10"/>
      <c r="AP1024" s="10"/>
      <c r="AQ1024" s="10"/>
      <c r="AR1024" s="10"/>
      <c r="AS1024" s="10"/>
      <c r="AU1024" s="10"/>
      <c r="AV1024" s="10"/>
      <c r="AW1024" s="143"/>
      <c r="BE1024" s="10"/>
      <c r="BF1024" s="10"/>
      <c r="BG1024" s="10"/>
      <c r="BH1024" s="10"/>
      <c r="BI1024" s="10"/>
      <c r="BJ1024" s="10"/>
      <c r="BK1024" s="10"/>
      <c r="BS1024" s="10"/>
      <c r="BT1024" s="10"/>
      <c r="BW1024" s="10"/>
    </row>
    <row r="1025">
      <c r="A1025" s="10"/>
      <c r="B1025" s="10"/>
      <c r="C1025" s="10"/>
      <c r="D1025" s="10"/>
      <c r="E1025" s="10"/>
      <c r="F1025" s="10"/>
      <c r="G1025" s="10"/>
      <c r="H1025" s="10"/>
      <c r="I1025" s="10"/>
      <c r="N1025" s="10"/>
      <c r="P1025" s="10"/>
      <c r="T1025" s="10"/>
      <c r="U1025" s="10"/>
      <c r="V1025" s="10"/>
      <c r="W1025" s="10"/>
      <c r="Y1025" s="10"/>
      <c r="Z1025" s="10"/>
      <c r="AA1025" s="10"/>
      <c r="AB1025" s="10"/>
      <c r="AC1025" s="10"/>
      <c r="AD1025" s="10"/>
      <c r="AE1025" s="10"/>
      <c r="AF1025" s="10"/>
      <c r="AG1025" s="10"/>
      <c r="AH1025" s="10"/>
      <c r="AI1025" s="10"/>
      <c r="AJ1025" s="10"/>
      <c r="AK1025" s="10"/>
      <c r="AL1025" s="10"/>
      <c r="AM1025" s="10"/>
      <c r="AN1025" s="10"/>
      <c r="AO1025" s="10"/>
      <c r="AP1025" s="10"/>
      <c r="AQ1025" s="10"/>
      <c r="AR1025" s="10"/>
      <c r="AS1025" s="10"/>
      <c r="AU1025" s="10"/>
      <c r="AV1025" s="10"/>
      <c r="AW1025" s="143"/>
      <c r="BE1025" s="10"/>
      <c r="BF1025" s="10"/>
      <c r="BG1025" s="10"/>
      <c r="BH1025" s="10"/>
      <c r="BI1025" s="10"/>
      <c r="BJ1025" s="10"/>
      <c r="BK1025" s="10"/>
      <c r="BS1025" s="10"/>
      <c r="BT1025" s="10"/>
      <c r="BW1025" s="10"/>
    </row>
    <row r="1026">
      <c r="A1026" s="10"/>
      <c r="B1026" s="10"/>
      <c r="C1026" s="10"/>
      <c r="D1026" s="10"/>
      <c r="E1026" s="10"/>
      <c r="F1026" s="10"/>
      <c r="G1026" s="10"/>
      <c r="H1026" s="10"/>
      <c r="I1026" s="10"/>
      <c r="N1026" s="10"/>
      <c r="P1026" s="10"/>
      <c r="T1026" s="10"/>
      <c r="U1026" s="10"/>
      <c r="V1026" s="10"/>
      <c r="W1026" s="10"/>
      <c r="X1026" s="10"/>
      <c r="Y1026" s="10"/>
      <c r="Z1026" s="10"/>
      <c r="AA1026" s="10"/>
      <c r="AB1026" s="10"/>
      <c r="AC1026" s="10"/>
      <c r="AD1026" s="10"/>
      <c r="AE1026" s="10"/>
      <c r="AF1026" s="10"/>
      <c r="AG1026" s="10"/>
      <c r="AH1026" s="10"/>
      <c r="AI1026" s="10"/>
      <c r="AJ1026" s="10"/>
      <c r="AK1026" s="10"/>
      <c r="AL1026" s="10"/>
      <c r="AM1026" s="10"/>
      <c r="AN1026" s="10"/>
      <c r="AO1026" s="10"/>
      <c r="AP1026" s="10"/>
      <c r="AQ1026" s="10"/>
      <c r="AR1026" s="10"/>
      <c r="AS1026" s="10"/>
      <c r="AU1026" s="10"/>
      <c r="AV1026" s="10"/>
      <c r="AW1026" s="143"/>
      <c r="BS1026" s="10"/>
      <c r="BT1026" s="10"/>
      <c r="BW1026" s="10"/>
    </row>
    <row r="1027">
      <c r="A1027" s="10"/>
      <c r="B1027" s="10"/>
      <c r="C1027" s="10"/>
      <c r="D1027" s="10"/>
      <c r="E1027" s="10"/>
      <c r="F1027" s="10"/>
      <c r="G1027" s="10"/>
      <c r="H1027" s="10"/>
      <c r="I1027" s="10"/>
      <c r="N1027" s="10"/>
      <c r="P1027" s="10"/>
      <c r="T1027" s="10"/>
      <c r="U1027" s="10"/>
      <c r="V1027" s="10"/>
      <c r="W1027" s="10"/>
      <c r="X1027" s="10"/>
      <c r="Y1027" s="10"/>
      <c r="Z1027" s="10"/>
      <c r="AA1027" s="10"/>
      <c r="AB1027" s="10"/>
      <c r="AC1027" s="10"/>
      <c r="AD1027" s="10"/>
      <c r="AE1027" s="10"/>
      <c r="AF1027" s="10"/>
      <c r="AG1027" s="10"/>
      <c r="AH1027" s="10"/>
      <c r="AI1027" s="10"/>
      <c r="AJ1027" s="10"/>
      <c r="AK1027" s="10"/>
      <c r="AL1027" s="10"/>
      <c r="AM1027" s="10"/>
      <c r="AN1027" s="10"/>
      <c r="AO1027" s="10"/>
      <c r="AP1027" s="10"/>
      <c r="AQ1027" s="10"/>
      <c r="AR1027" s="10"/>
      <c r="AS1027" s="10"/>
      <c r="AU1027" s="10"/>
      <c r="AV1027" s="10"/>
      <c r="AW1027" s="143"/>
      <c r="BE1027" s="10"/>
      <c r="BF1027" s="10"/>
      <c r="BG1027" s="10"/>
      <c r="BH1027" s="10"/>
      <c r="BI1027" s="10"/>
      <c r="BJ1027" s="10"/>
      <c r="BK1027" s="10"/>
      <c r="BS1027" s="10"/>
      <c r="BT1027" s="10"/>
      <c r="BW1027" s="10"/>
    </row>
    <row r="1028">
      <c r="A1028" s="10"/>
      <c r="B1028" s="10"/>
      <c r="C1028" s="10"/>
      <c r="D1028" s="10"/>
      <c r="E1028" s="10"/>
      <c r="F1028" s="10"/>
      <c r="G1028" s="10"/>
      <c r="H1028" s="10"/>
      <c r="I1028" s="10"/>
      <c r="N1028" s="10"/>
      <c r="P1028" s="10"/>
      <c r="T1028" s="10"/>
      <c r="U1028" s="10"/>
      <c r="V1028" s="10"/>
      <c r="W1028" s="10"/>
      <c r="Y1028" s="10"/>
      <c r="Z1028" s="10"/>
      <c r="AA1028" s="10"/>
      <c r="AB1028" s="10"/>
      <c r="AC1028" s="10"/>
      <c r="AD1028" s="10"/>
      <c r="AE1028" s="10"/>
      <c r="AF1028" s="10"/>
      <c r="AG1028" s="10"/>
      <c r="AH1028" s="10"/>
      <c r="AI1028" s="10"/>
      <c r="AJ1028" s="10"/>
      <c r="AK1028" s="10"/>
      <c r="AL1028" s="10"/>
      <c r="AM1028" s="10"/>
      <c r="AN1028" s="10"/>
      <c r="AO1028" s="10"/>
      <c r="AP1028" s="10"/>
      <c r="AQ1028" s="10"/>
      <c r="AR1028" s="10"/>
      <c r="AS1028" s="10"/>
      <c r="AU1028" s="10"/>
      <c r="AV1028" s="10"/>
      <c r="AW1028" s="143"/>
      <c r="BE1028" s="10"/>
      <c r="BF1028" s="10"/>
      <c r="BG1028" s="10"/>
      <c r="BH1028" s="10"/>
      <c r="BI1028" s="10"/>
      <c r="BJ1028" s="10"/>
      <c r="BK1028" s="10"/>
      <c r="BS1028" s="10"/>
      <c r="BT1028" s="10"/>
      <c r="BW1028" s="10"/>
    </row>
    <row r="1029">
      <c r="A1029" s="10"/>
      <c r="B1029" s="10"/>
      <c r="C1029" s="10"/>
      <c r="D1029" s="10"/>
      <c r="E1029" s="10"/>
      <c r="F1029" s="10"/>
      <c r="G1029" s="10"/>
      <c r="H1029" s="10"/>
      <c r="I1029" s="10"/>
      <c r="J1029" s="10"/>
      <c r="N1029" s="10"/>
      <c r="O1029" s="10"/>
      <c r="T1029" s="10"/>
      <c r="U1029" s="10"/>
      <c r="V1029" s="10"/>
      <c r="W1029" s="10"/>
      <c r="X1029" s="10"/>
      <c r="Y1029" s="10"/>
      <c r="Z1029" s="10"/>
      <c r="AA1029" s="10"/>
      <c r="AB1029" s="10"/>
      <c r="AC1029" s="10"/>
      <c r="AD1029" s="10"/>
      <c r="AE1029" s="10"/>
      <c r="AF1029" s="10"/>
      <c r="AG1029" s="10"/>
      <c r="AH1029" s="10"/>
      <c r="AI1029" s="10"/>
      <c r="AJ1029" s="10"/>
      <c r="AK1029" s="10"/>
      <c r="AL1029" s="10"/>
      <c r="AM1029" s="10"/>
      <c r="AN1029" s="10"/>
      <c r="AO1029" s="10"/>
      <c r="AP1029" s="10"/>
      <c r="AQ1029" s="10"/>
      <c r="AR1029" s="10"/>
      <c r="AS1029" s="10"/>
      <c r="AT1029" s="10"/>
      <c r="AU1029" s="10"/>
      <c r="AV1029" s="10"/>
      <c r="AW1029" s="143"/>
      <c r="AX1029" s="10"/>
      <c r="AY1029" s="10"/>
      <c r="BE1029" s="10"/>
      <c r="BF1029" s="10"/>
      <c r="BG1029" s="10"/>
      <c r="BH1029" s="10"/>
      <c r="BI1029" s="10"/>
      <c r="BJ1029" s="10"/>
      <c r="BK1029" s="10"/>
      <c r="BL1029" s="10"/>
      <c r="BM1029" s="10"/>
      <c r="BN1029" s="10"/>
      <c r="BO1029" s="10"/>
      <c r="BP1029" s="10"/>
      <c r="BQ1029" s="10"/>
      <c r="BR1029" s="10"/>
      <c r="BS1029" s="10"/>
      <c r="BT1029" s="10"/>
      <c r="BW1029" s="10"/>
    </row>
    <row r="1030">
      <c r="A1030" s="10"/>
      <c r="B1030" s="10"/>
      <c r="C1030" s="10"/>
      <c r="D1030" s="10"/>
      <c r="E1030" s="10"/>
      <c r="F1030" s="10"/>
      <c r="G1030" s="10"/>
      <c r="H1030" s="10"/>
      <c r="I1030" s="10"/>
      <c r="P1030" s="10"/>
      <c r="T1030" s="10"/>
      <c r="U1030" s="10"/>
      <c r="V1030" s="10"/>
      <c r="W1030" s="10"/>
      <c r="X1030" s="10"/>
      <c r="Y1030" s="10"/>
      <c r="Z1030" s="10"/>
      <c r="AA1030" s="10"/>
      <c r="AB1030" s="10"/>
      <c r="AC1030" s="10"/>
      <c r="AD1030" s="10"/>
      <c r="AE1030" s="10"/>
      <c r="AF1030" s="10"/>
      <c r="AG1030" s="10"/>
      <c r="AH1030" s="10"/>
      <c r="AI1030" s="10"/>
      <c r="AJ1030" s="10"/>
      <c r="AK1030" s="10"/>
      <c r="AL1030" s="10"/>
      <c r="AM1030" s="10"/>
      <c r="AN1030" s="10"/>
      <c r="AO1030" s="10"/>
      <c r="AP1030" s="10"/>
      <c r="AQ1030" s="10"/>
      <c r="AR1030" s="10"/>
      <c r="AS1030" s="10"/>
      <c r="AU1030" s="10"/>
      <c r="AV1030" s="10"/>
      <c r="AW1030" s="143"/>
      <c r="BS1030" s="10"/>
      <c r="BT1030" s="10"/>
      <c r="BW1030" s="10"/>
    </row>
    <row r="1031">
      <c r="A1031" s="10"/>
      <c r="B1031" s="10"/>
      <c r="C1031" s="10"/>
      <c r="D1031" s="10"/>
      <c r="E1031" s="10"/>
      <c r="F1031" s="10"/>
      <c r="G1031" s="10"/>
      <c r="H1031" s="10"/>
      <c r="I1031" s="10"/>
      <c r="T1031" s="10"/>
      <c r="U1031" s="10"/>
      <c r="V1031" s="10"/>
      <c r="W1031" s="10"/>
      <c r="X1031" s="10"/>
      <c r="Y1031" s="10"/>
      <c r="Z1031" s="10"/>
      <c r="AA1031" s="10"/>
      <c r="AB1031" s="10"/>
      <c r="AC1031" s="10"/>
      <c r="AD1031" s="10"/>
      <c r="AE1031" s="10"/>
      <c r="AF1031" s="10"/>
      <c r="AG1031" s="10"/>
      <c r="AH1031" s="10"/>
      <c r="AI1031" s="10"/>
      <c r="AJ1031" s="10"/>
      <c r="AK1031" s="10"/>
      <c r="AL1031" s="10"/>
      <c r="AM1031" s="10"/>
      <c r="AN1031" s="10"/>
      <c r="AO1031" s="10"/>
      <c r="AP1031" s="10"/>
      <c r="AQ1031" s="10"/>
      <c r="AR1031" s="10"/>
      <c r="AS1031" s="10"/>
      <c r="AU1031" s="10"/>
      <c r="AV1031" s="10"/>
      <c r="AW1031" s="143"/>
      <c r="BS1031" s="10"/>
      <c r="BT1031" s="10"/>
      <c r="BW1031" s="10"/>
    </row>
    <row r="1032">
      <c r="A1032" s="10"/>
      <c r="B1032" s="10"/>
      <c r="C1032" s="10"/>
      <c r="D1032" s="10"/>
      <c r="E1032" s="10"/>
      <c r="F1032" s="10"/>
      <c r="G1032" s="10"/>
      <c r="H1032" s="10"/>
      <c r="I1032" s="10"/>
      <c r="N1032" s="10"/>
      <c r="T1032" s="10"/>
      <c r="U1032" s="10"/>
      <c r="V1032" s="10"/>
      <c r="W1032" s="10"/>
      <c r="X1032" s="10"/>
      <c r="Y1032" s="10"/>
      <c r="Z1032" s="10"/>
      <c r="AA1032" s="10"/>
      <c r="AB1032" s="10"/>
      <c r="AC1032" s="10"/>
      <c r="AD1032" s="10"/>
      <c r="AE1032" s="10"/>
      <c r="AF1032" s="10"/>
      <c r="AG1032" s="10"/>
      <c r="AH1032" s="10"/>
      <c r="AI1032" s="10"/>
      <c r="AJ1032" s="10"/>
      <c r="AK1032" s="10"/>
      <c r="AL1032" s="10"/>
      <c r="AM1032" s="10"/>
      <c r="AN1032" s="10"/>
      <c r="AO1032" s="10"/>
      <c r="AP1032" s="10"/>
      <c r="AQ1032" s="10"/>
      <c r="AR1032" s="10"/>
      <c r="AS1032" s="10"/>
      <c r="AU1032" s="10"/>
      <c r="AV1032" s="10"/>
      <c r="AW1032" s="143"/>
      <c r="BS1032" s="10"/>
      <c r="BT1032" s="10"/>
      <c r="BW1032" s="10"/>
    </row>
    <row r="1033">
      <c r="A1033" s="10"/>
      <c r="B1033" s="10"/>
      <c r="C1033" s="10"/>
      <c r="D1033" s="10"/>
      <c r="E1033" s="10"/>
      <c r="F1033" s="10"/>
      <c r="G1033" s="10"/>
      <c r="H1033" s="10"/>
      <c r="I1033" s="10"/>
      <c r="J1033" s="10"/>
      <c r="T1033" s="10"/>
      <c r="U1033" s="10"/>
      <c r="V1033" s="10"/>
      <c r="W1033" s="10"/>
      <c r="X1033" s="10"/>
      <c r="Y1033" s="10"/>
      <c r="Z1033" s="10"/>
      <c r="AA1033" s="10"/>
      <c r="AB1033" s="10"/>
      <c r="AC1033" s="10"/>
      <c r="AD1033" s="10"/>
      <c r="AE1033" s="10"/>
      <c r="AF1033" s="10"/>
      <c r="AG1033" s="10"/>
      <c r="AH1033" s="10"/>
      <c r="AI1033" s="10"/>
      <c r="AJ1033" s="10"/>
      <c r="AK1033" s="10"/>
      <c r="AL1033" s="10"/>
      <c r="AM1033" s="10"/>
      <c r="AN1033" s="10"/>
      <c r="AO1033" s="10"/>
      <c r="AP1033" s="10"/>
      <c r="AQ1033" s="10"/>
      <c r="AR1033" s="10"/>
      <c r="AS1033" s="10"/>
      <c r="AU1033" s="10"/>
      <c r="AV1033" s="10"/>
      <c r="AW1033" s="143"/>
      <c r="BT1033" s="10"/>
      <c r="BW1033" s="10"/>
    </row>
    <row r="1034">
      <c r="A1034" s="10"/>
      <c r="B1034" s="10"/>
      <c r="C1034" s="10"/>
      <c r="D1034" s="10"/>
      <c r="E1034" s="10"/>
      <c r="F1034" s="10"/>
      <c r="G1034" s="10"/>
      <c r="H1034" s="10"/>
      <c r="I1034" s="10"/>
      <c r="J1034" s="10"/>
      <c r="T1034" s="10"/>
      <c r="U1034" s="10"/>
      <c r="V1034" s="10"/>
      <c r="W1034" s="10"/>
      <c r="X1034" s="10"/>
      <c r="Y1034" s="10"/>
      <c r="Z1034" s="10"/>
      <c r="AA1034" s="10"/>
      <c r="AB1034" s="10"/>
      <c r="AC1034" s="10"/>
      <c r="AD1034" s="10"/>
      <c r="AE1034" s="10"/>
      <c r="AG1034" s="10"/>
      <c r="AH1034" s="10"/>
      <c r="AI1034" s="10"/>
      <c r="AJ1034" s="10"/>
      <c r="AK1034" s="10"/>
      <c r="AL1034" s="10"/>
      <c r="AM1034" s="10"/>
      <c r="AN1034" s="10"/>
      <c r="AO1034" s="10"/>
      <c r="AP1034" s="10"/>
      <c r="AQ1034" s="10"/>
      <c r="AR1034" s="10"/>
      <c r="AS1034" s="10"/>
      <c r="AU1034" s="10"/>
      <c r="AV1034" s="10"/>
      <c r="AW1034" s="143"/>
      <c r="BS1034" s="10"/>
      <c r="BT1034" s="10"/>
      <c r="BW1034" s="10"/>
    </row>
    <row r="1035">
      <c r="A1035" s="10"/>
      <c r="B1035" s="10"/>
      <c r="C1035" s="10"/>
      <c r="D1035" s="10"/>
      <c r="E1035" s="10"/>
      <c r="F1035" s="10"/>
      <c r="G1035" s="10"/>
      <c r="H1035" s="10"/>
      <c r="I1035" s="10"/>
      <c r="J1035" s="10"/>
      <c r="N1035" s="10"/>
      <c r="P1035" s="10"/>
      <c r="T1035" s="10"/>
      <c r="U1035" s="10"/>
      <c r="V1035" s="10"/>
      <c r="W1035" s="10"/>
      <c r="X1035" s="10"/>
      <c r="Y1035" s="10"/>
      <c r="Z1035" s="10"/>
      <c r="AA1035" s="10"/>
      <c r="AB1035" s="10"/>
      <c r="AC1035" s="10"/>
      <c r="AD1035" s="10"/>
      <c r="AE1035" s="10"/>
      <c r="AF1035" s="10"/>
      <c r="AG1035" s="10"/>
      <c r="AH1035" s="10"/>
      <c r="AI1035" s="10"/>
      <c r="AJ1035" s="10"/>
      <c r="AK1035" s="10"/>
      <c r="AL1035" s="10"/>
      <c r="AM1035" s="10"/>
      <c r="AN1035" s="10"/>
      <c r="AO1035" s="10"/>
      <c r="AP1035" s="10"/>
      <c r="AQ1035" s="10"/>
      <c r="AR1035" s="10"/>
      <c r="AS1035" s="10"/>
      <c r="AU1035" s="10"/>
      <c r="AV1035" s="10"/>
      <c r="AW1035" s="143"/>
      <c r="BL1035" s="10"/>
      <c r="BO1035" s="10"/>
      <c r="BR1035" s="10"/>
      <c r="BS1035" s="10"/>
      <c r="BT1035" s="10"/>
      <c r="BW1035" s="10"/>
    </row>
    <row r="1036">
      <c r="A1036" s="10"/>
      <c r="B1036" s="10"/>
      <c r="C1036" s="10"/>
      <c r="D1036" s="10"/>
      <c r="E1036" s="10"/>
      <c r="F1036" s="10"/>
      <c r="G1036" s="10"/>
      <c r="H1036" s="10"/>
      <c r="I1036" s="10"/>
      <c r="J1036" s="10"/>
      <c r="P1036" s="10"/>
      <c r="T1036" s="10"/>
      <c r="U1036" s="10"/>
      <c r="V1036" s="10"/>
      <c r="W1036" s="10"/>
      <c r="X1036" s="10"/>
      <c r="Y1036" s="10"/>
      <c r="Z1036" s="10"/>
      <c r="AA1036" s="10"/>
      <c r="AB1036" s="10"/>
      <c r="AC1036" s="10"/>
      <c r="AD1036" s="10"/>
      <c r="AE1036" s="10"/>
      <c r="AF1036" s="10"/>
      <c r="AG1036" s="10"/>
      <c r="AH1036" s="10"/>
      <c r="AI1036" s="10"/>
      <c r="AJ1036" s="10"/>
      <c r="AK1036" s="10"/>
      <c r="AL1036" s="10"/>
      <c r="AM1036" s="10"/>
      <c r="AN1036" s="10"/>
      <c r="AO1036" s="10"/>
      <c r="AP1036" s="10"/>
      <c r="AQ1036" s="10"/>
      <c r="AR1036" s="10"/>
      <c r="AS1036" s="10"/>
      <c r="AU1036" s="10"/>
      <c r="AV1036" s="10"/>
      <c r="AW1036" s="143"/>
      <c r="BT1036" s="10"/>
      <c r="BW1036" s="10"/>
    </row>
    <row r="1037">
      <c r="A1037" s="10"/>
      <c r="B1037" s="10"/>
      <c r="C1037" s="10"/>
      <c r="D1037" s="10"/>
      <c r="E1037" s="10"/>
      <c r="F1037" s="10"/>
      <c r="G1037" s="10"/>
      <c r="H1037" s="10"/>
      <c r="I1037" s="10"/>
      <c r="J1037" s="10"/>
      <c r="T1037" s="10"/>
      <c r="U1037" s="10"/>
      <c r="V1037" s="10"/>
      <c r="W1037" s="10"/>
      <c r="X1037" s="10"/>
      <c r="Y1037" s="10"/>
      <c r="Z1037" s="10"/>
      <c r="AA1037" s="10"/>
      <c r="AB1037" s="10"/>
      <c r="AC1037" s="10"/>
      <c r="AD1037" s="10"/>
      <c r="AE1037" s="10"/>
      <c r="AF1037" s="10"/>
      <c r="AG1037" s="10"/>
      <c r="AH1037" s="10"/>
      <c r="AI1037" s="10"/>
      <c r="AJ1037" s="10"/>
      <c r="AK1037" s="10"/>
      <c r="AL1037" s="10"/>
      <c r="AM1037" s="10"/>
      <c r="AN1037" s="10"/>
      <c r="AO1037" s="10"/>
      <c r="AP1037" s="10"/>
      <c r="AQ1037" s="10"/>
      <c r="AR1037" s="10"/>
      <c r="AS1037" s="10"/>
      <c r="AT1037" s="10"/>
      <c r="AU1037" s="10"/>
      <c r="AV1037" s="10"/>
      <c r="AW1037" s="143"/>
      <c r="AX1037" s="10"/>
      <c r="AY1037" s="10"/>
      <c r="BS1037" s="10"/>
      <c r="BT1037" s="10"/>
      <c r="BW1037" s="10"/>
    </row>
    <row r="1038">
      <c r="A1038" s="10"/>
      <c r="B1038" s="10"/>
      <c r="C1038" s="10"/>
      <c r="D1038" s="10"/>
      <c r="E1038" s="10"/>
      <c r="F1038" s="10"/>
      <c r="G1038" s="10"/>
      <c r="H1038" s="10"/>
      <c r="J1038" s="10"/>
      <c r="K1038" s="10"/>
      <c r="L1038" s="10"/>
      <c r="U1038" s="10"/>
      <c r="V1038" s="10"/>
      <c r="W1038" s="10"/>
      <c r="X1038" s="10"/>
      <c r="Y1038" s="10"/>
      <c r="Z1038" s="10"/>
      <c r="AA1038" s="10"/>
      <c r="AB1038" s="10"/>
      <c r="AC1038" s="10"/>
      <c r="AD1038" s="10"/>
      <c r="AE1038" s="10"/>
      <c r="AF1038" s="10"/>
      <c r="AG1038" s="10"/>
      <c r="AH1038" s="10"/>
      <c r="AI1038" s="10"/>
      <c r="AJ1038" s="10"/>
      <c r="AK1038" s="10"/>
      <c r="AL1038" s="10"/>
      <c r="AM1038" s="10"/>
      <c r="AN1038" s="10"/>
      <c r="AO1038" s="10"/>
      <c r="AP1038" s="10"/>
      <c r="AQ1038" s="10"/>
      <c r="AW1038" s="143"/>
      <c r="AY1038" s="10"/>
      <c r="BE1038" s="10"/>
      <c r="BF1038" s="10"/>
      <c r="BG1038" s="10"/>
      <c r="BH1038" s="10"/>
      <c r="BI1038" s="10"/>
      <c r="BJ1038" s="10"/>
      <c r="BK1038" s="10"/>
      <c r="BL1038" s="10"/>
      <c r="BM1038" s="10"/>
      <c r="BN1038" s="10"/>
      <c r="BO1038" s="10"/>
      <c r="BP1038" s="10"/>
      <c r="BQ1038" s="10"/>
      <c r="BR1038" s="10"/>
      <c r="BS1038" s="10"/>
      <c r="BT1038" s="10"/>
      <c r="BW1038" s="10"/>
    </row>
    <row r="1039">
      <c r="A1039" s="10"/>
      <c r="B1039" s="10"/>
      <c r="C1039" s="10"/>
      <c r="D1039" s="10"/>
      <c r="E1039" s="10"/>
      <c r="F1039" s="10"/>
      <c r="G1039" s="10"/>
      <c r="H1039" s="10"/>
      <c r="I1039" s="10"/>
      <c r="P1039" s="10"/>
      <c r="T1039" s="10"/>
      <c r="U1039" s="10"/>
      <c r="V1039" s="10"/>
      <c r="W1039" s="10"/>
      <c r="X1039" s="10"/>
      <c r="Y1039" s="10"/>
      <c r="Z1039" s="10"/>
      <c r="AA1039" s="10"/>
      <c r="AB1039" s="10"/>
      <c r="AC1039" s="10"/>
      <c r="AD1039" s="10"/>
      <c r="AE1039" s="10"/>
      <c r="AF1039" s="10"/>
      <c r="AG1039" s="10"/>
      <c r="AH1039" s="10"/>
      <c r="AI1039" s="10"/>
      <c r="AJ1039" s="10"/>
      <c r="AK1039" s="10"/>
      <c r="AL1039" s="10"/>
      <c r="AM1039" s="10"/>
      <c r="AN1039" s="10"/>
      <c r="AO1039" s="10"/>
      <c r="AP1039" s="10"/>
      <c r="AQ1039" s="10"/>
      <c r="AR1039" s="10"/>
      <c r="AS1039" s="10"/>
      <c r="AU1039" s="10"/>
      <c r="AV1039" s="10"/>
      <c r="AW1039" s="143"/>
      <c r="AZ1039" s="10"/>
      <c r="BL1039" s="10"/>
      <c r="BO1039" s="10"/>
      <c r="BR1039" s="10"/>
      <c r="BS1039" s="10"/>
      <c r="BT1039" s="10"/>
      <c r="BW1039" s="10"/>
    </row>
    <row r="1040">
      <c r="A1040" s="10"/>
      <c r="B1040" s="10"/>
      <c r="C1040" s="10"/>
      <c r="D1040" s="10"/>
      <c r="E1040" s="10"/>
      <c r="F1040" s="10"/>
      <c r="G1040" s="10"/>
      <c r="H1040" s="10"/>
      <c r="I1040" s="10"/>
      <c r="P1040" s="10"/>
      <c r="T1040" s="10"/>
      <c r="U1040" s="10"/>
      <c r="V1040" s="10"/>
      <c r="W1040" s="10"/>
      <c r="Y1040" s="10"/>
      <c r="Z1040" s="10"/>
      <c r="AA1040" s="10"/>
      <c r="AB1040" s="10"/>
      <c r="AC1040" s="10"/>
      <c r="AD1040" s="10"/>
      <c r="AE1040" s="10"/>
      <c r="AF1040" s="10"/>
      <c r="AG1040" s="10"/>
      <c r="AH1040" s="10"/>
      <c r="AI1040" s="10"/>
      <c r="AJ1040" s="10"/>
      <c r="AK1040" s="10"/>
      <c r="AL1040" s="10"/>
      <c r="AM1040" s="10"/>
      <c r="AN1040" s="10"/>
      <c r="AO1040" s="10"/>
      <c r="AP1040" s="10"/>
      <c r="AQ1040" s="10"/>
      <c r="AR1040" s="10"/>
      <c r="AS1040" s="10"/>
      <c r="AU1040" s="10"/>
      <c r="AV1040" s="10"/>
      <c r="AW1040" s="143"/>
      <c r="BT1040" s="10"/>
      <c r="BW1040" s="10"/>
    </row>
    <row r="1041">
      <c r="A1041" s="10"/>
      <c r="B1041" s="10"/>
      <c r="C1041" s="10"/>
      <c r="D1041" s="10"/>
      <c r="E1041" s="10"/>
      <c r="F1041" s="10"/>
      <c r="G1041" s="10"/>
      <c r="H1041" s="10"/>
      <c r="I1041" s="10"/>
      <c r="J1041" s="10"/>
      <c r="N1041" s="10"/>
      <c r="P1041" s="10"/>
      <c r="T1041" s="10"/>
      <c r="U1041" s="10"/>
      <c r="V1041" s="10"/>
      <c r="W1041" s="10"/>
      <c r="X1041" s="10"/>
      <c r="Y1041" s="10"/>
      <c r="Z1041" s="10"/>
      <c r="AA1041" s="10"/>
      <c r="AB1041" s="10"/>
      <c r="AC1041" s="10"/>
      <c r="AD1041" s="10"/>
      <c r="AE1041" s="10"/>
      <c r="AF1041" s="10"/>
      <c r="AG1041" s="10"/>
      <c r="AH1041" s="10"/>
      <c r="AI1041" s="10"/>
      <c r="AJ1041" s="10"/>
      <c r="AK1041" s="10"/>
      <c r="AL1041" s="10"/>
      <c r="AM1041" s="10"/>
      <c r="AN1041" s="10"/>
      <c r="AO1041" s="10"/>
      <c r="AP1041" s="10"/>
      <c r="AQ1041" s="10"/>
      <c r="AR1041" s="10"/>
      <c r="AS1041" s="10"/>
      <c r="AU1041" s="10"/>
      <c r="AV1041" s="10"/>
      <c r="AW1041" s="143"/>
      <c r="AZ1041" s="10"/>
      <c r="BL1041" s="10"/>
      <c r="BO1041" s="10"/>
      <c r="BR1041" s="10"/>
      <c r="BS1041" s="10"/>
      <c r="BT1041" s="10"/>
      <c r="BW1041" s="10"/>
    </row>
    <row r="1042">
      <c r="A1042" s="10"/>
      <c r="B1042" s="10"/>
      <c r="C1042" s="10"/>
      <c r="D1042" s="10"/>
      <c r="E1042" s="10"/>
      <c r="F1042" s="10"/>
      <c r="G1042" s="10"/>
      <c r="H1042" s="10"/>
      <c r="I1042" s="10"/>
      <c r="P1042" s="10"/>
      <c r="T1042" s="10"/>
      <c r="U1042" s="10"/>
      <c r="V1042" s="10"/>
      <c r="W1042" s="10"/>
      <c r="Y1042" s="10"/>
      <c r="Z1042" s="10"/>
      <c r="AA1042" s="10"/>
      <c r="AB1042" s="10"/>
      <c r="AC1042" s="10"/>
      <c r="AD1042" s="10"/>
      <c r="AE1042" s="10"/>
      <c r="AF1042" s="10"/>
      <c r="AG1042" s="10"/>
      <c r="AH1042" s="10"/>
      <c r="AI1042" s="10"/>
      <c r="AJ1042" s="10"/>
      <c r="AK1042" s="10"/>
      <c r="AL1042" s="10"/>
      <c r="AM1042" s="10"/>
      <c r="AN1042" s="10"/>
      <c r="AO1042" s="10"/>
      <c r="AP1042" s="10"/>
      <c r="AQ1042" s="10"/>
      <c r="AR1042" s="10"/>
      <c r="AS1042" s="10"/>
      <c r="AU1042" s="10"/>
      <c r="AV1042" s="10"/>
      <c r="AW1042" s="143"/>
      <c r="BS1042" s="10"/>
      <c r="BT1042" s="10"/>
      <c r="BW1042" s="10"/>
    </row>
    <row r="1043">
      <c r="A1043" s="10"/>
      <c r="B1043" s="10"/>
      <c r="C1043" s="10"/>
      <c r="D1043" s="10"/>
      <c r="E1043" s="10"/>
      <c r="F1043" s="10"/>
      <c r="G1043" s="10"/>
      <c r="H1043" s="10"/>
      <c r="I1043" s="10"/>
      <c r="N1043" s="10"/>
      <c r="P1043" s="10"/>
      <c r="T1043" s="10"/>
      <c r="U1043" s="10"/>
      <c r="V1043" s="10"/>
      <c r="W1043" s="10"/>
      <c r="Y1043" s="10"/>
      <c r="Z1043" s="10"/>
      <c r="AA1043" s="10"/>
      <c r="AB1043" s="10"/>
      <c r="AC1043" s="10"/>
      <c r="AD1043" s="10"/>
      <c r="AE1043" s="10"/>
      <c r="AF1043" s="10"/>
      <c r="AG1043" s="10"/>
      <c r="AH1043" s="10"/>
      <c r="AI1043" s="10"/>
      <c r="AJ1043" s="10"/>
      <c r="AK1043" s="10"/>
      <c r="AL1043" s="10"/>
      <c r="AM1043" s="10"/>
      <c r="AN1043" s="10"/>
      <c r="AO1043" s="10"/>
      <c r="AP1043" s="10"/>
      <c r="AQ1043" s="10"/>
      <c r="AR1043" s="10"/>
      <c r="AS1043" s="10"/>
      <c r="AU1043" s="10"/>
      <c r="AV1043" s="10"/>
      <c r="AW1043" s="143"/>
      <c r="BS1043" s="10"/>
      <c r="BT1043" s="10"/>
      <c r="BW1043" s="10"/>
    </row>
    <row r="1044">
      <c r="A1044" s="10"/>
      <c r="B1044" s="10"/>
      <c r="C1044" s="10"/>
      <c r="D1044" s="10"/>
      <c r="E1044" s="10"/>
      <c r="F1044" s="10"/>
      <c r="G1044" s="10"/>
      <c r="H1044" s="10"/>
      <c r="I1044" s="10"/>
      <c r="P1044" s="10"/>
      <c r="T1044" s="10"/>
      <c r="U1044" s="10"/>
      <c r="V1044" s="10"/>
      <c r="W1044" s="10"/>
      <c r="X1044" s="10"/>
      <c r="Y1044" s="10"/>
      <c r="Z1044" s="10"/>
      <c r="AA1044" s="10"/>
      <c r="AB1044" s="10"/>
      <c r="AC1044" s="10"/>
      <c r="AD1044" s="10"/>
      <c r="AE1044" s="10"/>
      <c r="AF1044" s="10"/>
      <c r="AG1044" s="10"/>
      <c r="AH1044" s="10"/>
      <c r="AI1044" s="10"/>
      <c r="AJ1044" s="10"/>
      <c r="AK1044" s="10"/>
      <c r="AL1044" s="10"/>
      <c r="AM1044" s="10"/>
      <c r="AN1044" s="10"/>
      <c r="AO1044" s="10"/>
      <c r="AP1044" s="10"/>
      <c r="AQ1044" s="10"/>
      <c r="AR1044" s="10"/>
      <c r="AS1044" s="10"/>
      <c r="AU1044" s="10"/>
      <c r="AV1044" s="10"/>
      <c r="AW1044" s="143"/>
      <c r="BS1044" s="10"/>
      <c r="BT1044" s="10"/>
      <c r="BW1044" s="10"/>
    </row>
    <row r="1045">
      <c r="A1045" s="10"/>
      <c r="B1045" s="10"/>
      <c r="C1045" s="10"/>
      <c r="D1045" s="10"/>
      <c r="E1045" s="10"/>
      <c r="F1045" s="10"/>
      <c r="G1045" s="10"/>
      <c r="H1045" s="10"/>
      <c r="I1045" s="10"/>
      <c r="P1045" s="10"/>
      <c r="T1045" s="10"/>
      <c r="U1045" s="10"/>
      <c r="V1045" s="10"/>
      <c r="W1045" s="10"/>
      <c r="Y1045" s="10"/>
      <c r="Z1045" s="10"/>
      <c r="AA1045" s="10"/>
      <c r="AB1045" s="10"/>
      <c r="AC1045" s="10"/>
      <c r="AD1045" s="10"/>
      <c r="AE1045" s="10"/>
      <c r="AF1045" s="10"/>
      <c r="AG1045" s="10"/>
      <c r="AH1045" s="10"/>
      <c r="AI1045" s="10"/>
      <c r="AJ1045" s="10"/>
      <c r="AK1045" s="10"/>
      <c r="AL1045" s="10"/>
      <c r="AM1045" s="10"/>
      <c r="AN1045" s="10"/>
      <c r="AO1045" s="10"/>
      <c r="AP1045" s="10"/>
      <c r="AQ1045" s="10"/>
      <c r="AR1045" s="10"/>
      <c r="AS1045" s="10"/>
      <c r="AU1045" s="10"/>
      <c r="AV1045" s="10"/>
      <c r="AW1045" s="143"/>
      <c r="BS1045" s="10"/>
      <c r="BT1045" s="10"/>
      <c r="BW1045" s="10"/>
    </row>
    <row r="1046">
      <c r="A1046" s="10"/>
      <c r="B1046" s="10"/>
      <c r="C1046" s="10"/>
      <c r="D1046" s="10"/>
      <c r="E1046" s="10"/>
      <c r="F1046" s="10"/>
      <c r="G1046" s="10"/>
      <c r="H1046" s="10"/>
      <c r="I1046" s="10"/>
      <c r="N1046" s="10"/>
      <c r="P1046" s="10"/>
      <c r="T1046" s="10"/>
      <c r="U1046" s="10"/>
      <c r="V1046" s="10"/>
      <c r="W1046" s="10"/>
      <c r="Y1046" s="10"/>
      <c r="Z1046" s="10"/>
      <c r="AA1046" s="10"/>
      <c r="AB1046" s="10"/>
      <c r="AC1046" s="10"/>
      <c r="AD1046" s="10"/>
      <c r="AE1046" s="10"/>
      <c r="AF1046" s="10"/>
      <c r="AG1046" s="10"/>
      <c r="AH1046" s="10"/>
      <c r="AI1046" s="10"/>
      <c r="AJ1046" s="10"/>
      <c r="AK1046" s="10"/>
      <c r="AL1046" s="10"/>
      <c r="AM1046" s="10"/>
      <c r="AN1046" s="10"/>
      <c r="AO1046" s="10"/>
      <c r="AP1046" s="10"/>
      <c r="AQ1046" s="10"/>
      <c r="AR1046" s="10"/>
      <c r="AS1046" s="10"/>
      <c r="AU1046" s="10"/>
      <c r="AV1046" s="10"/>
      <c r="AW1046" s="143"/>
      <c r="BS1046" s="10"/>
      <c r="BT1046" s="10"/>
      <c r="BW1046" s="10"/>
    </row>
    <row r="1047">
      <c r="A1047" s="10"/>
      <c r="B1047" s="10"/>
      <c r="C1047" s="10"/>
      <c r="D1047" s="10"/>
      <c r="E1047" s="10"/>
      <c r="F1047" s="10"/>
      <c r="G1047" s="10"/>
      <c r="H1047" s="10"/>
      <c r="I1047" s="10"/>
      <c r="N1047" s="10"/>
      <c r="P1047" s="10"/>
      <c r="T1047" s="10"/>
      <c r="U1047" s="10"/>
      <c r="V1047" s="10"/>
      <c r="W1047" s="10"/>
      <c r="Y1047" s="10"/>
      <c r="Z1047" s="10"/>
      <c r="AA1047" s="10"/>
      <c r="AB1047" s="10"/>
      <c r="AC1047" s="10"/>
      <c r="AD1047" s="10"/>
      <c r="AE1047" s="10"/>
      <c r="AF1047" s="10"/>
      <c r="AG1047" s="10"/>
      <c r="AH1047" s="10"/>
      <c r="AI1047" s="10"/>
      <c r="AJ1047" s="10"/>
      <c r="AK1047" s="10"/>
      <c r="AL1047" s="10"/>
      <c r="AM1047" s="10"/>
      <c r="AN1047" s="10"/>
      <c r="AO1047" s="10"/>
      <c r="AP1047" s="10"/>
      <c r="AQ1047" s="10"/>
      <c r="AR1047" s="10"/>
      <c r="AS1047" s="10"/>
      <c r="AU1047" s="10"/>
      <c r="AV1047" s="10"/>
      <c r="AW1047" s="143"/>
      <c r="BS1047" s="10"/>
      <c r="BT1047" s="10"/>
      <c r="BW1047" s="10"/>
    </row>
    <row r="1048">
      <c r="A1048" s="10"/>
      <c r="B1048" s="10"/>
      <c r="C1048" s="10"/>
      <c r="D1048" s="10"/>
      <c r="E1048" s="10"/>
      <c r="F1048" s="10"/>
      <c r="G1048" s="10"/>
      <c r="H1048" s="10"/>
      <c r="I1048" s="10"/>
      <c r="N1048" s="10"/>
      <c r="P1048" s="10"/>
      <c r="T1048" s="10"/>
      <c r="U1048" s="10"/>
      <c r="V1048" s="10"/>
      <c r="W1048" s="10"/>
      <c r="Y1048" s="10"/>
      <c r="Z1048" s="10"/>
      <c r="AA1048" s="10"/>
      <c r="AB1048" s="10"/>
      <c r="AC1048" s="10"/>
      <c r="AD1048" s="10"/>
      <c r="AE1048" s="10"/>
      <c r="AF1048" s="10"/>
      <c r="AG1048" s="10"/>
      <c r="AH1048" s="10"/>
      <c r="AI1048" s="10"/>
      <c r="AJ1048" s="10"/>
      <c r="AK1048" s="10"/>
      <c r="AL1048" s="10"/>
      <c r="AM1048" s="10"/>
      <c r="AN1048" s="10"/>
      <c r="AO1048" s="10"/>
      <c r="AP1048" s="10"/>
      <c r="AQ1048" s="10"/>
      <c r="AR1048" s="10"/>
      <c r="AS1048" s="10"/>
      <c r="AU1048" s="10"/>
      <c r="AV1048" s="10"/>
      <c r="AW1048" s="143"/>
      <c r="BS1048" s="10"/>
      <c r="BT1048" s="10"/>
      <c r="BW1048" s="10"/>
    </row>
    <row r="1049">
      <c r="A1049" s="10"/>
      <c r="B1049" s="10"/>
      <c r="C1049" s="10"/>
      <c r="D1049" s="10"/>
      <c r="E1049" s="10"/>
      <c r="F1049" s="10"/>
      <c r="G1049" s="10"/>
      <c r="H1049" s="10"/>
      <c r="I1049" s="10"/>
      <c r="N1049" s="10"/>
      <c r="P1049" s="10"/>
      <c r="T1049" s="10"/>
      <c r="U1049" s="10"/>
      <c r="V1049" s="10"/>
      <c r="W1049" s="10"/>
      <c r="Y1049" s="10"/>
      <c r="Z1049" s="10"/>
      <c r="AA1049" s="10"/>
      <c r="AB1049" s="10"/>
      <c r="AC1049" s="10"/>
      <c r="AD1049" s="10"/>
      <c r="AE1049" s="10"/>
      <c r="AF1049" s="10"/>
      <c r="AG1049" s="10"/>
      <c r="AH1049" s="10"/>
      <c r="AI1049" s="10"/>
      <c r="AJ1049" s="10"/>
      <c r="AK1049" s="10"/>
      <c r="AL1049" s="10"/>
      <c r="AM1049" s="10"/>
      <c r="AN1049" s="10"/>
      <c r="AO1049" s="10"/>
      <c r="AP1049" s="10"/>
      <c r="AQ1049" s="10"/>
      <c r="AR1049" s="10"/>
      <c r="AS1049" s="10"/>
      <c r="AU1049" s="10"/>
      <c r="AV1049" s="10"/>
      <c r="AW1049" s="143"/>
      <c r="BS1049" s="10"/>
      <c r="BT1049" s="10"/>
      <c r="BW1049" s="10"/>
    </row>
    <row r="1050">
      <c r="A1050" s="10"/>
      <c r="B1050" s="10"/>
      <c r="C1050" s="10"/>
      <c r="D1050" s="10"/>
      <c r="E1050" s="10"/>
      <c r="F1050" s="10"/>
      <c r="G1050" s="10"/>
      <c r="H1050" s="10"/>
      <c r="I1050" s="10"/>
      <c r="N1050" s="10"/>
      <c r="P1050" s="10"/>
      <c r="T1050" s="10"/>
      <c r="U1050" s="10"/>
      <c r="V1050" s="10"/>
      <c r="W1050" s="10"/>
      <c r="Y1050" s="10"/>
      <c r="Z1050" s="10"/>
      <c r="AA1050" s="10"/>
      <c r="AB1050" s="10"/>
      <c r="AC1050" s="10"/>
      <c r="AD1050" s="10"/>
      <c r="AE1050" s="10"/>
      <c r="AF1050" s="10"/>
      <c r="AG1050" s="10"/>
      <c r="AH1050" s="10"/>
      <c r="AI1050" s="10"/>
      <c r="AJ1050" s="10"/>
      <c r="AK1050" s="10"/>
      <c r="AL1050" s="10"/>
      <c r="AM1050" s="10"/>
      <c r="AN1050" s="10"/>
      <c r="AO1050" s="10"/>
      <c r="AP1050" s="10"/>
      <c r="AQ1050" s="10"/>
      <c r="AR1050" s="10"/>
      <c r="AS1050" s="10"/>
      <c r="AU1050" s="10"/>
      <c r="AV1050" s="10"/>
      <c r="AW1050" s="143"/>
      <c r="BS1050" s="10"/>
      <c r="BT1050" s="10"/>
      <c r="BW1050" s="10"/>
    </row>
    <row r="1051">
      <c r="A1051" s="10"/>
      <c r="B1051" s="10"/>
      <c r="C1051" s="10"/>
      <c r="D1051" s="10"/>
      <c r="E1051" s="10"/>
      <c r="F1051" s="10"/>
      <c r="G1051" s="10"/>
      <c r="H1051" s="10"/>
      <c r="N1051" s="10"/>
      <c r="Q1051" s="10"/>
      <c r="R1051" s="10"/>
      <c r="S1051" s="10"/>
      <c r="U1051" s="10"/>
      <c r="V1051" s="10"/>
      <c r="W1051" s="10"/>
      <c r="Y1051" s="10"/>
      <c r="Z1051" s="10"/>
      <c r="AA1051" s="10"/>
      <c r="AB1051" s="10"/>
      <c r="AC1051" s="10"/>
      <c r="AD1051" s="10"/>
      <c r="AE1051" s="10"/>
      <c r="AF1051" s="10"/>
      <c r="AG1051" s="10"/>
      <c r="AH1051" s="10"/>
      <c r="AI1051" s="10"/>
      <c r="AJ1051" s="10"/>
      <c r="AK1051" s="10"/>
      <c r="AL1051" s="10"/>
      <c r="AM1051" s="10"/>
      <c r="AN1051" s="10"/>
      <c r="AO1051" s="10"/>
      <c r="AW1051" s="143"/>
      <c r="AZ1051" s="10"/>
      <c r="BE1051" s="10"/>
      <c r="BF1051" s="10"/>
      <c r="BG1051" s="10"/>
      <c r="BH1051" s="10"/>
      <c r="BI1051" s="10"/>
      <c r="BJ1051" s="10"/>
      <c r="BK1051" s="10"/>
      <c r="BL1051" s="10"/>
      <c r="BM1051" s="10"/>
      <c r="BN1051" s="10"/>
      <c r="BO1051" s="10"/>
      <c r="BP1051" s="10"/>
      <c r="BQ1051" s="10"/>
      <c r="BR1051" s="10"/>
      <c r="BS1051" s="10"/>
      <c r="BT1051" s="10"/>
      <c r="BW1051" s="10"/>
    </row>
    <row r="1052">
      <c r="A1052" s="10"/>
      <c r="B1052" s="10"/>
      <c r="C1052" s="10"/>
      <c r="D1052" s="10"/>
      <c r="E1052" s="10"/>
      <c r="F1052" s="10"/>
      <c r="G1052" s="10"/>
      <c r="H1052" s="10"/>
      <c r="N1052" s="10"/>
      <c r="U1052" s="10"/>
      <c r="V1052" s="10"/>
      <c r="W1052" s="10"/>
      <c r="Y1052" s="10"/>
      <c r="Z1052" s="10"/>
      <c r="AA1052" s="10"/>
      <c r="AB1052" s="10"/>
      <c r="AC1052" s="10"/>
      <c r="AD1052" s="10"/>
      <c r="AE1052" s="10"/>
      <c r="AF1052" s="10"/>
      <c r="AG1052" s="10"/>
      <c r="AH1052" s="10"/>
      <c r="AI1052" s="10"/>
      <c r="AJ1052" s="10"/>
      <c r="AK1052" s="10"/>
      <c r="AL1052" s="10"/>
      <c r="AM1052" s="10"/>
      <c r="AN1052" s="10"/>
      <c r="AO1052" s="10"/>
      <c r="AW1052" s="143"/>
      <c r="AZ1052" s="10"/>
      <c r="BE1052" s="10"/>
      <c r="BF1052" s="10"/>
      <c r="BG1052" s="10"/>
      <c r="BH1052" s="10"/>
      <c r="BI1052" s="10"/>
      <c r="BJ1052" s="10"/>
      <c r="BK1052" s="10"/>
      <c r="BS1052" s="10"/>
      <c r="BT1052" s="10"/>
      <c r="BW1052" s="10"/>
    </row>
    <row r="1053">
      <c r="A1053" s="10"/>
      <c r="B1053" s="10"/>
      <c r="C1053" s="10"/>
      <c r="D1053" s="10"/>
      <c r="E1053" s="10"/>
      <c r="F1053" s="10"/>
      <c r="G1053" s="10"/>
      <c r="H1053" s="10"/>
      <c r="N1053" s="10"/>
      <c r="U1053" s="10"/>
      <c r="V1053" s="10"/>
      <c r="W1053" s="10"/>
      <c r="Y1053" s="10"/>
      <c r="Z1053" s="10"/>
      <c r="AA1053" s="10"/>
      <c r="AB1053" s="10"/>
      <c r="AC1053" s="10"/>
      <c r="AD1053" s="10"/>
      <c r="AE1053" s="10"/>
      <c r="AF1053" s="10"/>
      <c r="AG1053" s="10"/>
      <c r="AH1053" s="10"/>
      <c r="AI1053" s="10"/>
      <c r="AJ1053" s="10"/>
      <c r="AL1053" s="10"/>
      <c r="AM1053" s="10"/>
      <c r="AO1053" s="10"/>
      <c r="AW1053" s="143"/>
      <c r="AZ1053" s="10"/>
      <c r="BE1053" s="10"/>
      <c r="BF1053" s="10"/>
      <c r="BG1053" s="10"/>
      <c r="BH1053" s="10"/>
      <c r="BI1053" s="10"/>
      <c r="BJ1053" s="10"/>
      <c r="BK1053" s="10"/>
      <c r="BS1053" s="10"/>
      <c r="BT1053" s="10"/>
      <c r="BW1053" s="10"/>
    </row>
    <row r="1054">
      <c r="A1054" s="10"/>
      <c r="B1054" s="10"/>
      <c r="C1054" s="10"/>
      <c r="D1054" s="10"/>
      <c r="E1054" s="10"/>
      <c r="F1054" s="10"/>
      <c r="G1054" s="10"/>
      <c r="H1054" s="10"/>
      <c r="I1054" s="10"/>
      <c r="J1054" s="10"/>
      <c r="Q1054" s="10"/>
      <c r="R1054" s="10"/>
      <c r="T1054" s="10"/>
      <c r="U1054" s="10"/>
      <c r="V1054" s="10"/>
      <c r="W1054" s="10"/>
      <c r="X1054" s="10"/>
      <c r="Y1054" s="10"/>
      <c r="Z1054" s="10"/>
      <c r="AA1054" s="10"/>
      <c r="AB1054" s="10"/>
      <c r="AC1054" s="10"/>
      <c r="AD1054" s="10"/>
      <c r="AE1054" s="10"/>
      <c r="AF1054" s="10"/>
      <c r="AG1054" s="10"/>
      <c r="AH1054" s="10"/>
      <c r="AI1054" s="10"/>
      <c r="AJ1054" s="10"/>
      <c r="AK1054" s="10"/>
      <c r="AL1054" s="10"/>
      <c r="AM1054" s="10"/>
      <c r="AN1054" s="10"/>
      <c r="AO1054" s="10"/>
      <c r="AP1054" s="10"/>
      <c r="AQ1054" s="10"/>
      <c r="AR1054" s="10"/>
      <c r="AS1054" s="10"/>
      <c r="AU1054" s="10"/>
      <c r="AV1054" s="10"/>
      <c r="AW1054" s="143"/>
      <c r="AZ1054" s="10"/>
      <c r="BE1054" s="10"/>
      <c r="BF1054" s="10"/>
      <c r="BG1054" s="10"/>
      <c r="BH1054" s="10"/>
      <c r="BI1054" s="10"/>
      <c r="BJ1054" s="10"/>
      <c r="BK1054" s="10"/>
      <c r="BL1054" s="10"/>
      <c r="BM1054" s="10"/>
      <c r="BN1054" s="10"/>
      <c r="BO1054" s="10"/>
      <c r="BP1054" s="10"/>
      <c r="BQ1054" s="10"/>
      <c r="BR1054" s="10"/>
      <c r="BS1054" s="10"/>
      <c r="BT1054" s="10"/>
      <c r="BW1054" s="10"/>
    </row>
    <row r="1055">
      <c r="A1055" s="10"/>
      <c r="B1055" s="10"/>
      <c r="C1055" s="10"/>
      <c r="D1055" s="10"/>
      <c r="E1055" s="10"/>
      <c r="F1055" s="10"/>
      <c r="G1055" s="10"/>
      <c r="H1055" s="10"/>
      <c r="I1055" s="10"/>
      <c r="J1055" s="10"/>
      <c r="Q1055" s="10"/>
      <c r="R1055" s="10"/>
      <c r="T1055" s="10"/>
      <c r="U1055" s="10"/>
      <c r="V1055" s="10"/>
      <c r="W1055" s="10"/>
      <c r="X1055" s="10"/>
      <c r="Y1055" s="10"/>
      <c r="Z1055" s="10"/>
      <c r="AA1055" s="10"/>
      <c r="AB1055" s="10"/>
      <c r="AC1055" s="10"/>
      <c r="AD1055" s="10"/>
      <c r="AE1055" s="10"/>
      <c r="AF1055" s="10"/>
      <c r="AG1055" s="10"/>
      <c r="AH1055" s="10"/>
      <c r="AI1055" s="10"/>
      <c r="AJ1055" s="10"/>
      <c r="AK1055" s="10"/>
      <c r="AL1055" s="10"/>
      <c r="AM1055" s="10"/>
      <c r="AN1055" s="10"/>
      <c r="AO1055" s="10"/>
      <c r="AP1055" s="10"/>
      <c r="AQ1055" s="10"/>
      <c r="AR1055" s="10"/>
      <c r="AS1055" s="10"/>
      <c r="AU1055" s="10"/>
      <c r="AV1055" s="10"/>
      <c r="AW1055" s="143"/>
      <c r="AZ1055" s="10"/>
      <c r="BE1055" s="10"/>
      <c r="BF1055" s="10"/>
      <c r="BG1055" s="10"/>
      <c r="BH1055" s="10"/>
      <c r="BI1055" s="10"/>
      <c r="BJ1055" s="10"/>
      <c r="BK1055" s="10"/>
      <c r="BS1055" s="10"/>
      <c r="BT1055" s="10"/>
      <c r="BW1055" s="10"/>
    </row>
    <row r="1056">
      <c r="A1056" s="10"/>
      <c r="B1056" s="10"/>
      <c r="C1056" s="10"/>
      <c r="D1056" s="10"/>
      <c r="E1056" s="10"/>
      <c r="F1056" s="10"/>
      <c r="G1056" s="10"/>
      <c r="H1056" s="10"/>
      <c r="I1056" s="10"/>
      <c r="L1056" s="10"/>
      <c r="P1056" s="10"/>
      <c r="Q1056" s="10"/>
      <c r="R1056" s="10"/>
      <c r="T1056" s="10"/>
      <c r="U1056" s="10"/>
      <c r="V1056" s="10"/>
      <c r="W1056" s="10"/>
      <c r="Y1056" s="10"/>
      <c r="Z1056" s="10"/>
      <c r="AA1056" s="10"/>
      <c r="AB1056" s="10"/>
      <c r="AC1056" s="10"/>
      <c r="AD1056" s="10"/>
      <c r="AE1056" s="10"/>
      <c r="AF1056" s="10"/>
      <c r="AG1056" s="10"/>
      <c r="AH1056" s="10"/>
      <c r="AI1056" s="10"/>
      <c r="AJ1056" s="10"/>
      <c r="AK1056" s="10"/>
      <c r="AL1056" s="10"/>
      <c r="AM1056" s="10"/>
      <c r="AN1056" s="10"/>
      <c r="AO1056" s="10"/>
      <c r="AP1056" s="10"/>
      <c r="AQ1056" s="10"/>
      <c r="AR1056" s="10"/>
      <c r="AS1056" s="10"/>
      <c r="AU1056" s="10"/>
      <c r="AV1056" s="10"/>
      <c r="AW1056" s="143"/>
      <c r="BE1056" s="10"/>
      <c r="BF1056" s="10"/>
      <c r="BG1056" s="10"/>
      <c r="BH1056" s="10"/>
      <c r="BI1056" s="10"/>
      <c r="BJ1056" s="10"/>
      <c r="BK1056" s="10"/>
      <c r="BL1056" s="10"/>
      <c r="BM1056" s="10"/>
      <c r="BN1056" s="10"/>
      <c r="BO1056" s="10"/>
      <c r="BP1056" s="10"/>
      <c r="BQ1056" s="10"/>
      <c r="BR1056" s="10"/>
      <c r="BS1056" s="10"/>
      <c r="BT1056" s="10"/>
      <c r="BW1056" s="10"/>
    </row>
    <row r="1057">
      <c r="A1057" s="10"/>
      <c r="B1057" s="10"/>
      <c r="C1057" s="10"/>
      <c r="D1057" s="10"/>
      <c r="E1057" s="10"/>
      <c r="F1057" s="10"/>
      <c r="G1057" s="10"/>
      <c r="H1057" s="10"/>
      <c r="I1057" s="10"/>
      <c r="J1057" s="10"/>
      <c r="N1057" s="10"/>
      <c r="P1057" s="10"/>
      <c r="T1057" s="10"/>
      <c r="U1057" s="10"/>
      <c r="V1057" s="10"/>
      <c r="W1057" s="10"/>
      <c r="X1057" s="10"/>
      <c r="Y1057" s="10"/>
      <c r="Z1057" s="10"/>
      <c r="AA1057" s="10"/>
      <c r="AB1057" s="10"/>
      <c r="AC1057" s="10"/>
      <c r="AD1057" s="10"/>
      <c r="AE1057" s="10"/>
      <c r="AF1057" s="10"/>
      <c r="AG1057" s="10"/>
      <c r="AH1057" s="10"/>
      <c r="AI1057" s="10"/>
      <c r="AJ1057" s="10"/>
      <c r="AK1057" s="10"/>
      <c r="AL1057" s="10"/>
      <c r="AM1057" s="10"/>
      <c r="AN1057" s="10"/>
      <c r="AO1057" s="10"/>
      <c r="AP1057" s="10"/>
      <c r="AQ1057" s="10"/>
      <c r="AR1057" s="10"/>
      <c r="AS1057" s="10"/>
      <c r="AU1057" s="10"/>
      <c r="AV1057" s="10"/>
      <c r="AW1057" s="143"/>
      <c r="AX1057" s="10"/>
      <c r="AY1057" s="10"/>
      <c r="AZ1057" s="10"/>
      <c r="BE1057" s="10"/>
      <c r="BF1057" s="10"/>
      <c r="BG1057" s="10"/>
      <c r="BH1057" s="10"/>
      <c r="BI1057" s="10"/>
      <c r="BJ1057" s="10"/>
      <c r="BK1057" s="10"/>
      <c r="BS1057" s="10"/>
      <c r="BT1057" s="10"/>
      <c r="BW1057" s="10"/>
    </row>
    <row r="1058">
      <c r="A1058" s="10"/>
      <c r="B1058" s="10"/>
      <c r="C1058" s="10"/>
      <c r="D1058" s="10"/>
      <c r="E1058" s="10"/>
      <c r="F1058" s="10"/>
      <c r="G1058" s="10"/>
      <c r="H1058" s="10"/>
      <c r="I1058" s="10"/>
      <c r="N1058" s="10"/>
      <c r="P1058" s="10"/>
      <c r="T1058" s="10"/>
      <c r="U1058" s="10"/>
      <c r="V1058" s="10"/>
      <c r="W1058" s="10"/>
      <c r="X1058" s="10"/>
      <c r="Y1058" s="10"/>
      <c r="Z1058" s="10"/>
      <c r="AA1058" s="10"/>
      <c r="AB1058" s="10"/>
      <c r="AC1058" s="10"/>
      <c r="AD1058" s="10"/>
      <c r="AE1058" s="10"/>
      <c r="AF1058" s="10"/>
      <c r="AG1058" s="10"/>
      <c r="AH1058" s="10"/>
      <c r="AI1058" s="10"/>
      <c r="AJ1058" s="10"/>
      <c r="AK1058" s="10"/>
      <c r="AL1058" s="10"/>
      <c r="AM1058" s="10"/>
      <c r="AN1058" s="10"/>
      <c r="AO1058" s="10"/>
      <c r="AP1058" s="10"/>
      <c r="AQ1058" s="10"/>
      <c r="AR1058" s="10"/>
      <c r="AS1058" s="10"/>
      <c r="AU1058" s="10"/>
      <c r="AV1058" s="10"/>
      <c r="AW1058" s="143"/>
      <c r="AX1058" s="10"/>
      <c r="AY1058" s="10"/>
      <c r="AZ1058" s="10"/>
      <c r="BS1058" s="10"/>
      <c r="BT1058" s="10"/>
      <c r="BW1058" s="10"/>
    </row>
    <row r="1059">
      <c r="A1059" s="10"/>
      <c r="B1059" s="10"/>
      <c r="C1059" s="10"/>
      <c r="D1059" s="10"/>
      <c r="E1059" s="10"/>
      <c r="F1059" s="10"/>
      <c r="G1059" s="10"/>
      <c r="H1059" s="10"/>
      <c r="I1059" s="10"/>
      <c r="N1059" s="10"/>
      <c r="O1059" s="10"/>
      <c r="P1059" s="10"/>
      <c r="T1059" s="10"/>
      <c r="U1059" s="10"/>
      <c r="V1059" s="10"/>
      <c r="W1059" s="10"/>
      <c r="Y1059" s="10"/>
      <c r="Z1059" s="10"/>
      <c r="AA1059" s="10"/>
      <c r="AB1059" s="10"/>
      <c r="AC1059" s="10"/>
      <c r="AD1059" s="10"/>
      <c r="AE1059" s="10"/>
      <c r="AF1059" s="10"/>
      <c r="AG1059" s="10"/>
      <c r="AH1059" s="10"/>
      <c r="AI1059" s="10"/>
      <c r="AJ1059" s="10"/>
      <c r="AK1059" s="10"/>
      <c r="AL1059" s="10"/>
      <c r="AM1059" s="10"/>
      <c r="AN1059" s="10"/>
      <c r="AO1059" s="10"/>
      <c r="AP1059" s="10"/>
      <c r="AQ1059" s="10"/>
      <c r="AR1059" s="10"/>
      <c r="AS1059" s="10"/>
      <c r="AU1059" s="10"/>
      <c r="AV1059" s="10"/>
      <c r="AW1059" s="143"/>
      <c r="AX1059" s="10"/>
      <c r="AY1059" s="10"/>
      <c r="AZ1059" s="10"/>
      <c r="BE1059" s="10"/>
      <c r="BF1059" s="10"/>
      <c r="BG1059" s="10"/>
      <c r="BH1059" s="10"/>
      <c r="BI1059" s="10"/>
      <c r="BJ1059" s="10"/>
      <c r="BK1059" s="10"/>
      <c r="BS1059" s="10"/>
      <c r="BT1059" s="10"/>
      <c r="BW1059" s="10"/>
    </row>
    <row r="1060">
      <c r="A1060" s="10"/>
      <c r="B1060" s="10"/>
      <c r="C1060" s="10"/>
      <c r="D1060" s="10"/>
      <c r="E1060" s="10"/>
      <c r="F1060" s="10"/>
      <c r="G1060" s="10"/>
      <c r="H1060" s="10"/>
      <c r="I1060" s="10"/>
      <c r="N1060" s="10"/>
      <c r="P1060" s="10"/>
      <c r="T1060" s="10"/>
      <c r="U1060" s="10"/>
      <c r="V1060" s="10"/>
      <c r="W1060" s="10"/>
      <c r="Y1060" s="10"/>
      <c r="Z1060" s="10"/>
      <c r="AA1060" s="10"/>
      <c r="AB1060" s="10"/>
      <c r="AC1060" s="10"/>
      <c r="AD1060" s="10"/>
      <c r="AE1060" s="10"/>
      <c r="AF1060" s="10"/>
      <c r="AG1060" s="10"/>
      <c r="AH1060" s="10"/>
      <c r="AI1060" s="10"/>
      <c r="AJ1060" s="10"/>
      <c r="AK1060" s="10"/>
      <c r="AL1060" s="10"/>
      <c r="AM1060" s="10"/>
      <c r="AN1060" s="10"/>
      <c r="AO1060" s="10"/>
      <c r="AP1060" s="10"/>
      <c r="AQ1060" s="10"/>
      <c r="AR1060" s="10"/>
      <c r="AS1060" s="10"/>
      <c r="AU1060" s="10"/>
      <c r="AV1060" s="10"/>
      <c r="AW1060" s="143"/>
      <c r="AX1060" s="10"/>
      <c r="AY1060" s="10"/>
      <c r="AZ1060" s="10"/>
      <c r="BE1060" s="10"/>
      <c r="BF1060" s="10"/>
      <c r="BG1060" s="10"/>
      <c r="BH1060" s="10"/>
      <c r="BI1060" s="10"/>
      <c r="BJ1060" s="10"/>
      <c r="BK1060" s="10"/>
      <c r="BS1060" s="10"/>
      <c r="BT1060" s="10"/>
      <c r="BW1060" s="10"/>
    </row>
    <row r="1061">
      <c r="A1061" s="10"/>
      <c r="B1061" s="10"/>
      <c r="C1061" s="10"/>
      <c r="D1061" s="10"/>
      <c r="E1061" s="10"/>
      <c r="F1061" s="10"/>
      <c r="G1061" s="10"/>
      <c r="H1061" s="10"/>
      <c r="I1061" s="10"/>
      <c r="N1061" s="10"/>
      <c r="P1061" s="10"/>
      <c r="T1061" s="10"/>
      <c r="U1061" s="10"/>
      <c r="V1061" s="10"/>
      <c r="W1061" s="10"/>
      <c r="Y1061" s="10"/>
      <c r="Z1061" s="10"/>
      <c r="AA1061" s="10"/>
      <c r="AB1061" s="10"/>
      <c r="AC1061" s="10"/>
      <c r="AD1061" s="10"/>
      <c r="AE1061" s="10"/>
      <c r="AF1061" s="10"/>
      <c r="AG1061" s="10"/>
      <c r="AH1061" s="10"/>
      <c r="AI1061" s="10"/>
      <c r="AJ1061" s="10"/>
      <c r="AK1061" s="10"/>
      <c r="AL1061" s="10"/>
      <c r="AM1061" s="10"/>
      <c r="AN1061" s="10"/>
      <c r="AO1061" s="10"/>
      <c r="AP1061" s="10"/>
      <c r="AQ1061" s="10"/>
      <c r="AR1061" s="10"/>
      <c r="AS1061" s="10"/>
      <c r="AU1061" s="10"/>
      <c r="AV1061" s="10"/>
      <c r="AW1061" s="143"/>
      <c r="AX1061" s="10"/>
      <c r="AY1061" s="10"/>
      <c r="AZ1061" s="10"/>
      <c r="BE1061" s="10"/>
      <c r="BF1061" s="10"/>
      <c r="BG1061" s="10"/>
      <c r="BH1061" s="10"/>
      <c r="BI1061" s="10"/>
      <c r="BJ1061" s="10"/>
      <c r="BK1061" s="10"/>
      <c r="BS1061" s="10"/>
      <c r="BT1061" s="10"/>
      <c r="BW1061" s="10"/>
    </row>
    <row r="1062">
      <c r="A1062" s="10"/>
      <c r="B1062" s="10"/>
      <c r="C1062" s="10"/>
      <c r="D1062" s="10"/>
      <c r="E1062" s="10"/>
      <c r="F1062" s="10"/>
      <c r="G1062" s="10"/>
      <c r="H1062" s="10"/>
      <c r="I1062" s="10"/>
      <c r="N1062" s="10"/>
      <c r="P1062" s="10"/>
      <c r="T1062" s="10"/>
      <c r="U1062" s="10"/>
      <c r="V1062" s="10"/>
      <c r="W1062" s="10"/>
      <c r="Y1062" s="10"/>
      <c r="Z1062" s="10"/>
      <c r="AA1062" s="10"/>
      <c r="AB1062" s="10"/>
      <c r="AC1062" s="10"/>
      <c r="AD1062" s="10"/>
      <c r="AE1062" s="10"/>
      <c r="AF1062" s="10"/>
      <c r="AG1062" s="10"/>
      <c r="AH1062" s="10"/>
      <c r="AI1062" s="10"/>
      <c r="AJ1062" s="10"/>
      <c r="AK1062" s="10"/>
      <c r="AL1062" s="10"/>
      <c r="AM1062" s="10"/>
      <c r="AN1062" s="10"/>
      <c r="AO1062" s="10"/>
      <c r="AP1062" s="10"/>
      <c r="AQ1062" s="10"/>
      <c r="AR1062" s="10"/>
      <c r="AS1062" s="10"/>
      <c r="AU1062" s="10"/>
      <c r="AV1062" s="10"/>
      <c r="AW1062" s="143"/>
      <c r="AX1062" s="10"/>
      <c r="AY1062" s="10"/>
      <c r="AZ1062" s="10"/>
      <c r="BE1062" s="10"/>
      <c r="BF1062" s="10"/>
      <c r="BG1062" s="10"/>
      <c r="BH1062" s="10"/>
      <c r="BI1062" s="10"/>
      <c r="BJ1062" s="10"/>
      <c r="BK1062" s="10"/>
      <c r="BS1062" s="10"/>
      <c r="BT1062" s="10"/>
      <c r="BW1062" s="10"/>
    </row>
    <row r="1063">
      <c r="A1063" s="10"/>
      <c r="B1063" s="10"/>
      <c r="C1063" s="10"/>
      <c r="D1063" s="10"/>
      <c r="E1063" s="10"/>
      <c r="F1063" s="10"/>
      <c r="G1063" s="10"/>
      <c r="H1063" s="10"/>
      <c r="I1063" s="10"/>
      <c r="N1063" s="10"/>
      <c r="O1063" s="10"/>
      <c r="P1063" s="10"/>
      <c r="T1063" s="10"/>
      <c r="U1063" s="10"/>
      <c r="V1063" s="10"/>
      <c r="W1063" s="10"/>
      <c r="Y1063" s="10"/>
      <c r="Z1063" s="10"/>
      <c r="AA1063" s="10"/>
      <c r="AB1063" s="10"/>
      <c r="AC1063" s="10"/>
      <c r="AD1063" s="10"/>
      <c r="AE1063" s="10"/>
      <c r="AF1063" s="10"/>
      <c r="AG1063" s="10"/>
      <c r="AH1063" s="10"/>
      <c r="AI1063" s="10"/>
      <c r="AJ1063" s="10"/>
      <c r="AK1063" s="10"/>
      <c r="AL1063" s="10"/>
      <c r="AM1063" s="10"/>
      <c r="AN1063" s="10"/>
      <c r="AO1063" s="10"/>
      <c r="AP1063" s="10"/>
      <c r="AQ1063" s="10"/>
      <c r="AR1063" s="10"/>
      <c r="AS1063" s="10"/>
      <c r="AU1063" s="10"/>
      <c r="AV1063" s="10"/>
      <c r="AW1063" s="143"/>
      <c r="AX1063" s="10"/>
      <c r="AY1063" s="10"/>
      <c r="AZ1063" s="10"/>
      <c r="BE1063" s="10"/>
      <c r="BF1063" s="10"/>
      <c r="BG1063" s="10"/>
      <c r="BH1063" s="10"/>
      <c r="BI1063" s="10"/>
      <c r="BJ1063" s="10"/>
      <c r="BK1063" s="10"/>
      <c r="BS1063" s="10"/>
      <c r="BT1063" s="10"/>
      <c r="BW1063" s="10"/>
    </row>
    <row r="1064">
      <c r="A1064" s="10"/>
      <c r="B1064" s="10"/>
      <c r="C1064" s="10"/>
      <c r="D1064" s="10"/>
      <c r="E1064" s="10"/>
      <c r="F1064" s="10"/>
      <c r="G1064" s="10"/>
      <c r="H1064" s="10"/>
      <c r="Q1064" s="10"/>
      <c r="R1064" s="10"/>
      <c r="U1064" s="10"/>
      <c r="V1064" s="10"/>
      <c r="W1064" s="10"/>
      <c r="Y1064" s="10"/>
      <c r="Z1064" s="10"/>
      <c r="AA1064" s="10"/>
      <c r="AB1064" s="10"/>
      <c r="AC1064" s="10"/>
      <c r="AD1064" s="10"/>
      <c r="AE1064" s="10"/>
      <c r="AF1064" s="10"/>
      <c r="AG1064" s="10"/>
      <c r="AH1064" s="10"/>
      <c r="AI1064" s="10"/>
      <c r="AJ1064" s="10"/>
      <c r="AK1064" s="10"/>
      <c r="AL1064" s="10"/>
      <c r="AM1064" s="10"/>
      <c r="AN1064" s="10"/>
      <c r="AO1064" s="10"/>
      <c r="AW1064" s="143"/>
      <c r="BE1064" s="10"/>
      <c r="BF1064" s="10"/>
      <c r="BG1064" s="10"/>
      <c r="BH1064" s="10"/>
      <c r="BI1064" s="10"/>
      <c r="BJ1064" s="10"/>
      <c r="BK1064" s="10"/>
      <c r="BL1064" s="10"/>
      <c r="BM1064" s="10"/>
      <c r="BN1064" s="10"/>
      <c r="BO1064" s="10"/>
      <c r="BP1064" s="10"/>
      <c r="BQ1064" s="10"/>
      <c r="BR1064" s="10"/>
      <c r="BS1064" s="10"/>
      <c r="BT1064" s="10"/>
      <c r="BW1064" s="10"/>
    </row>
    <row r="1065">
      <c r="A1065" s="10"/>
      <c r="B1065" s="10"/>
      <c r="C1065" s="10"/>
      <c r="D1065" s="10"/>
      <c r="E1065" s="10"/>
      <c r="F1065" s="10"/>
      <c r="G1065" s="10"/>
      <c r="H1065" s="10"/>
      <c r="U1065" s="10"/>
      <c r="V1065" s="10"/>
      <c r="W1065" s="10"/>
      <c r="Y1065" s="10"/>
      <c r="Z1065" s="10"/>
      <c r="AA1065" s="10"/>
      <c r="AB1065" s="10"/>
      <c r="AC1065" s="10"/>
      <c r="AD1065" s="10"/>
      <c r="AE1065" s="10"/>
      <c r="AF1065" s="10"/>
      <c r="AG1065" s="10"/>
      <c r="AH1065" s="10"/>
      <c r="AI1065" s="10"/>
      <c r="AJ1065" s="10"/>
      <c r="AK1065" s="10"/>
      <c r="AL1065" s="10"/>
      <c r="AM1065" s="10"/>
      <c r="AN1065" s="10"/>
      <c r="AO1065" s="10"/>
      <c r="AW1065" s="143"/>
      <c r="BE1065" s="10"/>
      <c r="BF1065" s="10"/>
      <c r="BG1065" s="10"/>
      <c r="BH1065" s="10"/>
      <c r="BI1065" s="10"/>
      <c r="BJ1065" s="10"/>
      <c r="BK1065" s="10"/>
      <c r="BS1065" s="10"/>
      <c r="BT1065" s="10"/>
      <c r="BW1065" s="10"/>
    </row>
    <row r="1066">
      <c r="A1066" s="10"/>
      <c r="B1066" s="10"/>
      <c r="C1066" s="10"/>
      <c r="D1066" s="10"/>
      <c r="E1066" s="10"/>
      <c r="F1066" s="10"/>
      <c r="G1066" s="10"/>
      <c r="H1066" s="10"/>
      <c r="U1066" s="10"/>
      <c r="V1066" s="10"/>
      <c r="W1066" s="10"/>
      <c r="Y1066" s="10"/>
      <c r="Z1066" s="10"/>
      <c r="AA1066" s="10"/>
      <c r="AB1066" s="10"/>
      <c r="AC1066" s="10"/>
      <c r="AD1066" s="10"/>
      <c r="AE1066" s="10"/>
      <c r="AF1066" s="10"/>
      <c r="AG1066" s="10"/>
      <c r="AH1066" s="10"/>
      <c r="AI1066" s="10"/>
      <c r="AJ1066" s="10"/>
      <c r="AK1066" s="10"/>
      <c r="AL1066" s="10"/>
      <c r="AM1066" s="10"/>
      <c r="AN1066" s="10"/>
      <c r="AO1066" s="10"/>
      <c r="AW1066" s="143"/>
      <c r="BE1066" s="10"/>
      <c r="BF1066" s="10"/>
      <c r="BG1066" s="10"/>
      <c r="BH1066" s="10"/>
      <c r="BI1066" s="10"/>
      <c r="BJ1066" s="10"/>
      <c r="BK1066" s="10"/>
      <c r="BS1066" s="10"/>
      <c r="BT1066" s="10"/>
      <c r="BW1066" s="10"/>
    </row>
    <row r="1067">
      <c r="A1067" s="10"/>
      <c r="B1067" s="10"/>
      <c r="C1067" s="10"/>
      <c r="D1067" s="10"/>
      <c r="E1067" s="10"/>
      <c r="F1067" s="10"/>
      <c r="G1067" s="10"/>
      <c r="H1067" s="10"/>
      <c r="J1067" s="10"/>
      <c r="K1067" s="10"/>
      <c r="L1067" s="10"/>
      <c r="Q1067" s="10"/>
      <c r="R1067" s="10"/>
      <c r="U1067" s="10"/>
      <c r="V1067" s="10"/>
      <c r="W1067" s="10"/>
      <c r="X1067" s="10"/>
      <c r="Y1067" s="10"/>
      <c r="Z1067" s="10"/>
      <c r="AA1067" s="10"/>
      <c r="AB1067" s="10"/>
      <c r="AC1067" s="10"/>
      <c r="AD1067" s="10"/>
      <c r="AE1067" s="10"/>
      <c r="AF1067" s="10"/>
      <c r="AG1067" s="10"/>
      <c r="AH1067" s="10"/>
      <c r="AI1067" s="10"/>
      <c r="AJ1067" s="10"/>
      <c r="AK1067" s="10"/>
      <c r="AL1067" s="10"/>
      <c r="AM1067" s="10"/>
      <c r="AN1067" s="10"/>
      <c r="AO1067" s="10"/>
      <c r="AW1067" s="143"/>
      <c r="BE1067" s="10"/>
      <c r="BF1067" s="10"/>
      <c r="BG1067" s="10"/>
      <c r="BH1067" s="10"/>
      <c r="BI1067" s="10"/>
      <c r="BJ1067" s="10"/>
      <c r="BK1067" s="10"/>
      <c r="BL1067" s="10"/>
      <c r="BM1067" s="10"/>
      <c r="BN1067" s="10"/>
      <c r="BO1067" s="10"/>
      <c r="BP1067" s="10"/>
      <c r="BQ1067" s="10"/>
      <c r="BR1067" s="10"/>
      <c r="BS1067" s="10"/>
      <c r="BT1067" s="10"/>
      <c r="BW1067" s="10"/>
    </row>
    <row r="1068">
      <c r="A1068" s="10"/>
      <c r="B1068" s="10"/>
      <c r="C1068" s="10"/>
      <c r="D1068" s="10"/>
      <c r="E1068" s="10"/>
      <c r="F1068" s="10"/>
      <c r="G1068" s="10"/>
      <c r="H1068" s="10"/>
      <c r="I1068" s="10"/>
      <c r="K1068" s="10"/>
      <c r="L1068" s="10"/>
      <c r="N1068" s="10"/>
      <c r="Q1068" s="10"/>
      <c r="R1068" s="10"/>
      <c r="T1068" s="10"/>
      <c r="U1068" s="10"/>
      <c r="V1068" s="10"/>
      <c r="W1068" s="10"/>
      <c r="X1068" s="10"/>
      <c r="Y1068" s="10"/>
      <c r="Z1068" s="10"/>
      <c r="AA1068" s="10"/>
      <c r="AB1068" s="10"/>
      <c r="AC1068" s="10"/>
      <c r="AD1068" s="10"/>
      <c r="AE1068" s="10"/>
      <c r="AF1068" s="10"/>
      <c r="AG1068" s="10"/>
      <c r="AH1068" s="10"/>
      <c r="AI1068" s="10"/>
      <c r="AJ1068" s="10"/>
      <c r="AK1068" s="10"/>
      <c r="AL1068" s="10"/>
      <c r="AM1068" s="10"/>
      <c r="AN1068" s="10"/>
      <c r="AO1068" s="10"/>
      <c r="AP1068" s="10"/>
      <c r="AQ1068" s="10"/>
      <c r="AR1068" s="10"/>
      <c r="AS1068" s="10"/>
      <c r="AU1068" s="10"/>
      <c r="AV1068" s="10"/>
      <c r="AW1068" s="143"/>
      <c r="BD1068" s="10"/>
      <c r="BE1068" s="10"/>
      <c r="BF1068" s="10"/>
      <c r="BG1068" s="10"/>
      <c r="BH1068" s="10"/>
      <c r="BI1068" s="10"/>
      <c r="BJ1068" s="10"/>
      <c r="BK1068" s="10"/>
      <c r="BL1068" s="10"/>
      <c r="BM1068" s="10"/>
      <c r="BN1068" s="10"/>
      <c r="BO1068" s="10"/>
      <c r="BP1068" s="10"/>
      <c r="BQ1068" s="10"/>
      <c r="BR1068" s="10"/>
      <c r="BS1068" s="10"/>
      <c r="BT1068" s="10"/>
      <c r="BW1068" s="10"/>
    </row>
    <row r="1069">
      <c r="A1069" s="10"/>
      <c r="B1069" s="10"/>
      <c r="C1069" s="10"/>
      <c r="D1069" s="10"/>
      <c r="E1069" s="10"/>
      <c r="F1069" s="10"/>
      <c r="G1069" s="10"/>
      <c r="H1069" s="10"/>
      <c r="I1069" s="10"/>
      <c r="J1069" s="10"/>
      <c r="N1069" s="10"/>
      <c r="P1069" s="10"/>
      <c r="T1069" s="10"/>
      <c r="U1069" s="10"/>
      <c r="V1069" s="10"/>
      <c r="W1069" s="10"/>
      <c r="X1069" s="10"/>
      <c r="Y1069" s="10"/>
      <c r="Z1069" s="10"/>
      <c r="AA1069" s="10"/>
      <c r="AB1069" s="10"/>
      <c r="AC1069" s="10"/>
      <c r="AD1069" s="10"/>
      <c r="AE1069" s="10"/>
      <c r="AF1069" s="10"/>
      <c r="AG1069" s="10"/>
      <c r="AH1069" s="10"/>
      <c r="AI1069" s="10"/>
      <c r="AJ1069" s="10"/>
      <c r="AK1069" s="10"/>
      <c r="AL1069" s="10"/>
      <c r="AM1069" s="10"/>
      <c r="AN1069" s="10"/>
      <c r="AO1069" s="10"/>
      <c r="AP1069" s="10"/>
      <c r="AQ1069" s="10"/>
      <c r="AR1069" s="10"/>
      <c r="AS1069" s="10"/>
      <c r="AT1069" s="10"/>
      <c r="AU1069" s="10"/>
      <c r="AV1069" s="10"/>
      <c r="AW1069" s="143"/>
      <c r="BE1069" s="10"/>
      <c r="BF1069" s="10"/>
      <c r="BG1069" s="10"/>
      <c r="BH1069" s="10"/>
      <c r="BI1069" s="10"/>
      <c r="BJ1069" s="10"/>
      <c r="BK1069" s="10"/>
      <c r="BS1069" s="10"/>
      <c r="BT1069" s="10"/>
      <c r="BW1069" s="10"/>
    </row>
    <row r="1070">
      <c r="A1070" s="10"/>
      <c r="B1070" s="10"/>
      <c r="C1070" s="10"/>
      <c r="D1070" s="10"/>
      <c r="E1070" s="10"/>
      <c r="F1070" s="10"/>
      <c r="G1070" s="10"/>
      <c r="H1070" s="10"/>
      <c r="I1070" s="10"/>
      <c r="J1070" s="10"/>
      <c r="N1070" s="10"/>
      <c r="P1070" s="10"/>
      <c r="T1070" s="10"/>
      <c r="U1070" s="10"/>
      <c r="V1070" s="10"/>
      <c r="W1070" s="10"/>
      <c r="X1070" s="10"/>
      <c r="Y1070" s="10"/>
      <c r="Z1070" s="10"/>
      <c r="AA1070" s="10"/>
      <c r="AB1070" s="10"/>
      <c r="AC1070" s="10"/>
      <c r="AD1070" s="10"/>
      <c r="AE1070" s="10"/>
      <c r="AF1070" s="10"/>
      <c r="AG1070" s="10"/>
      <c r="AH1070" s="10"/>
      <c r="AI1070" s="10"/>
      <c r="AJ1070" s="10"/>
      <c r="AK1070" s="10"/>
      <c r="AL1070" s="10"/>
      <c r="AM1070" s="10"/>
      <c r="AN1070" s="10"/>
      <c r="AO1070" s="10"/>
      <c r="AP1070" s="10"/>
      <c r="AQ1070" s="10"/>
      <c r="AR1070" s="10"/>
      <c r="AS1070" s="10"/>
      <c r="AT1070" s="10"/>
      <c r="AU1070" s="10"/>
      <c r="AV1070" s="10"/>
      <c r="AW1070" s="143"/>
      <c r="BS1070" s="10"/>
      <c r="BT1070" s="10"/>
      <c r="BW1070" s="10"/>
    </row>
    <row r="1071">
      <c r="A1071" s="10"/>
      <c r="B1071" s="10"/>
      <c r="C1071" s="10"/>
      <c r="D1071" s="10"/>
      <c r="E1071" s="10"/>
      <c r="F1071" s="10"/>
      <c r="G1071" s="10"/>
      <c r="H1071" s="10"/>
      <c r="I1071" s="10"/>
      <c r="J1071" s="10"/>
      <c r="N1071" s="10"/>
      <c r="P1071" s="10"/>
      <c r="T1071" s="10"/>
      <c r="U1071" s="10"/>
      <c r="V1071" s="10"/>
      <c r="W1071" s="10"/>
      <c r="X1071" s="10"/>
      <c r="Y1071" s="10"/>
      <c r="Z1071" s="10"/>
      <c r="AA1071" s="10"/>
      <c r="AB1071" s="10"/>
      <c r="AC1071" s="10"/>
      <c r="AD1071" s="10"/>
      <c r="AE1071" s="10"/>
      <c r="AF1071" s="10"/>
      <c r="AG1071" s="10"/>
      <c r="AH1071" s="10"/>
      <c r="AI1071" s="10"/>
      <c r="AJ1071" s="10"/>
      <c r="AK1071" s="10"/>
      <c r="AL1071" s="10"/>
      <c r="AM1071" s="10"/>
      <c r="AN1071" s="10"/>
      <c r="AO1071" s="10"/>
      <c r="AP1071" s="10"/>
      <c r="AQ1071" s="10"/>
      <c r="AR1071" s="10"/>
      <c r="AS1071" s="10"/>
      <c r="AT1071" s="10"/>
      <c r="AU1071" s="10"/>
      <c r="AV1071" s="10"/>
      <c r="AW1071" s="143"/>
      <c r="BS1071" s="10"/>
      <c r="BT1071" s="10"/>
      <c r="BW1071" s="10"/>
    </row>
    <row r="1072">
      <c r="A1072" s="10"/>
      <c r="B1072" s="10"/>
      <c r="C1072" s="10"/>
      <c r="D1072" s="10"/>
      <c r="E1072" s="10"/>
      <c r="F1072" s="10"/>
      <c r="G1072" s="10"/>
      <c r="H1072" s="10"/>
      <c r="I1072" s="10"/>
      <c r="N1072" s="10"/>
      <c r="P1072" s="10"/>
      <c r="T1072" s="10"/>
      <c r="U1072" s="10"/>
      <c r="V1072" s="10"/>
      <c r="W1072" s="10"/>
      <c r="X1072" s="10"/>
      <c r="Y1072" s="10"/>
      <c r="Z1072" s="10"/>
      <c r="AA1072" s="10"/>
      <c r="AB1072" s="10"/>
      <c r="AC1072" s="10"/>
      <c r="AD1072" s="10"/>
      <c r="AE1072" s="10"/>
      <c r="AF1072" s="10"/>
      <c r="AG1072" s="10"/>
      <c r="AH1072" s="10"/>
      <c r="AI1072" s="10"/>
      <c r="AJ1072" s="10"/>
      <c r="AK1072" s="10"/>
      <c r="AL1072" s="10"/>
      <c r="AM1072" s="10"/>
      <c r="AN1072" s="10"/>
      <c r="AO1072" s="10"/>
      <c r="AP1072" s="10"/>
      <c r="AQ1072" s="10"/>
      <c r="AR1072" s="10"/>
      <c r="AS1072" s="10"/>
      <c r="AT1072" s="10"/>
      <c r="AU1072" s="10"/>
      <c r="AV1072" s="10"/>
      <c r="AW1072" s="143"/>
      <c r="BS1072" s="10"/>
      <c r="BT1072" s="10"/>
      <c r="BW1072" s="10"/>
    </row>
    <row r="1073">
      <c r="A1073" s="10"/>
      <c r="B1073" s="10"/>
      <c r="C1073" s="10"/>
      <c r="D1073" s="10"/>
      <c r="E1073" s="10"/>
      <c r="F1073" s="10"/>
      <c r="G1073" s="10"/>
      <c r="H1073" s="10"/>
      <c r="I1073" s="10"/>
      <c r="N1073" s="10"/>
      <c r="P1073" s="10"/>
      <c r="Q1073" s="10"/>
      <c r="R1073" s="10"/>
      <c r="S1073" s="10"/>
      <c r="T1073" s="10"/>
      <c r="U1073" s="10"/>
      <c r="V1073" s="10"/>
      <c r="W1073" s="10"/>
      <c r="X1073" s="10"/>
      <c r="Y1073" s="10"/>
      <c r="Z1073" s="10"/>
      <c r="AA1073" s="10"/>
      <c r="AB1073" s="10"/>
      <c r="AC1073" s="10"/>
      <c r="AD1073" s="10"/>
      <c r="AE1073" s="10"/>
      <c r="AF1073" s="10"/>
      <c r="AG1073" s="10"/>
      <c r="AH1073" s="10"/>
      <c r="AI1073" s="10"/>
      <c r="AJ1073" s="10"/>
      <c r="AK1073" s="10"/>
      <c r="AL1073" s="10"/>
      <c r="AM1073" s="10"/>
      <c r="AN1073" s="10"/>
      <c r="AO1073" s="10"/>
      <c r="AP1073" s="10"/>
      <c r="AQ1073" s="10"/>
      <c r="AR1073" s="10"/>
      <c r="AS1073" s="10"/>
      <c r="AU1073" s="10"/>
      <c r="AV1073" s="10"/>
      <c r="AW1073" s="143"/>
      <c r="BL1073" s="10"/>
      <c r="BO1073" s="10"/>
      <c r="BR1073" s="10"/>
      <c r="BS1073" s="10"/>
      <c r="BT1073" s="10"/>
      <c r="BW1073" s="10"/>
    </row>
    <row r="1074">
      <c r="A1074" s="10"/>
      <c r="B1074" s="10"/>
      <c r="C1074" s="10"/>
      <c r="D1074" s="10"/>
      <c r="E1074" s="10"/>
      <c r="F1074" s="10"/>
      <c r="G1074" s="10"/>
      <c r="H1074" s="10"/>
      <c r="J1074" s="10"/>
      <c r="N1074" s="10"/>
      <c r="P1074" s="10"/>
      <c r="Q1074" s="10"/>
      <c r="R1074" s="10"/>
      <c r="S1074" s="10"/>
      <c r="U1074" s="10"/>
      <c r="V1074" s="10"/>
      <c r="W1074" s="10"/>
      <c r="X1074" s="10"/>
      <c r="Y1074" s="10"/>
      <c r="Z1074" s="10"/>
      <c r="AA1074" s="10"/>
      <c r="AB1074" s="10"/>
      <c r="AC1074" s="10"/>
      <c r="AD1074" s="10"/>
      <c r="AE1074" s="10"/>
      <c r="AF1074" s="10"/>
      <c r="AG1074" s="10"/>
      <c r="AH1074" s="10"/>
      <c r="AI1074" s="10"/>
      <c r="AJ1074" s="10"/>
      <c r="AK1074" s="10"/>
      <c r="AL1074" s="10"/>
      <c r="AM1074" s="10"/>
      <c r="AN1074" s="10"/>
      <c r="AO1074" s="10"/>
      <c r="AS1074" s="10"/>
      <c r="AT1074" s="10"/>
      <c r="AW1074" s="143"/>
      <c r="BE1074" s="10"/>
      <c r="BF1074" s="10"/>
      <c r="BG1074" s="10"/>
      <c r="BH1074" s="10"/>
      <c r="BI1074" s="10"/>
      <c r="BJ1074" s="10"/>
      <c r="BK1074" s="10"/>
      <c r="BL1074" s="10"/>
      <c r="BM1074" s="10"/>
      <c r="BN1074" s="10"/>
      <c r="BO1074" s="10"/>
      <c r="BP1074" s="10"/>
      <c r="BQ1074" s="10"/>
      <c r="BR1074" s="10"/>
      <c r="BS1074" s="10"/>
      <c r="BT1074" s="10"/>
      <c r="BW1074" s="10"/>
    </row>
    <row r="1075">
      <c r="A1075" s="10"/>
      <c r="B1075" s="10"/>
      <c r="C1075" s="10"/>
      <c r="D1075" s="10"/>
      <c r="E1075" s="10"/>
      <c r="F1075" s="10"/>
      <c r="G1075" s="10"/>
      <c r="H1075" s="10"/>
      <c r="K1075" s="10"/>
      <c r="L1075" s="10"/>
      <c r="P1075" s="10"/>
      <c r="T1075" s="10"/>
      <c r="U1075" s="10"/>
      <c r="V1075" s="10"/>
      <c r="W1075" s="10"/>
      <c r="X1075" s="10"/>
      <c r="Y1075" s="10"/>
      <c r="Z1075" s="10"/>
      <c r="AA1075" s="10"/>
      <c r="AB1075" s="10"/>
      <c r="AC1075" s="10"/>
      <c r="AD1075" s="10"/>
      <c r="AE1075" s="10"/>
      <c r="AF1075" s="10"/>
      <c r="AG1075" s="10"/>
      <c r="AH1075" s="10"/>
      <c r="AI1075" s="10"/>
      <c r="AJ1075" s="10"/>
      <c r="AK1075" s="10"/>
      <c r="AL1075" s="10"/>
      <c r="AM1075" s="10"/>
      <c r="AN1075" s="10"/>
      <c r="AO1075" s="10"/>
      <c r="AW1075" s="143"/>
      <c r="BL1075" s="10"/>
      <c r="BO1075" s="10"/>
      <c r="BR1075" s="10"/>
      <c r="BS1075" s="10"/>
      <c r="BT1075" s="10"/>
      <c r="BW1075" s="10"/>
    </row>
    <row r="1076">
      <c r="A1076" s="10"/>
      <c r="B1076" s="10"/>
      <c r="C1076" s="10"/>
      <c r="D1076" s="10"/>
      <c r="E1076" s="10"/>
      <c r="F1076" s="10"/>
      <c r="G1076" s="10"/>
      <c r="H1076" s="10"/>
      <c r="J1076" s="10"/>
      <c r="K1076" s="10"/>
      <c r="L1076" s="10"/>
      <c r="U1076" s="10"/>
      <c r="V1076" s="10"/>
      <c r="W1076" s="10"/>
      <c r="X1076" s="10"/>
      <c r="Y1076" s="10"/>
      <c r="Z1076" s="10"/>
      <c r="AA1076" s="10"/>
      <c r="AB1076" s="10"/>
      <c r="AC1076" s="10"/>
      <c r="AD1076" s="10"/>
      <c r="AE1076" s="10"/>
      <c r="AF1076" s="10"/>
      <c r="AG1076" s="10"/>
      <c r="AH1076" s="10"/>
      <c r="AI1076" s="10"/>
      <c r="AJ1076" s="10"/>
      <c r="AK1076" s="10"/>
      <c r="AL1076" s="10"/>
      <c r="AM1076" s="10"/>
      <c r="AN1076" s="10"/>
      <c r="AO1076" s="10"/>
      <c r="AT1076" s="10"/>
      <c r="AW1076" s="143"/>
      <c r="BS1076" s="10"/>
      <c r="BT1076" s="10"/>
      <c r="BW1076" s="10"/>
    </row>
    <row r="1077">
      <c r="A1077" s="10"/>
      <c r="B1077" s="10"/>
      <c r="C1077" s="10"/>
      <c r="D1077" s="10"/>
      <c r="E1077" s="10"/>
      <c r="F1077" s="10"/>
      <c r="G1077" s="10"/>
      <c r="H1077" s="10"/>
      <c r="P1077" s="10"/>
      <c r="U1077" s="10"/>
      <c r="V1077" s="10"/>
      <c r="W1077" s="10"/>
      <c r="Y1077" s="10"/>
      <c r="Z1077" s="10"/>
      <c r="AA1077" s="10"/>
      <c r="AB1077" s="10"/>
      <c r="AC1077" s="10"/>
      <c r="AD1077" s="10"/>
      <c r="AE1077" s="10"/>
      <c r="AF1077" s="10"/>
      <c r="AG1077" s="10"/>
      <c r="AH1077" s="10"/>
      <c r="AI1077" s="10"/>
      <c r="AJ1077" s="10"/>
      <c r="AK1077" s="10"/>
      <c r="AL1077" s="10"/>
      <c r="AM1077" s="10"/>
      <c r="AN1077" s="10"/>
      <c r="AO1077" s="10"/>
      <c r="AW1077" s="143"/>
      <c r="BE1077" s="10"/>
      <c r="BF1077" s="10"/>
      <c r="BG1077" s="10"/>
      <c r="BH1077" s="10"/>
      <c r="BI1077" s="10"/>
      <c r="BJ1077" s="10"/>
      <c r="BK1077" s="10"/>
      <c r="BL1077" s="10"/>
      <c r="BO1077" s="10"/>
      <c r="BR1077" s="10"/>
      <c r="BS1077" s="10"/>
      <c r="BT1077" s="10"/>
      <c r="BW1077" s="10"/>
    </row>
    <row r="1078">
      <c r="A1078" s="10"/>
      <c r="B1078" s="10"/>
      <c r="C1078" s="10"/>
      <c r="D1078" s="10"/>
      <c r="E1078" s="10"/>
      <c r="F1078" s="10"/>
      <c r="G1078" s="10"/>
      <c r="H1078" s="10"/>
      <c r="J1078" s="10"/>
      <c r="P1078" s="10"/>
      <c r="U1078" s="10"/>
      <c r="V1078" s="10"/>
      <c r="W1078" s="10"/>
      <c r="X1078" s="10"/>
      <c r="Y1078" s="10"/>
      <c r="Z1078" s="10"/>
      <c r="AA1078" s="10"/>
      <c r="AB1078" s="10"/>
      <c r="AC1078" s="10"/>
      <c r="AD1078" s="10"/>
      <c r="AE1078" s="10"/>
      <c r="AF1078" s="10"/>
      <c r="AG1078" s="10"/>
      <c r="AH1078" s="10"/>
      <c r="AI1078" s="10"/>
      <c r="AJ1078" s="10"/>
      <c r="AK1078" s="10"/>
      <c r="AL1078" s="10"/>
      <c r="AM1078" s="10"/>
      <c r="AN1078" s="10"/>
      <c r="AO1078" s="10"/>
      <c r="AW1078" s="143"/>
      <c r="BE1078" s="10"/>
      <c r="BF1078" s="10"/>
      <c r="BG1078" s="10"/>
      <c r="BH1078" s="10"/>
      <c r="BI1078" s="10"/>
      <c r="BJ1078" s="10"/>
      <c r="BK1078" s="10"/>
      <c r="BS1078" s="10"/>
      <c r="BT1078" s="10"/>
      <c r="BW1078" s="10"/>
    </row>
    <row r="1079">
      <c r="A1079" s="10"/>
      <c r="B1079" s="10"/>
      <c r="C1079" s="10"/>
      <c r="D1079" s="10"/>
      <c r="E1079" s="10"/>
      <c r="F1079" s="10"/>
      <c r="G1079" s="10"/>
      <c r="H1079" s="10"/>
      <c r="P1079" s="10"/>
      <c r="U1079" s="10"/>
      <c r="V1079" s="10"/>
      <c r="W1079" s="10"/>
      <c r="Y1079" s="10"/>
      <c r="Z1079" s="10"/>
      <c r="AA1079" s="10"/>
      <c r="AB1079" s="10"/>
      <c r="AC1079" s="10"/>
      <c r="AD1079" s="10"/>
      <c r="AE1079" s="10"/>
      <c r="AF1079" s="10"/>
      <c r="AG1079" s="10"/>
      <c r="AH1079" s="10"/>
      <c r="AI1079" s="10"/>
      <c r="AJ1079" s="10"/>
      <c r="AK1079" s="10"/>
      <c r="AL1079" s="10"/>
      <c r="AM1079" s="10"/>
      <c r="AN1079" s="10"/>
      <c r="AO1079" s="10"/>
      <c r="AW1079" s="143"/>
      <c r="BE1079" s="10"/>
      <c r="BF1079" s="10"/>
      <c r="BG1079" s="10"/>
      <c r="BH1079" s="10"/>
      <c r="BI1079" s="10"/>
      <c r="BJ1079" s="10"/>
      <c r="BK1079" s="10"/>
      <c r="BS1079" s="10"/>
      <c r="BT1079" s="10"/>
      <c r="BW1079" s="10"/>
    </row>
    <row r="1080">
      <c r="A1080" s="10"/>
      <c r="B1080" s="10"/>
      <c r="C1080" s="10"/>
      <c r="D1080" s="10"/>
      <c r="E1080" s="10"/>
      <c r="F1080" s="10"/>
      <c r="G1080" s="10"/>
      <c r="H1080" s="10"/>
      <c r="U1080" s="10"/>
      <c r="V1080" s="10"/>
      <c r="W1080" s="10"/>
      <c r="Y1080" s="10"/>
      <c r="Z1080" s="10"/>
      <c r="AA1080" s="10"/>
      <c r="AB1080" s="10"/>
      <c r="AC1080" s="10"/>
      <c r="AD1080" s="10"/>
      <c r="AE1080" s="10"/>
      <c r="AF1080" s="10"/>
      <c r="AG1080" s="10"/>
      <c r="AH1080" s="10"/>
      <c r="AI1080" s="10"/>
      <c r="AJ1080" s="10"/>
      <c r="AK1080" s="10"/>
      <c r="AL1080" s="10"/>
      <c r="AM1080" s="10"/>
      <c r="AN1080" s="10"/>
      <c r="AO1080" s="10"/>
      <c r="AW1080" s="143"/>
      <c r="BE1080" s="10"/>
      <c r="BF1080" s="10"/>
      <c r="BG1080" s="10"/>
      <c r="BH1080" s="10"/>
      <c r="BI1080" s="10"/>
      <c r="BJ1080" s="10"/>
      <c r="BK1080" s="10"/>
      <c r="BS1080" s="10"/>
      <c r="BT1080" s="10"/>
      <c r="BW1080" s="10"/>
    </row>
    <row r="1081">
      <c r="A1081" s="10"/>
      <c r="B1081" s="10"/>
      <c r="C1081" s="10"/>
      <c r="D1081" s="10"/>
      <c r="E1081" s="10"/>
      <c r="F1081" s="10"/>
      <c r="G1081" s="10"/>
      <c r="H1081" s="10"/>
      <c r="K1081" s="10"/>
      <c r="L1081" s="10"/>
      <c r="O1081" s="10"/>
      <c r="Q1081" s="10"/>
      <c r="R1081" s="10"/>
      <c r="S1081" s="10"/>
      <c r="U1081" s="10"/>
      <c r="V1081" s="10"/>
      <c r="W1081" s="10"/>
      <c r="X1081" s="10"/>
      <c r="Y1081" s="10"/>
      <c r="Z1081" s="10"/>
      <c r="AA1081" s="10"/>
      <c r="AB1081" s="10"/>
      <c r="AC1081" s="10"/>
      <c r="AD1081" s="10"/>
      <c r="AE1081" s="10"/>
      <c r="AF1081" s="10"/>
      <c r="AG1081" s="10"/>
      <c r="AH1081" s="10"/>
      <c r="AI1081" s="10"/>
      <c r="AJ1081" s="10"/>
      <c r="AK1081" s="10"/>
      <c r="AL1081" s="10"/>
      <c r="AM1081" s="10"/>
      <c r="AN1081" s="10"/>
      <c r="AO1081" s="10"/>
      <c r="AP1081" s="10"/>
      <c r="AQ1081" s="10"/>
      <c r="AR1081" s="10"/>
      <c r="AS1081" s="10"/>
      <c r="AW1081" s="143"/>
      <c r="BD1081" s="10"/>
      <c r="BL1081" s="10"/>
      <c r="BO1081" s="10"/>
      <c r="BR1081" s="10"/>
      <c r="BS1081" s="10"/>
      <c r="BT1081" s="10"/>
      <c r="BW1081" s="10"/>
    </row>
    <row r="1082">
      <c r="A1082" s="10"/>
      <c r="B1082" s="10"/>
      <c r="C1082" s="10"/>
      <c r="D1082" s="10"/>
      <c r="E1082" s="10"/>
      <c r="F1082" s="10"/>
      <c r="G1082" s="10"/>
      <c r="H1082" s="10"/>
      <c r="P1082" s="10"/>
      <c r="Q1082" s="10"/>
      <c r="R1082" s="10"/>
      <c r="S1082" s="10"/>
      <c r="U1082" s="10"/>
      <c r="V1082" s="10"/>
      <c r="W1082" s="10"/>
      <c r="X1082" s="10"/>
      <c r="Y1082" s="10"/>
      <c r="Z1082" s="10"/>
      <c r="AA1082" s="10"/>
      <c r="AB1082" s="10"/>
      <c r="AC1082" s="10"/>
      <c r="AD1082" s="10"/>
      <c r="AE1082" s="10"/>
      <c r="AF1082" s="10"/>
      <c r="AG1082" s="10"/>
      <c r="AH1082" s="10"/>
      <c r="AI1082" s="10"/>
      <c r="AJ1082" s="10"/>
      <c r="AK1082" s="10"/>
      <c r="AL1082" s="10"/>
      <c r="AM1082" s="10"/>
      <c r="AN1082" s="10"/>
      <c r="AO1082" s="10"/>
      <c r="AW1082" s="143"/>
      <c r="BT1082" s="10"/>
      <c r="BW1082" s="10"/>
    </row>
    <row r="1083">
      <c r="A1083" s="10"/>
      <c r="B1083" s="10"/>
      <c r="C1083" s="10"/>
      <c r="D1083" s="10"/>
      <c r="E1083" s="10"/>
      <c r="F1083" s="10"/>
      <c r="G1083" s="10"/>
      <c r="H1083" s="10"/>
      <c r="U1083" s="10"/>
      <c r="V1083" s="10"/>
      <c r="W1083" s="10"/>
      <c r="X1083" s="10"/>
      <c r="Y1083" s="10"/>
      <c r="Z1083" s="10"/>
      <c r="AA1083" s="10"/>
      <c r="AB1083" s="10"/>
      <c r="AC1083" s="10"/>
      <c r="AD1083" s="10"/>
      <c r="AE1083" s="10"/>
      <c r="AF1083" s="10"/>
      <c r="AG1083" s="10"/>
      <c r="AH1083" s="10"/>
      <c r="AI1083" s="10"/>
      <c r="AJ1083" s="10"/>
      <c r="AK1083" s="10"/>
      <c r="AL1083" s="10"/>
      <c r="AM1083" s="10"/>
      <c r="AN1083" s="10"/>
      <c r="AO1083" s="10"/>
      <c r="AW1083" s="143"/>
      <c r="BS1083" s="10"/>
      <c r="BT1083" s="10"/>
      <c r="BW1083" s="10"/>
    </row>
    <row r="1084">
      <c r="A1084" s="10"/>
      <c r="B1084" s="10"/>
      <c r="C1084" s="10"/>
      <c r="D1084" s="10"/>
      <c r="E1084" s="10"/>
      <c r="F1084" s="10"/>
      <c r="G1084" s="10"/>
      <c r="H1084" s="10"/>
      <c r="J1084" s="10"/>
      <c r="U1084" s="10"/>
      <c r="V1084" s="10"/>
      <c r="W1084" s="10"/>
      <c r="X1084" s="10"/>
      <c r="Y1084" s="10"/>
      <c r="Z1084" s="10"/>
      <c r="AA1084" s="10"/>
      <c r="AB1084" s="10"/>
      <c r="AC1084" s="10"/>
      <c r="AD1084" s="10"/>
      <c r="AE1084" s="10"/>
      <c r="AF1084" s="10"/>
      <c r="AG1084" s="10"/>
      <c r="AH1084" s="10"/>
      <c r="AI1084" s="10"/>
      <c r="AJ1084" s="10"/>
      <c r="AK1084" s="10"/>
      <c r="AL1084" s="10"/>
      <c r="AM1084" s="10"/>
      <c r="AN1084" s="10"/>
      <c r="AO1084" s="10"/>
      <c r="AW1084" s="143"/>
      <c r="BS1084" s="10"/>
      <c r="BT1084" s="10"/>
      <c r="BW1084" s="10"/>
    </row>
    <row r="1085">
      <c r="A1085" s="10"/>
      <c r="B1085" s="10"/>
      <c r="C1085" s="10"/>
      <c r="D1085" s="10"/>
      <c r="E1085" s="10"/>
      <c r="F1085" s="10"/>
      <c r="G1085" s="10"/>
      <c r="H1085" s="10"/>
      <c r="J1085" s="10"/>
      <c r="P1085" s="10"/>
      <c r="U1085" s="10"/>
      <c r="V1085" s="10"/>
      <c r="W1085" s="10"/>
      <c r="X1085" s="10"/>
      <c r="Y1085" s="10"/>
      <c r="Z1085" s="10"/>
      <c r="AA1085" s="10"/>
      <c r="AB1085" s="10"/>
      <c r="AC1085" s="10"/>
      <c r="AD1085" s="10"/>
      <c r="AE1085" s="10"/>
      <c r="AF1085" s="10"/>
      <c r="AG1085" s="10"/>
      <c r="AH1085" s="10"/>
      <c r="AI1085" s="10"/>
      <c r="AJ1085" s="10"/>
      <c r="AK1085" s="10"/>
      <c r="AL1085" s="10"/>
      <c r="AM1085" s="10"/>
      <c r="AN1085" s="10"/>
      <c r="AO1085" s="10"/>
      <c r="AW1085" s="143"/>
      <c r="BS1085" s="10"/>
      <c r="BT1085" s="10"/>
      <c r="BW1085" s="10"/>
    </row>
    <row r="1086">
      <c r="A1086" s="10"/>
      <c r="B1086" s="10"/>
      <c r="C1086" s="10"/>
      <c r="D1086" s="10"/>
      <c r="E1086" s="10"/>
      <c r="F1086" s="10"/>
      <c r="G1086" s="10"/>
      <c r="H1086" s="10"/>
      <c r="J1086" s="10"/>
      <c r="U1086" s="10"/>
      <c r="V1086" s="10"/>
      <c r="W1086" s="10"/>
      <c r="X1086" s="10"/>
      <c r="Y1086" s="10"/>
      <c r="Z1086" s="10"/>
      <c r="AA1086" s="10"/>
      <c r="AB1086" s="10"/>
      <c r="AC1086" s="10"/>
      <c r="AD1086" s="10"/>
      <c r="AE1086" s="10"/>
      <c r="AF1086" s="10"/>
      <c r="AG1086" s="10"/>
      <c r="AH1086" s="10"/>
      <c r="AI1086" s="10"/>
      <c r="AJ1086" s="10"/>
      <c r="AK1086" s="10"/>
      <c r="AL1086" s="10"/>
      <c r="AM1086" s="10"/>
      <c r="AN1086" s="10"/>
      <c r="AO1086" s="10"/>
      <c r="AW1086" s="143"/>
      <c r="BS1086" s="10"/>
      <c r="BT1086" s="10"/>
      <c r="BW1086" s="10"/>
    </row>
    <row r="1087">
      <c r="A1087" s="10"/>
      <c r="B1087" s="10"/>
      <c r="C1087" s="10"/>
      <c r="D1087" s="10"/>
      <c r="E1087" s="10"/>
      <c r="F1087" s="10"/>
      <c r="G1087" s="10"/>
      <c r="H1087" s="10"/>
      <c r="J1087" s="10"/>
      <c r="U1087" s="10"/>
      <c r="V1087" s="10"/>
      <c r="W1087" s="10"/>
      <c r="X1087" s="10"/>
      <c r="Y1087" s="10"/>
      <c r="Z1087" s="10"/>
      <c r="AA1087" s="10"/>
      <c r="AB1087" s="10"/>
      <c r="AC1087" s="10"/>
      <c r="AD1087" s="10"/>
      <c r="AE1087" s="10"/>
      <c r="AF1087" s="10"/>
      <c r="AG1087" s="10"/>
      <c r="AH1087" s="10"/>
      <c r="AI1087" s="10"/>
      <c r="AJ1087" s="10"/>
      <c r="AK1087" s="10"/>
      <c r="AL1087" s="10"/>
      <c r="AM1087" s="10"/>
      <c r="AN1087" s="10"/>
      <c r="AO1087" s="10"/>
      <c r="AW1087" s="143"/>
      <c r="BS1087" s="10"/>
      <c r="BT1087" s="10"/>
      <c r="BW1087" s="10"/>
    </row>
    <row r="1088">
      <c r="A1088" s="10"/>
      <c r="B1088" s="10"/>
      <c r="C1088" s="10"/>
      <c r="D1088" s="10"/>
      <c r="E1088" s="10"/>
      <c r="F1088" s="10"/>
      <c r="G1088" s="10"/>
      <c r="H1088" s="10"/>
      <c r="I1088" s="10"/>
      <c r="J1088" s="10"/>
      <c r="N1088" s="10"/>
      <c r="O1088" s="10"/>
      <c r="P1088" s="10"/>
      <c r="T1088" s="10"/>
      <c r="U1088" s="10"/>
      <c r="V1088" s="10"/>
      <c r="W1088" s="10"/>
      <c r="X1088" s="10"/>
      <c r="Y1088" s="10"/>
      <c r="Z1088" s="10"/>
      <c r="AA1088" s="10"/>
      <c r="AB1088" s="10"/>
      <c r="AC1088" s="10"/>
      <c r="AD1088" s="10"/>
      <c r="AE1088" s="10"/>
      <c r="AF1088" s="10"/>
      <c r="AG1088" s="10"/>
      <c r="AH1088" s="10"/>
      <c r="AI1088" s="10"/>
      <c r="AJ1088" s="10"/>
      <c r="AK1088" s="10"/>
      <c r="AL1088" s="10"/>
      <c r="AM1088" s="10"/>
      <c r="AN1088" s="10"/>
      <c r="AO1088" s="10"/>
      <c r="AP1088" s="10"/>
      <c r="AQ1088" s="10"/>
      <c r="AR1088" s="10"/>
      <c r="AS1088" s="10"/>
      <c r="AT1088" s="10"/>
      <c r="AU1088" s="10"/>
      <c r="AV1088" s="10"/>
      <c r="AW1088" s="143"/>
      <c r="AX1088" s="10"/>
      <c r="AY1088" s="10"/>
      <c r="AZ1088" s="10"/>
      <c r="BE1088" s="10"/>
      <c r="BF1088" s="10"/>
      <c r="BG1088" s="10"/>
      <c r="BH1088" s="10"/>
      <c r="BI1088" s="10"/>
      <c r="BJ1088" s="10"/>
      <c r="BK1088" s="10"/>
      <c r="BS1088" s="10"/>
      <c r="BT1088" s="10"/>
      <c r="BW1088" s="10"/>
    </row>
    <row r="1089">
      <c r="A1089" s="10"/>
      <c r="B1089" s="10"/>
      <c r="C1089" s="10"/>
      <c r="D1089" s="10"/>
      <c r="E1089" s="10"/>
      <c r="F1089" s="10"/>
      <c r="G1089" s="10"/>
      <c r="H1089" s="10"/>
      <c r="I1089" s="10"/>
      <c r="J1089" s="10"/>
      <c r="N1089" s="10"/>
      <c r="O1089" s="10"/>
      <c r="P1089" s="10"/>
      <c r="T1089" s="10"/>
      <c r="U1089" s="10"/>
      <c r="V1089" s="10"/>
      <c r="W1089" s="10"/>
      <c r="X1089" s="10"/>
      <c r="Y1089" s="10"/>
      <c r="Z1089" s="10"/>
      <c r="AA1089" s="10"/>
      <c r="AB1089" s="10"/>
      <c r="AC1089" s="10"/>
      <c r="AD1089" s="10"/>
      <c r="AE1089" s="10"/>
      <c r="AF1089" s="10"/>
      <c r="AG1089" s="10"/>
      <c r="AH1089" s="10"/>
      <c r="AI1089" s="10"/>
      <c r="AJ1089" s="10"/>
      <c r="AK1089" s="10"/>
      <c r="AL1089" s="10"/>
      <c r="AM1089" s="10"/>
      <c r="AN1089" s="10"/>
      <c r="AO1089" s="10"/>
      <c r="AP1089" s="10"/>
      <c r="AQ1089" s="10"/>
      <c r="AR1089" s="10"/>
      <c r="AS1089" s="10"/>
      <c r="AT1089" s="10"/>
      <c r="AU1089" s="10"/>
      <c r="AV1089" s="10"/>
      <c r="AW1089" s="143"/>
      <c r="AX1089" s="10"/>
      <c r="AY1089" s="10"/>
      <c r="AZ1089" s="10"/>
      <c r="BE1089" s="10"/>
      <c r="BF1089" s="10"/>
      <c r="BG1089" s="10"/>
      <c r="BH1089" s="10"/>
      <c r="BI1089" s="10"/>
      <c r="BJ1089" s="10"/>
      <c r="BK1089" s="10"/>
      <c r="BS1089" s="10"/>
      <c r="BT1089" s="10"/>
      <c r="BW1089" s="10"/>
    </row>
    <row r="1090">
      <c r="A1090" s="10"/>
      <c r="B1090" s="10"/>
      <c r="C1090" s="10"/>
      <c r="D1090" s="10"/>
      <c r="E1090" s="10"/>
      <c r="F1090" s="10"/>
      <c r="G1090" s="10"/>
      <c r="H1090" s="10"/>
      <c r="I1090" s="10"/>
      <c r="J1090" s="10"/>
      <c r="N1090" s="10"/>
      <c r="O1090" s="10"/>
      <c r="P1090" s="10"/>
      <c r="T1090" s="10"/>
      <c r="U1090" s="10"/>
      <c r="V1090" s="10"/>
      <c r="W1090" s="10"/>
      <c r="X1090" s="10"/>
      <c r="Y1090" s="10"/>
      <c r="Z1090" s="10"/>
      <c r="AA1090" s="10"/>
      <c r="AB1090" s="10"/>
      <c r="AC1090" s="10"/>
      <c r="AD1090" s="10"/>
      <c r="AE1090" s="10"/>
      <c r="AF1090" s="10"/>
      <c r="AG1090" s="10"/>
      <c r="AH1090" s="10"/>
      <c r="AI1090" s="10"/>
      <c r="AJ1090" s="10"/>
      <c r="AK1090" s="10"/>
      <c r="AL1090" s="10"/>
      <c r="AM1090" s="10"/>
      <c r="AN1090" s="10"/>
      <c r="AO1090" s="10"/>
      <c r="AP1090" s="10"/>
      <c r="AQ1090" s="10"/>
      <c r="AR1090" s="10"/>
      <c r="AS1090" s="10"/>
      <c r="AT1090" s="10"/>
      <c r="AU1090" s="10"/>
      <c r="AV1090" s="10"/>
      <c r="AW1090" s="143"/>
      <c r="AX1090" s="10"/>
      <c r="AY1090" s="10"/>
      <c r="BE1090" s="10"/>
      <c r="BF1090" s="10"/>
      <c r="BG1090" s="10"/>
      <c r="BH1090" s="10"/>
      <c r="BI1090" s="10"/>
      <c r="BJ1090" s="10"/>
      <c r="BK1090" s="10"/>
      <c r="BS1090" s="10"/>
      <c r="BT1090" s="10"/>
      <c r="BW1090" s="10"/>
    </row>
    <row r="1091">
      <c r="A1091" s="10"/>
      <c r="B1091" s="10"/>
      <c r="C1091" s="10"/>
      <c r="D1091" s="10"/>
      <c r="E1091" s="10"/>
      <c r="F1091" s="10"/>
      <c r="G1091" s="10"/>
      <c r="H1091" s="10"/>
      <c r="I1091" s="10"/>
      <c r="J1091" s="10"/>
      <c r="N1091" s="10"/>
      <c r="O1091" s="10"/>
      <c r="P1091" s="10"/>
      <c r="T1091" s="10"/>
      <c r="U1091" s="10"/>
      <c r="V1091" s="10"/>
      <c r="W1091" s="10"/>
      <c r="X1091" s="10"/>
      <c r="Y1091" s="10"/>
      <c r="Z1091" s="10"/>
      <c r="AA1091" s="10"/>
      <c r="AB1091" s="10"/>
      <c r="AC1091" s="10"/>
      <c r="AD1091" s="10"/>
      <c r="AE1091" s="10"/>
      <c r="AF1091" s="10"/>
      <c r="AG1091" s="10"/>
      <c r="AH1091" s="10"/>
      <c r="AI1091" s="10"/>
      <c r="AJ1091" s="10"/>
      <c r="AK1091" s="10"/>
      <c r="AL1091" s="10"/>
      <c r="AM1091" s="10"/>
      <c r="AN1091" s="10"/>
      <c r="AO1091" s="10"/>
      <c r="AP1091" s="10"/>
      <c r="AQ1091" s="10"/>
      <c r="AR1091" s="10"/>
      <c r="AS1091" s="10"/>
      <c r="AT1091" s="10"/>
      <c r="AU1091" s="10"/>
      <c r="AV1091" s="10"/>
      <c r="AW1091" s="143"/>
      <c r="AX1091" s="10"/>
      <c r="AY1091" s="10"/>
      <c r="AZ1091" s="10"/>
      <c r="BE1091" s="10"/>
      <c r="BF1091" s="10"/>
      <c r="BG1091" s="10"/>
      <c r="BH1091" s="10"/>
      <c r="BI1091" s="10"/>
      <c r="BJ1091" s="10"/>
      <c r="BK1091" s="10"/>
      <c r="BL1091" s="10"/>
      <c r="BM1091" s="10"/>
      <c r="BN1091" s="10"/>
      <c r="BO1091" s="10"/>
      <c r="BP1091" s="10"/>
      <c r="BQ1091" s="10"/>
      <c r="BR1091" s="10"/>
      <c r="BS1091" s="10"/>
      <c r="BT1091" s="10"/>
      <c r="BW1091" s="10"/>
    </row>
    <row r="1092">
      <c r="A1092" s="10"/>
      <c r="B1092" s="10"/>
      <c r="C1092" s="10"/>
      <c r="D1092" s="10"/>
      <c r="E1092" s="10"/>
      <c r="F1092" s="10"/>
      <c r="G1092" s="10"/>
      <c r="H1092" s="10"/>
      <c r="I1092" s="10"/>
      <c r="J1092" s="10"/>
      <c r="N1092" s="10"/>
      <c r="O1092" s="10"/>
      <c r="P1092" s="10"/>
      <c r="T1092" s="10"/>
      <c r="U1092" s="10"/>
      <c r="V1092" s="10"/>
      <c r="W1092" s="10"/>
      <c r="X1092" s="10"/>
      <c r="Y1092" s="10"/>
      <c r="Z1092" s="10"/>
      <c r="AA1092" s="10"/>
      <c r="AB1092" s="10"/>
      <c r="AC1092" s="10"/>
      <c r="AD1092" s="10"/>
      <c r="AE1092" s="10"/>
      <c r="AF1092" s="10"/>
      <c r="AG1092" s="10"/>
      <c r="AH1092" s="10"/>
      <c r="AI1092" s="10"/>
      <c r="AJ1092" s="10"/>
      <c r="AK1092" s="10"/>
      <c r="AL1092" s="10"/>
      <c r="AM1092" s="10"/>
      <c r="AN1092" s="10"/>
      <c r="AO1092" s="10"/>
      <c r="AP1092" s="10"/>
      <c r="AQ1092" s="10"/>
      <c r="AR1092" s="10"/>
      <c r="AS1092" s="10"/>
      <c r="AT1092" s="10"/>
      <c r="AU1092" s="10"/>
      <c r="AV1092" s="10"/>
      <c r="AW1092" s="143"/>
      <c r="AX1092" s="10"/>
      <c r="AY1092" s="10"/>
      <c r="AZ1092" s="10"/>
      <c r="BE1092" s="10"/>
      <c r="BF1092" s="10"/>
      <c r="BG1092" s="10"/>
      <c r="BH1092" s="10"/>
      <c r="BI1092" s="10"/>
      <c r="BJ1092" s="10"/>
      <c r="BK1092" s="10"/>
      <c r="BS1092" s="10"/>
      <c r="BT1092" s="10"/>
      <c r="BW1092" s="10"/>
    </row>
    <row r="1093">
      <c r="A1093" s="10"/>
      <c r="B1093" s="10"/>
      <c r="C1093" s="10"/>
      <c r="D1093" s="10"/>
      <c r="E1093" s="10"/>
      <c r="F1093" s="10"/>
      <c r="G1093" s="10"/>
      <c r="H1093" s="10"/>
      <c r="I1093" s="10"/>
      <c r="J1093" s="10"/>
      <c r="N1093" s="10"/>
      <c r="O1093" s="10"/>
      <c r="P1093" s="10"/>
      <c r="T1093" s="10"/>
      <c r="U1093" s="10"/>
      <c r="V1093" s="10"/>
      <c r="W1093" s="10"/>
      <c r="X1093" s="10"/>
      <c r="Y1093" s="10"/>
      <c r="Z1093" s="10"/>
      <c r="AA1093" s="10"/>
      <c r="AB1093" s="10"/>
      <c r="AC1093" s="10"/>
      <c r="AD1093" s="10"/>
      <c r="AE1093" s="10"/>
      <c r="AF1093" s="10"/>
      <c r="AG1093" s="10"/>
      <c r="AH1093" s="10"/>
      <c r="AI1093" s="10"/>
      <c r="AJ1093" s="10"/>
      <c r="AK1093" s="10"/>
      <c r="AL1093" s="10"/>
      <c r="AM1093" s="10"/>
      <c r="AN1093" s="10"/>
      <c r="AO1093" s="10"/>
      <c r="AP1093" s="10"/>
      <c r="AQ1093" s="10"/>
      <c r="AR1093" s="10"/>
      <c r="AS1093" s="10"/>
      <c r="AT1093" s="10"/>
      <c r="AU1093" s="10"/>
      <c r="AV1093" s="10"/>
      <c r="AW1093" s="143"/>
      <c r="AX1093" s="10"/>
      <c r="AY1093" s="10"/>
      <c r="BE1093" s="10"/>
      <c r="BF1093" s="10"/>
      <c r="BG1093" s="10"/>
      <c r="BH1093" s="10"/>
      <c r="BI1093" s="10"/>
      <c r="BJ1093" s="10"/>
      <c r="BK1093" s="10"/>
      <c r="BS1093" s="10"/>
      <c r="BT1093" s="10"/>
      <c r="BW1093" s="10"/>
    </row>
    <row r="1094">
      <c r="A1094" s="10"/>
      <c r="B1094" s="10"/>
      <c r="C1094" s="10"/>
      <c r="D1094" s="10"/>
      <c r="E1094" s="10"/>
      <c r="F1094" s="10"/>
      <c r="G1094" s="10"/>
      <c r="H1094" s="10"/>
      <c r="I1094" s="10"/>
      <c r="J1094" s="10"/>
      <c r="N1094" s="10"/>
      <c r="O1094" s="10"/>
      <c r="P1094" s="10"/>
      <c r="T1094" s="10"/>
      <c r="U1094" s="10"/>
      <c r="V1094" s="10"/>
      <c r="W1094" s="10"/>
      <c r="X1094" s="10"/>
      <c r="Y1094" s="10"/>
      <c r="Z1094" s="10"/>
      <c r="AA1094" s="10"/>
      <c r="AB1094" s="10"/>
      <c r="AC1094" s="10"/>
      <c r="AD1094" s="10"/>
      <c r="AE1094" s="10"/>
      <c r="AF1094" s="10"/>
      <c r="AG1094" s="10"/>
      <c r="AH1094" s="10"/>
      <c r="AI1094" s="10"/>
      <c r="AJ1094" s="10"/>
      <c r="AK1094" s="10"/>
      <c r="AL1094" s="10"/>
      <c r="AM1094" s="10"/>
      <c r="AN1094" s="10"/>
      <c r="AO1094" s="10"/>
      <c r="AP1094" s="10"/>
      <c r="AQ1094" s="10"/>
      <c r="AR1094" s="10"/>
      <c r="AS1094" s="10"/>
      <c r="AT1094" s="10"/>
      <c r="AU1094" s="10"/>
      <c r="AV1094" s="10"/>
      <c r="AW1094" s="143"/>
      <c r="AX1094" s="10"/>
      <c r="AY1094" s="10"/>
      <c r="BE1094" s="10"/>
      <c r="BF1094" s="10"/>
      <c r="BG1094" s="10"/>
      <c r="BH1094" s="10"/>
      <c r="BI1094" s="10"/>
      <c r="BJ1094" s="10"/>
      <c r="BK1094" s="10"/>
      <c r="BS1094" s="10"/>
      <c r="BT1094" s="10"/>
      <c r="BW1094" s="10"/>
    </row>
    <row r="1095">
      <c r="A1095" s="10"/>
      <c r="B1095" s="10"/>
      <c r="C1095" s="10"/>
      <c r="D1095" s="10"/>
      <c r="E1095" s="10"/>
      <c r="F1095" s="10"/>
      <c r="G1095" s="10"/>
      <c r="H1095" s="10"/>
      <c r="I1095" s="10"/>
      <c r="J1095" s="10"/>
      <c r="N1095" s="10"/>
      <c r="O1095" s="10"/>
      <c r="P1095" s="10"/>
      <c r="T1095" s="10"/>
      <c r="U1095" s="10"/>
      <c r="V1095" s="10"/>
      <c r="W1095" s="10"/>
      <c r="X1095" s="10"/>
      <c r="Y1095" s="10"/>
      <c r="Z1095" s="10"/>
      <c r="AA1095" s="10"/>
      <c r="AB1095" s="10"/>
      <c r="AC1095" s="10"/>
      <c r="AD1095" s="10"/>
      <c r="AE1095" s="10"/>
      <c r="AF1095" s="10"/>
      <c r="AG1095" s="10"/>
      <c r="AH1095" s="10"/>
      <c r="AI1095" s="10"/>
      <c r="AJ1095" s="10"/>
      <c r="AK1095" s="10"/>
      <c r="AL1095" s="10"/>
      <c r="AM1095" s="10"/>
      <c r="AN1095" s="10"/>
      <c r="AO1095" s="10"/>
      <c r="AP1095" s="10"/>
      <c r="AQ1095" s="10"/>
      <c r="AR1095" s="10"/>
      <c r="AS1095" s="10"/>
      <c r="AT1095" s="10"/>
      <c r="AU1095" s="10"/>
      <c r="AV1095" s="10"/>
      <c r="AW1095" s="143"/>
      <c r="AX1095" s="10"/>
      <c r="AY1095" s="10"/>
      <c r="AZ1095" s="10"/>
      <c r="BE1095" s="10"/>
      <c r="BF1095" s="10"/>
      <c r="BG1095" s="10"/>
      <c r="BH1095" s="10"/>
      <c r="BI1095" s="10"/>
      <c r="BJ1095" s="10"/>
      <c r="BK1095" s="10"/>
      <c r="BS1095" s="10"/>
      <c r="BT1095" s="10"/>
      <c r="BW1095" s="10"/>
    </row>
    <row r="1096">
      <c r="A1096" s="10"/>
      <c r="B1096" s="10"/>
      <c r="C1096" s="10"/>
      <c r="D1096" s="10"/>
      <c r="E1096" s="10"/>
      <c r="F1096" s="10"/>
      <c r="G1096" s="10"/>
      <c r="H1096" s="10"/>
      <c r="I1096" s="10"/>
      <c r="J1096" s="10"/>
      <c r="N1096" s="10"/>
      <c r="O1096" s="10"/>
      <c r="P1096" s="10"/>
      <c r="T1096" s="10"/>
      <c r="U1096" s="10"/>
      <c r="V1096" s="10"/>
      <c r="W1096" s="10"/>
      <c r="X1096" s="10"/>
      <c r="Y1096" s="10"/>
      <c r="Z1096" s="10"/>
      <c r="AA1096" s="10"/>
      <c r="AB1096" s="10"/>
      <c r="AC1096" s="10"/>
      <c r="AD1096" s="10"/>
      <c r="AE1096" s="10"/>
      <c r="AF1096" s="10"/>
      <c r="AG1096" s="10"/>
      <c r="AH1096" s="10"/>
      <c r="AI1096" s="10"/>
      <c r="AJ1096" s="10"/>
      <c r="AK1096" s="10"/>
      <c r="AL1096" s="10"/>
      <c r="AM1096" s="10"/>
      <c r="AN1096" s="10"/>
      <c r="AO1096" s="10"/>
      <c r="AP1096" s="10"/>
      <c r="AQ1096" s="10"/>
      <c r="AR1096" s="10"/>
      <c r="AS1096" s="10"/>
      <c r="AT1096" s="10"/>
      <c r="AU1096" s="10"/>
      <c r="AV1096" s="10"/>
      <c r="AW1096" s="143"/>
      <c r="AX1096" s="10"/>
      <c r="AY1096" s="10"/>
      <c r="AZ1096" s="10"/>
      <c r="BE1096" s="10"/>
      <c r="BF1096" s="10"/>
      <c r="BG1096" s="10"/>
      <c r="BH1096" s="10"/>
      <c r="BI1096" s="10"/>
      <c r="BJ1096" s="10"/>
      <c r="BK1096" s="10"/>
      <c r="BL1096" s="10"/>
      <c r="BO1096" s="10"/>
      <c r="BR1096" s="10"/>
      <c r="BS1096" s="10"/>
      <c r="BT1096" s="10"/>
      <c r="BW1096" s="10"/>
    </row>
    <row r="1097">
      <c r="A1097" s="10"/>
      <c r="B1097" s="10"/>
      <c r="C1097" s="10"/>
      <c r="D1097" s="10"/>
      <c r="E1097" s="10"/>
      <c r="F1097" s="10"/>
      <c r="G1097" s="10"/>
      <c r="H1097" s="10"/>
      <c r="I1097" s="10"/>
      <c r="J1097" s="10"/>
      <c r="N1097" s="10"/>
      <c r="O1097" s="10"/>
      <c r="P1097" s="10"/>
      <c r="T1097" s="10"/>
      <c r="U1097" s="10"/>
      <c r="V1097" s="10"/>
      <c r="W1097" s="10"/>
      <c r="X1097" s="10"/>
      <c r="Y1097" s="10"/>
      <c r="Z1097" s="10"/>
      <c r="AA1097" s="10"/>
      <c r="AB1097" s="10"/>
      <c r="AC1097" s="10"/>
      <c r="AD1097" s="10"/>
      <c r="AE1097" s="10"/>
      <c r="AF1097" s="10"/>
      <c r="AG1097" s="10"/>
      <c r="AH1097" s="10"/>
      <c r="AI1097" s="10"/>
      <c r="AJ1097" s="10"/>
      <c r="AK1097" s="10"/>
      <c r="AL1097" s="10"/>
      <c r="AM1097" s="10"/>
      <c r="AN1097" s="10"/>
      <c r="AO1097" s="10"/>
      <c r="AP1097" s="10"/>
      <c r="AQ1097" s="10"/>
      <c r="AR1097" s="10"/>
      <c r="AS1097" s="10"/>
      <c r="AT1097" s="10"/>
      <c r="AU1097" s="10"/>
      <c r="AV1097" s="10"/>
      <c r="AW1097" s="143"/>
      <c r="AX1097" s="10"/>
      <c r="AY1097" s="10"/>
      <c r="AZ1097" s="10"/>
      <c r="BE1097" s="10"/>
      <c r="BF1097" s="10"/>
      <c r="BG1097" s="10"/>
      <c r="BH1097" s="10"/>
      <c r="BI1097" s="10"/>
      <c r="BJ1097" s="10"/>
      <c r="BK1097" s="10"/>
      <c r="BS1097" s="10"/>
      <c r="BT1097" s="10"/>
      <c r="BW1097" s="10"/>
    </row>
    <row r="1098">
      <c r="A1098" s="10"/>
      <c r="B1098" s="10"/>
      <c r="C1098" s="10"/>
      <c r="D1098" s="10"/>
      <c r="E1098" s="10"/>
      <c r="F1098" s="10"/>
      <c r="G1098" s="10"/>
      <c r="H1098" s="10"/>
      <c r="I1098" s="10"/>
      <c r="J1098" s="10"/>
      <c r="N1098" s="10"/>
      <c r="O1098" s="10"/>
      <c r="P1098" s="10"/>
      <c r="Q1098" s="10"/>
      <c r="R1098" s="10"/>
      <c r="S1098" s="10"/>
      <c r="T1098" s="10"/>
      <c r="U1098" s="10"/>
      <c r="V1098" s="10"/>
      <c r="W1098" s="10"/>
      <c r="X1098" s="10"/>
      <c r="Y1098" s="10"/>
      <c r="Z1098" s="10"/>
      <c r="AA1098" s="10"/>
      <c r="AB1098" s="10"/>
      <c r="AC1098" s="10"/>
      <c r="AD1098" s="10"/>
      <c r="AE1098" s="10"/>
      <c r="AF1098" s="10"/>
      <c r="AG1098" s="10"/>
      <c r="AH1098" s="10"/>
      <c r="AI1098" s="10"/>
      <c r="AJ1098" s="10"/>
      <c r="AK1098" s="10"/>
      <c r="AL1098" s="10"/>
      <c r="AM1098" s="10"/>
      <c r="AN1098" s="10"/>
      <c r="AO1098" s="10"/>
      <c r="AP1098" s="10"/>
      <c r="AQ1098" s="10"/>
      <c r="AR1098" s="10"/>
      <c r="AS1098" s="10"/>
      <c r="AT1098" s="10"/>
      <c r="AU1098" s="10"/>
      <c r="AV1098" s="10"/>
      <c r="AW1098" s="143"/>
      <c r="AX1098" s="10"/>
      <c r="AY1098" s="10"/>
      <c r="AZ1098" s="10"/>
      <c r="BE1098" s="10"/>
      <c r="BF1098" s="10"/>
      <c r="BG1098" s="10"/>
      <c r="BH1098" s="10"/>
      <c r="BI1098" s="10"/>
      <c r="BJ1098" s="10"/>
      <c r="BK1098" s="10"/>
      <c r="BL1098" s="10"/>
      <c r="BO1098" s="10"/>
      <c r="BR1098" s="10"/>
      <c r="BS1098" s="10"/>
      <c r="BT1098" s="10"/>
      <c r="BW1098" s="10"/>
    </row>
    <row r="1099">
      <c r="A1099" s="10"/>
      <c r="B1099" s="10"/>
      <c r="C1099" s="10"/>
      <c r="D1099" s="10"/>
      <c r="E1099" s="10"/>
      <c r="F1099" s="10"/>
      <c r="G1099" s="10"/>
      <c r="H1099" s="10"/>
      <c r="I1099" s="10"/>
      <c r="J1099" s="10"/>
      <c r="N1099" s="10"/>
      <c r="O1099" s="10"/>
      <c r="P1099" s="10"/>
      <c r="T1099" s="10"/>
      <c r="U1099" s="10"/>
      <c r="V1099" s="10"/>
      <c r="W1099" s="10"/>
      <c r="X1099" s="10"/>
      <c r="Y1099" s="10"/>
      <c r="Z1099" s="10"/>
      <c r="AA1099" s="10"/>
      <c r="AB1099" s="10"/>
      <c r="AC1099" s="10"/>
      <c r="AD1099" s="10"/>
      <c r="AE1099" s="10"/>
      <c r="AF1099" s="10"/>
      <c r="AG1099" s="10"/>
      <c r="AH1099" s="10"/>
      <c r="AI1099" s="10"/>
      <c r="AJ1099" s="10"/>
      <c r="AK1099" s="10"/>
      <c r="AL1099" s="10"/>
      <c r="AM1099" s="10"/>
      <c r="AN1099" s="10"/>
      <c r="AO1099" s="10"/>
      <c r="AP1099" s="10"/>
      <c r="AQ1099" s="10"/>
      <c r="AR1099" s="10"/>
      <c r="AS1099" s="10"/>
      <c r="AT1099" s="10"/>
      <c r="AU1099" s="10"/>
      <c r="AV1099" s="10"/>
      <c r="AW1099" s="143"/>
      <c r="AX1099" s="10"/>
      <c r="AY1099" s="10"/>
      <c r="AZ1099" s="10"/>
      <c r="BE1099" s="10"/>
      <c r="BF1099" s="10"/>
      <c r="BG1099" s="10"/>
      <c r="BH1099" s="10"/>
      <c r="BI1099" s="10"/>
      <c r="BJ1099" s="10"/>
      <c r="BK1099" s="10"/>
      <c r="BS1099" s="10"/>
      <c r="BT1099" s="10"/>
      <c r="BW1099" s="10"/>
    </row>
    <row r="1100">
      <c r="A1100" s="10"/>
      <c r="B1100" s="10"/>
      <c r="C1100" s="10"/>
      <c r="D1100" s="10"/>
      <c r="E1100" s="10"/>
      <c r="F1100" s="10"/>
      <c r="G1100" s="10"/>
      <c r="H1100" s="10"/>
      <c r="I1100" s="10"/>
      <c r="J1100" s="10"/>
      <c r="N1100" s="10"/>
      <c r="O1100" s="10"/>
      <c r="P1100" s="10"/>
      <c r="T1100" s="10"/>
      <c r="U1100" s="10"/>
      <c r="V1100" s="10"/>
      <c r="W1100" s="10"/>
      <c r="X1100" s="10"/>
      <c r="Y1100" s="10"/>
      <c r="Z1100" s="10"/>
      <c r="AA1100" s="10"/>
      <c r="AB1100" s="10"/>
      <c r="AC1100" s="10"/>
      <c r="AD1100" s="10"/>
      <c r="AE1100" s="10"/>
      <c r="AF1100" s="10"/>
      <c r="AG1100" s="10"/>
      <c r="AH1100" s="10"/>
      <c r="AI1100" s="10"/>
      <c r="AJ1100" s="10"/>
      <c r="AK1100" s="10"/>
      <c r="AL1100" s="10"/>
      <c r="AM1100" s="10"/>
      <c r="AN1100" s="10"/>
      <c r="AO1100" s="10"/>
      <c r="AP1100" s="10"/>
      <c r="AQ1100" s="10"/>
      <c r="AR1100" s="10"/>
      <c r="AS1100" s="10"/>
      <c r="AT1100" s="10"/>
      <c r="AU1100" s="10"/>
      <c r="AV1100" s="10"/>
      <c r="AW1100" s="143"/>
      <c r="AX1100" s="10"/>
      <c r="AY1100" s="10"/>
      <c r="AZ1100" s="10"/>
      <c r="BE1100" s="10"/>
      <c r="BF1100" s="10"/>
      <c r="BG1100" s="10"/>
      <c r="BH1100" s="10"/>
      <c r="BI1100" s="10"/>
      <c r="BJ1100" s="10"/>
      <c r="BK1100" s="10"/>
      <c r="BS1100" s="10"/>
      <c r="BT1100" s="10"/>
      <c r="BW1100" s="10"/>
    </row>
    <row r="1101">
      <c r="A1101" s="10"/>
      <c r="B1101" s="10"/>
      <c r="C1101" s="10"/>
      <c r="D1101" s="10"/>
      <c r="E1101" s="10"/>
      <c r="F1101" s="10"/>
      <c r="G1101" s="10"/>
      <c r="H1101" s="10"/>
      <c r="I1101" s="10"/>
      <c r="J1101" s="10"/>
      <c r="N1101" s="10"/>
      <c r="O1101" s="10"/>
      <c r="P1101" s="10"/>
      <c r="Q1101" s="10"/>
      <c r="R1101" s="10"/>
      <c r="S1101" s="10"/>
      <c r="T1101" s="10"/>
      <c r="U1101" s="10"/>
      <c r="V1101" s="10"/>
      <c r="W1101" s="10"/>
      <c r="X1101" s="10"/>
      <c r="Y1101" s="10"/>
      <c r="Z1101" s="10"/>
      <c r="AA1101" s="10"/>
      <c r="AB1101" s="10"/>
      <c r="AC1101" s="10"/>
      <c r="AD1101" s="10"/>
      <c r="AE1101" s="10"/>
      <c r="AF1101" s="10"/>
      <c r="AG1101" s="10"/>
      <c r="AH1101" s="10"/>
      <c r="AI1101" s="10"/>
      <c r="AJ1101" s="10"/>
      <c r="AK1101" s="10"/>
      <c r="AL1101" s="10"/>
      <c r="AM1101" s="10"/>
      <c r="AN1101" s="10"/>
      <c r="AO1101" s="10"/>
      <c r="AP1101" s="10"/>
      <c r="AQ1101" s="10"/>
      <c r="AR1101" s="10"/>
      <c r="AS1101" s="10"/>
      <c r="AT1101" s="10"/>
      <c r="AU1101" s="10"/>
      <c r="AV1101" s="10"/>
      <c r="AW1101" s="143"/>
      <c r="AX1101" s="10"/>
      <c r="AY1101" s="10"/>
      <c r="AZ1101" s="10"/>
      <c r="BE1101" s="10"/>
      <c r="BF1101" s="10"/>
      <c r="BG1101" s="10"/>
      <c r="BH1101" s="10"/>
      <c r="BI1101" s="10"/>
      <c r="BJ1101" s="10"/>
      <c r="BK1101" s="10"/>
      <c r="BL1101" s="10"/>
      <c r="BO1101" s="10"/>
      <c r="BR1101" s="10"/>
      <c r="BS1101" s="10"/>
      <c r="BT1101" s="10"/>
      <c r="BW1101" s="10"/>
    </row>
    <row r="1102">
      <c r="A1102" s="10"/>
      <c r="B1102" s="10"/>
      <c r="C1102" s="10"/>
      <c r="D1102" s="10"/>
      <c r="E1102" s="10"/>
      <c r="F1102" s="10"/>
      <c r="G1102" s="10"/>
      <c r="H1102" s="10"/>
      <c r="I1102" s="10"/>
      <c r="J1102" s="10"/>
      <c r="N1102" s="10"/>
      <c r="O1102" s="10"/>
      <c r="P1102" s="10"/>
      <c r="Q1102" s="10"/>
      <c r="R1102" s="10"/>
      <c r="S1102" s="10"/>
      <c r="T1102" s="10"/>
      <c r="U1102" s="10"/>
      <c r="V1102" s="10"/>
      <c r="W1102" s="10"/>
      <c r="X1102" s="10"/>
      <c r="Y1102" s="10"/>
      <c r="Z1102" s="10"/>
      <c r="AA1102" s="10"/>
      <c r="AB1102" s="10"/>
      <c r="AC1102" s="10"/>
      <c r="AD1102" s="10"/>
      <c r="AE1102" s="10"/>
      <c r="AF1102" s="10"/>
      <c r="AG1102" s="10"/>
      <c r="AH1102" s="10"/>
      <c r="AI1102" s="10"/>
      <c r="AJ1102" s="10"/>
      <c r="AK1102" s="10"/>
      <c r="AL1102" s="10"/>
      <c r="AM1102" s="10"/>
      <c r="AN1102" s="10"/>
      <c r="AO1102" s="10"/>
      <c r="AP1102" s="10"/>
      <c r="AQ1102" s="10"/>
      <c r="AR1102" s="10"/>
      <c r="AS1102" s="10"/>
      <c r="AT1102" s="10"/>
      <c r="AU1102" s="10"/>
      <c r="AV1102" s="10"/>
      <c r="AW1102" s="143"/>
      <c r="AX1102" s="10"/>
      <c r="AY1102" s="10"/>
      <c r="AZ1102" s="10"/>
      <c r="BE1102" s="10"/>
      <c r="BF1102" s="10"/>
      <c r="BG1102" s="10"/>
      <c r="BH1102" s="10"/>
      <c r="BI1102" s="10"/>
      <c r="BJ1102" s="10"/>
      <c r="BK1102" s="10"/>
      <c r="BL1102" s="10"/>
      <c r="BO1102" s="10"/>
      <c r="BR1102" s="10"/>
      <c r="BS1102" s="10"/>
      <c r="BT1102" s="10"/>
      <c r="BW1102" s="10"/>
    </row>
    <row r="1103">
      <c r="A1103" s="10"/>
      <c r="B1103" s="10"/>
      <c r="C1103" s="10"/>
      <c r="D1103" s="10"/>
      <c r="E1103" s="10"/>
      <c r="F1103" s="10"/>
      <c r="G1103" s="10"/>
      <c r="H1103" s="10"/>
      <c r="I1103" s="10"/>
      <c r="J1103" s="10"/>
      <c r="N1103" s="10"/>
      <c r="O1103" s="10"/>
      <c r="P1103" s="10"/>
      <c r="Q1103" s="10"/>
      <c r="R1103" s="10"/>
      <c r="S1103" s="10"/>
      <c r="T1103" s="10"/>
      <c r="U1103" s="10"/>
      <c r="V1103" s="10"/>
      <c r="W1103" s="10"/>
      <c r="X1103" s="10"/>
      <c r="Y1103" s="10"/>
      <c r="Z1103" s="10"/>
      <c r="AA1103" s="10"/>
      <c r="AB1103" s="10"/>
      <c r="AC1103" s="10"/>
      <c r="AD1103" s="10"/>
      <c r="AE1103" s="10"/>
      <c r="AF1103" s="10"/>
      <c r="AG1103" s="10"/>
      <c r="AH1103" s="10"/>
      <c r="AI1103" s="10"/>
      <c r="AJ1103" s="10"/>
      <c r="AK1103" s="10"/>
      <c r="AL1103" s="10"/>
      <c r="AM1103" s="10"/>
      <c r="AN1103" s="10"/>
      <c r="AO1103" s="10"/>
      <c r="AP1103" s="10"/>
      <c r="AQ1103" s="10"/>
      <c r="AR1103" s="10"/>
      <c r="AS1103" s="10"/>
      <c r="AT1103" s="10"/>
      <c r="AU1103" s="10"/>
      <c r="AV1103" s="10"/>
      <c r="AW1103" s="143"/>
      <c r="AX1103" s="10"/>
      <c r="AY1103" s="10"/>
      <c r="AZ1103" s="10"/>
      <c r="BE1103" s="10"/>
      <c r="BF1103" s="10"/>
      <c r="BG1103" s="10"/>
      <c r="BH1103" s="10"/>
      <c r="BI1103" s="10"/>
      <c r="BJ1103" s="10"/>
      <c r="BK1103" s="10"/>
      <c r="BL1103" s="10"/>
      <c r="BO1103" s="10"/>
      <c r="BR1103" s="10"/>
      <c r="BS1103" s="10"/>
      <c r="BT1103" s="10"/>
      <c r="BW1103" s="10"/>
    </row>
    <row r="1104">
      <c r="A1104" s="10"/>
      <c r="B1104" s="10"/>
      <c r="C1104" s="10"/>
      <c r="D1104" s="10"/>
      <c r="E1104" s="10"/>
      <c r="F1104" s="10"/>
      <c r="G1104" s="10"/>
      <c r="H1104" s="10"/>
      <c r="I1104" s="10"/>
      <c r="J1104" s="10"/>
      <c r="N1104" s="10"/>
      <c r="O1104" s="10"/>
      <c r="P1104" s="10"/>
      <c r="Q1104" s="10"/>
      <c r="R1104" s="10"/>
      <c r="S1104" s="10"/>
      <c r="T1104" s="10"/>
      <c r="U1104" s="10"/>
      <c r="V1104" s="10"/>
      <c r="W1104" s="10"/>
      <c r="X1104" s="10"/>
      <c r="Y1104" s="10"/>
      <c r="Z1104" s="10"/>
      <c r="AA1104" s="10"/>
      <c r="AB1104" s="10"/>
      <c r="AC1104" s="10"/>
      <c r="AD1104" s="10"/>
      <c r="AE1104" s="10"/>
      <c r="AF1104" s="10"/>
      <c r="AG1104" s="10"/>
      <c r="AH1104" s="10"/>
      <c r="AI1104" s="10"/>
      <c r="AJ1104" s="10"/>
      <c r="AK1104" s="10"/>
      <c r="AL1104" s="10"/>
      <c r="AM1104" s="10"/>
      <c r="AN1104" s="10"/>
      <c r="AO1104" s="10"/>
      <c r="AP1104" s="10"/>
      <c r="AQ1104" s="10"/>
      <c r="AR1104" s="10"/>
      <c r="AS1104" s="10"/>
      <c r="AT1104" s="10"/>
      <c r="AU1104" s="10"/>
      <c r="AV1104" s="10"/>
      <c r="AW1104" s="143"/>
      <c r="AX1104" s="10"/>
      <c r="AY1104" s="10"/>
      <c r="AZ1104" s="10"/>
      <c r="BE1104" s="10"/>
      <c r="BF1104" s="10"/>
      <c r="BG1104" s="10"/>
      <c r="BH1104" s="10"/>
      <c r="BI1104" s="10"/>
      <c r="BJ1104" s="10"/>
      <c r="BK1104" s="10"/>
      <c r="BL1104" s="10"/>
      <c r="BO1104" s="10"/>
      <c r="BR1104" s="10"/>
      <c r="BS1104" s="10"/>
      <c r="BT1104" s="10"/>
      <c r="BW1104" s="10"/>
    </row>
    <row r="1105">
      <c r="A1105" s="10"/>
      <c r="B1105" s="10"/>
      <c r="C1105" s="10"/>
      <c r="D1105" s="10"/>
      <c r="E1105" s="10"/>
      <c r="F1105" s="10"/>
      <c r="G1105" s="10"/>
      <c r="H1105" s="10"/>
      <c r="I1105" s="10"/>
      <c r="J1105" s="10"/>
      <c r="N1105" s="10"/>
      <c r="O1105" s="10"/>
      <c r="P1105" s="10"/>
      <c r="Q1105" s="10"/>
      <c r="R1105" s="10"/>
      <c r="S1105" s="10"/>
      <c r="T1105" s="10"/>
      <c r="U1105" s="10"/>
      <c r="V1105" s="10"/>
      <c r="W1105" s="10"/>
      <c r="X1105" s="10"/>
      <c r="Y1105" s="10"/>
      <c r="Z1105" s="10"/>
      <c r="AA1105" s="10"/>
      <c r="AB1105" s="10"/>
      <c r="AC1105" s="10"/>
      <c r="AD1105" s="10"/>
      <c r="AE1105" s="10"/>
      <c r="AF1105" s="10"/>
      <c r="AG1105" s="10"/>
      <c r="AH1105" s="10"/>
      <c r="AI1105" s="10"/>
      <c r="AJ1105" s="10"/>
      <c r="AK1105" s="10"/>
      <c r="AL1105" s="10"/>
      <c r="AM1105" s="10"/>
      <c r="AN1105" s="10"/>
      <c r="AO1105" s="10"/>
      <c r="AP1105" s="10"/>
      <c r="AQ1105" s="10"/>
      <c r="AR1105" s="10"/>
      <c r="AS1105" s="10"/>
      <c r="AT1105" s="10"/>
      <c r="AU1105" s="10"/>
      <c r="AV1105" s="10"/>
      <c r="AW1105" s="143"/>
      <c r="AX1105" s="10"/>
      <c r="AY1105" s="10"/>
      <c r="AZ1105" s="10"/>
      <c r="BE1105" s="10"/>
      <c r="BF1105" s="10"/>
      <c r="BG1105" s="10"/>
      <c r="BH1105" s="10"/>
      <c r="BI1105" s="10"/>
      <c r="BJ1105" s="10"/>
      <c r="BK1105" s="10"/>
      <c r="BL1105" s="10"/>
      <c r="BO1105" s="10"/>
      <c r="BR1105" s="10"/>
      <c r="BS1105" s="10"/>
      <c r="BT1105" s="10"/>
      <c r="BW1105" s="10"/>
    </row>
    <row r="1106">
      <c r="A1106" s="10"/>
      <c r="B1106" s="10"/>
      <c r="C1106" s="10"/>
      <c r="D1106" s="10"/>
      <c r="E1106" s="10"/>
      <c r="F1106" s="10"/>
      <c r="G1106" s="10"/>
      <c r="H1106" s="10"/>
      <c r="I1106" s="10"/>
      <c r="J1106" s="10"/>
      <c r="N1106" s="10"/>
      <c r="O1106" s="10"/>
      <c r="P1106" s="10"/>
      <c r="Q1106" s="10"/>
      <c r="R1106" s="10"/>
      <c r="S1106" s="10"/>
      <c r="T1106" s="10"/>
      <c r="U1106" s="10"/>
      <c r="V1106" s="10"/>
      <c r="W1106" s="10"/>
      <c r="X1106" s="10"/>
      <c r="Y1106" s="10"/>
      <c r="Z1106" s="10"/>
      <c r="AA1106" s="10"/>
      <c r="AB1106" s="10"/>
      <c r="AC1106" s="10"/>
      <c r="AD1106" s="10"/>
      <c r="AE1106" s="10"/>
      <c r="AF1106" s="10"/>
      <c r="AG1106" s="10"/>
      <c r="AH1106" s="10"/>
      <c r="AI1106" s="10"/>
      <c r="AJ1106" s="10"/>
      <c r="AK1106" s="10"/>
      <c r="AL1106" s="10"/>
      <c r="AM1106" s="10"/>
      <c r="AN1106" s="10"/>
      <c r="AO1106" s="10"/>
      <c r="AP1106" s="10"/>
      <c r="AQ1106" s="10"/>
      <c r="AR1106" s="10"/>
      <c r="AS1106" s="10"/>
      <c r="AT1106" s="10"/>
      <c r="AU1106" s="10"/>
      <c r="AV1106" s="10"/>
      <c r="AW1106" s="143"/>
      <c r="AX1106" s="10"/>
      <c r="AY1106" s="10"/>
      <c r="AZ1106" s="10"/>
      <c r="BE1106" s="10"/>
      <c r="BF1106" s="10"/>
      <c r="BG1106" s="10"/>
      <c r="BH1106" s="10"/>
      <c r="BI1106" s="10"/>
      <c r="BJ1106" s="10"/>
      <c r="BK1106" s="10"/>
      <c r="BL1106" s="10"/>
      <c r="BO1106" s="10"/>
      <c r="BR1106" s="10"/>
      <c r="BS1106" s="10"/>
      <c r="BT1106" s="10"/>
      <c r="BW1106" s="10"/>
    </row>
    <row r="1107">
      <c r="A1107" s="10"/>
      <c r="B1107" s="10"/>
      <c r="C1107" s="10"/>
      <c r="D1107" s="10"/>
      <c r="E1107" s="10"/>
      <c r="F1107" s="10"/>
      <c r="G1107" s="10"/>
      <c r="H1107" s="10"/>
      <c r="I1107" s="10"/>
      <c r="J1107" s="10"/>
      <c r="K1107" s="10"/>
      <c r="L1107" s="10"/>
      <c r="N1107" s="10"/>
      <c r="O1107" s="10"/>
      <c r="P1107" s="10"/>
      <c r="T1107" s="10"/>
      <c r="U1107" s="10"/>
      <c r="V1107" s="10"/>
      <c r="W1107" s="10"/>
      <c r="X1107" s="10"/>
      <c r="Y1107" s="10"/>
      <c r="Z1107" s="10"/>
      <c r="AA1107" s="10"/>
      <c r="AB1107" s="10"/>
      <c r="AC1107" s="10"/>
      <c r="AD1107" s="10"/>
      <c r="AE1107" s="10"/>
      <c r="AF1107" s="10"/>
      <c r="AG1107" s="10"/>
      <c r="AH1107" s="10"/>
      <c r="AI1107" s="10"/>
      <c r="AJ1107" s="10"/>
      <c r="AK1107" s="10"/>
      <c r="AL1107" s="10"/>
      <c r="AM1107" s="10"/>
      <c r="AN1107" s="10"/>
      <c r="AO1107" s="10"/>
      <c r="AP1107" s="10"/>
      <c r="AQ1107" s="10"/>
      <c r="AR1107" s="10"/>
      <c r="AS1107" s="10"/>
      <c r="AT1107" s="10"/>
      <c r="AU1107" s="10"/>
      <c r="AV1107" s="10"/>
      <c r="AW1107" s="143"/>
      <c r="AX1107" s="10"/>
      <c r="AY1107" s="10"/>
      <c r="BL1107" s="10"/>
      <c r="BO1107" s="10"/>
      <c r="BR1107" s="10"/>
      <c r="BS1107" s="10"/>
      <c r="BT1107" s="10"/>
      <c r="BW1107" s="10"/>
    </row>
    <row r="1108">
      <c r="A1108" s="10"/>
      <c r="B1108" s="10"/>
      <c r="C1108" s="10"/>
      <c r="D1108" s="10"/>
      <c r="E1108" s="10"/>
      <c r="F1108" s="10"/>
      <c r="G1108" s="10"/>
      <c r="H1108" s="10"/>
      <c r="I1108" s="10"/>
      <c r="J1108" s="10"/>
      <c r="K1108" s="10"/>
      <c r="L1108" s="10"/>
      <c r="N1108" s="10"/>
      <c r="O1108" s="10"/>
      <c r="P1108" s="10"/>
      <c r="T1108" s="10"/>
      <c r="U1108" s="10"/>
      <c r="V1108" s="10"/>
      <c r="W1108" s="10"/>
      <c r="X1108" s="10"/>
      <c r="Y1108" s="10"/>
      <c r="Z1108" s="10"/>
      <c r="AA1108" s="10"/>
      <c r="AB1108" s="10"/>
      <c r="AC1108" s="10"/>
      <c r="AD1108" s="10"/>
      <c r="AE1108" s="10"/>
      <c r="AF1108" s="10"/>
      <c r="AG1108" s="10"/>
      <c r="AH1108" s="10"/>
      <c r="AI1108" s="10"/>
      <c r="AJ1108" s="10"/>
      <c r="AK1108" s="10"/>
      <c r="AL1108" s="10"/>
      <c r="AM1108" s="10"/>
      <c r="AN1108" s="10"/>
      <c r="AO1108" s="10"/>
      <c r="AP1108" s="10"/>
      <c r="AQ1108" s="10"/>
      <c r="AR1108" s="10"/>
      <c r="AS1108" s="10"/>
      <c r="AT1108" s="10"/>
      <c r="AU1108" s="10"/>
      <c r="AV1108" s="10"/>
      <c r="AW1108" s="143"/>
      <c r="AX1108" s="10"/>
      <c r="AY1108" s="10"/>
      <c r="BL1108" s="10"/>
      <c r="BO1108" s="10"/>
      <c r="BR1108" s="10"/>
      <c r="BS1108" s="10"/>
      <c r="BT1108" s="10"/>
      <c r="BW1108" s="10"/>
    </row>
    <row r="1109">
      <c r="A1109" s="10"/>
      <c r="B1109" s="10"/>
      <c r="C1109" s="10"/>
      <c r="D1109" s="10"/>
      <c r="E1109" s="10"/>
      <c r="F1109" s="10"/>
      <c r="G1109" s="10"/>
      <c r="H1109" s="10"/>
      <c r="I1109" s="10"/>
      <c r="J1109" s="10"/>
      <c r="K1109" s="10"/>
      <c r="L1109" s="10"/>
      <c r="N1109" s="10"/>
      <c r="O1109" s="10"/>
      <c r="P1109" s="10"/>
      <c r="T1109" s="10"/>
      <c r="U1109" s="10"/>
      <c r="V1109" s="10"/>
      <c r="W1109" s="10"/>
      <c r="Y1109" s="10"/>
      <c r="Z1109" s="10"/>
      <c r="AA1109" s="10"/>
      <c r="AB1109" s="10"/>
      <c r="AC1109" s="10"/>
      <c r="AD1109" s="10"/>
      <c r="AE1109" s="10"/>
      <c r="AF1109" s="10"/>
      <c r="AG1109" s="10"/>
      <c r="AH1109" s="10"/>
      <c r="AI1109" s="10"/>
      <c r="AJ1109" s="10"/>
      <c r="AK1109" s="10"/>
      <c r="AL1109" s="10"/>
      <c r="AM1109" s="10"/>
      <c r="AN1109" s="10"/>
      <c r="AO1109" s="10"/>
      <c r="AP1109" s="10"/>
      <c r="AQ1109" s="10"/>
      <c r="AR1109" s="10"/>
      <c r="AS1109" s="10"/>
      <c r="AU1109" s="10"/>
      <c r="AV1109" s="10"/>
      <c r="AW1109" s="143"/>
      <c r="AX1109" s="10"/>
      <c r="AY1109" s="10"/>
      <c r="BS1109" s="10"/>
      <c r="BT1109" s="10"/>
      <c r="BW1109" s="10"/>
    </row>
    <row r="1110">
      <c r="A1110" s="10"/>
      <c r="B1110" s="10"/>
      <c r="C1110" s="10"/>
      <c r="D1110" s="10"/>
      <c r="E1110" s="10"/>
      <c r="F1110" s="10"/>
      <c r="G1110" s="10"/>
      <c r="H1110" s="10"/>
      <c r="I1110" s="10"/>
      <c r="J1110" s="10"/>
      <c r="K1110" s="10"/>
      <c r="L1110" s="10"/>
      <c r="N1110" s="10"/>
      <c r="O1110" s="10"/>
      <c r="P1110" s="10"/>
      <c r="T1110" s="10"/>
      <c r="U1110" s="10"/>
      <c r="V1110" s="10"/>
      <c r="W1110" s="10"/>
      <c r="Y1110" s="10"/>
      <c r="Z1110" s="10"/>
      <c r="AA1110" s="10"/>
      <c r="AB1110" s="10"/>
      <c r="AC1110" s="10"/>
      <c r="AD1110" s="10"/>
      <c r="AE1110" s="10"/>
      <c r="AF1110" s="10"/>
      <c r="AG1110" s="10"/>
      <c r="AH1110" s="10"/>
      <c r="AI1110" s="10"/>
      <c r="AJ1110" s="10"/>
      <c r="AK1110" s="10"/>
      <c r="AL1110" s="10"/>
      <c r="AM1110" s="10"/>
      <c r="AN1110" s="10"/>
      <c r="AO1110" s="10"/>
      <c r="AP1110" s="10"/>
      <c r="AQ1110" s="10"/>
      <c r="AR1110" s="10"/>
      <c r="AS1110" s="10"/>
      <c r="AU1110" s="10"/>
      <c r="AV1110" s="10"/>
      <c r="AW1110" s="143"/>
      <c r="AX1110" s="10"/>
      <c r="AY1110" s="10"/>
      <c r="BE1110" s="10"/>
      <c r="BF1110" s="10"/>
      <c r="BG1110" s="10"/>
      <c r="BH1110" s="10"/>
      <c r="BI1110" s="10"/>
      <c r="BJ1110" s="10"/>
      <c r="BK1110" s="10"/>
      <c r="BS1110" s="10"/>
      <c r="BT1110" s="10"/>
      <c r="BW1110" s="10"/>
    </row>
    <row r="1111">
      <c r="A1111" s="10"/>
      <c r="B1111" s="10"/>
      <c r="C1111" s="10"/>
      <c r="D1111" s="10"/>
      <c r="E1111" s="10"/>
      <c r="F1111" s="10"/>
      <c r="G1111" s="10"/>
      <c r="H1111" s="10"/>
      <c r="I1111" s="10"/>
      <c r="J1111" s="10"/>
      <c r="K1111" s="10"/>
      <c r="L1111" s="10"/>
      <c r="N1111" s="10"/>
      <c r="O1111" s="10"/>
      <c r="P1111" s="10"/>
      <c r="T1111" s="10"/>
      <c r="U1111" s="10"/>
      <c r="V1111" s="10"/>
      <c r="W1111" s="10"/>
      <c r="Y1111" s="10"/>
      <c r="Z1111" s="10"/>
      <c r="AA1111" s="10"/>
      <c r="AB1111" s="10"/>
      <c r="AC1111" s="10"/>
      <c r="AD1111" s="10"/>
      <c r="AE1111" s="10"/>
      <c r="AF1111" s="10"/>
      <c r="AG1111" s="10"/>
      <c r="AH1111" s="10"/>
      <c r="AI1111" s="10"/>
      <c r="AJ1111" s="10"/>
      <c r="AK1111" s="10"/>
      <c r="AL1111" s="10"/>
      <c r="AM1111" s="10"/>
      <c r="AN1111" s="10"/>
      <c r="AO1111" s="10"/>
      <c r="AP1111" s="10"/>
      <c r="AQ1111" s="10"/>
      <c r="AR1111" s="10"/>
      <c r="AS1111" s="10"/>
      <c r="AU1111" s="10"/>
      <c r="AV1111" s="10"/>
      <c r="AW1111" s="143"/>
      <c r="AX1111" s="10"/>
      <c r="AY1111" s="10"/>
      <c r="BE1111" s="10"/>
      <c r="BF1111" s="10"/>
      <c r="BG1111" s="10"/>
      <c r="BH1111" s="10"/>
      <c r="BI1111" s="10"/>
      <c r="BJ1111" s="10"/>
      <c r="BK1111" s="10"/>
      <c r="BS1111" s="10"/>
      <c r="BT1111" s="10"/>
      <c r="BW1111" s="10"/>
    </row>
    <row r="1112">
      <c r="A1112" s="10"/>
      <c r="B1112" s="10"/>
      <c r="C1112" s="10"/>
      <c r="D1112" s="10"/>
      <c r="E1112" s="10"/>
      <c r="F1112" s="10"/>
      <c r="G1112" s="10"/>
      <c r="H1112" s="10"/>
      <c r="I1112" s="10"/>
      <c r="J1112" s="10"/>
      <c r="K1112" s="10"/>
      <c r="L1112" s="10"/>
      <c r="N1112" s="10"/>
      <c r="O1112" s="10"/>
      <c r="P1112" s="10"/>
      <c r="T1112" s="10"/>
      <c r="U1112" s="10"/>
      <c r="V1112" s="10"/>
      <c r="W1112" s="10"/>
      <c r="Y1112" s="10"/>
      <c r="Z1112" s="10"/>
      <c r="AA1112" s="10"/>
      <c r="AB1112" s="10"/>
      <c r="AC1112" s="10"/>
      <c r="AD1112" s="10"/>
      <c r="AE1112" s="10"/>
      <c r="AF1112" s="10"/>
      <c r="AG1112" s="10"/>
      <c r="AH1112" s="10"/>
      <c r="AI1112" s="10"/>
      <c r="AJ1112" s="10"/>
      <c r="AK1112" s="10"/>
      <c r="AL1112" s="10"/>
      <c r="AM1112" s="10"/>
      <c r="AN1112" s="10"/>
      <c r="AO1112" s="10"/>
      <c r="AP1112" s="10"/>
      <c r="AQ1112" s="10"/>
      <c r="AR1112" s="10"/>
      <c r="AS1112" s="10"/>
      <c r="AU1112" s="10"/>
      <c r="AV1112" s="10"/>
      <c r="AW1112" s="143"/>
      <c r="AX1112" s="10"/>
      <c r="AY1112" s="10"/>
      <c r="BE1112" s="10"/>
      <c r="BF1112" s="10"/>
      <c r="BG1112" s="10"/>
      <c r="BH1112" s="10"/>
      <c r="BI1112" s="10"/>
      <c r="BJ1112" s="10"/>
      <c r="BK1112" s="10"/>
      <c r="BS1112" s="10"/>
      <c r="BT1112" s="10"/>
      <c r="BW1112" s="10"/>
    </row>
    <row r="1113">
      <c r="A1113" s="10"/>
      <c r="B1113" s="10"/>
      <c r="C1113" s="10"/>
      <c r="D1113" s="10"/>
      <c r="E1113" s="10"/>
      <c r="F1113" s="10"/>
      <c r="G1113" s="10"/>
      <c r="H1113" s="10"/>
      <c r="I1113" s="10"/>
      <c r="J1113" s="10"/>
      <c r="K1113" s="10"/>
      <c r="L1113" s="10"/>
      <c r="N1113" s="10"/>
      <c r="O1113" s="10"/>
      <c r="P1113" s="10"/>
      <c r="T1113" s="10"/>
      <c r="U1113" s="10"/>
      <c r="V1113" s="10"/>
      <c r="W1113" s="10"/>
      <c r="Y1113" s="10"/>
      <c r="Z1113" s="10"/>
      <c r="AA1113" s="10"/>
      <c r="AB1113" s="10"/>
      <c r="AC1113" s="10"/>
      <c r="AD1113" s="10"/>
      <c r="AE1113" s="10"/>
      <c r="AF1113" s="10"/>
      <c r="AG1113" s="10"/>
      <c r="AH1113" s="10"/>
      <c r="AI1113" s="10"/>
      <c r="AJ1113" s="10"/>
      <c r="AK1113" s="10"/>
      <c r="AL1113" s="10"/>
      <c r="AM1113" s="10"/>
      <c r="AN1113" s="10"/>
      <c r="AO1113" s="10"/>
      <c r="AP1113" s="10"/>
      <c r="AQ1113" s="10"/>
      <c r="AR1113" s="10"/>
      <c r="AS1113" s="10"/>
      <c r="AU1113" s="10"/>
      <c r="AV1113" s="10"/>
      <c r="AW1113" s="143"/>
      <c r="AX1113" s="10"/>
      <c r="AY1113" s="10"/>
      <c r="BE1113" s="10"/>
      <c r="BF1113" s="10"/>
      <c r="BG1113" s="10"/>
      <c r="BH1113" s="10"/>
      <c r="BI1113" s="10"/>
      <c r="BJ1113" s="10"/>
      <c r="BK1113" s="10"/>
      <c r="BS1113" s="10"/>
      <c r="BT1113" s="10"/>
      <c r="BW1113" s="10"/>
    </row>
    <row r="1114">
      <c r="A1114" s="10"/>
      <c r="B1114" s="10"/>
      <c r="C1114" s="10"/>
      <c r="D1114" s="10"/>
      <c r="E1114" s="10"/>
      <c r="F1114" s="10"/>
      <c r="G1114" s="10"/>
      <c r="H1114" s="10"/>
      <c r="I1114" s="10"/>
      <c r="J1114" s="10"/>
      <c r="K1114" s="10"/>
      <c r="L1114" s="10"/>
      <c r="N1114" s="10"/>
      <c r="O1114" s="10"/>
      <c r="P1114" s="10"/>
      <c r="T1114" s="10"/>
      <c r="U1114" s="10"/>
      <c r="V1114" s="10"/>
      <c r="W1114" s="10"/>
      <c r="Y1114" s="10"/>
      <c r="Z1114" s="10"/>
      <c r="AA1114" s="10"/>
      <c r="AB1114" s="10"/>
      <c r="AC1114" s="10"/>
      <c r="AD1114" s="10"/>
      <c r="AE1114" s="10"/>
      <c r="AF1114" s="10"/>
      <c r="AG1114" s="10"/>
      <c r="AH1114" s="10"/>
      <c r="AI1114" s="10"/>
      <c r="AJ1114" s="10"/>
      <c r="AK1114" s="10"/>
      <c r="AL1114" s="10"/>
      <c r="AM1114" s="10"/>
      <c r="AN1114" s="10"/>
      <c r="AO1114" s="10"/>
      <c r="AP1114" s="10"/>
      <c r="AQ1114" s="10"/>
      <c r="AR1114" s="10"/>
      <c r="AS1114" s="10"/>
      <c r="AU1114" s="10"/>
      <c r="AV1114" s="10"/>
      <c r="AW1114" s="143"/>
      <c r="AX1114" s="10"/>
      <c r="AY1114" s="10"/>
      <c r="BE1114" s="10"/>
      <c r="BF1114" s="10"/>
      <c r="BG1114" s="10"/>
      <c r="BH1114" s="10"/>
      <c r="BI1114" s="10"/>
      <c r="BJ1114" s="10"/>
      <c r="BK1114" s="10"/>
      <c r="BS1114" s="10"/>
      <c r="BT1114" s="10"/>
      <c r="BW1114" s="10"/>
    </row>
    <row r="1115">
      <c r="A1115" s="10"/>
      <c r="B1115" s="10"/>
      <c r="C1115" s="10"/>
      <c r="D1115" s="10"/>
      <c r="E1115" s="10"/>
      <c r="F1115" s="10"/>
      <c r="G1115" s="10"/>
      <c r="H1115" s="10"/>
      <c r="I1115" s="10"/>
      <c r="J1115" s="10"/>
      <c r="K1115" s="10"/>
      <c r="L1115" s="10"/>
      <c r="N1115" s="10"/>
      <c r="O1115" s="10"/>
      <c r="P1115" s="10"/>
      <c r="T1115" s="10"/>
      <c r="U1115" s="10"/>
      <c r="V1115" s="10"/>
      <c r="W1115" s="10"/>
      <c r="Y1115" s="10"/>
      <c r="Z1115" s="10"/>
      <c r="AA1115" s="10"/>
      <c r="AB1115" s="10"/>
      <c r="AC1115" s="10"/>
      <c r="AD1115" s="10"/>
      <c r="AE1115" s="10"/>
      <c r="AF1115" s="10"/>
      <c r="AG1115" s="10"/>
      <c r="AH1115" s="10"/>
      <c r="AI1115" s="10"/>
      <c r="AJ1115" s="10"/>
      <c r="AK1115" s="10"/>
      <c r="AL1115" s="10"/>
      <c r="AM1115" s="10"/>
      <c r="AN1115" s="10"/>
      <c r="AO1115" s="10"/>
      <c r="AP1115" s="10"/>
      <c r="AQ1115" s="10"/>
      <c r="AR1115" s="10"/>
      <c r="AS1115" s="10"/>
      <c r="AU1115" s="10"/>
      <c r="AV1115" s="10"/>
      <c r="AW1115" s="143"/>
      <c r="AX1115" s="10"/>
      <c r="AY1115" s="10"/>
      <c r="BE1115" s="10"/>
      <c r="BF1115" s="10"/>
      <c r="BG1115" s="10"/>
      <c r="BH1115" s="10"/>
      <c r="BI1115" s="10"/>
      <c r="BJ1115" s="10"/>
      <c r="BK1115" s="10"/>
      <c r="BS1115" s="10"/>
      <c r="BT1115" s="10"/>
      <c r="BW1115" s="10"/>
    </row>
    <row r="1116">
      <c r="A1116" s="10"/>
      <c r="B1116" s="10"/>
      <c r="C1116" s="10"/>
      <c r="D1116" s="10"/>
      <c r="E1116" s="10"/>
      <c r="F1116" s="10"/>
      <c r="G1116" s="10"/>
      <c r="H1116" s="10"/>
      <c r="I1116" s="10"/>
      <c r="J1116" s="10"/>
      <c r="K1116" s="10"/>
      <c r="L1116" s="10"/>
      <c r="N1116" s="10"/>
      <c r="O1116" s="10"/>
      <c r="P1116" s="10"/>
      <c r="T1116" s="10"/>
      <c r="U1116" s="10"/>
      <c r="V1116" s="10"/>
      <c r="W1116" s="10"/>
      <c r="Y1116" s="10"/>
      <c r="Z1116" s="10"/>
      <c r="AA1116" s="10"/>
      <c r="AB1116" s="10"/>
      <c r="AC1116" s="10"/>
      <c r="AD1116" s="10"/>
      <c r="AE1116" s="10"/>
      <c r="AF1116" s="10"/>
      <c r="AG1116" s="10"/>
      <c r="AH1116" s="10"/>
      <c r="AI1116" s="10"/>
      <c r="AJ1116" s="10"/>
      <c r="AK1116" s="10"/>
      <c r="AL1116" s="10"/>
      <c r="AM1116" s="10"/>
      <c r="AN1116" s="10"/>
      <c r="AO1116" s="10"/>
      <c r="AP1116" s="10"/>
      <c r="AQ1116" s="10"/>
      <c r="AR1116" s="10"/>
      <c r="AS1116" s="10"/>
      <c r="AU1116" s="10"/>
      <c r="AV1116" s="10"/>
      <c r="AW1116" s="143"/>
      <c r="AX1116" s="10"/>
      <c r="AY1116" s="10"/>
      <c r="BS1116" s="10"/>
      <c r="BT1116" s="10"/>
      <c r="BW1116" s="10"/>
    </row>
    <row r="1117">
      <c r="A1117" s="10"/>
      <c r="B1117" s="10"/>
      <c r="C1117" s="10"/>
      <c r="D1117" s="10"/>
      <c r="E1117" s="10"/>
      <c r="F1117" s="10"/>
      <c r="G1117" s="10"/>
      <c r="H1117" s="10"/>
      <c r="I1117" s="10"/>
      <c r="J1117" s="10"/>
      <c r="K1117" s="10"/>
      <c r="L1117" s="10"/>
      <c r="N1117" s="10"/>
      <c r="O1117" s="10"/>
      <c r="P1117" s="10"/>
      <c r="T1117" s="10"/>
      <c r="U1117" s="10"/>
      <c r="V1117" s="10"/>
      <c r="W1117" s="10"/>
      <c r="Y1117" s="10"/>
      <c r="Z1117" s="10"/>
      <c r="AA1117" s="10"/>
      <c r="AB1117" s="10"/>
      <c r="AC1117" s="10"/>
      <c r="AD1117" s="10"/>
      <c r="AE1117" s="10"/>
      <c r="AF1117" s="10"/>
      <c r="AG1117" s="10"/>
      <c r="AH1117" s="10"/>
      <c r="AI1117" s="10"/>
      <c r="AJ1117" s="10"/>
      <c r="AK1117" s="10"/>
      <c r="AL1117" s="10"/>
      <c r="AM1117" s="10"/>
      <c r="AN1117" s="10"/>
      <c r="AO1117" s="10"/>
      <c r="AP1117" s="10"/>
      <c r="AQ1117" s="10"/>
      <c r="AR1117" s="10"/>
      <c r="AS1117" s="10"/>
      <c r="AU1117" s="10"/>
      <c r="AV1117" s="10"/>
      <c r="AW1117" s="143"/>
      <c r="AX1117" s="10"/>
      <c r="AY1117" s="10"/>
      <c r="BS1117" s="10"/>
      <c r="BT1117" s="10"/>
      <c r="BW1117" s="10"/>
    </row>
    <row r="1118">
      <c r="A1118" s="10"/>
      <c r="B1118" s="10"/>
      <c r="C1118" s="10"/>
      <c r="D1118" s="10"/>
      <c r="E1118" s="10"/>
      <c r="F1118" s="10"/>
      <c r="G1118" s="10"/>
      <c r="H1118" s="10"/>
      <c r="I1118" s="10"/>
      <c r="J1118" s="10"/>
      <c r="K1118" s="10"/>
      <c r="L1118" s="10"/>
      <c r="N1118" s="10"/>
      <c r="O1118" s="10"/>
      <c r="P1118" s="10"/>
      <c r="T1118" s="10"/>
      <c r="U1118" s="10"/>
      <c r="V1118" s="10"/>
      <c r="W1118" s="10"/>
      <c r="X1118" s="10"/>
      <c r="Y1118" s="10"/>
      <c r="Z1118" s="10"/>
      <c r="AA1118" s="10"/>
      <c r="AB1118" s="10"/>
      <c r="AC1118" s="10"/>
      <c r="AD1118" s="10"/>
      <c r="AE1118" s="10"/>
      <c r="AF1118" s="10"/>
      <c r="AG1118" s="10"/>
      <c r="AH1118" s="10"/>
      <c r="AI1118" s="10"/>
      <c r="AJ1118" s="10"/>
      <c r="AK1118" s="10"/>
      <c r="AL1118" s="10"/>
      <c r="AM1118" s="10"/>
      <c r="AN1118" s="10"/>
      <c r="AO1118" s="10"/>
      <c r="AP1118" s="10"/>
      <c r="AQ1118" s="10"/>
      <c r="AR1118" s="10"/>
      <c r="AS1118" s="10"/>
      <c r="AT1118" s="10"/>
      <c r="AU1118" s="10"/>
      <c r="AV1118" s="10"/>
      <c r="AW1118" s="143"/>
      <c r="AX1118" s="10"/>
      <c r="AY1118" s="10"/>
      <c r="BS1118" s="10"/>
      <c r="BT1118" s="10"/>
      <c r="BW1118" s="10"/>
    </row>
    <row r="1119">
      <c r="A1119" s="10"/>
      <c r="B1119" s="10"/>
      <c r="C1119" s="10"/>
      <c r="D1119" s="10"/>
      <c r="E1119" s="10"/>
      <c r="F1119" s="10"/>
      <c r="G1119" s="10"/>
      <c r="H1119" s="10"/>
      <c r="I1119" s="10"/>
      <c r="J1119" s="10"/>
      <c r="N1119" s="10"/>
      <c r="O1119" s="10"/>
      <c r="P1119" s="10"/>
      <c r="T1119" s="10"/>
      <c r="U1119" s="10"/>
      <c r="V1119" s="10"/>
      <c r="W1119" s="10"/>
      <c r="X1119" s="10"/>
      <c r="Y1119" s="10"/>
      <c r="Z1119" s="10"/>
      <c r="AA1119" s="10"/>
      <c r="AB1119" s="10"/>
      <c r="AC1119" s="10"/>
      <c r="AD1119" s="10"/>
      <c r="AE1119" s="10"/>
      <c r="AF1119" s="10"/>
      <c r="AG1119" s="10"/>
      <c r="AH1119" s="10"/>
      <c r="AI1119" s="10"/>
      <c r="AJ1119" s="10"/>
      <c r="AK1119" s="10"/>
      <c r="AL1119" s="10"/>
      <c r="AM1119" s="10"/>
      <c r="AN1119" s="10"/>
      <c r="AO1119" s="10"/>
      <c r="AP1119" s="10"/>
      <c r="AQ1119" s="10"/>
      <c r="AR1119" s="10"/>
      <c r="AS1119" s="10"/>
      <c r="AT1119" s="10"/>
      <c r="AU1119" s="10"/>
      <c r="AV1119" s="10"/>
      <c r="AW1119" s="143"/>
      <c r="AX1119" s="10"/>
      <c r="AY1119" s="10"/>
      <c r="AZ1119" s="10"/>
      <c r="BE1119" s="10"/>
      <c r="BF1119" s="10"/>
      <c r="BG1119" s="10"/>
      <c r="BH1119" s="10"/>
      <c r="BI1119" s="10"/>
      <c r="BJ1119" s="10"/>
      <c r="BK1119" s="10"/>
      <c r="BL1119" s="10"/>
      <c r="BM1119" s="10"/>
      <c r="BN1119" s="10"/>
      <c r="BO1119" s="10"/>
      <c r="BP1119" s="10"/>
      <c r="BQ1119" s="10"/>
      <c r="BR1119" s="10"/>
      <c r="BS1119" s="10"/>
      <c r="BT1119" s="10"/>
      <c r="BW1119" s="10"/>
    </row>
    <row r="1120">
      <c r="A1120" s="10"/>
      <c r="B1120" s="10"/>
      <c r="C1120" s="10"/>
      <c r="D1120" s="10"/>
      <c r="E1120" s="10"/>
      <c r="F1120" s="10"/>
      <c r="G1120" s="10"/>
      <c r="H1120" s="10"/>
      <c r="I1120" s="10"/>
      <c r="J1120" s="10"/>
      <c r="K1120" s="10"/>
      <c r="L1120" s="10"/>
      <c r="N1120" s="10"/>
      <c r="O1120" s="10"/>
      <c r="Q1120" s="10"/>
      <c r="R1120" s="10"/>
      <c r="T1120" s="10"/>
      <c r="U1120" s="10"/>
      <c r="V1120" s="10"/>
      <c r="W1120" s="10"/>
      <c r="X1120" s="10"/>
      <c r="Y1120" s="10"/>
      <c r="Z1120" s="10"/>
      <c r="AA1120" s="10"/>
      <c r="AB1120" s="10"/>
      <c r="AC1120" s="10"/>
      <c r="AD1120" s="10"/>
      <c r="AE1120" s="10"/>
      <c r="AF1120" s="10"/>
      <c r="AG1120" s="10"/>
      <c r="AH1120" s="10"/>
      <c r="AI1120" s="10"/>
      <c r="AJ1120" s="10"/>
      <c r="AK1120" s="10"/>
      <c r="AL1120" s="10"/>
      <c r="AM1120" s="10"/>
      <c r="AN1120" s="10"/>
      <c r="AO1120" s="10"/>
      <c r="AP1120" s="10"/>
      <c r="AQ1120" s="10"/>
      <c r="AR1120" s="10"/>
      <c r="AS1120" s="10"/>
      <c r="AT1120" s="10"/>
      <c r="AU1120" s="10"/>
      <c r="AV1120" s="10"/>
      <c r="AW1120" s="143"/>
      <c r="AX1120" s="10"/>
      <c r="AY1120" s="10"/>
      <c r="AZ1120" s="10"/>
      <c r="BE1120" s="10"/>
      <c r="BF1120" s="10"/>
      <c r="BG1120" s="10"/>
      <c r="BH1120" s="10"/>
      <c r="BI1120" s="10"/>
      <c r="BJ1120" s="10"/>
      <c r="BK1120" s="10"/>
      <c r="BL1120" s="10"/>
      <c r="BM1120" s="10"/>
      <c r="BN1120" s="10"/>
      <c r="BO1120" s="10"/>
      <c r="BP1120" s="10"/>
      <c r="BQ1120" s="10"/>
      <c r="BR1120" s="10"/>
      <c r="BS1120" s="10"/>
      <c r="BT1120" s="10"/>
      <c r="BW1120" s="10"/>
    </row>
    <row r="1121">
      <c r="A1121" s="10"/>
      <c r="B1121" s="10"/>
      <c r="C1121" s="10"/>
      <c r="D1121" s="10"/>
      <c r="E1121" s="10"/>
      <c r="F1121" s="10"/>
      <c r="G1121" s="10"/>
      <c r="H1121" s="10"/>
      <c r="I1121" s="10"/>
      <c r="J1121" s="10"/>
      <c r="K1121" s="10"/>
      <c r="L1121" s="10"/>
      <c r="N1121" s="10"/>
      <c r="O1121" s="10"/>
      <c r="T1121" s="10"/>
      <c r="U1121" s="10"/>
      <c r="V1121" s="10"/>
      <c r="W1121" s="10"/>
      <c r="X1121" s="10"/>
      <c r="Y1121" s="10"/>
      <c r="Z1121" s="10"/>
      <c r="AA1121" s="10"/>
      <c r="AB1121" s="10"/>
      <c r="AC1121" s="10"/>
      <c r="AD1121" s="10"/>
      <c r="AE1121" s="10"/>
      <c r="AF1121" s="10"/>
      <c r="AG1121" s="10"/>
      <c r="AH1121" s="10"/>
      <c r="AI1121" s="10"/>
      <c r="AJ1121" s="10"/>
      <c r="AK1121" s="10"/>
      <c r="AL1121" s="10"/>
      <c r="AM1121" s="10"/>
      <c r="AN1121" s="10"/>
      <c r="AO1121" s="10"/>
      <c r="AP1121" s="10"/>
      <c r="AQ1121" s="10"/>
      <c r="AR1121" s="10"/>
      <c r="AS1121" s="10"/>
      <c r="AT1121" s="10"/>
      <c r="AU1121" s="10"/>
      <c r="AV1121" s="10"/>
      <c r="AW1121" s="143"/>
      <c r="AX1121" s="10"/>
      <c r="AY1121" s="10"/>
      <c r="AZ1121" s="10"/>
      <c r="BE1121" s="10"/>
      <c r="BF1121" s="10"/>
      <c r="BG1121" s="10"/>
      <c r="BH1121" s="10"/>
      <c r="BI1121" s="10"/>
      <c r="BJ1121" s="10"/>
      <c r="BK1121" s="10"/>
      <c r="BL1121" s="10"/>
      <c r="BM1121" s="10"/>
      <c r="BN1121" s="10"/>
      <c r="BO1121" s="10"/>
      <c r="BP1121" s="10"/>
      <c r="BQ1121" s="10"/>
      <c r="BR1121" s="10"/>
      <c r="BS1121" s="10"/>
      <c r="BT1121" s="10"/>
      <c r="BW1121" s="10"/>
    </row>
    <row r="1122">
      <c r="A1122" s="10"/>
      <c r="B1122" s="10"/>
      <c r="C1122" s="10"/>
      <c r="D1122" s="10"/>
      <c r="E1122" s="10"/>
      <c r="F1122" s="10"/>
      <c r="G1122" s="10"/>
      <c r="H1122" s="10"/>
      <c r="I1122" s="10"/>
      <c r="J1122" s="10"/>
      <c r="K1122" s="10"/>
      <c r="L1122" s="10"/>
      <c r="N1122" s="10"/>
      <c r="O1122" s="10"/>
      <c r="P1122" s="10"/>
      <c r="Q1122" s="10"/>
      <c r="R1122" s="10"/>
      <c r="S1122" s="10"/>
      <c r="T1122" s="10"/>
      <c r="U1122" s="10"/>
      <c r="V1122" s="10"/>
      <c r="W1122" s="10"/>
      <c r="X1122" s="10"/>
      <c r="Y1122" s="10"/>
      <c r="Z1122" s="10"/>
      <c r="AA1122" s="10"/>
      <c r="AB1122" s="10"/>
      <c r="AC1122" s="10"/>
      <c r="AD1122" s="10"/>
      <c r="AE1122" s="10"/>
      <c r="AF1122" s="10"/>
      <c r="AG1122" s="10"/>
      <c r="AH1122" s="10"/>
      <c r="AI1122" s="10"/>
      <c r="AJ1122" s="10"/>
      <c r="AK1122" s="10"/>
      <c r="AL1122" s="10"/>
      <c r="AM1122" s="10"/>
      <c r="AN1122" s="10"/>
      <c r="AO1122" s="10"/>
      <c r="AP1122" s="10"/>
      <c r="AQ1122" s="10"/>
      <c r="AR1122" s="10"/>
      <c r="AS1122" s="10"/>
      <c r="AT1122" s="10"/>
      <c r="AU1122" s="10"/>
      <c r="AV1122" s="10"/>
      <c r="AW1122" s="143"/>
      <c r="AX1122" s="10"/>
      <c r="AY1122" s="10"/>
      <c r="BE1122" s="10"/>
      <c r="BF1122" s="10"/>
      <c r="BG1122" s="10"/>
      <c r="BH1122" s="10"/>
      <c r="BI1122" s="10"/>
      <c r="BJ1122" s="10"/>
      <c r="BK1122" s="10"/>
      <c r="BL1122" s="10"/>
      <c r="BM1122" s="10"/>
      <c r="BN1122" s="10"/>
      <c r="BO1122" s="10"/>
      <c r="BP1122" s="10"/>
      <c r="BQ1122" s="10"/>
      <c r="BR1122" s="10"/>
      <c r="BS1122" s="10"/>
      <c r="BT1122" s="10"/>
      <c r="BW1122" s="10"/>
    </row>
    <row r="1123">
      <c r="A1123" s="10"/>
      <c r="B1123" s="10"/>
      <c r="C1123" s="10"/>
      <c r="D1123" s="10"/>
      <c r="E1123" s="10"/>
      <c r="F1123" s="10"/>
      <c r="G1123" s="10"/>
      <c r="H1123" s="10"/>
      <c r="I1123" s="10"/>
      <c r="J1123" s="10"/>
      <c r="K1123" s="10"/>
      <c r="L1123" s="10"/>
      <c r="N1123" s="10"/>
      <c r="O1123" s="10"/>
      <c r="T1123" s="10"/>
      <c r="U1123" s="10"/>
      <c r="V1123" s="10"/>
      <c r="W1123" s="10"/>
      <c r="X1123" s="10"/>
      <c r="Y1123" s="10"/>
      <c r="Z1123" s="10"/>
      <c r="AA1123" s="10"/>
      <c r="AB1123" s="10"/>
      <c r="AC1123" s="10"/>
      <c r="AD1123" s="10"/>
      <c r="AE1123" s="10"/>
      <c r="AF1123" s="10"/>
      <c r="AG1123" s="10"/>
      <c r="AH1123" s="10"/>
      <c r="AI1123" s="10"/>
      <c r="AJ1123" s="10"/>
      <c r="AK1123" s="10"/>
      <c r="AL1123" s="10"/>
      <c r="AM1123" s="10"/>
      <c r="AN1123" s="10"/>
      <c r="AO1123" s="10"/>
      <c r="AP1123" s="10"/>
      <c r="AQ1123" s="10"/>
      <c r="AR1123" s="10"/>
      <c r="AS1123" s="10"/>
      <c r="AT1123" s="10"/>
      <c r="AU1123" s="10"/>
      <c r="AV1123" s="10"/>
      <c r="AW1123" s="143"/>
      <c r="AX1123" s="10"/>
      <c r="AY1123" s="10"/>
      <c r="AZ1123" s="10"/>
      <c r="BE1123" s="10"/>
      <c r="BF1123" s="10"/>
      <c r="BG1123" s="10"/>
      <c r="BH1123" s="10"/>
      <c r="BI1123" s="10"/>
      <c r="BJ1123" s="10"/>
      <c r="BK1123" s="10"/>
      <c r="BL1123" s="10"/>
      <c r="BS1123" s="10"/>
      <c r="BT1123" s="10"/>
      <c r="BW1123" s="10"/>
    </row>
    <row r="1124">
      <c r="A1124" s="10"/>
      <c r="B1124" s="10"/>
      <c r="C1124" s="10"/>
      <c r="D1124" s="10"/>
      <c r="E1124" s="10"/>
      <c r="F1124" s="10"/>
      <c r="G1124" s="10"/>
      <c r="H1124" s="10"/>
      <c r="I1124" s="10"/>
      <c r="J1124" s="10"/>
      <c r="K1124" s="10"/>
      <c r="L1124" s="10"/>
      <c r="N1124" s="10"/>
      <c r="O1124" s="10"/>
      <c r="T1124" s="10"/>
      <c r="U1124" s="10"/>
      <c r="V1124" s="10"/>
      <c r="W1124" s="10"/>
      <c r="X1124" s="10"/>
      <c r="Y1124" s="10"/>
      <c r="Z1124" s="10"/>
      <c r="AA1124" s="10"/>
      <c r="AB1124" s="10"/>
      <c r="AC1124" s="10"/>
      <c r="AD1124" s="10"/>
      <c r="AE1124" s="10"/>
      <c r="AF1124" s="10"/>
      <c r="AG1124" s="10"/>
      <c r="AH1124" s="10"/>
      <c r="AI1124" s="10"/>
      <c r="AJ1124" s="10"/>
      <c r="AK1124" s="10"/>
      <c r="AL1124" s="10"/>
      <c r="AM1124" s="10"/>
      <c r="AN1124" s="10"/>
      <c r="AO1124" s="10"/>
      <c r="AP1124" s="10"/>
      <c r="AQ1124" s="10"/>
      <c r="AR1124" s="10"/>
      <c r="AS1124" s="10"/>
      <c r="AT1124" s="10"/>
      <c r="AU1124" s="10"/>
      <c r="AV1124" s="10"/>
      <c r="AW1124" s="143"/>
      <c r="AX1124" s="10"/>
      <c r="AY1124" s="10"/>
      <c r="AZ1124" s="10"/>
      <c r="BE1124" s="10"/>
      <c r="BF1124" s="10"/>
      <c r="BG1124" s="10"/>
      <c r="BH1124" s="10"/>
      <c r="BI1124" s="10"/>
      <c r="BJ1124" s="10"/>
      <c r="BK1124" s="10"/>
      <c r="BS1124" s="10"/>
      <c r="BT1124" s="10"/>
      <c r="BW1124" s="10"/>
    </row>
    <row r="1125">
      <c r="A1125" s="10"/>
      <c r="B1125" s="10"/>
      <c r="C1125" s="10"/>
      <c r="D1125" s="10"/>
      <c r="E1125" s="10"/>
      <c r="F1125" s="10"/>
      <c r="G1125" s="10"/>
      <c r="H1125" s="10"/>
      <c r="I1125" s="10"/>
      <c r="J1125" s="10"/>
      <c r="K1125" s="10"/>
      <c r="L1125" s="10"/>
      <c r="N1125" s="10"/>
      <c r="O1125" s="10"/>
      <c r="P1125" s="10"/>
      <c r="T1125" s="10"/>
      <c r="U1125" s="10"/>
      <c r="V1125" s="10"/>
      <c r="W1125" s="10"/>
      <c r="X1125" s="10"/>
      <c r="Y1125" s="10"/>
      <c r="Z1125" s="10"/>
      <c r="AA1125" s="10"/>
      <c r="AB1125" s="10"/>
      <c r="AC1125" s="10"/>
      <c r="AD1125" s="10"/>
      <c r="AE1125" s="10"/>
      <c r="AF1125" s="10"/>
      <c r="AG1125" s="10"/>
      <c r="AH1125" s="10"/>
      <c r="AI1125" s="10"/>
      <c r="AJ1125" s="10"/>
      <c r="AK1125" s="10"/>
      <c r="AL1125" s="10"/>
      <c r="AM1125" s="10"/>
      <c r="AN1125" s="10"/>
      <c r="AO1125" s="10"/>
      <c r="AP1125" s="10"/>
      <c r="AQ1125" s="10"/>
      <c r="AR1125" s="10"/>
      <c r="AS1125" s="10"/>
      <c r="AT1125" s="10"/>
      <c r="AU1125" s="10"/>
      <c r="AV1125" s="10"/>
      <c r="AW1125" s="143"/>
      <c r="AX1125" s="10"/>
      <c r="AY1125" s="10"/>
      <c r="BE1125" s="10"/>
      <c r="BF1125" s="10"/>
      <c r="BG1125" s="10"/>
      <c r="BH1125" s="10"/>
      <c r="BI1125" s="10"/>
      <c r="BJ1125" s="10"/>
      <c r="BK1125" s="10"/>
      <c r="BS1125" s="10"/>
      <c r="BT1125" s="10"/>
      <c r="BW1125" s="10"/>
    </row>
    <row r="1126">
      <c r="A1126" s="10"/>
      <c r="B1126" s="10"/>
      <c r="C1126" s="10"/>
      <c r="D1126" s="10"/>
      <c r="E1126" s="10"/>
      <c r="F1126" s="10"/>
      <c r="G1126" s="10"/>
      <c r="H1126" s="10"/>
      <c r="I1126" s="10"/>
      <c r="J1126" s="10"/>
      <c r="K1126" s="10"/>
      <c r="L1126" s="10"/>
      <c r="N1126" s="10"/>
      <c r="O1126" s="10"/>
      <c r="Q1126" s="10"/>
      <c r="R1126" s="10"/>
      <c r="S1126" s="10"/>
      <c r="T1126" s="10"/>
      <c r="U1126" s="10"/>
      <c r="V1126" s="10"/>
      <c r="W1126" s="10"/>
      <c r="X1126" s="10"/>
      <c r="Y1126" s="10"/>
      <c r="Z1126" s="10"/>
      <c r="AA1126" s="10"/>
      <c r="AB1126" s="10"/>
      <c r="AC1126" s="10"/>
      <c r="AD1126" s="10"/>
      <c r="AE1126" s="10"/>
      <c r="AF1126" s="10"/>
      <c r="AG1126" s="10"/>
      <c r="AH1126" s="10"/>
      <c r="AI1126" s="10"/>
      <c r="AJ1126" s="10"/>
      <c r="AK1126" s="10"/>
      <c r="AL1126" s="10"/>
      <c r="AM1126" s="10"/>
      <c r="AN1126" s="10"/>
      <c r="AO1126" s="10"/>
      <c r="AP1126" s="10"/>
      <c r="AQ1126" s="10"/>
      <c r="AR1126" s="10"/>
      <c r="AS1126" s="10"/>
      <c r="AT1126" s="10"/>
      <c r="AU1126" s="10"/>
      <c r="AV1126" s="10"/>
      <c r="AW1126" s="143"/>
      <c r="AX1126" s="10"/>
      <c r="AY1126" s="10"/>
      <c r="BE1126" s="10"/>
      <c r="BF1126" s="10"/>
      <c r="BG1126" s="10"/>
      <c r="BH1126" s="10"/>
      <c r="BI1126" s="10"/>
      <c r="BJ1126" s="10"/>
      <c r="BK1126" s="10"/>
      <c r="BL1126" s="10"/>
      <c r="BM1126" s="10"/>
      <c r="BN1126" s="10"/>
      <c r="BO1126" s="10"/>
      <c r="BP1126" s="10"/>
      <c r="BQ1126" s="10"/>
      <c r="BR1126" s="10"/>
      <c r="BS1126" s="10"/>
      <c r="BT1126" s="10"/>
      <c r="BW1126" s="10"/>
    </row>
    <row r="1127">
      <c r="A1127" s="10"/>
      <c r="B1127" s="10"/>
      <c r="C1127" s="10"/>
      <c r="D1127" s="10"/>
      <c r="E1127" s="10"/>
      <c r="F1127" s="10"/>
      <c r="G1127" s="10"/>
      <c r="H1127" s="10"/>
      <c r="I1127" s="10"/>
      <c r="J1127" s="10"/>
      <c r="N1127" s="10"/>
      <c r="O1127" s="10"/>
      <c r="T1127" s="10"/>
      <c r="U1127" s="10"/>
      <c r="V1127" s="10"/>
      <c r="W1127" s="10"/>
      <c r="X1127" s="10"/>
      <c r="Y1127" s="10"/>
      <c r="Z1127" s="10"/>
      <c r="AA1127" s="10"/>
      <c r="AB1127" s="10"/>
      <c r="AC1127" s="10"/>
      <c r="AD1127" s="10"/>
      <c r="AE1127" s="10"/>
      <c r="AF1127" s="10"/>
      <c r="AG1127" s="10"/>
      <c r="AH1127" s="10"/>
      <c r="AI1127" s="10"/>
      <c r="AJ1127" s="10"/>
      <c r="AK1127" s="10"/>
      <c r="AL1127" s="10"/>
      <c r="AM1127" s="10"/>
      <c r="AN1127" s="10"/>
      <c r="AO1127" s="10"/>
      <c r="AP1127" s="10"/>
      <c r="AQ1127" s="10"/>
      <c r="AR1127" s="10"/>
      <c r="AS1127" s="10"/>
      <c r="AT1127" s="10"/>
      <c r="AU1127" s="10"/>
      <c r="AV1127" s="10"/>
      <c r="AW1127" s="143"/>
      <c r="AX1127" s="10"/>
      <c r="AY1127" s="10"/>
      <c r="BE1127" s="10"/>
      <c r="BF1127" s="10"/>
      <c r="BG1127" s="10"/>
      <c r="BH1127" s="10"/>
      <c r="BI1127" s="10"/>
      <c r="BJ1127" s="10"/>
      <c r="BK1127" s="10"/>
      <c r="BL1127" s="10"/>
      <c r="BM1127" s="10"/>
      <c r="BN1127" s="10"/>
      <c r="BO1127" s="10"/>
      <c r="BP1127" s="10"/>
      <c r="BQ1127" s="10"/>
      <c r="BR1127" s="10"/>
      <c r="BS1127" s="10"/>
      <c r="BT1127" s="10"/>
      <c r="BW1127" s="10"/>
    </row>
    <row r="1128">
      <c r="A1128" s="10"/>
      <c r="B1128" s="10"/>
      <c r="C1128" s="10"/>
      <c r="D1128" s="10"/>
      <c r="E1128" s="10"/>
      <c r="F1128" s="10"/>
      <c r="G1128" s="10"/>
      <c r="H1128" s="10"/>
      <c r="I1128" s="10"/>
      <c r="J1128" s="10"/>
      <c r="K1128" s="10"/>
      <c r="L1128" s="10"/>
      <c r="N1128" s="10"/>
      <c r="O1128" s="10"/>
      <c r="P1128" s="10"/>
      <c r="Q1128" s="10"/>
      <c r="R1128" s="10"/>
      <c r="S1128" s="10"/>
      <c r="T1128" s="10"/>
      <c r="U1128" s="10"/>
      <c r="V1128" s="10"/>
      <c r="W1128" s="10"/>
      <c r="X1128" s="10"/>
      <c r="Y1128" s="10"/>
      <c r="Z1128" s="10"/>
      <c r="AA1128" s="10"/>
      <c r="AB1128" s="10"/>
      <c r="AC1128" s="10"/>
      <c r="AD1128" s="10"/>
      <c r="AE1128" s="10"/>
      <c r="AF1128" s="10"/>
      <c r="AG1128" s="10"/>
      <c r="AH1128" s="10"/>
      <c r="AI1128" s="10"/>
      <c r="AJ1128" s="10"/>
      <c r="AK1128" s="10"/>
      <c r="AL1128" s="10"/>
      <c r="AM1128" s="10"/>
      <c r="AN1128" s="10"/>
      <c r="AO1128" s="10"/>
      <c r="AP1128" s="10"/>
      <c r="AQ1128" s="10"/>
      <c r="AR1128" s="10"/>
      <c r="AS1128" s="10"/>
      <c r="AT1128" s="10"/>
      <c r="AU1128" s="10"/>
      <c r="AV1128" s="10"/>
      <c r="AW1128" s="143"/>
      <c r="AX1128" s="10"/>
      <c r="AY1128" s="10"/>
      <c r="AZ1128" s="10"/>
      <c r="BE1128" s="10"/>
      <c r="BF1128" s="10"/>
      <c r="BG1128" s="10"/>
      <c r="BH1128" s="10"/>
      <c r="BI1128" s="10"/>
      <c r="BJ1128" s="10"/>
      <c r="BK1128" s="10"/>
      <c r="BL1128" s="10"/>
      <c r="BM1128" s="10"/>
      <c r="BN1128" s="10"/>
      <c r="BO1128" s="10"/>
      <c r="BP1128" s="10"/>
      <c r="BQ1128" s="10"/>
      <c r="BR1128" s="10"/>
      <c r="BS1128" s="10"/>
      <c r="BT1128" s="10"/>
      <c r="BW1128" s="10"/>
    </row>
    <row r="1129">
      <c r="A1129" s="10"/>
      <c r="B1129" s="10"/>
      <c r="C1129" s="10"/>
      <c r="D1129" s="10"/>
      <c r="E1129" s="10"/>
      <c r="F1129" s="10"/>
      <c r="G1129" s="10"/>
      <c r="H1129" s="10"/>
      <c r="I1129" s="10"/>
      <c r="J1129" s="10"/>
      <c r="K1129" s="10"/>
      <c r="L1129" s="10"/>
      <c r="N1129" s="10"/>
      <c r="O1129" s="10"/>
      <c r="P1129" s="10"/>
      <c r="T1129" s="10"/>
      <c r="U1129" s="10"/>
      <c r="V1129" s="10"/>
      <c r="W1129" s="10"/>
      <c r="X1129" s="10"/>
      <c r="Y1129" s="10"/>
      <c r="Z1129" s="10"/>
      <c r="AA1129" s="10"/>
      <c r="AB1129" s="10"/>
      <c r="AC1129" s="10"/>
      <c r="AD1129" s="10"/>
      <c r="AE1129" s="10"/>
      <c r="AF1129" s="10"/>
      <c r="AG1129" s="10"/>
      <c r="AH1129" s="10"/>
      <c r="AI1129" s="10"/>
      <c r="AJ1129" s="10"/>
      <c r="AK1129" s="10"/>
      <c r="AL1129" s="10"/>
      <c r="AM1129" s="10"/>
      <c r="AN1129" s="10"/>
      <c r="AO1129" s="10"/>
      <c r="AP1129" s="10"/>
      <c r="AQ1129" s="10"/>
      <c r="AR1129" s="10"/>
      <c r="AS1129" s="10"/>
      <c r="AT1129" s="10"/>
      <c r="AU1129" s="10"/>
      <c r="AV1129" s="10"/>
      <c r="AW1129" s="143"/>
      <c r="AX1129" s="10"/>
      <c r="AY1129" s="10"/>
      <c r="AZ1129" s="10"/>
      <c r="BE1129" s="10"/>
      <c r="BF1129" s="10"/>
      <c r="BG1129" s="10"/>
      <c r="BH1129" s="10"/>
      <c r="BI1129" s="10"/>
      <c r="BJ1129" s="10"/>
      <c r="BK1129" s="10"/>
      <c r="BS1129" s="10"/>
      <c r="BT1129" s="10"/>
      <c r="BW1129" s="10"/>
    </row>
    <row r="1130">
      <c r="A1130" s="10"/>
      <c r="B1130" s="10"/>
      <c r="C1130" s="10"/>
      <c r="D1130" s="10"/>
      <c r="E1130" s="10"/>
      <c r="F1130" s="10"/>
      <c r="G1130" s="10"/>
      <c r="H1130" s="10"/>
      <c r="I1130" s="10"/>
      <c r="J1130" s="10"/>
      <c r="K1130" s="10"/>
      <c r="L1130" s="10"/>
      <c r="N1130" s="10"/>
      <c r="O1130" s="10"/>
      <c r="P1130" s="10"/>
      <c r="T1130" s="10"/>
      <c r="U1130" s="10"/>
      <c r="V1130" s="10"/>
      <c r="W1130" s="10"/>
      <c r="X1130" s="10"/>
      <c r="Y1130" s="10"/>
      <c r="Z1130" s="10"/>
      <c r="AA1130" s="10"/>
      <c r="AB1130" s="10"/>
      <c r="AC1130" s="10"/>
      <c r="AD1130" s="10"/>
      <c r="AE1130" s="10"/>
      <c r="AF1130" s="10"/>
      <c r="AG1130" s="10"/>
      <c r="AH1130" s="10"/>
      <c r="AI1130" s="10"/>
      <c r="AJ1130" s="10"/>
      <c r="AK1130" s="10"/>
      <c r="AL1130" s="10"/>
      <c r="AM1130" s="10"/>
      <c r="AN1130" s="10"/>
      <c r="AO1130" s="10"/>
      <c r="AP1130" s="10"/>
      <c r="AQ1130" s="10"/>
      <c r="AR1130" s="10"/>
      <c r="AS1130" s="10"/>
      <c r="AT1130" s="10"/>
      <c r="AU1130" s="10"/>
      <c r="AV1130" s="10"/>
      <c r="AW1130" s="143"/>
      <c r="AX1130" s="10"/>
      <c r="AY1130" s="10"/>
      <c r="AZ1130" s="10"/>
      <c r="BE1130" s="10"/>
      <c r="BF1130" s="10"/>
      <c r="BG1130" s="10"/>
      <c r="BH1130" s="10"/>
      <c r="BI1130" s="10"/>
      <c r="BJ1130" s="10"/>
      <c r="BK1130" s="10"/>
      <c r="BS1130" s="10"/>
      <c r="BT1130" s="10"/>
      <c r="BW1130" s="10"/>
    </row>
    <row r="1131">
      <c r="A1131" s="10"/>
      <c r="B1131" s="10"/>
      <c r="C1131" s="10"/>
      <c r="D1131" s="10"/>
      <c r="E1131" s="10"/>
      <c r="F1131" s="10"/>
      <c r="G1131" s="10"/>
      <c r="H1131" s="10"/>
      <c r="I1131" s="10"/>
      <c r="J1131" s="10"/>
      <c r="K1131" s="10"/>
      <c r="L1131" s="10"/>
      <c r="N1131" s="10"/>
      <c r="O1131" s="10"/>
      <c r="P1131" s="10"/>
      <c r="T1131" s="10"/>
      <c r="U1131" s="10"/>
      <c r="V1131" s="10"/>
      <c r="W1131" s="10"/>
      <c r="X1131" s="10"/>
      <c r="Y1131" s="10"/>
      <c r="Z1131" s="10"/>
      <c r="AA1131" s="10"/>
      <c r="AB1131" s="10"/>
      <c r="AC1131" s="10"/>
      <c r="AD1131" s="10"/>
      <c r="AE1131" s="10"/>
      <c r="AF1131" s="10"/>
      <c r="AG1131" s="10"/>
      <c r="AH1131" s="10"/>
      <c r="AI1131" s="10"/>
      <c r="AJ1131" s="10"/>
      <c r="AK1131" s="10"/>
      <c r="AL1131" s="10"/>
      <c r="AM1131" s="10"/>
      <c r="AN1131" s="10"/>
      <c r="AO1131" s="10"/>
      <c r="AP1131" s="10"/>
      <c r="AQ1131" s="10"/>
      <c r="AR1131" s="10"/>
      <c r="AS1131" s="10"/>
      <c r="AT1131" s="10"/>
      <c r="AU1131" s="10"/>
      <c r="AV1131" s="10"/>
      <c r="AW1131" s="143"/>
      <c r="AX1131" s="10"/>
      <c r="AY1131" s="10"/>
      <c r="AZ1131" s="10"/>
      <c r="BE1131" s="10"/>
      <c r="BF1131" s="10"/>
      <c r="BG1131" s="10"/>
      <c r="BH1131" s="10"/>
      <c r="BI1131" s="10"/>
      <c r="BJ1131" s="10"/>
      <c r="BK1131" s="10"/>
      <c r="BS1131" s="10"/>
      <c r="BT1131" s="10"/>
      <c r="BW1131" s="10"/>
    </row>
    <row r="1132">
      <c r="A1132" s="10"/>
      <c r="B1132" s="10"/>
      <c r="C1132" s="10"/>
      <c r="D1132" s="10"/>
      <c r="E1132" s="10"/>
      <c r="F1132" s="10"/>
      <c r="G1132" s="10"/>
      <c r="H1132" s="10"/>
      <c r="I1132" s="10"/>
      <c r="J1132" s="10"/>
      <c r="K1132" s="10"/>
      <c r="L1132" s="10"/>
      <c r="N1132" s="10"/>
      <c r="O1132" s="10"/>
      <c r="P1132" s="10"/>
      <c r="T1132" s="10"/>
      <c r="U1132" s="10"/>
      <c r="V1132" s="10"/>
      <c r="W1132" s="10"/>
      <c r="X1132" s="10"/>
      <c r="Y1132" s="10"/>
      <c r="Z1132" s="10"/>
      <c r="AA1132" s="10"/>
      <c r="AB1132" s="10"/>
      <c r="AC1132" s="10"/>
      <c r="AD1132" s="10"/>
      <c r="AE1132" s="10"/>
      <c r="AF1132" s="10"/>
      <c r="AG1132" s="10"/>
      <c r="AH1132" s="10"/>
      <c r="AI1132" s="10"/>
      <c r="AJ1132" s="10"/>
      <c r="AK1132" s="10"/>
      <c r="AL1132" s="10"/>
      <c r="AM1132" s="10"/>
      <c r="AN1132" s="10"/>
      <c r="AO1132" s="10"/>
      <c r="AP1132" s="10"/>
      <c r="AQ1132" s="10"/>
      <c r="AR1132" s="10"/>
      <c r="AS1132" s="10"/>
      <c r="AT1132" s="10"/>
      <c r="AU1132" s="10"/>
      <c r="AV1132" s="10"/>
      <c r="AW1132" s="143"/>
      <c r="AX1132" s="10"/>
      <c r="AY1132" s="10"/>
      <c r="BE1132" s="10"/>
      <c r="BF1132" s="10"/>
      <c r="BG1132" s="10"/>
      <c r="BH1132" s="10"/>
      <c r="BI1132" s="10"/>
      <c r="BJ1132" s="10"/>
      <c r="BK1132" s="10"/>
      <c r="BS1132" s="10"/>
      <c r="BT1132" s="10"/>
      <c r="BW1132" s="10"/>
    </row>
    <row r="1133">
      <c r="A1133" s="10"/>
      <c r="B1133" s="10"/>
      <c r="C1133" s="10"/>
      <c r="D1133" s="10"/>
      <c r="E1133" s="10"/>
      <c r="F1133" s="10"/>
      <c r="G1133" s="10"/>
      <c r="H1133" s="10"/>
      <c r="I1133" s="10"/>
      <c r="J1133" s="10"/>
      <c r="K1133" s="10"/>
      <c r="L1133" s="10"/>
      <c r="N1133" s="10"/>
      <c r="O1133" s="10"/>
      <c r="Q1133" s="10"/>
      <c r="R1133" s="10"/>
      <c r="S1133" s="10"/>
      <c r="T1133" s="10"/>
      <c r="U1133" s="10"/>
      <c r="V1133" s="10"/>
      <c r="W1133" s="10"/>
      <c r="X1133" s="10"/>
      <c r="Y1133" s="10"/>
      <c r="Z1133" s="10"/>
      <c r="AA1133" s="10"/>
      <c r="AB1133" s="10"/>
      <c r="AC1133" s="10"/>
      <c r="AD1133" s="10"/>
      <c r="AE1133" s="10"/>
      <c r="AF1133" s="10"/>
      <c r="AG1133" s="10"/>
      <c r="AH1133" s="10"/>
      <c r="AI1133" s="10"/>
      <c r="AJ1133" s="10"/>
      <c r="AK1133" s="10"/>
      <c r="AL1133" s="10"/>
      <c r="AM1133" s="10"/>
      <c r="AN1133" s="10"/>
      <c r="AO1133" s="10"/>
      <c r="AP1133" s="10"/>
      <c r="AQ1133" s="10"/>
      <c r="AR1133" s="10"/>
      <c r="AS1133" s="10"/>
      <c r="AT1133" s="10"/>
      <c r="AU1133" s="10"/>
      <c r="AV1133" s="10"/>
      <c r="AW1133" s="143"/>
      <c r="AX1133" s="10"/>
      <c r="AY1133" s="10"/>
      <c r="BD1133" s="10"/>
      <c r="BE1133" s="10"/>
      <c r="BF1133" s="10"/>
      <c r="BG1133" s="10"/>
      <c r="BH1133" s="10"/>
      <c r="BI1133" s="10"/>
      <c r="BJ1133" s="10"/>
      <c r="BK1133" s="10"/>
      <c r="BL1133" s="10"/>
      <c r="BM1133" s="10"/>
      <c r="BN1133" s="10"/>
      <c r="BO1133" s="10"/>
      <c r="BP1133" s="10"/>
      <c r="BQ1133" s="10"/>
      <c r="BR1133" s="10"/>
      <c r="BS1133" s="10"/>
      <c r="BT1133" s="10"/>
      <c r="BW1133" s="10"/>
    </row>
    <row r="1134">
      <c r="A1134" s="10"/>
      <c r="B1134" s="10"/>
      <c r="C1134" s="10"/>
      <c r="D1134" s="10"/>
      <c r="E1134" s="10"/>
      <c r="F1134" s="10"/>
      <c r="G1134" s="10"/>
      <c r="H1134" s="10"/>
      <c r="I1134" s="10"/>
      <c r="J1134" s="10"/>
      <c r="K1134" s="10"/>
      <c r="L1134" s="10"/>
      <c r="N1134" s="10"/>
      <c r="O1134" s="10"/>
      <c r="Q1134" s="10"/>
      <c r="R1134" s="10"/>
      <c r="S1134" s="10"/>
      <c r="T1134" s="10"/>
      <c r="U1134" s="10"/>
      <c r="V1134" s="10"/>
      <c r="W1134" s="10"/>
      <c r="X1134" s="10"/>
      <c r="Y1134" s="10"/>
      <c r="Z1134" s="10"/>
      <c r="AA1134" s="10"/>
      <c r="AB1134" s="10"/>
      <c r="AC1134" s="10"/>
      <c r="AD1134" s="10"/>
      <c r="AE1134" s="10"/>
      <c r="AF1134" s="10"/>
      <c r="AG1134" s="10"/>
      <c r="AH1134" s="10"/>
      <c r="AI1134" s="10"/>
      <c r="AJ1134" s="10"/>
      <c r="AK1134" s="10"/>
      <c r="AL1134" s="10"/>
      <c r="AM1134" s="10"/>
      <c r="AN1134" s="10"/>
      <c r="AO1134" s="10"/>
      <c r="AP1134" s="10"/>
      <c r="AQ1134" s="10"/>
      <c r="AR1134" s="10"/>
      <c r="AS1134" s="10"/>
      <c r="AT1134" s="10"/>
      <c r="AU1134" s="10"/>
      <c r="AV1134" s="10"/>
      <c r="AW1134" s="143"/>
      <c r="AX1134" s="10"/>
      <c r="AY1134" s="10"/>
      <c r="BD1134" s="10"/>
      <c r="BE1134" s="10"/>
      <c r="BF1134" s="10"/>
      <c r="BG1134" s="10"/>
      <c r="BH1134" s="10"/>
      <c r="BI1134" s="10"/>
      <c r="BJ1134" s="10"/>
      <c r="BK1134" s="10"/>
      <c r="BL1134" s="10"/>
      <c r="BM1134" s="10"/>
      <c r="BN1134" s="10"/>
      <c r="BO1134" s="10"/>
      <c r="BP1134" s="10"/>
      <c r="BQ1134" s="10"/>
      <c r="BR1134" s="10"/>
      <c r="BS1134" s="10"/>
      <c r="BT1134" s="10"/>
      <c r="BW1134" s="10"/>
    </row>
    <row r="1135">
      <c r="A1135" s="10"/>
      <c r="B1135" s="10"/>
      <c r="C1135" s="10"/>
      <c r="D1135" s="10"/>
      <c r="E1135" s="10"/>
      <c r="F1135" s="10"/>
      <c r="G1135" s="10"/>
      <c r="H1135" s="10"/>
      <c r="I1135" s="10"/>
      <c r="J1135" s="10"/>
      <c r="N1135" s="10"/>
      <c r="O1135" s="10"/>
      <c r="T1135" s="10"/>
      <c r="U1135" s="10"/>
      <c r="V1135" s="10"/>
      <c r="W1135" s="10"/>
      <c r="X1135" s="10"/>
      <c r="Y1135" s="10"/>
      <c r="Z1135" s="10"/>
      <c r="AA1135" s="10"/>
      <c r="AB1135" s="10"/>
      <c r="AC1135" s="10"/>
      <c r="AD1135" s="10"/>
      <c r="AE1135" s="10"/>
      <c r="AF1135" s="10"/>
      <c r="AG1135" s="10"/>
      <c r="AH1135" s="10"/>
      <c r="AI1135" s="10"/>
      <c r="AJ1135" s="10"/>
      <c r="AK1135" s="10"/>
      <c r="AL1135" s="10"/>
      <c r="AM1135" s="10"/>
      <c r="AN1135" s="10"/>
      <c r="AO1135" s="10"/>
      <c r="AP1135" s="10"/>
      <c r="AQ1135" s="10"/>
      <c r="AR1135" s="10"/>
      <c r="AS1135" s="10"/>
      <c r="AT1135" s="10"/>
      <c r="AU1135" s="10"/>
      <c r="AV1135" s="10"/>
      <c r="AW1135" s="143"/>
      <c r="AX1135" s="10"/>
      <c r="AY1135" s="10"/>
      <c r="AZ1135" s="10"/>
      <c r="BE1135" s="10"/>
      <c r="BF1135" s="10"/>
      <c r="BG1135" s="10"/>
      <c r="BH1135" s="10"/>
      <c r="BI1135" s="10"/>
      <c r="BJ1135" s="10"/>
      <c r="BK1135" s="10"/>
      <c r="BL1135" s="10"/>
      <c r="BM1135" s="10"/>
      <c r="BN1135" s="10"/>
      <c r="BO1135" s="10"/>
      <c r="BP1135" s="10"/>
      <c r="BQ1135" s="10"/>
      <c r="BR1135" s="10"/>
      <c r="BS1135" s="10"/>
      <c r="BT1135" s="10"/>
      <c r="BW1135" s="10"/>
    </row>
    <row r="1136">
      <c r="A1136" s="10"/>
      <c r="B1136" s="10"/>
      <c r="C1136" s="10"/>
      <c r="D1136" s="10"/>
      <c r="E1136" s="10"/>
      <c r="F1136" s="10"/>
      <c r="G1136" s="10"/>
      <c r="H1136" s="10"/>
      <c r="I1136" s="10"/>
      <c r="J1136" s="10"/>
      <c r="K1136" s="10"/>
      <c r="L1136" s="10"/>
      <c r="N1136" s="10"/>
      <c r="O1136" s="10"/>
      <c r="T1136" s="10"/>
      <c r="U1136" s="10"/>
      <c r="V1136" s="10"/>
      <c r="W1136" s="10"/>
      <c r="X1136" s="10"/>
      <c r="Y1136" s="10"/>
      <c r="Z1136" s="10"/>
      <c r="AA1136" s="10"/>
      <c r="AB1136" s="10"/>
      <c r="AC1136" s="10"/>
      <c r="AD1136" s="10"/>
      <c r="AE1136" s="10"/>
      <c r="AF1136" s="10"/>
      <c r="AG1136" s="10"/>
      <c r="AH1136" s="10"/>
      <c r="AI1136" s="10"/>
      <c r="AJ1136" s="10"/>
      <c r="AK1136" s="10"/>
      <c r="AL1136" s="10"/>
      <c r="AM1136" s="10"/>
      <c r="AN1136" s="10"/>
      <c r="AO1136" s="10"/>
      <c r="AP1136" s="10"/>
      <c r="AQ1136" s="10"/>
      <c r="AR1136" s="10"/>
      <c r="AS1136" s="10"/>
      <c r="AT1136" s="10"/>
      <c r="AU1136" s="10"/>
      <c r="AV1136" s="10"/>
      <c r="AW1136" s="143"/>
      <c r="AX1136" s="10"/>
      <c r="AY1136" s="10"/>
      <c r="BE1136" s="10"/>
      <c r="BF1136" s="10"/>
      <c r="BG1136" s="10"/>
      <c r="BH1136" s="10"/>
      <c r="BI1136" s="10"/>
      <c r="BJ1136" s="10"/>
      <c r="BK1136" s="10"/>
      <c r="BS1136" s="10"/>
      <c r="BT1136" s="10"/>
      <c r="BW1136" s="10"/>
    </row>
    <row r="1137">
      <c r="A1137" s="10"/>
      <c r="B1137" s="10"/>
      <c r="C1137" s="10"/>
      <c r="D1137" s="10"/>
      <c r="E1137" s="10"/>
      <c r="F1137" s="10"/>
      <c r="G1137" s="10"/>
      <c r="H1137" s="10"/>
      <c r="I1137" s="10"/>
      <c r="J1137" s="10"/>
      <c r="K1137" s="10"/>
      <c r="L1137" s="10"/>
      <c r="N1137" s="10"/>
      <c r="O1137" s="10"/>
      <c r="T1137" s="10"/>
      <c r="U1137" s="10"/>
      <c r="V1137" s="10"/>
      <c r="W1137" s="10"/>
      <c r="X1137" s="10"/>
      <c r="Y1137" s="10"/>
      <c r="Z1137" s="10"/>
      <c r="AA1137" s="10"/>
      <c r="AB1137" s="10"/>
      <c r="AC1137" s="10"/>
      <c r="AD1137" s="10"/>
      <c r="AE1137" s="10"/>
      <c r="AF1137" s="10"/>
      <c r="AG1137" s="10"/>
      <c r="AH1137" s="10"/>
      <c r="AI1137" s="10"/>
      <c r="AJ1137" s="10"/>
      <c r="AK1137" s="10"/>
      <c r="AL1137" s="10"/>
      <c r="AM1137" s="10"/>
      <c r="AN1137" s="10"/>
      <c r="AO1137" s="10"/>
      <c r="AP1137" s="10"/>
      <c r="AQ1137" s="10"/>
      <c r="AR1137" s="10"/>
      <c r="AS1137" s="10"/>
      <c r="AT1137" s="10"/>
      <c r="AU1137" s="10"/>
      <c r="AV1137" s="10"/>
      <c r="AW1137" s="143"/>
      <c r="AX1137" s="10"/>
      <c r="AY1137" s="10"/>
      <c r="BE1137" s="10"/>
      <c r="BF1137" s="10"/>
      <c r="BG1137" s="10"/>
      <c r="BH1137" s="10"/>
      <c r="BI1137" s="10"/>
      <c r="BJ1137" s="10"/>
      <c r="BK1137" s="10"/>
      <c r="BS1137" s="10"/>
      <c r="BT1137" s="10"/>
      <c r="BW1137" s="10"/>
    </row>
    <row r="1138">
      <c r="A1138" s="10"/>
      <c r="B1138" s="10"/>
      <c r="C1138" s="10"/>
      <c r="D1138" s="10"/>
      <c r="E1138" s="10"/>
      <c r="F1138" s="10"/>
      <c r="G1138" s="10"/>
      <c r="H1138" s="10"/>
      <c r="I1138" s="10"/>
      <c r="J1138" s="10"/>
      <c r="K1138" s="10"/>
      <c r="L1138" s="10"/>
      <c r="N1138" s="10"/>
      <c r="O1138" s="10"/>
      <c r="T1138" s="10"/>
      <c r="U1138" s="10"/>
      <c r="V1138" s="10"/>
      <c r="W1138" s="10"/>
      <c r="X1138" s="10"/>
      <c r="Y1138" s="10"/>
      <c r="Z1138" s="10"/>
      <c r="AA1138" s="10"/>
      <c r="AB1138" s="10"/>
      <c r="AC1138" s="10"/>
      <c r="AD1138" s="10"/>
      <c r="AE1138" s="10"/>
      <c r="AF1138" s="10"/>
      <c r="AG1138" s="10"/>
      <c r="AH1138" s="10"/>
      <c r="AI1138" s="10"/>
      <c r="AJ1138" s="10"/>
      <c r="AK1138" s="10"/>
      <c r="AL1138" s="10"/>
      <c r="AM1138" s="10"/>
      <c r="AN1138" s="10"/>
      <c r="AO1138" s="10"/>
      <c r="AP1138" s="10"/>
      <c r="AQ1138" s="10"/>
      <c r="AR1138" s="10"/>
      <c r="AS1138" s="10"/>
      <c r="AT1138" s="10"/>
      <c r="AU1138" s="10"/>
      <c r="AV1138" s="10"/>
      <c r="AW1138" s="143"/>
      <c r="AX1138" s="10"/>
      <c r="AY1138" s="10"/>
      <c r="BE1138" s="10"/>
      <c r="BF1138" s="10"/>
      <c r="BG1138" s="10"/>
      <c r="BH1138" s="10"/>
      <c r="BI1138" s="10"/>
      <c r="BJ1138" s="10"/>
      <c r="BK1138" s="10"/>
      <c r="BS1138" s="10"/>
      <c r="BT1138" s="10"/>
      <c r="BW1138" s="10"/>
    </row>
    <row r="1139">
      <c r="A1139" s="10"/>
      <c r="B1139" s="10"/>
      <c r="C1139" s="10"/>
      <c r="D1139" s="10"/>
      <c r="E1139" s="10"/>
      <c r="F1139" s="10"/>
      <c r="G1139" s="10"/>
      <c r="H1139" s="10"/>
      <c r="I1139" s="10"/>
      <c r="J1139" s="10"/>
      <c r="K1139" s="10"/>
      <c r="L1139" s="10"/>
      <c r="N1139" s="10"/>
      <c r="O1139" s="10"/>
      <c r="T1139" s="10"/>
      <c r="U1139" s="10"/>
      <c r="V1139" s="10"/>
      <c r="W1139" s="10"/>
      <c r="X1139" s="10"/>
      <c r="Y1139" s="10"/>
      <c r="Z1139" s="10"/>
      <c r="AA1139" s="10"/>
      <c r="AB1139" s="10"/>
      <c r="AC1139" s="10"/>
      <c r="AD1139" s="10"/>
      <c r="AE1139" s="10"/>
      <c r="AF1139" s="10"/>
      <c r="AG1139" s="10"/>
      <c r="AH1139" s="10"/>
      <c r="AI1139" s="10"/>
      <c r="AJ1139" s="10"/>
      <c r="AK1139" s="10"/>
      <c r="AL1139" s="10"/>
      <c r="AM1139" s="10"/>
      <c r="AN1139" s="10"/>
      <c r="AO1139" s="10"/>
      <c r="AP1139" s="10"/>
      <c r="AQ1139" s="10"/>
      <c r="AR1139" s="10"/>
      <c r="AS1139" s="10"/>
      <c r="AT1139" s="10"/>
      <c r="AU1139" s="10"/>
      <c r="AV1139" s="10"/>
      <c r="AW1139" s="143"/>
      <c r="AX1139" s="10"/>
      <c r="AY1139" s="10"/>
      <c r="BE1139" s="10"/>
      <c r="BF1139" s="10"/>
      <c r="BG1139" s="10"/>
      <c r="BH1139" s="10"/>
      <c r="BI1139" s="10"/>
      <c r="BJ1139" s="10"/>
      <c r="BK1139" s="10"/>
      <c r="BS1139" s="10"/>
      <c r="BT1139" s="10"/>
      <c r="BW1139" s="10"/>
    </row>
    <row r="1140">
      <c r="A1140" s="10"/>
      <c r="B1140" s="10"/>
      <c r="C1140" s="10"/>
      <c r="D1140" s="10"/>
      <c r="E1140" s="10"/>
      <c r="F1140" s="10"/>
      <c r="G1140" s="10"/>
      <c r="H1140" s="10"/>
      <c r="I1140" s="10"/>
      <c r="J1140" s="10"/>
      <c r="K1140" s="10"/>
      <c r="L1140" s="10"/>
      <c r="N1140" s="10"/>
      <c r="O1140" s="10"/>
      <c r="T1140" s="10"/>
      <c r="U1140" s="10"/>
      <c r="V1140" s="10"/>
      <c r="W1140" s="10"/>
      <c r="X1140" s="10"/>
      <c r="Y1140" s="10"/>
      <c r="Z1140" s="10"/>
      <c r="AA1140" s="10"/>
      <c r="AB1140" s="10"/>
      <c r="AC1140" s="10"/>
      <c r="AD1140" s="10"/>
      <c r="AE1140" s="10"/>
      <c r="AF1140" s="10"/>
      <c r="AG1140" s="10"/>
      <c r="AH1140" s="10"/>
      <c r="AI1140" s="10"/>
      <c r="AJ1140" s="10"/>
      <c r="AK1140" s="10"/>
      <c r="AL1140" s="10"/>
      <c r="AM1140" s="10"/>
      <c r="AN1140" s="10"/>
      <c r="AO1140" s="10"/>
      <c r="AP1140" s="10"/>
      <c r="AQ1140" s="10"/>
      <c r="AR1140" s="10"/>
      <c r="AS1140" s="10"/>
      <c r="AT1140" s="10"/>
      <c r="AU1140" s="10"/>
      <c r="AV1140" s="10"/>
      <c r="AW1140" s="143"/>
      <c r="AX1140" s="10"/>
      <c r="AY1140" s="10"/>
      <c r="BE1140" s="10"/>
      <c r="BF1140" s="10"/>
      <c r="BG1140" s="10"/>
      <c r="BH1140" s="10"/>
      <c r="BI1140" s="10"/>
      <c r="BJ1140" s="10"/>
      <c r="BK1140" s="10"/>
      <c r="BS1140" s="10"/>
      <c r="BT1140" s="10"/>
      <c r="BW1140" s="10"/>
    </row>
    <row r="1141">
      <c r="A1141" s="10"/>
      <c r="B1141" s="10"/>
      <c r="C1141" s="10"/>
      <c r="D1141" s="10"/>
      <c r="E1141" s="10"/>
      <c r="F1141" s="10"/>
      <c r="G1141" s="10"/>
      <c r="H1141" s="10"/>
      <c r="I1141" s="10"/>
      <c r="J1141" s="10"/>
      <c r="K1141" s="10"/>
      <c r="L1141" s="10"/>
      <c r="N1141" s="10"/>
      <c r="O1141" s="10"/>
      <c r="T1141" s="10"/>
      <c r="U1141" s="10"/>
      <c r="V1141" s="10"/>
      <c r="W1141" s="10"/>
      <c r="X1141" s="10"/>
      <c r="Y1141" s="10"/>
      <c r="Z1141" s="10"/>
      <c r="AA1141" s="10"/>
      <c r="AB1141" s="10"/>
      <c r="AC1141" s="10"/>
      <c r="AD1141" s="10"/>
      <c r="AE1141" s="10"/>
      <c r="AF1141" s="10"/>
      <c r="AG1141" s="10"/>
      <c r="AH1141" s="10"/>
      <c r="AI1141" s="10"/>
      <c r="AJ1141" s="10"/>
      <c r="AK1141" s="10"/>
      <c r="AL1141" s="10"/>
      <c r="AM1141" s="10"/>
      <c r="AN1141" s="10"/>
      <c r="AO1141" s="10"/>
      <c r="AP1141" s="10"/>
      <c r="AQ1141" s="10"/>
      <c r="AR1141" s="10"/>
      <c r="AS1141" s="10"/>
      <c r="AT1141" s="10"/>
      <c r="AU1141" s="10"/>
      <c r="AV1141" s="10"/>
      <c r="AW1141" s="143"/>
      <c r="AX1141" s="10"/>
      <c r="AY1141" s="10"/>
      <c r="BE1141" s="10"/>
      <c r="BF1141" s="10"/>
      <c r="BG1141" s="10"/>
      <c r="BH1141" s="10"/>
      <c r="BI1141" s="10"/>
      <c r="BJ1141" s="10"/>
      <c r="BK1141" s="10"/>
      <c r="BS1141" s="10"/>
      <c r="BT1141" s="10"/>
      <c r="BW1141" s="10"/>
    </row>
    <row r="1142">
      <c r="A1142" s="10"/>
      <c r="B1142" s="10"/>
      <c r="C1142" s="10"/>
      <c r="D1142" s="10"/>
      <c r="E1142" s="10"/>
      <c r="F1142" s="10"/>
      <c r="G1142" s="10"/>
      <c r="H1142" s="10"/>
      <c r="I1142" s="10"/>
      <c r="J1142" s="10"/>
      <c r="K1142" s="10"/>
      <c r="L1142" s="10"/>
      <c r="N1142" s="10"/>
      <c r="O1142" s="10"/>
      <c r="T1142" s="10"/>
      <c r="U1142" s="10"/>
      <c r="V1142" s="10"/>
      <c r="W1142" s="10"/>
      <c r="X1142" s="10"/>
      <c r="Y1142" s="10"/>
      <c r="Z1142" s="10"/>
      <c r="AA1142" s="10"/>
      <c r="AB1142" s="10"/>
      <c r="AC1142" s="10"/>
      <c r="AD1142" s="10"/>
      <c r="AE1142" s="10"/>
      <c r="AF1142" s="10"/>
      <c r="AG1142" s="10"/>
      <c r="AH1142" s="10"/>
      <c r="AI1142" s="10"/>
      <c r="AJ1142" s="10"/>
      <c r="AK1142" s="10"/>
      <c r="AL1142" s="10"/>
      <c r="AM1142" s="10"/>
      <c r="AN1142" s="10"/>
      <c r="AO1142" s="10"/>
      <c r="AP1142" s="10"/>
      <c r="AQ1142" s="10"/>
      <c r="AR1142" s="10"/>
      <c r="AS1142" s="10"/>
      <c r="AT1142" s="10"/>
      <c r="AU1142" s="10"/>
      <c r="AV1142" s="10"/>
      <c r="AW1142" s="143"/>
      <c r="AX1142" s="10"/>
      <c r="AY1142" s="10"/>
      <c r="BE1142" s="10"/>
      <c r="BF1142" s="10"/>
      <c r="BG1142" s="10"/>
      <c r="BH1142" s="10"/>
      <c r="BI1142" s="10"/>
      <c r="BJ1142" s="10"/>
      <c r="BK1142" s="10"/>
      <c r="BS1142" s="10"/>
      <c r="BT1142" s="10"/>
      <c r="BW1142" s="10"/>
    </row>
    <row r="1143">
      <c r="A1143" s="10"/>
      <c r="B1143" s="10"/>
      <c r="C1143" s="10"/>
      <c r="D1143" s="10"/>
      <c r="E1143" s="10"/>
      <c r="F1143" s="10"/>
      <c r="G1143" s="10"/>
      <c r="H1143" s="10"/>
      <c r="I1143" s="10"/>
      <c r="J1143" s="10"/>
      <c r="K1143" s="10"/>
      <c r="L1143" s="10"/>
      <c r="N1143" s="10"/>
      <c r="O1143" s="10"/>
      <c r="T1143" s="10"/>
      <c r="U1143" s="10"/>
      <c r="V1143" s="10"/>
      <c r="W1143" s="10"/>
      <c r="X1143" s="10"/>
      <c r="Y1143" s="10"/>
      <c r="Z1143" s="10"/>
      <c r="AA1143" s="10"/>
      <c r="AB1143" s="10"/>
      <c r="AC1143" s="10"/>
      <c r="AD1143" s="10"/>
      <c r="AE1143" s="10"/>
      <c r="AF1143" s="10"/>
      <c r="AG1143" s="10"/>
      <c r="AH1143" s="10"/>
      <c r="AI1143" s="10"/>
      <c r="AJ1143" s="10"/>
      <c r="AK1143" s="10"/>
      <c r="AL1143" s="10"/>
      <c r="AM1143" s="10"/>
      <c r="AN1143" s="10"/>
      <c r="AO1143" s="10"/>
      <c r="AP1143" s="10"/>
      <c r="AQ1143" s="10"/>
      <c r="AR1143" s="10"/>
      <c r="AS1143" s="10"/>
      <c r="AT1143" s="10"/>
      <c r="AU1143" s="10"/>
      <c r="AV1143" s="10"/>
      <c r="AW1143" s="143"/>
      <c r="AX1143" s="10"/>
      <c r="AY1143" s="10"/>
      <c r="BE1143" s="10"/>
      <c r="BF1143" s="10"/>
      <c r="BG1143" s="10"/>
      <c r="BH1143" s="10"/>
      <c r="BI1143" s="10"/>
      <c r="BJ1143" s="10"/>
      <c r="BK1143" s="10"/>
      <c r="BS1143" s="10"/>
      <c r="BT1143" s="10"/>
      <c r="BW1143" s="10"/>
    </row>
    <row r="1144">
      <c r="A1144" s="10"/>
      <c r="B1144" s="10"/>
      <c r="C1144" s="10"/>
      <c r="D1144" s="10"/>
      <c r="E1144" s="10"/>
      <c r="F1144" s="10"/>
      <c r="G1144" s="10"/>
      <c r="H1144" s="10"/>
      <c r="I1144" s="10"/>
      <c r="J1144" s="10"/>
      <c r="N1144" s="10"/>
      <c r="O1144" s="10"/>
      <c r="T1144" s="10"/>
      <c r="U1144" s="10"/>
      <c r="V1144" s="10"/>
      <c r="W1144" s="10"/>
      <c r="X1144" s="10"/>
      <c r="Y1144" s="10"/>
      <c r="Z1144" s="10"/>
      <c r="AA1144" s="10"/>
      <c r="AB1144" s="10"/>
      <c r="AC1144" s="10"/>
      <c r="AD1144" s="10"/>
      <c r="AE1144" s="10"/>
      <c r="AF1144" s="10"/>
      <c r="AG1144" s="10"/>
      <c r="AH1144" s="10"/>
      <c r="AI1144" s="10"/>
      <c r="AJ1144" s="10"/>
      <c r="AK1144" s="10"/>
      <c r="AL1144" s="10"/>
      <c r="AM1144" s="10"/>
      <c r="AN1144" s="10"/>
      <c r="AO1144" s="10"/>
      <c r="AP1144" s="10"/>
      <c r="AQ1144" s="10"/>
      <c r="AR1144" s="10"/>
      <c r="AS1144" s="10"/>
      <c r="AT1144" s="10"/>
      <c r="AU1144" s="10"/>
      <c r="AV1144" s="10"/>
      <c r="AW1144" s="143"/>
      <c r="AX1144" s="10"/>
      <c r="AY1144" s="10"/>
      <c r="BL1144" s="10"/>
      <c r="BO1144" s="10"/>
      <c r="BR1144" s="10"/>
      <c r="BS1144" s="10"/>
      <c r="BT1144" s="10"/>
      <c r="BW1144" s="10"/>
    </row>
    <row r="1145">
      <c r="A1145" s="10"/>
      <c r="B1145" s="10"/>
      <c r="C1145" s="10"/>
      <c r="D1145" s="10"/>
      <c r="E1145" s="10"/>
      <c r="F1145" s="10"/>
      <c r="G1145" s="10"/>
      <c r="H1145" s="10"/>
      <c r="I1145" s="10"/>
      <c r="J1145" s="10"/>
      <c r="N1145" s="10"/>
      <c r="O1145" s="10"/>
      <c r="T1145" s="10"/>
      <c r="U1145" s="10"/>
      <c r="V1145" s="10"/>
      <c r="W1145" s="10"/>
      <c r="X1145" s="10"/>
      <c r="Y1145" s="10"/>
      <c r="Z1145" s="10"/>
      <c r="AA1145" s="10"/>
      <c r="AB1145" s="10"/>
      <c r="AC1145" s="10"/>
      <c r="AD1145" s="10"/>
      <c r="AE1145" s="10"/>
      <c r="AF1145" s="10"/>
      <c r="AG1145" s="10"/>
      <c r="AH1145" s="10"/>
      <c r="AI1145" s="10"/>
      <c r="AJ1145" s="10"/>
      <c r="AK1145" s="10"/>
      <c r="AL1145" s="10"/>
      <c r="AM1145" s="10"/>
      <c r="AN1145" s="10"/>
      <c r="AO1145" s="10"/>
      <c r="AP1145" s="10"/>
      <c r="AQ1145" s="10"/>
      <c r="AR1145" s="10"/>
      <c r="AS1145" s="10"/>
      <c r="AT1145" s="10"/>
      <c r="AU1145" s="10"/>
      <c r="AV1145" s="10"/>
      <c r="AW1145" s="143"/>
      <c r="AX1145" s="10"/>
      <c r="AY1145" s="10"/>
      <c r="BS1145" s="10"/>
      <c r="BT1145" s="10"/>
      <c r="BW1145" s="10"/>
    </row>
    <row r="1146">
      <c r="A1146" s="10"/>
      <c r="B1146" s="10"/>
      <c r="C1146" s="10"/>
      <c r="D1146" s="10"/>
      <c r="E1146" s="10"/>
      <c r="F1146" s="10"/>
      <c r="G1146" s="10"/>
      <c r="H1146" s="10"/>
      <c r="I1146" s="10"/>
      <c r="J1146" s="10"/>
      <c r="N1146" s="10"/>
      <c r="O1146" s="10"/>
      <c r="T1146" s="10"/>
      <c r="U1146" s="10"/>
      <c r="V1146" s="10"/>
      <c r="W1146" s="10"/>
      <c r="X1146" s="10"/>
      <c r="Y1146" s="10"/>
      <c r="Z1146" s="10"/>
      <c r="AA1146" s="10"/>
      <c r="AB1146" s="10"/>
      <c r="AC1146" s="10"/>
      <c r="AD1146" s="10"/>
      <c r="AE1146" s="10"/>
      <c r="AF1146" s="10"/>
      <c r="AG1146" s="10"/>
      <c r="AH1146" s="10"/>
      <c r="AI1146" s="10"/>
      <c r="AJ1146" s="10"/>
      <c r="AK1146" s="10"/>
      <c r="AL1146" s="10"/>
      <c r="AM1146" s="10"/>
      <c r="AN1146" s="10"/>
      <c r="AO1146" s="10"/>
      <c r="AP1146" s="10"/>
      <c r="AQ1146" s="10"/>
      <c r="AR1146" s="10"/>
      <c r="AS1146" s="10"/>
      <c r="AT1146" s="10"/>
      <c r="AU1146" s="10"/>
      <c r="AV1146" s="10"/>
      <c r="AW1146" s="143"/>
      <c r="AX1146" s="10"/>
      <c r="AY1146" s="10"/>
      <c r="BE1146" s="10"/>
      <c r="BF1146" s="10"/>
      <c r="BG1146" s="10"/>
      <c r="BH1146" s="10"/>
      <c r="BI1146" s="10"/>
      <c r="BJ1146" s="10"/>
      <c r="BK1146" s="10"/>
      <c r="BS1146" s="10"/>
      <c r="BT1146" s="10"/>
      <c r="BW1146" s="10"/>
    </row>
    <row r="1147">
      <c r="A1147" s="10"/>
      <c r="B1147" s="10"/>
      <c r="C1147" s="10"/>
      <c r="D1147" s="10"/>
      <c r="E1147" s="10"/>
      <c r="F1147" s="10"/>
      <c r="G1147" s="10"/>
      <c r="H1147" s="10"/>
      <c r="I1147" s="10"/>
      <c r="J1147" s="10"/>
      <c r="N1147" s="10"/>
      <c r="O1147" s="10"/>
      <c r="T1147" s="10"/>
      <c r="U1147" s="10"/>
      <c r="V1147" s="10"/>
      <c r="W1147" s="10"/>
      <c r="X1147" s="10"/>
      <c r="Y1147" s="10"/>
      <c r="Z1147" s="10"/>
      <c r="AA1147" s="10"/>
      <c r="AB1147" s="10"/>
      <c r="AC1147" s="10"/>
      <c r="AD1147" s="10"/>
      <c r="AE1147" s="10"/>
      <c r="AF1147" s="10"/>
      <c r="AG1147" s="10"/>
      <c r="AH1147" s="10"/>
      <c r="AI1147" s="10"/>
      <c r="AJ1147" s="10"/>
      <c r="AK1147" s="10"/>
      <c r="AL1147" s="10"/>
      <c r="AM1147" s="10"/>
      <c r="AN1147" s="10"/>
      <c r="AO1147" s="10"/>
      <c r="AP1147" s="10"/>
      <c r="AQ1147" s="10"/>
      <c r="AR1147" s="10"/>
      <c r="AS1147" s="10"/>
      <c r="AT1147" s="10"/>
      <c r="AU1147" s="10"/>
      <c r="AV1147" s="10"/>
      <c r="AW1147" s="143"/>
      <c r="AX1147" s="10"/>
      <c r="AY1147" s="10"/>
      <c r="BE1147" s="10"/>
      <c r="BF1147" s="10"/>
      <c r="BG1147" s="10"/>
      <c r="BH1147" s="10"/>
      <c r="BI1147" s="10"/>
      <c r="BJ1147" s="10"/>
      <c r="BK1147" s="10"/>
      <c r="BS1147" s="10"/>
      <c r="BT1147" s="10"/>
      <c r="BW1147" s="10"/>
    </row>
    <row r="1148">
      <c r="A1148" s="10"/>
      <c r="B1148" s="10"/>
      <c r="C1148" s="10"/>
      <c r="D1148" s="10"/>
      <c r="E1148" s="10"/>
      <c r="F1148" s="10"/>
      <c r="G1148" s="10"/>
      <c r="H1148" s="10"/>
      <c r="I1148" s="10"/>
      <c r="J1148" s="10"/>
      <c r="N1148" s="10"/>
      <c r="O1148" s="10"/>
      <c r="Q1148" s="10"/>
      <c r="R1148" s="10"/>
      <c r="S1148" s="10"/>
      <c r="T1148" s="10"/>
      <c r="U1148" s="10"/>
      <c r="V1148" s="10"/>
      <c r="W1148" s="10"/>
      <c r="X1148" s="10"/>
      <c r="Y1148" s="10"/>
      <c r="Z1148" s="10"/>
      <c r="AA1148" s="10"/>
      <c r="AB1148" s="10"/>
      <c r="AC1148" s="10"/>
      <c r="AD1148" s="10"/>
      <c r="AE1148" s="10"/>
      <c r="AF1148" s="10"/>
      <c r="AG1148" s="10"/>
      <c r="AH1148" s="10"/>
      <c r="AI1148" s="10"/>
      <c r="AJ1148" s="10"/>
      <c r="AK1148" s="10"/>
      <c r="AL1148" s="10"/>
      <c r="AM1148" s="10"/>
      <c r="AN1148" s="10"/>
      <c r="AO1148" s="10"/>
      <c r="AP1148" s="10"/>
      <c r="AQ1148" s="10"/>
      <c r="AR1148" s="10"/>
      <c r="AS1148" s="10"/>
      <c r="AT1148" s="10"/>
      <c r="AU1148" s="10"/>
      <c r="AV1148" s="10"/>
      <c r="AW1148" s="143"/>
      <c r="AX1148" s="10"/>
      <c r="AY1148" s="10"/>
      <c r="BE1148" s="10"/>
      <c r="BF1148" s="10"/>
      <c r="BG1148" s="10"/>
      <c r="BH1148" s="10"/>
      <c r="BI1148" s="10"/>
      <c r="BJ1148" s="10"/>
      <c r="BK1148" s="10"/>
      <c r="BL1148" s="10"/>
      <c r="BM1148" s="10"/>
      <c r="BN1148" s="10"/>
      <c r="BO1148" s="10"/>
      <c r="BP1148" s="10"/>
      <c r="BQ1148" s="10"/>
      <c r="BR1148" s="10"/>
      <c r="BS1148" s="10"/>
      <c r="BT1148" s="10"/>
      <c r="BW1148" s="10"/>
    </row>
    <row r="1149">
      <c r="A1149" s="10"/>
      <c r="B1149" s="10"/>
      <c r="C1149" s="10"/>
      <c r="D1149" s="10"/>
      <c r="E1149" s="10"/>
      <c r="F1149" s="10"/>
      <c r="G1149" s="10"/>
      <c r="H1149" s="10"/>
      <c r="I1149" s="10"/>
      <c r="J1149" s="10"/>
      <c r="N1149" s="10"/>
      <c r="O1149" s="10"/>
      <c r="T1149" s="10"/>
      <c r="U1149" s="10"/>
      <c r="V1149" s="10"/>
      <c r="W1149" s="10"/>
      <c r="X1149" s="10"/>
      <c r="Y1149" s="10"/>
      <c r="Z1149" s="10"/>
      <c r="AA1149" s="10"/>
      <c r="AB1149" s="10"/>
      <c r="AC1149" s="10"/>
      <c r="AD1149" s="10"/>
      <c r="AE1149" s="10"/>
      <c r="AF1149" s="10"/>
      <c r="AG1149" s="10"/>
      <c r="AH1149" s="10"/>
      <c r="AI1149" s="10"/>
      <c r="AJ1149" s="10"/>
      <c r="AK1149" s="10"/>
      <c r="AL1149" s="10"/>
      <c r="AM1149" s="10"/>
      <c r="AN1149" s="10"/>
      <c r="AO1149" s="10"/>
      <c r="AP1149" s="10"/>
      <c r="AQ1149" s="10"/>
      <c r="AR1149" s="10"/>
      <c r="AS1149" s="10"/>
      <c r="AT1149" s="10"/>
      <c r="AU1149" s="10"/>
      <c r="AV1149" s="10"/>
      <c r="AW1149" s="143"/>
      <c r="AX1149" s="10"/>
      <c r="AY1149" s="10"/>
      <c r="BE1149" s="10"/>
      <c r="BF1149" s="10"/>
      <c r="BG1149" s="10"/>
      <c r="BH1149" s="10"/>
      <c r="BI1149" s="10"/>
      <c r="BJ1149" s="10"/>
      <c r="BK1149" s="10"/>
      <c r="BS1149" s="10"/>
      <c r="BT1149" s="10"/>
      <c r="BW1149" s="10"/>
    </row>
    <row r="1150">
      <c r="A1150" s="10"/>
      <c r="B1150" s="10"/>
      <c r="C1150" s="10"/>
      <c r="D1150" s="10"/>
      <c r="E1150" s="10"/>
      <c r="F1150" s="10"/>
      <c r="G1150" s="10"/>
      <c r="H1150" s="10"/>
      <c r="I1150" s="10"/>
      <c r="J1150" s="10"/>
      <c r="N1150" s="10"/>
      <c r="O1150" s="10"/>
      <c r="P1150" s="10"/>
      <c r="T1150" s="10"/>
      <c r="U1150" s="10"/>
      <c r="V1150" s="10"/>
      <c r="W1150" s="10"/>
      <c r="X1150" s="10"/>
      <c r="Y1150" s="10"/>
      <c r="Z1150" s="10"/>
      <c r="AA1150" s="10"/>
      <c r="AB1150" s="10"/>
      <c r="AC1150" s="10"/>
      <c r="AD1150" s="10"/>
      <c r="AE1150" s="10"/>
      <c r="AF1150" s="10"/>
      <c r="AG1150" s="10"/>
      <c r="AH1150" s="10"/>
      <c r="AI1150" s="10"/>
      <c r="AJ1150" s="10"/>
      <c r="AK1150" s="10"/>
      <c r="AL1150" s="10"/>
      <c r="AM1150" s="10"/>
      <c r="AN1150" s="10"/>
      <c r="AO1150" s="10"/>
      <c r="AP1150" s="10"/>
      <c r="AQ1150" s="10"/>
      <c r="AR1150" s="10"/>
      <c r="AS1150" s="10"/>
      <c r="AT1150" s="10"/>
      <c r="AU1150" s="10"/>
      <c r="AV1150" s="10"/>
      <c r="AW1150" s="143"/>
      <c r="AX1150" s="10"/>
      <c r="AY1150" s="10"/>
      <c r="AZ1150" s="10"/>
      <c r="BE1150" s="10"/>
      <c r="BF1150" s="10"/>
      <c r="BG1150" s="10"/>
      <c r="BH1150" s="10"/>
      <c r="BI1150" s="10"/>
      <c r="BJ1150" s="10"/>
      <c r="BK1150" s="10"/>
      <c r="BS1150" s="10"/>
      <c r="BT1150" s="10"/>
      <c r="BW1150" s="10"/>
    </row>
    <row r="1151">
      <c r="A1151" s="10"/>
      <c r="B1151" s="10"/>
      <c r="C1151" s="10"/>
      <c r="D1151" s="10"/>
      <c r="E1151" s="10"/>
      <c r="F1151" s="10"/>
      <c r="G1151" s="10"/>
      <c r="H1151" s="10"/>
      <c r="I1151" s="10"/>
      <c r="J1151" s="10"/>
      <c r="N1151" s="10"/>
      <c r="O1151" s="10"/>
      <c r="P1151" s="10"/>
      <c r="T1151" s="10"/>
      <c r="U1151" s="10"/>
      <c r="V1151" s="10"/>
      <c r="W1151" s="10"/>
      <c r="X1151" s="10"/>
      <c r="Y1151" s="10"/>
      <c r="Z1151" s="10"/>
      <c r="AA1151" s="10"/>
      <c r="AB1151" s="10"/>
      <c r="AC1151" s="10"/>
      <c r="AD1151" s="10"/>
      <c r="AE1151" s="10"/>
      <c r="AF1151" s="10"/>
      <c r="AG1151" s="10"/>
      <c r="AH1151" s="10"/>
      <c r="AI1151" s="10"/>
      <c r="AJ1151" s="10"/>
      <c r="AK1151" s="10"/>
      <c r="AL1151" s="10"/>
      <c r="AM1151" s="10"/>
      <c r="AN1151" s="10"/>
      <c r="AO1151" s="10"/>
      <c r="AP1151" s="10"/>
      <c r="AQ1151" s="10"/>
      <c r="AR1151" s="10"/>
      <c r="AS1151" s="10"/>
      <c r="AT1151" s="10"/>
      <c r="AU1151" s="10"/>
      <c r="AV1151" s="10"/>
      <c r="AW1151" s="143"/>
      <c r="AX1151" s="10"/>
      <c r="AY1151" s="10"/>
      <c r="AZ1151" s="10"/>
      <c r="BE1151" s="10"/>
      <c r="BF1151" s="10"/>
      <c r="BG1151" s="10"/>
      <c r="BH1151" s="10"/>
      <c r="BI1151" s="10"/>
      <c r="BJ1151" s="10"/>
      <c r="BK1151" s="10"/>
      <c r="BS1151" s="10"/>
      <c r="BT1151" s="10"/>
      <c r="BW1151" s="10"/>
    </row>
    <row r="1152">
      <c r="A1152" s="10"/>
      <c r="B1152" s="10"/>
      <c r="C1152" s="10"/>
      <c r="D1152" s="10"/>
      <c r="E1152" s="10"/>
      <c r="F1152" s="10"/>
      <c r="G1152" s="10"/>
      <c r="H1152" s="10"/>
      <c r="I1152" s="10"/>
      <c r="J1152" s="10"/>
      <c r="N1152" s="10"/>
      <c r="O1152" s="10"/>
      <c r="P1152" s="10"/>
      <c r="T1152" s="10"/>
      <c r="U1152" s="10"/>
      <c r="V1152" s="10"/>
      <c r="W1152" s="10"/>
      <c r="X1152" s="10"/>
      <c r="Y1152" s="10"/>
      <c r="Z1152" s="10"/>
      <c r="AA1152" s="10"/>
      <c r="AB1152" s="10"/>
      <c r="AC1152" s="10"/>
      <c r="AD1152" s="10"/>
      <c r="AE1152" s="10"/>
      <c r="AF1152" s="10"/>
      <c r="AG1152" s="10"/>
      <c r="AH1152" s="10"/>
      <c r="AI1152" s="10"/>
      <c r="AJ1152" s="10"/>
      <c r="AK1152" s="10"/>
      <c r="AL1152" s="10"/>
      <c r="AM1152" s="10"/>
      <c r="AN1152" s="10"/>
      <c r="AO1152" s="10"/>
      <c r="AP1152" s="10"/>
      <c r="AQ1152" s="10"/>
      <c r="AR1152" s="10"/>
      <c r="AS1152" s="10"/>
      <c r="AT1152" s="10"/>
      <c r="AU1152" s="10"/>
      <c r="AV1152" s="10"/>
      <c r="AW1152" s="143"/>
      <c r="AX1152" s="10"/>
      <c r="AY1152" s="10"/>
      <c r="AZ1152" s="10"/>
      <c r="BE1152" s="10"/>
      <c r="BF1152" s="10"/>
      <c r="BG1152" s="10"/>
      <c r="BH1152" s="10"/>
      <c r="BI1152" s="10"/>
      <c r="BJ1152" s="10"/>
      <c r="BK1152" s="10"/>
      <c r="BS1152" s="10"/>
      <c r="BT1152" s="10"/>
      <c r="BW1152" s="10"/>
    </row>
    <row r="1153">
      <c r="A1153" s="10"/>
      <c r="B1153" s="10"/>
      <c r="C1153" s="10"/>
      <c r="D1153" s="10"/>
      <c r="E1153" s="10"/>
      <c r="F1153" s="10"/>
      <c r="G1153" s="10"/>
      <c r="H1153" s="10"/>
      <c r="I1153" s="10"/>
      <c r="J1153" s="10"/>
      <c r="N1153" s="10"/>
      <c r="O1153" s="10"/>
      <c r="P1153" s="10"/>
      <c r="T1153" s="10"/>
      <c r="U1153" s="10"/>
      <c r="V1153" s="10"/>
      <c r="W1153" s="10"/>
      <c r="X1153" s="10"/>
      <c r="Y1153" s="10"/>
      <c r="Z1153" s="10"/>
      <c r="AA1153" s="10"/>
      <c r="AB1153" s="10"/>
      <c r="AC1153" s="10"/>
      <c r="AD1153" s="10"/>
      <c r="AE1153" s="10"/>
      <c r="AF1153" s="10"/>
      <c r="AG1153" s="10"/>
      <c r="AH1153" s="10"/>
      <c r="AI1153" s="10"/>
      <c r="AJ1153" s="10"/>
      <c r="AK1153" s="10"/>
      <c r="AL1153" s="10"/>
      <c r="AM1153" s="10"/>
      <c r="AN1153" s="10"/>
      <c r="AO1153" s="10"/>
      <c r="AP1153" s="10"/>
      <c r="AQ1153" s="10"/>
      <c r="AR1153" s="10"/>
      <c r="AS1153" s="10"/>
      <c r="AT1153" s="10"/>
      <c r="AU1153" s="10"/>
      <c r="AV1153" s="10"/>
      <c r="AW1153" s="143"/>
      <c r="AX1153" s="10"/>
      <c r="AY1153" s="10"/>
      <c r="BE1153" s="10"/>
      <c r="BF1153" s="10"/>
      <c r="BG1153" s="10"/>
      <c r="BH1153" s="10"/>
      <c r="BI1153" s="10"/>
      <c r="BJ1153" s="10"/>
      <c r="BK1153" s="10"/>
      <c r="BS1153" s="10"/>
      <c r="BT1153" s="10"/>
      <c r="BW1153" s="10"/>
    </row>
    <row r="1154">
      <c r="A1154" s="10"/>
      <c r="B1154" s="10"/>
      <c r="C1154" s="10"/>
      <c r="D1154" s="10"/>
      <c r="E1154" s="10"/>
      <c r="F1154" s="10"/>
      <c r="G1154" s="10"/>
      <c r="H1154" s="10"/>
      <c r="I1154" s="10"/>
      <c r="J1154" s="10"/>
      <c r="N1154" s="10"/>
      <c r="O1154" s="10"/>
      <c r="P1154" s="10"/>
      <c r="T1154" s="10"/>
      <c r="U1154" s="10"/>
      <c r="V1154" s="10"/>
      <c r="W1154" s="10"/>
      <c r="X1154" s="10"/>
      <c r="Y1154" s="10"/>
      <c r="Z1154" s="10"/>
      <c r="AA1154" s="10"/>
      <c r="AB1154" s="10"/>
      <c r="AC1154" s="10"/>
      <c r="AD1154" s="10"/>
      <c r="AE1154" s="10"/>
      <c r="AF1154" s="10"/>
      <c r="AG1154" s="10"/>
      <c r="AH1154" s="10"/>
      <c r="AI1154" s="10"/>
      <c r="AJ1154" s="10"/>
      <c r="AK1154" s="10"/>
      <c r="AL1154" s="10"/>
      <c r="AM1154" s="10"/>
      <c r="AN1154" s="10"/>
      <c r="AO1154" s="10"/>
      <c r="AP1154" s="10"/>
      <c r="AQ1154" s="10"/>
      <c r="AR1154" s="10"/>
      <c r="AS1154" s="10"/>
      <c r="AT1154" s="10"/>
      <c r="AU1154" s="10"/>
      <c r="AV1154" s="10"/>
      <c r="AW1154" s="143"/>
      <c r="AX1154" s="10"/>
      <c r="AY1154" s="10"/>
      <c r="BE1154" s="10"/>
      <c r="BF1154" s="10"/>
      <c r="BG1154" s="10"/>
      <c r="BH1154" s="10"/>
      <c r="BI1154" s="10"/>
      <c r="BJ1154" s="10"/>
      <c r="BK1154" s="10"/>
      <c r="BS1154" s="10"/>
      <c r="BT1154" s="10"/>
      <c r="BW1154" s="10"/>
    </row>
    <row r="1155">
      <c r="A1155" s="10"/>
      <c r="B1155" s="10"/>
      <c r="C1155" s="10"/>
      <c r="D1155" s="10"/>
      <c r="E1155" s="10"/>
      <c r="F1155" s="10"/>
      <c r="G1155" s="10"/>
      <c r="H1155" s="10"/>
      <c r="I1155" s="10"/>
      <c r="J1155" s="10"/>
      <c r="N1155" s="10"/>
      <c r="O1155" s="10"/>
      <c r="Q1155" s="10"/>
      <c r="R1155" s="10"/>
      <c r="S1155" s="10"/>
      <c r="T1155" s="10"/>
      <c r="U1155" s="10"/>
      <c r="V1155" s="10"/>
      <c r="W1155" s="10"/>
      <c r="X1155" s="10"/>
      <c r="Y1155" s="10"/>
      <c r="Z1155" s="10"/>
      <c r="AA1155" s="10"/>
      <c r="AB1155" s="10"/>
      <c r="AC1155" s="10"/>
      <c r="AD1155" s="10"/>
      <c r="AE1155" s="10"/>
      <c r="AF1155" s="10"/>
      <c r="AG1155" s="10"/>
      <c r="AH1155" s="10"/>
      <c r="AI1155" s="10"/>
      <c r="AJ1155" s="10"/>
      <c r="AK1155" s="10"/>
      <c r="AL1155" s="10"/>
      <c r="AM1155" s="10"/>
      <c r="AN1155" s="10"/>
      <c r="AO1155" s="10"/>
      <c r="AP1155" s="10"/>
      <c r="AQ1155" s="10"/>
      <c r="AR1155" s="10"/>
      <c r="AS1155" s="10"/>
      <c r="AT1155" s="10"/>
      <c r="AU1155" s="10"/>
      <c r="AV1155" s="10"/>
      <c r="AW1155" s="143"/>
      <c r="AX1155" s="10"/>
      <c r="AY1155" s="10"/>
      <c r="BE1155" s="10"/>
      <c r="BF1155" s="10"/>
      <c r="BG1155" s="10"/>
      <c r="BH1155" s="10"/>
      <c r="BI1155" s="10"/>
      <c r="BJ1155" s="10"/>
      <c r="BK1155" s="10"/>
      <c r="BL1155" s="10"/>
      <c r="BO1155" s="10"/>
      <c r="BR1155" s="10"/>
      <c r="BS1155" s="10"/>
      <c r="BT1155" s="10"/>
      <c r="BW1155" s="10"/>
    </row>
    <row r="1156">
      <c r="A1156" s="10"/>
      <c r="B1156" s="10"/>
      <c r="C1156" s="10"/>
      <c r="D1156" s="10"/>
      <c r="E1156" s="10"/>
      <c r="F1156" s="10"/>
      <c r="G1156" s="10"/>
      <c r="H1156" s="10"/>
      <c r="I1156" s="10"/>
      <c r="J1156" s="10"/>
      <c r="N1156" s="10"/>
      <c r="O1156" s="10"/>
      <c r="P1156" s="10"/>
      <c r="Q1156" s="10"/>
      <c r="R1156" s="10"/>
      <c r="S1156" s="10"/>
      <c r="T1156" s="10"/>
      <c r="U1156" s="10"/>
      <c r="V1156" s="10"/>
      <c r="W1156" s="10"/>
      <c r="X1156" s="10"/>
      <c r="Y1156" s="10"/>
      <c r="Z1156" s="10"/>
      <c r="AA1156" s="10"/>
      <c r="AB1156" s="10"/>
      <c r="AC1156" s="10"/>
      <c r="AD1156" s="10"/>
      <c r="AE1156" s="10"/>
      <c r="AF1156" s="10"/>
      <c r="AG1156" s="10"/>
      <c r="AH1156" s="10"/>
      <c r="AI1156" s="10"/>
      <c r="AJ1156" s="10"/>
      <c r="AK1156" s="10"/>
      <c r="AL1156" s="10"/>
      <c r="AM1156" s="10"/>
      <c r="AN1156" s="10"/>
      <c r="AO1156" s="10"/>
      <c r="AP1156" s="10"/>
      <c r="AQ1156" s="10"/>
      <c r="AR1156" s="10"/>
      <c r="AS1156" s="10"/>
      <c r="AT1156" s="10"/>
      <c r="AU1156" s="10"/>
      <c r="AV1156" s="10"/>
      <c r="AW1156" s="143"/>
      <c r="AX1156" s="10"/>
      <c r="AY1156" s="10"/>
      <c r="BE1156" s="10"/>
      <c r="BF1156" s="10"/>
      <c r="BG1156" s="10"/>
      <c r="BH1156" s="10"/>
      <c r="BI1156" s="10"/>
      <c r="BJ1156" s="10"/>
      <c r="BK1156" s="10"/>
      <c r="BL1156" s="10"/>
      <c r="BO1156" s="10"/>
      <c r="BQ1156" s="10"/>
      <c r="BR1156" s="10"/>
      <c r="BT1156" s="10"/>
      <c r="BW1156" s="10"/>
    </row>
    <row r="1157">
      <c r="A1157" s="10"/>
      <c r="B1157" s="10"/>
      <c r="C1157" s="10"/>
      <c r="D1157" s="10"/>
      <c r="E1157" s="10"/>
      <c r="F1157" s="10"/>
      <c r="G1157" s="10"/>
      <c r="H1157" s="10"/>
      <c r="I1157" s="10"/>
      <c r="J1157" s="10"/>
      <c r="N1157" s="10"/>
      <c r="O1157" s="10"/>
      <c r="P1157" s="10"/>
      <c r="T1157" s="10"/>
      <c r="U1157" s="10"/>
      <c r="V1157" s="10"/>
      <c r="W1157" s="10"/>
      <c r="X1157" s="10"/>
      <c r="Y1157" s="10"/>
      <c r="Z1157" s="10"/>
      <c r="AA1157" s="10"/>
      <c r="AB1157" s="10"/>
      <c r="AC1157" s="10"/>
      <c r="AD1157" s="10"/>
      <c r="AE1157" s="10"/>
      <c r="AF1157" s="10"/>
      <c r="AG1157" s="10"/>
      <c r="AH1157" s="10"/>
      <c r="AI1157" s="10"/>
      <c r="AJ1157" s="10"/>
      <c r="AK1157" s="10"/>
      <c r="AL1157" s="10"/>
      <c r="AM1157" s="10"/>
      <c r="AN1157" s="10"/>
      <c r="AO1157" s="10"/>
      <c r="AP1157" s="10"/>
      <c r="AQ1157" s="10"/>
      <c r="AR1157" s="10"/>
      <c r="AS1157" s="10"/>
      <c r="AT1157" s="10"/>
      <c r="AU1157" s="10"/>
      <c r="AV1157" s="10"/>
      <c r="AW1157" s="143"/>
      <c r="AX1157" s="10"/>
      <c r="AY1157" s="10"/>
      <c r="BE1157" s="10"/>
      <c r="BF1157" s="10"/>
      <c r="BG1157" s="10"/>
      <c r="BH1157" s="10"/>
      <c r="BI1157" s="10"/>
      <c r="BJ1157" s="10"/>
      <c r="BK1157" s="10"/>
      <c r="BS1157" s="10"/>
      <c r="BT1157" s="10"/>
      <c r="BW1157" s="10"/>
    </row>
    <row r="1158">
      <c r="A1158" s="10"/>
      <c r="B1158" s="10"/>
      <c r="C1158" s="10"/>
      <c r="D1158" s="10"/>
      <c r="E1158" s="10"/>
      <c r="F1158" s="10"/>
      <c r="G1158" s="10"/>
      <c r="H1158" s="10"/>
      <c r="I1158" s="10"/>
      <c r="J1158" s="10"/>
      <c r="N1158" s="10"/>
      <c r="O1158" s="10"/>
      <c r="P1158" s="10"/>
      <c r="T1158" s="10"/>
      <c r="U1158" s="10"/>
      <c r="V1158" s="10"/>
      <c r="W1158" s="10"/>
      <c r="X1158" s="10"/>
      <c r="Y1158" s="10"/>
      <c r="Z1158" s="10"/>
      <c r="AA1158" s="10"/>
      <c r="AB1158" s="10"/>
      <c r="AC1158" s="10"/>
      <c r="AD1158" s="10"/>
      <c r="AE1158" s="10"/>
      <c r="AF1158" s="10"/>
      <c r="AG1158" s="10"/>
      <c r="AH1158" s="10"/>
      <c r="AI1158" s="10"/>
      <c r="AJ1158" s="10"/>
      <c r="AK1158" s="10"/>
      <c r="AL1158" s="10"/>
      <c r="AM1158" s="10"/>
      <c r="AN1158" s="10"/>
      <c r="AO1158" s="10"/>
      <c r="AP1158" s="10"/>
      <c r="AQ1158" s="10"/>
      <c r="AR1158" s="10"/>
      <c r="AS1158" s="10"/>
      <c r="AT1158" s="10"/>
      <c r="AU1158" s="10"/>
      <c r="AV1158" s="10"/>
      <c r="AW1158" s="143"/>
      <c r="AX1158" s="10"/>
      <c r="AY1158" s="10"/>
      <c r="BE1158" s="10"/>
      <c r="BF1158" s="10"/>
      <c r="BG1158" s="10"/>
      <c r="BH1158" s="10"/>
      <c r="BI1158" s="10"/>
      <c r="BJ1158" s="10"/>
      <c r="BK1158" s="10"/>
      <c r="BS1158" s="10"/>
      <c r="BT1158" s="10"/>
      <c r="BW1158" s="10"/>
    </row>
    <row r="1159">
      <c r="A1159" s="10"/>
      <c r="B1159" s="10"/>
      <c r="C1159" s="10"/>
      <c r="D1159" s="10"/>
      <c r="E1159" s="10"/>
      <c r="F1159" s="10"/>
      <c r="G1159" s="10"/>
      <c r="H1159" s="10"/>
      <c r="I1159" s="10"/>
      <c r="J1159" s="10"/>
      <c r="N1159" s="10"/>
      <c r="O1159" s="10"/>
      <c r="Q1159" s="10"/>
      <c r="R1159" s="10"/>
      <c r="S1159" s="10"/>
      <c r="T1159" s="10"/>
      <c r="U1159" s="10"/>
      <c r="V1159" s="10"/>
      <c r="W1159" s="10"/>
      <c r="X1159" s="10"/>
      <c r="Y1159" s="10"/>
      <c r="Z1159" s="10"/>
      <c r="AA1159" s="10"/>
      <c r="AB1159" s="10"/>
      <c r="AC1159" s="10"/>
      <c r="AD1159" s="10"/>
      <c r="AE1159" s="10"/>
      <c r="AF1159" s="10"/>
      <c r="AG1159" s="10"/>
      <c r="AH1159" s="10"/>
      <c r="AI1159" s="10"/>
      <c r="AJ1159" s="10"/>
      <c r="AK1159" s="10"/>
      <c r="AL1159" s="10"/>
      <c r="AM1159" s="10"/>
      <c r="AN1159" s="10"/>
      <c r="AO1159" s="10"/>
      <c r="AP1159" s="10"/>
      <c r="AQ1159" s="10"/>
      <c r="AR1159" s="10"/>
      <c r="AS1159" s="10"/>
      <c r="AT1159" s="10"/>
      <c r="AU1159" s="10"/>
      <c r="AV1159" s="10"/>
      <c r="AW1159" s="143"/>
      <c r="AX1159" s="10"/>
      <c r="AY1159" s="10"/>
      <c r="BE1159" s="10"/>
      <c r="BF1159" s="10"/>
      <c r="BG1159" s="10"/>
      <c r="BH1159" s="10"/>
      <c r="BI1159" s="10"/>
      <c r="BJ1159" s="10"/>
      <c r="BK1159" s="10"/>
      <c r="BL1159" s="10"/>
      <c r="BO1159" s="10"/>
      <c r="BP1159" s="10"/>
      <c r="BQ1159" s="10"/>
      <c r="BR1159" s="10"/>
      <c r="BS1159" s="10"/>
      <c r="BT1159" s="10"/>
      <c r="BW1159" s="10"/>
    </row>
    <row r="1160">
      <c r="A1160" s="10"/>
      <c r="B1160" s="10"/>
      <c r="C1160" s="10"/>
      <c r="D1160" s="10"/>
      <c r="E1160" s="10"/>
      <c r="F1160" s="10"/>
      <c r="G1160" s="10"/>
      <c r="H1160" s="10"/>
      <c r="I1160" s="10"/>
      <c r="J1160" s="10"/>
      <c r="N1160" s="10"/>
      <c r="O1160" s="10"/>
      <c r="T1160" s="10"/>
      <c r="U1160" s="10"/>
      <c r="V1160" s="10"/>
      <c r="W1160" s="10"/>
      <c r="X1160" s="10"/>
      <c r="Y1160" s="10"/>
      <c r="Z1160" s="10"/>
      <c r="AA1160" s="10"/>
      <c r="AB1160" s="10"/>
      <c r="AC1160" s="10"/>
      <c r="AD1160" s="10"/>
      <c r="AE1160" s="10"/>
      <c r="AF1160" s="10"/>
      <c r="AG1160" s="10"/>
      <c r="AH1160" s="10"/>
      <c r="AI1160" s="10"/>
      <c r="AJ1160" s="10"/>
      <c r="AK1160" s="10"/>
      <c r="AL1160" s="10"/>
      <c r="AM1160" s="10"/>
      <c r="AN1160" s="10"/>
      <c r="AO1160" s="10"/>
      <c r="AP1160" s="10"/>
      <c r="AQ1160" s="10"/>
      <c r="AR1160" s="10"/>
      <c r="AS1160" s="10"/>
      <c r="AT1160" s="10"/>
      <c r="AU1160" s="10"/>
      <c r="AV1160" s="10"/>
      <c r="AW1160" s="143"/>
      <c r="AX1160" s="10"/>
      <c r="AY1160" s="10"/>
      <c r="BE1160" s="10"/>
      <c r="BF1160" s="10"/>
      <c r="BG1160" s="10"/>
      <c r="BH1160" s="10"/>
      <c r="BI1160" s="10"/>
      <c r="BJ1160" s="10"/>
      <c r="BK1160" s="10"/>
      <c r="BS1160" s="10"/>
      <c r="BT1160" s="10"/>
      <c r="BW1160" s="10"/>
    </row>
    <row r="1161">
      <c r="A1161" s="10"/>
      <c r="B1161" s="10"/>
      <c r="C1161" s="10"/>
      <c r="D1161" s="10"/>
      <c r="E1161" s="10"/>
      <c r="F1161" s="10"/>
      <c r="G1161" s="10"/>
      <c r="H1161" s="10"/>
      <c r="I1161" s="10"/>
      <c r="J1161" s="10"/>
      <c r="N1161" s="10"/>
      <c r="O1161" s="10"/>
      <c r="P1161" s="10"/>
      <c r="T1161" s="10"/>
      <c r="U1161" s="10"/>
      <c r="V1161" s="10"/>
      <c r="W1161" s="10"/>
      <c r="X1161" s="10"/>
      <c r="Y1161" s="10"/>
      <c r="Z1161" s="10"/>
      <c r="AA1161" s="10"/>
      <c r="AB1161" s="10"/>
      <c r="AC1161" s="10"/>
      <c r="AD1161" s="10"/>
      <c r="AE1161" s="10"/>
      <c r="AF1161" s="10"/>
      <c r="AG1161" s="10"/>
      <c r="AH1161" s="10"/>
      <c r="AI1161" s="10"/>
      <c r="AJ1161" s="10"/>
      <c r="AK1161" s="10"/>
      <c r="AL1161" s="10"/>
      <c r="AM1161" s="10"/>
      <c r="AN1161" s="10"/>
      <c r="AO1161" s="10"/>
      <c r="AP1161" s="10"/>
      <c r="AQ1161" s="10"/>
      <c r="AR1161" s="10"/>
      <c r="AS1161" s="10"/>
      <c r="AT1161" s="10"/>
      <c r="AU1161" s="10"/>
      <c r="AV1161" s="10"/>
      <c r="AW1161" s="143"/>
      <c r="AX1161" s="10"/>
      <c r="AY1161" s="10"/>
      <c r="BE1161" s="10"/>
      <c r="BF1161" s="10"/>
      <c r="BG1161" s="10"/>
      <c r="BH1161" s="10"/>
      <c r="BI1161" s="10"/>
      <c r="BJ1161" s="10"/>
      <c r="BK1161" s="10"/>
      <c r="BS1161" s="10"/>
      <c r="BT1161" s="10"/>
      <c r="BW1161" s="10"/>
    </row>
    <row r="1162">
      <c r="A1162" s="10"/>
      <c r="B1162" s="10"/>
      <c r="C1162" s="10"/>
      <c r="D1162" s="10"/>
      <c r="E1162" s="10"/>
      <c r="F1162" s="10"/>
      <c r="G1162" s="10"/>
      <c r="H1162" s="10"/>
      <c r="I1162" s="10"/>
      <c r="J1162" s="10"/>
      <c r="N1162" s="10"/>
      <c r="O1162" s="10"/>
      <c r="P1162" s="10"/>
      <c r="T1162" s="10"/>
      <c r="U1162" s="10"/>
      <c r="V1162" s="10"/>
      <c r="W1162" s="10"/>
      <c r="X1162" s="10"/>
      <c r="Y1162" s="10"/>
      <c r="Z1162" s="10"/>
      <c r="AA1162" s="10"/>
      <c r="AB1162" s="10"/>
      <c r="AC1162" s="10"/>
      <c r="AD1162" s="10"/>
      <c r="AE1162" s="10"/>
      <c r="AF1162" s="10"/>
      <c r="AG1162" s="10"/>
      <c r="AH1162" s="10"/>
      <c r="AI1162" s="10"/>
      <c r="AJ1162" s="10"/>
      <c r="AK1162" s="10"/>
      <c r="AL1162" s="10"/>
      <c r="AM1162" s="10"/>
      <c r="AN1162" s="10"/>
      <c r="AO1162" s="10"/>
      <c r="AP1162" s="10"/>
      <c r="AQ1162" s="10"/>
      <c r="AR1162" s="10"/>
      <c r="AS1162" s="10"/>
      <c r="AT1162" s="10"/>
      <c r="AU1162" s="10"/>
      <c r="AV1162" s="10"/>
      <c r="AW1162" s="143"/>
      <c r="AX1162" s="10"/>
      <c r="AY1162" s="10"/>
      <c r="BE1162" s="10"/>
      <c r="BF1162" s="10"/>
      <c r="BG1162" s="10"/>
      <c r="BH1162" s="10"/>
      <c r="BI1162" s="10"/>
      <c r="BJ1162" s="10"/>
      <c r="BK1162" s="10"/>
      <c r="BM1162" s="10"/>
      <c r="BN1162" s="10"/>
      <c r="BP1162" s="10"/>
      <c r="BQ1162" s="10"/>
      <c r="BS1162" s="10"/>
      <c r="BT1162" s="10"/>
      <c r="BW1162" s="10"/>
    </row>
    <row r="1163">
      <c r="A1163" s="10"/>
      <c r="B1163" s="10"/>
      <c r="C1163" s="10"/>
      <c r="D1163" s="10"/>
      <c r="E1163" s="10"/>
      <c r="F1163" s="10"/>
      <c r="G1163" s="10"/>
      <c r="H1163" s="10"/>
      <c r="I1163" s="10"/>
      <c r="J1163" s="10"/>
      <c r="K1163" s="10"/>
      <c r="L1163" s="10"/>
      <c r="N1163" s="10"/>
      <c r="O1163" s="10"/>
      <c r="T1163" s="10"/>
      <c r="U1163" s="10"/>
      <c r="V1163" s="10"/>
      <c r="W1163" s="10"/>
      <c r="X1163" s="10"/>
      <c r="Y1163" s="10"/>
      <c r="Z1163" s="10"/>
      <c r="AA1163" s="10"/>
      <c r="AB1163" s="10"/>
      <c r="AC1163" s="10"/>
      <c r="AD1163" s="10"/>
      <c r="AE1163" s="10"/>
      <c r="AF1163" s="10"/>
      <c r="AG1163" s="10"/>
      <c r="AH1163" s="10"/>
      <c r="AI1163" s="10"/>
      <c r="AJ1163" s="10"/>
      <c r="AK1163" s="10"/>
      <c r="AL1163" s="10"/>
      <c r="AM1163" s="10"/>
      <c r="AN1163" s="10"/>
      <c r="AO1163" s="10"/>
      <c r="AP1163" s="10"/>
      <c r="AQ1163" s="10"/>
      <c r="AR1163" s="10"/>
      <c r="AS1163" s="10"/>
      <c r="AT1163" s="10"/>
      <c r="AU1163" s="10"/>
      <c r="AV1163" s="10"/>
      <c r="AW1163" s="143"/>
      <c r="AX1163" s="10"/>
      <c r="AY1163" s="10"/>
      <c r="BE1163" s="10"/>
      <c r="BF1163" s="10"/>
      <c r="BG1163" s="10"/>
      <c r="BH1163" s="10"/>
      <c r="BI1163" s="10"/>
      <c r="BJ1163" s="10"/>
      <c r="BK1163" s="10"/>
      <c r="BS1163" s="10"/>
      <c r="BT1163" s="10"/>
      <c r="BW1163" s="10"/>
    </row>
    <row r="1164">
      <c r="A1164" s="10"/>
      <c r="B1164" s="10"/>
      <c r="C1164" s="10"/>
      <c r="D1164" s="10"/>
      <c r="E1164" s="10"/>
      <c r="F1164" s="10"/>
      <c r="G1164" s="10"/>
      <c r="H1164" s="10"/>
      <c r="I1164" s="10"/>
      <c r="J1164" s="10"/>
      <c r="N1164" s="10"/>
      <c r="O1164" s="10"/>
      <c r="T1164" s="10"/>
      <c r="U1164" s="10"/>
      <c r="V1164" s="10"/>
      <c r="W1164" s="10"/>
      <c r="X1164" s="10"/>
      <c r="Y1164" s="10"/>
      <c r="Z1164" s="10"/>
      <c r="AA1164" s="10"/>
      <c r="AB1164" s="10"/>
      <c r="AC1164" s="10"/>
      <c r="AD1164" s="10"/>
      <c r="AE1164" s="10"/>
      <c r="AF1164" s="10"/>
      <c r="AG1164" s="10"/>
      <c r="AH1164" s="10"/>
      <c r="AI1164" s="10"/>
      <c r="AJ1164" s="10"/>
      <c r="AK1164" s="10"/>
      <c r="AL1164" s="10"/>
      <c r="AM1164" s="10"/>
      <c r="AN1164" s="10"/>
      <c r="AO1164" s="10"/>
      <c r="AP1164" s="10"/>
      <c r="AQ1164" s="10"/>
      <c r="AR1164" s="10"/>
      <c r="AS1164" s="10"/>
      <c r="AT1164" s="10"/>
      <c r="AU1164" s="10"/>
      <c r="AV1164" s="10"/>
      <c r="AW1164" s="143"/>
      <c r="AX1164" s="10"/>
      <c r="AY1164" s="10"/>
      <c r="AZ1164" s="10"/>
      <c r="BE1164" s="10"/>
      <c r="BF1164" s="10"/>
      <c r="BG1164" s="10"/>
      <c r="BH1164" s="10"/>
      <c r="BI1164" s="10"/>
      <c r="BJ1164" s="10"/>
      <c r="BK1164" s="10"/>
      <c r="BL1164" s="10"/>
      <c r="BO1164" s="10"/>
      <c r="BR1164" s="10"/>
      <c r="BS1164" s="10"/>
      <c r="BT1164" s="10"/>
      <c r="BW1164" s="10"/>
    </row>
    <row r="1165">
      <c r="A1165" s="10"/>
      <c r="B1165" s="10"/>
      <c r="C1165" s="10"/>
      <c r="D1165" s="10"/>
      <c r="E1165" s="10"/>
      <c r="F1165" s="10"/>
      <c r="G1165" s="10"/>
      <c r="H1165" s="10"/>
      <c r="I1165" s="10"/>
      <c r="J1165" s="10"/>
      <c r="N1165" s="10"/>
      <c r="O1165" s="10"/>
      <c r="T1165" s="10"/>
      <c r="U1165" s="10"/>
      <c r="V1165" s="10"/>
      <c r="W1165" s="10"/>
      <c r="X1165" s="10"/>
      <c r="Y1165" s="10"/>
      <c r="Z1165" s="10"/>
      <c r="AA1165" s="10"/>
      <c r="AB1165" s="10"/>
      <c r="AC1165" s="10"/>
      <c r="AD1165" s="10"/>
      <c r="AE1165" s="10"/>
      <c r="AF1165" s="10"/>
      <c r="AG1165" s="10"/>
      <c r="AH1165" s="10"/>
      <c r="AI1165" s="10"/>
      <c r="AJ1165" s="10"/>
      <c r="AK1165" s="10"/>
      <c r="AL1165" s="10"/>
      <c r="AM1165" s="10"/>
      <c r="AN1165" s="10"/>
      <c r="AO1165" s="10"/>
      <c r="AP1165" s="10"/>
      <c r="AQ1165" s="10"/>
      <c r="AR1165" s="10"/>
      <c r="AS1165" s="10"/>
      <c r="AT1165" s="10"/>
      <c r="AU1165" s="10"/>
      <c r="AV1165" s="10"/>
      <c r="AW1165" s="143"/>
      <c r="AX1165" s="10"/>
      <c r="AY1165" s="10"/>
      <c r="AZ1165" s="10"/>
      <c r="BE1165" s="10"/>
      <c r="BF1165" s="10"/>
      <c r="BG1165" s="10"/>
      <c r="BH1165" s="10"/>
      <c r="BI1165" s="10"/>
      <c r="BJ1165" s="10"/>
      <c r="BK1165" s="10"/>
      <c r="BS1165" s="10"/>
      <c r="BT1165" s="10"/>
      <c r="BW1165" s="10"/>
    </row>
    <row r="1166">
      <c r="A1166" s="10"/>
      <c r="B1166" s="10"/>
      <c r="C1166" s="10"/>
      <c r="D1166" s="10"/>
      <c r="E1166" s="10"/>
      <c r="F1166" s="10"/>
      <c r="G1166" s="10"/>
      <c r="H1166" s="10"/>
      <c r="I1166" s="10"/>
      <c r="J1166" s="10"/>
      <c r="N1166" s="10"/>
      <c r="O1166" s="10"/>
      <c r="T1166" s="10"/>
      <c r="U1166" s="10"/>
      <c r="V1166" s="10"/>
      <c r="W1166" s="10"/>
      <c r="X1166" s="10"/>
      <c r="Y1166" s="10"/>
      <c r="Z1166" s="10"/>
      <c r="AA1166" s="10"/>
      <c r="AB1166" s="10"/>
      <c r="AC1166" s="10"/>
      <c r="AD1166" s="10"/>
      <c r="AE1166" s="10"/>
      <c r="AF1166" s="10"/>
      <c r="AG1166" s="10"/>
      <c r="AH1166" s="10"/>
      <c r="AI1166" s="10"/>
      <c r="AJ1166" s="10"/>
      <c r="AK1166" s="10"/>
      <c r="AL1166" s="10"/>
      <c r="AM1166" s="10"/>
      <c r="AN1166" s="10"/>
      <c r="AO1166" s="10"/>
      <c r="AP1166" s="10"/>
      <c r="AQ1166" s="10"/>
      <c r="AR1166" s="10"/>
      <c r="AS1166" s="10"/>
      <c r="AT1166" s="10"/>
      <c r="AU1166" s="10"/>
      <c r="AV1166" s="10"/>
      <c r="AW1166" s="143"/>
      <c r="AX1166" s="10"/>
      <c r="AY1166" s="10"/>
      <c r="AZ1166" s="10"/>
      <c r="BE1166" s="10"/>
      <c r="BF1166" s="10"/>
      <c r="BG1166" s="10"/>
      <c r="BH1166" s="10"/>
      <c r="BI1166" s="10"/>
      <c r="BJ1166" s="10"/>
      <c r="BK1166" s="10"/>
      <c r="BM1166" s="10"/>
      <c r="BP1166" s="10"/>
      <c r="BS1166" s="10"/>
      <c r="BT1166" s="10"/>
      <c r="BW1166" s="10"/>
    </row>
    <row r="1167">
      <c r="A1167" s="10"/>
      <c r="B1167" s="10"/>
      <c r="C1167" s="10"/>
      <c r="D1167" s="10"/>
      <c r="E1167" s="10"/>
      <c r="F1167" s="10"/>
      <c r="G1167" s="10"/>
      <c r="H1167" s="10"/>
      <c r="I1167" s="10"/>
      <c r="J1167" s="10"/>
      <c r="N1167" s="10"/>
      <c r="O1167" s="10"/>
      <c r="Q1167" s="10"/>
      <c r="R1167" s="10"/>
      <c r="S1167" s="10"/>
      <c r="T1167" s="10"/>
      <c r="U1167" s="10"/>
      <c r="V1167" s="10"/>
      <c r="W1167" s="10"/>
      <c r="X1167" s="10"/>
      <c r="Y1167" s="10"/>
      <c r="Z1167" s="10"/>
      <c r="AA1167" s="10"/>
      <c r="AB1167" s="10"/>
      <c r="AC1167" s="10"/>
      <c r="AD1167" s="10"/>
      <c r="AE1167" s="10"/>
      <c r="AF1167" s="10"/>
      <c r="AG1167" s="10"/>
      <c r="AH1167" s="10"/>
      <c r="AI1167" s="10"/>
      <c r="AJ1167" s="10"/>
      <c r="AK1167" s="10"/>
      <c r="AL1167" s="10"/>
      <c r="AM1167" s="10"/>
      <c r="AN1167" s="10"/>
      <c r="AO1167" s="10"/>
      <c r="AP1167" s="10"/>
      <c r="AQ1167" s="10"/>
      <c r="AR1167" s="10"/>
      <c r="AS1167" s="10"/>
      <c r="AT1167" s="10"/>
      <c r="AU1167" s="10"/>
      <c r="AV1167" s="10"/>
      <c r="AW1167" s="143"/>
      <c r="AX1167" s="10"/>
      <c r="AY1167" s="10"/>
      <c r="BE1167" s="10"/>
      <c r="BF1167" s="10"/>
      <c r="BG1167" s="10"/>
      <c r="BH1167" s="10"/>
      <c r="BI1167" s="10"/>
      <c r="BJ1167" s="10"/>
      <c r="BK1167" s="10"/>
      <c r="BL1167" s="10"/>
      <c r="BO1167" s="10"/>
      <c r="BR1167" s="10"/>
      <c r="BS1167" s="10"/>
      <c r="BT1167" s="10"/>
      <c r="BW1167" s="10"/>
    </row>
    <row r="1168">
      <c r="A1168" s="10"/>
      <c r="B1168" s="10"/>
      <c r="C1168" s="10"/>
      <c r="D1168" s="10"/>
      <c r="E1168" s="10"/>
      <c r="F1168" s="10"/>
      <c r="G1168" s="10"/>
      <c r="H1168" s="10"/>
      <c r="I1168" s="10"/>
      <c r="J1168" s="10"/>
      <c r="N1168" s="10"/>
      <c r="O1168" s="10"/>
      <c r="T1168" s="10"/>
      <c r="U1168" s="10"/>
      <c r="V1168" s="10"/>
      <c r="W1168" s="10"/>
      <c r="X1168" s="10"/>
      <c r="Y1168" s="10"/>
      <c r="Z1168" s="10"/>
      <c r="AA1168" s="10"/>
      <c r="AB1168" s="10"/>
      <c r="AC1168" s="10"/>
      <c r="AD1168" s="10"/>
      <c r="AE1168" s="10"/>
      <c r="AF1168" s="10"/>
      <c r="AG1168" s="10"/>
      <c r="AH1168" s="10"/>
      <c r="AI1168" s="10"/>
      <c r="AJ1168" s="10"/>
      <c r="AK1168" s="10"/>
      <c r="AL1168" s="10"/>
      <c r="AM1168" s="10"/>
      <c r="AN1168" s="10"/>
      <c r="AO1168" s="10"/>
      <c r="AP1168" s="10"/>
      <c r="AQ1168" s="10"/>
      <c r="AR1168" s="10"/>
      <c r="AS1168" s="10"/>
      <c r="AT1168" s="10"/>
      <c r="AU1168" s="10"/>
      <c r="AV1168" s="10"/>
      <c r="AW1168" s="143"/>
      <c r="AX1168" s="10"/>
      <c r="AY1168" s="10"/>
      <c r="BE1168" s="10"/>
      <c r="BF1168" s="10"/>
      <c r="BG1168" s="10"/>
      <c r="BH1168" s="10"/>
      <c r="BI1168" s="10"/>
      <c r="BJ1168" s="10"/>
      <c r="BK1168" s="10"/>
      <c r="BS1168" s="10"/>
      <c r="BT1168" s="10"/>
      <c r="BW1168" s="10"/>
    </row>
    <row r="1169">
      <c r="A1169" s="10"/>
      <c r="B1169" s="10"/>
      <c r="C1169" s="10"/>
      <c r="D1169" s="10"/>
      <c r="E1169" s="10"/>
      <c r="F1169" s="10"/>
      <c r="G1169" s="10"/>
      <c r="H1169" s="10"/>
      <c r="I1169" s="10"/>
      <c r="J1169" s="10"/>
      <c r="N1169" s="10"/>
      <c r="O1169" s="10"/>
      <c r="T1169" s="10"/>
      <c r="U1169" s="10"/>
      <c r="V1169" s="10"/>
      <c r="W1169" s="10"/>
      <c r="X1169" s="10"/>
      <c r="Y1169" s="10"/>
      <c r="Z1169" s="10"/>
      <c r="AA1169" s="10"/>
      <c r="AB1169" s="10"/>
      <c r="AC1169" s="10"/>
      <c r="AD1169" s="10"/>
      <c r="AE1169" s="10"/>
      <c r="AF1169" s="10"/>
      <c r="AG1169" s="10"/>
      <c r="AH1169" s="10"/>
      <c r="AI1169" s="10"/>
      <c r="AJ1169" s="10"/>
      <c r="AK1169" s="10"/>
      <c r="AL1169" s="10"/>
      <c r="AM1169" s="10"/>
      <c r="AN1169" s="10"/>
      <c r="AO1169" s="10"/>
      <c r="AP1169" s="10"/>
      <c r="AQ1169" s="10"/>
      <c r="AR1169" s="10"/>
      <c r="AS1169" s="10"/>
      <c r="AT1169" s="10"/>
      <c r="AU1169" s="10"/>
      <c r="AV1169" s="10"/>
      <c r="AW1169" s="143"/>
      <c r="AX1169" s="10"/>
      <c r="AY1169" s="10"/>
      <c r="BE1169" s="10"/>
      <c r="BF1169" s="10"/>
      <c r="BG1169" s="10"/>
      <c r="BH1169" s="10"/>
      <c r="BI1169" s="10"/>
      <c r="BJ1169" s="10"/>
      <c r="BK1169" s="10"/>
      <c r="BS1169" s="10"/>
      <c r="BT1169" s="10"/>
      <c r="BW1169" s="10"/>
    </row>
    <row r="1170">
      <c r="A1170" s="10"/>
      <c r="B1170" s="10"/>
      <c r="C1170" s="10"/>
      <c r="D1170" s="10"/>
      <c r="E1170" s="10"/>
      <c r="F1170" s="10"/>
      <c r="G1170" s="10"/>
      <c r="H1170" s="10"/>
      <c r="I1170" s="10"/>
      <c r="J1170" s="10"/>
      <c r="N1170" s="10"/>
      <c r="O1170" s="10"/>
      <c r="T1170" s="10"/>
      <c r="U1170" s="10"/>
      <c r="V1170" s="10"/>
      <c r="W1170" s="10"/>
      <c r="X1170" s="10"/>
      <c r="Y1170" s="10"/>
      <c r="Z1170" s="10"/>
      <c r="AA1170" s="10"/>
      <c r="AB1170" s="10"/>
      <c r="AC1170" s="10"/>
      <c r="AD1170" s="10"/>
      <c r="AE1170" s="10"/>
      <c r="AF1170" s="10"/>
      <c r="AG1170" s="10"/>
      <c r="AH1170" s="10"/>
      <c r="AI1170" s="10"/>
      <c r="AJ1170" s="10"/>
      <c r="AK1170" s="10"/>
      <c r="AL1170" s="10"/>
      <c r="AM1170" s="10"/>
      <c r="AN1170" s="10"/>
      <c r="AO1170" s="10"/>
      <c r="AP1170" s="10"/>
      <c r="AQ1170" s="10"/>
      <c r="AR1170" s="10"/>
      <c r="AS1170" s="10"/>
      <c r="AT1170" s="10"/>
      <c r="AU1170" s="10"/>
      <c r="AV1170" s="10"/>
      <c r="AW1170" s="143"/>
      <c r="AX1170" s="10"/>
      <c r="AY1170" s="10"/>
      <c r="BE1170" s="10"/>
      <c r="BF1170" s="10"/>
      <c r="BG1170" s="10"/>
      <c r="BH1170" s="10"/>
      <c r="BI1170" s="10"/>
      <c r="BJ1170" s="10"/>
      <c r="BK1170" s="10"/>
      <c r="BS1170" s="10"/>
      <c r="BT1170" s="10"/>
      <c r="BW1170" s="10"/>
    </row>
    <row r="1171">
      <c r="A1171" s="10"/>
      <c r="B1171" s="10"/>
      <c r="C1171" s="10"/>
      <c r="D1171" s="10"/>
      <c r="E1171" s="10"/>
      <c r="F1171" s="10"/>
      <c r="G1171" s="10"/>
      <c r="H1171" s="10"/>
      <c r="I1171" s="10"/>
      <c r="J1171" s="10"/>
      <c r="N1171" s="10"/>
      <c r="O1171" s="10"/>
      <c r="T1171" s="10"/>
      <c r="U1171" s="10"/>
      <c r="V1171" s="10"/>
      <c r="W1171" s="10"/>
      <c r="X1171" s="10"/>
      <c r="Y1171" s="10"/>
      <c r="Z1171" s="10"/>
      <c r="AA1171" s="10"/>
      <c r="AB1171" s="10"/>
      <c r="AC1171" s="10"/>
      <c r="AD1171" s="10"/>
      <c r="AE1171" s="10"/>
      <c r="AF1171" s="10"/>
      <c r="AG1171" s="10"/>
      <c r="AH1171" s="10"/>
      <c r="AI1171" s="10"/>
      <c r="AJ1171" s="10"/>
      <c r="AK1171" s="10"/>
      <c r="AL1171" s="10"/>
      <c r="AM1171" s="10"/>
      <c r="AN1171" s="10"/>
      <c r="AO1171" s="10"/>
      <c r="AP1171" s="10"/>
      <c r="AQ1171" s="10"/>
      <c r="AR1171" s="10"/>
      <c r="AS1171" s="10"/>
      <c r="AT1171" s="10"/>
      <c r="AU1171" s="10"/>
      <c r="AV1171" s="10"/>
      <c r="AW1171" s="143"/>
      <c r="AX1171" s="10"/>
      <c r="AY1171" s="10"/>
      <c r="BE1171" s="10"/>
      <c r="BF1171" s="10"/>
      <c r="BG1171" s="10"/>
      <c r="BH1171" s="10"/>
      <c r="BI1171" s="10"/>
      <c r="BJ1171" s="10"/>
      <c r="BK1171" s="10"/>
      <c r="BS1171" s="10"/>
      <c r="BT1171" s="10"/>
      <c r="BW1171" s="10"/>
    </row>
    <row r="1172">
      <c r="A1172" s="10"/>
      <c r="B1172" s="10"/>
      <c r="C1172" s="10"/>
      <c r="D1172" s="10"/>
      <c r="E1172" s="10"/>
      <c r="F1172" s="10"/>
      <c r="G1172" s="10"/>
      <c r="H1172" s="10"/>
      <c r="I1172" s="10"/>
      <c r="J1172" s="10"/>
      <c r="N1172" s="10"/>
      <c r="O1172" s="10"/>
      <c r="T1172" s="10"/>
      <c r="U1172" s="10"/>
      <c r="V1172" s="10"/>
      <c r="W1172" s="10"/>
      <c r="X1172" s="10"/>
      <c r="Y1172" s="10"/>
      <c r="Z1172" s="10"/>
      <c r="AA1172" s="10"/>
      <c r="AB1172" s="10"/>
      <c r="AC1172" s="10"/>
      <c r="AD1172" s="10"/>
      <c r="AE1172" s="10"/>
      <c r="AF1172" s="10"/>
      <c r="AG1172" s="10"/>
      <c r="AH1172" s="10"/>
      <c r="AI1172" s="10"/>
      <c r="AJ1172" s="10"/>
      <c r="AK1172" s="10"/>
      <c r="AL1172" s="10"/>
      <c r="AM1172" s="10"/>
      <c r="AN1172" s="10"/>
      <c r="AO1172" s="10"/>
      <c r="AP1172" s="10"/>
      <c r="AQ1172" s="10"/>
      <c r="AR1172" s="10"/>
      <c r="AS1172" s="10"/>
      <c r="AT1172" s="10"/>
      <c r="AU1172" s="10"/>
      <c r="AV1172" s="10"/>
      <c r="AW1172" s="143"/>
      <c r="AX1172" s="10"/>
      <c r="AY1172" s="10"/>
      <c r="BE1172" s="10"/>
      <c r="BF1172" s="10"/>
      <c r="BG1172" s="10"/>
      <c r="BH1172" s="10"/>
      <c r="BI1172" s="10"/>
      <c r="BJ1172" s="10"/>
      <c r="BK1172" s="10"/>
      <c r="BS1172" s="10"/>
      <c r="BT1172" s="10"/>
      <c r="BW1172" s="10"/>
    </row>
    <row r="1173">
      <c r="A1173" s="10"/>
      <c r="B1173" s="10"/>
      <c r="C1173" s="10"/>
      <c r="D1173" s="10"/>
      <c r="E1173" s="10"/>
      <c r="F1173" s="10"/>
      <c r="G1173" s="10"/>
      <c r="H1173" s="10"/>
      <c r="I1173" s="10"/>
      <c r="J1173" s="10"/>
      <c r="N1173" s="10"/>
      <c r="O1173" s="10"/>
      <c r="T1173" s="10"/>
      <c r="U1173" s="10"/>
      <c r="V1173" s="10"/>
      <c r="W1173" s="10"/>
      <c r="X1173" s="10"/>
      <c r="Y1173" s="10"/>
      <c r="Z1173" s="10"/>
      <c r="AA1173" s="10"/>
      <c r="AB1173" s="10"/>
      <c r="AC1173" s="10"/>
      <c r="AD1173" s="10"/>
      <c r="AE1173" s="10"/>
      <c r="AF1173" s="10"/>
      <c r="AG1173" s="10"/>
      <c r="AH1173" s="10"/>
      <c r="AI1173" s="10"/>
      <c r="AJ1173" s="10"/>
      <c r="AK1173" s="10"/>
      <c r="AL1173" s="10"/>
      <c r="AM1173" s="10"/>
      <c r="AN1173" s="10"/>
      <c r="AO1173" s="10"/>
      <c r="AP1173" s="10"/>
      <c r="AQ1173" s="10"/>
      <c r="AR1173" s="10"/>
      <c r="AS1173" s="10"/>
      <c r="AT1173" s="10"/>
      <c r="AU1173" s="10"/>
      <c r="AV1173" s="10"/>
      <c r="AW1173" s="143"/>
      <c r="AX1173" s="10"/>
      <c r="AY1173" s="10"/>
      <c r="BE1173" s="10"/>
      <c r="BF1173" s="10"/>
      <c r="BG1173" s="10"/>
      <c r="BH1173" s="10"/>
      <c r="BI1173" s="10"/>
      <c r="BJ1173" s="10"/>
      <c r="BK1173" s="10"/>
      <c r="BS1173" s="10"/>
      <c r="BT1173" s="10"/>
      <c r="BW1173" s="10"/>
    </row>
    <row r="1174">
      <c r="A1174" s="10"/>
      <c r="B1174" s="10"/>
      <c r="C1174" s="10"/>
      <c r="D1174" s="10"/>
      <c r="E1174" s="10"/>
      <c r="F1174" s="10"/>
      <c r="G1174" s="10"/>
      <c r="H1174" s="10"/>
      <c r="I1174" s="10"/>
      <c r="J1174" s="10"/>
      <c r="N1174" s="10"/>
      <c r="O1174" s="10"/>
      <c r="P1174" s="10"/>
      <c r="T1174" s="10"/>
      <c r="U1174" s="10"/>
      <c r="V1174" s="10"/>
      <c r="W1174" s="10"/>
      <c r="X1174" s="10"/>
      <c r="Y1174" s="10"/>
      <c r="Z1174" s="10"/>
      <c r="AA1174" s="10"/>
      <c r="AB1174" s="10"/>
      <c r="AC1174" s="10"/>
      <c r="AD1174" s="10"/>
      <c r="AE1174" s="10"/>
      <c r="AF1174" s="10"/>
      <c r="AG1174" s="10"/>
      <c r="AH1174" s="10"/>
      <c r="AI1174" s="10"/>
      <c r="AJ1174" s="10"/>
      <c r="AK1174" s="10"/>
      <c r="AL1174" s="10"/>
      <c r="AM1174" s="10"/>
      <c r="AN1174" s="10"/>
      <c r="AO1174" s="10"/>
      <c r="AP1174" s="10"/>
      <c r="AQ1174" s="10"/>
      <c r="AR1174" s="10"/>
      <c r="AS1174" s="10"/>
      <c r="AT1174" s="10"/>
      <c r="AU1174" s="10"/>
      <c r="AV1174" s="10"/>
      <c r="AW1174" s="143"/>
      <c r="AX1174" s="10"/>
      <c r="AY1174" s="10"/>
      <c r="AZ1174" s="10"/>
      <c r="BL1174" s="10"/>
      <c r="BO1174" s="10"/>
      <c r="BR1174" s="10"/>
      <c r="BS1174" s="10"/>
      <c r="BT1174" s="10"/>
      <c r="BW1174" s="10"/>
    </row>
    <row r="1175">
      <c r="A1175" s="10"/>
      <c r="B1175" s="10"/>
      <c r="C1175" s="10"/>
      <c r="D1175" s="10"/>
      <c r="E1175" s="10"/>
      <c r="F1175" s="10"/>
      <c r="G1175" s="10"/>
      <c r="H1175" s="10"/>
      <c r="I1175" s="10"/>
      <c r="J1175" s="10"/>
      <c r="N1175" s="10"/>
      <c r="O1175" s="10"/>
      <c r="Q1175" s="10"/>
      <c r="R1175" s="10"/>
      <c r="S1175" s="10"/>
      <c r="T1175" s="10"/>
      <c r="U1175" s="10"/>
      <c r="V1175" s="10"/>
      <c r="W1175" s="10"/>
      <c r="X1175" s="10"/>
      <c r="Y1175" s="10"/>
      <c r="Z1175" s="10"/>
      <c r="AA1175" s="10"/>
      <c r="AB1175" s="10"/>
      <c r="AC1175" s="10"/>
      <c r="AD1175" s="10"/>
      <c r="AE1175" s="10"/>
      <c r="AF1175" s="10"/>
      <c r="AG1175" s="10"/>
      <c r="AH1175" s="10"/>
      <c r="AI1175" s="10"/>
      <c r="AJ1175" s="10"/>
      <c r="AK1175" s="10"/>
      <c r="AL1175" s="10"/>
      <c r="AM1175" s="10"/>
      <c r="AN1175" s="10"/>
      <c r="AO1175" s="10"/>
      <c r="AP1175" s="10"/>
      <c r="AQ1175" s="10"/>
      <c r="AR1175" s="10"/>
      <c r="AS1175" s="10"/>
      <c r="AT1175" s="10"/>
      <c r="AU1175" s="10"/>
      <c r="AV1175" s="10"/>
      <c r="AW1175" s="143"/>
      <c r="AX1175" s="10"/>
      <c r="AY1175" s="10"/>
      <c r="BE1175" s="10"/>
      <c r="BF1175" s="10"/>
      <c r="BG1175" s="10"/>
      <c r="BH1175" s="10"/>
      <c r="BI1175" s="10"/>
      <c r="BJ1175" s="10"/>
      <c r="BK1175" s="10"/>
      <c r="BL1175" s="10"/>
      <c r="BM1175" s="10"/>
      <c r="BN1175" s="10"/>
      <c r="BO1175" s="10"/>
      <c r="BP1175" s="10"/>
      <c r="BQ1175" s="10"/>
      <c r="BR1175" s="10"/>
      <c r="BS1175" s="10"/>
      <c r="BT1175" s="10"/>
      <c r="BW1175" s="10"/>
    </row>
    <row r="1176">
      <c r="A1176" s="10"/>
      <c r="B1176" s="10"/>
      <c r="C1176" s="10"/>
      <c r="D1176" s="10"/>
      <c r="E1176" s="10"/>
      <c r="F1176" s="10"/>
      <c r="G1176" s="10"/>
      <c r="H1176" s="10"/>
      <c r="I1176" s="10"/>
      <c r="J1176" s="10"/>
      <c r="N1176" s="10"/>
      <c r="O1176" s="10"/>
      <c r="T1176" s="10"/>
      <c r="U1176" s="10"/>
      <c r="V1176" s="10"/>
      <c r="W1176" s="10"/>
      <c r="X1176" s="10"/>
      <c r="Y1176" s="10"/>
      <c r="Z1176" s="10"/>
      <c r="AA1176" s="10"/>
      <c r="AB1176" s="10"/>
      <c r="AC1176" s="10"/>
      <c r="AD1176" s="10"/>
      <c r="AE1176" s="10"/>
      <c r="AF1176" s="10"/>
      <c r="AG1176" s="10"/>
      <c r="AH1176" s="10"/>
      <c r="AI1176" s="10"/>
      <c r="AJ1176" s="10"/>
      <c r="AK1176" s="10"/>
      <c r="AL1176" s="10"/>
      <c r="AM1176" s="10"/>
      <c r="AN1176" s="10"/>
      <c r="AO1176" s="10"/>
      <c r="AP1176" s="10"/>
      <c r="AQ1176" s="10"/>
      <c r="AR1176" s="10"/>
      <c r="AS1176" s="10"/>
      <c r="AT1176" s="10"/>
      <c r="AU1176" s="10"/>
      <c r="AV1176" s="10"/>
      <c r="AW1176" s="143"/>
      <c r="AX1176" s="10"/>
      <c r="AY1176" s="10"/>
      <c r="BE1176" s="10"/>
      <c r="BF1176" s="10"/>
      <c r="BG1176" s="10"/>
      <c r="BH1176" s="10"/>
      <c r="BI1176" s="10"/>
      <c r="BJ1176" s="10"/>
      <c r="BK1176" s="10"/>
      <c r="BS1176" s="10"/>
      <c r="BT1176" s="10"/>
      <c r="BW1176" s="10"/>
    </row>
    <row r="1177">
      <c r="A1177" s="10"/>
      <c r="B1177" s="10"/>
      <c r="C1177" s="10"/>
      <c r="D1177" s="10"/>
      <c r="E1177" s="10"/>
      <c r="F1177" s="10"/>
      <c r="G1177" s="10"/>
      <c r="H1177" s="10"/>
      <c r="I1177" s="10"/>
      <c r="J1177" s="10"/>
      <c r="N1177" s="10"/>
      <c r="O1177" s="10"/>
      <c r="T1177" s="10"/>
      <c r="U1177" s="10"/>
      <c r="V1177" s="10"/>
      <c r="W1177" s="10"/>
      <c r="X1177" s="10"/>
      <c r="Y1177" s="10"/>
      <c r="Z1177" s="10"/>
      <c r="AA1177" s="10"/>
      <c r="AB1177" s="10"/>
      <c r="AC1177" s="10"/>
      <c r="AD1177" s="10"/>
      <c r="AE1177" s="10"/>
      <c r="AF1177" s="10"/>
      <c r="AG1177" s="10"/>
      <c r="AH1177" s="10"/>
      <c r="AI1177" s="10"/>
      <c r="AJ1177" s="10"/>
      <c r="AK1177" s="10"/>
      <c r="AL1177" s="10"/>
      <c r="AM1177" s="10"/>
      <c r="AN1177" s="10"/>
      <c r="AO1177" s="10"/>
      <c r="AP1177" s="10"/>
      <c r="AQ1177" s="10"/>
      <c r="AR1177" s="10"/>
      <c r="AS1177" s="10"/>
      <c r="AT1177" s="10"/>
      <c r="AU1177" s="10"/>
      <c r="AV1177" s="10"/>
      <c r="AW1177" s="143"/>
      <c r="AX1177" s="10"/>
      <c r="AY1177" s="10"/>
      <c r="BE1177" s="10"/>
      <c r="BF1177" s="10"/>
      <c r="BG1177" s="10"/>
      <c r="BH1177" s="10"/>
      <c r="BI1177" s="10"/>
      <c r="BJ1177" s="10"/>
      <c r="BK1177" s="10"/>
      <c r="BS1177" s="10"/>
      <c r="BT1177" s="10"/>
      <c r="BW1177" s="10"/>
    </row>
    <row r="1178">
      <c r="A1178" s="10"/>
      <c r="B1178" s="10"/>
      <c r="C1178" s="10"/>
      <c r="D1178" s="10"/>
      <c r="E1178" s="10"/>
      <c r="F1178" s="10"/>
      <c r="G1178" s="10"/>
      <c r="H1178" s="10"/>
      <c r="I1178" s="10"/>
      <c r="J1178" s="10"/>
      <c r="N1178" s="10"/>
      <c r="O1178" s="10"/>
      <c r="T1178" s="10"/>
      <c r="U1178" s="10"/>
      <c r="V1178" s="10"/>
      <c r="W1178" s="10"/>
      <c r="X1178" s="10"/>
      <c r="Y1178" s="10"/>
      <c r="Z1178" s="10"/>
      <c r="AA1178" s="10"/>
      <c r="AB1178" s="10"/>
      <c r="AC1178" s="10"/>
      <c r="AD1178" s="10"/>
      <c r="AE1178" s="10"/>
      <c r="AF1178" s="10"/>
      <c r="AG1178" s="10"/>
      <c r="AH1178" s="10"/>
      <c r="AI1178" s="10"/>
      <c r="AJ1178" s="10"/>
      <c r="AK1178" s="10"/>
      <c r="AL1178" s="10"/>
      <c r="AM1178" s="10"/>
      <c r="AN1178" s="10"/>
      <c r="AO1178" s="10"/>
      <c r="AP1178" s="10"/>
      <c r="AQ1178" s="10"/>
      <c r="AR1178" s="10"/>
      <c r="AS1178" s="10"/>
      <c r="AT1178" s="10"/>
      <c r="AU1178" s="10"/>
      <c r="AV1178" s="10"/>
      <c r="AW1178" s="143"/>
      <c r="AX1178" s="10"/>
      <c r="AY1178" s="10"/>
      <c r="BE1178" s="10"/>
      <c r="BF1178" s="10"/>
      <c r="BG1178" s="10"/>
      <c r="BH1178" s="10"/>
      <c r="BI1178" s="10"/>
      <c r="BJ1178" s="10"/>
      <c r="BK1178" s="10"/>
      <c r="BS1178" s="10"/>
      <c r="BT1178" s="10"/>
      <c r="BW1178" s="10"/>
    </row>
    <row r="1179">
      <c r="A1179" s="10"/>
      <c r="B1179" s="10"/>
      <c r="C1179" s="10"/>
      <c r="D1179" s="10"/>
      <c r="E1179" s="10"/>
      <c r="F1179" s="10"/>
      <c r="G1179" s="10"/>
      <c r="H1179" s="10"/>
      <c r="I1179" s="10"/>
      <c r="J1179" s="10"/>
      <c r="N1179" s="10"/>
      <c r="O1179" s="10"/>
      <c r="T1179" s="10"/>
      <c r="U1179" s="10"/>
      <c r="V1179" s="10"/>
      <c r="W1179" s="10"/>
      <c r="X1179" s="10"/>
      <c r="Y1179" s="10"/>
      <c r="Z1179" s="10"/>
      <c r="AA1179" s="10"/>
      <c r="AB1179" s="10"/>
      <c r="AC1179" s="10"/>
      <c r="AD1179" s="10"/>
      <c r="AE1179" s="10"/>
      <c r="AF1179" s="10"/>
      <c r="AG1179" s="10"/>
      <c r="AH1179" s="10"/>
      <c r="AI1179" s="10"/>
      <c r="AJ1179" s="10"/>
      <c r="AK1179" s="10"/>
      <c r="AL1179" s="10"/>
      <c r="AM1179" s="10"/>
      <c r="AN1179" s="10"/>
      <c r="AO1179" s="10"/>
      <c r="AP1179" s="10"/>
      <c r="AQ1179" s="10"/>
      <c r="AR1179" s="10"/>
      <c r="AS1179" s="10"/>
      <c r="AT1179" s="10"/>
      <c r="AU1179" s="10"/>
      <c r="AV1179" s="10"/>
      <c r="AW1179" s="143"/>
      <c r="AX1179" s="10"/>
      <c r="AY1179" s="10"/>
      <c r="BE1179" s="10"/>
      <c r="BF1179" s="10"/>
      <c r="BG1179" s="10"/>
      <c r="BH1179" s="10"/>
      <c r="BI1179" s="10"/>
      <c r="BJ1179" s="10"/>
      <c r="BK1179" s="10"/>
      <c r="BS1179" s="10"/>
      <c r="BT1179" s="10"/>
      <c r="BW1179" s="10"/>
    </row>
    <row r="1180">
      <c r="A1180" s="10"/>
      <c r="B1180" s="10"/>
      <c r="C1180" s="10"/>
      <c r="D1180" s="10"/>
      <c r="E1180" s="10"/>
      <c r="F1180" s="10"/>
      <c r="G1180" s="10"/>
      <c r="H1180" s="10"/>
      <c r="I1180" s="10"/>
      <c r="J1180" s="10"/>
      <c r="N1180" s="10"/>
      <c r="O1180" s="10"/>
      <c r="T1180" s="10"/>
      <c r="U1180" s="10"/>
      <c r="V1180" s="10"/>
      <c r="W1180" s="10"/>
      <c r="X1180" s="10"/>
      <c r="Y1180" s="10"/>
      <c r="Z1180" s="10"/>
      <c r="AA1180" s="10"/>
      <c r="AB1180" s="10"/>
      <c r="AC1180" s="10"/>
      <c r="AD1180" s="10"/>
      <c r="AE1180" s="10"/>
      <c r="AF1180" s="10"/>
      <c r="AG1180" s="10"/>
      <c r="AH1180" s="10"/>
      <c r="AI1180" s="10"/>
      <c r="AJ1180" s="10"/>
      <c r="AK1180" s="10"/>
      <c r="AL1180" s="10"/>
      <c r="AM1180" s="10"/>
      <c r="AN1180" s="10"/>
      <c r="AO1180" s="10"/>
      <c r="AP1180" s="10"/>
      <c r="AQ1180" s="10"/>
      <c r="AR1180" s="10"/>
      <c r="AS1180" s="10"/>
      <c r="AT1180" s="10"/>
      <c r="AU1180" s="10"/>
      <c r="AV1180" s="10"/>
      <c r="AW1180" s="143"/>
      <c r="AX1180" s="10"/>
      <c r="AY1180" s="10"/>
      <c r="BE1180" s="10"/>
      <c r="BF1180" s="10"/>
      <c r="BG1180" s="10"/>
      <c r="BH1180" s="10"/>
      <c r="BI1180" s="10"/>
      <c r="BJ1180" s="10"/>
      <c r="BK1180" s="10"/>
      <c r="BS1180" s="10"/>
      <c r="BT1180" s="10"/>
      <c r="BW1180" s="10"/>
    </row>
    <row r="1181">
      <c r="A1181" s="10"/>
      <c r="B1181" s="10"/>
      <c r="C1181" s="10"/>
      <c r="D1181" s="10"/>
      <c r="E1181" s="10"/>
      <c r="F1181" s="10"/>
      <c r="G1181" s="10"/>
      <c r="H1181" s="10"/>
      <c r="I1181" s="10"/>
      <c r="J1181" s="10"/>
      <c r="N1181" s="10"/>
      <c r="O1181" s="10"/>
      <c r="T1181" s="10"/>
      <c r="U1181" s="10"/>
      <c r="V1181" s="10"/>
      <c r="W1181" s="10"/>
      <c r="X1181" s="10"/>
      <c r="Y1181" s="10"/>
      <c r="Z1181" s="10"/>
      <c r="AA1181" s="10"/>
      <c r="AB1181" s="10"/>
      <c r="AC1181" s="10"/>
      <c r="AD1181" s="10"/>
      <c r="AE1181" s="10"/>
      <c r="AF1181" s="10"/>
      <c r="AG1181" s="10"/>
      <c r="AH1181" s="10"/>
      <c r="AI1181" s="10"/>
      <c r="AJ1181" s="10"/>
      <c r="AK1181" s="10"/>
      <c r="AL1181" s="10"/>
      <c r="AM1181" s="10"/>
      <c r="AN1181" s="10"/>
      <c r="AO1181" s="10"/>
      <c r="AP1181" s="10"/>
      <c r="AQ1181" s="10"/>
      <c r="AR1181" s="10"/>
      <c r="AS1181" s="10"/>
      <c r="AT1181" s="10"/>
      <c r="AU1181" s="10"/>
      <c r="AV1181" s="10"/>
      <c r="AW1181" s="143"/>
      <c r="AX1181" s="10"/>
      <c r="AY1181" s="10"/>
      <c r="BE1181" s="10"/>
      <c r="BF1181" s="10"/>
      <c r="BG1181" s="10"/>
      <c r="BH1181" s="10"/>
      <c r="BI1181" s="10"/>
      <c r="BJ1181" s="10"/>
      <c r="BK1181" s="10"/>
      <c r="BS1181" s="10"/>
      <c r="BT1181" s="10"/>
      <c r="BW1181" s="10"/>
    </row>
    <row r="1182">
      <c r="A1182" s="10"/>
      <c r="B1182" s="10"/>
      <c r="C1182" s="10"/>
      <c r="D1182" s="10"/>
      <c r="E1182" s="10"/>
      <c r="F1182" s="10"/>
      <c r="G1182" s="10"/>
      <c r="H1182" s="10"/>
      <c r="I1182" s="10"/>
      <c r="J1182" s="10"/>
      <c r="N1182" s="10"/>
      <c r="O1182" s="10"/>
      <c r="T1182" s="10"/>
      <c r="U1182" s="10"/>
      <c r="V1182" s="10"/>
      <c r="W1182" s="10"/>
      <c r="X1182" s="10"/>
      <c r="Y1182" s="10"/>
      <c r="Z1182" s="10"/>
      <c r="AA1182" s="10"/>
      <c r="AB1182" s="10"/>
      <c r="AC1182" s="10"/>
      <c r="AD1182" s="10"/>
      <c r="AE1182" s="10"/>
      <c r="AF1182" s="10"/>
      <c r="AG1182" s="10"/>
      <c r="AH1182" s="10"/>
      <c r="AI1182" s="10"/>
      <c r="AJ1182" s="10"/>
      <c r="AK1182" s="10"/>
      <c r="AL1182" s="10"/>
      <c r="AM1182" s="10"/>
      <c r="AN1182" s="10"/>
      <c r="AO1182" s="10"/>
      <c r="AP1182" s="10"/>
      <c r="AQ1182" s="10"/>
      <c r="AR1182" s="10"/>
      <c r="AS1182" s="10"/>
      <c r="AT1182" s="10"/>
      <c r="AU1182" s="10"/>
      <c r="AV1182" s="10"/>
      <c r="AW1182" s="143"/>
      <c r="AX1182" s="10"/>
      <c r="AY1182" s="10"/>
      <c r="BE1182" s="10"/>
      <c r="BF1182" s="10"/>
      <c r="BG1182" s="10"/>
      <c r="BH1182" s="10"/>
      <c r="BI1182" s="10"/>
      <c r="BJ1182" s="10"/>
      <c r="BK1182" s="10"/>
      <c r="BS1182" s="10"/>
      <c r="BT1182" s="10"/>
      <c r="BW1182" s="10"/>
    </row>
    <row r="1183">
      <c r="A1183" s="10"/>
      <c r="B1183" s="10"/>
      <c r="C1183" s="10"/>
      <c r="D1183" s="10"/>
      <c r="E1183" s="10"/>
      <c r="F1183" s="10"/>
      <c r="G1183" s="10"/>
      <c r="H1183" s="10"/>
      <c r="I1183" s="10"/>
      <c r="J1183" s="10"/>
      <c r="N1183" s="10"/>
      <c r="O1183" s="10"/>
      <c r="T1183" s="10"/>
      <c r="U1183" s="10"/>
      <c r="V1183" s="10"/>
      <c r="W1183" s="10"/>
      <c r="X1183" s="10"/>
      <c r="Y1183" s="10"/>
      <c r="Z1183" s="10"/>
      <c r="AA1183" s="10"/>
      <c r="AB1183" s="10"/>
      <c r="AC1183" s="10"/>
      <c r="AD1183" s="10"/>
      <c r="AE1183" s="10"/>
      <c r="AF1183" s="10"/>
      <c r="AG1183" s="10"/>
      <c r="AH1183" s="10"/>
      <c r="AI1183" s="10"/>
      <c r="AJ1183" s="10"/>
      <c r="AK1183" s="10"/>
      <c r="AL1183" s="10"/>
      <c r="AM1183" s="10"/>
      <c r="AN1183" s="10"/>
      <c r="AO1183" s="10"/>
      <c r="AP1183" s="10"/>
      <c r="AQ1183" s="10"/>
      <c r="AR1183" s="10"/>
      <c r="AS1183" s="10"/>
      <c r="AT1183" s="10"/>
      <c r="AU1183" s="10"/>
      <c r="AV1183" s="10"/>
      <c r="AW1183" s="143"/>
      <c r="AX1183" s="10"/>
      <c r="AY1183" s="10"/>
      <c r="BE1183" s="10"/>
      <c r="BF1183" s="10"/>
      <c r="BG1183" s="10"/>
      <c r="BH1183" s="10"/>
      <c r="BI1183" s="10"/>
      <c r="BJ1183" s="10"/>
      <c r="BK1183" s="10"/>
      <c r="BS1183" s="10"/>
      <c r="BT1183" s="10"/>
      <c r="BW1183" s="10"/>
    </row>
    <row r="1184">
      <c r="A1184" s="10"/>
      <c r="B1184" s="10"/>
      <c r="C1184" s="10"/>
      <c r="D1184" s="10"/>
      <c r="E1184" s="10"/>
      <c r="F1184" s="10"/>
      <c r="G1184" s="10"/>
      <c r="H1184" s="10"/>
      <c r="I1184" s="10"/>
      <c r="J1184" s="10"/>
      <c r="N1184" s="10"/>
      <c r="O1184" s="10"/>
      <c r="P1184" s="10"/>
      <c r="T1184" s="10"/>
      <c r="U1184" s="10"/>
      <c r="V1184" s="10"/>
      <c r="W1184" s="10"/>
      <c r="X1184" s="10"/>
      <c r="Y1184" s="10"/>
      <c r="Z1184" s="10"/>
      <c r="AA1184" s="10"/>
      <c r="AB1184" s="10"/>
      <c r="AC1184" s="10"/>
      <c r="AD1184" s="10"/>
      <c r="AE1184" s="10"/>
      <c r="AF1184" s="10"/>
      <c r="AG1184" s="10"/>
      <c r="AH1184" s="10"/>
      <c r="AI1184" s="10"/>
      <c r="AJ1184" s="10"/>
      <c r="AK1184" s="10"/>
      <c r="AL1184" s="10"/>
      <c r="AM1184" s="10"/>
      <c r="AN1184" s="10"/>
      <c r="AO1184" s="10"/>
      <c r="AP1184" s="10"/>
      <c r="AQ1184" s="10"/>
      <c r="AR1184" s="10"/>
      <c r="AS1184" s="10"/>
      <c r="AT1184" s="10"/>
      <c r="AU1184" s="10"/>
      <c r="AV1184" s="10"/>
      <c r="AW1184" s="143"/>
      <c r="AX1184" s="10"/>
      <c r="AY1184" s="10"/>
      <c r="BE1184" s="10"/>
      <c r="BF1184" s="10"/>
      <c r="BG1184" s="10"/>
      <c r="BH1184" s="10"/>
      <c r="BI1184" s="10"/>
      <c r="BJ1184" s="10"/>
      <c r="BK1184" s="10"/>
      <c r="BS1184" s="10"/>
      <c r="BT1184" s="10"/>
      <c r="BW1184" s="10"/>
    </row>
    <row r="1185">
      <c r="A1185" s="10"/>
      <c r="B1185" s="10"/>
      <c r="C1185" s="10"/>
      <c r="D1185" s="10"/>
      <c r="E1185" s="10"/>
      <c r="F1185" s="10"/>
      <c r="G1185" s="10"/>
      <c r="H1185" s="10"/>
      <c r="I1185" s="10"/>
      <c r="J1185" s="10"/>
      <c r="K1185" s="10"/>
      <c r="L1185" s="10"/>
      <c r="N1185" s="10"/>
      <c r="O1185" s="10"/>
      <c r="P1185" s="10"/>
      <c r="Q1185" s="10"/>
      <c r="R1185" s="10"/>
      <c r="S1185" s="10"/>
      <c r="T1185" s="10"/>
      <c r="U1185" s="10"/>
      <c r="V1185" s="10"/>
      <c r="W1185" s="10"/>
      <c r="X1185" s="10"/>
      <c r="Y1185" s="10"/>
      <c r="Z1185" s="10"/>
      <c r="AA1185" s="10"/>
      <c r="AB1185" s="10"/>
      <c r="AC1185" s="10"/>
      <c r="AD1185" s="10"/>
      <c r="AE1185" s="10"/>
      <c r="AF1185" s="10"/>
      <c r="AG1185" s="10"/>
      <c r="AH1185" s="10"/>
      <c r="AI1185" s="10"/>
      <c r="AJ1185" s="10"/>
      <c r="AK1185" s="10"/>
      <c r="AL1185" s="10"/>
      <c r="AM1185" s="10"/>
      <c r="AN1185" s="10"/>
      <c r="AO1185" s="10"/>
      <c r="AP1185" s="10"/>
      <c r="AQ1185" s="10"/>
      <c r="AR1185" s="10"/>
      <c r="AS1185" s="10"/>
      <c r="AT1185" s="10"/>
      <c r="AU1185" s="10"/>
      <c r="AV1185" s="10"/>
      <c r="AW1185" s="143"/>
      <c r="AX1185" s="10"/>
      <c r="AY1185" s="10"/>
      <c r="BE1185" s="10"/>
      <c r="BF1185" s="10"/>
      <c r="BG1185" s="10"/>
      <c r="BH1185" s="10"/>
      <c r="BI1185" s="10"/>
      <c r="BJ1185" s="10"/>
      <c r="BK1185" s="10"/>
      <c r="BL1185" s="10"/>
      <c r="BM1185" s="10"/>
      <c r="BN1185" s="10"/>
      <c r="BO1185" s="10"/>
      <c r="BP1185" s="10"/>
      <c r="BQ1185" s="10"/>
      <c r="BR1185" s="10"/>
      <c r="BS1185" s="10"/>
      <c r="BT1185" s="10"/>
      <c r="BW1185" s="10"/>
    </row>
    <row r="1186">
      <c r="C1186" s="10"/>
      <c r="D1186" s="10"/>
      <c r="E1186" s="10"/>
      <c r="F1186" s="10"/>
      <c r="G1186" s="10"/>
      <c r="V1186" s="10"/>
      <c r="Y1186" s="10"/>
      <c r="Z1186" s="10"/>
      <c r="AA1186" s="10"/>
      <c r="AB1186" s="10"/>
      <c r="AC1186" s="10"/>
      <c r="AD1186" s="10"/>
      <c r="AE1186" s="10"/>
      <c r="AF1186" s="10"/>
      <c r="AG1186" s="10"/>
      <c r="AH1186" s="10"/>
      <c r="AI1186" s="10"/>
      <c r="AL1186" s="10"/>
      <c r="AM1186" s="10"/>
      <c r="AO1186" s="10"/>
      <c r="AW1186" s="143"/>
      <c r="BE1186" s="10"/>
      <c r="BF1186" s="10"/>
      <c r="BG1186" s="10"/>
      <c r="BH1186" s="10"/>
      <c r="BI1186" s="10"/>
      <c r="BJ1186" s="10"/>
      <c r="BK1186" s="10"/>
      <c r="BW1186" s="10"/>
    </row>
    <row r="1187">
      <c r="C1187" s="10"/>
      <c r="D1187" s="10"/>
      <c r="E1187" s="10"/>
      <c r="F1187" s="10"/>
      <c r="V1187" s="10"/>
      <c r="AE1187" s="10"/>
      <c r="AO1187" s="10"/>
      <c r="AW1187" s="143"/>
    </row>
    <row r="1188">
      <c r="C1188" s="10"/>
      <c r="D1188" s="10"/>
      <c r="E1188" s="10"/>
      <c r="F1188" s="10"/>
      <c r="V1188" s="10"/>
      <c r="AE1188" s="10"/>
      <c r="AO1188" s="10"/>
      <c r="AW1188" s="143"/>
    </row>
    <row r="1189">
      <c r="C1189" s="10"/>
      <c r="D1189" s="10"/>
      <c r="E1189" s="10"/>
      <c r="F1189" s="10"/>
      <c r="V1189" s="10"/>
      <c r="AE1189" s="10"/>
      <c r="AO1189" s="10"/>
      <c r="AW1189" s="143"/>
    </row>
    <row r="1190">
      <c r="C1190" s="10"/>
      <c r="D1190" s="10"/>
      <c r="E1190" s="10"/>
      <c r="F1190" s="10"/>
      <c r="V1190" s="10"/>
      <c r="AE1190" s="10"/>
      <c r="AO1190" s="10"/>
      <c r="AW1190" s="143"/>
    </row>
    <row r="1191">
      <c r="C1191" s="10"/>
      <c r="D1191" s="10"/>
      <c r="E1191" s="10"/>
      <c r="F1191" s="10"/>
      <c r="V1191" s="10"/>
      <c r="AE1191" s="10"/>
      <c r="AO1191" s="10"/>
      <c r="AW1191" s="143"/>
    </row>
    <row r="1192">
      <c r="C1192" s="10"/>
      <c r="D1192" s="10"/>
      <c r="E1192" s="10"/>
      <c r="F1192" s="10"/>
      <c r="V1192" s="10"/>
      <c r="AE1192" s="10"/>
      <c r="AW1192" s="143"/>
    </row>
    <row r="1193">
      <c r="C1193" s="10"/>
      <c r="D1193" s="10"/>
      <c r="E1193" s="10"/>
      <c r="F1193" s="10"/>
      <c r="V1193" s="10"/>
      <c r="AE1193" s="10"/>
      <c r="AW1193" s="143"/>
    </row>
    <row r="1194">
      <c r="C1194" s="10"/>
      <c r="D1194" s="10"/>
      <c r="E1194" s="10"/>
      <c r="F1194" s="10"/>
      <c r="V1194" s="10"/>
      <c r="AE1194" s="10"/>
      <c r="AW1194" s="143"/>
    </row>
    <row r="1195">
      <c r="C1195" s="10"/>
      <c r="D1195" s="10"/>
      <c r="E1195" s="10"/>
      <c r="F1195" s="10"/>
      <c r="V1195" s="10"/>
      <c r="AE1195" s="10"/>
      <c r="AW1195" s="143"/>
    </row>
    <row r="1196">
      <c r="V1196" s="10"/>
      <c r="AE1196" s="10"/>
      <c r="AW1196" s="143"/>
    </row>
    <row r="1197">
      <c r="V1197" s="10"/>
      <c r="AE1197" s="10"/>
      <c r="AW1197" s="143"/>
    </row>
    <row r="1198">
      <c r="V1198" s="10"/>
      <c r="AE1198" s="10"/>
      <c r="AW1198" s="143"/>
    </row>
    <row r="1199">
      <c r="V1199" s="10"/>
      <c r="AE1199" s="10"/>
      <c r="AW1199" s="143"/>
    </row>
    <row r="1200">
      <c r="V1200" s="10"/>
      <c r="AE1200" s="10"/>
      <c r="AW1200" s="143"/>
    </row>
    <row r="1201">
      <c r="AE1201" s="10"/>
      <c r="AW1201" s="143"/>
    </row>
    <row r="1202">
      <c r="AE1202" s="10"/>
      <c r="AW1202" s="143"/>
    </row>
    <row r="1203">
      <c r="AE1203" s="10"/>
      <c r="AW1203" s="143"/>
    </row>
    <row r="1204">
      <c r="AW1204" s="143"/>
    </row>
    <row r="1205">
      <c r="AW1205" s="143"/>
    </row>
    <row r="1206">
      <c r="AW1206" s="143"/>
    </row>
    <row r="1207">
      <c r="AW1207" s="143"/>
    </row>
    <row r="1208">
      <c r="AW1208" s="143"/>
    </row>
    <row r="1209">
      <c r="AW1209" s="143"/>
    </row>
    <row r="1210">
      <c r="AW1210" s="143"/>
    </row>
    <row r="1211">
      <c r="AW1211" s="143"/>
    </row>
    <row r="1212">
      <c r="AW1212" s="143"/>
    </row>
    <row r="1213">
      <c r="AW1213" s="143"/>
    </row>
    <row r="1214">
      <c r="AW1214" s="143"/>
    </row>
    <row r="1215">
      <c r="AW1215" s="143"/>
    </row>
    <row r="1216">
      <c r="AW1216" s="143"/>
    </row>
    <row r="1217">
      <c r="AW1217" s="143"/>
    </row>
    <row r="1218">
      <c r="AW1218" s="143"/>
    </row>
    <row r="1219">
      <c r="AW1219" s="143"/>
    </row>
    <row r="1220">
      <c r="AW1220" s="143"/>
    </row>
    <row r="1221">
      <c r="AW1221" s="143"/>
    </row>
    <row r="1222">
      <c r="AW1222" s="143"/>
    </row>
    <row r="1223">
      <c r="AW1223" s="143"/>
    </row>
    <row r="1224">
      <c r="AW1224" s="143"/>
    </row>
    <row r="1225">
      <c r="AW1225" s="143"/>
    </row>
    <row r="1226">
      <c r="AW1226" s="143"/>
    </row>
    <row r="1227">
      <c r="AW1227" s="143"/>
    </row>
    <row r="1228">
      <c r="AW1228" s="143"/>
    </row>
    <row r="1229">
      <c r="AW1229" s="143"/>
    </row>
    <row r="1230">
      <c r="AW1230" s="143"/>
    </row>
    <row r="1231">
      <c r="AW1231" s="143"/>
    </row>
    <row r="1232">
      <c r="AW1232" s="143"/>
    </row>
    <row r="1233">
      <c r="AW1233" s="143"/>
    </row>
    <row r="1234">
      <c r="AW1234" s="143"/>
    </row>
    <row r="1235">
      <c r="AW1235" s="143"/>
    </row>
    <row r="1236">
      <c r="AW1236" s="143"/>
    </row>
    <row r="1237">
      <c r="AW1237" s="143"/>
    </row>
    <row r="1238">
      <c r="AW1238" s="143"/>
    </row>
    <row r="1239">
      <c r="AW1239" s="143"/>
    </row>
    <row r="1240">
      <c r="AW1240" s="143"/>
    </row>
    <row r="1241">
      <c r="AW1241" s="143"/>
    </row>
    <row r="1242">
      <c r="AW1242" s="143"/>
    </row>
    <row r="1243">
      <c r="AW1243" s="143"/>
    </row>
    <row r="1244">
      <c r="AW1244" s="143"/>
    </row>
    <row r="1245">
      <c r="AW1245" s="143"/>
    </row>
    <row r="1246">
      <c r="AW1246" s="143"/>
    </row>
    <row r="1247">
      <c r="AW1247" s="143"/>
    </row>
    <row r="1248">
      <c r="AW1248" s="143"/>
    </row>
    <row r="1249">
      <c r="AW1249" s="143"/>
    </row>
    <row r="1250">
      <c r="AW1250" s="143"/>
    </row>
    <row r="1251">
      <c r="AW1251" s="143"/>
    </row>
    <row r="1252">
      <c r="AW1252" s="143"/>
    </row>
    <row r="1253">
      <c r="AW1253" s="143"/>
    </row>
    <row r="1254">
      <c r="AW1254" s="143"/>
    </row>
    <row r="1255">
      <c r="AW1255" s="143"/>
    </row>
    <row r="1256">
      <c r="AW1256" s="143"/>
    </row>
    <row r="1257">
      <c r="AW1257" s="143"/>
    </row>
    <row r="1258">
      <c r="AW1258" s="143"/>
    </row>
    <row r="1259">
      <c r="AW1259" s="143"/>
    </row>
    <row r="1260">
      <c r="AW1260" s="143"/>
    </row>
    <row r="1261">
      <c r="AW1261" s="143"/>
    </row>
    <row r="1262">
      <c r="AW1262" s="143"/>
    </row>
    <row r="1263">
      <c r="AW1263" s="143"/>
    </row>
    <row r="1264">
      <c r="AW1264" s="143"/>
    </row>
    <row r="1265">
      <c r="AW1265" s="143"/>
    </row>
    <row r="1266">
      <c r="AW1266" s="143"/>
    </row>
    <row r="1267">
      <c r="AW1267" s="143"/>
    </row>
    <row r="1268">
      <c r="AW1268" s="143"/>
    </row>
    <row r="1269">
      <c r="AW1269" s="143"/>
    </row>
    <row r="1270">
      <c r="AW1270" s="143"/>
    </row>
    <row r="1271">
      <c r="AW1271" s="143"/>
    </row>
    <row r="1272">
      <c r="AW1272" s="143"/>
    </row>
    <row r="1273">
      <c r="AW1273" s="143"/>
    </row>
    <row r="1274">
      <c r="AW1274" s="143"/>
    </row>
    <row r="1275">
      <c r="AW1275" s="143"/>
    </row>
    <row r="1276">
      <c r="AW1276" s="143"/>
    </row>
    <row r="1277">
      <c r="AW1277" s="143"/>
    </row>
    <row r="1278">
      <c r="AW1278" s="143"/>
    </row>
    <row r="1279">
      <c r="AW1279" s="143"/>
    </row>
    <row r="1280">
      <c r="AW1280" s="143"/>
    </row>
    <row r="1281">
      <c r="AW1281" s="143"/>
    </row>
    <row r="1282">
      <c r="AW1282" s="143"/>
    </row>
    <row r="1283">
      <c r="AW1283" s="143"/>
    </row>
    <row r="1284">
      <c r="AW1284" s="143"/>
    </row>
    <row r="1285">
      <c r="AW1285" s="143"/>
    </row>
    <row r="1286">
      <c r="AW1286" s="143"/>
    </row>
    <row r="1287">
      <c r="AW1287" s="143"/>
    </row>
    <row r="1288">
      <c r="AW1288" s="143"/>
    </row>
    <row r="1289">
      <c r="AW1289" s="143"/>
    </row>
    <row r="1290">
      <c r="AW1290" s="143"/>
    </row>
    <row r="1291">
      <c r="AW1291" s="143"/>
    </row>
    <row r="1292">
      <c r="AW1292" s="143"/>
    </row>
    <row r="1293">
      <c r="AW1293" s="143"/>
    </row>
    <row r="1294">
      <c r="AW1294" s="143"/>
    </row>
    <row r="1295">
      <c r="AW1295" s="143"/>
    </row>
    <row r="1296">
      <c r="AW1296" s="143"/>
    </row>
    <row r="1297">
      <c r="AW1297" s="143"/>
    </row>
    <row r="1298">
      <c r="AW1298" s="143"/>
    </row>
    <row r="1299">
      <c r="AW1299" s="143"/>
    </row>
    <row r="1300">
      <c r="AW1300" s="143"/>
    </row>
    <row r="1301">
      <c r="AW1301" s="143"/>
    </row>
    <row r="1302">
      <c r="AW1302" s="143"/>
    </row>
    <row r="1303">
      <c r="AW1303" s="143"/>
    </row>
    <row r="1304">
      <c r="AW1304" s="143"/>
    </row>
    <row r="1305">
      <c r="AW1305" s="143"/>
    </row>
    <row r="1306">
      <c r="AW1306" s="143"/>
    </row>
    <row r="1307">
      <c r="AW1307" s="143"/>
    </row>
    <row r="1308">
      <c r="AW1308" s="143"/>
    </row>
    <row r="1309">
      <c r="AW1309" s="143"/>
    </row>
    <row r="1310">
      <c r="AW1310" s="143"/>
    </row>
    <row r="1311">
      <c r="AW1311" s="143"/>
    </row>
    <row r="1312">
      <c r="AW1312" s="143"/>
    </row>
    <row r="1313">
      <c r="AW1313" s="143"/>
    </row>
    <row r="1314">
      <c r="AW1314" s="143"/>
    </row>
    <row r="1315">
      <c r="AW1315" s="143"/>
    </row>
    <row r="1316">
      <c r="AW1316" s="143"/>
    </row>
    <row r="1317">
      <c r="AW1317" s="143"/>
    </row>
    <row r="1318">
      <c r="AW1318" s="143"/>
    </row>
    <row r="1319">
      <c r="AW1319" s="143"/>
    </row>
    <row r="1320">
      <c r="AW1320" s="143"/>
    </row>
    <row r="1321">
      <c r="AW1321" s="143"/>
    </row>
    <row r="1322">
      <c r="AW1322" s="143"/>
    </row>
    <row r="1323">
      <c r="AW1323" s="143"/>
    </row>
    <row r="1324">
      <c r="AW1324" s="143"/>
    </row>
    <row r="1325">
      <c r="AW1325" s="143"/>
    </row>
    <row r="1326">
      <c r="AW1326" s="143"/>
    </row>
    <row r="1327">
      <c r="AW1327" s="143"/>
    </row>
    <row r="1328">
      <c r="AW1328" s="143"/>
    </row>
    <row r="1329">
      <c r="AW1329" s="143"/>
    </row>
    <row r="1330">
      <c r="AW1330" s="143"/>
    </row>
    <row r="1331">
      <c r="AW1331" s="143"/>
    </row>
    <row r="1332">
      <c r="AW1332" s="143"/>
    </row>
    <row r="1333">
      <c r="AW1333" s="143"/>
    </row>
    <row r="1334">
      <c r="AW1334" s="143"/>
    </row>
    <row r="1335">
      <c r="AW1335" s="143"/>
    </row>
    <row r="1336">
      <c r="AW1336" s="143"/>
    </row>
    <row r="1337">
      <c r="AW1337" s="143"/>
    </row>
    <row r="1338">
      <c r="AW1338" s="143"/>
    </row>
    <row r="1339">
      <c r="AW1339" s="143"/>
    </row>
    <row r="1340">
      <c r="AW1340" s="143"/>
    </row>
    <row r="1341">
      <c r="AW1341" s="143"/>
    </row>
    <row r="1342">
      <c r="AW1342" s="143"/>
    </row>
    <row r="1343">
      <c r="AW1343" s="143"/>
    </row>
    <row r="1344">
      <c r="AW1344" s="143"/>
    </row>
    <row r="1345">
      <c r="AW1345" s="143"/>
    </row>
    <row r="1346">
      <c r="AW1346" s="143"/>
    </row>
    <row r="1347">
      <c r="AW1347" s="143"/>
    </row>
    <row r="1348">
      <c r="AW1348" s="143"/>
    </row>
    <row r="1349">
      <c r="AW1349" s="143"/>
    </row>
    <row r="1350">
      <c r="AW1350" s="143"/>
    </row>
    <row r="1351">
      <c r="AW1351" s="143"/>
    </row>
    <row r="1352">
      <c r="AW1352" s="143"/>
    </row>
    <row r="1353">
      <c r="AW1353" s="143"/>
    </row>
    <row r="1354">
      <c r="AW1354" s="143"/>
    </row>
    <row r="1355">
      <c r="AW1355" s="143"/>
    </row>
    <row r="1356">
      <c r="AW1356" s="143"/>
    </row>
    <row r="1357">
      <c r="AW1357" s="143"/>
    </row>
    <row r="1358">
      <c r="AW1358" s="143"/>
    </row>
    <row r="1359">
      <c r="AW1359" s="143"/>
    </row>
    <row r="1360">
      <c r="AW1360" s="143"/>
    </row>
    <row r="1361">
      <c r="AW1361" s="143"/>
    </row>
    <row r="1362">
      <c r="AW1362" s="143"/>
    </row>
    <row r="1363">
      <c r="AW1363" s="143"/>
    </row>
    <row r="1364">
      <c r="AW1364" s="143"/>
    </row>
    <row r="1365">
      <c r="AW1365" s="143"/>
    </row>
    <row r="1366">
      <c r="AW1366" s="143"/>
    </row>
    <row r="1367">
      <c r="AW1367" s="143"/>
    </row>
    <row r="1368">
      <c r="AW1368" s="143"/>
    </row>
    <row r="1369">
      <c r="AW1369" s="143"/>
    </row>
    <row r="1370">
      <c r="AW1370" s="143"/>
    </row>
    <row r="1371">
      <c r="AW1371" s="143"/>
    </row>
    <row r="1372">
      <c r="AW1372" s="143"/>
    </row>
    <row r="1373">
      <c r="AW1373" s="143"/>
    </row>
    <row r="1374">
      <c r="AW1374" s="143"/>
    </row>
    <row r="1375">
      <c r="AW1375" s="143"/>
    </row>
    <row r="1376">
      <c r="AW1376" s="143"/>
    </row>
    <row r="1377">
      <c r="AW1377" s="143"/>
    </row>
    <row r="1378">
      <c r="AW1378" s="143"/>
    </row>
    <row r="1379">
      <c r="AW1379" s="143"/>
    </row>
    <row r="1380">
      <c r="AW1380" s="143"/>
    </row>
    <row r="1381">
      <c r="AW1381" s="143"/>
    </row>
    <row r="1382">
      <c r="AW1382" s="143"/>
    </row>
    <row r="1383">
      <c r="AW1383" s="143"/>
    </row>
    <row r="1384">
      <c r="AW1384" s="143"/>
    </row>
    <row r="1385">
      <c r="AW1385" s="143"/>
    </row>
    <row r="1386">
      <c r="AW1386" s="143"/>
    </row>
    <row r="1387">
      <c r="AW1387" s="143"/>
    </row>
    <row r="1388">
      <c r="AW1388" s="143"/>
    </row>
    <row r="1389">
      <c r="AW1389" s="143"/>
    </row>
    <row r="1390">
      <c r="AW1390" s="143"/>
    </row>
    <row r="1391">
      <c r="AW1391" s="143"/>
    </row>
    <row r="1392">
      <c r="AW1392" s="143"/>
    </row>
    <row r="1393">
      <c r="AW1393" s="143"/>
    </row>
    <row r="1394">
      <c r="AW1394" s="143"/>
    </row>
    <row r="1395">
      <c r="AW1395" s="143"/>
    </row>
    <row r="1396">
      <c r="AW1396" s="143"/>
    </row>
    <row r="1397">
      <c r="AW1397" s="143"/>
    </row>
    <row r="1398">
      <c r="AW1398" s="143"/>
    </row>
    <row r="1399">
      <c r="AW1399" s="143"/>
    </row>
    <row r="1400">
      <c r="AW1400" s="143"/>
    </row>
    <row r="1401">
      <c r="AW1401" s="143"/>
    </row>
    <row r="1402">
      <c r="AW1402" s="143"/>
    </row>
    <row r="1403">
      <c r="AW1403" s="143"/>
    </row>
    <row r="1404">
      <c r="AW1404" s="143"/>
    </row>
    <row r="1405">
      <c r="AW1405" s="143"/>
    </row>
    <row r="1406">
      <c r="AW1406" s="143"/>
    </row>
    <row r="1407">
      <c r="AW1407" s="143"/>
    </row>
    <row r="1408">
      <c r="AW1408" s="143"/>
    </row>
    <row r="1409">
      <c r="AW1409" s="143"/>
    </row>
    <row r="1410">
      <c r="AW1410" s="143"/>
    </row>
    <row r="1411">
      <c r="AW1411" s="143"/>
    </row>
    <row r="1412">
      <c r="AW1412" s="143"/>
    </row>
    <row r="1413">
      <c r="AW1413" s="143"/>
    </row>
    <row r="1414">
      <c r="AW1414" s="143"/>
    </row>
    <row r="1415">
      <c r="AW1415" s="143"/>
    </row>
    <row r="1416">
      <c r="AW1416" s="143"/>
    </row>
    <row r="1417">
      <c r="AW1417" s="143"/>
    </row>
    <row r="1418">
      <c r="AW1418" s="143"/>
    </row>
    <row r="1419">
      <c r="AW1419" s="143"/>
    </row>
    <row r="1420">
      <c r="AW1420" s="143"/>
    </row>
    <row r="1421">
      <c r="AW1421" s="143"/>
    </row>
    <row r="1422">
      <c r="AW1422" s="143"/>
    </row>
    <row r="1423">
      <c r="AW1423" s="143"/>
    </row>
    <row r="1424">
      <c r="AW1424" s="143"/>
    </row>
    <row r="1425">
      <c r="AW1425" s="143"/>
    </row>
    <row r="1426">
      <c r="AW1426" s="143"/>
    </row>
    <row r="1427">
      <c r="AW1427" s="143"/>
    </row>
    <row r="1428">
      <c r="AW1428" s="143"/>
    </row>
    <row r="1429">
      <c r="AW1429" s="143"/>
    </row>
    <row r="1430">
      <c r="AW1430" s="143"/>
    </row>
  </sheetData>
  <customSheetViews>
    <customSheetView guid="{1FCB2FF3-6EA7-4063-9F70-CDD88B2708F8}" filter="1" showAutoFilter="1">
      <autoFilter ref="$A$1:$BW$1430">
        <filterColumn colId="1">
          <filters>
            <filter val="Maximum subarray problem"/>
            <filter val="Least Common Subsequence"/>
          </filters>
        </filterColumn>
      </autoFilter>
    </customSheetView>
    <customSheetView guid="{BD78F700-EA15-4507-B85B-4F9520AF309C}" filter="1" showAutoFilter="1">
      <autoFilter ref="$C$1:$C$1430">
        <filterColumn colId="0">
          <filters blank="1">
            <filter val="0"/>
          </filters>
        </filterColumn>
      </autoFilter>
    </customSheetView>
    <customSheetView guid="{0092811B-0D96-4821-83DA-C39CFF1F7FF9}" filter="1" showAutoFilter="1">
      <autoFilter ref="$A$1:$BW$1430">
        <filterColumn colId="2">
          <filters>
            <filter val="0"/>
            <filter val="1"/>
            <filter val="0.001"/>
          </filters>
        </filterColumn>
        <filterColumn colId="7">
          <filters blank="1">
            <filter val="1"/>
          </filters>
        </filterColumn>
        <filterColumn colId="37">
          <filters blank="1">
            <filter val="https://www.proquest.com/docview/919780720?pq-origsite=gscholar&amp;fromopenview=true"/>
            <filter val="https://citeseerx.ist.psu.edu/viewdoc/summary?doi=10.1.1.64.5439"/>
            <filter val="can be derived?"/>
            <filter val="(follow-up from Tarjan's algorithm)"/>
            <filter val="https://dl.acm.org/citation.cfm?id=290181"/>
          </filters>
        </filterColumn>
      </autoFilter>
    </customSheetView>
    <customSheetView guid="{5B731686-55DD-4ECD-A5E9-94F946142004}" filter="1" showAutoFilter="1">
      <autoFilter ref="$A$1:$BW$1430">
        <filterColumn colId="1">
          <filters blank="1">
            <filter val="Maximum subarray problem"/>
            <filter val="Delaunay Triangulation"/>
            <filter val="Least Common Subsequence"/>
          </filters>
        </filterColumn>
        <filterColumn colId="2">
          <filters blank="1">
            <filter val="0"/>
            <filter val="1"/>
          </filters>
        </filterColumn>
      </autoFilter>
    </customSheetView>
    <customSheetView guid="{338F3E80-D509-4F22-9E68-3129878C81AC}" filter="1" showAutoFilter="1">
      <autoFilter ref="$A$1:$BW$1430">
        <filterColumn colId="7">
          <filters blank="1">
            <filter val="1"/>
          </filters>
        </filterColumn>
        <filterColumn colId="8">
          <filters blank="1">
            <filter val="1"/>
          </filters>
        </filterColumn>
        <filterColumn colId="49">
          <filters blank="1">
            <filter val="0"/>
          </filters>
        </filterColumn>
        <filterColumn colId="47">
          <filters blank="1"/>
        </filterColumn>
        <filterColumn colId="44">
          <filters blank="1">
            <filter val="0"/>
          </filters>
        </filterColumn>
      </autoFilter>
    </customSheetView>
  </customSheetViews>
  <conditionalFormatting sqref="C1:C1430">
    <cfRule type="cellIs" dxfId="0" priority="1" operator="equal">
      <formula>1</formula>
    </cfRule>
  </conditionalFormatting>
  <conditionalFormatting sqref="C1:C1430">
    <cfRule type="cellIs" dxfId="1" priority="2" operator="equal">
      <formula>0</formula>
    </cfRule>
  </conditionalFormatting>
  <conditionalFormatting sqref="C1:C1430">
    <cfRule type="cellIs" dxfId="2" priority="3" operator="equal">
      <formula>2</formula>
    </cfRule>
  </conditionalFormatting>
  <conditionalFormatting sqref="C1:C1430">
    <cfRule type="cellIs" dxfId="3" priority="4" operator="equal">
      <formula>0.001</formula>
    </cfRule>
  </conditionalFormatting>
  <hyperlinks>
    <hyperlink r:id="rId2" ref="P2"/>
    <hyperlink r:id="rId3" ref="AF2"/>
    <hyperlink r:id="rId4" ref="AZ2"/>
    <hyperlink r:id="rId5" ref="P3"/>
    <hyperlink r:id="rId6" location="sec-ref" ref="AZ3"/>
    <hyperlink r:id="rId7" ref="P4"/>
    <hyperlink r:id="rId8" location="sec-ref" ref="AZ4"/>
    <hyperlink r:id="rId9" ref="P5"/>
    <hyperlink r:id="rId10" ref="AF5"/>
    <hyperlink r:id="rId11" ref="AZ5"/>
    <hyperlink r:id="rId12" ref="P6"/>
    <hyperlink r:id="rId13" location="sec-ref" ref="AF6"/>
    <hyperlink r:id="rId14" ref="AZ6"/>
    <hyperlink r:id="rId15" ref="P7"/>
    <hyperlink r:id="rId16" ref="Z7"/>
    <hyperlink r:id="rId17" ref="AB7"/>
    <hyperlink r:id="rId18" ref="AZ7"/>
    <hyperlink r:id="rId19" ref="P8"/>
    <hyperlink r:id="rId20" location="sec-ref" ref="AZ9"/>
    <hyperlink r:id="rId21" ref="P10"/>
    <hyperlink r:id="rId22" ref="AZ10"/>
    <hyperlink r:id="rId23" ref="P11"/>
    <hyperlink r:id="rId24" ref="AZ11"/>
    <hyperlink r:id="rId25" ref="P12"/>
    <hyperlink r:id="rId26" ref="AB12"/>
    <hyperlink r:id="rId27" ref="P13"/>
    <hyperlink r:id="rId28" ref="AF13"/>
    <hyperlink r:id="rId29" ref="P14"/>
    <hyperlink r:id="rId30" ref="AB14"/>
    <hyperlink r:id="rId31" ref="AF14"/>
    <hyperlink r:id="rId32" ref="AZ14"/>
    <hyperlink r:id="rId33" ref="P15"/>
    <hyperlink r:id="rId34" ref="P16"/>
    <hyperlink r:id="rId35" ref="AF16"/>
    <hyperlink r:id="rId36" ref="P17"/>
    <hyperlink r:id="rId37" ref="AF17"/>
    <hyperlink r:id="rId38" ref="P18"/>
    <hyperlink r:id="rId39" ref="P19"/>
    <hyperlink r:id="rId40" ref="P20"/>
    <hyperlink r:id="rId41" ref="P21"/>
    <hyperlink r:id="rId42" ref="P22"/>
    <hyperlink r:id="rId43" ref="P23"/>
    <hyperlink r:id="rId44" ref="P24"/>
    <hyperlink r:id="rId45" ref="AB24"/>
    <hyperlink r:id="rId46" ref="P25"/>
    <hyperlink r:id="rId47" ref="AZ26"/>
    <hyperlink r:id="rId48" ref="P27"/>
    <hyperlink r:id="rId49" ref="P28"/>
    <hyperlink r:id="rId50" ref="P29"/>
    <hyperlink r:id="rId51" ref="P30"/>
    <hyperlink r:id="rId52" ref="P31"/>
    <hyperlink r:id="rId53" ref="AZ31"/>
    <hyperlink r:id="rId54" ref="P32"/>
    <hyperlink r:id="rId55" ref="AF32"/>
    <hyperlink r:id="rId56" ref="AZ32"/>
    <hyperlink r:id="rId57" ref="P33"/>
    <hyperlink r:id="rId58" ref="P34"/>
    <hyperlink r:id="rId59" ref="P35"/>
    <hyperlink r:id="rId60" ref="L36"/>
    <hyperlink r:id="rId61" ref="P36"/>
    <hyperlink r:id="rId62" ref="AZ36"/>
    <hyperlink r:id="rId63" ref="P37"/>
    <hyperlink r:id="rId64" ref="AZ37"/>
    <hyperlink r:id="rId65" ref="P38"/>
    <hyperlink r:id="rId66" ref="P39"/>
    <hyperlink r:id="rId67" ref="P40"/>
    <hyperlink r:id="rId68" ref="P41"/>
    <hyperlink r:id="rId69" ref="P42"/>
    <hyperlink r:id="rId70" ref="S42"/>
    <hyperlink r:id="rId71" ref="Z42"/>
    <hyperlink r:id="rId72" ref="AB42"/>
    <hyperlink r:id="rId73" ref="P44"/>
    <hyperlink r:id="rId74" ref="P45"/>
    <hyperlink r:id="rId75" location="authors" ref="P46"/>
    <hyperlink r:id="rId76" location="authors" ref="Z46"/>
    <hyperlink r:id="rId77" ref="P47"/>
    <hyperlink r:id="rId78" ref="P49"/>
    <hyperlink r:id="rId79" ref="AZ49"/>
    <hyperlink r:id="rId80" ref="P50"/>
    <hyperlink r:id="rId81" ref="AF50"/>
    <hyperlink r:id="rId82" ref="AZ50"/>
    <hyperlink r:id="rId83" ref="P51"/>
    <hyperlink r:id="rId84" ref="AZ51"/>
    <hyperlink r:id="rId85" ref="P52"/>
    <hyperlink r:id="rId86" ref="P53"/>
    <hyperlink r:id="rId87" ref="P54"/>
    <hyperlink r:id="rId88" ref="P55"/>
    <hyperlink r:id="rId89" ref="P56"/>
    <hyperlink r:id="rId90" ref="P57"/>
    <hyperlink r:id="rId91" ref="P58"/>
    <hyperlink r:id="rId92" ref="P59"/>
    <hyperlink r:id="rId93" ref="P60"/>
    <hyperlink r:id="rId94" ref="P61"/>
    <hyperlink r:id="rId95" ref="P62"/>
    <hyperlink r:id="rId96" ref="S62"/>
    <hyperlink r:id="rId97" ref="Z62"/>
    <hyperlink r:id="rId98" ref="AB62"/>
    <hyperlink r:id="rId99" ref="P63"/>
    <hyperlink r:id="rId100" ref="S63"/>
    <hyperlink r:id="rId101" ref="Z63"/>
    <hyperlink r:id="rId102" ref="AB63"/>
    <hyperlink r:id="rId103" ref="P64"/>
    <hyperlink r:id="rId104" ref="P65"/>
    <hyperlink r:id="rId105" ref="P66"/>
    <hyperlink r:id="rId106" ref="P67"/>
    <hyperlink r:id="rId107" ref="P68"/>
    <hyperlink r:id="rId108" ref="S68"/>
    <hyperlink r:id="rId109" ref="Z68"/>
    <hyperlink r:id="rId110" ref="AB68"/>
    <hyperlink r:id="rId111" ref="P69"/>
    <hyperlink r:id="rId112" ref="P70"/>
    <hyperlink r:id="rId113" ref="P71"/>
    <hyperlink r:id="rId114" ref="P72"/>
    <hyperlink r:id="rId115" ref="P73"/>
    <hyperlink r:id="rId116" ref="P74"/>
    <hyperlink r:id="rId117" ref="P75"/>
    <hyperlink r:id="rId118" ref="P76"/>
    <hyperlink r:id="rId119" ref="P77"/>
    <hyperlink r:id="rId120" ref="P78"/>
    <hyperlink r:id="rId121" ref="P79"/>
    <hyperlink r:id="rId122" ref="Z79"/>
    <hyperlink r:id="rId123" ref="AB79"/>
    <hyperlink r:id="rId124" ref="AZ79"/>
    <hyperlink r:id="rId125" ref="P80"/>
    <hyperlink r:id="rId126" ref="P81"/>
    <hyperlink r:id="rId127" ref="P82"/>
    <hyperlink r:id="rId128" ref="P83"/>
    <hyperlink r:id="rId129" ref="P84"/>
    <hyperlink r:id="rId130" ref="P85"/>
    <hyperlink r:id="rId131" ref="P86"/>
    <hyperlink r:id="rId132" ref="P87"/>
    <hyperlink r:id="rId133" ref="P88"/>
    <hyperlink r:id="rId134" ref="P89"/>
    <hyperlink r:id="rId135" ref="P90"/>
    <hyperlink r:id="rId136" ref="AB90"/>
    <hyperlink r:id="rId137" ref="P91"/>
    <hyperlink r:id="rId138" ref="P92"/>
    <hyperlink r:id="rId139" ref="P93"/>
    <hyperlink r:id="rId140" ref="P94"/>
    <hyperlink r:id="rId141" ref="S94"/>
    <hyperlink r:id="rId142" ref="P95"/>
    <hyperlink r:id="rId143" ref="AB95"/>
    <hyperlink r:id="rId144" ref="P96"/>
    <hyperlink r:id="rId145" ref="AB96"/>
    <hyperlink r:id="rId146" ref="P97"/>
    <hyperlink r:id="rId147" ref="AB97"/>
    <hyperlink r:id="rId148" ref="P98"/>
    <hyperlink r:id="rId149" ref="P99"/>
    <hyperlink r:id="rId150" ref="P100"/>
    <hyperlink r:id="rId151" ref="P101"/>
    <hyperlink r:id="rId152" ref="P102"/>
    <hyperlink r:id="rId153" ref="P103"/>
    <hyperlink r:id="rId154" ref="P104"/>
    <hyperlink r:id="rId155" ref="P105"/>
    <hyperlink r:id="rId156" ref="Z105"/>
    <hyperlink r:id="rId157" ref="AB105"/>
    <hyperlink r:id="rId158" ref="P106"/>
    <hyperlink r:id="rId159" ref="Z106"/>
    <hyperlink r:id="rId160" ref="AB106"/>
    <hyperlink r:id="rId161" ref="P107"/>
    <hyperlink r:id="rId162" ref="P108"/>
    <hyperlink r:id="rId163" ref="Z108"/>
    <hyperlink r:id="rId164" ref="AB108"/>
    <hyperlink r:id="rId165" ref="P109"/>
    <hyperlink r:id="rId166" ref="Z109"/>
    <hyperlink r:id="rId167" ref="AB109"/>
    <hyperlink r:id="rId168" ref="P110"/>
    <hyperlink r:id="rId169" ref="Z110"/>
    <hyperlink r:id="rId170" ref="AB110"/>
    <hyperlink r:id="rId171" ref="P111"/>
    <hyperlink r:id="rId172" ref="Z111"/>
    <hyperlink r:id="rId173" ref="AB111"/>
    <hyperlink r:id="rId174" ref="P112"/>
    <hyperlink r:id="rId175" ref="Z112"/>
    <hyperlink r:id="rId176" ref="AB112"/>
    <hyperlink r:id="rId177" ref="P113"/>
    <hyperlink r:id="rId178" ref="Z113"/>
    <hyperlink r:id="rId179" ref="AB113"/>
    <hyperlink r:id="rId180" ref="P114"/>
    <hyperlink r:id="rId181" ref="Z114"/>
    <hyperlink r:id="rId182" ref="AB114"/>
    <hyperlink r:id="rId183" ref="P115"/>
    <hyperlink r:id="rId184" ref="Z115"/>
    <hyperlink r:id="rId185" ref="AB115"/>
    <hyperlink r:id="rId186" ref="P116"/>
    <hyperlink r:id="rId187" ref="Z116"/>
    <hyperlink r:id="rId188" ref="AK116"/>
    <hyperlink r:id="rId189" ref="AL116"/>
    <hyperlink r:id="rId190" ref="P117"/>
    <hyperlink r:id="rId191" ref="Z117"/>
    <hyperlink r:id="rId192" ref="AK117"/>
    <hyperlink r:id="rId193" ref="AL117"/>
    <hyperlink r:id="rId194" ref="P118"/>
    <hyperlink r:id="rId195" ref="AZ118"/>
    <hyperlink r:id="rId196" ref="P120"/>
    <hyperlink r:id="rId197" ref="P121"/>
    <hyperlink r:id="rId198" ref="P122"/>
    <hyperlink r:id="rId199" ref="Z122"/>
    <hyperlink r:id="rId200" ref="P123"/>
    <hyperlink r:id="rId201" ref="Z123"/>
    <hyperlink r:id="rId202" ref="P124"/>
    <hyperlink r:id="rId203" ref="Z124"/>
    <hyperlink r:id="rId204" ref="AB124"/>
    <hyperlink r:id="rId205" ref="P125"/>
    <hyperlink r:id="rId206" ref="Z125"/>
    <hyperlink r:id="rId207" ref="AB125"/>
    <hyperlink r:id="rId208" ref="P126"/>
    <hyperlink r:id="rId209" ref="Z126"/>
    <hyperlink r:id="rId210" ref="AB126"/>
    <hyperlink r:id="rId211" ref="P127"/>
    <hyperlink r:id="rId212" ref="Z127"/>
    <hyperlink r:id="rId213" ref="AB127"/>
    <hyperlink r:id="rId214" ref="P128"/>
    <hyperlink r:id="rId215" ref="Z128"/>
    <hyperlink r:id="rId216" ref="AB128"/>
    <hyperlink r:id="rId217" ref="P129"/>
    <hyperlink r:id="rId218" ref="Z129"/>
    <hyperlink r:id="rId219" ref="AB129"/>
    <hyperlink r:id="rId220" ref="AZ129"/>
    <hyperlink r:id="rId221" ref="P130"/>
    <hyperlink r:id="rId222" ref="Z130"/>
    <hyperlink r:id="rId223" ref="AB130"/>
    <hyperlink r:id="rId224" ref="AZ130"/>
    <hyperlink r:id="rId225" ref="P131"/>
    <hyperlink r:id="rId226" ref="Z131"/>
    <hyperlink r:id="rId227" ref="AB131"/>
    <hyperlink r:id="rId228" ref="AM131"/>
    <hyperlink r:id="rId229" ref="P132"/>
    <hyperlink r:id="rId230" ref="Z132"/>
    <hyperlink r:id="rId231" ref="AB132"/>
    <hyperlink r:id="rId232" ref="P133"/>
    <hyperlink r:id="rId233" ref="Z133"/>
    <hyperlink r:id="rId234" ref="AB133"/>
    <hyperlink r:id="rId235" ref="P134"/>
    <hyperlink r:id="rId236" ref="P135"/>
    <hyperlink r:id="rId237" ref="AZ135"/>
    <hyperlink r:id="rId238" ref="P136"/>
    <hyperlink r:id="rId239" ref="P137"/>
    <hyperlink r:id="rId240" ref="AZ137"/>
    <hyperlink r:id="rId241" ref="P138"/>
    <hyperlink r:id="rId242" ref="AZ138"/>
    <hyperlink r:id="rId243" ref="P139"/>
    <hyperlink r:id="rId244" ref="AZ139"/>
    <hyperlink r:id="rId245" ref="P140"/>
    <hyperlink r:id="rId246" ref="Z140"/>
    <hyperlink r:id="rId247" ref="AZ140"/>
    <hyperlink r:id="rId248" ref="P141"/>
    <hyperlink r:id="rId249" ref="AZ141"/>
    <hyperlink r:id="rId250" ref="P142"/>
    <hyperlink r:id="rId251" ref="AZ142"/>
    <hyperlink r:id="rId252" ref="P143"/>
    <hyperlink r:id="rId253" ref="P144"/>
    <hyperlink r:id="rId254" ref="AZ144"/>
    <hyperlink r:id="rId255" ref="P145"/>
    <hyperlink r:id="rId256" ref="AZ145"/>
    <hyperlink r:id="rId257" ref="P146"/>
    <hyperlink r:id="rId258" ref="AZ146"/>
    <hyperlink r:id="rId259" ref="P147"/>
    <hyperlink r:id="rId260" ref="AZ147"/>
    <hyperlink r:id="rId261" ref="AZ148"/>
    <hyperlink r:id="rId262" ref="P149"/>
    <hyperlink r:id="rId263" ref="AZ149"/>
    <hyperlink r:id="rId264" ref="P150"/>
    <hyperlink r:id="rId265" ref="AZ150"/>
    <hyperlink r:id="rId266" ref="P151"/>
    <hyperlink r:id="rId267" ref="AZ151"/>
    <hyperlink r:id="rId268" ref="P152"/>
    <hyperlink r:id="rId269" ref="Z152"/>
    <hyperlink r:id="rId270" ref="AB152"/>
    <hyperlink r:id="rId271" ref="AF152"/>
    <hyperlink r:id="rId272" ref="P153"/>
    <hyperlink r:id="rId273" ref="P154"/>
    <hyperlink r:id="rId274" ref="AZ154"/>
    <hyperlink r:id="rId275" ref="P155"/>
    <hyperlink r:id="rId276" ref="AZ155"/>
    <hyperlink r:id="rId277" ref="P156"/>
    <hyperlink r:id="rId278" ref="AZ156"/>
    <hyperlink r:id="rId279" ref="P157"/>
    <hyperlink r:id="rId280" ref="AZ157"/>
    <hyperlink r:id="rId281" ref="P158"/>
    <hyperlink r:id="rId282" ref="AZ158"/>
    <hyperlink r:id="rId283" ref="AZ159"/>
    <hyperlink r:id="rId284" ref="P160"/>
    <hyperlink r:id="rId285" ref="AZ160"/>
    <hyperlink r:id="rId286" ref="P161"/>
    <hyperlink r:id="rId287" ref="AZ161"/>
    <hyperlink r:id="rId288" ref="P162"/>
    <hyperlink r:id="rId289" ref="AZ162"/>
    <hyperlink r:id="rId290" ref="P163"/>
    <hyperlink r:id="rId291" ref="AZ163"/>
    <hyperlink r:id="rId292" ref="P164"/>
    <hyperlink r:id="rId293" ref="AZ164"/>
    <hyperlink r:id="rId294" ref="AZ165"/>
    <hyperlink r:id="rId295" ref="P166"/>
    <hyperlink r:id="rId296" ref="AZ166"/>
    <hyperlink r:id="rId297" ref="P167"/>
    <hyperlink r:id="rId298" ref="Z167"/>
    <hyperlink r:id="rId299" ref="AB167"/>
    <hyperlink r:id="rId300" ref="P168"/>
    <hyperlink r:id="rId301" ref="Z168"/>
    <hyperlink r:id="rId302" ref="AB168"/>
    <hyperlink r:id="rId303" ref="P169"/>
    <hyperlink r:id="rId304" ref="Z169"/>
    <hyperlink r:id="rId305" ref="AB169"/>
    <hyperlink r:id="rId306" ref="AM169"/>
    <hyperlink r:id="rId307" ref="P170"/>
    <hyperlink r:id="rId308" ref="P171"/>
    <hyperlink r:id="rId309" ref="AM171"/>
    <hyperlink r:id="rId310" ref="P172"/>
    <hyperlink r:id="rId311" ref="P173"/>
    <hyperlink r:id="rId312" ref="Z173"/>
    <hyperlink r:id="rId313" ref="AB173"/>
    <hyperlink r:id="rId314" ref="P174"/>
    <hyperlink r:id="rId315" ref="Z174"/>
    <hyperlink r:id="rId316" ref="AB174"/>
    <hyperlink r:id="rId317" ref="AZ174"/>
    <hyperlink r:id="rId318" ref="P175"/>
    <hyperlink r:id="rId319" ref="Z175"/>
    <hyperlink r:id="rId320" ref="AB175"/>
    <hyperlink r:id="rId321" ref="P176"/>
    <hyperlink r:id="rId322" ref="Z176"/>
    <hyperlink r:id="rId323" ref="AB176"/>
    <hyperlink r:id="rId324" ref="AK176"/>
    <hyperlink r:id="rId325" ref="AL176"/>
    <hyperlink r:id="rId326" ref="P177"/>
    <hyperlink r:id="rId327" ref="AK177"/>
    <hyperlink r:id="rId328" ref="AL177"/>
    <hyperlink r:id="rId329" ref="P178"/>
    <hyperlink r:id="rId330" ref="P179"/>
    <hyperlink r:id="rId331" ref="P180"/>
    <hyperlink r:id="rId332" ref="Z180"/>
    <hyperlink r:id="rId333" ref="AB180"/>
    <hyperlink r:id="rId334" ref="P181"/>
    <hyperlink r:id="rId335" ref="Z181"/>
    <hyperlink r:id="rId336" ref="AB181"/>
    <hyperlink r:id="rId337" ref="P182"/>
    <hyperlink r:id="rId338" ref="AZ182"/>
    <hyperlink r:id="rId339" ref="P183"/>
    <hyperlink r:id="rId340" ref="Z183"/>
    <hyperlink r:id="rId341" ref="AB183"/>
    <hyperlink r:id="rId342" ref="P184"/>
    <hyperlink r:id="rId343" ref="Z184"/>
    <hyperlink r:id="rId344" ref="AB184"/>
    <hyperlink r:id="rId345" ref="P185"/>
    <hyperlink r:id="rId346" ref="P186"/>
    <hyperlink r:id="rId347" ref="Z186"/>
    <hyperlink r:id="rId348" ref="AB186"/>
    <hyperlink r:id="rId349" ref="P187"/>
    <hyperlink r:id="rId350" ref="Z187"/>
    <hyperlink r:id="rId351" ref="AB187"/>
    <hyperlink r:id="rId352" ref="P188"/>
    <hyperlink r:id="rId353" ref="Z188"/>
    <hyperlink r:id="rId354" ref="AB188"/>
    <hyperlink r:id="rId355" ref="P189"/>
    <hyperlink r:id="rId356" ref="Z189"/>
    <hyperlink r:id="rId357" ref="AB189"/>
    <hyperlink r:id="rId358" ref="P190"/>
    <hyperlink r:id="rId359" ref="Z190"/>
    <hyperlink r:id="rId360" ref="AB190"/>
    <hyperlink r:id="rId361" ref="AM190"/>
    <hyperlink r:id="rId362" ref="P191"/>
    <hyperlink r:id="rId363" ref="Z191"/>
    <hyperlink r:id="rId364" ref="AB191"/>
    <hyperlink r:id="rId365" ref="AM191"/>
    <hyperlink r:id="rId366" ref="P192"/>
    <hyperlink r:id="rId367" ref="Z192"/>
    <hyperlink r:id="rId368" ref="AB192"/>
    <hyperlink r:id="rId369" ref="AM192"/>
    <hyperlink r:id="rId370" ref="P193"/>
    <hyperlink r:id="rId371" ref="Z193"/>
    <hyperlink r:id="rId372" ref="AB193"/>
    <hyperlink r:id="rId373" ref="AM193"/>
    <hyperlink r:id="rId374" ref="P194"/>
    <hyperlink r:id="rId375" ref="P196"/>
    <hyperlink r:id="rId376" ref="P197"/>
    <hyperlink r:id="rId377" ref="P198"/>
    <hyperlink r:id="rId378" ref="AF198"/>
    <hyperlink r:id="rId379" ref="P199"/>
    <hyperlink r:id="rId380" ref="AZ199"/>
    <hyperlink r:id="rId381" ref="P200"/>
    <hyperlink r:id="rId382" ref="AZ200"/>
    <hyperlink r:id="rId383" ref="P201"/>
    <hyperlink r:id="rId384" ref="AZ201"/>
    <hyperlink r:id="rId385" ref="P202"/>
    <hyperlink r:id="rId386" ref="AZ202"/>
    <hyperlink r:id="rId387" ref="P203"/>
    <hyperlink r:id="rId388" ref="AZ203"/>
    <hyperlink r:id="rId389" ref="P204"/>
    <hyperlink r:id="rId390" ref="AZ204"/>
    <hyperlink r:id="rId391" ref="P205"/>
    <hyperlink r:id="rId392" ref="P206"/>
    <hyperlink r:id="rId393" ref="P207"/>
    <hyperlink r:id="rId394" ref="P208"/>
    <hyperlink r:id="rId395" ref="P209"/>
    <hyperlink r:id="rId396" ref="P210"/>
    <hyperlink r:id="rId397" ref="P211"/>
    <hyperlink r:id="rId398" ref="P212"/>
    <hyperlink r:id="rId399" ref="P213"/>
    <hyperlink r:id="rId400" ref="P214"/>
    <hyperlink r:id="rId401" ref="P215"/>
    <hyperlink r:id="rId402" ref="P216"/>
    <hyperlink r:id="rId403" ref="P217"/>
    <hyperlink r:id="rId404" ref="P218"/>
    <hyperlink r:id="rId405" ref="P219"/>
    <hyperlink r:id="rId406" ref="P220"/>
    <hyperlink r:id="rId407" ref="P221"/>
    <hyperlink r:id="rId408" ref="P222"/>
    <hyperlink r:id="rId409" ref="P223"/>
    <hyperlink r:id="rId410" ref="P224"/>
  </hyperlinks>
  <drawing r:id="rId411"/>
  <legacyDrawing r:id="rId41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7.75"/>
    <col customWidth="1" min="2" max="2" width="27.38"/>
    <col customWidth="1" min="3" max="3" width="10.5"/>
    <col customWidth="1" min="4" max="4" width="17.13"/>
    <col customWidth="1" min="5" max="5" width="9.38"/>
    <col customWidth="1" min="6" max="6" width="14.38"/>
    <col customWidth="1" min="7" max="7" width="9.5"/>
    <col customWidth="1" min="8" max="8" width="9.63"/>
    <col customWidth="1" min="9" max="9" width="10.13"/>
    <col customWidth="1" min="10" max="10" width="24.88"/>
    <col customWidth="1" min="11" max="11" width="24.63"/>
    <col customWidth="1" min="12" max="12" width="14.5"/>
    <col customWidth="1" min="13" max="13" width="38.63"/>
    <col customWidth="1" min="14" max="14" width="33.63"/>
    <col customWidth="1" min="15" max="15" width="8.0"/>
    <col customWidth="1" min="16" max="16" width="38.63"/>
    <col customWidth="1" min="18" max="18" width="9.38"/>
    <col customWidth="1" min="19" max="19" width="18.25"/>
    <col customWidth="1" hidden="1" min="20" max="20" width="13.0"/>
    <col customWidth="1" hidden="1" min="21" max="21" width="16.88"/>
    <col customWidth="1" hidden="1" min="22" max="22" width="12.75"/>
    <col customWidth="1" hidden="1" min="23" max="23" width="12.0"/>
    <col customWidth="1" min="24" max="24" width="25.63"/>
    <col customWidth="1" min="25" max="25" width="16.25"/>
    <col customWidth="1" min="26" max="26" width="21.63"/>
    <col customWidth="1" min="27" max="27" width="14.75"/>
    <col customWidth="1" min="28" max="28" width="21.63"/>
    <col customWidth="1" min="29" max="29" width="14.75"/>
    <col customWidth="1" min="30" max="30" width="23.0"/>
    <col customWidth="1" min="31" max="31" width="11.63"/>
    <col customWidth="1" min="32" max="32" width="17.5"/>
    <col customWidth="1" min="33" max="33" width="16.0"/>
    <col customWidth="1" min="34" max="34" width="15.38"/>
    <col hidden="1" min="35" max="35" width="12.63"/>
    <col customWidth="1" hidden="1" min="36" max="36" width="13.0"/>
    <col customWidth="1" hidden="1" min="37" max="37" width="10.38"/>
    <col hidden="1" min="38" max="38" width="12.63"/>
    <col customWidth="1" hidden="1" min="39" max="39" width="38.38"/>
    <col hidden="1" min="40" max="42" width="12.63"/>
    <col customWidth="1" min="44" max="44" width="21.63"/>
    <col customWidth="1" min="46" max="46" width="21.0"/>
    <col customWidth="1" min="47" max="47" width="15.0"/>
    <col customWidth="1" min="48" max="48" width="9.63"/>
    <col customWidth="1" min="49" max="49" width="14.25"/>
    <col customWidth="1" min="52" max="52" width="35.13"/>
    <col customWidth="1" min="53" max="53" width="36.0"/>
    <col customWidth="1" hidden="1" min="54" max="54" width="16.75"/>
    <col customWidth="1" hidden="1" min="55" max="55" width="18.63"/>
    <col customWidth="1" hidden="1" min="56" max="56" width="33.75"/>
    <col hidden="1" min="57" max="63" width="12.63"/>
    <col customWidth="1" hidden="1" min="64" max="64" width="15.5"/>
    <col hidden="1" min="65" max="72" width="12.63"/>
    <col customWidth="1" hidden="1" min="73" max="73" width="20.63"/>
    <col hidden="1" min="74" max="75" width="12.63"/>
  </cols>
  <sheetData>
    <row r="1" ht="63.75" customHeight="1">
      <c r="A1" s="74" t="s">
        <v>5748</v>
      </c>
      <c r="B1" s="75" t="s">
        <v>0</v>
      </c>
      <c r="C1" s="76" t="s">
        <v>1695</v>
      </c>
      <c r="D1" s="76" t="s">
        <v>3</v>
      </c>
      <c r="E1" s="74" t="s">
        <v>1696</v>
      </c>
      <c r="F1" s="76" t="s">
        <v>1697</v>
      </c>
      <c r="G1" s="74" t="s">
        <v>1698</v>
      </c>
      <c r="H1" s="74" t="s">
        <v>1699</v>
      </c>
      <c r="I1" s="75" t="s">
        <v>5749</v>
      </c>
      <c r="J1" s="75" t="s">
        <v>1701</v>
      </c>
      <c r="K1" s="77" t="s">
        <v>1702</v>
      </c>
      <c r="L1" s="77" t="s">
        <v>1703</v>
      </c>
      <c r="M1" s="75"/>
      <c r="N1" s="75" t="s">
        <v>1704</v>
      </c>
      <c r="O1" s="75" t="s">
        <v>1705</v>
      </c>
      <c r="P1" s="75" t="s">
        <v>1706</v>
      </c>
      <c r="Q1" s="75" t="s">
        <v>1707</v>
      </c>
      <c r="R1" s="75" t="s">
        <v>1708</v>
      </c>
      <c r="S1" s="74" t="s">
        <v>1709</v>
      </c>
      <c r="T1" s="75" t="s">
        <v>1710</v>
      </c>
      <c r="U1" s="78" t="s">
        <v>1711</v>
      </c>
      <c r="V1" s="76" t="s">
        <v>1712</v>
      </c>
      <c r="W1" s="79" t="s">
        <v>1713</v>
      </c>
      <c r="X1" s="75" t="s">
        <v>1714</v>
      </c>
      <c r="Y1" s="76" t="s">
        <v>5750</v>
      </c>
      <c r="Z1" s="76" t="s">
        <v>5751</v>
      </c>
      <c r="AA1" s="76" t="s">
        <v>5752</v>
      </c>
      <c r="AB1" s="76" t="s">
        <v>5753</v>
      </c>
      <c r="AC1" s="76" t="s">
        <v>5754</v>
      </c>
      <c r="AD1" s="76" t="s">
        <v>1715</v>
      </c>
      <c r="AE1" s="76" t="s">
        <v>1716</v>
      </c>
      <c r="AF1" s="76" t="s">
        <v>1717</v>
      </c>
      <c r="AG1" s="76" t="s">
        <v>1718</v>
      </c>
      <c r="AH1" s="76" t="s">
        <v>1719</v>
      </c>
      <c r="AI1" s="76" t="s">
        <v>1720</v>
      </c>
      <c r="AJ1" s="79" t="s">
        <v>1721</v>
      </c>
      <c r="AK1" s="80" t="s">
        <v>1722</v>
      </c>
      <c r="AL1" s="76" t="s">
        <v>1723</v>
      </c>
      <c r="AM1" s="76" t="s">
        <v>1724</v>
      </c>
      <c r="AN1" s="76" t="s">
        <v>1725</v>
      </c>
      <c r="AO1" s="76" t="s">
        <v>1726</v>
      </c>
      <c r="AP1" s="76" t="s">
        <v>1727</v>
      </c>
      <c r="AQ1" s="75" t="s">
        <v>1728</v>
      </c>
      <c r="AR1" s="76" t="s">
        <v>1729</v>
      </c>
      <c r="AS1" s="75" t="s">
        <v>1730</v>
      </c>
      <c r="AT1" s="76" t="s">
        <v>1731</v>
      </c>
      <c r="AU1" s="75" t="s">
        <v>1732</v>
      </c>
      <c r="AV1" s="75" t="s">
        <v>1733</v>
      </c>
      <c r="AW1" s="205" t="s">
        <v>1734</v>
      </c>
      <c r="AX1" s="75" t="s">
        <v>1735</v>
      </c>
      <c r="AY1" s="75" t="s">
        <v>1736</v>
      </c>
      <c r="AZ1" s="75" t="s">
        <v>1737</v>
      </c>
      <c r="BA1" s="75" t="s">
        <v>1738</v>
      </c>
      <c r="BB1" s="75" t="s">
        <v>1739</v>
      </c>
      <c r="BC1" s="75" t="s">
        <v>1740</v>
      </c>
      <c r="BD1" s="10" t="s">
        <v>1741</v>
      </c>
      <c r="BE1" s="76" t="s">
        <v>1742</v>
      </c>
      <c r="BF1" s="76" t="s">
        <v>1743</v>
      </c>
      <c r="BG1" s="76" t="s">
        <v>1744</v>
      </c>
      <c r="BH1" s="76" t="s">
        <v>1745</v>
      </c>
      <c r="BI1" s="76" t="s">
        <v>1746</v>
      </c>
      <c r="BJ1" s="76" t="s">
        <v>1747</v>
      </c>
      <c r="BK1" s="75" t="s">
        <v>1748</v>
      </c>
      <c r="BL1" s="75" t="s">
        <v>1749</v>
      </c>
      <c r="BM1" s="76" t="s">
        <v>1750</v>
      </c>
      <c r="BN1" s="75" t="s">
        <v>1751</v>
      </c>
      <c r="BO1" s="75" t="s">
        <v>1752</v>
      </c>
      <c r="BP1" s="76" t="s">
        <v>1753</v>
      </c>
      <c r="BQ1" s="74" t="s">
        <v>1754</v>
      </c>
      <c r="BR1" s="75" t="s">
        <v>1755</v>
      </c>
      <c r="BS1" s="76" t="s">
        <v>1756</v>
      </c>
      <c r="BT1" s="74" t="s">
        <v>1757</v>
      </c>
      <c r="BU1" s="75" t="s">
        <v>1758</v>
      </c>
      <c r="BV1" s="74" t="s">
        <v>1759</v>
      </c>
      <c r="BW1" s="74" t="s">
        <v>1760</v>
      </c>
    </row>
    <row r="2">
      <c r="A2" s="197"/>
      <c r="B2" s="35" t="s">
        <v>6431</v>
      </c>
      <c r="C2" s="111"/>
      <c r="D2" s="34"/>
      <c r="E2" s="197"/>
      <c r="F2" s="34"/>
      <c r="G2" s="34"/>
      <c r="H2" s="197"/>
      <c r="I2" s="197"/>
      <c r="J2" s="209"/>
      <c r="K2" s="34"/>
      <c r="L2" s="34"/>
      <c r="M2" s="69"/>
      <c r="N2" s="69" t="s">
        <v>6360</v>
      </c>
      <c r="O2" s="98">
        <v>1972.0</v>
      </c>
      <c r="P2" s="177" t="s">
        <v>6258</v>
      </c>
      <c r="Q2" s="35"/>
      <c r="R2" s="69"/>
      <c r="S2" s="26"/>
      <c r="T2" s="197"/>
      <c r="U2" s="197"/>
      <c r="V2" s="197"/>
      <c r="W2" s="34"/>
      <c r="X2" s="35"/>
      <c r="Y2" s="35"/>
      <c r="Z2" s="211"/>
      <c r="AA2" s="35"/>
      <c r="AB2" s="211"/>
      <c r="AC2" s="35"/>
      <c r="AD2" s="35"/>
      <c r="AE2" s="34"/>
      <c r="AF2" s="34"/>
      <c r="AG2" s="34"/>
      <c r="AH2" s="34"/>
      <c r="AI2" s="34"/>
      <c r="AJ2" s="34"/>
      <c r="AK2" s="34"/>
      <c r="AL2" s="34"/>
      <c r="AM2" s="34"/>
      <c r="AN2" s="197"/>
      <c r="AO2" s="197"/>
      <c r="AP2" s="34"/>
      <c r="AQ2" s="197"/>
      <c r="AR2" s="34"/>
      <c r="AS2" s="197"/>
      <c r="AT2" s="34"/>
      <c r="AU2" s="197"/>
      <c r="AV2" s="197"/>
      <c r="AW2" s="35"/>
      <c r="AX2" s="98"/>
      <c r="AY2" s="98"/>
      <c r="AZ2" s="69"/>
      <c r="BA2" s="35" t="s">
        <v>6432</v>
      </c>
      <c r="BB2" s="98"/>
      <c r="BC2" s="69"/>
      <c r="BD2" s="34"/>
      <c r="BE2" s="34"/>
      <c r="BF2" s="34"/>
      <c r="BG2" s="34"/>
      <c r="BH2" s="34"/>
      <c r="BI2" s="34"/>
      <c r="BJ2" s="34"/>
      <c r="BK2" s="197"/>
      <c r="BL2" s="98"/>
      <c r="BM2" s="69"/>
      <c r="BN2" s="69"/>
      <c r="BO2" s="69"/>
      <c r="BP2" s="69"/>
      <c r="BQ2" s="69"/>
      <c r="BR2" s="69"/>
      <c r="BS2" s="34"/>
      <c r="BT2" s="197"/>
      <c r="BU2" s="69"/>
      <c r="BV2" s="34"/>
      <c r="BW2" s="34"/>
    </row>
    <row r="3">
      <c r="A3" s="111"/>
      <c r="B3" s="35" t="s">
        <v>6433</v>
      </c>
      <c r="C3" s="111"/>
      <c r="D3" s="35"/>
      <c r="E3" s="34"/>
      <c r="F3" s="34"/>
      <c r="G3" s="34"/>
      <c r="H3" s="197"/>
      <c r="I3" s="98"/>
      <c r="J3" s="207"/>
      <c r="K3" s="34"/>
      <c r="L3" s="34"/>
      <c r="M3" s="69"/>
      <c r="N3" s="69" t="s">
        <v>6360</v>
      </c>
      <c r="O3" s="98">
        <v>1972.0</v>
      </c>
      <c r="P3" s="183" t="s">
        <v>6258</v>
      </c>
      <c r="Q3" s="35"/>
      <c r="R3" s="69"/>
      <c r="S3" s="183"/>
      <c r="T3" s="197"/>
      <c r="U3" s="197"/>
      <c r="V3" s="214"/>
      <c r="W3" s="13"/>
      <c r="X3" s="209"/>
      <c r="Y3" s="35"/>
      <c r="Z3" s="211"/>
      <c r="AA3" s="35"/>
      <c r="AB3" s="211"/>
      <c r="AC3" s="35"/>
      <c r="AD3" s="35"/>
      <c r="AE3" s="34"/>
      <c r="AF3" s="35"/>
      <c r="AG3" s="34"/>
      <c r="AH3" s="35"/>
      <c r="AI3" s="34"/>
      <c r="AJ3" s="34"/>
      <c r="AK3" s="34"/>
      <c r="AL3" s="34"/>
      <c r="AM3" s="34"/>
      <c r="AN3" s="13"/>
      <c r="AO3" s="13"/>
      <c r="AP3" s="13"/>
      <c r="AQ3" s="197"/>
      <c r="AR3" s="34"/>
      <c r="AS3" s="197"/>
      <c r="AT3" s="69"/>
      <c r="AU3" s="98"/>
      <c r="AV3" s="111"/>
      <c r="AW3" s="35"/>
      <c r="AX3" s="98"/>
      <c r="AY3" s="98"/>
      <c r="AZ3" s="211"/>
      <c r="BA3" s="69"/>
      <c r="BB3" s="98"/>
      <c r="BC3" s="69"/>
      <c r="BD3" s="34"/>
      <c r="BE3" s="34"/>
      <c r="BF3" s="34"/>
      <c r="BG3" s="34"/>
      <c r="BH3" s="34"/>
      <c r="BI3" s="34"/>
      <c r="BJ3" s="34"/>
      <c r="BK3" s="197"/>
      <c r="BL3" s="98"/>
      <c r="BM3" s="69"/>
      <c r="BN3" s="69"/>
      <c r="BO3" s="69"/>
      <c r="BP3" s="69"/>
      <c r="BQ3" s="69"/>
      <c r="BR3" s="69"/>
      <c r="BS3" s="34"/>
      <c r="BT3" s="197"/>
      <c r="BU3" s="69"/>
      <c r="BV3" s="34"/>
      <c r="BW3" s="34"/>
    </row>
    <row r="4">
      <c r="A4" s="111"/>
      <c r="B4" s="35" t="s">
        <v>6434</v>
      </c>
      <c r="C4" s="111"/>
      <c r="D4" s="35"/>
      <c r="E4" s="34"/>
      <c r="F4" s="34"/>
      <c r="G4" s="34"/>
      <c r="H4" s="197"/>
      <c r="I4" s="98"/>
      <c r="J4" s="207"/>
      <c r="K4" s="34"/>
      <c r="L4" s="34"/>
      <c r="M4" s="69"/>
      <c r="N4" s="35" t="s">
        <v>6435</v>
      </c>
      <c r="O4" s="111">
        <v>1967.0</v>
      </c>
      <c r="P4" s="177" t="s">
        <v>6436</v>
      </c>
      <c r="Q4" s="35"/>
      <c r="R4" s="69"/>
      <c r="S4" s="183"/>
      <c r="T4" s="197"/>
      <c r="U4" s="197"/>
      <c r="V4" s="214"/>
      <c r="W4" s="13"/>
      <c r="X4" s="209"/>
      <c r="Y4" s="35"/>
      <c r="Z4" s="211"/>
      <c r="AA4" s="35"/>
      <c r="AB4" s="211"/>
      <c r="AC4" s="35"/>
      <c r="AD4" s="35"/>
      <c r="AE4" s="34"/>
      <c r="AF4" s="35"/>
      <c r="AG4" s="34"/>
      <c r="AH4" s="35"/>
      <c r="AI4" s="34"/>
      <c r="AJ4" s="34"/>
      <c r="AK4" s="34"/>
      <c r="AL4" s="34"/>
      <c r="AM4" s="34"/>
      <c r="AN4" s="13"/>
      <c r="AO4" s="13"/>
      <c r="AP4" s="13"/>
      <c r="AQ4" s="197"/>
      <c r="AR4" s="34"/>
      <c r="AS4" s="197"/>
      <c r="AT4" s="69"/>
      <c r="AU4" s="98"/>
      <c r="AV4" s="111"/>
      <c r="AW4" s="35"/>
      <c r="AX4" s="98"/>
      <c r="AY4" s="98"/>
      <c r="AZ4" s="211"/>
      <c r="BA4" s="69"/>
      <c r="BB4" s="98"/>
      <c r="BC4" s="69"/>
      <c r="BD4" s="69"/>
      <c r="BE4" s="34"/>
      <c r="BF4" s="34"/>
      <c r="BG4" s="34"/>
      <c r="BH4" s="34"/>
      <c r="BI4" s="34"/>
      <c r="BJ4" s="34"/>
      <c r="BK4" s="197"/>
      <c r="BL4" s="98"/>
      <c r="BM4" s="69"/>
      <c r="BN4" s="69"/>
      <c r="BO4" s="69"/>
      <c r="BP4" s="69"/>
      <c r="BQ4" s="69"/>
      <c r="BR4" s="69"/>
      <c r="BS4" s="34"/>
      <c r="BT4" s="197"/>
      <c r="BU4" s="69"/>
      <c r="BV4" s="69"/>
      <c r="BW4" s="34"/>
    </row>
    <row r="5">
      <c r="A5" s="111"/>
      <c r="B5" s="35" t="s">
        <v>6437</v>
      </c>
      <c r="C5" s="111">
        <v>0.0</v>
      </c>
      <c r="D5" s="35"/>
      <c r="E5" s="34"/>
      <c r="F5" s="35"/>
      <c r="G5" s="34"/>
      <c r="H5" s="197"/>
      <c r="I5" s="98"/>
      <c r="J5" s="207"/>
      <c r="K5" s="34"/>
      <c r="L5" s="34"/>
      <c r="M5" s="69"/>
      <c r="N5" s="35" t="s">
        <v>6438</v>
      </c>
      <c r="O5" s="111">
        <v>1968.0</v>
      </c>
      <c r="P5" s="177" t="s">
        <v>6439</v>
      </c>
      <c r="Q5" s="35"/>
      <c r="R5" s="69"/>
      <c r="S5" s="183"/>
      <c r="T5" s="197"/>
      <c r="U5" s="197"/>
      <c r="V5" s="214"/>
      <c r="W5" s="13"/>
      <c r="X5" s="13"/>
      <c r="Y5" s="35"/>
      <c r="Z5" s="211"/>
      <c r="AA5" s="35"/>
      <c r="AB5" s="211"/>
      <c r="AC5" s="35"/>
      <c r="AD5" s="35"/>
      <c r="AE5" s="34"/>
      <c r="AF5" s="35"/>
      <c r="AG5" s="34"/>
      <c r="AH5" s="35"/>
      <c r="AI5" s="34"/>
      <c r="AJ5" s="34"/>
      <c r="AK5" s="34"/>
      <c r="AL5" s="34"/>
      <c r="AM5" s="34"/>
      <c r="AN5" s="13"/>
      <c r="AO5" s="13"/>
      <c r="AP5" s="13"/>
      <c r="AQ5" s="197"/>
      <c r="AR5" s="34"/>
      <c r="AS5" s="197"/>
      <c r="AT5" s="69"/>
      <c r="AU5" s="98"/>
      <c r="AV5" s="111"/>
      <c r="AW5" s="35"/>
      <c r="AX5" s="98"/>
      <c r="AY5" s="98"/>
      <c r="AZ5" s="211"/>
      <c r="BA5" s="69"/>
      <c r="BB5" s="98"/>
      <c r="BC5" s="69"/>
      <c r="BD5" s="69"/>
      <c r="BE5" s="34"/>
      <c r="BF5" s="34"/>
      <c r="BG5" s="34"/>
      <c r="BH5" s="34"/>
      <c r="BI5" s="34"/>
      <c r="BJ5" s="34"/>
      <c r="BK5" s="197"/>
      <c r="BL5" s="98"/>
      <c r="BM5" s="69"/>
      <c r="BN5" s="69"/>
      <c r="BO5" s="69"/>
      <c r="BP5" s="69"/>
      <c r="BQ5" s="69"/>
      <c r="BR5" s="69"/>
      <c r="BS5" s="34"/>
      <c r="BT5" s="197"/>
      <c r="BU5" s="69"/>
      <c r="BV5" s="69"/>
      <c r="BW5" s="34"/>
    </row>
    <row r="6">
      <c r="A6" s="111"/>
      <c r="B6" s="35" t="s">
        <v>6440</v>
      </c>
      <c r="C6" s="111"/>
      <c r="D6" s="35"/>
      <c r="E6" s="34"/>
      <c r="F6" s="35"/>
      <c r="G6" s="34"/>
      <c r="H6" s="197"/>
      <c r="I6" s="98"/>
      <c r="J6" s="207"/>
      <c r="K6" s="34"/>
      <c r="L6" s="34"/>
      <c r="M6" s="69"/>
      <c r="N6" s="6" t="s">
        <v>6141</v>
      </c>
      <c r="O6" s="6">
        <v>1984.0</v>
      </c>
      <c r="P6" s="18" t="s">
        <v>6142</v>
      </c>
      <c r="Q6" s="35"/>
      <c r="R6" s="69"/>
      <c r="S6" s="183"/>
      <c r="T6" s="197"/>
      <c r="U6" s="197"/>
      <c r="V6" s="214"/>
      <c r="W6" s="13"/>
      <c r="X6" s="209"/>
      <c r="Y6" s="35"/>
      <c r="Z6" s="211"/>
      <c r="AA6" s="35"/>
      <c r="AB6" s="211"/>
      <c r="AC6" s="35"/>
      <c r="AD6" s="35"/>
      <c r="AE6" s="34"/>
      <c r="AF6" s="35"/>
      <c r="AG6" s="34"/>
      <c r="AH6" s="35"/>
      <c r="AI6" s="34"/>
      <c r="AJ6" s="34"/>
      <c r="AK6" s="34"/>
      <c r="AL6" s="34"/>
      <c r="AM6" s="34"/>
      <c r="AN6" s="13"/>
      <c r="AO6" s="13"/>
      <c r="AP6" s="13"/>
      <c r="AQ6" s="111">
        <v>1.0</v>
      </c>
      <c r="AR6" s="34"/>
      <c r="AS6" s="197"/>
      <c r="AT6" s="69"/>
      <c r="AU6" s="98"/>
      <c r="AV6" s="111"/>
      <c r="AW6" s="35"/>
      <c r="AX6" s="98"/>
      <c r="AY6" s="98"/>
      <c r="AZ6" s="211"/>
      <c r="BA6" s="69"/>
      <c r="BB6" s="98"/>
      <c r="BC6" s="69"/>
      <c r="BD6" s="69"/>
      <c r="BE6" s="34"/>
      <c r="BF6" s="34"/>
      <c r="BG6" s="34"/>
      <c r="BH6" s="34"/>
      <c r="BI6" s="34"/>
      <c r="BJ6" s="34"/>
      <c r="BK6" s="197"/>
      <c r="BL6" s="98"/>
      <c r="BM6" s="69"/>
      <c r="BN6" s="69"/>
      <c r="BO6" s="69"/>
      <c r="BP6" s="69"/>
      <c r="BQ6" s="69"/>
      <c r="BR6" s="69"/>
      <c r="BS6" s="34"/>
      <c r="BT6" s="197"/>
      <c r="BU6" s="69"/>
      <c r="BV6" s="69"/>
      <c r="BW6" s="34"/>
    </row>
    <row r="7">
      <c r="A7" s="111"/>
      <c r="B7" s="35" t="s">
        <v>6441</v>
      </c>
      <c r="C7" s="111">
        <v>0.0</v>
      </c>
      <c r="D7" s="35"/>
      <c r="E7" s="34"/>
      <c r="F7" s="35"/>
      <c r="G7" s="34"/>
      <c r="H7" s="197"/>
      <c r="I7" s="98"/>
      <c r="J7" s="207"/>
      <c r="K7" s="34"/>
      <c r="L7" s="34"/>
      <c r="M7" s="69"/>
      <c r="N7" s="6" t="s">
        <v>6442</v>
      </c>
      <c r="O7" s="6">
        <v>1994.0</v>
      </c>
      <c r="P7" s="18" t="s">
        <v>6443</v>
      </c>
      <c r="Q7" s="35"/>
      <c r="R7" s="69"/>
      <c r="S7" s="183"/>
      <c r="T7" s="197"/>
      <c r="U7" s="197"/>
      <c r="V7" s="214"/>
      <c r="W7" s="13"/>
      <c r="X7" s="13"/>
      <c r="Y7" s="35"/>
      <c r="Z7" s="211"/>
      <c r="AA7" s="35"/>
      <c r="AB7" s="211"/>
      <c r="AC7" s="35"/>
      <c r="AD7" s="35"/>
      <c r="AE7" s="34"/>
      <c r="AF7" s="35"/>
      <c r="AG7" s="34"/>
      <c r="AH7" s="35"/>
      <c r="AI7" s="34"/>
      <c r="AJ7" s="34"/>
      <c r="AK7" s="34"/>
      <c r="AL7" s="34"/>
      <c r="AM7" s="34"/>
      <c r="AN7" s="13"/>
      <c r="AO7" s="13"/>
      <c r="AP7" s="13"/>
      <c r="AQ7" s="197"/>
      <c r="AR7" s="34"/>
      <c r="AS7" s="197"/>
      <c r="AT7" s="69"/>
      <c r="AU7" s="98"/>
      <c r="AV7" s="111"/>
      <c r="AW7" s="35"/>
      <c r="AX7" s="98"/>
      <c r="AY7" s="98"/>
      <c r="AZ7" s="211"/>
      <c r="BA7" s="69"/>
      <c r="BB7" s="98"/>
      <c r="BC7" s="69"/>
      <c r="BD7" s="69"/>
      <c r="BE7" s="34"/>
      <c r="BF7" s="34"/>
      <c r="BG7" s="34"/>
      <c r="BH7" s="34"/>
      <c r="BI7" s="34"/>
      <c r="BJ7" s="34"/>
      <c r="BK7" s="197"/>
      <c r="BL7" s="98"/>
      <c r="BM7" s="69"/>
      <c r="BN7" s="69"/>
      <c r="BO7" s="69"/>
      <c r="BP7" s="69"/>
      <c r="BQ7" s="69"/>
      <c r="BR7" s="69"/>
      <c r="BS7" s="34"/>
      <c r="BT7" s="197"/>
      <c r="BU7" s="69"/>
      <c r="BV7" s="69"/>
      <c r="BW7" s="34"/>
    </row>
    <row r="8">
      <c r="A8" s="197"/>
      <c r="B8" s="34"/>
      <c r="C8" s="111"/>
      <c r="D8" s="34"/>
      <c r="E8" s="197"/>
      <c r="F8" s="34"/>
      <c r="G8" s="34"/>
      <c r="H8" s="197"/>
      <c r="I8" s="197"/>
      <c r="J8" s="209"/>
      <c r="K8" s="69"/>
      <c r="L8" s="69"/>
      <c r="M8" s="69"/>
      <c r="N8" s="35"/>
      <c r="O8" s="197"/>
      <c r="P8" s="26"/>
      <c r="Q8" s="69"/>
      <c r="R8" s="69"/>
      <c r="S8" s="69"/>
      <c r="T8" s="197"/>
      <c r="U8" s="197"/>
      <c r="V8" s="197"/>
      <c r="W8" s="34"/>
      <c r="X8" s="35"/>
      <c r="Y8" s="35"/>
      <c r="Z8" s="211"/>
      <c r="AA8" s="35"/>
      <c r="AB8" s="211"/>
      <c r="AC8" s="35"/>
      <c r="AD8" s="34"/>
      <c r="AE8" s="34"/>
      <c r="AF8" s="34"/>
      <c r="AG8" s="34"/>
      <c r="AH8" s="34"/>
      <c r="AI8" s="34"/>
      <c r="AJ8" s="34"/>
      <c r="AK8" s="34"/>
      <c r="AL8" s="34"/>
      <c r="AM8" s="34"/>
      <c r="AN8" s="197"/>
      <c r="AO8" s="197"/>
      <c r="AP8" s="34"/>
      <c r="AQ8" s="197"/>
      <c r="AR8" s="34"/>
      <c r="AS8" s="197"/>
      <c r="AT8" s="69"/>
      <c r="AU8" s="197"/>
      <c r="AV8" s="197"/>
      <c r="AW8" s="35"/>
      <c r="AX8" s="98"/>
      <c r="AY8" s="98"/>
      <c r="AZ8" s="183"/>
      <c r="BA8" s="69"/>
      <c r="BB8" s="69"/>
      <c r="BC8" s="69"/>
      <c r="BD8" s="69"/>
      <c r="BE8" s="34"/>
      <c r="BF8" s="69"/>
      <c r="BG8" s="69"/>
      <c r="BH8" s="34"/>
      <c r="BI8" s="34"/>
      <c r="BJ8" s="34"/>
      <c r="BK8" s="13"/>
      <c r="BL8" s="13"/>
      <c r="BM8" s="13"/>
      <c r="BN8" s="13"/>
      <c r="BO8" s="13"/>
      <c r="BP8" s="13"/>
      <c r="BQ8" s="13"/>
      <c r="BR8" s="13"/>
      <c r="BS8" s="13"/>
      <c r="BT8" s="197"/>
      <c r="BU8" s="34"/>
      <c r="BV8" s="34"/>
      <c r="BW8" s="34"/>
    </row>
    <row r="9">
      <c r="A9" s="111"/>
      <c r="B9" s="35"/>
      <c r="C9" s="111"/>
      <c r="D9" s="35"/>
      <c r="E9" s="34"/>
      <c r="F9" s="35"/>
      <c r="G9" s="34"/>
      <c r="H9" s="197"/>
      <c r="I9" s="98"/>
      <c r="J9" s="207"/>
      <c r="K9" s="34"/>
      <c r="L9" s="34"/>
      <c r="M9" s="69"/>
      <c r="N9" s="35"/>
      <c r="O9" s="111"/>
      <c r="P9" s="35"/>
      <c r="Q9" s="35"/>
      <c r="R9" s="69"/>
      <c r="S9" s="183"/>
      <c r="T9" s="197"/>
      <c r="U9" s="197"/>
      <c r="V9" s="214"/>
      <c r="W9" s="13"/>
      <c r="X9" s="13"/>
      <c r="Y9" s="35"/>
      <c r="Z9" s="211"/>
      <c r="AA9" s="35"/>
      <c r="AB9" s="211"/>
      <c r="AC9" s="35"/>
      <c r="AD9" s="35"/>
      <c r="AE9" s="34"/>
      <c r="AF9" s="35"/>
      <c r="AG9" s="34"/>
      <c r="AH9" s="35"/>
      <c r="AI9" s="34"/>
      <c r="AJ9" s="34"/>
      <c r="AK9" s="34"/>
      <c r="AL9" s="34"/>
      <c r="AM9" s="34"/>
      <c r="AN9" s="13"/>
      <c r="AO9" s="13"/>
      <c r="AP9" s="13"/>
      <c r="AQ9" s="197"/>
      <c r="AR9" s="34"/>
      <c r="AS9" s="197"/>
      <c r="AT9" s="69"/>
      <c r="AU9" s="98"/>
      <c r="AV9" s="111"/>
      <c r="AW9" s="35"/>
      <c r="AX9" s="98"/>
      <c r="AY9" s="98"/>
      <c r="AZ9" s="211"/>
      <c r="BA9" s="69"/>
      <c r="BB9" s="69"/>
      <c r="BC9" s="69"/>
      <c r="BD9" s="69"/>
      <c r="BE9" s="34"/>
      <c r="BF9" s="69"/>
      <c r="BG9" s="69"/>
      <c r="BH9" s="34"/>
      <c r="BI9" s="34"/>
      <c r="BJ9" s="34"/>
      <c r="BK9" s="13"/>
      <c r="BL9" s="13"/>
      <c r="BM9" s="13"/>
      <c r="BN9" s="13"/>
      <c r="BO9" s="13"/>
      <c r="BP9" s="13"/>
      <c r="BQ9" s="13"/>
      <c r="BR9" s="13"/>
      <c r="BS9" s="13"/>
      <c r="BT9" s="197"/>
      <c r="BU9" s="34"/>
      <c r="BV9" s="34"/>
      <c r="BW9" s="34"/>
    </row>
    <row r="10">
      <c r="A10" s="111"/>
      <c r="B10" s="35"/>
      <c r="C10" s="111"/>
      <c r="D10" s="35"/>
      <c r="E10" s="34"/>
      <c r="F10" s="35"/>
      <c r="G10" s="34"/>
      <c r="H10" s="197"/>
      <c r="I10" s="98"/>
      <c r="J10" s="207"/>
      <c r="K10" s="34"/>
      <c r="L10" s="35"/>
      <c r="M10" s="69"/>
      <c r="N10" s="35"/>
      <c r="O10" s="111"/>
      <c r="P10" s="211"/>
      <c r="Q10" s="35"/>
      <c r="R10" s="69"/>
      <c r="S10" s="183"/>
      <c r="T10" s="197"/>
      <c r="U10" s="197"/>
      <c r="V10" s="214"/>
      <c r="W10" s="13"/>
      <c r="X10" s="13"/>
      <c r="Y10" s="35"/>
      <c r="Z10" s="211"/>
      <c r="AA10" s="35"/>
      <c r="AB10" s="211"/>
      <c r="AC10" s="35"/>
      <c r="AD10" s="35"/>
      <c r="AE10" s="34"/>
      <c r="AF10" s="35"/>
      <c r="AG10" s="34"/>
      <c r="AH10" s="35"/>
      <c r="AI10" s="34"/>
      <c r="AJ10" s="34"/>
      <c r="AK10" s="34"/>
      <c r="AL10" s="34"/>
      <c r="AM10" s="34"/>
      <c r="AN10" s="13"/>
      <c r="AO10" s="13"/>
      <c r="AP10" s="13"/>
      <c r="AQ10" s="197"/>
      <c r="AR10" s="34"/>
      <c r="AS10" s="197"/>
      <c r="AT10" s="69"/>
      <c r="AU10" s="98"/>
      <c r="AV10" s="111"/>
      <c r="AW10" s="35"/>
      <c r="AX10" s="98"/>
      <c r="AY10" s="98"/>
      <c r="AZ10" s="211"/>
      <c r="BA10" s="69"/>
      <c r="BB10" s="69"/>
      <c r="BC10" s="69"/>
      <c r="BD10" s="69"/>
      <c r="BE10" s="34"/>
      <c r="BF10" s="69"/>
      <c r="BG10" s="69"/>
      <c r="BH10" s="34"/>
      <c r="BI10" s="34"/>
      <c r="BJ10" s="34"/>
      <c r="BK10" s="13"/>
      <c r="BL10" s="13"/>
      <c r="BM10" s="13"/>
      <c r="BN10" s="13"/>
      <c r="BO10" s="13"/>
      <c r="BP10" s="13"/>
      <c r="BQ10" s="13"/>
      <c r="BR10" s="13"/>
      <c r="BS10" s="13"/>
      <c r="BT10" s="197"/>
      <c r="BU10" s="34"/>
      <c r="BV10" s="34"/>
      <c r="BW10" s="34"/>
    </row>
    <row r="11">
      <c r="A11" s="111"/>
      <c r="B11" s="35"/>
      <c r="C11" s="111"/>
      <c r="D11" s="35"/>
      <c r="E11" s="34"/>
      <c r="F11" s="34"/>
      <c r="G11" s="34"/>
      <c r="H11" s="197"/>
      <c r="I11" s="98"/>
      <c r="J11" s="207"/>
      <c r="K11" s="34"/>
      <c r="L11" s="34"/>
      <c r="M11" s="69"/>
      <c r="N11" s="35"/>
      <c r="O11" s="111"/>
      <c r="P11" s="30"/>
      <c r="Q11" s="35"/>
      <c r="R11" s="69"/>
      <c r="S11" s="183"/>
      <c r="T11" s="197"/>
      <c r="U11" s="197"/>
      <c r="V11" s="214"/>
      <c r="W11" s="13"/>
      <c r="X11" s="209"/>
      <c r="Y11" s="35"/>
      <c r="Z11" s="211"/>
      <c r="AA11" s="35"/>
      <c r="AB11" s="211"/>
      <c r="AC11" s="35"/>
      <c r="AD11" s="35"/>
      <c r="AE11" s="34"/>
      <c r="AF11" s="34"/>
      <c r="AG11" s="34"/>
      <c r="AH11" s="35"/>
      <c r="AI11" s="34"/>
      <c r="AJ11" s="34"/>
      <c r="AK11" s="34"/>
      <c r="AL11" s="34"/>
      <c r="AM11" s="34"/>
      <c r="AN11" s="13"/>
      <c r="AO11" s="13"/>
      <c r="AP11" s="13"/>
      <c r="AQ11" s="197"/>
      <c r="AR11" s="34"/>
      <c r="AS11" s="197"/>
      <c r="AT11" s="69"/>
      <c r="AU11" s="98"/>
      <c r="AV11" s="111"/>
      <c r="AW11" s="35"/>
      <c r="AX11" s="98"/>
      <c r="AY11" s="98"/>
      <c r="AZ11" s="69"/>
      <c r="BA11" s="69"/>
      <c r="BB11" s="69"/>
      <c r="BC11" s="69"/>
      <c r="BD11" s="69"/>
      <c r="BE11" s="34"/>
      <c r="BF11" s="69"/>
      <c r="BG11" s="69"/>
      <c r="BH11" s="34"/>
      <c r="BI11" s="34"/>
      <c r="BJ11" s="34"/>
      <c r="BK11" s="13"/>
      <c r="BL11" s="13"/>
      <c r="BM11" s="13"/>
      <c r="BN11" s="13"/>
      <c r="BO11" s="13"/>
      <c r="BP11" s="13"/>
      <c r="BQ11" s="13"/>
      <c r="BR11" s="13"/>
      <c r="BS11" s="13"/>
      <c r="BT11" s="197"/>
      <c r="BU11" s="34"/>
      <c r="BV11" s="34"/>
      <c r="BW11" s="34"/>
    </row>
    <row r="12">
      <c r="A12" s="111"/>
      <c r="B12" s="35"/>
      <c r="C12" s="111"/>
      <c r="D12" s="35"/>
      <c r="E12" s="34"/>
      <c r="F12" s="34"/>
      <c r="G12" s="34"/>
      <c r="H12" s="197"/>
      <c r="I12" s="98"/>
      <c r="J12" s="207"/>
      <c r="K12" s="34"/>
      <c r="L12" s="35"/>
      <c r="M12" s="69"/>
      <c r="N12" s="35"/>
      <c r="O12" s="111"/>
      <c r="P12" s="211"/>
      <c r="Q12" s="35"/>
      <c r="R12" s="69"/>
      <c r="S12" s="183"/>
      <c r="T12" s="197"/>
      <c r="U12" s="197"/>
      <c r="V12" s="214"/>
      <c r="W12" s="13"/>
      <c r="X12" s="209"/>
      <c r="Y12" s="35"/>
      <c r="Z12" s="211"/>
      <c r="AA12" s="35"/>
      <c r="AB12" s="211"/>
      <c r="AC12" s="35"/>
      <c r="AD12" s="35"/>
      <c r="AE12" s="34"/>
      <c r="AF12" s="35"/>
      <c r="AG12" s="34"/>
      <c r="AH12" s="35"/>
      <c r="AI12" s="34"/>
      <c r="AJ12" s="34"/>
      <c r="AK12" s="34"/>
      <c r="AL12" s="34"/>
      <c r="AM12" s="34"/>
      <c r="AN12" s="13"/>
      <c r="AO12" s="13"/>
      <c r="AP12" s="13"/>
      <c r="AQ12" s="197"/>
      <c r="AR12" s="34"/>
      <c r="AS12" s="197"/>
      <c r="AT12" s="69"/>
      <c r="AU12" s="98"/>
      <c r="AV12" s="111"/>
      <c r="AW12" s="35"/>
      <c r="AX12" s="98"/>
      <c r="AY12" s="98"/>
      <c r="AZ12" s="211"/>
      <c r="BA12" s="69"/>
      <c r="BB12" s="69"/>
      <c r="BC12" s="69"/>
      <c r="BD12" s="69"/>
      <c r="BE12" s="34"/>
      <c r="BF12" s="69"/>
      <c r="BG12" s="69"/>
      <c r="BH12" s="34"/>
      <c r="BI12" s="34"/>
      <c r="BJ12" s="34"/>
      <c r="BK12" s="13"/>
      <c r="BL12" s="13"/>
      <c r="BM12" s="13"/>
      <c r="BN12" s="13"/>
      <c r="BO12" s="13"/>
      <c r="BP12" s="13"/>
      <c r="BQ12" s="13"/>
      <c r="BR12" s="13"/>
      <c r="BS12" s="13"/>
      <c r="BT12" s="197"/>
      <c r="BU12" s="34"/>
      <c r="BV12" s="34"/>
      <c r="BW12" s="34"/>
    </row>
    <row r="13">
      <c r="A13" s="111"/>
      <c r="B13" s="35"/>
      <c r="C13" s="111"/>
      <c r="D13" s="35"/>
      <c r="E13" s="34"/>
      <c r="F13" s="34"/>
      <c r="G13" s="34"/>
      <c r="H13" s="197"/>
      <c r="I13" s="98"/>
      <c r="J13" s="207"/>
      <c r="K13" s="34"/>
      <c r="L13" s="34"/>
      <c r="M13" s="69"/>
      <c r="N13" s="35"/>
      <c r="O13" s="111"/>
      <c r="P13" s="211"/>
      <c r="Q13" s="35"/>
      <c r="R13" s="69"/>
      <c r="S13" s="183"/>
      <c r="T13" s="197"/>
      <c r="U13" s="197"/>
      <c r="V13" s="214"/>
      <c r="W13" s="13"/>
      <c r="X13" s="13"/>
      <c r="Y13" s="35"/>
      <c r="Z13" s="211"/>
      <c r="AA13" s="35"/>
      <c r="AB13" s="211"/>
      <c r="AC13" s="35"/>
      <c r="AD13" s="35"/>
      <c r="AE13" s="34"/>
      <c r="AF13" s="35"/>
      <c r="AG13" s="34"/>
      <c r="AH13" s="35"/>
      <c r="AI13" s="34"/>
      <c r="AJ13" s="34"/>
      <c r="AK13" s="34"/>
      <c r="AL13" s="34"/>
      <c r="AM13" s="34"/>
      <c r="AN13" s="13"/>
      <c r="AO13" s="13"/>
      <c r="AP13" s="13"/>
      <c r="AQ13" s="197"/>
      <c r="AR13" s="34"/>
      <c r="AS13" s="197"/>
      <c r="AT13" s="69"/>
      <c r="AU13" s="98"/>
      <c r="AV13" s="111"/>
      <c r="AW13" s="35"/>
      <c r="AX13" s="98"/>
      <c r="AY13" s="98"/>
      <c r="AZ13" s="211"/>
      <c r="BA13" s="69"/>
      <c r="BB13" s="69"/>
      <c r="BC13" s="69"/>
      <c r="BD13" s="69"/>
      <c r="BE13" s="34"/>
      <c r="BF13" s="69"/>
      <c r="BG13" s="69"/>
      <c r="BH13" s="34"/>
      <c r="BI13" s="34"/>
      <c r="BJ13" s="34"/>
      <c r="BK13" s="13"/>
      <c r="BL13" s="13"/>
      <c r="BM13" s="13"/>
      <c r="BN13" s="13"/>
      <c r="BO13" s="13"/>
      <c r="BP13" s="13"/>
      <c r="BQ13" s="13"/>
      <c r="BR13" s="13"/>
      <c r="BS13" s="13"/>
      <c r="BT13" s="197"/>
      <c r="BU13" s="34"/>
      <c r="BV13" s="34"/>
      <c r="BW13" s="34"/>
    </row>
    <row r="14">
      <c r="A14" s="111"/>
      <c r="B14" s="35"/>
      <c r="C14" s="111"/>
      <c r="D14" s="35"/>
      <c r="E14" s="34"/>
      <c r="F14" s="35"/>
      <c r="G14" s="34"/>
      <c r="H14" s="197"/>
      <c r="I14" s="98"/>
      <c r="J14" s="207"/>
      <c r="K14" s="34"/>
      <c r="L14" s="34"/>
      <c r="M14" s="69"/>
      <c r="N14" s="35"/>
      <c r="O14" s="111"/>
      <c r="P14" s="211"/>
      <c r="Q14" s="35"/>
      <c r="R14" s="69"/>
      <c r="S14" s="183"/>
      <c r="T14" s="197"/>
      <c r="U14" s="197"/>
      <c r="V14" s="214"/>
      <c r="W14" s="13"/>
      <c r="X14" s="13"/>
      <c r="Y14" s="35"/>
      <c r="Z14" s="211"/>
      <c r="AA14" s="35"/>
      <c r="AB14" s="211"/>
      <c r="AC14" s="35"/>
      <c r="AD14" s="35"/>
      <c r="AE14" s="34"/>
      <c r="AF14" s="35"/>
      <c r="AG14" s="34"/>
      <c r="AH14" s="35"/>
      <c r="AI14" s="34"/>
      <c r="AJ14" s="34"/>
      <c r="AK14" s="34"/>
      <c r="AL14" s="34"/>
      <c r="AM14" s="34"/>
      <c r="AN14" s="13"/>
      <c r="AO14" s="13"/>
      <c r="AP14" s="13"/>
      <c r="AQ14" s="197"/>
      <c r="AR14" s="34"/>
      <c r="AS14" s="197"/>
      <c r="AT14" s="69"/>
      <c r="AU14" s="98"/>
      <c r="AV14" s="111"/>
      <c r="AW14" s="35"/>
      <c r="AX14" s="98"/>
      <c r="AY14" s="98"/>
      <c r="AZ14" s="211"/>
      <c r="BA14" s="69"/>
      <c r="BB14" s="69"/>
      <c r="BC14" s="69"/>
      <c r="BD14" s="69"/>
      <c r="BE14" s="34"/>
      <c r="BF14" s="69"/>
      <c r="BG14" s="69"/>
      <c r="BH14" s="34"/>
      <c r="BI14" s="34"/>
      <c r="BJ14" s="34"/>
      <c r="BK14" s="13"/>
      <c r="BL14" s="13"/>
      <c r="BM14" s="13"/>
      <c r="BN14" s="13"/>
      <c r="BO14" s="13"/>
      <c r="BP14" s="13"/>
      <c r="BQ14" s="13"/>
      <c r="BR14" s="13"/>
      <c r="BS14" s="13"/>
      <c r="BT14" s="197"/>
      <c r="BU14" s="34"/>
      <c r="BV14" s="34"/>
      <c r="BW14" s="34"/>
    </row>
    <row r="15">
      <c r="A15" s="111"/>
      <c r="B15" s="35"/>
      <c r="C15" s="111"/>
      <c r="D15" s="35"/>
      <c r="E15" s="34"/>
      <c r="F15" s="35"/>
      <c r="G15" s="34"/>
      <c r="H15" s="197"/>
      <c r="I15" s="98"/>
      <c r="J15" s="207"/>
      <c r="K15" s="34"/>
      <c r="L15" s="34"/>
      <c r="M15" s="69"/>
      <c r="N15" s="35"/>
      <c r="O15" s="111"/>
      <c r="P15" s="211"/>
      <c r="Q15" s="35"/>
      <c r="R15" s="69"/>
      <c r="S15" s="183"/>
      <c r="T15" s="197"/>
      <c r="U15" s="197"/>
      <c r="V15" s="214"/>
      <c r="W15" s="13"/>
      <c r="X15" s="13"/>
      <c r="Y15" s="35"/>
      <c r="Z15" s="211"/>
      <c r="AA15" s="35"/>
      <c r="AB15" s="211"/>
      <c r="AC15" s="35"/>
      <c r="AD15" s="35"/>
      <c r="AE15" s="34"/>
      <c r="AF15" s="35"/>
      <c r="AG15" s="34"/>
      <c r="AH15" s="35"/>
      <c r="AI15" s="34"/>
      <c r="AJ15" s="34"/>
      <c r="AK15" s="34"/>
      <c r="AL15" s="34"/>
      <c r="AM15" s="34"/>
      <c r="AN15" s="13"/>
      <c r="AO15" s="13"/>
      <c r="AP15" s="13"/>
      <c r="AQ15" s="197"/>
      <c r="AR15" s="34"/>
      <c r="AS15" s="197"/>
      <c r="AT15" s="69"/>
      <c r="AU15" s="98"/>
      <c r="AV15" s="111"/>
      <c r="AW15" s="35"/>
      <c r="AX15" s="98"/>
      <c r="AY15" s="98"/>
      <c r="AZ15" s="211"/>
      <c r="BA15" s="69"/>
      <c r="BB15" s="69"/>
      <c r="BC15" s="69"/>
      <c r="BD15" s="69"/>
      <c r="BE15" s="34"/>
      <c r="BF15" s="69"/>
      <c r="BG15" s="69"/>
      <c r="BH15" s="34"/>
      <c r="BI15" s="34"/>
      <c r="BJ15" s="34"/>
      <c r="BK15" s="13"/>
      <c r="BL15" s="13"/>
      <c r="BM15" s="13"/>
      <c r="BN15" s="13"/>
      <c r="BO15" s="13"/>
      <c r="BP15" s="13"/>
      <c r="BQ15" s="13"/>
      <c r="BR15" s="13"/>
      <c r="BS15" s="13"/>
      <c r="BT15" s="197"/>
      <c r="BU15" s="34"/>
      <c r="BV15" s="34"/>
      <c r="BW15" s="34"/>
    </row>
    <row r="16">
      <c r="A16" s="111"/>
      <c r="B16" s="35"/>
      <c r="C16" s="111"/>
      <c r="D16" s="35"/>
      <c r="E16" s="34"/>
      <c r="F16" s="35"/>
      <c r="G16" s="34"/>
      <c r="H16" s="197"/>
      <c r="I16" s="98"/>
      <c r="J16" s="207"/>
      <c r="K16" s="34"/>
      <c r="L16" s="34"/>
      <c r="M16" s="69"/>
      <c r="N16" s="35"/>
      <c r="O16" s="111"/>
      <c r="P16" s="211"/>
      <c r="Q16" s="35"/>
      <c r="R16" s="69"/>
      <c r="S16" s="183"/>
      <c r="T16" s="197"/>
      <c r="U16" s="197"/>
      <c r="V16" s="214"/>
      <c r="W16" s="13"/>
      <c r="X16" s="13"/>
      <c r="Y16" s="35"/>
      <c r="Z16" s="211"/>
      <c r="AA16" s="35"/>
      <c r="AB16" s="211"/>
      <c r="AC16" s="35"/>
      <c r="AD16" s="35"/>
      <c r="AE16" s="34"/>
      <c r="AF16" s="35"/>
      <c r="AG16" s="34"/>
      <c r="AH16" s="35"/>
      <c r="AI16" s="34"/>
      <c r="AJ16" s="34"/>
      <c r="AK16" s="34"/>
      <c r="AL16" s="34"/>
      <c r="AM16" s="34"/>
      <c r="AN16" s="13"/>
      <c r="AO16" s="13"/>
      <c r="AP16" s="13"/>
      <c r="AQ16" s="197"/>
      <c r="AR16" s="34"/>
      <c r="AS16" s="197"/>
      <c r="AT16" s="69"/>
      <c r="AU16" s="98"/>
      <c r="AV16" s="111"/>
      <c r="AW16" s="35"/>
      <c r="AX16" s="98"/>
      <c r="AY16" s="98"/>
      <c r="AZ16" s="211"/>
      <c r="BA16" s="69"/>
      <c r="BB16" s="69"/>
      <c r="BC16" s="69"/>
      <c r="BD16" s="69"/>
      <c r="BE16" s="34"/>
      <c r="BF16" s="69"/>
      <c r="BG16" s="69"/>
      <c r="BH16" s="34"/>
      <c r="BI16" s="34"/>
      <c r="BJ16" s="34"/>
      <c r="BK16" s="13"/>
      <c r="BL16" s="13"/>
      <c r="BM16" s="13"/>
      <c r="BN16" s="13"/>
      <c r="BO16" s="13"/>
      <c r="BP16" s="13"/>
      <c r="BQ16" s="13"/>
      <c r="BR16" s="13"/>
      <c r="BS16" s="13"/>
      <c r="BT16" s="197"/>
      <c r="BU16" s="34"/>
      <c r="BV16" s="34"/>
      <c r="BW16" s="34"/>
    </row>
    <row r="17">
      <c r="A17" s="111"/>
      <c r="B17" s="35"/>
      <c r="C17" s="111"/>
      <c r="D17" s="35"/>
      <c r="E17" s="34"/>
      <c r="F17" s="35"/>
      <c r="G17" s="34"/>
      <c r="H17" s="197"/>
      <c r="I17" s="98"/>
      <c r="J17" s="207"/>
      <c r="K17" s="34"/>
      <c r="L17" s="34"/>
      <c r="M17" s="69"/>
      <c r="N17" s="35"/>
      <c r="O17" s="111"/>
      <c r="P17" s="211"/>
      <c r="Q17" s="35"/>
      <c r="R17" s="69"/>
      <c r="S17" s="183"/>
      <c r="T17" s="197"/>
      <c r="U17" s="197"/>
      <c r="V17" s="214"/>
      <c r="W17" s="13"/>
      <c r="X17" s="13"/>
      <c r="Y17" s="35"/>
      <c r="Z17" s="211"/>
      <c r="AA17" s="35"/>
      <c r="AB17" s="211"/>
      <c r="AC17" s="35"/>
      <c r="AD17" s="35"/>
      <c r="AE17" s="34"/>
      <c r="AF17" s="35"/>
      <c r="AG17" s="34"/>
      <c r="AH17" s="35"/>
      <c r="AI17" s="34"/>
      <c r="AJ17" s="34"/>
      <c r="AK17" s="34"/>
      <c r="AL17" s="34"/>
      <c r="AM17" s="34"/>
      <c r="AN17" s="13"/>
      <c r="AO17" s="13"/>
      <c r="AP17" s="13"/>
      <c r="AQ17" s="197"/>
      <c r="AR17" s="34"/>
      <c r="AS17" s="197"/>
      <c r="AT17" s="69"/>
      <c r="AU17" s="98"/>
      <c r="AV17" s="111"/>
      <c r="AW17" s="35"/>
      <c r="AX17" s="98"/>
      <c r="AY17" s="98"/>
      <c r="AZ17" s="211"/>
      <c r="BA17" s="69"/>
      <c r="BB17" s="69"/>
      <c r="BC17" s="69"/>
      <c r="BD17" s="69"/>
      <c r="BE17" s="34"/>
      <c r="BF17" s="69"/>
      <c r="BG17" s="69"/>
      <c r="BH17" s="34"/>
      <c r="BI17" s="34"/>
      <c r="BJ17" s="34"/>
      <c r="BK17" s="13"/>
      <c r="BL17" s="13"/>
      <c r="BM17" s="13"/>
      <c r="BN17" s="13"/>
      <c r="BO17" s="13"/>
      <c r="BP17" s="13"/>
      <c r="BQ17" s="13"/>
      <c r="BR17" s="13"/>
      <c r="BS17" s="13"/>
      <c r="BT17" s="197"/>
      <c r="BU17" s="34"/>
      <c r="BV17" s="34"/>
      <c r="BW17" s="34"/>
    </row>
    <row r="18">
      <c r="A18" s="111"/>
      <c r="B18" s="35"/>
      <c r="C18" s="111"/>
      <c r="D18" s="35"/>
      <c r="E18" s="34"/>
      <c r="F18" s="35"/>
      <c r="G18" s="34"/>
      <c r="H18" s="197"/>
      <c r="I18" s="98"/>
      <c r="J18" s="207"/>
      <c r="K18" s="34"/>
      <c r="L18" s="34"/>
      <c r="M18" s="69"/>
      <c r="N18" s="35"/>
      <c r="O18" s="111"/>
      <c r="P18" s="211"/>
      <c r="Q18" s="35"/>
      <c r="R18" s="69"/>
      <c r="S18" s="30"/>
      <c r="T18" s="197"/>
      <c r="U18" s="197"/>
      <c r="V18" s="214"/>
      <c r="W18" s="13"/>
      <c r="X18" s="13"/>
      <c r="Y18" s="35"/>
      <c r="Z18" s="211"/>
      <c r="AA18" s="35"/>
      <c r="AB18" s="211"/>
      <c r="AC18" s="35"/>
      <c r="AD18" s="35"/>
      <c r="AE18" s="34"/>
      <c r="AF18" s="35"/>
      <c r="AG18" s="34"/>
      <c r="AH18" s="35"/>
      <c r="AI18" s="34"/>
      <c r="AJ18" s="34"/>
      <c r="AK18" s="34"/>
      <c r="AL18" s="34"/>
      <c r="AM18" s="34"/>
      <c r="AN18" s="13"/>
      <c r="AO18" s="13"/>
      <c r="AP18" s="13"/>
      <c r="AQ18" s="197"/>
      <c r="AR18" s="34"/>
      <c r="AS18" s="197"/>
      <c r="AT18" s="69"/>
      <c r="AU18" s="98"/>
      <c r="AV18" s="111"/>
      <c r="AW18" s="35"/>
      <c r="AX18" s="98"/>
      <c r="AY18" s="98"/>
      <c r="AZ18" s="211"/>
      <c r="BA18" s="69"/>
      <c r="BB18" s="69"/>
      <c r="BC18" s="69"/>
      <c r="BD18" s="69"/>
      <c r="BE18" s="34"/>
      <c r="BF18" s="69"/>
      <c r="BG18" s="69"/>
      <c r="BH18" s="34"/>
      <c r="BI18" s="34"/>
      <c r="BJ18" s="34"/>
      <c r="BK18" s="13"/>
      <c r="BL18" s="13"/>
      <c r="BM18" s="13"/>
      <c r="BN18" s="13"/>
      <c r="BO18" s="13"/>
      <c r="BP18" s="13"/>
      <c r="BQ18" s="13"/>
      <c r="BR18" s="13"/>
      <c r="BS18" s="13"/>
      <c r="BT18" s="197"/>
      <c r="BU18" s="34"/>
      <c r="BV18" s="34"/>
      <c r="BW18" s="34"/>
    </row>
    <row r="19">
      <c r="A19" s="111"/>
      <c r="B19" s="35"/>
      <c r="C19" s="111"/>
      <c r="D19" s="35"/>
      <c r="E19" s="34"/>
      <c r="F19" s="35"/>
      <c r="G19" s="34"/>
      <c r="H19" s="197"/>
      <c r="I19" s="98"/>
      <c r="J19" s="207"/>
      <c r="K19" s="34"/>
      <c r="L19" s="34"/>
      <c r="M19" s="69"/>
      <c r="N19" s="35"/>
      <c r="O19" s="111"/>
      <c r="P19" s="211"/>
      <c r="Q19" s="35"/>
      <c r="R19" s="69"/>
      <c r="S19" s="30"/>
      <c r="T19" s="197"/>
      <c r="U19" s="197"/>
      <c r="V19" s="214"/>
      <c r="W19" s="13"/>
      <c r="X19" s="13"/>
      <c r="Y19" s="35"/>
      <c r="Z19" s="211"/>
      <c r="AA19" s="35"/>
      <c r="AB19" s="211"/>
      <c r="AC19" s="35"/>
      <c r="AD19" s="35"/>
      <c r="AE19" s="34"/>
      <c r="AF19" s="35"/>
      <c r="AG19" s="34"/>
      <c r="AH19" s="35"/>
      <c r="AI19" s="34"/>
      <c r="AJ19" s="34"/>
      <c r="AK19" s="34"/>
      <c r="AL19" s="34"/>
      <c r="AM19" s="34"/>
      <c r="AN19" s="13"/>
      <c r="AO19" s="13"/>
      <c r="AP19" s="13"/>
      <c r="AQ19" s="197"/>
      <c r="AR19" s="34"/>
      <c r="AS19" s="197"/>
      <c r="AT19" s="69"/>
      <c r="AU19" s="98"/>
      <c r="AV19" s="111"/>
      <c r="AW19" s="35"/>
      <c r="AX19" s="98"/>
      <c r="AY19" s="98"/>
      <c r="AZ19" s="211"/>
      <c r="BA19" s="69"/>
      <c r="BB19" s="69"/>
      <c r="BC19" s="69"/>
      <c r="BD19" s="69"/>
      <c r="BE19" s="34"/>
      <c r="BF19" s="69"/>
      <c r="BG19" s="69"/>
      <c r="BH19" s="34"/>
      <c r="BI19" s="34"/>
      <c r="BJ19" s="34"/>
      <c r="BK19" s="13"/>
      <c r="BL19" s="13"/>
      <c r="BM19" s="13"/>
      <c r="BN19" s="13"/>
      <c r="BO19" s="13"/>
      <c r="BP19" s="13"/>
      <c r="BQ19" s="13"/>
      <c r="BR19" s="13"/>
      <c r="BS19" s="13"/>
      <c r="BT19" s="197"/>
      <c r="BU19" s="34"/>
      <c r="BV19" s="34"/>
      <c r="BW19" s="34"/>
    </row>
    <row r="20">
      <c r="A20" s="111"/>
      <c r="B20" s="35"/>
      <c r="C20" s="111"/>
      <c r="D20" s="35"/>
      <c r="E20" s="34"/>
      <c r="F20" s="35"/>
      <c r="G20" s="34"/>
      <c r="H20" s="197"/>
      <c r="I20" s="98"/>
      <c r="J20" s="207"/>
      <c r="K20" s="34"/>
      <c r="L20" s="34"/>
      <c r="M20" s="13"/>
      <c r="N20" s="35"/>
      <c r="O20" s="111"/>
      <c r="P20" s="211"/>
      <c r="Q20" s="35"/>
      <c r="R20" s="69"/>
      <c r="S20" s="183"/>
      <c r="T20" s="197"/>
      <c r="U20" s="197"/>
      <c r="V20" s="214"/>
      <c r="W20" s="13"/>
      <c r="X20" s="13"/>
      <c r="Y20" s="35"/>
      <c r="Z20" s="211"/>
      <c r="AA20" s="35"/>
      <c r="AB20" s="211"/>
      <c r="AC20" s="35"/>
      <c r="AD20" s="35"/>
      <c r="AE20" s="34"/>
      <c r="AF20" s="35"/>
      <c r="AG20" s="34"/>
      <c r="AH20" s="35"/>
      <c r="AI20" s="34"/>
      <c r="AJ20" s="34"/>
      <c r="AK20" s="34"/>
      <c r="AL20" s="34"/>
      <c r="AM20" s="34"/>
      <c r="AN20" s="13"/>
      <c r="AO20" s="13"/>
      <c r="AP20" s="13"/>
      <c r="AQ20" s="197"/>
      <c r="AR20" s="34"/>
      <c r="AS20" s="197"/>
      <c r="AT20" s="69"/>
      <c r="AU20" s="98"/>
      <c r="AV20" s="111"/>
      <c r="AW20" s="35"/>
      <c r="AX20" s="98"/>
      <c r="AY20" s="98"/>
      <c r="AZ20" s="211"/>
      <c r="BA20" s="69"/>
      <c r="BB20" s="69"/>
      <c r="BC20" s="69"/>
      <c r="BD20" s="69"/>
      <c r="BE20" s="34"/>
      <c r="BF20" s="69"/>
      <c r="BG20" s="69"/>
      <c r="BH20" s="34"/>
      <c r="BI20" s="34"/>
      <c r="BJ20" s="34"/>
      <c r="BK20" s="13"/>
      <c r="BL20" s="13"/>
      <c r="BM20" s="13"/>
      <c r="BN20" s="13"/>
      <c r="BO20" s="13"/>
      <c r="BP20" s="13"/>
      <c r="BQ20" s="13"/>
      <c r="BR20" s="13"/>
      <c r="BS20" s="13"/>
      <c r="BT20" s="197"/>
      <c r="BU20" s="34"/>
      <c r="BV20" s="34"/>
      <c r="BW20" s="34"/>
    </row>
    <row r="21">
      <c r="A21" s="111"/>
      <c r="B21" s="35"/>
      <c r="C21" s="111"/>
      <c r="D21" s="35"/>
      <c r="E21" s="34"/>
      <c r="F21" s="35"/>
      <c r="G21" s="34"/>
      <c r="H21" s="197"/>
      <c r="I21" s="98"/>
      <c r="J21" s="207"/>
      <c r="K21" s="34"/>
      <c r="L21" s="34"/>
      <c r="M21" s="69"/>
      <c r="N21" s="35"/>
      <c r="O21" s="111"/>
      <c r="P21" s="211"/>
      <c r="Q21" s="35"/>
      <c r="R21" s="69"/>
      <c r="S21" s="183"/>
      <c r="T21" s="197"/>
      <c r="U21" s="197"/>
      <c r="V21" s="214"/>
      <c r="W21" s="13"/>
      <c r="X21" s="13"/>
      <c r="Y21" s="35"/>
      <c r="Z21" s="211"/>
      <c r="AA21" s="35"/>
      <c r="AB21" s="211"/>
      <c r="AC21" s="35"/>
      <c r="AD21" s="35"/>
      <c r="AE21" s="34"/>
      <c r="AF21" s="35"/>
      <c r="AG21" s="34"/>
      <c r="AH21" s="35"/>
      <c r="AI21" s="34"/>
      <c r="AJ21" s="34"/>
      <c r="AK21" s="34"/>
      <c r="AL21" s="34"/>
      <c r="AM21" s="34"/>
      <c r="AN21" s="13"/>
      <c r="AO21" s="13"/>
      <c r="AP21" s="13"/>
      <c r="AQ21" s="197"/>
      <c r="AR21" s="34"/>
      <c r="AS21" s="197"/>
      <c r="AT21" s="69"/>
      <c r="AU21" s="98"/>
      <c r="AV21" s="111"/>
      <c r="AW21" s="35"/>
      <c r="AX21" s="98"/>
      <c r="AY21" s="98"/>
      <c r="AZ21" s="211"/>
      <c r="BA21" s="69"/>
      <c r="BB21" s="69"/>
      <c r="BC21" s="69"/>
      <c r="BD21" s="69"/>
      <c r="BE21" s="34"/>
      <c r="BF21" s="69"/>
      <c r="BG21" s="69"/>
      <c r="BH21" s="34"/>
      <c r="BI21" s="34"/>
      <c r="BJ21" s="34"/>
      <c r="BK21" s="13"/>
      <c r="BL21" s="13"/>
      <c r="BM21" s="13"/>
      <c r="BN21" s="13"/>
      <c r="BO21" s="13"/>
      <c r="BP21" s="13"/>
      <c r="BQ21" s="13"/>
      <c r="BR21" s="13"/>
      <c r="BS21" s="13"/>
      <c r="BT21" s="197"/>
      <c r="BU21" s="34"/>
      <c r="BV21" s="34"/>
      <c r="BW21" s="34"/>
    </row>
    <row r="22">
      <c r="A22" s="111"/>
      <c r="B22" s="35"/>
      <c r="C22" s="111"/>
      <c r="D22" s="35"/>
      <c r="E22" s="34"/>
      <c r="F22" s="35"/>
      <c r="G22" s="34"/>
      <c r="H22" s="197"/>
      <c r="I22" s="98"/>
      <c r="J22" s="207"/>
      <c r="K22" s="34"/>
      <c r="L22" s="34"/>
      <c r="M22" s="69"/>
      <c r="N22" s="35"/>
      <c r="O22" s="111"/>
      <c r="P22" s="211"/>
      <c r="Q22" s="35"/>
      <c r="R22" s="69"/>
      <c r="S22" s="183"/>
      <c r="T22" s="197"/>
      <c r="U22" s="197"/>
      <c r="V22" s="214"/>
      <c r="W22" s="13"/>
      <c r="X22" s="13"/>
      <c r="Y22" s="35"/>
      <c r="Z22" s="211"/>
      <c r="AA22" s="35"/>
      <c r="AB22" s="211"/>
      <c r="AC22" s="35"/>
      <c r="AD22" s="35"/>
      <c r="AE22" s="34"/>
      <c r="AF22" s="35"/>
      <c r="AG22" s="34"/>
      <c r="AH22" s="35"/>
      <c r="AI22" s="34"/>
      <c r="AJ22" s="34"/>
      <c r="AK22" s="34"/>
      <c r="AL22" s="34"/>
      <c r="AM22" s="34"/>
      <c r="AN22" s="13"/>
      <c r="AO22" s="13"/>
      <c r="AP22" s="13"/>
      <c r="AQ22" s="197"/>
      <c r="AR22" s="34"/>
      <c r="AS22" s="197"/>
      <c r="AT22" s="69"/>
      <c r="AU22" s="98"/>
      <c r="AV22" s="111"/>
      <c r="AW22" s="35"/>
      <c r="AX22" s="98"/>
      <c r="AY22" s="98"/>
      <c r="AZ22" s="211"/>
      <c r="BA22" s="69"/>
      <c r="BB22" s="69"/>
      <c r="BC22" s="69"/>
      <c r="BD22" s="69"/>
      <c r="BE22" s="34"/>
      <c r="BF22" s="69"/>
      <c r="BG22" s="69"/>
      <c r="BH22" s="34"/>
      <c r="BI22" s="34"/>
      <c r="BJ22" s="34"/>
      <c r="BK22" s="13"/>
      <c r="BL22" s="13"/>
      <c r="BM22" s="13"/>
      <c r="BN22" s="13"/>
      <c r="BO22" s="13"/>
      <c r="BP22" s="13"/>
      <c r="BQ22" s="13"/>
      <c r="BR22" s="13"/>
      <c r="BS22" s="13"/>
      <c r="BT22" s="197"/>
      <c r="BU22" s="34"/>
      <c r="BV22" s="34"/>
      <c r="BW22" s="34"/>
    </row>
    <row r="23">
      <c r="A23" s="111"/>
      <c r="B23" s="35"/>
      <c r="C23" s="111"/>
      <c r="D23" s="35"/>
      <c r="E23" s="34"/>
      <c r="F23" s="35"/>
      <c r="G23" s="34"/>
      <c r="H23" s="197"/>
      <c r="I23" s="98"/>
      <c r="J23" s="207"/>
      <c r="K23" s="34"/>
      <c r="L23" s="34"/>
      <c r="M23" s="69"/>
      <c r="N23" s="35"/>
      <c r="O23" s="111"/>
      <c r="P23" s="211"/>
      <c r="Q23" s="35"/>
      <c r="R23" s="69"/>
      <c r="S23" s="183"/>
      <c r="T23" s="197"/>
      <c r="U23" s="197"/>
      <c r="V23" s="214"/>
      <c r="W23" s="13"/>
      <c r="X23" s="13"/>
      <c r="Y23" s="35"/>
      <c r="Z23" s="211"/>
      <c r="AA23" s="35"/>
      <c r="AB23" s="211"/>
      <c r="AC23" s="35"/>
      <c r="AD23" s="35"/>
      <c r="AE23" s="34"/>
      <c r="AF23" s="35"/>
      <c r="AG23" s="34"/>
      <c r="AH23" s="35"/>
      <c r="AI23" s="34"/>
      <c r="AJ23" s="34"/>
      <c r="AK23" s="34"/>
      <c r="AL23" s="34"/>
      <c r="AM23" s="34"/>
      <c r="AN23" s="13"/>
      <c r="AO23" s="13"/>
      <c r="AP23" s="13"/>
      <c r="AQ23" s="197"/>
      <c r="AR23" s="34"/>
      <c r="AS23" s="197"/>
      <c r="AT23" s="69"/>
      <c r="AU23" s="98"/>
      <c r="AV23" s="111"/>
      <c r="AW23" s="35"/>
      <c r="AX23" s="98"/>
      <c r="AY23" s="98"/>
      <c r="AZ23" s="211"/>
      <c r="BA23" s="69"/>
      <c r="BB23" s="69"/>
      <c r="BC23" s="69"/>
      <c r="BD23" s="69"/>
      <c r="BE23" s="34"/>
      <c r="BF23" s="69"/>
      <c r="BG23" s="69"/>
      <c r="BH23" s="34"/>
      <c r="BI23" s="34"/>
      <c r="BJ23" s="34"/>
      <c r="BK23" s="13"/>
      <c r="BL23" s="13"/>
      <c r="BM23" s="13"/>
      <c r="BN23" s="13"/>
      <c r="BO23" s="13"/>
      <c r="BP23" s="13"/>
      <c r="BQ23" s="13"/>
      <c r="BR23" s="13"/>
      <c r="BS23" s="13"/>
      <c r="BT23" s="197"/>
      <c r="BU23" s="34"/>
      <c r="BV23" s="34"/>
      <c r="BW23" s="34"/>
    </row>
    <row r="24">
      <c r="A24" s="111"/>
      <c r="B24" s="35"/>
      <c r="C24" s="111"/>
      <c r="D24" s="35"/>
      <c r="E24" s="34"/>
      <c r="F24" s="35"/>
      <c r="G24" s="34"/>
      <c r="H24" s="197"/>
      <c r="I24" s="98"/>
      <c r="J24" s="207"/>
      <c r="K24" s="34"/>
      <c r="L24" s="34"/>
      <c r="M24" s="69"/>
      <c r="N24" s="35"/>
      <c r="O24" s="111"/>
      <c r="P24" s="211"/>
      <c r="Q24" s="35"/>
      <c r="R24" s="69"/>
      <c r="S24" s="183"/>
      <c r="T24" s="197"/>
      <c r="U24" s="197"/>
      <c r="V24" s="214"/>
      <c r="W24" s="13"/>
      <c r="X24" s="13"/>
      <c r="Y24" s="35"/>
      <c r="Z24" s="211"/>
      <c r="AA24" s="35"/>
      <c r="AB24" s="211"/>
      <c r="AC24" s="35"/>
      <c r="AD24" s="35"/>
      <c r="AE24" s="34"/>
      <c r="AF24" s="35"/>
      <c r="AG24" s="34"/>
      <c r="AH24" s="35"/>
      <c r="AI24" s="34"/>
      <c r="AJ24" s="34"/>
      <c r="AK24" s="34"/>
      <c r="AL24" s="34"/>
      <c r="AM24" s="34"/>
      <c r="AN24" s="13"/>
      <c r="AO24" s="13"/>
      <c r="AP24" s="13"/>
      <c r="AQ24" s="197"/>
      <c r="AR24" s="34"/>
      <c r="AS24" s="197"/>
      <c r="AT24" s="69"/>
      <c r="AU24" s="98"/>
      <c r="AV24" s="111"/>
      <c r="AW24" s="35"/>
      <c r="AX24" s="98"/>
      <c r="AY24" s="98"/>
      <c r="AZ24" s="211"/>
      <c r="BA24" s="69"/>
      <c r="BB24" s="69"/>
      <c r="BC24" s="69"/>
      <c r="BD24" s="69"/>
      <c r="BE24" s="34"/>
      <c r="BF24" s="69"/>
      <c r="BG24" s="69"/>
      <c r="BH24" s="34"/>
      <c r="BI24" s="34"/>
      <c r="BJ24" s="34"/>
      <c r="BK24" s="13"/>
      <c r="BL24" s="13"/>
      <c r="BM24" s="13"/>
      <c r="BN24" s="13"/>
      <c r="BO24" s="13"/>
      <c r="BP24" s="13"/>
      <c r="BQ24" s="13"/>
      <c r="BR24" s="13"/>
      <c r="BS24" s="13"/>
      <c r="BT24" s="197"/>
      <c r="BU24" s="34"/>
      <c r="BV24" s="34"/>
      <c r="BW24" s="34"/>
    </row>
    <row r="25">
      <c r="A25" s="111"/>
      <c r="B25" s="35"/>
      <c r="C25" s="111"/>
      <c r="D25" s="35"/>
      <c r="E25" s="34"/>
      <c r="F25" s="35"/>
      <c r="G25" s="34"/>
      <c r="H25" s="197"/>
      <c r="I25" s="98"/>
      <c r="J25" s="207"/>
      <c r="K25" s="34"/>
      <c r="L25" s="34"/>
      <c r="M25" s="69"/>
      <c r="N25" s="35"/>
      <c r="O25" s="111"/>
      <c r="P25" s="211"/>
      <c r="Q25" s="35"/>
      <c r="R25" s="69"/>
      <c r="S25" s="183"/>
      <c r="T25" s="197"/>
      <c r="U25" s="197"/>
      <c r="V25" s="214"/>
      <c r="W25" s="13"/>
      <c r="X25" s="13"/>
      <c r="Y25" s="35"/>
      <c r="Z25" s="211"/>
      <c r="AA25" s="35"/>
      <c r="AB25" s="211"/>
      <c r="AC25" s="35"/>
      <c r="AD25" s="35"/>
      <c r="AE25" s="34"/>
      <c r="AF25" s="35"/>
      <c r="AG25" s="34"/>
      <c r="AH25" s="35"/>
      <c r="AI25" s="34"/>
      <c r="AJ25" s="34"/>
      <c r="AK25" s="34"/>
      <c r="AL25" s="34"/>
      <c r="AM25" s="34"/>
      <c r="AN25" s="13"/>
      <c r="AO25" s="13"/>
      <c r="AP25" s="13"/>
      <c r="AQ25" s="197"/>
      <c r="AR25" s="34"/>
      <c r="AS25" s="197"/>
      <c r="AT25" s="69"/>
      <c r="AU25" s="98"/>
      <c r="AV25" s="111"/>
      <c r="AW25" s="35"/>
      <c r="AX25" s="98"/>
      <c r="AY25" s="98"/>
      <c r="AZ25" s="211"/>
      <c r="BA25" s="69"/>
      <c r="BB25" s="69"/>
      <c r="BC25" s="69"/>
      <c r="BD25" s="69"/>
      <c r="BE25" s="34"/>
      <c r="BF25" s="69"/>
      <c r="BG25" s="69"/>
      <c r="BH25" s="34"/>
      <c r="BI25" s="34"/>
      <c r="BJ25" s="34"/>
      <c r="BK25" s="13"/>
      <c r="BL25" s="13"/>
      <c r="BM25" s="13"/>
      <c r="BN25" s="13"/>
      <c r="BO25" s="13"/>
      <c r="BP25" s="13"/>
      <c r="BQ25" s="13"/>
      <c r="BR25" s="13"/>
      <c r="BS25" s="13"/>
      <c r="BT25" s="197"/>
      <c r="BU25" s="34"/>
      <c r="BV25" s="34"/>
      <c r="BW25" s="34"/>
    </row>
    <row r="26">
      <c r="A26" s="111"/>
      <c r="B26" s="35"/>
      <c r="C26" s="111"/>
      <c r="D26" s="35"/>
      <c r="E26" s="34"/>
      <c r="F26" s="35"/>
      <c r="G26" s="34"/>
      <c r="H26" s="197"/>
      <c r="I26" s="98"/>
      <c r="J26" s="207"/>
      <c r="K26" s="34"/>
      <c r="L26" s="34"/>
      <c r="M26" s="69"/>
      <c r="N26" s="35"/>
      <c r="O26" s="111"/>
      <c r="P26" s="211"/>
      <c r="Q26" s="35"/>
      <c r="R26" s="69"/>
      <c r="S26" s="183"/>
      <c r="T26" s="197"/>
      <c r="U26" s="197"/>
      <c r="V26" s="214"/>
      <c r="W26" s="13"/>
      <c r="X26" s="13"/>
      <c r="Y26" s="35"/>
      <c r="Z26" s="211"/>
      <c r="AA26" s="35"/>
      <c r="AB26" s="211"/>
      <c r="AC26" s="35"/>
      <c r="AD26" s="35"/>
      <c r="AE26" s="34"/>
      <c r="AF26" s="35"/>
      <c r="AG26" s="34"/>
      <c r="AH26" s="35"/>
      <c r="AI26" s="34"/>
      <c r="AJ26" s="34"/>
      <c r="AK26" s="34"/>
      <c r="AL26" s="34"/>
      <c r="AM26" s="34"/>
      <c r="AN26" s="13"/>
      <c r="AO26" s="13"/>
      <c r="AP26" s="13"/>
      <c r="AQ26" s="197"/>
      <c r="AR26" s="34"/>
      <c r="AS26" s="197"/>
      <c r="AT26" s="69"/>
      <c r="AU26" s="98"/>
      <c r="AV26" s="111"/>
      <c r="AW26" s="35"/>
      <c r="AX26" s="98"/>
      <c r="AY26" s="98"/>
      <c r="AZ26" s="211"/>
      <c r="BA26" s="69"/>
      <c r="BB26" s="69"/>
      <c r="BC26" s="69"/>
      <c r="BD26" s="69"/>
      <c r="BE26" s="34"/>
      <c r="BF26" s="69"/>
      <c r="BG26" s="69"/>
      <c r="BH26" s="34"/>
      <c r="BI26" s="34"/>
      <c r="BJ26" s="34"/>
      <c r="BK26" s="13"/>
      <c r="BL26" s="13"/>
      <c r="BM26" s="13"/>
      <c r="BN26" s="13"/>
      <c r="BO26" s="13"/>
      <c r="BP26" s="13"/>
      <c r="BQ26" s="13"/>
      <c r="BR26" s="13"/>
      <c r="BS26" s="13"/>
      <c r="BT26" s="197"/>
      <c r="BU26" s="34"/>
      <c r="BV26" s="34"/>
      <c r="BW26" s="34"/>
    </row>
    <row r="27">
      <c r="A27" s="111"/>
      <c r="B27" s="35"/>
      <c r="C27" s="111"/>
      <c r="D27" s="35"/>
      <c r="E27" s="34"/>
      <c r="F27" s="35"/>
      <c r="G27" s="34"/>
      <c r="H27" s="197"/>
      <c r="I27" s="98"/>
      <c r="J27" s="207"/>
      <c r="K27" s="34"/>
      <c r="L27" s="34"/>
      <c r="M27" s="69"/>
      <c r="N27" s="35"/>
      <c r="O27" s="111"/>
      <c r="P27" s="211"/>
      <c r="Q27" s="35"/>
      <c r="R27" s="69"/>
      <c r="S27" s="183"/>
      <c r="T27" s="197"/>
      <c r="U27" s="197"/>
      <c r="V27" s="214"/>
      <c r="W27" s="13"/>
      <c r="X27" s="13"/>
      <c r="Y27" s="35"/>
      <c r="Z27" s="211"/>
      <c r="AA27" s="35"/>
      <c r="AB27" s="211"/>
      <c r="AC27" s="35"/>
      <c r="AD27" s="35"/>
      <c r="AE27" s="34"/>
      <c r="AF27" s="35"/>
      <c r="AG27" s="34"/>
      <c r="AH27" s="35"/>
      <c r="AI27" s="34"/>
      <c r="AJ27" s="34"/>
      <c r="AK27" s="34"/>
      <c r="AL27" s="34"/>
      <c r="AM27" s="34"/>
      <c r="AN27" s="13"/>
      <c r="AO27" s="13"/>
      <c r="AP27" s="13"/>
      <c r="AQ27" s="197"/>
      <c r="AR27" s="34"/>
      <c r="AS27" s="197"/>
      <c r="AT27" s="69"/>
      <c r="AU27" s="98"/>
      <c r="AV27" s="111"/>
      <c r="AW27" s="35"/>
      <c r="AX27" s="98"/>
      <c r="AY27" s="98"/>
      <c r="AZ27" s="211"/>
      <c r="BA27" s="69"/>
      <c r="BB27" s="69"/>
      <c r="BC27" s="69"/>
      <c r="BD27" s="69"/>
      <c r="BE27" s="34"/>
      <c r="BF27" s="69"/>
      <c r="BG27" s="69"/>
      <c r="BH27" s="34"/>
      <c r="BI27" s="34"/>
      <c r="BJ27" s="34"/>
      <c r="BK27" s="13"/>
      <c r="BL27" s="13"/>
      <c r="BM27" s="13"/>
      <c r="BN27" s="13"/>
      <c r="BO27" s="13"/>
      <c r="BP27" s="13"/>
      <c r="BQ27" s="13"/>
      <c r="BR27" s="13"/>
      <c r="BS27" s="13"/>
      <c r="BT27" s="197"/>
      <c r="BU27" s="34"/>
      <c r="BV27" s="34"/>
      <c r="BW27" s="34"/>
    </row>
    <row r="28">
      <c r="A28" s="111"/>
      <c r="B28" s="35"/>
      <c r="C28" s="111"/>
      <c r="D28" s="35"/>
      <c r="E28" s="34"/>
      <c r="F28" s="35"/>
      <c r="G28" s="34"/>
      <c r="H28" s="197"/>
      <c r="I28" s="98"/>
      <c r="J28" s="207"/>
      <c r="K28" s="34"/>
      <c r="L28" s="34"/>
      <c r="M28" s="69"/>
      <c r="N28" s="35"/>
      <c r="O28" s="111"/>
      <c r="P28" s="211"/>
      <c r="Q28" s="35"/>
      <c r="R28" s="69"/>
      <c r="S28" s="183"/>
      <c r="T28" s="197"/>
      <c r="U28" s="197"/>
      <c r="V28" s="214"/>
      <c r="W28" s="13"/>
      <c r="X28" s="13"/>
      <c r="Y28" s="35"/>
      <c r="Z28" s="211"/>
      <c r="AA28" s="35"/>
      <c r="AB28" s="211"/>
      <c r="AC28" s="35"/>
      <c r="AD28" s="35"/>
      <c r="AE28" s="34"/>
      <c r="AF28" s="35"/>
      <c r="AG28" s="34"/>
      <c r="AH28" s="35"/>
      <c r="AI28" s="34"/>
      <c r="AJ28" s="34"/>
      <c r="AK28" s="34"/>
      <c r="AL28" s="34"/>
      <c r="AM28" s="34"/>
      <c r="AN28" s="13"/>
      <c r="AO28" s="13"/>
      <c r="AP28" s="13"/>
      <c r="AQ28" s="197"/>
      <c r="AR28" s="34"/>
      <c r="AS28" s="197"/>
      <c r="AT28" s="69"/>
      <c r="AU28" s="98"/>
      <c r="AV28" s="111"/>
      <c r="AW28" s="35"/>
      <c r="AX28" s="98"/>
      <c r="AY28" s="98"/>
      <c r="AZ28" s="211"/>
      <c r="BA28" s="69"/>
      <c r="BB28" s="69"/>
      <c r="BC28" s="69"/>
      <c r="BD28" s="69"/>
      <c r="BE28" s="34"/>
      <c r="BF28" s="69"/>
      <c r="BG28" s="69"/>
      <c r="BH28" s="34"/>
      <c r="BI28" s="34"/>
      <c r="BJ28" s="34"/>
      <c r="BK28" s="13"/>
      <c r="BL28" s="13"/>
      <c r="BM28" s="13"/>
      <c r="BN28" s="13"/>
      <c r="BO28" s="13"/>
      <c r="BP28" s="13"/>
      <c r="BQ28" s="13"/>
      <c r="BR28" s="13"/>
      <c r="BS28" s="13"/>
      <c r="BT28" s="197"/>
      <c r="BU28" s="34"/>
      <c r="BV28" s="34"/>
      <c r="BW28" s="34"/>
    </row>
    <row r="29">
      <c r="A29" s="111"/>
      <c r="B29" s="35"/>
      <c r="C29" s="111"/>
      <c r="D29" s="35"/>
      <c r="E29" s="34"/>
      <c r="F29" s="35"/>
      <c r="G29" s="34"/>
      <c r="H29" s="197"/>
      <c r="I29" s="98"/>
      <c r="J29" s="207"/>
      <c r="K29" s="34"/>
      <c r="L29" s="34"/>
      <c r="M29" s="69"/>
      <c r="N29" s="35"/>
      <c r="O29" s="111"/>
      <c r="P29" s="211"/>
      <c r="Q29" s="35"/>
      <c r="R29" s="69"/>
      <c r="S29" s="183"/>
      <c r="T29" s="197"/>
      <c r="U29" s="197"/>
      <c r="V29" s="214"/>
      <c r="W29" s="13"/>
      <c r="X29" s="13"/>
      <c r="Y29" s="35"/>
      <c r="Z29" s="211"/>
      <c r="AA29" s="35"/>
      <c r="AB29" s="211"/>
      <c r="AC29" s="35"/>
      <c r="AD29" s="35"/>
      <c r="AE29" s="34"/>
      <c r="AF29" s="35"/>
      <c r="AG29" s="34"/>
      <c r="AH29" s="35"/>
      <c r="AI29" s="34"/>
      <c r="AJ29" s="34"/>
      <c r="AK29" s="34"/>
      <c r="AL29" s="34"/>
      <c r="AM29" s="34"/>
      <c r="AN29" s="13"/>
      <c r="AO29" s="13"/>
      <c r="AP29" s="13"/>
      <c r="AQ29" s="197"/>
      <c r="AR29" s="34"/>
      <c r="AS29" s="197"/>
      <c r="AT29" s="69"/>
      <c r="AU29" s="98"/>
      <c r="AV29" s="111"/>
      <c r="AW29" s="35"/>
      <c r="AX29" s="98"/>
      <c r="AY29" s="98"/>
      <c r="AZ29" s="211"/>
      <c r="BA29" s="69"/>
      <c r="BB29" s="69"/>
      <c r="BC29" s="69"/>
      <c r="BD29" s="69"/>
      <c r="BE29" s="34"/>
      <c r="BF29" s="69"/>
      <c r="BG29" s="69"/>
      <c r="BH29" s="34"/>
      <c r="BI29" s="34"/>
      <c r="BJ29" s="34"/>
      <c r="BK29" s="13"/>
      <c r="BL29" s="13"/>
      <c r="BM29" s="13"/>
      <c r="BN29" s="13"/>
      <c r="BO29" s="13"/>
      <c r="BP29" s="13"/>
      <c r="BQ29" s="13"/>
      <c r="BR29" s="13"/>
      <c r="BS29" s="13"/>
      <c r="BT29" s="197"/>
      <c r="BU29" s="34"/>
      <c r="BV29" s="34"/>
      <c r="BW29" s="34"/>
    </row>
    <row r="30">
      <c r="A30" s="111"/>
      <c r="B30" s="35"/>
      <c r="C30" s="111"/>
      <c r="D30" s="35"/>
      <c r="E30" s="34"/>
      <c r="F30" s="35"/>
      <c r="G30" s="34"/>
      <c r="H30" s="197"/>
      <c r="I30" s="98"/>
      <c r="J30" s="207"/>
      <c r="K30" s="34"/>
      <c r="L30" s="34"/>
      <c r="M30" s="69"/>
      <c r="N30" s="35"/>
      <c r="O30" s="111"/>
      <c r="P30" s="211"/>
      <c r="Q30" s="35"/>
      <c r="R30" s="69"/>
      <c r="S30" s="183"/>
      <c r="T30" s="197"/>
      <c r="U30" s="197"/>
      <c r="V30" s="214"/>
      <c r="W30" s="13"/>
      <c r="X30" s="13"/>
      <c r="Y30" s="35"/>
      <c r="Z30" s="211"/>
      <c r="AA30" s="35"/>
      <c r="AB30" s="211"/>
      <c r="AC30" s="35"/>
      <c r="AD30" s="35"/>
      <c r="AE30" s="34"/>
      <c r="AF30" s="35"/>
      <c r="AG30" s="34"/>
      <c r="AH30" s="35"/>
      <c r="AI30" s="34"/>
      <c r="AJ30" s="34"/>
      <c r="AK30" s="34"/>
      <c r="AL30" s="34"/>
      <c r="AM30" s="34"/>
      <c r="AN30" s="13"/>
      <c r="AO30" s="13"/>
      <c r="AP30" s="13"/>
      <c r="AQ30" s="197"/>
      <c r="AR30" s="34"/>
      <c r="AS30" s="197"/>
      <c r="AT30" s="69"/>
      <c r="AU30" s="98"/>
      <c r="AV30" s="111"/>
      <c r="AW30" s="35"/>
      <c r="AX30" s="98"/>
      <c r="AY30" s="98"/>
      <c r="AZ30" s="211"/>
      <c r="BA30" s="69"/>
      <c r="BB30" s="69"/>
      <c r="BC30" s="69"/>
      <c r="BD30" s="69"/>
      <c r="BE30" s="34"/>
      <c r="BF30" s="69"/>
      <c r="BG30" s="69"/>
      <c r="BH30" s="34"/>
      <c r="BI30" s="34"/>
      <c r="BJ30" s="34"/>
      <c r="BK30" s="13"/>
      <c r="BL30" s="13"/>
      <c r="BM30" s="13"/>
      <c r="BN30" s="13"/>
      <c r="BO30" s="13"/>
      <c r="BP30" s="13"/>
      <c r="BQ30" s="13"/>
      <c r="BR30" s="13"/>
      <c r="BS30" s="13"/>
      <c r="BT30" s="197"/>
      <c r="BU30" s="34"/>
      <c r="BV30" s="34"/>
      <c r="BW30" s="34"/>
    </row>
    <row r="31">
      <c r="A31" s="111"/>
      <c r="B31" s="35"/>
      <c r="C31" s="111"/>
      <c r="D31" s="35"/>
      <c r="E31" s="34"/>
      <c r="F31" s="35"/>
      <c r="G31" s="34"/>
      <c r="H31" s="197"/>
      <c r="I31" s="98"/>
      <c r="J31" s="207"/>
      <c r="K31" s="34"/>
      <c r="L31" s="34"/>
      <c r="M31" s="69"/>
      <c r="N31" s="35"/>
      <c r="O31" s="111"/>
      <c r="P31" s="211"/>
      <c r="Q31" s="35"/>
      <c r="R31" s="69"/>
      <c r="S31" s="183"/>
      <c r="T31" s="197"/>
      <c r="U31" s="197"/>
      <c r="V31" s="214"/>
      <c r="W31" s="13"/>
      <c r="X31" s="13"/>
      <c r="Y31" s="35"/>
      <c r="Z31" s="211"/>
      <c r="AA31" s="35"/>
      <c r="AB31" s="211"/>
      <c r="AC31" s="35"/>
      <c r="AD31" s="35"/>
      <c r="AE31" s="34"/>
      <c r="AF31" s="35"/>
      <c r="AG31" s="34"/>
      <c r="AH31" s="35"/>
      <c r="AI31" s="34"/>
      <c r="AJ31" s="34"/>
      <c r="AK31" s="34"/>
      <c r="AL31" s="34"/>
      <c r="AM31" s="34"/>
      <c r="AN31" s="13"/>
      <c r="AO31" s="13"/>
      <c r="AP31" s="13"/>
      <c r="AQ31" s="197"/>
      <c r="AR31" s="34"/>
      <c r="AS31" s="197"/>
      <c r="AT31" s="69"/>
      <c r="AU31" s="98"/>
      <c r="AV31" s="111"/>
      <c r="AW31" s="35"/>
      <c r="AX31" s="98"/>
      <c r="AY31" s="98"/>
      <c r="AZ31" s="211"/>
      <c r="BA31" s="69"/>
      <c r="BB31" s="69"/>
      <c r="BC31" s="69"/>
      <c r="BD31" s="69"/>
      <c r="BE31" s="34"/>
      <c r="BF31" s="69"/>
      <c r="BG31" s="69"/>
      <c r="BH31" s="34"/>
      <c r="BI31" s="34"/>
      <c r="BJ31" s="34"/>
      <c r="BK31" s="13"/>
      <c r="BL31" s="13"/>
      <c r="BM31" s="13"/>
      <c r="BN31" s="13"/>
      <c r="BO31" s="13"/>
      <c r="BP31" s="13"/>
      <c r="BQ31" s="13"/>
      <c r="BR31" s="13"/>
      <c r="BS31" s="13"/>
      <c r="BT31" s="197"/>
      <c r="BU31" s="34"/>
      <c r="BV31" s="34"/>
      <c r="BW31" s="34"/>
    </row>
    <row r="32">
      <c r="A32" s="111"/>
      <c r="B32" s="35"/>
      <c r="C32" s="111"/>
      <c r="D32" s="35"/>
      <c r="E32" s="34"/>
      <c r="F32" s="35"/>
      <c r="G32" s="34"/>
      <c r="H32" s="197"/>
      <c r="I32" s="98"/>
      <c r="J32" s="207"/>
      <c r="K32" s="34"/>
      <c r="L32" s="34"/>
      <c r="M32" s="69"/>
      <c r="N32" s="35"/>
      <c r="O32" s="111"/>
      <c r="P32" s="211"/>
      <c r="Q32" s="35"/>
      <c r="R32" s="69"/>
      <c r="S32" s="183"/>
      <c r="T32" s="197"/>
      <c r="U32" s="197"/>
      <c r="V32" s="214"/>
      <c r="W32" s="13"/>
      <c r="X32" s="13"/>
      <c r="Y32" s="35"/>
      <c r="Z32" s="211"/>
      <c r="AA32" s="35"/>
      <c r="AB32" s="211"/>
      <c r="AC32" s="35"/>
      <c r="AD32" s="35"/>
      <c r="AE32" s="34"/>
      <c r="AF32" s="35"/>
      <c r="AG32" s="34"/>
      <c r="AH32" s="35"/>
      <c r="AI32" s="34"/>
      <c r="AJ32" s="34"/>
      <c r="AK32" s="34"/>
      <c r="AL32" s="34"/>
      <c r="AM32" s="34"/>
      <c r="AN32" s="13"/>
      <c r="AO32" s="13"/>
      <c r="AP32" s="13"/>
      <c r="AQ32" s="197"/>
      <c r="AR32" s="34"/>
      <c r="AS32" s="197"/>
      <c r="AT32" s="69"/>
      <c r="AU32" s="98"/>
      <c r="AV32" s="111"/>
      <c r="AW32" s="35"/>
      <c r="AX32" s="98"/>
      <c r="AY32" s="98"/>
      <c r="AZ32" s="211"/>
      <c r="BA32" s="69"/>
      <c r="BB32" s="69"/>
      <c r="BC32" s="69"/>
      <c r="BD32" s="69"/>
      <c r="BE32" s="34"/>
      <c r="BF32" s="69"/>
      <c r="BG32" s="69"/>
      <c r="BH32" s="34"/>
      <c r="BI32" s="34"/>
      <c r="BJ32" s="34"/>
      <c r="BK32" s="13"/>
      <c r="BL32" s="13"/>
      <c r="BM32" s="13"/>
      <c r="BN32" s="13"/>
      <c r="BO32" s="13"/>
      <c r="BP32" s="13"/>
      <c r="BQ32" s="13"/>
      <c r="BR32" s="13"/>
      <c r="BS32" s="13"/>
      <c r="BT32" s="197"/>
      <c r="BU32" s="34"/>
      <c r="BV32" s="34"/>
      <c r="BW32" s="34"/>
    </row>
    <row r="33">
      <c r="A33" s="111"/>
      <c r="B33" s="35"/>
      <c r="C33" s="111"/>
      <c r="D33" s="35"/>
      <c r="E33" s="34"/>
      <c r="F33" s="35"/>
      <c r="G33" s="34"/>
      <c r="H33" s="197"/>
      <c r="I33" s="98"/>
      <c r="J33" s="207"/>
      <c r="K33" s="34"/>
      <c r="L33" s="34"/>
      <c r="M33" s="69"/>
      <c r="N33" s="35"/>
      <c r="O33" s="111"/>
      <c r="P33" s="211"/>
      <c r="Q33" s="35"/>
      <c r="R33" s="69"/>
      <c r="S33" s="183"/>
      <c r="T33" s="197"/>
      <c r="U33" s="197"/>
      <c r="V33" s="214"/>
      <c r="W33" s="13"/>
      <c r="X33" s="13"/>
      <c r="Y33" s="35"/>
      <c r="Z33" s="211"/>
      <c r="AA33" s="35"/>
      <c r="AB33" s="211"/>
      <c r="AC33" s="35"/>
      <c r="AD33" s="35"/>
      <c r="AE33" s="34"/>
      <c r="AF33" s="35"/>
      <c r="AG33" s="34"/>
      <c r="AH33" s="35"/>
      <c r="AI33" s="34"/>
      <c r="AJ33" s="34"/>
      <c r="AK33" s="34"/>
      <c r="AL33" s="34"/>
      <c r="AM33" s="34"/>
      <c r="AN33" s="13"/>
      <c r="AO33" s="13"/>
      <c r="AP33" s="13"/>
      <c r="AQ33" s="197"/>
      <c r="AR33" s="34"/>
      <c r="AS33" s="197"/>
      <c r="AT33" s="69"/>
      <c r="AU33" s="98"/>
      <c r="AV33" s="111"/>
      <c r="AW33" s="35"/>
      <c r="AX33" s="98"/>
      <c r="AY33" s="98"/>
      <c r="AZ33" s="211"/>
      <c r="BA33" s="69"/>
      <c r="BB33" s="69"/>
      <c r="BC33" s="69"/>
      <c r="BD33" s="69"/>
      <c r="BE33" s="34"/>
      <c r="BF33" s="69"/>
      <c r="BG33" s="69"/>
      <c r="BH33" s="34"/>
      <c r="BI33" s="34"/>
      <c r="BJ33" s="34"/>
      <c r="BK33" s="13"/>
      <c r="BL33" s="13"/>
      <c r="BM33" s="13"/>
      <c r="BN33" s="13"/>
      <c r="BO33" s="13"/>
      <c r="BP33" s="13"/>
      <c r="BQ33" s="13"/>
      <c r="BR33" s="13"/>
      <c r="BS33" s="13"/>
      <c r="BT33" s="197"/>
      <c r="BU33" s="34"/>
      <c r="BV33" s="34"/>
      <c r="BW33" s="34"/>
    </row>
    <row r="34">
      <c r="A34" s="111"/>
      <c r="B34" s="35"/>
      <c r="C34" s="111"/>
      <c r="D34" s="35"/>
      <c r="E34" s="34"/>
      <c r="F34" s="35"/>
      <c r="G34" s="34"/>
      <c r="H34" s="197"/>
      <c r="I34" s="98"/>
      <c r="J34" s="207"/>
      <c r="K34" s="34"/>
      <c r="L34" s="34"/>
      <c r="M34" s="69"/>
      <c r="N34" s="35"/>
      <c r="O34" s="111"/>
      <c r="P34" s="211"/>
      <c r="Q34" s="35"/>
      <c r="R34" s="69"/>
      <c r="S34" s="183"/>
      <c r="T34" s="197"/>
      <c r="U34" s="197"/>
      <c r="V34" s="214"/>
      <c r="W34" s="13"/>
      <c r="X34" s="13"/>
      <c r="Y34" s="35"/>
      <c r="Z34" s="211"/>
      <c r="AA34" s="35"/>
      <c r="AB34" s="211"/>
      <c r="AC34" s="35"/>
      <c r="AD34" s="35"/>
      <c r="AE34" s="34"/>
      <c r="AF34" s="35"/>
      <c r="AG34" s="34"/>
      <c r="AH34" s="35"/>
      <c r="AI34" s="34"/>
      <c r="AJ34" s="34"/>
      <c r="AK34" s="34"/>
      <c r="AL34" s="34"/>
      <c r="AM34" s="34"/>
      <c r="AN34" s="13"/>
      <c r="AO34" s="13"/>
      <c r="AP34" s="13"/>
      <c r="AQ34" s="197"/>
      <c r="AR34" s="34"/>
      <c r="AS34" s="197"/>
      <c r="AT34" s="69"/>
      <c r="AU34" s="98"/>
      <c r="AV34" s="111"/>
      <c r="AW34" s="35"/>
      <c r="AX34" s="98"/>
      <c r="AY34" s="98"/>
      <c r="AZ34" s="211"/>
      <c r="BA34" s="69"/>
      <c r="BB34" s="69"/>
      <c r="BC34" s="69"/>
      <c r="BD34" s="69"/>
      <c r="BE34" s="34"/>
      <c r="BF34" s="69"/>
      <c r="BG34" s="69"/>
      <c r="BH34" s="34"/>
      <c r="BI34" s="34"/>
      <c r="BJ34" s="34"/>
      <c r="BK34" s="13"/>
      <c r="BL34" s="13"/>
      <c r="BM34" s="13"/>
      <c r="BN34" s="13"/>
      <c r="BO34" s="13"/>
      <c r="BP34" s="13"/>
      <c r="BQ34" s="13"/>
      <c r="BR34" s="13"/>
      <c r="BS34" s="13"/>
      <c r="BT34" s="197"/>
      <c r="BU34" s="34"/>
      <c r="BV34" s="34"/>
      <c r="BW34" s="34"/>
    </row>
    <row r="35">
      <c r="A35" s="111"/>
      <c r="B35" s="35"/>
      <c r="C35" s="111"/>
      <c r="D35" s="35"/>
      <c r="E35" s="34"/>
      <c r="F35" s="35"/>
      <c r="G35" s="34"/>
      <c r="H35" s="197"/>
      <c r="I35" s="98"/>
      <c r="J35" s="207"/>
      <c r="K35" s="34"/>
      <c r="L35" s="34"/>
      <c r="M35" s="69"/>
      <c r="N35" s="35"/>
      <c r="O35" s="111"/>
      <c r="P35" s="211"/>
      <c r="Q35" s="35"/>
      <c r="R35" s="69"/>
      <c r="S35" s="183"/>
      <c r="T35" s="197"/>
      <c r="U35" s="197"/>
      <c r="V35" s="214"/>
      <c r="W35" s="13"/>
      <c r="X35" s="13"/>
      <c r="Y35" s="35"/>
      <c r="Z35" s="211"/>
      <c r="AA35" s="35"/>
      <c r="AB35" s="211"/>
      <c r="AC35" s="35"/>
      <c r="AD35" s="35"/>
      <c r="AE35" s="34"/>
      <c r="AF35" s="35"/>
      <c r="AG35" s="34"/>
      <c r="AH35" s="35"/>
      <c r="AI35" s="34"/>
      <c r="AJ35" s="34"/>
      <c r="AK35" s="34"/>
      <c r="AL35" s="34"/>
      <c r="AM35" s="34"/>
      <c r="AN35" s="13"/>
      <c r="AO35" s="13"/>
      <c r="AP35" s="13"/>
      <c r="AQ35" s="197"/>
      <c r="AR35" s="34"/>
      <c r="AS35" s="197"/>
      <c r="AT35" s="69"/>
      <c r="AU35" s="98"/>
      <c r="AV35" s="111"/>
      <c r="AW35" s="35"/>
      <c r="AX35" s="98"/>
      <c r="AY35" s="98"/>
      <c r="AZ35" s="211"/>
      <c r="BA35" s="69"/>
      <c r="BB35" s="69"/>
      <c r="BC35" s="69"/>
      <c r="BD35" s="69"/>
      <c r="BE35" s="34"/>
      <c r="BF35" s="69"/>
      <c r="BG35" s="69"/>
      <c r="BH35" s="34"/>
      <c r="BI35" s="34"/>
      <c r="BJ35" s="34"/>
      <c r="BK35" s="13"/>
      <c r="BL35" s="13"/>
      <c r="BM35" s="13"/>
      <c r="BN35" s="13"/>
      <c r="BO35" s="13"/>
      <c r="BP35" s="13"/>
      <c r="BQ35" s="13"/>
      <c r="BR35" s="13"/>
      <c r="BS35" s="13"/>
      <c r="BT35" s="197"/>
      <c r="BU35" s="34"/>
      <c r="BV35" s="34"/>
      <c r="BW35" s="34"/>
    </row>
    <row r="36">
      <c r="A36" s="111"/>
      <c r="B36" s="35"/>
      <c r="C36" s="111"/>
      <c r="D36" s="35"/>
      <c r="E36" s="34"/>
      <c r="F36" s="35"/>
      <c r="G36" s="34"/>
      <c r="H36" s="197"/>
      <c r="I36" s="98"/>
      <c r="J36" s="209"/>
      <c r="K36" s="34"/>
      <c r="L36" s="35"/>
      <c r="M36" s="69"/>
      <c r="N36" s="35"/>
      <c r="O36" s="111"/>
      <c r="P36" s="211"/>
      <c r="Q36" s="35"/>
      <c r="R36" s="69"/>
      <c r="S36" s="183"/>
      <c r="T36" s="197"/>
      <c r="U36" s="197"/>
      <c r="V36" s="214"/>
      <c r="W36" s="13"/>
      <c r="X36" s="13"/>
      <c r="Y36" s="35"/>
      <c r="Z36" s="211"/>
      <c r="AA36" s="35"/>
      <c r="AB36" s="211"/>
      <c r="AC36" s="35"/>
      <c r="AD36" s="35"/>
      <c r="AE36" s="34"/>
      <c r="AF36" s="35"/>
      <c r="AG36" s="34"/>
      <c r="AH36" s="35"/>
      <c r="AI36" s="34"/>
      <c r="AJ36" s="34"/>
      <c r="AK36" s="34"/>
      <c r="AL36" s="34"/>
      <c r="AM36" s="34"/>
      <c r="AN36" s="13"/>
      <c r="AO36" s="13"/>
      <c r="AP36" s="13"/>
      <c r="AQ36" s="111"/>
      <c r="AR36" s="34"/>
      <c r="AS36" s="197"/>
      <c r="AT36" s="69"/>
      <c r="AU36" s="98"/>
      <c r="AV36" s="111"/>
      <c r="AW36" s="35"/>
      <c r="AX36" s="98"/>
      <c r="AY36" s="98"/>
      <c r="AZ36" s="211"/>
      <c r="BA36" s="69"/>
      <c r="BB36" s="69"/>
      <c r="BC36" s="69"/>
      <c r="BD36" s="69"/>
      <c r="BE36" s="34"/>
      <c r="BF36" s="69"/>
      <c r="BG36" s="69"/>
      <c r="BH36" s="34"/>
      <c r="BI36" s="34"/>
      <c r="BJ36" s="34"/>
      <c r="BK36" s="13"/>
      <c r="BL36" s="13"/>
      <c r="BM36" s="13"/>
      <c r="BN36" s="13"/>
      <c r="BO36" s="13"/>
      <c r="BP36" s="13"/>
      <c r="BQ36" s="13"/>
      <c r="BR36" s="13"/>
      <c r="BS36" s="13"/>
      <c r="BT36" s="197"/>
      <c r="BU36" s="34"/>
      <c r="BV36" s="34"/>
      <c r="BW36" s="34"/>
    </row>
    <row r="37">
      <c r="A37" s="111"/>
      <c r="B37" s="35"/>
      <c r="C37" s="111"/>
      <c r="D37" s="35"/>
      <c r="E37" s="197"/>
      <c r="F37" s="35"/>
      <c r="G37" s="34"/>
      <c r="H37" s="197"/>
      <c r="I37" s="197"/>
      <c r="J37" s="214"/>
      <c r="K37" s="69"/>
      <c r="L37" s="34"/>
      <c r="M37" s="69"/>
      <c r="N37" s="35"/>
      <c r="O37" s="111"/>
      <c r="P37" s="30"/>
      <c r="Q37" s="35"/>
      <c r="R37" s="69"/>
      <c r="S37" s="35"/>
      <c r="T37" s="197"/>
      <c r="U37" s="197"/>
      <c r="V37" s="197"/>
      <c r="W37" s="34"/>
      <c r="X37" s="35"/>
      <c r="Y37" s="35"/>
      <c r="Z37" s="34"/>
      <c r="AA37" s="35"/>
      <c r="AB37" s="34"/>
      <c r="AC37" s="35"/>
      <c r="AD37" s="35"/>
      <c r="AE37" s="35"/>
      <c r="AF37" s="34"/>
      <c r="AG37" s="34"/>
      <c r="AH37" s="35"/>
      <c r="AI37" s="34"/>
      <c r="AJ37" s="34"/>
      <c r="AK37" s="34"/>
      <c r="AL37" s="34"/>
      <c r="AM37" s="34"/>
      <c r="AN37" s="197"/>
      <c r="AO37" s="197"/>
      <c r="AP37" s="34"/>
      <c r="AQ37" s="111"/>
      <c r="AR37" s="34"/>
      <c r="AS37" s="197"/>
      <c r="AT37" s="34"/>
      <c r="AU37" s="197"/>
      <c r="AV37" s="197"/>
      <c r="AW37" s="35"/>
      <c r="AX37" s="197"/>
      <c r="AY37" s="197"/>
      <c r="AZ37" s="183"/>
      <c r="BA37" s="69"/>
      <c r="BB37" s="69"/>
      <c r="BC37" s="69"/>
      <c r="BD37" s="69"/>
      <c r="BE37" s="34"/>
      <c r="BF37" s="69"/>
      <c r="BG37" s="69"/>
      <c r="BH37" s="34"/>
      <c r="BI37" s="34"/>
      <c r="BJ37" s="34"/>
      <c r="BK37" s="13"/>
      <c r="BL37" s="13"/>
      <c r="BM37" s="13"/>
      <c r="BN37" s="13"/>
      <c r="BO37" s="13"/>
      <c r="BP37" s="13"/>
      <c r="BQ37" s="13"/>
      <c r="BR37" s="13"/>
      <c r="BS37" s="13"/>
      <c r="BT37" s="197"/>
      <c r="BU37" s="34"/>
      <c r="BV37" s="34"/>
      <c r="BW37" s="34"/>
    </row>
    <row r="38">
      <c r="A38" s="111"/>
      <c r="B38" s="35"/>
      <c r="C38" s="111"/>
      <c r="D38" s="35"/>
      <c r="E38" s="34"/>
      <c r="F38" s="35"/>
      <c r="G38" s="34"/>
      <c r="H38" s="197"/>
      <c r="I38" s="98"/>
      <c r="J38" s="207"/>
      <c r="K38" s="34"/>
      <c r="L38" s="34"/>
      <c r="M38" s="69"/>
      <c r="N38" s="35"/>
      <c r="O38" s="111"/>
      <c r="P38" s="211"/>
      <c r="Q38" s="35"/>
      <c r="R38" s="69"/>
      <c r="S38" s="183"/>
      <c r="T38" s="197"/>
      <c r="U38" s="197"/>
      <c r="V38" s="214"/>
      <c r="W38" s="13"/>
      <c r="X38" s="13"/>
      <c r="Y38" s="35"/>
      <c r="Z38" s="211"/>
      <c r="AA38" s="35"/>
      <c r="AB38" s="211"/>
      <c r="AC38" s="35"/>
      <c r="AD38" s="35"/>
      <c r="AE38" s="34"/>
      <c r="AF38" s="35"/>
      <c r="AG38" s="34"/>
      <c r="AH38" s="35"/>
      <c r="AI38" s="34"/>
      <c r="AJ38" s="34"/>
      <c r="AK38" s="34"/>
      <c r="AL38" s="34"/>
      <c r="AM38" s="34"/>
      <c r="AN38" s="13"/>
      <c r="AO38" s="13"/>
      <c r="AP38" s="13"/>
      <c r="AQ38" s="197"/>
      <c r="AR38" s="34"/>
      <c r="AS38" s="197"/>
      <c r="AT38" s="69"/>
      <c r="AU38" s="98"/>
      <c r="AV38" s="111"/>
      <c r="AW38" s="35"/>
      <c r="AX38" s="98"/>
      <c r="AY38" s="98"/>
      <c r="AZ38" s="211"/>
      <c r="BA38" s="69"/>
      <c r="BB38" s="69"/>
      <c r="BC38" s="69"/>
      <c r="BD38" s="69"/>
      <c r="BE38" s="34"/>
      <c r="BF38" s="69"/>
      <c r="BG38" s="69"/>
      <c r="BH38" s="34"/>
      <c r="BI38" s="34"/>
      <c r="BJ38" s="34"/>
      <c r="BK38" s="13"/>
      <c r="BL38" s="13"/>
      <c r="BM38" s="13"/>
      <c r="BN38" s="13"/>
      <c r="BO38" s="13"/>
      <c r="BP38" s="13"/>
      <c r="BQ38" s="13"/>
      <c r="BR38" s="13"/>
      <c r="BS38" s="13"/>
      <c r="BT38" s="197"/>
      <c r="BU38" s="34"/>
      <c r="BV38" s="34"/>
      <c r="BW38" s="34"/>
    </row>
    <row r="39">
      <c r="A39" s="111"/>
      <c r="B39" s="35"/>
      <c r="C39" s="111"/>
      <c r="D39" s="35"/>
      <c r="E39" s="34"/>
      <c r="F39" s="35"/>
      <c r="G39" s="34"/>
      <c r="H39" s="197"/>
      <c r="I39" s="98"/>
      <c r="J39" s="207"/>
      <c r="K39" s="34"/>
      <c r="L39" s="34"/>
      <c r="M39" s="69"/>
      <c r="N39" s="35"/>
      <c r="O39" s="111"/>
      <c r="P39" s="211"/>
      <c r="Q39" s="35"/>
      <c r="R39" s="69"/>
      <c r="S39" s="183"/>
      <c r="T39" s="197"/>
      <c r="U39" s="197"/>
      <c r="V39" s="214"/>
      <c r="W39" s="13"/>
      <c r="X39" s="13"/>
      <c r="Y39" s="35"/>
      <c r="Z39" s="211"/>
      <c r="AA39" s="35"/>
      <c r="AB39" s="211"/>
      <c r="AC39" s="35"/>
      <c r="AD39" s="35"/>
      <c r="AE39" s="34"/>
      <c r="AF39" s="35"/>
      <c r="AG39" s="34"/>
      <c r="AH39" s="35"/>
      <c r="AI39" s="34"/>
      <c r="AJ39" s="34"/>
      <c r="AK39" s="34"/>
      <c r="AL39" s="34"/>
      <c r="AM39" s="34"/>
      <c r="AN39" s="13"/>
      <c r="AO39" s="13"/>
      <c r="AP39" s="13"/>
      <c r="AQ39" s="197"/>
      <c r="AR39" s="34"/>
      <c r="AS39" s="197"/>
      <c r="AT39" s="69"/>
      <c r="AU39" s="98"/>
      <c r="AV39" s="111"/>
      <c r="AW39" s="35"/>
      <c r="AX39" s="98"/>
      <c r="AY39" s="98"/>
      <c r="AZ39" s="211"/>
      <c r="BA39" s="69"/>
      <c r="BB39" s="69"/>
      <c r="BC39" s="69"/>
      <c r="BD39" s="69"/>
      <c r="BE39" s="34"/>
      <c r="BF39" s="69"/>
      <c r="BG39" s="69"/>
      <c r="BH39" s="34"/>
      <c r="BI39" s="34"/>
      <c r="BJ39" s="34"/>
      <c r="BK39" s="13"/>
      <c r="BL39" s="13"/>
      <c r="BM39" s="13"/>
      <c r="BN39" s="13"/>
      <c r="BO39" s="13"/>
      <c r="BP39" s="13"/>
      <c r="BQ39" s="13"/>
      <c r="BR39" s="13"/>
      <c r="BS39" s="13"/>
      <c r="BT39" s="197"/>
      <c r="BU39" s="34"/>
      <c r="BV39" s="34"/>
      <c r="BW39" s="34"/>
    </row>
    <row r="40">
      <c r="A40" s="111"/>
      <c r="B40" s="35"/>
      <c r="C40" s="111"/>
      <c r="D40" s="35"/>
      <c r="E40" s="34"/>
      <c r="F40" s="35"/>
      <c r="G40" s="34"/>
      <c r="H40" s="197"/>
      <c r="I40" s="98"/>
      <c r="J40" s="207"/>
      <c r="K40" s="34"/>
      <c r="L40" s="34"/>
      <c r="M40" s="69"/>
      <c r="N40" s="35"/>
      <c r="O40" s="111"/>
      <c r="P40" s="211"/>
      <c r="Q40" s="35"/>
      <c r="R40" s="69"/>
      <c r="S40" s="183"/>
      <c r="T40" s="197"/>
      <c r="U40" s="197"/>
      <c r="V40" s="214"/>
      <c r="W40" s="13"/>
      <c r="X40" s="13"/>
      <c r="Y40" s="35"/>
      <c r="Z40" s="211"/>
      <c r="AA40" s="35"/>
      <c r="AB40" s="211"/>
      <c r="AC40" s="35"/>
      <c r="AD40" s="35"/>
      <c r="AE40" s="34"/>
      <c r="AF40" s="35"/>
      <c r="AG40" s="34"/>
      <c r="AH40" s="35"/>
      <c r="AI40" s="34"/>
      <c r="AJ40" s="34"/>
      <c r="AK40" s="34"/>
      <c r="AL40" s="34"/>
      <c r="AM40" s="34"/>
      <c r="AN40" s="13"/>
      <c r="AO40" s="13"/>
      <c r="AP40" s="13"/>
      <c r="AQ40" s="197"/>
      <c r="AR40" s="34"/>
      <c r="AS40" s="197"/>
      <c r="AT40" s="69"/>
      <c r="AU40" s="98"/>
      <c r="AV40" s="111"/>
      <c r="AW40" s="35"/>
      <c r="AX40" s="98"/>
      <c r="AY40" s="98"/>
      <c r="AZ40" s="211"/>
      <c r="BA40" s="69"/>
      <c r="BB40" s="69"/>
      <c r="BC40" s="69"/>
      <c r="BD40" s="69"/>
      <c r="BE40" s="34"/>
      <c r="BF40" s="69"/>
      <c r="BG40" s="69"/>
      <c r="BH40" s="34"/>
      <c r="BI40" s="34"/>
      <c r="BJ40" s="34"/>
      <c r="BK40" s="13"/>
      <c r="BL40" s="13"/>
      <c r="BM40" s="13"/>
      <c r="BN40" s="13"/>
      <c r="BO40" s="13"/>
      <c r="BP40" s="13"/>
      <c r="BQ40" s="13"/>
      <c r="BR40" s="13"/>
      <c r="BS40" s="13"/>
      <c r="BT40" s="197"/>
      <c r="BU40" s="34"/>
      <c r="BV40" s="34"/>
      <c r="BW40" s="34"/>
    </row>
    <row r="41">
      <c r="A41" s="111"/>
      <c r="B41" s="35"/>
      <c r="C41" s="111"/>
      <c r="D41" s="35"/>
      <c r="E41" s="34"/>
      <c r="F41" s="35"/>
      <c r="G41" s="34"/>
      <c r="H41" s="197"/>
      <c r="I41" s="98"/>
      <c r="J41" s="207"/>
      <c r="K41" s="34"/>
      <c r="L41" s="34"/>
      <c r="M41" s="69"/>
      <c r="N41" s="35"/>
      <c r="O41" s="111"/>
      <c r="P41" s="211"/>
      <c r="Q41" s="35"/>
      <c r="R41" s="69"/>
      <c r="S41" s="183"/>
      <c r="T41" s="197"/>
      <c r="U41" s="197"/>
      <c r="V41" s="214"/>
      <c r="W41" s="13"/>
      <c r="X41" s="13"/>
      <c r="Y41" s="35"/>
      <c r="Z41" s="211"/>
      <c r="AA41" s="35"/>
      <c r="AB41" s="211"/>
      <c r="AC41" s="35"/>
      <c r="AD41" s="35"/>
      <c r="AE41" s="34"/>
      <c r="AF41" s="35"/>
      <c r="AG41" s="34"/>
      <c r="AH41" s="35"/>
      <c r="AI41" s="34"/>
      <c r="AJ41" s="34"/>
      <c r="AK41" s="34"/>
      <c r="AL41" s="34"/>
      <c r="AM41" s="34"/>
      <c r="AN41" s="13"/>
      <c r="AO41" s="13"/>
      <c r="AP41" s="13"/>
      <c r="AQ41" s="197"/>
      <c r="AR41" s="34"/>
      <c r="AS41" s="197"/>
      <c r="AT41" s="69"/>
      <c r="AU41" s="98"/>
      <c r="AV41" s="111"/>
      <c r="AW41" s="35"/>
      <c r="AX41" s="98"/>
      <c r="AY41" s="98"/>
      <c r="AZ41" s="211"/>
      <c r="BA41" s="69"/>
      <c r="BB41" s="69"/>
      <c r="BC41" s="69"/>
      <c r="BD41" s="69"/>
      <c r="BE41" s="34"/>
      <c r="BF41" s="69"/>
      <c r="BG41" s="69"/>
      <c r="BH41" s="34"/>
      <c r="BI41" s="34"/>
      <c r="BJ41" s="34"/>
      <c r="BK41" s="13"/>
      <c r="BL41" s="13"/>
      <c r="BM41" s="13"/>
      <c r="BN41" s="13"/>
      <c r="BO41" s="13"/>
      <c r="BP41" s="13"/>
      <c r="BQ41" s="13"/>
      <c r="BR41" s="13"/>
      <c r="BS41" s="13"/>
      <c r="BT41" s="197"/>
      <c r="BU41" s="34"/>
      <c r="BV41" s="34"/>
      <c r="BW41" s="34"/>
    </row>
    <row r="42">
      <c r="A42" s="111"/>
      <c r="B42" s="35"/>
      <c r="C42" s="111"/>
      <c r="D42" s="35"/>
      <c r="E42" s="34"/>
      <c r="F42" s="35"/>
      <c r="G42" s="34"/>
      <c r="H42" s="197"/>
      <c r="I42" s="98"/>
      <c r="J42" s="207"/>
      <c r="K42" s="34"/>
      <c r="L42" s="34"/>
      <c r="M42" s="69"/>
      <c r="N42" s="35"/>
      <c r="O42" s="111"/>
      <c r="P42" s="211"/>
      <c r="Q42" s="35"/>
      <c r="R42" s="69"/>
      <c r="S42" s="183"/>
      <c r="T42" s="197"/>
      <c r="U42" s="197"/>
      <c r="V42" s="214"/>
      <c r="W42" s="13"/>
      <c r="X42" s="13"/>
      <c r="Y42" s="35"/>
      <c r="Z42" s="211"/>
      <c r="AA42" s="35"/>
      <c r="AB42" s="211"/>
      <c r="AC42" s="35"/>
      <c r="AD42" s="35"/>
      <c r="AE42" s="34"/>
      <c r="AF42" s="35"/>
      <c r="AG42" s="34"/>
      <c r="AH42" s="35"/>
      <c r="AI42" s="34"/>
      <c r="AJ42" s="34"/>
      <c r="AK42" s="34"/>
      <c r="AL42" s="34"/>
      <c r="AM42" s="34"/>
      <c r="AN42" s="13"/>
      <c r="AO42" s="13"/>
      <c r="AP42" s="13"/>
      <c r="AQ42" s="197"/>
      <c r="AR42" s="34"/>
      <c r="AS42" s="197"/>
      <c r="AT42" s="69"/>
      <c r="AU42" s="98"/>
      <c r="AV42" s="111"/>
      <c r="AW42" s="35"/>
      <c r="AX42" s="98"/>
      <c r="AY42" s="98"/>
      <c r="AZ42" s="211"/>
      <c r="BA42" s="69"/>
      <c r="BB42" s="69"/>
      <c r="BC42" s="69"/>
      <c r="BD42" s="69"/>
      <c r="BE42" s="34"/>
      <c r="BF42" s="69"/>
      <c r="BG42" s="69"/>
      <c r="BH42" s="34"/>
      <c r="BI42" s="34"/>
      <c r="BJ42" s="34"/>
      <c r="BK42" s="13"/>
      <c r="BL42" s="13"/>
      <c r="BM42" s="13"/>
      <c r="BN42" s="13"/>
      <c r="BO42" s="13"/>
      <c r="BP42" s="13"/>
      <c r="BQ42" s="13"/>
      <c r="BR42" s="13"/>
      <c r="BS42" s="13"/>
      <c r="BT42" s="197"/>
      <c r="BU42" s="34"/>
      <c r="BV42" s="34"/>
      <c r="BW42" s="34"/>
    </row>
    <row r="43">
      <c r="A43" s="111"/>
      <c r="B43" s="35"/>
      <c r="C43" s="111"/>
      <c r="D43" s="35"/>
      <c r="E43" s="34"/>
      <c r="F43" s="35"/>
      <c r="G43" s="34"/>
      <c r="H43" s="197"/>
      <c r="I43" s="98"/>
      <c r="J43" s="207"/>
      <c r="K43" s="34"/>
      <c r="L43" s="34"/>
      <c r="M43" s="69"/>
      <c r="N43" s="35"/>
      <c r="O43" s="111"/>
      <c r="P43" s="211"/>
      <c r="Q43" s="35"/>
      <c r="R43" s="69"/>
      <c r="S43" s="183"/>
      <c r="T43" s="197"/>
      <c r="U43" s="197"/>
      <c r="V43" s="214"/>
      <c r="W43" s="13"/>
      <c r="X43" s="13"/>
      <c r="Y43" s="35"/>
      <c r="Z43" s="211"/>
      <c r="AA43" s="35"/>
      <c r="AB43" s="211"/>
      <c r="AC43" s="35"/>
      <c r="AD43" s="35"/>
      <c r="AE43" s="34"/>
      <c r="AF43" s="35"/>
      <c r="AG43" s="34"/>
      <c r="AH43" s="35"/>
      <c r="AI43" s="34"/>
      <c r="AJ43" s="34"/>
      <c r="AK43" s="34"/>
      <c r="AL43" s="34"/>
      <c r="AM43" s="34"/>
      <c r="AN43" s="13"/>
      <c r="AO43" s="13"/>
      <c r="AP43" s="13"/>
      <c r="AQ43" s="197"/>
      <c r="AR43" s="34"/>
      <c r="AS43" s="197"/>
      <c r="AT43" s="69"/>
      <c r="AU43" s="98"/>
      <c r="AV43" s="111"/>
      <c r="AW43" s="35"/>
      <c r="AX43" s="98"/>
      <c r="AY43" s="98"/>
      <c r="AZ43" s="211"/>
      <c r="BA43" s="69"/>
      <c r="BB43" s="69"/>
      <c r="BC43" s="69"/>
      <c r="BD43" s="69"/>
      <c r="BE43" s="34"/>
      <c r="BF43" s="69"/>
      <c r="BG43" s="69"/>
      <c r="BH43" s="34"/>
      <c r="BI43" s="34"/>
      <c r="BJ43" s="34"/>
      <c r="BK43" s="13"/>
      <c r="BL43" s="13"/>
      <c r="BM43" s="13"/>
      <c r="BN43" s="13"/>
      <c r="BO43" s="13"/>
      <c r="BP43" s="13"/>
      <c r="BQ43" s="13"/>
      <c r="BR43" s="13"/>
      <c r="BS43" s="13"/>
      <c r="BT43" s="197"/>
      <c r="BU43" s="34"/>
      <c r="BV43" s="34"/>
      <c r="BW43" s="34"/>
    </row>
    <row r="44">
      <c r="A44" s="111"/>
      <c r="B44" s="35"/>
      <c r="C44" s="111"/>
      <c r="D44" s="35"/>
      <c r="E44" s="34"/>
      <c r="F44" s="35"/>
      <c r="G44" s="34"/>
      <c r="H44" s="197"/>
      <c r="I44" s="98"/>
      <c r="J44" s="207"/>
      <c r="K44" s="34"/>
      <c r="L44" s="34"/>
      <c r="M44" s="69"/>
      <c r="N44" s="35"/>
      <c r="O44" s="111"/>
      <c r="P44" s="211"/>
      <c r="Q44" s="35"/>
      <c r="R44" s="69"/>
      <c r="S44" s="183"/>
      <c r="T44" s="197"/>
      <c r="U44" s="197"/>
      <c r="V44" s="214"/>
      <c r="W44" s="13"/>
      <c r="X44" s="13"/>
      <c r="Y44" s="35"/>
      <c r="Z44" s="211"/>
      <c r="AA44" s="35"/>
      <c r="AB44" s="211"/>
      <c r="AC44" s="35"/>
      <c r="AD44" s="35"/>
      <c r="AE44" s="34"/>
      <c r="AF44" s="35"/>
      <c r="AG44" s="34"/>
      <c r="AH44" s="35"/>
      <c r="AI44" s="34"/>
      <c r="AJ44" s="34"/>
      <c r="AK44" s="34"/>
      <c r="AL44" s="34"/>
      <c r="AM44" s="34"/>
      <c r="AN44" s="13"/>
      <c r="AO44" s="13"/>
      <c r="AP44" s="13"/>
      <c r="AQ44" s="197"/>
      <c r="AR44" s="34"/>
      <c r="AS44" s="197"/>
      <c r="AT44" s="69"/>
      <c r="AU44" s="98"/>
      <c r="AV44" s="111"/>
      <c r="AW44" s="35"/>
      <c r="AX44" s="98"/>
      <c r="AY44" s="98"/>
      <c r="AZ44" s="211"/>
      <c r="BA44" s="69"/>
      <c r="BB44" s="69"/>
      <c r="BC44" s="69"/>
      <c r="BD44" s="69"/>
      <c r="BE44" s="34"/>
      <c r="BF44" s="69"/>
      <c r="BG44" s="69"/>
      <c r="BH44" s="34"/>
      <c r="BI44" s="34"/>
      <c r="BJ44" s="34"/>
      <c r="BK44" s="13"/>
      <c r="BL44" s="13"/>
      <c r="BM44" s="13"/>
      <c r="BN44" s="13"/>
      <c r="BO44" s="13"/>
      <c r="BP44" s="13"/>
      <c r="BQ44" s="13"/>
      <c r="BR44" s="13"/>
      <c r="BS44" s="13"/>
      <c r="BT44" s="197"/>
      <c r="BU44" s="34"/>
      <c r="BV44" s="34"/>
      <c r="BW44" s="34"/>
    </row>
    <row r="45">
      <c r="A45" s="111"/>
      <c r="B45" s="35"/>
      <c r="C45" s="111"/>
      <c r="D45" s="35"/>
      <c r="E45" s="34"/>
      <c r="F45" s="35"/>
      <c r="G45" s="34"/>
      <c r="H45" s="197"/>
      <c r="I45" s="98"/>
      <c r="J45" s="207"/>
      <c r="K45" s="34"/>
      <c r="L45" s="34"/>
      <c r="M45" s="69"/>
      <c r="N45" s="35"/>
      <c r="O45" s="111"/>
      <c r="P45" s="211"/>
      <c r="Q45" s="35"/>
      <c r="R45" s="69"/>
      <c r="S45" s="183"/>
      <c r="T45" s="197"/>
      <c r="U45" s="197"/>
      <c r="V45" s="214"/>
      <c r="W45" s="13"/>
      <c r="X45" s="13"/>
      <c r="Y45" s="35"/>
      <c r="Z45" s="211"/>
      <c r="AA45" s="35"/>
      <c r="AB45" s="211"/>
      <c r="AC45" s="35"/>
      <c r="AD45" s="35"/>
      <c r="AE45" s="34"/>
      <c r="AF45" s="35"/>
      <c r="AG45" s="34"/>
      <c r="AH45" s="35"/>
      <c r="AI45" s="34"/>
      <c r="AJ45" s="34"/>
      <c r="AK45" s="34"/>
      <c r="AL45" s="34"/>
      <c r="AM45" s="34"/>
      <c r="AN45" s="13"/>
      <c r="AO45" s="13"/>
      <c r="AP45" s="13"/>
      <c r="AQ45" s="197"/>
      <c r="AR45" s="34"/>
      <c r="AS45" s="197"/>
      <c r="AT45" s="69"/>
      <c r="AU45" s="98"/>
      <c r="AV45" s="111"/>
      <c r="AW45" s="35"/>
      <c r="AX45" s="98"/>
      <c r="AY45" s="98"/>
      <c r="AZ45" s="211"/>
      <c r="BA45" s="69"/>
      <c r="BB45" s="69"/>
      <c r="BC45" s="69"/>
      <c r="BD45" s="69"/>
      <c r="BE45" s="34"/>
      <c r="BF45" s="69"/>
      <c r="BG45" s="69"/>
      <c r="BH45" s="34"/>
      <c r="BI45" s="34"/>
      <c r="BJ45" s="34"/>
      <c r="BK45" s="13"/>
      <c r="BL45" s="13"/>
      <c r="BM45" s="13"/>
      <c r="BN45" s="13"/>
      <c r="BO45" s="13"/>
      <c r="BP45" s="13"/>
      <c r="BQ45" s="13"/>
      <c r="BR45" s="13"/>
      <c r="BS45" s="13"/>
      <c r="BT45" s="197"/>
      <c r="BU45" s="34"/>
      <c r="BV45" s="34"/>
      <c r="BW45" s="34"/>
    </row>
    <row r="46">
      <c r="A46" s="197"/>
      <c r="B46" s="34"/>
      <c r="C46" s="111"/>
      <c r="D46" s="34"/>
      <c r="E46" s="197"/>
      <c r="F46" s="34"/>
      <c r="G46" s="34"/>
      <c r="H46" s="197"/>
      <c r="I46" s="197"/>
      <c r="J46" s="214"/>
      <c r="K46" s="69"/>
      <c r="L46" s="34"/>
      <c r="M46" s="69"/>
      <c r="N46" s="35"/>
      <c r="O46" s="197"/>
      <c r="P46" s="26"/>
      <c r="Q46" s="69"/>
      <c r="R46" s="69"/>
      <c r="S46" s="69"/>
      <c r="T46" s="197"/>
      <c r="U46" s="197"/>
      <c r="V46" s="197"/>
      <c r="W46" s="34"/>
      <c r="X46" s="34"/>
      <c r="Y46" s="34"/>
      <c r="Z46" s="34"/>
      <c r="AA46" s="34"/>
      <c r="AB46" s="34"/>
      <c r="AC46" s="34"/>
      <c r="AD46" s="34"/>
      <c r="AE46" s="34"/>
      <c r="AF46" s="34"/>
      <c r="AG46" s="34"/>
      <c r="AH46" s="34"/>
      <c r="AI46" s="34"/>
      <c r="AJ46" s="34"/>
      <c r="AK46" s="34"/>
      <c r="AL46" s="34"/>
      <c r="AM46" s="34"/>
      <c r="AN46" s="197"/>
      <c r="AO46" s="197"/>
      <c r="AP46" s="34"/>
      <c r="AQ46" s="197"/>
      <c r="AR46" s="34"/>
      <c r="AS46" s="197"/>
      <c r="AT46" s="34"/>
      <c r="AU46" s="197"/>
      <c r="AV46" s="197"/>
      <c r="AW46" s="69"/>
      <c r="AX46" s="197"/>
      <c r="AY46" s="197"/>
      <c r="AZ46" s="183"/>
      <c r="BA46" s="69"/>
      <c r="BB46" s="69"/>
      <c r="BC46" s="69"/>
      <c r="BD46" s="69"/>
      <c r="BE46" s="34"/>
      <c r="BF46" s="69"/>
      <c r="BG46" s="69"/>
      <c r="BH46" s="34"/>
      <c r="BI46" s="34"/>
      <c r="BJ46" s="34"/>
      <c r="BK46" s="13"/>
      <c r="BL46" s="13"/>
      <c r="BM46" s="13"/>
      <c r="BN46" s="13"/>
      <c r="BO46" s="13"/>
      <c r="BP46" s="13"/>
      <c r="BQ46" s="13"/>
      <c r="BR46" s="13"/>
      <c r="BS46" s="13"/>
      <c r="BT46" s="197"/>
      <c r="BU46" s="34"/>
      <c r="BV46" s="34"/>
      <c r="BW46" s="34"/>
    </row>
    <row r="47">
      <c r="A47" s="111"/>
      <c r="B47" s="35"/>
      <c r="C47" s="111"/>
      <c r="D47" s="35"/>
      <c r="E47" s="197"/>
      <c r="F47" s="35"/>
      <c r="G47" s="34"/>
      <c r="H47" s="197"/>
      <c r="I47" s="197"/>
      <c r="J47" s="214"/>
      <c r="K47" s="69"/>
      <c r="L47" s="34"/>
      <c r="M47" s="69"/>
      <c r="N47" s="35"/>
      <c r="O47" s="111"/>
      <c r="P47" s="30"/>
      <c r="Q47" s="69"/>
      <c r="R47" s="69"/>
      <c r="S47" s="69"/>
      <c r="T47" s="197"/>
      <c r="U47" s="197"/>
      <c r="V47" s="197"/>
      <c r="W47" s="34"/>
      <c r="X47" s="35"/>
      <c r="Y47" s="35"/>
      <c r="Z47" s="34"/>
      <c r="AA47" s="35"/>
      <c r="AB47" s="34"/>
      <c r="AC47" s="35"/>
      <c r="AD47" s="35"/>
      <c r="AE47" s="34"/>
      <c r="AF47" s="34"/>
      <c r="AG47" s="34"/>
      <c r="AH47" s="35"/>
      <c r="AI47" s="34"/>
      <c r="AJ47" s="34"/>
      <c r="AK47" s="34"/>
      <c r="AL47" s="34"/>
      <c r="AM47" s="34"/>
      <c r="AN47" s="197"/>
      <c r="AO47" s="197"/>
      <c r="AP47" s="34"/>
      <c r="AQ47" s="111"/>
      <c r="AR47" s="34"/>
      <c r="AS47" s="197"/>
      <c r="AT47" s="34"/>
      <c r="AU47" s="197"/>
      <c r="AV47" s="197"/>
      <c r="AW47" s="35"/>
      <c r="AX47" s="197"/>
      <c r="AY47" s="197"/>
      <c r="AZ47" s="183"/>
      <c r="BA47" s="69"/>
      <c r="BB47" s="69"/>
      <c r="BC47" s="69"/>
      <c r="BD47" s="69"/>
      <c r="BE47" s="34"/>
      <c r="BF47" s="69"/>
      <c r="BG47" s="69"/>
      <c r="BH47" s="34"/>
      <c r="BI47" s="34"/>
      <c r="BJ47" s="34"/>
      <c r="BK47" s="13"/>
      <c r="BL47" s="13"/>
      <c r="BM47" s="13"/>
      <c r="BN47" s="13"/>
      <c r="BO47" s="13"/>
      <c r="BP47" s="13"/>
      <c r="BQ47" s="13"/>
      <c r="BR47" s="13"/>
      <c r="BS47" s="13"/>
      <c r="BT47" s="197"/>
      <c r="BU47" s="34"/>
      <c r="BV47" s="34"/>
      <c r="BW47" s="34"/>
    </row>
    <row r="48">
      <c r="A48" s="111"/>
      <c r="B48" s="35"/>
      <c r="C48" s="111"/>
      <c r="D48" s="35"/>
      <c r="E48" s="34"/>
      <c r="F48" s="35"/>
      <c r="G48" s="34"/>
      <c r="H48" s="197"/>
      <c r="I48" s="98"/>
      <c r="J48" s="207"/>
      <c r="K48" s="34"/>
      <c r="L48" s="34"/>
      <c r="M48" s="69"/>
      <c r="N48" s="35"/>
      <c r="O48" s="111"/>
      <c r="P48" s="211"/>
      <c r="Q48" s="35"/>
      <c r="R48" s="69"/>
      <c r="S48" s="183"/>
      <c r="T48" s="197"/>
      <c r="U48" s="197"/>
      <c r="V48" s="214"/>
      <c r="W48" s="13"/>
      <c r="X48" s="13"/>
      <c r="Y48" s="35"/>
      <c r="Z48" s="211"/>
      <c r="AA48" s="35"/>
      <c r="AB48" s="211"/>
      <c r="AC48" s="35"/>
      <c r="AD48" s="35"/>
      <c r="AE48" s="34"/>
      <c r="AF48" s="35"/>
      <c r="AG48" s="34"/>
      <c r="AH48" s="35"/>
      <c r="AI48" s="34"/>
      <c r="AJ48" s="34"/>
      <c r="AK48" s="34"/>
      <c r="AL48" s="34"/>
      <c r="AM48" s="34"/>
      <c r="AN48" s="13"/>
      <c r="AO48" s="13"/>
      <c r="AP48" s="13"/>
      <c r="AQ48" s="197"/>
      <c r="AR48" s="34"/>
      <c r="AS48" s="197"/>
      <c r="AT48" s="69"/>
      <c r="AU48" s="98"/>
      <c r="AV48" s="111"/>
      <c r="AW48" s="35"/>
      <c r="AX48" s="98"/>
      <c r="AY48" s="98"/>
      <c r="AZ48" s="211"/>
      <c r="BA48" s="69"/>
      <c r="BB48" s="69"/>
      <c r="BC48" s="69"/>
      <c r="BD48" s="69"/>
      <c r="BE48" s="34"/>
      <c r="BF48" s="69"/>
      <c r="BG48" s="69"/>
      <c r="BH48" s="34"/>
      <c r="BI48" s="34"/>
      <c r="BJ48" s="34"/>
      <c r="BK48" s="13"/>
      <c r="BL48" s="13"/>
      <c r="BM48" s="13"/>
      <c r="BN48" s="13"/>
      <c r="BO48" s="13"/>
      <c r="BP48" s="13"/>
      <c r="BQ48" s="13"/>
      <c r="BR48" s="13"/>
      <c r="BS48" s="13"/>
      <c r="BT48" s="197"/>
      <c r="BU48" s="34"/>
      <c r="BV48" s="34"/>
      <c r="BW48" s="34"/>
    </row>
    <row r="49">
      <c r="A49" s="111"/>
      <c r="B49" s="35"/>
      <c r="C49" s="111"/>
      <c r="D49" s="35"/>
      <c r="E49" s="34"/>
      <c r="F49" s="35"/>
      <c r="G49" s="34"/>
      <c r="H49" s="197"/>
      <c r="I49" s="98"/>
      <c r="J49" s="207"/>
      <c r="K49" s="34"/>
      <c r="L49" s="34"/>
      <c r="M49" s="69"/>
      <c r="N49" s="35"/>
      <c r="O49" s="111"/>
      <c r="P49" s="211"/>
      <c r="Q49" s="35"/>
      <c r="R49" s="69"/>
      <c r="S49" s="183"/>
      <c r="T49" s="197"/>
      <c r="U49" s="197"/>
      <c r="V49" s="214"/>
      <c r="W49" s="13"/>
      <c r="X49" s="13"/>
      <c r="Y49" s="35"/>
      <c r="Z49" s="211"/>
      <c r="AA49" s="35"/>
      <c r="AB49" s="211"/>
      <c r="AC49" s="35"/>
      <c r="AD49" s="35"/>
      <c r="AE49" s="34"/>
      <c r="AF49" s="35"/>
      <c r="AG49" s="34"/>
      <c r="AH49" s="35"/>
      <c r="AI49" s="34"/>
      <c r="AJ49" s="34"/>
      <c r="AK49" s="34"/>
      <c r="AL49" s="34"/>
      <c r="AM49" s="34"/>
      <c r="AN49" s="13"/>
      <c r="AO49" s="13"/>
      <c r="AP49" s="13"/>
      <c r="AQ49" s="197"/>
      <c r="AR49" s="34"/>
      <c r="AS49" s="197"/>
      <c r="AT49" s="69"/>
      <c r="AU49" s="98"/>
      <c r="AV49" s="111"/>
      <c r="AW49" s="35"/>
      <c r="AX49" s="98"/>
      <c r="AY49" s="98"/>
      <c r="AZ49" s="211"/>
      <c r="BA49" s="69"/>
      <c r="BB49" s="69"/>
      <c r="BC49" s="69"/>
      <c r="BD49" s="69"/>
      <c r="BE49" s="34"/>
      <c r="BF49" s="69"/>
      <c r="BG49" s="69"/>
      <c r="BH49" s="34"/>
      <c r="BI49" s="34"/>
      <c r="BJ49" s="34"/>
      <c r="BK49" s="13"/>
      <c r="BL49" s="13"/>
      <c r="BM49" s="13"/>
      <c r="BN49" s="13"/>
      <c r="BO49" s="13"/>
      <c r="BP49" s="13"/>
      <c r="BQ49" s="13"/>
      <c r="BR49" s="13"/>
      <c r="BS49" s="13"/>
      <c r="BT49" s="197"/>
      <c r="BU49" s="34"/>
      <c r="BV49" s="34"/>
      <c r="BW49" s="34"/>
    </row>
    <row r="50">
      <c r="A50" s="111"/>
      <c r="B50" s="35"/>
      <c r="C50" s="111"/>
      <c r="D50" s="35"/>
      <c r="E50" s="34"/>
      <c r="F50" s="35"/>
      <c r="G50" s="34"/>
      <c r="H50" s="197"/>
      <c r="I50" s="98"/>
      <c r="J50" s="207"/>
      <c r="K50" s="34"/>
      <c r="L50" s="34"/>
      <c r="M50" s="69"/>
      <c r="N50" s="35"/>
      <c r="O50" s="111"/>
      <c r="P50" s="211"/>
      <c r="Q50" s="35"/>
      <c r="R50" s="69"/>
      <c r="S50" s="183"/>
      <c r="T50" s="197"/>
      <c r="U50" s="197"/>
      <c r="V50" s="214"/>
      <c r="W50" s="13"/>
      <c r="X50" s="13"/>
      <c r="Y50" s="35"/>
      <c r="Z50" s="211"/>
      <c r="AA50" s="35"/>
      <c r="AB50" s="211"/>
      <c r="AC50" s="35"/>
      <c r="AD50" s="35"/>
      <c r="AE50" s="34"/>
      <c r="AF50" s="35"/>
      <c r="AG50" s="34"/>
      <c r="AH50" s="35"/>
      <c r="AI50" s="34"/>
      <c r="AJ50" s="34"/>
      <c r="AK50" s="34"/>
      <c r="AL50" s="34"/>
      <c r="AM50" s="34"/>
      <c r="AN50" s="13"/>
      <c r="AO50" s="13"/>
      <c r="AP50" s="13"/>
      <c r="AQ50" s="197"/>
      <c r="AR50" s="34"/>
      <c r="AS50" s="197"/>
      <c r="AT50" s="69"/>
      <c r="AU50" s="98"/>
      <c r="AV50" s="111"/>
      <c r="AW50" s="35"/>
      <c r="AX50" s="98"/>
      <c r="AY50" s="98"/>
      <c r="AZ50" s="211"/>
      <c r="BA50" s="69"/>
      <c r="BB50" s="69"/>
      <c r="BC50" s="69"/>
      <c r="BD50" s="69"/>
      <c r="BE50" s="34"/>
      <c r="BF50" s="69"/>
      <c r="BG50" s="69"/>
      <c r="BH50" s="34"/>
      <c r="BI50" s="34"/>
      <c r="BJ50" s="34"/>
      <c r="BK50" s="13"/>
      <c r="BL50" s="13"/>
      <c r="BM50" s="13"/>
      <c r="BN50" s="13"/>
      <c r="BO50" s="13"/>
      <c r="BP50" s="13"/>
      <c r="BQ50" s="13"/>
      <c r="BR50" s="13"/>
      <c r="BS50" s="13"/>
      <c r="BT50" s="197"/>
      <c r="BU50" s="34"/>
      <c r="BV50" s="34"/>
      <c r="BW50" s="34"/>
    </row>
    <row r="51">
      <c r="A51" s="197"/>
      <c r="B51" s="35"/>
      <c r="C51" s="111"/>
      <c r="D51" s="34"/>
      <c r="E51" s="34"/>
      <c r="F51" s="34"/>
      <c r="G51" s="34"/>
      <c r="H51" s="197"/>
      <c r="I51" s="98"/>
      <c r="J51" s="207"/>
      <c r="K51" s="34"/>
      <c r="L51" s="34"/>
      <c r="M51" s="69"/>
      <c r="N51" s="69"/>
      <c r="O51" s="98"/>
      <c r="P51" s="183"/>
      <c r="Q51" s="246"/>
      <c r="R51" s="69"/>
      <c r="S51" s="183"/>
      <c r="T51" s="98"/>
      <c r="U51" s="197"/>
      <c r="V51" s="214"/>
      <c r="W51" s="13"/>
      <c r="X51" s="214"/>
      <c r="Y51" s="35"/>
      <c r="Z51" s="211"/>
      <c r="AA51" s="35"/>
      <c r="AB51" s="211"/>
      <c r="AC51" s="35"/>
      <c r="AD51" s="34"/>
      <c r="AE51" s="34"/>
      <c r="AF51" s="34"/>
      <c r="AG51" s="34"/>
      <c r="AH51" s="34"/>
      <c r="AI51" s="34"/>
      <c r="AJ51" s="34"/>
      <c r="AK51" s="34"/>
      <c r="AL51" s="34"/>
      <c r="AM51" s="34"/>
      <c r="AN51" s="13"/>
      <c r="AO51" s="13"/>
      <c r="AP51" s="13"/>
      <c r="AQ51" s="197"/>
      <c r="AR51" s="34"/>
      <c r="AS51" s="197"/>
      <c r="AT51" s="69"/>
      <c r="AU51" s="98"/>
      <c r="AV51" s="98"/>
      <c r="AW51" s="35"/>
      <c r="AX51" s="98"/>
      <c r="AY51" s="98"/>
      <c r="AZ51" s="69"/>
      <c r="BA51" s="69"/>
      <c r="BB51" s="69"/>
      <c r="BC51" s="69"/>
      <c r="BD51" s="69"/>
      <c r="BE51" s="34"/>
      <c r="BF51" s="69"/>
      <c r="BG51" s="69"/>
      <c r="BH51" s="34"/>
      <c r="BI51" s="34"/>
      <c r="BJ51" s="34"/>
      <c r="BK51" s="13"/>
      <c r="BL51" s="13"/>
      <c r="BM51" s="13"/>
      <c r="BN51" s="13"/>
      <c r="BO51" s="13"/>
      <c r="BP51" s="13"/>
      <c r="BQ51" s="13"/>
      <c r="BR51" s="13"/>
      <c r="BS51" s="13"/>
      <c r="BT51" s="197"/>
      <c r="BU51" s="34"/>
      <c r="BV51" s="34"/>
      <c r="BW51" s="34"/>
    </row>
    <row r="52">
      <c r="A52" s="197"/>
      <c r="B52" s="35"/>
      <c r="C52" s="111"/>
      <c r="D52" s="34"/>
      <c r="E52" s="34"/>
      <c r="F52" s="34"/>
      <c r="G52" s="34"/>
      <c r="H52" s="197"/>
      <c r="I52" s="98"/>
      <c r="J52" s="207"/>
      <c r="K52" s="34"/>
      <c r="L52" s="34"/>
      <c r="M52" s="69"/>
      <c r="N52" s="69"/>
      <c r="O52" s="98"/>
      <c r="P52" s="183"/>
      <c r="Q52" s="35"/>
      <c r="R52" s="69"/>
      <c r="S52" s="183"/>
      <c r="T52" s="197"/>
      <c r="U52" s="197"/>
      <c r="V52" s="214"/>
      <c r="W52" s="13"/>
      <c r="X52" s="214"/>
      <c r="Y52" s="35"/>
      <c r="Z52" s="211"/>
      <c r="AA52" s="35"/>
      <c r="AB52" s="211"/>
      <c r="AC52" s="35"/>
      <c r="AD52" s="69"/>
      <c r="AE52" s="34"/>
      <c r="AF52" s="34"/>
      <c r="AG52" s="34"/>
      <c r="AH52" s="34"/>
      <c r="AI52" s="34"/>
      <c r="AJ52" s="34"/>
      <c r="AK52" s="34"/>
      <c r="AL52" s="34"/>
      <c r="AM52" s="34"/>
      <c r="AN52" s="13"/>
      <c r="AO52" s="13"/>
      <c r="AP52" s="13"/>
      <c r="AQ52" s="197"/>
      <c r="AR52" s="34"/>
      <c r="AS52" s="197"/>
      <c r="AT52" s="69"/>
      <c r="AU52" s="98"/>
      <c r="AV52" s="98"/>
      <c r="AW52" s="35"/>
      <c r="AX52" s="98"/>
      <c r="AY52" s="98"/>
      <c r="AZ52" s="69"/>
      <c r="BA52" s="69"/>
      <c r="BB52" s="69"/>
      <c r="BC52" s="69"/>
      <c r="BD52" s="69"/>
      <c r="BE52" s="34"/>
      <c r="BF52" s="69"/>
      <c r="BG52" s="69"/>
      <c r="BH52" s="34"/>
      <c r="BI52" s="34"/>
      <c r="BJ52" s="34"/>
      <c r="BK52" s="13"/>
      <c r="BL52" s="13"/>
      <c r="BM52" s="13"/>
      <c r="BN52" s="13"/>
      <c r="BO52" s="13"/>
      <c r="BP52" s="13"/>
      <c r="BQ52" s="13"/>
      <c r="BR52" s="13"/>
      <c r="BS52" s="13"/>
      <c r="BT52" s="197"/>
      <c r="BU52" s="34"/>
      <c r="BV52" s="34"/>
      <c r="BW52" s="34"/>
    </row>
    <row r="53">
      <c r="A53" s="111"/>
      <c r="B53" s="35"/>
      <c r="C53" s="111"/>
      <c r="D53" s="34"/>
      <c r="E53" s="34"/>
      <c r="F53" s="34"/>
      <c r="G53" s="34"/>
      <c r="H53" s="197"/>
      <c r="I53" s="98"/>
      <c r="J53" s="207"/>
      <c r="K53" s="34"/>
      <c r="L53" s="34"/>
      <c r="M53" s="69"/>
      <c r="N53" s="35"/>
      <c r="O53" s="111"/>
      <c r="P53" s="30"/>
      <c r="Q53" s="35"/>
      <c r="R53" s="69"/>
      <c r="S53" s="183"/>
      <c r="T53" s="197"/>
      <c r="U53" s="197"/>
      <c r="V53" s="214"/>
      <c r="W53" s="13"/>
      <c r="X53" s="214"/>
      <c r="Y53" s="35"/>
      <c r="Z53" s="211"/>
      <c r="AA53" s="35"/>
      <c r="AB53" s="211"/>
      <c r="AC53" s="35"/>
      <c r="AD53" s="69"/>
      <c r="AE53" s="34"/>
      <c r="AF53" s="34"/>
      <c r="AG53" s="34"/>
      <c r="AH53" s="34"/>
      <c r="AI53" s="34"/>
      <c r="AJ53" s="34"/>
      <c r="AK53" s="34"/>
      <c r="AL53" s="34"/>
      <c r="AM53" s="34"/>
      <c r="AN53" s="13"/>
      <c r="AO53" s="13"/>
      <c r="AP53" s="13"/>
      <c r="AQ53" s="197"/>
      <c r="AR53" s="34"/>
      <c r="AS53" s="197"/>
      <c r="AT53" s="69"/>
      <c r="AU53" s="98"/>
      <c r="AV53" s="98"/>
      <c r="AW53" s="35"/>
      <c r="AX53" s="98"/>
      <c r="AY53" s="98"/>
      <c r="AZ53" s="69"/>
      <c r="BA53" s="69"/>
      <c r="BB53" s="69"/>
      <c r="BC53" s="69"/>
      <c r="BD53" s="69"/>
      <c r="BE53" s="34"/>
      <c r="BF53" s="69"/>
      <c r="BG53" s="69"/>
      <c r="BH53" s="34"/>
      <c r="BI53" s="34"/>
      <c r="BJ53" s="34"/>
      <c r="BK53" s="13"/>
      <c r="BL53" s="13"/>
      <c r="BM53" s="13"/>
      <c r="BN53" s="13"/>
      <c r="BO53" s="13"/>
      <c r="BP53" s="13"/>
      <c r="BQ53" s="13"/>
      <c r="BR53" s="13"/>
      <c r="BS53" s="13"/>
      <c r="BT53" s="197"/>
      <c r="BU53" s="34"/>
      <c r="BV53" s="34"/>
      <c r="BW53" s="34"/>
    </row>
    <row r="54">
      <c r="A54" s="197"/>
      <c r="B54" s="34"/>
      <c r="C54" s="111"/>
      <c r="D54" s="34"/>
      <c r="E54" s="197"/>
      <c r="F54" s="34"/>
      <c r="G54" s="34"/>
      <c r="H54" s="197"/>
      <c r="I54" s="197"/>
      <c r="J54" s="209"/>
      <c r="K54" s="34"/>
      <c r="L54" s="34"/>
      <c r="M54" s="69"/>
      <c r="N54" s="35"/>
      <c r="O54" s="197"/>
      <c r="P54" s="26"/>
      <c r="Q54" s="69"/>
      <c r="R54" s="69"/>
      <c r="S54" s="69"/>
      <c r="T54" s="197"/>
      <c r="U54" s="197"/>
      <c r="V54" s="197"/>
      <c r="W54" s="34"/>
      <c r="X54" s="35"/>
      <c r="Y54" s="35"/>
      <c r="Z54" s="211"/>
      <c r="AA54" s="34"/>
      <c r="AB54" s="211"/>
      <c r="AC54" s="34"/>
      <c r="AD54" s="35"/>
      <c r="AE54" s="34"/>
      <c r="AF54" s="34"/>
      <c r="AG54" s="34"/>
      <c r="AH54" s="34"/>
      <c r="AI54" s="34"/>
      <c r="AJ54" s="34"/>
      <c r="AK54" s="34"/>
      <c r="AL54" s="34"/>
      <c r="AM54" s="34"/>
      <c r="AN54" s="197"/>
      <c r="AO54" s="197"/>
      <c r="AP54" s="34"/>
      <c r="AQ54" s="197"/>
      <c r="AR54" s="34"/>
      <c r="AS54" s="197"/>
      <c r="AT54" s="34"/>
      <c r="AU54" s="197"/>
      <c r="AV54" s="197"/>
      <c r="AW54" s="35"/>
      <c r="AX54" s="98"/>
      <c r="AY54" s="98"/>
      <c r="AZ54" s="26"/>
      <c r="BA54" s="69"/>
      <c r="BB54" s="69"/>
      <c r="BC54" s="69"/>
      <c r="BD54" s="69"/>
      <c r="BE54" s="34"/>
      <c r="BF54" s="69"/>
      <c r="BG54" s="69"/>
      <c r="BH54" s="34"/>
      <c r="BI54" s="34"/>
      <c r="BJ54" s="34"/>
      <c r="BK54" s="13"/>
      <c r="BL54" s="13"/>
      <c r="BM54" s="13"/>
      <c r="BN54" s="13"/>
      <c r="BO54" s="13"/>
      <c r="BP54" s="13"/>
      <c r="BQ54" s="13"/>
      <c r="BR54" s="13"/>
      <c r="BS54" s="13"/>
      <c r="BT54" s="197"/>
      <c r="BU54" s="34"/>
      <c r="BV54" s="34"/>
      <c r="BW54" s="34"/>
    </row>
    <row r="55">
      <c r="A55" s="197"/>
      <c r="B55" s="34"/>
      <c r="C55" s="111"/>
      <c r="D55" s="34"/>
      <c r="E55" s="197"/>
      <c r="F55" s="34"/>
      <c r="G55" s="34"/>
      <c r="H55" s="197"/>
      <c r="I55" s="197"/>
      <c r="J55" s="209"/>
      <c r="K55" s="34"/>
      <c r="L55" s="34"/>
      <c r="M55" s="69"/>
      <c r="N55" s="35"/>
      <c r="O55" s="111"/>
      <c r="P55" s="30"/>
      <c r="Q55" s="69"/>
      <c r="R55" s="69"/>
      <c r="S55" s="69"/>
      <c r="T55" s="197"/>
      <c r="U55" s="197"/>
      <c r="V55" s="197"/>
      <c r="W55" s="34"/>
      <c r="X55" s="35"/>
      <c r="Y55" s="35"/>
      <c r="Z55" s="211"/>
      <c r="AA55" s="34"/>
      <c r="AB55" s="211"/>
      <c r="AC55" s="34"/>
      <c r="AD55" s="35"/>
      <c r="AE55" s="34"/>
      <c r="AF55" s="34"/>
      <c r="AG55" s="34"/>
      <c r="AH55" s="34"/>
      <c r="AI55" s="34"/>
      <c r="AJ55" s="34"/>
      <c r="AK55" s="34"/>
      <c r="AL55" s="34"/>
      <c r="AM55" s="34"/>
      <c r="AN55" s="197"/>
      <c r="AO55" s="197"/>
      <c r="AP55" s="34"/>
      <c r="AQ55" s="197"/>
      <c r="AR55" s="34"/>
      <c r="AS55" s="197"/>
      <c r="AT55" s="34"/>
      <c r="AU55" s="197"/>
      <c r="AV55" s="197"/>
      <c r="AW55" s="35"/>
      <c r="AX55" s="98"/>
      <c r="AY55" s="98"/>
      <c r="AZ55" s="26"/>
      <c r="BA55" s="69"/>
      <c r="BB55" s="69"/>
      <c r="BC55" s="69"/>
      <c r="BD55" s="69"/>
      <c r="BE55" s="34"/>
      <c r="BF55" s="69"/>
      <c r="BG55" s="69"/>
      <c r="BH55" s="34"/>
      <c r="BI55" s="34"/>
      <c r="BJ55" s="34"/>
      <c r="BK55" s="13"/>
      <c r="BL55" s="13"/>
      <c r="BM55" s="13"/>
      <c r="BN55" s="13"/>
      <c r="BO55" s="13"/>
      <c r="BP55" s="13"/>
      <c r="BQ55" s="13"/>
      <c r="BR55" s="13"/>
      <c r="BS55" s="13"/>
      <c r="BT55" s="197"/>
      <c r="BU55" s="34"/>
      <c r="BV55" s="34"/>
      <c r="BW55" s="34"/>
    </row>
    <row r="56">
      <c r="A56" s="197"/>
      <c r="B56" s="34"/>
      <c r="C56" s="111"/>
      <c r="D56" s="34"/>
      <c r="E56" s="197"/>
      <c r="F56" s="34"/>
      <c r="G56" s="34"/>
      <c r="H56" s="197"/>
      <c r="I56" s="197"/>
      <c r="J56" s="209"/>
      <c r="K56" s="34"/>
      <c r="L56" s="34"/>
      <c r="M56" s="69"/>
      <c r="N56" s="35"/>
      <c r="O56" s="111"/>
      <c r="P56" s="30"/>
      <c r="Q56" s="69"/>
      <c r="R56" s="69"/>
      <c r="S56" s="69"/>
      <c r="T56" s="197"/>
      <c r="U56" s="197"/>
      <c r="V56" s="197"/>
      <c r="W56" s="34"/>
      <c r="X56" s="35"/>
      <c r="Y56" s="35"/>
      <c r="Z56" s="211"/>
      <c r="AA56" s="34"/>
      <c r="AB56" s="211"/>
      <c r="AC56" s="34"/>
      <c r="AD56" s="35"/>
      <c r="AE56" s="34"/>
      <c r="AF56" s="34"/>
      <c r="AG56" s="34"/>
      <c r="AH56" s="34"/>
      <c r="AI56" s="34"/>
      <c r="AJ56" s="34"/>
      <c r="AK56" s="34"/>
      <c r="AL56" s="34"/>
      <c r="AM56" s="34"/>
      <c r="AN56" s="197"/>
      <c r="AO56" s="197"/>
      <c r="AP56" s="34"/>
      <c r="AQ56" s="197"/>
      <c r="AR56" s="34"/>
      <c r="AS56" s="197"/>
      <c r="AT56" s="34"/>
      <c r="AU56" s="197"/>
      <c r="AV56" s="197"/>
      <c r="AW56" s="35"/>
      <c r="AX56" s="98"/>
      <c r="AY56" s="98"/>
      <c r="AZ56" s="26"/>
      <c r="BA56" s="69"/>
      <c r="BB56" s="69"/>
      <c r="BC56" s="69"/>
      <c r="BD56" s="69"/>
      <c r="BE56" s="34"/>
      <c r="BF56" s="69"/>
      <c r="BG56" s="69"/>
      <c r="BH56" s="34"/>
      <c r="BI56" s="34"/>
      <c r="BJ56" s="34"/>
      <c r="BK56" s="13"/>
      <c r="BL56" s="13"/>
      <c r="BM56" s="13"/>
      <c r="BN56" s="13"/>
      <c r="BO56" s="13"/>
      <c r="BP56" s="13"/>
      <c r="BQ56" s="13"/>
      <c r="BR56" s="13"/>
      <c r="BS56" s="13"/>
      <c r="BT56" s="197"/>
      <c r="BU56" s="34"/>
      <c r="BV56" s="34"/>
      <c r="BW56" s="34"/>
    </row>
    <row r="57">
      <c r="A57" s="111"/>
      <c r="B57" s="35"/>
      <c r="C57" s="111"/>
      <c r="D57" s="35"/>
      <c r="E57" s="197"/>
      <c r="F57" s="34"/>
      <c r="G57" s="34"/>
      <c r="H57" s="197"/>
      <c r="I57" s="197"/>
      <c r="J57" s="209"/>
      <c r="K57" s="34"/>
      <c r="L57" s="34"/>
      <c r="M57" s="69"/>
      <c r="N57" s="35"/>
      <c r="O57" s="111"/>
      <c r="P57" s="30"/>
      <c r="Q57" s="69"/>
      <c r="R57" s="69"/>
      <c r="S57" s="69"/>
      <c r="T57" s="197"/>
      <c r="U57" s="197"/>
      <c r="V57" s="197"/>
      <c r="W57" s="34"/>
      <c r="X57" s="35"/>
      <c r="Y57" s="35"/>
      <c r="Z57" s="211"/>
      <c r="AA57" s="34"/>
      <c r="AB57" s="211"/>
      <c r="AC57" s="34"/>
      <c r="AD57" s="35"/>
      <c r="AE57" s="34"/>
      <c r="AF57" s="34"/>
      <c r="AG57" s="34"/>
      <c r="AH57" s="34"/>
      <c r="AI57" s="34"/>
      <c r="AJ57" s="34"/>
      <c r="AK57" s="34"/>
      <c r="AL57" s="34"/>
      <c r="AM57" s="34"/>
      <c r="AN57" s="197"/>
      <c r="AO57" s="197"/>
      <c r="AP57" s="34"/>
      <c r="AQ57" s="197"/>
      <c r="AR57" s="34"/>
      <c r="AS57" s="197"/>
      <c r="AT57" s="34"/>
      <c r="AU57" s="197"/>
      <c r="AV57" s="197"/>
      <c r="AW57" s="35"/>
      <c r="AX57" s="98"/>
      <c r="AY57" s="98"/>
      <c r="AZ57" s="26"/>
      <c r="BA57" s="69"/>
      <c r="BB57" s="69"/>
      <c r="BC57" s="69"/>
      <c r="BD57" s="69"/>
      <c r="BE57" s="34"/>
      <c r="BF57" s="69"/>
      <c r="BG57" s="69"/>
      <c r="BH57" s="34"/>
      <c r="BI57" s="34"/>
      <c r="BJ57" s="34"/>
      <c r="BK57" s="13"/>
      <c r="BL57" s="13"/>
      <c r="BM57" s="13"/>
      <c r="BN57" s="13"/>
      <c r="BO57" s="13"/>
      <c r="BP57" s="13"/>
      <c r="BQ57" s="13"/>
      <c r="BR57" s="13"/>
      <c r="BS57" s="13"/>
      <c r="BT57" s="197"/>
      <c r="BU57" s="34"/>
      <c r="BV57" s="34"/>
      <c r="BW57" s="34"/>
    </row>
    <row r="58">
      <c r="A58" s="111"/>
      <c r="B58" s="35"/>
      <c r="C58" s="111"/>
      <c r="D58" s="34"/>
      <c r="E58" s="197"/>
      <c r="F58" s="34"/>
      <c r="G58" s="34"/>
      <c r="H58" s="197"/>
      <c r="I58" s="197"/>
      <c r="J58" s="209"/>
      <c r="K58" s="34"/>
      <c r="L58" s="34"/>
      <c r="M58" s="69"/>
      <c r="N58" s="35"/>
      <c r="O58" s="111"/>
      <c r="P58" s="30"/>
      <c r="Q58" s="69"/>
      <c r="R58" s="69"/>
      <c r="S58" s="69"/>
      <c r="T58" s="197"/>
      <c r="U58" s="197"/>
      <c r="V58" s="197"/>
      <c r="W58" s="34"/>
      <c r="X58" s="35"/>
      <c r="Y58" s="35"/>
      <c r="Z58" s="211"/>
      <c r="AA58" s="34"/>
      <c r="AB58" s="211"/>
      <c r="AC58" s="34"/>
      <c r="AD58" s="35"/>
      <c r="AE58" s="34"/>
      <c r="AF58" s="34"/>
      <c r="AG58" s="34"/>
      <c r="AH58" s="34"/>
      <c r="AI58" s="34"/>
      <c r="AJ58" s="34"/>
      <c r="AK58" s="34"/>
      <c r="AL58" s="34"/>
      <c r="AM58" s="34"/>
      <c r="AN58" s="197"/>
      <c r="AO58" s="197"/>
      <c r="AP58" s="34"/>
      <c r="AQ58" s="197"/>
      <c r="AR58" s="34"/>
      <c r="AS58" s="197"/>
      <c r="AT58" s="34"/>
      <c r="AU58" s="197"/>
      <c r="AV58" s="197"/>
      <c r="AW58" s="35"/>
      <c r="AX58" s="98"/>
      <c r="AY58" s="98"/>
      <c r="AZ58" s="26"/>
      <c r="BA58" s="69"/>
      <c r="BB58" s="69"/>
      <c r="BC58" s="69"/>
      <c r="BD58" s="69"/>
      <c r="BE58" s="34"/>
      <c r="BF58" s="69"/>
      <c r="BG58" s="69"/>
      <c r="BH58" s="34"/>
      <c r="BI58" s="34"/>
      <c r="BJ58" s="34"/>
      <c r="BK58" s="13"/>
      <c r="BL58" s="13"/>
      <c r="BM58" s="13"/>
      <c r="BN58" s="13"/>
      <c r="BO58" s="13"/>
      <c r="BP58" s="13"/>
      <c r="BQ58" s="13"/>
      <c r="BR58" s="13"/>
      <c r="BS58" s="13"/>
      <c r="BT58" s="197"/>
      <c r="BU58" s="34"/>
      <c r="BV58" s="34"/>
      <c r="BW58" s="34"/>
    </row>
    <row r="59">
      <c r="A59" s="111"/>
      <c r="B59" s="35"/>
      <c r="C59" s="111"/>
      <c r="D59" s="34"/>
      <c r="E59" s="197"/>
      <c r="F59" s="34"/>
      <c r="G59" s="34"/>
      <c r="H59" s="197"/>
      <c r="I59" s="197"/>
      <c r="J59" s="209"/>
      <c r="K59" s="34"/>
      <c r="L59" s="34"/>
      <c r="M59" s="69"/>
      <c r="N59" s="35"/>
      <c r="O59" s="111"/>
      <c r="P59" s="30"/>
      <c r="Q59" s="69"/>
      <c r="R59" s="69"/>
      <c r="S59" s="69"/>
      <c r="T59" s="197"/>
      <c r="U59" s="197"/>
      <c r="V59" s="197"/>
      <c r="W59" s="34"/>
      <c r="X59" s="35"/>
      <c r="Y59" s="35"/>
      <c r="Z59" s="211"/>
      <c r="AA59" s="34"/>
      <c r="AB59" s="211"/>
      <c r="AC59" s="34"/>
      <c r="AD59" s="35"/>
      <c r="AE59" s="34"/>
      <c r="AF59" s="34"/>
      <c r="AG59" s="34"/>
      <c r="AH59" s="34"/>
      <c r="AI59" s="34"/>
      <c r="AJ59" s="34"/>
      <c r="AK59" s="34"/>
      <c r="AL59" s="34"/>
      <c r="AM59" s="34"/>
      <c r="AN59" s="197"/>
      <c r="AO59" s="197"/>
      <c r="AP59" s="34"/>
      <c r="AQ59" s="197"/>
      <c r="AR59" s="34"/>
      <c r="AS59" s="197"/>
      <c r="AT59" s="34"/>
      <c r="AU59" s="197"/>
      <c r="AV59" s="197"/>
      <c r="AW59" s="35"/>
      <c r="AX59" s="98"/>
      <c r="AY59" s="98"/>
      <c r="AZ59" s="26"/>
      <c r="BA59" s="69"/>
      <c r="BB59" s="69"/>
      <c r="BC59" s="69"/>
      <c r="BD59" s="69"/>
      <c r="BE59" s="34"/>
      <c r="BF59" s="69"/>
      <c r="BG59" s="69"/>
      <c r="BH59" s="34"/>
      <c r="BI59" s="34"/>
      <c r="BJ59" s="34"/>
      <c r="BK59" s="13"/>
      <c r="BL59" s="13"/>
      <c r="BM59" s="13"/>
      <c r="BN59" s="13"/>
      <c r="BO59" s="13"/>
      <c r="BP59" s="13"/>
      <c r="BQ59" s="13"/>
      <c r="BR59" s="13"/>
      <c r="BS59" s="13"/>
      <c r="BT59" s="197"/>
      <c r="BU59" s="34"/>
      <c r="BV59" s="34"/>
      <c r="BW59" s="34"/>
    </row>
    <row r="60">
      <c r="A60" s="197"/>
      <c r="B60" s="34"/>
      <c r="C60" s="111"/>
      <c r="D60" s="34"/>
      <c r="E60" s="197"/>
      <c r="F60" s="34"/>
      <c r="G60" s="34"/>
      <c r="H60" s="197"/>
      <c r="I60" s="197"/>
      <c r="J60" s="35"/>
      <c r="K60" s="34"/>
      <c r="L60" s="34"/>
      <c r="M60" s="69"/>
      <c r="N60" s="34"/>
      <c r="O60" s="98"/>
      <c r="P60" s="26"/>
      <c r="Q60" s="69"/>
      <c r="R60" s="69"/>
      <c r="S60" s="69"/>
      <c r="T60" s="197"/>
      <c r="U60" s="197"/>
      <c r="V60" s="197"/>
      <c r="W60" s="34"/>
      <c r="X60" s="34"/>
      <c r="Y60" s="35"/>
      <c r="Z60" s="211"/>
      <c r="AA60" s="35"/>
      <c r="AB60" s="211"/>
      <c r="AC60" s="35"/>
      <c r="AD60" s="34"/>
      <c r="AE60" s="34"/>
      <c r="AF60" s="34"/>
      <c r="AG60" s="34"/>
      <c r="AH60" s="34"/>
      <c r="AI60" s="34"/>
      <c r="AJ60" s="34"/>
      <c r="AK60" s="34"/>
      <c r="AL60" s="34"/>
      <c r="AM60" s="34"/>
      <c r="AN60" s="197"/>
      <c r="AO60" s="197"/>
      <c r="AP60" s="69"/>
      <c r="AQ60" s="98"/>
      <c r="AR60" s="98"/>
      <c r="AS60" s="98"/>
      <c r="AT60" s="197"/>
      <c r="AU60" s="98"/>
      <c r="AV60" s="98"/>
      <c r="AW60" s="69"/>
      <c r="AX60" s="98"/>
      <c r="AY60" s="98"/>
      <c r="AZ60" s="69"/>
      <c r="BA60" s="34"/>
      <c r="BB60" s="69"/>
      <c r="BC60" s="69"/>
      <c r="BD60" s="34"/>
      <c r="BE60" s="34"/>
      <c r="BF60" s="34"/>
      <c r="BG60" s="34"/>
      <c r="BH60" s="34"/>
      <c r="BI60" s="34"/>
      <c r="BJ60" s="34"/>
      <c r="BK60" s="197"/>
      <c r="BL60" s="69"/>
      <c r="BM60" s="69"/>
      <c r="BN60" s="69"/>
      <c r="BO60" s="69"/>
      <c r="BP60" s="69"/>
      <c r="BQ60" s="69"/>
      <c r="BR60" s="69"/>
      <c r="BS60" s="34"/>
      <c r="BT60" s="197"/>
      <c r="BU60" s="69"/>
      <c r="BV60" s="34"/>
      <c r="BW60" s="34"/>
    </row>
    <row r="61">
      <c r="A61" s="197"/>
      <c r="B61" s="34"/>
      <c r="C61" s="111"/>
      <c r="D61" s="34"/>
      <c r="E61" s="197"/>
      <c r="F61" s="34"/>
      <c r="G61" s="34"/>
      <c r="H61" s="197"/>
      <c r="I61" s="197"/>
      <c r="J61" s="35"/>
      <c r="K61" s="34"/>
      <c r="L61" s="34"/>
      <c r="M61" s="69"/>
      <c r="N61" s="34"/>
      <c r="O61" s="197"/>
      <c r="P61" s="26"/>
      <c r="Q61" s="69"/>
      <c r="R61" s="69"/>
      <c r="S61" s="69"/>
      <c r="T61" s="197"/>
      <c r="U61" s="197"/>
      <c r="V61" s="197"/>
      <c r="W61" s="34"/>
      <c r="X61" s="69"/>
      <c r="Y61" s="35"/>
      <c r="Z61" s="211"/>
      <c r="AA61" s="35"/>
      <c r="AB61" s="211"/>
      <c r="AC61" s="35"/>
      <c r="AD61" s="34"/>
      <c r="AE61" s="34"/>
      <c r="AF61" s="34"/>
      <c r="AG61" s="34"/>
      <c r="AH61" s="34"/>
      <c r="AI61" s="34"/>
      <c r="AJ61" s="34"/>
      <c r="AK61" s="34"/>
      <c r="AL61" s="34"/>
      <c r="AM61" s="34"/>
      <c r="AN61" s="197"/>
      <c r="AO61" s="197"/>
      <c r="AP61" s="34"/>
      <c r="AQ61" s="197"/>
      <c r="AR61" s="197"/>
      <c r="AS61" s="197"/>
      <c r="AT61" s="197"/>
      <c r="AU61" s="197"/>
      <c r="AV61" s="197"/>
      <c r="AW61" s="69"/>
      <c r="AX61" s="98"/>
      <c r="AY61" s="98"/>
      <c r="AZ61" s="69"/>
      <c r="BA61" s="69"/>
      <c r="BB61" s="69"/>
      <c r="BC61" s="69"/>
      <c r="BD61" s="34"/>
      <c r="BE61" s="34"/>
      <c r="BF61" s="34"/>
      <c r="BG61" s="34"/>
      <c r="BH61" s="34"/>
      <c r="BI61" s="34"/>
      <c r="BJ61" s="34"/>
      <c r="BK61" s="197"/>
      <c r="BL61" s="69"/>
      <c r="BM61" s="69"/>
      <c r="BN61" s="69"/>
      <c r="BO61" s="69"/>
      <c r="BP61" s="69"/>
      <c r="BQ61" s="69"/>
      <c r="BR61" s="69"/>
      <c r="BS61" s="34"/>
      <c r="BT61" s="197"/>
      <c r="BU61" s="69"/>
      <c r="BV61" s="34"/>
      <c r="BW61" s="34"/>
    </row>
    <row r="62">
      <c r="A62" s="197"/>
      <c r="B62" s="34"/>
      <c r="C62" s="111"/>
      <c r="D62" s="34"/>
      <c r="E62" s="197"/>
      <c r="F62" s="34"/>
      <c r="G62" s="34"/>
      <c r="H62" s="197"/>
      <c r="I62" s="197"/>
      <c r="J62" s="34"/>
      <c r="K62" s="34"/>
      <c r="L62" s="34"/>
      <c r="M62" s="69"/>
      <c r="N62" s="34"/>
      <c r="O62" s="98"/>
      <c r="P62" s="26"/>
      <c r="Q62" s="34"/>
      <c r="R62" s="34"/>
      <c r="S62" s="34"/>
      <c r="T62" s="197"/>
      <c r="U62" s="197"/>
      <c r="V62" s="197"/>
      <c r="W62" s="34"/>
      <c r="X62" s="35"/>
      <c r="Y62" s="34"/>
      <c r="Z62" s="34"/>
      <c r="AA62" s="34"/>
      <c r="AB62" s="34"/>
      <c r="AC62" s="34"/>
      <c r="AD62" s="34"/>
      <c r="AE62" s="34"/>
      <c r="AF62" s="34"/>
      <c r="AG62" s="34"/>
      <c r="AH62" s="35"/>
      <c r="AI62" s="34"/>
      <c r="AJ62" s="34"/>
      <c r="AK62" s="34"/>
      <c r="AL62" s="34"/>
      <c r="AM62" s="34"/>
      <c r="AN62" s="197"/>
      <c r="AO62" s="197"/>
      <c r="AP62" s="69"/>
      <c r="AQ62" s="98"/>
      <c r="AR62" s="34"/>
      <c r="AS62" s="197"/>
      <c r="AT62" s="34"/>
      <c r="AU62" s="197"/>
      <c r="AV62" s="111"/>
      <c r="AW62" s="35"/>
      <c r="AX62" s="98"/>
      <c r="AY62" s="98"/>
      <c r="AZ62" s="69"/>
      <c r="BA62" s="34"/>
      <c r="BB62" s="69"/>
      <c r="BC62" s="69"/>
      <c r="BD62" s="34"/>
      <c r="BE62" s="34"/>
      <c r="BF62" s="34"/>
      <c r="BG62" s="34"/>
      <c r="BH62" s="34"/>
      <c r="BI62" s="34"/>
      <c r="BJ62" s="34"/>
      <c r="BK62" s="197"/>
      <c r="BL62" s="69"/>
      <c r="BM62" s="69"/>
      <c r="BN62" s="69"/>
      <c r="BO62" s="69"/>
      <c r="BP62" s="69"/>
      <c r="BQ62" s="69"/>
      <c r="BR62" s="69"/>
      <c r="BS62" s="34"/>
      <c r="BT62" s="197"/>
      <c r="BU62" s="69"/>
      <c r="BV62" s="34"/>
      <c r="BW62" s="34"/>
    </row>
    <row r="63">
      <c r="A63" s="197"/>
      <c r="B63" s="34"/>
      <c r="C63" s="111"/>
      <c r="D63" s="34"/>
      <c r="E63" s="197"/>
      <c r="F63" s="34"/>
      <c r="G63" s="34"/>
      <c r="H63" s="197"/>
      <c r="I63" s="197"/>
      <c r="J63" s="34"/>
      <c r="K63" s="34"/>
      <c r="L63" s="34"/>
      <c r="M63" s="69"/>
      <c r="N63" s="34"/>
      <c r="O63" s="98"/>
      <c r="P63" s="26"/>
      <c r="Q63" s="69"/>
      <c r="R63" s="69"/>
      <c r="S63" s="69"/>
      <c r="T63" s="197"/>
      <c r="U63" s="197"/>
      <c r="V63" s="197"/>
      <c r="W63" s="34"/>
      <c r="X63" s="35"/>
      <c r="Y63" s="35"/>
      <c r="Z63" s="211"/>
      <c r="AA63" s="35"/>
      <c r="AB63" s="211"/>
      <c r="AC63" s="35"/>
      <c r="AD63" s="34"/>
      <c r="AE63" s="34"/>
      <c r="AF63" s="34"/>
      <c r="AG63" s="34"/>
      <c r="AH63" s="34"/>
      <c r="AI63" s="34"/>
      <c r="AJ63" s="34"/>
      <c r="AK63" s="34"/>
      <c r="AL63" s="34"/>
      <c r="AM63" s="34"/>
      <c r="AN63" s="197"/>
      <c r="AO63" s="197"/>
      <c r="AP63" s="69"/>
      <c r="AQ63" s="98"/>
      <c r="AR63" s="34"/>
      <c r="AS63" s="197"/>
      <c r="AT63" s="69"/>
      <c r="AU63" s="197"/>
      <c r="AV63" s="197"/>
      <c r="AW63" s="69"/>
      <c r="AX63" s="98"/>
      <c r="AY63" s="98"/>
      <c r="AZ63" s="69"/>
      <c r="BA63" s="34"/>
      <c r="BB63" s="69"/>
      <c r="BC63" s="69"/>
      <c r="BD63" s="34"/>
      <c r="BE63" s="34"/>
      <c r="BF63" s="34"/>
      <c r="BG63" s="34"/>
      <c r="BH63" s="34"/>
      <c r="BI63" s="34"/>
      <c r="BJ63" s="34"/>
      <c r="BK63" s="197"/>
      <c r="BL63" s="69"/>
      <c r="BM63" s="69"/>
      <c r="BN63" s="69"/>
      <c r="BO63" s="69"/>
      <c r="BP63" s="69"/>
      <c r="BQ63" s="69"/>
      <c r="BR63" s="69"/>
      <c r="BS63" s="34"/>
      <c r="BT63" s="197"/>
      <c r="BU63" s="69"/>
      <c r="BV63" s="34"/>
      <c r="BW63" s="34"/>
    </row>
    <row r="64">
      <c r="A64" s="197"/>
      <c r="B64" s="34"/>
      <c r="C64" s="111"/>
      <c r="D64" s="34"/>
      <c r="E64" s="197"/>
      <c r="F64" s="34"/>
      <c r="G64" s="34"/>
      <c r="H64" s="197"/>
      <c r="I64" s="98"/>
      <c r="J64" s="69"/>
      <c r="K64" s="34"/>
      <c r="L64" s="34"/>
      <c r="M64" s="69"/>
      <c r="N64" s="69"/>
      <c r="O64" s="98"/>
      <c r="P64" s="183"/>
      <c r="Q64" s="34"/>
      <c r="R64" s="34"/>
      <c r="S64" s="34"/>
      <c r="T64" s="98"/>
      <c r="U64" s="98"/>
      <c r="V64" s="197"/>
      <c r="W64" s="34"/>
      <c r="X64" s="34"/>
      <c r="Y64" s="35"/>
      <c r="Z64" s="211"/>
      <c r="AA64" s="35"/>
      <c r="AB64" s="211"/>
      <c r="AC64" s="35"/>
      <c r="AD64" s="34"/>
      <c r="AE64" s="34"/>
      <c r="AF64" s="34"/>
      <c r="AG64" s="34"/>
      <c r="AH64" s="34"/>
      <c r="AI64" s="34"/>
      <c r="AJ64" s="34"/>
      <c r="AK64" s="34"/>
      <c r="AL64" s="34"/>
      <c r="AM64" s="34"/>
      <c r="AN64" s="197"/>
      <c r="AO64" s="197"/>
      <c r="AP64" s="69"/>
      <c r="AQ64" s="98"/>
      <c r="AR64" s="69"/>
      <c r="AS64" s="98"/>
      <c r="AT64" s="69"/>
      <c r="AU64" s="98"/>
      <c r="AV64" s="98"/>
      <c r="AW64" s="69"/>
      <c r="AX64" s="98"/>
      <c r="AY64" s="98"/>
      <c r="AZ64" s="69"/>
      <c r="BA64" s="34"/>
      <c r="BB64" s="34"/>
      <c r="BC64" s="34"/>
      <c r="BD64" s="34"/>
      <c r="BE64" s="34"/>
      <c r="BF64" s="34"/>
      <c r="BG64" s="34"/>
      <c r="BH64" s="34"/>
      <c r="BI64" s="34"/>
      <c r="BJ64" s="34"/>
      <c r="BK64" s="197"/>
      <c r="BL64" s="69"/>
      <c r="BM64" s="34"/>
      <c r="BN64" s="34"/>
      <c r="BO64" s="34"/>
      <c r="BP64" s="34"/>
      <c r="BQ64" s="34"/>
      <c r="BR64" s="34"/>
      <c r="BS64" s="34"/>
      <c r="BT64" s="197"/>
      <c r="BU64" s="34"/>
      <c r="BV64" s="34"/>
      <c r="BW64" s="34"/>
    </row>
    <row r="65">
      <c r="A65" s="111"/>
      <c r="B65" s="35"/>
      <c r="C65" s="111"/>
      <c r="D65" s="34"/>
      <c r="E65" s="34"/>
      <c r="F65" s="34"/>
      <c r="G65" s="34"/>
      <c r="H65" s="197"/>
      <c r="I65" s="98"/>
      <c r="J65" s="69"/>
      <c r="K65" s="34"/>
      <c r="L65" s="34"/>
      <c r="M65" s="69"/>
      <c r="N65" s="35"/>
      <c r="O65" s="111"/>
      <c r="P65" s="30"/>
      <c r="Q65" s="69"/>
      <c r="R65" s="69"/>
      <c r="S65" s="69"/>
      <c r="T65" s="98"/>
      <c r="U65" s="197"/>
      <c r="V65" s="34"/>
      <c r="W65" s="13"/>
      <c r="X65" s="35"/>
      <c r="Y65" s="35"/>
      <c r="Z65" s="30"/>
      <c r="AA65" s="35"/>
      <c r="AB65" s="30"/>
      <c r="AC65" s="35"/>
      <c r="AD65" s="35"/>
      <c r="AE65" s="34"/>
      <c r="AF65" s="34"/>
      <c r="AG65" s="34"/>
      <c r="AH65" s="35"/>
      <c r="AI65" s="34"/>
      <c r="AJ65" s="34"/>
      <c r="AK65" s="34"/>
      <c r="AL65" s="34"/>
      <c r="AM65" s="34"/>
      <c r="AN65" s="13"/>
      <c r="AO65" s="13"/>
      <c r="AP65" s="13"/>
      <c r="AQ65" s="111"/>
      <c r="AR65" s="34"/>
      <c r="AS65" s="111"/>
      <c r="AT65" s="69"/>
      <c r="AU65" s="111"/>
      <c r="AV65" s="111"/>
      <c r="AW65" s="35"/>
      <c r="AX65" s="111"/>
      <c r="AY65" s="111"/>
      <c r="AZ65" s="69"/>
      <c r="BA65" s="14"/>
      <c r="BB65" s="69"/>
      <c r="BC65" s="69"/>
      <c r="BD65" s="69"/>
      <c r="BE65" s="34"/>
      <c r="BF65" s="69"/>
      <c r="BG65" s="69"/>
      <c r="BH65" s="34"/>
      <c r="BI65" s="34"/>
      <c r="BJ65" s="34"/>
      <c r="BK65" s="13"/>
      <c r="BL65" s="13"/>
      <c r="BM65" s="13"/>
      <c r="BN65" s="13"/>
      <c r="BO65" s="13"/>
      <c r="BP65" s="13"/>
      <c r="BQ65" s="13"/>
      <c r="BR65" s="13"/>
      <c r="BS65" s="13"/>
      <c r="BT65" s="197"/>
      <c r="BU65" s="34"/>
      <c r="BV65" s="34"/>
      <c r="BW65" s="34"/>
    </row>
    <row r="66">
      <c r="A66" s="111"/>
      <c r="B66" s="35"/>
      <c r="C66" s="111"/>
      <c r="D66" s="34"/>
      <c r="E66" s="34"/>
      <c r="F66" s="34"/>
      <c r="G66" s="34"/>
      <c r="H66" s="197"/>
      <c r="I66" s="98"/>
      <c r="J66" s="69"/>
      <c r="K66" s="34"/>
      <c r="L66" s="34"/>
      <c r="M66" s="69"/>
      <c r="N66" s="35"/>
      <c r="O66" s="111"/>
      <c r="P66" s="211"/>
      <c r="Q66" s="69"/>
      <c r="R66" s="69"/>
      <c r="S66" s="69"/>
      <c r="T66" s="98"/>
      <c r="U66" s="197"/>
      <c r="V66" s="34"/>
      <c r="W66" s="13"/>
      <c r="X66" s="35"/>
      <c r="Y66" s="50"/>
      <c r="Z66" s="30"/>
      <c r="AA66" s="35"/>
      <c r="AB66" s="30"/>
      <c r="AC66" s="35"/>
      <c r="AD66" s="35"/>
      <c r="AE66" s="34"/>
      <c r="AF66" s="34"/>
      <c r="AG66" s="34"/>
      <c r="AH66" s="35"/>
      <c r="AI66" s="34"/>
      <c r="AJ66" s="34"/>
      <c r="AK66" s="34"/>
      <c r="AL66" s="34"/>
      <c r="AM66" s="34"/>
      <c r="AN66" s="13"/>
      <c r="AO66" s="13"/>
      <c r="AP66" s="13"/>
      <c r="AQ66" s="111"/>
      <c r="AR66" s="34"/>
      <c r="AS66" s="111"/>
      <c r="AT66" s="69"/>
      <c r="AU66" s="111"/>
      <c r="AV66" s="111"/>
      <c r="AW66" s="35"/>
      <c r="AX66" s="111"/>
      <c r="AY66" s="111"/>
      <c r="AZ66" s="69"/>
      <c r="BA66" s="14"/>
      <c r="BB66" s="69"/>
      <c r="BC66" s="69"/>
      <c r="BD66" s="69"/>
      <c r="BE66" s="34"/>
      <c r="BF66" s="69"/>
      <c r="BG66" s="69"/>
      <c r="BH66" s="34"/>
      <c r="BI66" s="34"/>
      <c r="BJ66" s="34"/>
      <c r="BK66" s="13"/>
      <c r="BL66" s="13"/>
      <c r="BM66" s="13"/>
      <c r="BN66" s="13"/>
      <c r="BO66" s="13"/>
      <c r="BP66" s="13"/>
      <c r="BQ66" s="13"/>
      <c r="BR66" s="13"/>
      <c r="BS66" s="13"/>
      <c r="BT66" s="197"/>
      <c r="BU66" s="34"/>
      <c r="BV66" s="34"/>
      <c r="BW66" s="34"/>
    </row>
    <row r="67">
      <c r="A67" s="111"/>
      <c r="B67" s="35"/>
      <c r="C67" s="111"/>
      <c r="D67" s="34"/>
      <c r="E67" s="34"/>
      <c r="F67" s="34"/>
      <c r="G67" s="34"/>
      <c r="H67" s="197"/>
      <c r="I67" s="98"/>
      <c r="J67" s="69"/>
      <c r="K67" s="34"/>
      <c r="L67" s="34"/>
      <c r="M67" s="69"/>
      <c r="N67" s="35"/>
      <c r="O67" s="111"/>
      <c r="P67" s="30"/>
      <c r="Q67" s="69"/>
      <c r="R67" s="69"/>
      <c r="S67" s="69"/>
      <c r="T67" s="98"/>
      <c r="U67" s="197"/>
      <c r="V67" s="34"/>
      <c r="W67" s="13"/>
      <c r="X67" s="35"/>
      <c r="Y67" s="35"/>
      <c r="Z67" s="30"/>
      <c r="AA67" s="35"/>
      <c r="AB67" s="30"/>
      <c r="AC67" s="35"/>
      <c r="AD67" s="35"/>
      <c r="AE67" s="34"/>
      <c r="AF67" s="34"/>
      <c r="AG67" s="34"/>
      <c r="AH67" s="35"/>
      <c r="AI67" s="34"/>
      <c r="AJ67" s="34"/>
      <c r="AK67" s="34"/>
      <c r="AL67" s="34"/>
      <c r="AM67" s="34"/>
      <c r="AN67" s="13"/>
      <c r="AO67" s="13"/>
      <c r="AP67" s="13"/>
      <c r="AQ67" s="111"/>
      <c r="AR67" s="34"/>
      <c r="AS67" s="111"/>
      <c r="AT67" s="69"/>
      <c r="AU67" s="111"/>
      <c r="AV67" s="111"/>
      <c r="AW67" s="35"/>
      <c r="AX67" s="111"/>
      <c r="AY67" s="111"/>
      <c r="AZ67" s="69"/>
      <c r="BA67" s="14"/>
      <c r="BB67" s="69"/>
      <c r="BC67" s="69"/>
      <c r="BD67" s="69"/>
      <c r="BE67" s="34"/>
      <c r="BF67" s="69"/>
      <c r="BG67" s="69"/>
      <c r="BH67" s="34"/>
      <c r="BI67" s="34"/>
      <c r="BJ67" s="34"/>
      <c r="BK67" s="13"/>
      <c r="BL67" s="13"/>
      <c r="BM67" s="13"/>
      <c r="BN67" s="13"/>
      <c r="BO67" s="13"/>
      <c r="BP67" s="13"/>
      <c r="BQ67" s="13"/>
      <c r="BR67" s="13"/>
      <c r="BS67" s="13"/>
      <c r="BT67" s="197"/>
      <c r="BU67" s="34"/>
      <c r="BV67" s="34"/>
      <c r="BW67" s="34"/>
    </row>
    <row r="68">
      <c r="A68" s="111"/>
      <c r="B68" s="35"/>
      <c r="C68" s="111"/>
      <c r="D68" s="34"/>
      <c r="E68" s="34"/>
      <c r="F68" s="34"/>
      <c r="G68" s="34"/>
      <c r="H68" s="197"/>
      <c r="I68" s="98"/>
      <c r="J68" s="69"/>
      <c r="K68" s="34"/>
      <c r="L68" s="34"/>
      <c r="M68" s="69"/>
      <c r="N68" s="35"/>
      <c r="O68" s="111"/>
      <c r="P68" s="30"/>
      <c r="Q68" s="69"/>
      <c r="R68" s="69"/>
      <c r="S68" s="69"/>
      <c r="T68" s="98"/>
      <c r="U68" s="197"/>
      <c r="V68" s="34"/>
      <c r="W68" s="13"/>
      <c r="X68" s="35"/>
      <c r="Y68" s="35"/>
      <c r="Z68" s="30"/>
      <c r="AA68" s="35"/>
      <c r="AB68" s="30"/>
      <c r="AC68" s="35"/>
      <c r="AD68" s="35"/>
      <c r="AE68" s="34"/>
      <c r="AF68" s="34"/>
      <c r="AG68" s="34"/>
      <c r="AH68" s="35"/>
      <c r="AI68" s="34"/>
      <c r="AJ68" s="34"/>
      <c r="AK68" s="34"/>
      <c r="AL68" s="34"/>
      <c r="AM68" s="34"/>
      <c r="AN68" s="13"/>
      <c r="AO68" s="13"/>
      <c r="AP68" s="13"/>
      <c r="AQ68" s="111"/>
      <c r="AR68" s="34"/>
      <c r="AS68" s="111"/>
      <c r="AT68" s="69"/>
      <c r="AU68" s="111"/>
      <c r="AV68" s="111"/>
      <c r="AW68" s="35"/>
      <c r="AX68" s="111"/>
      <c r="AY68" s="111"/>
      <c r="AZ68" s="69"/>
      <c r="BA68" s="14"/>
      <c r="BB68" s="69"/>
      <c r="BC68" s="69"/>
      <c r="BD68" s="69"/>
      <c r="BE68" s="34"/>
      <c r="BF68" s="69"/>
      <c r="BG68" s="69"/>
      <c r="BH68" s="34"/>
      <c r="BI68" s="34"/>
      <c r="BJ68" s="34"/>
      <c r="BK68" s="13"/>
      <c r="BL68" s="13"/>
      <c r="BM68" s="13"/>
      <c r="BN68" s="13"/>
      <c r="BO68" s="13"/>
      <c r="BP68" s="13"/>
      <c r="BQ68" s="13"/>
      <c r="BR68" s="13"/>
      <c r="BS68" s="13"/>
      <c r="BT68" s="197"/>
      <c r="BU68" s="34"/>
      <c r="BV68" s="34"/>
      <c r="BW68" s="34"/>
    </row>
    <row r="69">
      <c r="A69" s="111"/>
      <c r="B69" s="35"/>
      <c r="C69" s="111"/>
      <c r="D69" s="34"/>
      <c r="E69" s="34"/>
      <c r="F69" s="34"/>
      <c r="G69" s="34"/>
      <c r="H69" s="197"/>
      <c r="I69" s="98"/>
      <c r="J69" s="69"/>
      <c r="K69" s="34"/>
      <c r="L69" s="34"/>
      <c r="M69" s="69"/>
      <c r="N69" s="35"/>
      <c r="O69" s="111"/>
      <c r="P69" s="30"/>
      <c r="Q69" s="69"/>
      <c r="R69" s="69"/>
      <c r="S69" s="69"/>
      <c r="T69" s="98"/>
      <c r="U69" s="197"/>
      <c r="V69" s="34"/>
      <c r="W69" s="13"/>
      <c r="X69" s="35"/>
      <c r="Y69" s="35"/>
      <c r="Z69" s="30"/>
      <c r="AA69" s="35"/>
      <c r="AB69" s="30"/>
      <c r="AC69" s="35"/>
      <c r="AD69" s="35"/>
      <c r="AE69" s="34"/>
      <c r="AF69" s="34"/>
      <c r="AG69" s="34"/>
      <c r="AH69" s="35"/>
      <c r="AI69" s="34"/>
      <c r="AJ69" s="34"/>
      <c r="AK69" s="34"/>
      <c r="AL69" s="34"/>
      <c r="AM69" s="34"/>
      <c r="AN69" s="13"/>
      <c r="AO69" s="13"/>
      <c r="AP69" s="13"/>
      <c r="AQ69" s="111"/>
      <c r="AR69" s="34"/>
      <c r="AS69" s="111"/>
      <c r="AT69" s="69"/>
      <c r="AU69" s="111"/>
      <c r="AV69" s="111"/>
      <c r="AW69" s="35"/>
      <c r="AX69" s="111"/>
      <c r="AY69" s="111"/>
      <c r="AZ69" s="69"/>
      <c r="BA69" s="14"/>
      <c r="BB69" s="69"/>
      <c r="BC69" s="69"/>
      <c r="BD69" s="69"/>
      <c r="BE69" s="34"/>
      <c r="BF69" s="69"/>
      <c r="BG69" s="69"/>
      <c r="BH69" s="34"/>
      <c r="BI69" s="34"/>
      <c r="BJ69" s="34"/>
      <c r="BK69" s="13"/>
      <c r="BL69" s="13"/>
      <c r="BM69" s="13"/>
      <c r="BN69" s="13"/>
      <c r="BO69" s="13"/>
      <c r="BP69" s="13"/>
      <c r="BQ69" s="13"/>
      <c r="BR69" s="13"/>
      <c r="BS69" s="13"/>
      <c r="BT69" s="197"/>
      <c r="BU69" s="34"/>
      <c r="BV69" s="34"/>
      <c r="BW69" s="34"/>
    </row>
    <row r="70">
      <c r="A70" s="197"/>
      <c r="B70" s="34"/>
      <c r="C70" s="111"/>
      <c r="D70" s="34"/>
      <c r="E70" s="34"/>
      <c r="F70" s="34"/>
      <c r="G70" s="34"/>
      <c r="H70" s="197"/>
      <c r="I70" s="98"/>
      <c r="J70" s="69"/>
      <c r="K70" s="34"/>
      <c r="L70" s="34"/>
      <c r="M70" s="69"/>
      <c r="N70" s="69"/>
      <c r="O70" s="98"/>
      <c r="P70" s="26"/>
      <c r="Q70" s="69"/>
      <c r="R70" s="69"/>
      <c r="S70" s="69"/>
      <c r="T70" s="98"/>
      <c r="U70" s="197"/>
      <c r="V70" s="34"/>
      <c r="W70" s="13"/>
      <c r="X70" s="34"/>
      <c r="Y70" s="35"/>
      <c r="Z70" s="26"/>
      <c r="AA70" s="35"/>
      <c r="AB70" s="26"/>
      <c r="AC70" s="35"/>
      <c r="AD70" s="35"/>
      <c r="AE70" s="34"/>
      <c r="AF70" s="34"/>
      <c r="AG70" s="34"/>
      <c r="AH70" s="34"/>
      <c r="AI70" s="34"/>
      <c r="AJ70" s="34"/>
      <c r="AK70" s="34"/>
      <c r="AL70" s="34"/>
      <c r="AM70" s="34"/>
      <c r="AN70" s="13"/>
      <c r="AO70" s="13"/>
      <c r="AP70" s="13"/>
      <c r="AQ70" s="197"/>
      <c r="AR70" s="34"/>
      <c r="AS70" s="197"/>
      <c r="AT70" s="69"/>
      <c r="AU70" s="98"/>
      <c r="AV70" s="98"/>
      <c r="AW70" s="69"/>
      <c r="AX70" s="98"/>
      <c r="AY70" s="98"/>
      <c r="AZ70" s="69"/>
      <c r="BA70" s="69"/>
      <c r="BB70" s="69"/>
      <c r="BC70" s="69"/>
      <c r="BD70" s="69"/>
      <c r="BE70" s="34"/>
      <c r="BF70" s="69"/>
      <c r="BG70" s="69"/>
      <c r="BH70" s="34"/>
      <c r="BI70" s="34"/>
      <c r="BJ70" s="34"/>
      <c r="BK70" s="13"/>
      <c r="BL70" s="13"/>
      <c r="BM70" s="13"/>
      <c r="BN70" s="13"/>
      <c r="BO70" s="13"/>
      <c r="BP70" s="13"/>
      <c r="BQ70" s="13"/>
      <c r="BR70" s="13"/>
      <c r="BS70" s="13"/>
      <c r="BT70" s="197"/>
      <c r="BU70" s="34"/>
      <c r="BV70" s="34"/>
      <c r="BW70" s="34"/>
    </row>
    <row r="71">
      <c r="A71" s="197"/>
      <c r="B71" s="34"/>
      <c r="C71" s="111"/>
      <c r="D71" s="34"/>
      <c r="E71" s="34"/>
      <c r="F71" s="34"/>
      <c r="G71" s="34"/>
      <c r="H71" s="197"/>
      <c r="I71" s="98"/>
      <c r="J71" s="69"/>
      <c r="K71" s="34"/>
      <c r="L71" s="34"/>
      <c r="M71" s="69"/>
      <c r="N71" s="69"/>
      <c r="O71" s="98"/>
      <c r="P71" s="183"/>
      <c r="Q71" s="34"/>
      <c r="R71" s="34"/>
      <c r="S71" s="69"/>
      <c r="T71" s="98"/>
      <c r="U71" s="98"/>
      <c r="V71" s="197"/>
      <c r="W71" s="13"/>
      <c r="X71" s="34"/>
      <c r="Y71" s="35"/>
      <c r="Z71" s="183"/>
      <c r="AA71" s="35"/>
      <c r="AB71" s="35"/>
      <c r="AC71" s="35"/>
      <c r="AD71" s="69"/>
      <c r="AE71" s="34"/>
      <c r="AF71" s="34"/>
      <c r="AG71" s="34"/>
      <c r="AH71" s="34"/>
      <c r="AI71" s="34"/>
      <c r="AJ71" s="34"/>
      <c r="AK71" s="34"/>
      <c r="AL71" s="26"/>
      <c r="AM71" s="34"/>
      <c r="AN71" s="13"/>
      <c r="AO71" s="13"/>
      <c r="AP71" s="13"/>
      <c r="AQ71" s="229"/>
      <c r="AR71" s="34"/>
      <c r="AS71" s="197"/>
      <c r="AT71" s="69"/>
      <c r="AU71" s="98"/>
      <c r="AV71" s="98"/>
      <c r="AW71" s="69"/>
      <c r="AX71" s="98"/>
      <c r="AY71" s="98"/>
      <c r="AZ71" s="69"/>
      <c r="BA71" s="69"/>
      <c r="BB71" s="69"/>
      <c r="BC71" s="69"/>
      <c r="BD71" s="69"/>
      <c r="BE71" s="34"/>
      <c r="BF71" s="69"/>
      <c r="BG71" s="69"/>
      <c r="BH71" s="34"/>
      <c r="BI71" s="34"/>
      <c r="BJ71" s="34"/>
      <c r="BK71" s="13"/>
      <c r="BL71" s="13"/>
      <c r="BM71" s="13"/>
      <c r="BN71" s="13"/>
      <c r="BO71" s="13"/>
      <c r="BP71" s="13"/>
      <c r="BQ71" s="13"/>
      <c r="BR71" s="13"/>
      <c r="BS71" s="13"/>
      <c r="BT71" s="197"/>
      <c r="BU71" s="34"/>
      <c r="BV71" s="34"/>
      <c r="BW71" s="34"/>
    </row>
    <row r="72">
      <c r="A72" s="197"/>
      <c r="B72" s="34"/>
      <c r="C72" s="111"/>
      <c r="D72" s="34"/>
      <c r="E72" s="34"/>
      <c r="F72" s="34"/>
      <c r="G72" s="34"/>
      <c r="H72" s="197"/>
      <c r="I72" s="98"/>
      <c r="J72" s="34"/>
      <c r="K72" s="34"/>
      <c r="L72" s="34"/>
      <c r="M72" s="69"/>
      <c r="N72" s="34"/>
      <c r="O72" s="98"/>
      <c r="P72" s="26"/>
      <c r="Q72" s="69"/>
      <c r="R72" s="69"/>
      <c r="S72" s="69"/>
      <c r="T72" s="98"/>
      <c r="U72" s="98"/>
      <c r="V72" s="197"/>
      <c r="W72" s="13"/>
      <c r="X72" s="34"/>
      <c r="Y72" s="35"/>
      <c r="Z72" s="26"/>
      <c r="AA72" s="35"/>
      <c r="AB72" s="35"/>
      <c r="AC72" s="35"/>
      <c r="AD72" s="34"/>
      <c r="AE72" s="34"/>
      <c r="AF72" s="34"/>
      <c r="AG72" s="34"/>
      <c r="AH72" s="34"/>
      <c r="AI72" s="34"/>
      <c r="AJ72" s="34"/>
      <c r="AK72" s="34"/>
      <c r="AL72" s="26"/>
      <c r="AM72" s="34"/>
      <c r="AN72" s="13"/>
      <c r="AO72" s="13"/>
      <c r="AP72" s="13"/>
      <c r="AQ72" s="229"/>
      <c r="AR72" s="34"/>
      <c r="AS72" s="197"/>
      <c r="AT72" s="69"/>
      <c r="AU72" s="98"/>
      <c r="AV72" s="98"/>
      <c r="AW72" s="69"/>
      <c r="AX72" s="98"/>
      <c r="AY72" s="98"/>
      <c r="AZ72" s="69"/>
      <c r="BA72" s="69"/>
      <c r="BB72" s="69"/>
      <c r="BC72" s="69"/>
      <c r="BD72" s="69"/>
      <c r="BE72" s="34"/>
      <c r="BF72" s="69"/>
      <c r="BG72" s="69"/>
      <c r="BH72" s="34"/>
      <c r="BI72" s="34"/>
      <c r="BJ72" s="34"/>
      <c r="BK72" s="13"/>
      <c r="BL72" s="13"/>
      <c r="BM72" s="13"/>
      <c r="BN72" s="13"/>
      <c r="BO72" s="13"/>
      <c r="BP72" s="13"/>
      <c r="BQ72" s="13"/>
      <c r="BR72" s="13"/>
      <c r="BS72" s="13"/>
      <c r="BT72" s="197"/>
      <c r="BU72" s="34"/>
      <c r="BV72" s="34"/>
      <c r="BW72" s="34"/>
    </row>
    <row r="73">
      <c r="A73" s="13"/>
      <c r="B73" s="13"/>
      <c r="C73" s="13"/>
      <c r="D73" s="13"/>
      <c r="E73" s="13"/>
      <c r="F73" s="69"/>
      <c r="G73" s="13"/>
      <c r="H73" s="13"/>
      <c r="I73" s="13"/>
      <c r="J73" s="13"/>
      <c r="K73" s="13"/>
      <c r="L73" s="13"/>
      <c r="M73" s="13"/>
      <c r="N73" s="35"/>
      <c r="O73" s="98"/>
      <c r="P73" s="183"/>
      <c r="Q73" s="13"/>
      <c r="R73" s="13"/>
      <c r="S73" s="13"/>
      <c r="T73" s="13"/>
      <c r="U73" s="13"/>
      <c r="V73" s="13"/>
      <c r="W73" s="13"/>
      <c r="X73" s="34"/>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98"/>
      <c r="AW73" s="13"/>
      <c r="AX73" s="13"/>
      <c r="AY73" s="13"/>
      <c r="AZ73" s="211"/>
      <c r="BA73" s="13"/>
      <c r="BB73" s="13"/>
      <c r="BC73" s="13"/>
      <c r="BD73" s="13"/>
      <c r="BE73" s="13"/>
      <c r="BF73" s="13"/>
      <c r="BG73" s="13"/>
      <c r="BH73" s="13"/>
      <c r="BI73" s="13"/>
      <c r="BJ73" s="13"/>
      <c r="BK73" s="13"/>
      <c r="BL73" s="13"/>
      <c r="BM73" s="13"/>
      <c r="BN73" s="13"/>
      <c r="BO73" s="13"/>
      <c r="BP73" s="13"/>
      <c r="BQ73" s="13"/>
      <c r="BR73" s="13"/>
      <c r="BS73" s="13"/>
      <c r="BT73" s="13"/>
      <c r="BU73" s="13"/>
      <c r="BV73" s="13"/>
      <c r="BW73" s="13"/>
    </row>
    <row r="74">
      <c r="A74" s="13"/>
      <c r="B74" s="13"/>
      <c r="C74" s="13"/>
      <c r="D74" s="13"/>
      <c r="E74" s="13"/>
      <c r="F74" s="35"/>
      <c r="G74" s="13"/>
      <c r="H74" s="13"/>
      <c r="I74" s="13"/>
      <c r="J74" s="13"/>
      <c r="K74" s="13"/>
      <c r="L74" s="13"/>
      <c r="M74" s="13"/>
      <c r="N74" s="35"/>
      <c r="O74" s="111"/>
      <c r="P74" s="30"/>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98"/>
      <c r="AW74" s="13"/>
      <c r="AX74" s="13"/>
      <c r="AY74" s="13"/>
      <c r="AZ74" s="211"/>
      <c r="BA74" s="13"/>
      <c r="BB74" s="13"/>
      <c r="BC74" s="13"/>
      <c r="BD74" s="13"/>
      <c r="BE74" s="13"/>
      <c r="BF74" s="13"/>
      <c r="BG74" s="13"/>
      <c r="BH74" s="13"/>
      <c r="BI74" s="13"/>
      <c r="BJ74" s="13"/>
      <c r="BK74" s="13"/>
      <c r="BL74" s="13"/>
      <c r="BM74" s="13"/>
      <c r="BN74" s="13"/>
      <c r="BO74" s="13"/>
      <c r="BP74" s="13"/>
      <c r="BQ74" s="13"/>
      <c r="BR74" s="13"/>
      <c r="BS74" s="13"/>
      <c r="BT74" s="13"/>
      <c r="BU74" s="13"/>
      <c r="BV74" s="13"/>
      <c r="BW74" s="13"/>
    </row>
    <row r="75">
      <c r="A75" s="111"/>
      <c r="B75" s="35"/>
      <c r="C75" s="111"/>
      <c r="D75" s="35"/>
      <c r="E75" s="197"/>
      <c r="F75" s="34"/>
      <c r="G75" s="34"/>
      <c r="H75" s="197"/>
      <c r="I75" s="197"/>
      <c r="J75" s="34"/>
      <c r="K75" s="34"/>
      <c r="L75" s="34"/>
      <c r="M75" s="69"/>
      <c r="N75" s="35"/>
      <c r="O75" s="111"/>
      <c r="P75" s="30"/>
      <c r="Q75" s="69"/>
      <c r="R75" s="69"/>
      <c r="S75" s="69"/>
      <c r="T75" s="197"/>
      <c r="U75" s="197"/>
      <c r="V75" s="197"/>
      <c r="W75" s="34"/>
      <c r="X75" s="35"/>
      <c r="Y75" s="35"/>
      <c r="Z75" s="30"/>
      <c r="AA75" s="247"/>
      <c r="AB75" s="248"/>
      <c r="AC75" s="247"/>
      <c r="AD75" s="35"/>
      <c r="AE75" s="34"/>
      <c r="AF75" s="34"/>
      <c r="AG75" s="34"/>
      <c r="AH75" s="35"/>
      <c r="AI75" s="34"/>
      <c r="AJ75" s="34"/>
      <c r="AK75" s="34"/>
      <c r="AL75" s="34"/>
      <c r="AM75" s="34"/>
      <c r="AN75" s="197"/>
      <c r="AO75" s="197"/>
      <c r="AP75" s="34"/>
      <c r="AQ75" s="111"/>
      <c r="AR75" s="34"/>
      <c r="AS75" s="111"/>
      <c r="AT75" s="69"/>
      <c r="AU75" s="111"/>
      <c r="AV75" s="111"/>
      <c r="AW75" s="247"/>
      <c r="AX75" s="111"/>
      <c r="AY75" s="111"/>
      <c r="AZ75" s="69"/>
      <c r="BA75" s="7"/>
      <c r="BB75" s="69"/>
      <c r="BC75" s="69"/>
      <c r="BD75" s="34"/>
      <c r="BE75" s="34"/>
      <c r="BF75" s="34"/>
      <c r="BG75" s="34"/>
      <c r="BH75" s="34"/>
      <c r="BI75" s="34"/>
      <c r="BJ75" s="34"/>
      <c r="BK75" s="197"/>
      <c r="BL75" s="98"/>
      <c r="BM75" s="69"/>
      <c r="BN75" s="69"/>
      <c r="BO75" s="69"/>
      <c r="BP75" s="69"/>
      <c r="BQ75" s="69"/>
      <c r="BR75" s="69"/>
      <c r="BS75" s="34"/>
      <c r="BT75" s="197"/>
      <c r="BU75" s="69"/>
      <c r="BV75" s="34"/>
      <c r="BW75" s="34"/>
    </row>
    <row r="76">
      <c r="A76" s="111"/>
      <c r="B76" s="35"/>
      <c r="C76" s="111"/>
      <c r="D76" s="35"/>
      <c r="E76" s="197"/>
      <c r="F76" s="34"/>
      <c r="G76" s="34"/>
      <c r="H76" s="197"/>
      <c r="I76" s="197"/>
      <c r="J76" s="34"/>
      <c r="K76" s="34"/>
      <c r="L76" s="34"/>
      <c r="M76" s="69"/>
      <c r="N76" s="35"/>
      <c r="O76" s="111"/>
      <c r="P76" s="30"/>
      <c r="Q76" s="69"/>
      <c r="R76" s="69"/>
      <c r="S76" s="69"/>
      <c r="T76" s="197"/>
      <c r="U76" s="197"/>
      <c r="V76" s="197"/>
      <c r="W76" s="34"/>
      <c r="X76" s="35"/>
      <c r="Y76" s="35"/>
      <c r="Z76" s="30"/>
      <c r="AA76" s="247"/>
      <c r="AB76" s="248"/>
      <c r="AC76" s="247"/>
      <c r="AD76" s="35"/>
      <c r="AE76" s="34"/>
      <c r="AF76" s="34"/>
      <c r="AG76" s="34"/>
      <c r="AH76" s="35"/>
      <c r="AI76" s="34"/>
      <c r="AJ76" s="34"/>
      <c r="AK76" s="34"/>
      <c r="AL76" s="34"/>
      <c r="AM76" s="34"/>
      <c r="AN76" s="197"/>
      <c r="AO76" s="197"/>
      <c r="AP76" s="34"/>
      <c r="AQ76" s="111"/>
      <c r="AR76" s="34"/>
      <c r="AS76" s="111"/>
      <c r="AT76" s="69"/>
      <c r="AU76" s="111"/>
      <c r="AV76" s="111"/>
      <c r="AW76" s="247"/>
      <c r="AX76" s="111"/>
      <c r="AY76" s="111"/>
      <c r="AZ76" s="69"/>
      <c r="BA76" s="7"/>
      <c r="BB76" s="69"/>
      <c r="BC76" s="69"/>
      <c r="BD76" s="34"/>
      <c r="BE76" s="34"/>
      <c r="BF76" s="34"/>
      <c r="BG76" s="34"/>
      <c r="BH76" s="34"/>
      <c r="BI76" s="34"/>
      <c r="BJ76" s="34"/>
      <c r="BK76" s="197"/>
      <c r="BL76" s="98"/>
      <c r="BM76" s="69"/>
      <c r="BN76" s="69"/>
      <c r="BO76" s="69"/>
      <c r="BP76" s="69"/>
      <c r="BQ76" s="69"/>
      <c r="BR76" s="69"/>
      <c r="BS76" s="34"/>
      <c r="BT76" s="197"/>
      <c r="BU76" s="69"/>
      <c r="BV76" s="34"/>
      <c r="BW76" s="34"/>
    </row>
    <row r="77">
      <c r="A77" s="111"/>
      <c r="B77" s="35"/>
      <c r="C77" s="111"/>
      <c r="D77" s="35"/>
      <c r="E77" s="197"/>
      <c r="F77" s="34"/>
      <c r="G77" s="34"/>
      <c r="H77" s="197"/>
      <c r="I77" s="197"/>
      <c r="J77" s="34"/>
      <c r="K77" s="34"/>
      <c r="L77" s="34"/>
      <c r="M77" s="69"/>
      <c r="N77" s="35"/>
      <c r="O77" s="111"/>
      <c r="P77" s="30"/>
      <c r="Q77" s="69"/>
      <c r="R77" s="69"/>
      <c r="S77" s="69"/>
      <c r="T77" s="197"/>
      <c r="U77" s="197"/>
      <c r="V77" s="197"/>
      <c r="W77" s="34"/>
      <c r="X77" s="35"/>
      <c r="Y77" s="35"/>
      <c r="Z77" s="211"/>
      <c r="AA77" s="247"/>
      <c r="AB77" s="211"/>
      <c r="AC77" s="247"/>
      <c r="AD77" s="35"/>
      <c r="AE77" s="34"/>
      <c r="AF77" s="34"/>
      <c r="AG77" s="34"/>
      <c r="AH77" s="35"/>
      <c r="AI77" s="34"/>
      <c r="AJ77" s="34"/>
      <c r="AK77" s="34"/>
      <c r="AL77" s="34"/>
      <c r="AM77" s="34"/>
      <c r="AN77" s="197"/>
      <c r="AO77" s="197"/>
      <c r="AP77" s="34"/>
      <c r="AQ77" s="111"/>
      <c r="AR77" s="34"/>
      <c r="AS77" s="111"/>
      <c r="AT77" s="69"/>
      <c r="AU77" s="111"/>
      <c r="AV77" s="111"/>
      <c r="AW77" s="247"/>
      <c r="AX77" s="111"/>
      <c r="AY77" s="111"/>
      <c r="AZ77" s="69"/>
      <c r="BA77" s="7"/>
      <c r="BB77" s="69"/>
      <c r="BC77" s="69"/>
      <c r="BD77" s="34"/>
      <c r="BE77" s="34"/>
      <c r="BF77" s="34"/>
      <c r="BG77" s="34"/>
      <c r="BH77" s="34"/>
      <c r="BI77" s="34"/>
      <c r="BJ77" s="34"/>
      <c r="BK77" s="197"/>
      <c r="BL77" s="98"/>
      <c r="BM77" s="69"/>
      <c r="BN77" s="69"/>
      <c r="BO77" s="69"/>
      <c r="BP77" s="69"/>
      <c r="BQ77" s="69"/>
      <c r="BR77" s="69"/>
      <c r="BS77" s="34"/>
      <c r="BT77" s="197"/>
      <c r="BU77" s="69"/>
      <c r="BV77" s="34"/>
      <c r="BW77" s="34"/>
    </row>
    <row r="78">
      <c r="A78" s="111"/>
      <c r="B78" s="35"/>
      <c r="C78" s="111"/>
      <c r="D78" s="35"/>
      <c r="E78" s="197"/>
      <c r="F78" s="34"/>
      <c r="G78" s="34"/>
      <c r="H78" s="197"/>
      <c r="I78" s="197"/>
      <c r="J78" s="34"/>
      <c r="K78" s="34"/>
      <c r="L78" s="34"/>
      <c r="M78" s="69"/>
      <c r="N78" s="35"/>
      <c r="O78" s="111"/>
      <c r="P78" s="30"/>
      <c r="Q78" s="69"/>
      <c r="R78" s="69"/>
      <c r="S78" s="69"/>
      <c r="T78" s="197"/>
      <c r="U78" s="197"/>
      <c r="V78" s="197"/>
      <c r="W78" s="34"/>
      <c r="X78" s="35"/>
      <c r="Y78" s="35"/>
      <c r="Z78" s="211"/>
      <c r="AA78" s="247"/>
      <c r="AB78" s="211"/>
      <c r="AC78" s="247"/>
      <c r="AD78" s="35"/>
      <c r="AE78" s="34"/>
      <c r="AF78" s="34"/>
      <c r="AG78" s="34"/>
      <c r="AH78" s="35"/>
      <c r="AI78" s="34"/>
      <c r="AJ78" s="34"/>
      <c r="AK78" s="34"/>
      <c r="AL78" s="34"/>
      <c r="AM78" s="34"/>
      <c r="AN78" s="197"/>
      <c r="AO78" s="197"/>
      <c r="AP78" s="34"/>
      <c r="AQ78" s="111"/>
      <c r="AR78" s="34"/>
      <c r="AS78" s="111"/>
      <c r="AT78" s="69"/>
      <c r="AU78" s="111"/>
      <c r="AV78" s="111"/>
      <c r="AW78" s="247"/>
      <c r="AX78" s="111"/>
      <c r="AY78" s="111"/>
      <c r="AZ78" s="69"/>
      <c r="BA78" s="7"/>
      <c r="BB78" s="69"/>
      <c r="BC78" s="69"/>
      <c r="BD78" s="34"/>
      <c r="BE78" s="34"/>
      <c r="BF78" s="34"/>
      <c r="BG78" s="34"/>
      <c r="BH78" s="34"/>
      <c r="BI78" s="34"/>
      <c r="BJ78" s="34"/>
      <c r="BK78" s="197"/>
      <c r="BL78" s="98"/>
      <c r="BM78" s="69"/>
      <c r="BN78" s="69"/>
      <c r="BO78" s="69"/>
      <c r="BP78" s="69"/>
      <c r="BQ78" s="69"/>
      <c r="BR78" s="69"/>
      <c r="BS78" s="34"/>
      <c r="BT78" s="197"/>
      <c r="BU78" s="69"/>
      <c r="BV78" s="34"/>
      <c r="BW78" s="34"/>
    </row>
    <row r="79">
      <c r="A79" s="197"/>
      <c r="B79" s="34"/>
      <c r="C79" s="111"/>
      <c r="D79" s="34"/>
      <c r="E79" s="197"/>
      <c r="F79" s="34"/>
      <c r="G79" s="34"/>
      <c r="H79" s="197"/>
      <c r="I79" s="197"/>
      <c r="J79" s="34"/>
      <c r="K79" s="34"/>
      <c r="L79" s="34"/>
      <c r="M79" s="69"/>
      <c r="N79" s="69"/>
      <c r="O79" s="98"/>
      <c r="P79" s="26"/>
      <c r="Q79" s="69"/>
      <c r="R79" s="69"/>
      <c r="S79" s="69"/>
      <c r="T79" s="197"/>
      <c r="U79" s="197"/>
      <c r="V79" s="197"/>
      <c r="W79" s="34"/>
      <c r="X79" s="34"/>
      <c r="Y79" s="34"/>
      <c r="Z79" s="211"/>
      <c r="AA79" s="247"/>
      <c r="AB79" s="211"/>
      <c r="AC79" s="247"/>
      <c r="AD79" s="34"/>
      <c r="AE79" s="34"/>
      <c r="AF79" s="34"/>
      <c r="AG79" s="34"/>
      <c r="AH79" s="34"/>
      <c r="AI79" s="34"/>
      <c r="AJ79" s="34"/>
      <c r="AK79" s="34"/>
      <c r="AL79" s="34"/>
      <c r="AM79" s="34"/>
      <c r="AN79" s="197"/>
      <c r="AO79" s="197"/>
      <c r="AP79" s="34"/>
      <c r="AQ79" s="197"/>
      <c r="AR79" s="34"/>
      <c r="AS79" s="197"/>
      <c r="AT79" s="69"/>
      <c r="AU79" s="197"/>
      <c r="AV79" s="197"/>
      <c r="AW79" s="249"/>
      <c r="AX79" s="98"/>
      <c r="AY79" s="98"/>
      <c r="AZ79" s="69"/>
      <c r="BA79" s="69"/>
      <c r="BB79" s="69"/>
      <c r="BC79" s="69"/>
      <c r="BD79" s="34"/>
      <c r="BE79" s="34"/>
      <c r="BF79" s="34"/>
      <c r="BG79" s="34"/>
      <c r="BH79" s="34"/>
      <c r="BI79" s="34"/>
      <c r="BJ79" s="34"/>
      <c r="BK79" s="197"/>
      <c r="BL79" s="98"/>
      <c r="BM79" s="69"/>
      <c r="BN79" s="69"/>
      <c r="BO79" s="69"/>
      <c r="BP79" s="69"/>
      <c r="BQ79" s="69"/>
      <c r="BR79" s="69"/>
      <c r="BS79" s="34"/>
      <c r="BT79" s="197"/>
      <c r="BU79" s="69"/>
      <c r="BV79" s="34"/>
      <c r="BW79" s="34"/>
    </row>
    <row r="80">
      <c r="A80" s="197"/>
      <c r="B80" s="34"/>
      <c r="C80" s="111"/>
      <c r="D80" s="34"/>
      <c r="E80" s="197"/>
      <c r="F80" s="34"/>
      <c r="G80" s="34"/>
      <c r="H80" s="197"/>
      <c r="I80" s="197"/>
      <c r="J80" s="69"/>
      <c r="K80" s="34"/>
      <c r="L80" s="34"/>
      <c r="M80" s="69"/>
      <c r="N80" s="34"/>
      <c r="O80" s="98"/>
      <c r="P80" s="26"/>
      <c r="Q80" s="69"/>
      <c r="R80" s="69"/>
      <c r="S80" s="69"/>
      <c r="T80" s="197"/>
      <c r="U80" s="34"/>
      <c r="V80" s="197"/>
      <c r="W80" s="34"/>
      <c r="X80" s="69"/>
      <c r="Y80" s="35"/>
      <c r="Z80" s="211"/>
      <c r="AA80" s="35"/>
      <c r="AB80" s="211"/>
      <c r="AC80" s="35"/>
      <c r="AD80" s="34"/>
      <c r="AE80" s="34"/>
      <c r="AF80" s="34"/>
      <c r="AG80" s="34"/>
      <c r="AH80" s="34"/>
      <c r="AI80" s="34"/>
      <c r="AJ80" s="34"/>
      <c r="AK80" s="34"/>
      <c r="AL80" s="34"/>
      <c r="AM80" s="34"/>
      <c r="AN80" s="197"/>
      <c r="AO80" s="197"/>
      <c r="AP80" s="34"/>
      <c r="AQ80" s="197"/>
      <c r="AR80" s="34"/>
      <c r="AS80" s="197"/>
      <c r="AT80" s="69"/>
      <c r="AU80" s="98"/>
      <c r="AV80" s="98"/>
      <c r="AW80" s="69"/>
      <c r="AX80" s="98"/>
      <c r="AY80" s="98"/>
      <c r="AZ80" s="69"/>
      <c r="BA80" s="69"/>
      <c r="BB80" s="69"/>
      <c r="BC80" s="69"/>
      <c r="BD80" s="34"/>
      <c r="BE80" s="69"/>
      <c r="BF80" s="69"/>
      <c r="BG80" s="69"/>
      <c r="BH80" s="69"/>
      <c r="BI80" s="69"/>
      <c r="BJ80" s="69"/>
      <c r="BK80" s="98"/>
      <c r="BL80" s="98"/>
      <c r="BM80" s="69"/>
      <c r="BN80" s="69"/>
      <c r="BO80" s="69"/>
      <c r="BP80" s="69"/>
      <c r="BQ80" s="69"/>
      <c r="BR80" s="69"/>
      <c r="BS80" s="34"/>
      <c r="BT80" s="197"/>
      <c r="BU80" s="34"/>
      <c r="BV80" s="34"/>
      <c r="BW80" s="34"/>
    </row>
    <row r="81">
      <c r="A81" s="197"/>
      <c r="B81" s="34"/>
      <c r="C81" s="111"/>
      <c r="D81" s="34"/>
      <c r="E81" s="197"/>
      <c r="F81" s="34"/>
      <c r="G81" s="34"/>
      <c r="H81" s="197"/>
      <c r="I81" s="197"/>
      <c r="J81" s="34"/>
      <c r="K81" s="34"/>
      <c r="L81" s="34"/>
      <c r="M81" s="69"/>
      <c r="N81" s="34"/>
      <c r="O81" s="98"/>
      <c r="P81" s="26"/>
      <c r="Q81" s="69"/>
      <c r="R81" s="69"/>
      <c r="S81" s="69"/>
      <c r="T81" s="197"/>
      <c r="U81" s="197"/>
      <c r="V81" s="197"/>
      <c r="W81" s="34"/>
      <c r="X81" s="34"/>
      <c r="Y81" s="35"/>
      <c r="Z81" s="35"/>
      <c r="AA81" s="35"/>
      <c r="AB81" s="35"/>
      <c r="AC81" s="35"/>
      <c r="AD81" s="34"/>
      <c r="AE81" s="34"/>
      <c r="AF81" s="34"/>
      <c r="AG81" s="34"/>
      <c r="AH81" s="34"/>
      <c r="AI81" s="34"/>
      <c r="AJ81" s="34"/>
      <c r="AK81" s="34"/>
      <c r="AL81" s="34"/>
      <c r="AM81" s="250"/>
      <c r="AN81" s="197"/>
      <c r="AO81" s="197"/>
      <c r="AP81" s="34"/>
      <c r="AQ81" s="197"/>
      <c r="AR81" s="34"/>
      <c r="AS81" s="197"/>
      <c r="AT81" s="69"/>
      <c r="AU81" s="98"/>
      <c r="AV81" s="98"/>
      <c r="AW81" s="35"/>
      <c r="AX81" s="98"/>
      <c r="AY81" s="98"/>
      <c r="AZ81" s="34"/>
      <c r="BA81" s="69"/>
      <c r="BB81" s="69"/>
      <c r="BC81" s="69"/>
      <c r="BD81" s="34"/>
      <c r="BE81" s="69"/>
      <c r="BF81" s="69"/>
      <c r="BG81" s="69"/>
      <c r="BH81" s="69"/>
      <c r="BI81" s="69"/>
      <c r="BJ81" s="69"/>
      <c r="BK81" s="98"/>
      <c r="BL81" s="98"/>
      <c r="BM81" s="69"/>
      <c r="BN81" s="69"/>
      <c r="BO81" s="69"/>
      <c r="BP81" s="69"/>
      <c r="BQ81" s="69"/>
      <c r="BR81" s="69"/>
      <c r="BS81" s="34"/>
      <c r="BT81" s="197"/>
      <c r="BU81" s="34"/>
      <c r="BV81" s="34"/>
      <c r="BW81" s="34"/>
    </row>
    <row r="82">
      <c r="A82" s="197"/>
      <c r="B82" s="34"/>
      <c r="C82" s="111"/>
      <c r="D82" s="34"/>
      <c r="E82" s="197"/>
      <c r="F82" s="34"/>
      <c r="G82" s="34"/>
      <c r="H82" s="197"/>
      <c r="I82" s="197"/>
      <c r="J82" s="34"/>
      <c r="K82" s="34"/>
      <c r="L82" s="34"/>
      <c r="M82" s="69"/>
      <c r="N82" s="34"/>
      <c r="O82" s="197"/>
      <c r="P82" s="211"/>
      <c r="Q82" s="69"/>
      <c r="R82" s="69"/>
      <c r="S82" s="69"/>
      <c r="T82" s="197"/>
      <c r="U82" s="197"/>
      <c r="V82" s="197"/>
      <c r="W82" s="34"/>
      <c r="X82" s="34"/>
      <c r="Y82" s="35"/>
      <c r="Z82" s="35"/>
      <c r="AA82" s="34"/>
      <c r="AB82" s="35"/>
      <c r="AC82" s="35"/>
      <c r="AD82" s="34"/>
      <c r="AE82" s="34"/>
      <c r="AF82" s="34"/>
      <c r="AG82" s="34"/>
      <c r="AH82" s="34"/>
      <c r="AI82" s="34"/>
      <c r="AJ82" s="34"/>
      <c r="AK82" s="34"/>
      <c r="AL82" s="34"/>
      <c r="AM82" s="34"/>
      <c r="AN82" s="197"/>
      <c r="AO82" s="197"/>
      <c r="AP82" s="34"/>
      <c r="AQ82" s="197"/>
      <c r="AR82" s="34"/>
      <c r="AS82" s="197"/>
      <c r="AT82" s="34"/>
      <c r="AU82" s="98"/>
      <c r="AV82" s="98"/>
      <c r="AW82" s="69"/>
      <c r="AX82" s="98"/>
      <c r="AY82" s="98"/>
      <c r="AZ82" s="26"/>
      <c r="BA82" s="69"/>
      <c r="BB82" s="69"/>
      <c r="BC82" s="69"/>
      <c r="BD82" s="34"/>
      <c r="BE82" s="69"/>
      <c r="BF82" s="69"/>
      <c r="BG82" s="69"/>
      <c r="BH82" s="69"/>
      <c r="BI82" s="69"/>
      <c r="BJ82" s="69"/>
      <c r="BK82" s="98"/>
      <c r="BL82" s="98"/>
      <c r="BM82" s="69"/>
      <c r="BN82" s="69"/>
      <c r="BO82" s="69"/>
      <c r="BP82" s="69"/>
      <c r="BQ82" s="69"/>
      <c r="BR82" s="69"/>
      <c r="BS82" s="34"/>
      <c r="BT82" s="197"/>
      <c r="BU82" s="69"/>
      <c r="BV82" s="34"/>
      <c r="BW82" s="34"/>
    </row>
    <row r="83">
      <c r="A83" s="197"/>
      <c r="B83" s="34"/>
      <c r="C83" s="111"/>
      <c r="D83" s="34"/>
      <c r="E83" s="197"/>
      <c r="F83" s="34"/>
      <c r="G83" s="34"/>
      <c r="H83" s="197"/>
      <c r="I83" s="197"/>
      <c r="J83" s="34"/>
      <c r="K83" s="34"/>
      <c r="L83" s="34"/>
      <c r="M83" s="69"/>
      <c r="N83" s="34"/>
      <c r="O83" s="98"/>
      <c r="P83" s="26"/>
      <c r="Q83" s="69"/>
      <c r="R83" s="69"/>
      <c r="S83" s="69"/>
      <c r="T83" s="197"/>
      <c r="U83" s="197"/>
      <c r="V83" s="197"/>
      <c r="W83" s="34"/>
      <c r="X83" s="34"/>
      <c r="Y83" s="35"/>
      <c r="Z83" s="35"/>
      <c r="AA83" s="34"/>
      <c r="AB83" s="35"/>
      <c r="AC83" s="35"/>
      <c r="AD83" s="34"/>
      <c r="AE83" s="34"/>
      <c r="AF83" s="34"/>
      <c r="AG83" s="34"/>
      <c r="AH83" s="34"/>
      <c r="AI83" s="34"/>
      <c r="AJ83" s="34"/>
      <c r="AK83" s="34"/>
      <c r="AL83" s="34"/>
      <c r="AM83" s="34"/>
      <c r="AN83" s="197"/>
      <c r="AO83" s="197"/>
      <c r="AP83" s="34"/>
      <c r="AQ83" s="197"/>
      <c r="AR83" s="34"/>
      <c r="AS83" s="197"/>
      <c r="AT83" s="69"/>
      <c r="AU83" s="98"/>
      <c r="AV83" s="98"/>
      <c r="AW83" s="35"/>
      <c r="AX83" s="98"/>
      <c r="AY83" s="98"/>
      <c r="AZ83" s="26"/>
      <c r="BA83" s="69"/>
      <c r="BB83" s="69"/>
      <c r="BC83" s="69"/>
      <c r="BD83" s="34"/>
      <c r="BE83" s="69"/>
      <c r="BF83" s="69"/>
      <c r="BG83" s="69"/>
      <c r="BH83" s="69"/>
      <c r="BI83" s="69"/>
      <c r="BJ83" s="69"/>
      <c r="BK83" s="98"/>
      <c r="BL83" s="98"/>
      <c r="BM83" s="69"/>
      <c r="BN83" s="69"/>
      <c r="BO83" s="69"/>
      <c r="BP83" s="69"/>
      <c r="BQ83" s="69"/>
      <c r="BR83" s="69"/>
      <c r="BS83" s="34"/>
      <c r="BT83" s="197"/>
      <c r="BU83" s="69"/>
      <c r="BV83" s="34"/>
      <c r="BW83" s="34"/>
    </row>
    <row r="84">
      <c r="A84" s="197"/>
      <c r="B84" s="34"/>
      <c r="C84" s="111"/>
      <c r="D84" s="34"/>
      <c r="E84" s="197"/>
      <c r="F84" s="34"/>
      <c r="G84" s="34"/>
      <c r="H84" s="197"/>
      <c r="I84" s="197"/>
      <c r="J84" s="34"/>
      <c r="K84" s="34"/>
      <c r="L84" s="34"/>
      <c r="M84" s="69"/>
      <c r="N84" s="34"/>
      <c r="O84" s="98"/>
      <c r="P84" s="26"/>
      <c r="Q84" s="69"/>
      <c r="R84" s="69"/>
      <c r="S84" s="69"/>
      <c r="T84" s="197"/>
      <c r="U84" s="197"/>
      <c r="V84" s="197"/>
      <c r="W84" s="34"/>
      <c r="X84" s="34"/>
      <c r="Y84" s="35"/>
      <c r="Z84" s="35"/>
      <c r="AA84" s="35"/>
      <c r="AB84" s="35"/>
      <c r="AC84" s="35"/>
      <c r="AD84" s="34"/>
      <c r="AE84" s="34"/>
      <c r="AF84" s="34"/>
      <c r="AG84" s="34"/>
      <c r="AH84" s="34"/>
      <c r="AI84" s="34"/>
      <c r="AJ84" s="34"/>
      <c r="AK84" s="34"/>
      <c r="AL84" s="34"/>
      <c r="AM84" s="26"/>
      <c r="AN84" s="197"/>
      <c r="AO84" s="197"/>
      <c r="AP84" s="34"/>
      <c r="AQ84" s="197"/>
      <c r="AR84" s="34"/>
      <c r="AS84" s="197"/>
      <c r="AT84" s="69"/>
      <c r="AU84" s="98"/>
      <c r="AV84" s="98"/>
      <c r="AW84" s="35"/>
      <c r="AX84" s="98"/>
      <c r="AY84" s="98"/>
      <c r="AZ84" s="69"/>
      <c r="BA84" s="69"/>
      <c r="BB84" s="69"/>
      <c r="BC84" s="69"/>
      <c r="BD84" s="34"/>
      <c r="BE84" s="69"/>
      <c r="BF84" s="69"/>
      <c r="BG84" s="69"/>
      <c r="BH84" s="69"/>
      <c r="BI84" s="69"/>
      <c r="BJ84" s="69"/>
      <c r="BK84" s="98"/>
      <c r="BL84" s="98"/>
      <c r="BM84" s="69"/>
      <c r="BN84" s="69"/>
      <c r="BO84" s="69"/>
      <c r="BP84" s="69"/>
      <c r="BQ84" s="69"/>
      <c r="BR84" s="69"/>
      <c r="BS84" s="34"/>
      <c r="BT84" s="197"/>
      <c r="BU84" s="69"/>
      <c r="BV84" s="34"/>
      <c r="BW84" s="34"/>
    </row>
    <row r="85">
      <c r="A85" s="197"/>
      <c r="B85" s="34"/>
      <c r="C85" s="111"/>
      <c r="D85" s="34"/>
      <c r="E85" s="197"/>
      <c r="F85" s="34"/>
      <c r="G85" s="34"/>
      <c r="H85" s="197"/>
      <c r="I85" s="197"/>
      <c r="J85" s="34"/>
      <c r="K85" s="34"/>
      <c r="L85" s="34"/>
      <c r="M85" s="69"/>
      <c r="N85" s="34"/>
      <c r="O85" s="98"/>
      <c r="P85" s="26"/>
      <c r="Q85" s="69"/>
      <c r="R85" s="69"/>
      <c r="S85" s="69"/>
      <c r="T85" s="197"/>
      <c r="U85" s="197"/>
      <c r="V85" s="197"/>
      <c r="W85" s="34"/>
      <c r="X85" s="34"/>
      <c r="Y85" s="35"/>
      <c r="Z85" s="211"/>
      <c r="AA85" s="34"/>
      <c r="AB85" s="211"/>
      <c r="AC85" s="35"/>
      <c r="AD85" s="34"/>
      <c r="AE85" s="34"/>
      <c r="AF85" s="34"/>
      <c r="AG85" s="34"/>
      <c r="AH85" s="34"/>
      <c r="AI85" s="34"/>
      <c r="AJ85" s="34"/>
      <c r="AK85" s="34"/>
      <c r="AL85" s="250"/>
      <c r="AM85" s="250"/>
      <c r="AN85" s="197"/>
      <c r="AO85" s="197"/>
      <c r="AP85" s="34"/>
      <c r="AQ85" s="197"/>
      <c r="AR85" s="34"/>
      <c r="AS85" s="197"/>
      <c r="AT85" s="69"/>
      <c r="AU85" s="98"/>
      <c r="AV85" s="98"/>
      <c r="AW85" s="35"/>
      <c r="AX85" s="98"/>
      <c r="AY85" s="98"/>
      <c r="AZ85" s="69"/>
      <c r="BA85" s="69"/>
      <c r="BB85" s="69"/>
      <c r="BC85" s="69"/>
      <c r="BD85" s="34"/>
      <c r="BE85" s="69"/>
      <c r="BF85" s="69"/>
      <c r="BG85" s="69"/>
      <c r="BH85" s="69"/>
      <c r="BI85" s="69"/>
      <c r="BJ85" s="69"/>
      <c r="BK85" s="98"/>
      <c r="BL85" s="98"/>
      <c r="BM85" s="69"/>
      <c r="BN85" s="69"/>
      <c r="BO85" s="69"/>
      <c r="BP85" s="69"/>
      <c r="BQ85" s="69"/>
      <c r="BR85" s="69"/>
      <c r="BS85" s="34"/>
      <c r="BT85" s="197"/>
      <c r="BU85" s="69"/>
      <c r="BV85" s="34"/>
      <c r="BW85" s="34"/>
    </row>
    <row r="86">
      <c r="A86" s="197"/>
      <c r="B86" s="34"/>
      <c r="C86" s="111"/>
      <c r="D86" s="34"/>
      <c r="E86" s="197"/>
      <c r="F86" s="34"/>
      <c r="G86" s="34"/>
      <c r="H86" s="197"/>
      <c r="I86" s="197"/>
      <c r="J86" s="34"/>
      <c r="K86" s="34"/>
      <c r="L86" s="34"/>
      <c r="M86" s="69"/>
      <c r="N86" s="34"/>
      <c r="O86" s="98"/>
      <c r="P86" s="26"/>
      <c r="Q86" s="69"/>
      <c r="R86" s="69"/>
      <c r="S86" s="69"/>
      <c r="T86" s="197"/>
      <c r="U86" s="197"/>
      <c r="V86" s="197"/>
      <c r="W86" s="34"/>
      <c r="X86" s="34"/>
      <c r="Y86" s="35"/>
      <c r="Z86" s="35"/>
      <c r="AA86" s="35"/>
      <c r="AB86" s="35"/>
      <c r="AC86" s="35"/>
      <c r="AD86" s="34"/>
      <c r="AE86" s="34"/>
      <c r="AF86" s="34"/>
      <c r="AG86" s="34"/>
      <c r="AH86" s="34"/>
      <c r="AI86" s="34"/>
      <c r="AJ86" s="34"/>
      <c r="AK86" s="34"/>
      <c r="AL86" s="250"/>
      <c r="AM86" s="250"/>
      <c r="AN86" s="197"/>
      <c r="AO86" s="197"/>
      <c r="AP86" s="34"/>
      <c r="AQ86" s="197"/>
      <c r="AR86" s="34"/>
      <c r="AS86" s="197"/>
      <c r="AT86" s="69"/>
      <c r="AU86" s="98"/>
      <c r="AV86" s="98"/>
      <c r="AW86" s="35"/>
      <c r="AX86" s="98"/>
      <c r="AY86" s="98"/>
      <c r="AZ86" s="69"/>
      <c r="BA86" s="69"/>
      <c r="BB86" s="69"/>
      <c r="BC86" s="69"/>
      <c r="BD86" s="34"/>
      <c r="BE86" s="69"/>
      <c r="BF86" s="69"/>
      <c r="BG86" s="69"/>
      <c r="BH86" s="69"/>
      <c r="BI86" s="69"/>
      <c r="BJ86" s="69"/>
      <c r="BK86" s="98"/>
      <c r="BL86" s="98"/>
      <c r="BM86" s="69"/>
      <c r="BN86" s="69"/>
      <c r="BO86" s="69"/>
      <c r="BP86" s="69"/>
      <c r="BQ86" s="69"/>
      <c r="BR86" s="69"/>
      <c r="BS86" s="34"/>
      <c r="BT86" s="197"/>
      <c r="BU86" s="69"/>
      <c r="BV86" s="34"/>
      <c r="BW86" s="34"/>
    </row>
    <row r="87">
      <c r="A87" s="197"/>
      <c r="B87" s="34"/>
      <c r="C87" s="111"/>
      <c r="D87" s="34"/>
      <c r="E87" s="34"/>
      <c r="F87" s="34"/>
      <c r="G87" s="34"/>
      <c r="H87" s="197"/>
      <c r="I87" s="98"/>
      <c r="J87" s="34"/>
      <c r="K87" s="34"/>
      <c r="L87" s="34"/>
      <c r="M87" s="69"/>
      <c r="N87" s="69"/>
      <c r="O87" s="98"/>
      <c r="P87" s="183"/>
      <c r="Q87" s="69"/>
      <c r="R87" s="69"/>
      <c r="S87" s="69"/>
      <c r="T87" s="98"/>
      <c r="U87" s="69"/>
      <c r="V87" s="34"/>
      <c r="W87" s="13"/>
      <c r="X87" s="34"/>
      <c r="Y87" s="34"/>
      <c r="Z87" s="35"/>
      <c r="AA87" s="34"/>
      <c r="AB87" s="34"/>
      <c r="AC87" s="34"/>
      <c r="AD87" s="34"/>
      <c r="AE87" s="34"/>
      <c r="AF87" s="34"/>
      <c r="AG87" s="34"/>
      <c r="AH87" s="34"/>
      <c r="AI87" s="34"/>
      <c r="AJ87" s="34"/>
      <c r="AK87" s="34"/>
      <c r="AL87" s="34"/>
      <c r="AM87" s="34"/>
      <c r="AN87" s="13"/>
      <c r="AO87" s="13"/>
      <c r="AP87" s="13"/>
      <c r="AQ87" s="197"/>
      <c r="AR87" s="34"/>
      <c r="AS87" s="197"/>
      <c r="AT87" s="69"/>
      <c r="AU87" s="98"/>
      <c r="AV87" s="98"/>
      <c r="AW87" s="69"/>
      <c r="AX87" s="98"/>
      <c r="AY87" s="98"/>
      <c r="AZ87" s="69"/>
      <c r="BA87" s="69"/>
      <c r="BB87" s="69"/>
      <c r="BC87" s="69"/>
      <c r="BD87" s="69"/>
      <c r="BE87" s="34"/>
      <c r="BF87" s="69"/>
      <c r="BG87" s="69"/>
      <c r="BH87" s="34"/>
      <c r="BI87" s="34"/>
      <c r="BJ87" s="34"/>
      <c r="BK87" s="13"/>
      <c r="BL87" s="13"/>
      <c r="BM87" s="13"/>
      <c r="BN87" s="13"/>
      <c r="BO87" s="13"/>
      <c r="BP87" s="13"/>
      <c r="BQ87" s="13"/>
      <c r="BR87" s="13"/>
      <c r="BS87" s="13"/>
      <c r="BT87" s="34"/>
      <c r="BU87" s="34"/>
      <c r="BV87" s="34"/>
      <c r="BW87" s="34"/>
    </row>
    <row r="88">
      <c r="A88" s="197"/>
      <c r="B88" s="34"/>
      <c r="C88" s="111"/>
      <c r="D88" s="35"/>
      <c r="E88" s="34"/>
      <c r="F88" s="35"/>
      <c r="G88" s="34"/>
      <c r="H88" s="197"/>
      <c r="I88" s="98"/>
      <c r="J88" s="34"/>
      <c r="K88" s="34"/>
      <c r="L88" s="34"/>
      <c r="M88" s="69"/>
      <c r="N88" s="35"/>
      <c r="O88" s="111"/>
      <c r="P88" s="183"/>
      <c r="Q88" s="69"/>
      <c r="R88" s="69"/>
      <c r="S88" s="69"/>
      <c r="T88" s="98"/>
      <c r="U88" s="69"/>
      <c r="V88" s="34"/>
      <c r="W88" s="13"/>
      <c r="X88" s="34"/>
      <c r="Y88" s="35"/>
      <c r="Z88" s="35"/>
      <c r="AA88" s="35"/>
      <c r="AB88" s="34"/>
      <c r="AC88" s="35"/>
      <c r="AD88" s="13"/>
      <c r="AE88" s="34"/>
      <c r="AF88" s="34"/>
      <c r="AG88" s="34"/>
      <c r="AH88" s="6"/>
      <c r="AI88" s="34"/>
      <c r="AJ88" s="34"/>
      <c r="AK88" s="34"/>
      <c r="AL88" s="34"/>
      <c r="AM88" s="34"/>
      <c r="AN88" s="13"/>
      <c r="AO88" s="13"/>
      <c r="AP88" s="13"/>
      <c r="AQ88" s="197"/>
      <c r="AR88" s="34"/>
      <c r="AS88" s="197"/>
      <c r="AT88" s="69"/>
      <c r="AU88" s="98"/>
      <c r="AV88" s="111"/>
      <c r="AW88" s="35"/>
      <c r="AX88" s="98"/>
      <c r="AY88" s="98"/>
      <c r="AZ88" s="211"/>
      <c r="BA88" s="69"/>
      <c r="BB88" s="69"/>
      <c r="BC88" s="69"/>
      <c r="BD88" s="69"/>
      <c r="BE88" s="34"/>
      <c r="BF88" s="69"/>
      <c r="BG88" s="69"/>
      <c r="BH88" s="34"/>
      <c r="BI88" s="34"/>
      <c r="BJ88" s="34"/>
      <c r="BK88" s="13"/>
      <c r="BL88" s="13"/>
      <c r="BM88" s="13"/>
      <c r="BN88" s="13"/>
      <c r="BO88" s="13"/>
      <c r="BP88" s="13"/>
      <c r="BQ88" s="13"/>
      <c r="BR88" s="13"/>
      <c r="BS88" s="13"/>
      <c r="BT88" s="34"/>
      <c r="BU88" s="34"/>
      <c r="BV88" s="34"/>
      <c r="BW88" s="34"/>
    </row>
    <row r="89">
      <c r="A89" s="197"/>
      <c r="B89" s="34"/>
      <c r="C89" s="111"/>
      <c r="D89" s="16"/>
      <c r="E89" s="34"/>
      <c r="F89" s="35"/>
      <c r="G89" s="34"/>
      <c r="H89" s="197"/>
      <c r="I89" s="98"/>
      <c r="J89" s="34"/>
      <c r="K89" s="34"/>
      <c r="L89" s="34"/>
      <c r="M89" s="69"/>
      <c r="N89" s="35"/>
      <c r="O89" s="111"/>
      <c r="P89" s="183"/>
      <c r="Q89" s="69"/>
      <c r="R89" s="69"/>
      <c r="S89" s="69"/>
      <c r="T89" s="98"/>
      <c r="U89" s="69"/>
      <c r="V89" s="34"/>
      <c r="W89" s="13"/>
      <c r="X89" s="34"/>
      <c r="Y89" s="35"/>
      <c r="Z89" s="34"/>
      <c r="AA89" s="34"/>
      <c r="AB89" s="34"/>
      <c r="AC89" s="34"/>
      <c r="AD89" s="13"/>
      <c r="AE89" s="34"/>
      <c r="AF89" s="34"/>
      <c r="AG89" s="34"/>
      <c r="AH89" s="6"/>
      <c r="AI89" s="34"/>
      <c r="AJ89" s="34"/>
      <c r="AK89" s="34"/>
      <c r="AL89" s="34"/>
      <c r="AM89" s="34"/>
      <c r="AN89" s="13"/>
      <c r="AO89" s="13"/>
      <c r="AP89" s="13"/>
      <c r="AQ89" s="197"/>
      <c r="AR89" s="34"/>
      <c r="AS89" s="197"/>
      <c r="AT89" s="69"/>
      <c r="AU89" s="98"/>
      <c r="AV89" s="111"/>
      <c r="AW89" s="35"/>
      <c r="AX89" s="98"/>
      <c r="AY89" s="98"/>
      <c r="AZ89" s="211"/>
      <c r="BA89" s="69"/>
      <c r="BB89" s="69"/>
      <c r="BC89" s="69"/>
      <c r="BD89" s="69"/>
      <c r="BE89" s="34"/>
      <c r="BF89" s="69"/>
      <c r="BG89" s="69"/>
      <c r="BH89" s="34"/>
      <c r="BI89" s="34"/>
      <c r="BJ89" s="34"/>
      <c r="BK89" s="13"/>
      <c r="BL89" s="13"/>
      <c r="BM89" s="13"/>
      <c r="BN89" s="13"/>
      <c r="BO89" s="13"/>
      <c r="BP89" s="13"/>
      <c r="BQ89" s="13"/>
      <c r="BR89" s="13"/>
      <c r="BS89" s="13"/>
      <c r="BT89" s="34"/>
      <c r="BU89" s="34"/>
      <c r="BV89" s="34"/>
      <c r="BW89" s="34"/>
    </row>
    <row r="90">
      <c r="A90" s="197"/>
      <c r="B90" s="34"/>
      <c r="C90" s="111"/>
      <c r="D90" s="13"/>
      <c r="E90" s="34"/>
      <c r="F90" s="35"/>
      <c r="G90" s="34"/>
      <c r="H90" s="197"/>
      <c r="I90" s="98"/>
      <c r="J90" s="34"/>
      <c r="K90" s="34"/>
      <c r="L90" s="34"/>
      <c r="M90" s="69"/>
      <c r="N90" s="69"/>
      <c r="O90" s="111"/>
      <c r="P90" s="183"/>
      <c r="Q90" s="69"/>
      <c r="R90" s="69"/>
      <c r="S90" s="69"/>
      <c r="T90" s="98"/>
      <c r="U90" s="69"/>
      <c r="V90" s="34"/>
      <c r="W90" s="13"/>
      <c r="X90" s="34"/>
      <c r="Y90" s="34"/>
      <c r="Z90" s="34"/>
      <c r="AA90" s="34"/>
      <c r="AB90" s="34"/>
      <c r="AC90" s="34"/>
      <c r="AD90" s="251"/>
      <c r="AE90" s="34"/>
      <c r="AF90" s="34"/>
      <c r="AG90" s="34"/>
      <c r="AH90" s="6"/>
      <c r="AI90" s="34"/>
      <c r="AJ90" s="34"/>
      <c r="AK90" s="34"/>
      <c r="AL90" s="34"/>
      <c r="AM90" s="34"/>
      <c r="AN90" s="13"/>
      <c r="AO90" s="13"/>
      <c r="AP90" s="13"/>
      <c r="AQ90" s="197"/>
      <c r="AR90" s="34"/>
      <c r="AS90" s="197"/>
      <c r="AT90" s="69"/>
      <c r="AU90" s="98"/>
      <c r="AV90" s="111"/>
      <c r="AW90" s="35"/>
      <c r="AX90" s="98"/>
      <c r="AY90" s="98"/>
      <c r="AZ90" s="211"/>
      <c r="BA90" s="69"/>
      <c r="BB90" s="69"/>
      <c r="BC90" s="69"/>
      <c r="BD90" s="69"/>
      <c r="BE90" s="34"/>
      <c r="BF90" s="69"/>
      <c r="BG90" s="69"/>
      <c r="BH90" s="34"/>
      <c r="BI90" s="34"/>
      <c r="BJ90" s="34"/>
      <c r="BK90" s="13"/>
      <c r="BL90" s="13"/>
      <c r="BM90" s="13"/>
      <c r="BN90" s="13"/>
      <c r="BO90" s="13"/>
      <c r="BP90" s="13"/>
      <c r="BQ90" s="13"/>
      <c r="BR90" s="13"/>
      <c r="BS90" s="13"/>
      <c r="BT90" s="34"/>
      <c r="BU90" s="34"/>
      <c r="BV90" s="34"/>
      <c r="BW90" s="34"/>
    </row>
    <row r="91">
      <c r="A91" s="197"/>
      <c r="B91" s="34"/>
      <c r="C91" s="111"/>
      <c r="D91" s="16"/>
      <c r="E91" s="34"/>
      <c r="F91" s="35"/>
      <c r="G91" s="34"/>
      <c r="H91" s="197"/>
      <c r="I91" s="98"/>
      <c r="J91" s="34"/>
      <c r="K91" s="34"/>
      <c r="L91" s="34"/>
      <c r="M91" s="69"/>
      <c r="N91" s="69"/>
      <c r="O91" s="111"/>
      <c r="P91" s="183"/>
      <c r="Q91" s="69"/>
      <c r="R91" s="69"/>
      <c r="S91" s="69"/>
      <c r="T91" s="98"/>
      <c r="U91" s="69"/>
      <c r="V91" s="34"/>
      <c r="W91" s="13"/>
      <c r="X91" s="34"/>
      <c r="Y91" s="35"/>
      <c r="Z91" s="34"/>
      <c r="AA91" s="35"/>
      <c r="AB91" s="34"/>
      <c r="AC91" s="34"/>
      <c r="AD91" s="251"/>
      <c r="AE91" s="34"/>
      <c r="AF91" s="34"/>
      <c r="AG91" s="34"/>
      <c r="AH91" s="6"/>
      <c r="AI91" s="34"/>
      <c r="AJ91" s="34"/>
      <c r="AK91" s="34"/>
      <c r="AL91" s="34"/>
      <c r="AM91" s="34"/>
      <c r="AN91" s="13"/>
      <c r="AO91" s="13"/>
      <c r="AP91" s="13"/>
      <c r="AQ91" s="197"/>
      <c r="AR91" s="34"/>
      <c r="AS91" s="197"/>
      <c r="AT91" s="69"/>
      <c r="AU91" s="98"/>
      <c r="AV91" s="111"/>
      <c r="AW91" s="35"/>
      <c r="AX91" s="98"/>
      <c r="AY91" s="98"/>
      <c r="AZ91" s="211"/>
      <c r="BA91" s="69"/>
      <c r="BB91" s="69"/>
      <c r="BC91" s="69"/>
      <c r="BD91" s="69"/>
      <c r="BE91" s="34"/>
      <c r="BF91" s="69"/>
      <c r="BG91" s="69"/>
      <c r="BH91" s="34"/>
      <c r="BI91" s="34"/>
      <c r="BJ91" s="34"/>
      <c r="BK91" s="13"/>
      <c r="BL91" s="13"/>
      <c r="BM91" s="13"/>
      <c r="BN91" s="13"/>
      <c r="BO91" s="13"/>
      <c r="BP91" s="13"/>
      <c r="BQ91" s="13"/>
      <c r="BR91" s="13"/>
      <c r="BS91" s="13"/>
      <c r="BT91" s="34"/>
      <c r="BU91" s="34"/>
      <c r="BV91" s="34"/>
      <c r="BW91" s="34"/>
    </row>
    <row r="92">
      <c r="A92" s="197"/>
      <c r="B92" s="34"/>
      <c r="C92" s="111"/>
      <c r="D92" s="16"/>
      <c r="E92" s="34"/>
      <c r="F92" s="35"/>
      <c r="G92" s="34"/>
      <c r="H92" s="197"/>
      <c r="I92" s="98"/>
      <c r="J92" s="34"/>
      <c r="K92" s="34"/>
      <c r="L92" s="34"/>
      <c r="M92" s="69"/>
      <c r="N92" s="69"/>
      <c r="O92" s="111"/>
      <c r="P92" s="183"/>
      <c r="Q92" s="69"/>
      <c r="R92" s="69"/>
      <c r="S92" s="69"/>
      <c r="T92" s="98"/>
      <c r="U92" s="69"/>
      <c r="V92" s="34"/>
      <c r="W92" s="13"/>
      <c r="X92" s="34"/>
      <c r="Y92" s="35"/>
      <c r="Z92" s="34"/>
      <c r="AA92" s="35"/>
      <c r="AB92" s="34"/>
      <c r="AC92" s="35"/>
      <c r="AD92" s="13"/>
      <c r="AE92" s="34"/>
      <c r="AF92" s="34"/>
      <c r="AG92" s="34"/>
      <c r="AH92" s="6"/>
      <c r="AI92" s="34"/>
      <c r="AJ92" s="34"/>
      <c r="AK92" s="34"/>
      <c r="AL92" s="34"/>
      <c r="AM92" s="34"/>
      <c r="AN92" s="13"/>
      <c r="AO92" s="13"/>
      <c r="AP92" s="13"/>
      <c r="AQ92" s="197"/>
      <c r="AR92" s="34"/>
      <c r="AS92" s="197"/>
      <c r="AT92" s="69"/>
      <c r="AU92" s="98"/>
      <c r="AV92" s="111"/>
      <c r="AW92" s="35"/>
      <c r="AX92" s="98"/>
      <c r="AY92" s="98"/>
      <c r="AZ92" s="211"/>
      <c r="BA92" s="69"/>
      <c r="BB92" s="69"/>
      <c r="BC92" s="69"/>
      <c r="BD92" s="69"/>
      <c r="BE92" s="34"/>
      <c r="BF92" s="69"/>
      <c r="BG92" s="69"/>
      <c r="BH92" s="34"/>
      <c r="BI92" s="34"/>
      <c r="BJ92" s="34"/>
      <c r="BK92" s="13"/>
      <c r="BL92" s="13"/>
      <c r="BM92" s="13"/>
      <c r="BN92" s="13"/>
      <c r="BO92" s="13"/>
      <c r="BP92" s="13"/>
      <c r="BQ92" s="13"/>
      <c r="BR92" s="13"/>
      <c r="BS92" s="13"/>
      <c r="BT92" s="34"/>
      <c r="BU92" s="34"/>
      <c r="BV92" s="34"/>
      <c r="BW92" s="34"/>
    </row>
    <row r="93">
      <c r="A93" s="197"/>
      <c r="B93" s="34"/>
      <c r="C93" s="111"/>
      <c r="D93" s="16"/>
      <c r="E93" s="34"/>
      <c r="F93" s="35"/>
      <c r="G93" s="34"/>
      <c r="H93" s="197"/>
      <c r="I93" s="98"/>
      <c r="J93" s="34"/>
      <c r="K93" s="34"/>
      <c r="L93" s="34"/>
      <c r="M93" s="69"/>
      <c r="N93" s="69"/>
      <c r="O93" s="111"/>
      <c r="P93" s="183"/>
      <c r="Q93" s="69"/>
      <c r="R93" s="69"/>
      <c r="S93" s="69"/>
      <c r="T93" s="98"/>
      <c r="U93" s="69"/>
      <c r="V93" s="34"/>
      <c r="W93" s="13"/>
      <c r="X93" s="34"/>
      <c r="Y93" s="35"/>
      <c r="Z93" s="211"/>
      <c r="AA93" s="35"/>
      <c r="AB93" s="34"/>
      <c r="AC93" s="34"/>
      <c r="AD93" s="13"/>
      <c r="AE93" s="34"/>
      <c r="AF93" s="34"/>
      <c r="AG93" s="34"/>
      <c r="AH93" s="6"/>
      <c r="AI93" s="34"/>
      <c r="AJ93" s="34"/>
      <c r="AK93" s="34"/>
      <c r="AL93" s="34"/>
      <c r="AM93" s="34"/>
      <c r="AN93" s="13"/>
      <c r="AO93" s="13"/>
      <c r="AP93" s="13"/>
      <c r="AQ93" s="197"/>
      <c r="AR93" s="34"/>
      <c r="AS93" s="197"/>
      <c r="AT93" s="69"/>
      <c r="AU93" s="98"/>
      <c r="AV93" s="111"/>
      <c r="AW93" s="35"/>
      <c r="AX93" s="98"/>
      <c r="AY93" s="98"/>
      <c r="AZ93" s="211"/>
      <c r="BA93" s="69"/>
      <c r="BB93" s="69"/>
      <c r="BC93" s="69"/>
      <c r="BD93" s="69"/>
      <c r="BE93" s="34"/>
      <c r="BF93" s="69"/>
      <c r="BG93" s="69"/>
      <c r="BH93" s="34"/>
      <c r="BI93" s="34"/>
      <c r="BJ93" s="34"/>
      <c r="BK93" s="13"/>
      <c r="BL93" s="13"/>
      <c r="BM93" s="13"/>
      <c r="BN93" s="13"/>
      <c r="BO93" s="13"/>
      <c r="BP93" s="13"/>
      <c r="BQ93" s="13"/>
      <c r="BR93" s="13"/>
      <c r="BS93" s="13"/>
      <c r="BT93" s="34"/>
      <c r="BU93" s="34"/>
      <c r="BV93" s="34"/>
      <c r="BW93" s="34"/>
    </row>
    <row r="94">
      <c r="A94" s="197"/>
      <c r="B94" s="34"/>
      <c r="C94" s="111"/>
      <c r="D94" s="13"/>
      <c r="E94" s="34"/>
      <c r="F94" s="35"/>
      <c r="G94" s="34"/>
      <c r="H94" s="197"/>
      <c r="I94" s="98"/>
      <c r="J94" s="34"/>
      <c r="K94" s="34"/>
      <c r="L94" s="34"/>
      <c r="M94" s="69"/>
      <c r="N94" s="69"/>
      <c r="O94" s="111"/>
      <c r="P94" s="183"/>
      <c r="Q94" s="69"/>
      <c r="R94" s="69"/>
      <c r="S94" s="69"/>
      <c r="T94" s="98"/>
      <c r="U94" s="69"/>
      <c r="V94" s="34"/>
      <c r="W94" s="13"/>
      <c r="X94" s="34"/>
      <c r="Y94" s="34"/>
      <c r="Z94" s="34"/>
      <c r="AA94" s="34"/>
      <c r="AB94" s="34"/>
      <c r="AC94" s="34"/>
      <c r="AD94" s="251"/>
      <c r="AE94" s="34"/>
      <c r="AF94" s="34"/>
      <c r="AG94" s="34"/>
      <c r="AH94" s="13"/>
      <c r="AI94" s="34"/>
      <c r="AJ94" s="34"/>
      <c r="AK94" s="34"/>
      <c r="AL94" s="34"/>
      <c r="AM94" s="34"/>
      <c r="AN94" s="13"/>
      <c r="AO94" s="13"/>
      <c r="AP94" s="13"/>
      <c r="AQ94" s="197"/>
      <c r="AR94" s="34"/>
      <c r="AS94" s="197"/>
      <c r="AT94" s="69"/>
      <c r="AU94" s="98"/>
      <c r="AV94" s="111"/>
      <c r="AW94" s="35"/>
      <c r="AX94" s="98"/>
      <c r="AY94" s="98"/>
      <c r="AZ94" s="211"/>
      <c r="BA94" s="69"/>
      <c r="BB94" s="69"/>
      <c r="BC94" s="69"/>
      <c r="BD94" s="69"/>
      <c r="BE94" s="34"/>
      <c r="BF94" s="69"/>
      <c r="BG94" s="69"/>
      <c r="BH94" s="34"/>
      <c r="BI94" s="34"/>
      <c r="BJ94" s="34"/>
      <c r="BK94" s="13"/>
      <c r="BL94" s="13"/>
      <c r="BM94" s="13"/>
      <c r="BN94" s="13"/>
      <c r="BO94" s="13"/>
      <c r="BP94" s="13"/>
      <c r="BQ94" s="13"/>
      <c r="BR94" s="13"/>
      <c r="BS94" s="13"/>
      <c r="BT94" s="34"/>
      <c r="BU94" s="34"/>
      <c r="BV94" s="34"/>
      <c r="BW94" s="34"/>
    </row>
    <row r="95">
      <c r="A95" s="197"/>
      <c r="B95" s="34"/>
      <c r="C95" s="111"/>
      <c r="D95" s="13"/>
      <c r="E95" s="34"/>
      <c r="F95" s="35"/>
      <c r="G95" s="34"/>
      <c r="H95" s="197"/>
      <c r="I95" s="98"/>
      <c r="J95" s="34"/>
      <c r="K95" s="34"/>
      <c r="L95" s="34"/>
      <c r="M95" s="69"/>
      <c r="N95" s="69"/>
      <c r="O95" s="111"/>
      <c r="P95" s="183"/>
      <c r="Q95" s="69"/>
      <c r="R95" s="69"/>
      <c r="S95" s="69"/>
      <c r="T95" s="98"/>
      <c r="U95" s="69"/>
      <c r="V95" s="34"/>
      <c r="W95" s="13"/>
      <c r="X95" s="34"/>
      <c r="Y95" s="34"/>
      <c r="Z95" s="34"/>
      <c r="AA95" s="34"/>
      <c r="AB95" s="34"/>
      <c r="AC95" s="34"/>
      <c r="AD95" s="251"/>
      <c r="AE95" s="34"/>
      <c r="AF95" s="34"/>
      <c r="AG95" s="34"/>
      <c r="AH95" s="6"/>
      <c r="AI95" s="34"/>
      <c r="AJ95" s="34"/>
      <c r="AK95" s="34"/>
      <c r="AL95" s="34"/>
      <c r="AM95" s="34"/>
      <c r="AN95" s="13"/>
      <c r="AO95" s="13"/>
      <c r="AP95" s="13"/>
      <c r="AQ95" s="197"/>
      <c r="AR95" s="34"/>
      <c r="AS95" s="197"/>
      <c r="AT95" s="69"/>
      <c r="AU95" s="98"/>
      <c r="AV95" s="111"/>
      <c r="AW95" s="35"/>
      <c r="AX95" s="98"/>
      <c r="AY95" s="98"/>
      <c r="AZ95" s="211"/>
      <c r="BA95" s="69"/>
      <c r="BB95" s="69"/>
      <c r="BC95" s="69"/>
      <c r="BD95" s="69"/>
      <c r="BE95" s="34"/>
      <c r="BF95" s="69"/>
      <c r="BG95" s="69"/>
      <c r="BH95" s="34"/>
      <c r="BI95" s="34"/>
      <c r="BJ95" s="34"/>
      <c r="BK95" s="13"/>
      <c r="BL95" s="13"/>
      <c r="BM95" s="13"/>
      <c r="BN95" s="13"/>
      <c r="BO95" s="13"/>
      <c r="BP95" s="13"/>
      <c r="BQ95" s="13"/>
      <c r="BR95" s="13"/>
      <c r="BS95" s="13"/>
      <c r="BT95" s="34"/>
      <c r="BU95" s="34"/>
      <c r="BV95" s="34"/>
      <c r="BW95" s="34"/>
    </row>
    <row r="96">
      <c r="A96" s="197"/>
      <c r="B96" s="34"/>
      <c r="C96" s="111"/>
      <c r="D96" s="16"/>
      <c r="E96" s="34"/>
      <c r="F96" s="35"/>
      <c r="G96" s="34"/>
      <c r="H96" s="197"/>
      <c r="I96" s="98"/>
      <c r="J96" s="34"/>
      <c r="K96" s="34"/>
      <c r="L96" s="34"/>
      <c r="M96" s="69"/>
      <c r="N96" s="69"/>
      <c r="O96" s="111"/>
      <c r="P96" s="30"/>
      <c r="Q96" s="69"/>
      <c r="R96" s="69"/>
      <c r="S96" s="69"/>
      <c r="T96" s="98"/>
      <c r="U96" s="69"/>
      <c r="V96" s="34"/>
      <c r="W96" s="13"/>
      <c r="X96" s="34"/>
      <c r="Y96" s="35"/>
      <c r="Z96" s="34"/>
      <c r="AA96" s="34"/>
      <c r="AB96" s="34"/>
      <c r="AC96" s="34"/>
      <c r="AD96" s="251"/>
      <c r="AE96" s="34"/>
      <c r="AF96" s="34"/>
      <c r="AG96" s="34"/>
      <c r="AH96" s="6"/>
      <c r="AI96" s="34"/>
      <c r="AJ96" s="34"/>
      <c r="AK96" s="34"/>
      <c r="AL96" s="34"/>
      <c r="AM96" s="34"/>
      <c r="AN96" s="13"/>
      <c r="AO96" s="13"/>
      <c r="AP96" s="13"/>
      <c r="AQ96" s="197"/>
      <c r="AR96" s="34"/>
      <c r="AS96" s="197"/>
      <c r="AT96" s="69"/>
      <c r="AU96" s="98"/>
      <c r="AV96" s="111"/>
      <c r="AW96" s="35"/>
      <c r="AX96" s="98"/>
      <c r="AY96" s="98"/>
      <c r="AZ96" s="211"/>
      <c r="BA96" s="69"/>
      <c r="BB96" s="69"/>
      <c r="BC96" s="69"/>
      <c r="BD96" s="69"/>
      <c r="BE96" s="34"/>
      <c r="BF96" s="69"/>
      <c r="BG96" s="69"/>
      <c r="BH96" s="34"/>
      <c r="BI96" s="34"/>
      <c r="BJ96" s="34"/>
      <c r="BK96" s="13"/>
      <c r="BL96" s="13"/>
      <c r="BM96" s="13"/>
      <c r="BN96" s="13"/>
      <c r="BO96" s="13"/>
      <c r="BP96" s="13"/>
      <c r="BQ96" s="13"/>
      <c r="BR96" s="13"/>
      <c r="BS96" s="13"/>
      <c r="BT96" s="34"/>
      <c r="BU96" s="34"/>
      <c r="BV96" s="34"/>
      <c r="BW96" s="34"/>
    </row>
    <row r="97">
      <c r="A97" s="197"/>
      <c r="B97" s="34"/>
      <c r="C97" s="111"/>
      <c r="D97" s="13"/>
      <c r="E97" s="34"/>
      <c r="F97" s="35"/>
      <c r="G97" s="34"/>
      <c r="H97" s="197"/>
      <c r="I97" s="98"/>
      <c r="J97" s="34"/>
      <c r="K97" s="34"/>
      <c r="L97" s="34"/>
      <c r="M97" s="69"/>
      <c r="N97" s="69"/>
      <c r="O97" s="111"/>
      <c r="P97" s="183"/>
      <c r="Q97" s="69"/>
      <c r="R97" s="69"/>
      <c r="S97" s="69"/>
      <c r="T97" s="98"/>
      <c r="U97" s="69"/>
      <c r="V97" s="34"/>
      <c r="W97" s="13"/>
      <c r="X97" s="34"/>
      <c r="Y97" s="34"/>
      <c r="Z97" s="34"/>
      <c r="AA97" s="34"/>
      <c r="AB97" s="34"/>
      <c r="AC97" s="34"/>
      <c r="AD97" s="251"/>
      <c r="AE97" s="34"/>
      <c r="AF97" s="34"/>
      <c r="AG97" s="34"/>
      <c r="AH97" s="6"/>
      <c r="AI97" s="34"/>
      <c r="AJ97" s="34"/>
      <c r="AK97" s="34"/>
      <c r="AL97" s="34"/>
      <c r="AM97" s="34"/>
      <c r="AN97" s="13"/>
      <c r="AO97" s="13"/>
      <c r="AP97" s="13"/>
      <c r="AQ97" s="197"/>
      <c r="AR97" s="34"/>
      <c r="AS97" s="197"/>
      <c r="AT97" s="69"/>
      <c r="AU97" s="98"/>
      <c r="AV97" s="111"/>
      <c r="AW97" s="35"/>
      <c r="AX97" s="98"/>
      <c r="AY97" s="98"/>
      <c r="AZ97" s="211"/>
      <c r="BA97" s="69"/>
      <c r="BB97" s="69"/>
      <c r="BC97" s="69"/>
      <c r="BD97" s="69"/>
      <c r="BE97" s="34"/>
      <c r="BF97" s="69"/>
      <c r="BG97" s="69"/>
      <c r="BH97" s="34"/>
      <c r="BI97" s="34"/>
      <c r="BJ97" s="34"/>
      <c r="BK97" s="13"/>
      <c r="BL97" s="13"/>
      <c r="BM97" s="13"/>
      <c r="BN97" s="13"/>
      <c r="BO97" s="13"/>
      <c r="BP97" s="13"/>
      <c r="BQ97" s="13"/>
      <c r="BR97" s="13"/>
      <c r="BS97" s="13"/>
      <c r="BT97" s="34"/>
      <c r="BU97" s="34"/>
      <c r="BV97" s="34"/>
      <c r="BW97" s="34"/>
    </row>
    <row r="98">
      <c r="A98" s="197"/>
      <c r="B98" s="34"/>
      <c r="C98" s="111"/>
      <c r="D98" s="13"/>
      <c r="E98" s="34"/>
      <c r="F98" s="35"/>
      <c r="G98" s="34"/>
      <c r="H98" s="197"/>
      <c r="I98" s="98"/>
      <c r="J98" s="34"/>
      <c r="K98" s="34"/>
      <c r="L98" s="34"/>
      <c r="M98" s="69"/>
      <c r="N98" s="69"/>
      <c r="O98" s="111"/>
      <c r="P98" s="183"/>
      <c r="Q98" s="69"/>
      <c r="R98" s="69"/>
      <c r="S98" s="69"/>
      <c r="T98" s="98"/>
      <c r="U98" s="69"/>
      <c r="V98" s="34"/>
      <c r="W98" s="13"/>
      <c r="X98" s="34"/>
      <c r="Y98" s="34"/>
      <c r="Z98" s="34"/>
      <c r="AA98" s="34"/>
      <c r="AB98" s="34"/>
      <c r="AC98" s="34"/>
      <c r="AD98" s="251"/>
      <c r="AE98" s="34"/>
      <c r="AF98" s="34"/>
      <c r="AG98" s="34"/>
      <c r="AH98" s="6"/>
      <c r="AI98" s="34"/>
      <c r="AJ98" s="34"/>
      <c r="AK98" s="34"/>
      <c r="AL98" s="34"/>
      <c r="AM98" s="34"/>
      <c r="AN98" s="13"/>
      <c r="AO98" s="13"/>
      <c r="AP98" s="13"/>
      <c r="AQ98" s="197"/>
      <c r="AR98" s="34"/>
      <c r="AS98" s="197"/>
      <c r="AT98" s="69"/>
      <c r="AU98" s="98"/>
      <c r="AV98" s="111"/>
      <c r="AW98" s="35"/>
      <c r="AX98" s="98"/>
      <c r="AY98" s="98"/>
      <c r="AZ98" s="211"/>
      <c r="BA98" s="69"/>
      <c r="BB98" s="69"/>
      <c r="BC98" s="69"/>
      <c r="BD98" s="69"/>
      <c r="BE98" s="34"/>
      <c r="BF98" s="69"/>
      <c r="BG98" s="69"/>
      <c r="BH98" s="34"/>
      <c r="BI98" s="34"/>
      <c r="BJ98" s="34"/>
      <c r="BK98" s="13"/>
      <c r="BL98" s="13"/>
      <c r="BM98" s="13"/>
      <c r="BN98" s="13"/>
      <c r="BO98" s="13"/>
      <c r="BP98" s="13"/>
      <c r="BQ98" s="13"/>
      <c r="BR98" s="13"/>
      <c r="BS98" s="13"/>
      <c r="BT98" s="34"/>
      <c r="BU98" s="34"/>
      <c r="BV98" s="34"/>
      <c r="BW98" s="34"/>
    </row>
    <row r="99">
      <c r="A99" s="197"/>
      <c r="B99" s="34"/>
      <c r="C99" s="111"/>
      <c r="D99" s="13"/>
      <c r="E99" s="34"/>
      <c r="F99" s="35"/>
      <c r="G99" s="34"/>
      <c r="H99" s="197"/>
      <c r="I99" s="98"/>
      <c r="J99" s="34"/>
      <c r="K99" s="34"/>
      <c r="L99" s="34"/>
      <c r="M99" s="69"/>
      <c r="N99" s="69"/>
      <c r="O99" s="111"/>
      <c r="P99" s="183"/>
      <c r="Q99" s="69"/>
      <c r="R99" s="69"/>
      <c r="S99" s="69"/>
      <c r="T99" s="98"/>
      <c r="U99" s="69"/>
      <c r="V99" s="34"/>
      <c r="W99" s="13"/>
      <c r="X99" s="34"/>
      <c r="Y99" s="34"/>
      <c r="Z99" s="34"/>
      <c r="AA99" s="34"/>
      <c r="AB99" s="34"/>
      <c r="AC99" s="34"/>
      <c r="AD99" s="251"/>
      <c r="AE99" s="34"/>
      <c r="AF99" s="34"/>
      <c r="AG99" s="34"/>
      <c r="AH99" s="13"/>
      <c r="AI99" s="34"/>
      <c r="AJ99" s="34"/>
      <c r="AK99" s="34"/>
      <c r="AL99" s="34"/>
      <c r="AM99" s="34"/>
      <c r="AN99" s="13"/>
      <c r="AO99" s="13"/>
      <c r="AP99" s="13"/>
      <c r="AQ99" s="197"/>
      <c r="AR99" s="34"/>
      <c r="AS99" s="197"/>
      <c r="AT99" s="69"/>
      <c r="AU99" s="98"/>
      <c r="AV99" s="111"/>
      <c r="AW99" s="35"/>
      <c r="AX99" s="98"/>
      <c r="AY99" s="98"/>
      <c r="AZ99" s="211"/>
      <c r="BA99" s="69"/>
      <c r="BB99" s="69"/>
      <c r="BC99" s="69"/>
      <c r="BD99" s="69"/>
      <c r="BE99" s="34"/>
      <c r="BF99" s="69"/>
      <c r="BG99" s="69"/>
      <c r="BH99" s="34"/>
      <c r="BI99" s="34"/>
      <c r="BJ99" s="34"/>
      <c r="BK99" s="13"/>
      <c r="BL99" s="13"/>
      <c r="BM99" s="13"/>
      <c r="BN99" s="13"/>
      <c r="BO99" s="13"/>
      <c r="BP99" s="13"/>
      <c r="BQ99" s="13"/>
      <c r="BR99" s="13"/>
      <c r="BS99" s="13"/>
      <c r="BT99" s="34"/>
      <c r="BU99" s="34"/>
      <c r="BV99" s="34"/>
      <c r="BW99" s="34"/>
    </row>
    <row r="100">
      <c r="A100" s="197"/>
      <c r="B100" s="34"/>
      <c r="C100" s="111"/>
      <c r="D100" s="13"/>
      <c r="E100" s="34"/>
      <c r="F100" s="35"/>
      <c r="G100" s="34"/>
      <c r="H100" s="197"/>
      <c r="I100" s="98"/>
      <c r="J100" s="34"/>
      <c r="K100" s="34"/>
      <c r="L100" s="34"/>
      <c r="M100" s="69"/>
      <c r="N100" s="69"/>
      <c r="O100" s="111"/>
      <c r="P100" s="183"/>
      <c r="Q100" s="69"/>
      <c r="R100" s="69"/>
      <c r="S100" s="69"/>
      <c r="T100" s="98"/>
      <c r="U100" s="69"/>
      <c r="V100" s="34"/>
      <c r="W100" s="13"/>
      <c r="X100" s="34"/>
      <c r="Y100" s="34"/>
      <c r="Z100" s="34"/>
      <c r="AA100" s="34"/>
      <c r="AB100" s="34"/>
      <c r="AC100" s="34"/>
      <c r="AD100" s="251"/>
      <c r="AE100" s="34"/>
      <c r="AF100" s="34"/>
      <c r="AG100" s="34"/>
      <c r="AH100" s="6"/>
      <c r="AI100" s="34"/>
      <c r="AJ100" s="34"/>
      <c r="AK100" s="34"/>
      <c r="AL100" s="34"/>
      <c r="AM100" s="34"/>
      <c r="AN100" s="13"/>
      <c r="AO100" s="13"/>
      <c r="AP100" s="13"/>
      <c r="AQ100" s="197"/>
      <c r="AR100" s="34"/>
      <c r="AS100" s="197"/>
      <c r="AT100" s="69"/>
      <c r="AU100" s="98"/>
      <c r="AV100" s="111"/>
      <c r="AW100" s="35"/>
      <c r="AX100" s="98"/>
      <c r="AY100" s="98"/>
      <c r="AZ100" s="211"/>
      <c r="BA100" s="69"/>
      <c r="BB100" s="69"/>
      <c r="BC100" s="69"/>
      <c r="BD100" s="69"/>
      <c r="BE100" s="34"/>
      <c r="BF100" s="69"/>
      <c r="BG100" s="69"/>
      <c r="BH100" s="34"/>
      <c r="BI100" s="34"/>
      <c r="BJ100" s="34"/>
      <c r="BK100" s="13"/>
      <c r="BL100" s="13"/>
      <c r="BM100" s="13"/>
      <c r="BN100" s="13"/>
      <c r="BO100" s="13"/>
      <c r="BP100" s="13"/>
      <c r="BQ100" s="13"/>
      <c r="BR100" s="13"/>
      <c r="BS100" s="13"/>
      <c r="BT100" s="34"/>
      <c r="BU100" s="34"/>
      <c r="BV100" s="34"/>
      <c r="BW100" s="34"/>
    </row>
    <row r="101">
      <c r="A101" s="197"/>
      <c r="B101" s="34"/>
      <c r="C101" s="111"/>
      <c r="D101" s="13"/>
      <c r="E101" s="34"/>
      <c r="F101" s="35"/>
      <c r="G101" s="34"/>
      <c r="H101" s="197"/>
      <c r="I101" s="98"/>
      <c r="J101" s="34"/>
      <c r="K101" s="34"/>
      <c r="L101" s="34"/>
      <c r="M101" s="69"/>
      <c r="N101" s="69"/>
      <c r="O101" s="111"/>
      <c r="P101" s="34"/>
      <c r="Q101" s="69"/>
      <c r="R101" s="69"/>
      <c r="S101" s="69"/>
      <c r="T101" s="98"/>
      <c r="U101" s="69"/>
      <c r="V101" s="34"/>
      <c r="W101" s="13"/>
      <c r="X101" s="34"/>
      <c r="Y101" s="34"/>
      <c r="Z101" s="34"/>
      <c r="AA101" s="34"/>
      <c r="AB101" s="34"/>
      <c r="AC101" s="34"/>
      <c r="AD101" s="251"/>
      <c r="AE101" s="34"/>
      <c r="AF101" s="34"/>
      <c r="AG101" s="34"/>
      <c r="AH101" s="6"/>
      <c r="AI101" s="34"/>
      <c r="AJ101" s="34"/>
      <c r="AK101" s="34"/>
      <c r="AL101" s="34"/>
      <c r="AM101" s="34"/>
      <c r="AN101" s="13"/>
      <c r="AO101" s="13"/>
      <c r="AP101" s="13"/>
      <c r="AQ101" s="197"/>
      <c r="AR101" s="34"/>
      <c r="AS101" s="197"/>
      <c r="AT101" s="69"/>
      <c r="AU101" s="98"/>
      <c r="AV101" s="111"/>
      <c r="AW101" s="35"/>
      <c r="AX101" s="98"/>
      <c r="AY101" s="98"/>
      <c r="AZ101" s="211"/>
      <c r="BA101" s="69"/>
      <c r="BB101" s="69"/>
      <c r="BC101" s="69"/>
      <c r="BD101" s="69"/>
      <c r="BE101" s="34"/>
      <c r="BF101" s="69"/>
      <c r="BG101" s="69"/>
      <c r="BH101" s="34"/>
      <c r="BI101" s="34"/>
      <c r="BJ101" s="34"/>
      <c r="BK101" s="13"/>
      <c r="BL101" s="13"/>
      <c r="BM101" s="13"/>
      <c r="BN101" s="13"/>
      <c r="BO101" s="13"/>
      <c r="BP101" s="13"/>
      <c r="BQ101" s="13"/>
      <c r="BR101" s="13"/>
      <c r="BS101" s="13"/>
      <c r="BT101" s="34"/>
      <c r="BU101" s="34"/>
      <c r="BV101" s="34"/>
      <c r="BW101" s="34"/>
    </row>
    <row r="102">
      <c r="A102" s="197"/>
      <c r="B102" s="34"/>
      <c r="C102" s="111"/>
      <c r="D102" s="13"/>
      <c r="E102" s="34"/>
      <c r="F102" s="35"/>
      <c r="G102" s="34"/>
      <c r="H102" s="197"/>
      <c r="I102" s="98"/>
      <c r="J102" s="34"/>
      <c r="K102" s="34"/>
      <c r="L102" s="34"/>
      <c r="M102" s="69"/>
      <c r="N102" s="69"/>
      <c r="O102" s="111"/>
      <c r="P102" s="183"/>
      <c r="Q102" s="69"/>
      <c r="R102" s="69"/>
      <c r="S102" s="69"/>
      <c r="T102" s="98"/>
      <c r="U102" s="69"/>
      <c r="V102" s="34"/>
      <c r="W102" s="13"/>
      <c r="X102" s="34"/>
      <c r="Y102" s="34"/>
      <c r="Z102" s="34"/>
      <c r="AA102" s="34"/>
      <c r="AB102" s="34"/>
      <c r="AC102" s="34"/>
      <c r="AD102" s="251"/>
      <c r="AE102" s="34"/>
      <c r="AF102" s="34"/>
      <c r="AG102" s="34"/>
      <c r="AH102" s="6"/>
      <c r="AI102" s="34"/>
      <c r="AJ102" s="34"/>
      <c r="AK102" s="34"/>
      <c r="AL102" s="34"/>
      <c r="AM102" s="34"/>
      <c r="AN102" s="13"/>
      <c r="AO102" s="13"/>
      <c r="AP102" s="13"/>
      <c r="AQ102" s="197"/>
      <c r="AR102" s="34"/>
      <c r="AS102" s="197"/>
      <c r="AT102" s="69"/>
      <c r="AU102" s="98"/>
      <c r="AV102" s="111"/>
      <c r="AW102" s="35"/>
      <c r="AX102" s="98"/>
      <c r="AY102" s="98"/>
      <c r="AZ102" s="211"/>
      <c r="BA102" s="69"/>
      <c r="BB102" s="69"/>
      <c r="BC102" s="69"/>
      <c r="BD102" s="69"/>
      <c r="BE102" s="34"/>
      <c r="BF102" s="69"/>
      <c r="BG102" s="69"/>
      <c r="BH102" s="34"/>
      <c r="BI102" s="34"/>
      <c r="BJ102" s="34"/>
      <c r="BK102" s="13"/>
      <c r="BL102" s="13"/>
      <c r="BM102" s="13"/>
      <c r="BN102" s="13"/>
      <c r="BO102" s="13"/>
      <c r="BP102" s="13"/>
      <c r="BQ102" s="13"/>
      <c r="BR102" s="13"/>
      <c r="BS102" s="13"/>
      <c r="BT102" s="34"/>
      <c r="BU102" s="34"/>
      <c r="BV102" s="34"/>
      <c r="BW102" s="34"/>
    </row>
    <row r="103">
      <c r="A103" s="197"/>
      <c r="B103" s="34"/>
      <c r="C103" s="111"/>
      <c r="D103" s="13"/>
      <c r="E103" s="34"/>
      <c r="F103" s="35"/>
      <c r="G103" s="34"/>
      <c r="H103" s="197"/>
      <c r="I103" s="98"/>
      <c r="J103" s="34"/>
      <c r="K103" s="34"/>
      <c r="L103" s="34"/>
      <c r="M103" s="69"/>
      <c r="N103" s="69"/>
      <c r="O103" s="111"/>
      <c r="P103" s="183"/>
      <c r="Q103" s="69"/>
      <c r="R103" s="69"/>
      <c r="S103" s="69"/>
      <c r="T103" s="98"/>
      <c r="U103" s="69"/>
      <c r="V103" s="34"/>
      <c r="W103" s="13"/>
      <c r="X103" s="34"/>
      <c r="Y103" s="34"/>
      <c r="Z103" s="34"/>
      <c r="AA103" s="34"/>
      <c r="AB103" s="34"/>
      <c r="AC103" s="34"/>
      <c r="AD103" s="251"/>
      <c r="AE103" s="34"/>
      <c r="AF103" s="34"/>
      <c r="AG103" s="34"/>
      <c r="AH103" s="6"/>
      <c r="AI103" s="34"/>
      <c r="AJ103" s="34"/>
      <c r="AK103" s="34"/>
      <c r="AL103" s="34"/>
      <c r="AM103" s="34"/>
      <c r="AN103" s="13"/>
      <c r="AO103" s="13"/>
      <c r="AP103" s="13"/>
      <c r="AQ103" s="197"/>
      <c r="AR103" s="34"/>
      <c r="AS103" s="197"/>
      <c r="AT103" s="69"/>
      <c r="AU103" s="98"/>
      <c r="AV103" s="111"/>
      <c r="AW103" s="35"/>
      <c r="AX103" s="98"/>
      <c r="AY103" s="98"/>
      <c r="AZ103" s="211"/>
      <c r="BA103" s="69"/>
      <c r="BB103" s="69"/>
      <c r="BC103" s="69"/>
      <c r="BD103" s="69"/>
      <c r="BE103" s="34"/>
      <c r="BF103" s="69"/>
      <c r="BG103" s="69"/>
      <c r="BH103" s="34"/>
      <c r="BI103" s="34"/>
      <c r="BJ103" s="34"/>
      <c r="BK103" s="13"/>
      <c r="BL103" s="13"/>
      <c r="BM103" s="13"/>
      <c r="BN103" s="13"/>
      <c r="BO103" s="13"/>
      <c r="BP103" s="13"/>
      <c r="BQ103" s="13"/>
      <c r="BR103" s="13"/>
      <c r="BS103" s="13"/>
      <c r="BT103" s="34"/>
      <c r="BU103" s="34"/>
      <c r="BV103" s="34"/>
      <c r="BW103" s="34"/>
    </row>
    <row r="104">
      <c r="A104" s="197"/>
      <c r="B104" s="34"/>
      <c r="C104" s="111"/>
      <c r="D104" s="13"/>
      <c r="E104" s="34"/>
      <c r="F104" s="35"/>
      <c r="G104" s="34"/>
      <c r="H104" s="197"/>
      <c r="I104" s="98"/>
      <c r="J104" s="34"/>
      <c r="K104" s="34"/>
      <c r="L104" s="34"/>
      <c r="M104" s="69"/>
      <c r="N104" s="69"/>
      <c r="O104" s="111"/>
      <c r="P104" s="183"/>
      <c r="Q104" s="69"/>
      <c r="R104" s="69"/>
      <c r="S104" s="69"/>
      <c r="T104" s="98"/>
      <c r="U104" s="69"/>
      <c r="V104" s="34"/>
      <c r="W104" s="13"/>
      <c r="X104" s="34"/>
      <c r="Y104" s="34"/>
      <c r="Z104" s="34"/>
      <c r="AA104" s="34"/>
      <c r="AB104" s="34"/>
      <c r="AC104" s="34"/>
      <c r="AD104" s="251"/>
      <c r="AE104" s="34"/>
      <c r="AF104" s="34"/>
      <c r="AG104" s="34"/>
      <c r="AH104" s="13"/>
      <c r="AI104" s="34"/>
      <c r="AJ104" s="34"/>
      <c r="AK104" s="34"/>
      <c r="AL104" s="34"/>
      <c r="AM104" s="34"/>
      <c r="AN104" s="13"/>
      <c r="AO104" s="13"/>
      <c r="AP104" s="13"/>
      <c r="AQ104" s="197"/>
      <c r="AR104" s="34"/>
      <c r="AS104" s="197"/>
      <c r="AT104" s="69"/>
      <c r="AU104" s="98"/>
      <c r="AV104" s="111"/>
      <c r="AW104" s="35"/>
      <c r="AX104" s="98"/>
      <c r="AY104" s="98"/>
      <c r="AZ104" s="211"/>
      <c r="BA104" s="69"/>
      <c r="BB104" s="69"/>
      <c r="BC104" s="69"/>
      <c r="BD104" s="69"/>
      <c r="BE104" s="34"/>
      <c r="BF104" s="69"/>
      <c r="BG104" s="69"/>
      <c r="BH104" s="34"/>
      <c r="BI104" s="34"/>
      <c r="BJ104" s="34"/>
      <c r="BK104" s="13"/>
      <c r="BL104" s="13"/>
      <c r="BM104" s="13"/>
      <c r="BN104" s="13"/>
      <c r="BO104" s="13"/>
      <c r="BP104" s="13"/>
      <c r="BQ104" s="13"/>
      <c r="BR104" s="13"/>
      <c r="BS104" s="13"/>
      <c r="BT104" s="34"/>
      <c r="BU104" s="34"/>
      <c r="BV104" s="34"/>
      <c r="BW104" s="34"/>
    </row>
    <row r="105">
      <c r="A105" s="197"/>
      <c r="B105" s="34"/>
      <c r="C105" s="111"/>
      <c r="D105" s="34"/>
      <c r="E105" s="197"/>
      <c r="F105" s="34"/>
      <c r="G105" s="34"/>
      <c r="H105" s="197"/>
      <c r="I105" s="98"/>
      <c r="J105" s="69"/>
      <c r="K105" s="34"/>
      <c r="L105" s="34"/>
      <c r="M105" s="69"/>
      <c r="N105" s="69"/>
      <c r="O105" s="98"/>
      <c r="P105" s="211"/>
      <c r="Q105" s="69"/>
      <c r="R105" s="69"/>
      <c r="S105" s="69"/>
      <c r="T105" s="98"/>
      <c r="U105" s="98"/>
      <c r="V105" s="197"/>
      <c r="W105" s="34"/>
      <c r="X105" s="34"/>
      <c r="Y105" s="35"/>
      <c r="Z105" s="211"/>
      <c r="AA105" s="35"/>
      <c r="AB105" s="211"/>
      <c r="AC105" s="35"/>
      <c r="AD105" s="34"/>
      <c r="AE105" s="34"/>
      <c r="AF105" s="26"/>
      <c r="AG105" s="197"/>
      <c r="AH105" s="34"/>
      <c r="AI105" s="34"/>
      <c r="AJ105" s="34"/>
      <c r="AK105" s="34"/>
      <c r="AL105" s="34"/>
      <c r="AM105" s="34"/>
      <c r="AN105" s="197"/>
      <c r="AO105" s="197"/>
      <c r="AP105" s="69"/>
      <c r="AQ105" s="98"/>
      <c r="AR105" s="69"/>
      <c r="AS105" s="98"/>
      <c r="AT105" s="69"/>
      <c r="AU105" s="98"/>
      <c r="AV105" s="98"/>
      <c r="AW105" s="69"/>
      <c r="AX105" s="98"/>
      <c r="AY105" s="98"/>
      <c r="AZ105" s="69"/>
      <c r="BA105" s="34"/>
      <c r="BB105" s="34"/>
      <c r="BC105" s="34"/>
      <c r="BD105" s="34"/>
      <c r="BE105" s="34"/>
      <c r="BF105" s="34"/>
      <c r="BG105" s="34"/>
      <c r="BH105" s="34"/>
      <c r="BI105" s="34"/>
      <c r="BJ105" s="34"/>
      <c r="BK105" s="197"/>
      <c r="BL105" s="98"/>
      <c r="BM105" s="69"/>
      <c r="BN105" s="69"/>
      <c r="BO105" s="69"/>
      <c r="BP105" s="69"/>
      <c r="BQ105" s="69"/>
      <c r="BR105" s="69"/>
      <c r="BS105" s="34"/>
      <c r="BT105" s="197"/>
      <c r="BU105" s="69"/>
      <c r="BV105" s="34"/>
      <c r="BW105" s="34"/>
    </row>
    <row r="106">
      <c r="A106" s="13"/>
      <c r="B106" s="13"/>
      <c r="C106" s="13"/>
      <c r="D106" s="34"/>
      <c r="E106" s="13"/>
      <c r="F106" s="34"/>
      <c r="G106" s="13"/>
      <c r="H106" s="13"/>
      <c r="I106" s="13"/>
      <c r="J106" s="13"/>
      <c r="K106" s="13"/>
      <c r="L106" s="13"/>
      <c r="M106" s="69"/>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98"/>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row>
    <row r="107">
      <c r="A107" s="13"/>
      <c r="B107" s="13"/>
      <c r="C107" s="13"/>
      <c r="D107" s="13"/>
      <c r="E107" s="13"/>
      <c r="F107" s="34"/>
      <c r="G107" s="13"/>
      <c r="H107" s="13"/>
      <c r="I107" s="13"/>
      <c r="J107" s="13"/>
      <c r="K107" s="13"/>
      <c r="L107" s="13"/>
      <c r="M107" s="69"/>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98"/>
      <c r="AW107" s="13"/>
      <c r="AX107" s="13"/>
      <c r="AY107" s="13"/>
      <c r="AZ107" s="211"/>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row>
    <row r="108">
      <c r="A108" s="13"/>
      <c r="B108" s="13"/>
      <c r="C108" s="13"/>
      <c r="D108" s="13"/>
      <c r="E108" s="13"/>
      <c r="F108" s="34"/>
      <c r="G108" s="13"/>
      <c r="H108" s="13"/>
      <c r="I108" s="13"/>
      <c r="J108" s="13"/>
      <c r="K108" s="13"/>
      <c r="L108" s="13"/>
      <c r="M108" s="69"/>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98"/>
      <c r="AW108" s="13"/>
      <c r="AX108" s="13"/>
      <c r="AY108" s="13"/>
      <c r="AZ108" s="211"/>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row>
    <row r="109">
      <c r="A109" s="13"/>
      <c r="B109" s="13"/>
      <c r="C109" s="13"/>
      <c r="D109" s="13"/>
      <c r="E109" s="13"/>
      <c r="F109" s="35"/>
      <c r="G109" s="13"/>
      <c r="H109" s="13"/>
      <c r="I109" s="13"/>
      <c r="J109" s="13"/>
      <c r="K109" s="13"/>
      <c r="L109" s="13"/>
      <c r="M109" s="69"/>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98"/>
      <c r="AW109" s="13"/>
      <c r="AX109" s="13"/>
      <c r="AY109" s="13"/>
      <c r="AZ109" s="211"/>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row>
    <row r="110">
      <c r="A110" s="13"/>
      <c r="B110" s="13"/>
      <c r="C110" s="13"/>
      <c r="D110" s="35"/>
      <c r="E110" s="13"/>
      <c r="F110" s="35"/>
      <c r="G110" s="13"/>
      <c r="H110" s="13"/>
      <c r="I110" s="13"/>
      <c r="J110" s="13"/>
      <c r="K110" s="13"/>
      <c r="L110" s="13"/>
      <c r="M110" s="69"/>
      <c r="N110" s="13"/>
      <c r="O110" s="13"/>
      <c r="P110" s="13"/>
      <c r="Q110" s="13"/>
      <c r="R110" s="13"/>
      <c r="S110" s="13"/>
      <c r="T110" s="13"/>
      <c r="U110" s="13"/>
      <c r="V110" s="13"/>
      <c r="W110" s="13"/>
      <c r="X110" s="13"/>
      <c r="Y110" s="13"/>
      <c r="Z110" s="13"/>
      <c r="AA110" s="13"/>
      <c r="AB110" s="13"/>
      <c r="AC110" s="13"/>
      <c r="AD110" s="13"/>
      <c r="AE110" s="13"/>
      <c r="AF110" s="13"/>
      <c r="AG110" s="13"/>
      <c r="AH110" s="6"/>
      <c r="AI110" s="13"/>
      <c r="AJ110" s="13"/>
      <c r="AK110" s="13"/>
      <c r="AL110" s="13"/>
      <c r="AM110" s="13"/>
      <c r="AN110" s="13"/>
      <c r="AO110" s="13"/>
      <c r="AP110" s="13"/>
      <c r="AQ110" s="13"/>
      <c r="AR110" s="13"/>
      <c r="AS110" s="13"/>
      <c r="AT110" s="13"/>
      <c r="AU110" s="13"/>
      <c r="AV110" s="98"/>
      <c r="AW110" s="13"/>
      <c r="AX110" s="13"/>
      <c r="AY110" s="13"/>
      <c r="AZ110" s="211"/>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row>
    <row r="111">
      <c r="A111" s="13"/>
      <c r="B111" s="13"/>
      <c r="C111" s="13"/>
      <c r="D111" s="13"/>
      <c r="E111" s="13"/>
      <c r="F111" s="34"/>
      <c r="G111" s="13"/>
      <c r="H111" s="13"/>
      <c r="I111" s="13"/>
      <c r="J111" s="13"/>
      <c r="K111" s="13"/>
      <c r="L111" s="13"/>
      <c r="M111" s="69"/>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98"/>
      <c r="AW111" s="13"/>
      <c r="AX111" s="13"/>
      <c r="AY111" s="13"/>
      <c r="AZ111" s="211"/>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row>
    <row r="112">
      <c r="A112" s="13"/>
      <c r="B112" s="13"/>
      <c r="C112" s="13"/>
      <c r="D112" s="13"/>
      <c r="E112" s="13"/>
      <c r="F112" s="34"/>
      <c r="G112" s="13"/>
      <c r="H112" s="13"/>
      <c r="I112" s="13"/>
      <c r="J112" s="13"/>
      <c r="K112" s="13"/>
      <c r="L112" s="13"/>
      <c r="M112" s="69"/>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98"/>
      <c r="AW112" s="13"/>
      <c r="AX112" s="13"/>
      <c r="AY112" s="13"/>
      <c r="AZ112" s="211"/>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row>
    <row r="113">
      <c r="A113" s="13"/>
      <c r="B113" s="13"/>
      <c r="C113" s="13"/>
      <c r="D113" s="13"/>
      <c r="E113" s="13"/>
      <c r="F113" s="34"/>
      <c r="G113" s="13"/>
      <c r="H113" s="13"/>
      <c r="I113" s="13"/>
      <c r="J113" s="13"/>
      <c r="K113" s="13"/>
      <c r="L113" s="13"/>
      <c r="M113" s="69"/>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98"/>
      <c r="AW113" s="13"/>
      <c r="AX113" s="13"/>
      <c r="AY113" s="13"/>
      <c r="AZ113" s="211"/>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row>
    <row r="114">
      <c r="A114" s="13"/>
      <c r="B114" s="13"/>
      <c r="C114" s="13"/>
      <c r="D114" s="13"/>
      <c r="E114" s="13"/>
      <c r="F114" s="34"/>
      <c r="G114" s="13"/>
      <c r="H114" s="13"/>
      <c r="I114" s="13"/>
      <c r="J114" s="13"/>
      <c r="K114" s="13"/>
      <c r="L114" s="13"/>
      <c r="M114" s="69"/>
      <c r="N114" s="13"/>
      <c r="O114" s="13"/>
      <c r="P114" s="13"/>
      <c r="Q114" s="13"/>
      <c r="R114" s="13"/>
      <c r="S114" s="13"/>
      <c r="T114" s="13"/>
      <c r="U114" s="13"/>
      <c r="V114" s="13"/>
      <c r="W114" s="13"/>
      <c r="X114" s="13"/>
      <c r="Y114" s="13"/>
      <c r="Z114" s="13"/>
      <c r="AA114" s="13"/>
      <c r="AB114" s="13"/>
      <c r="AC114" s="13"/>
      <c r="AD114" s="13"/>
      <c r="AE114" s="13"/>
      <c r="AF114" s="13"/>
      <c r="AG114" s="13"/>
      <c r="AH114" s="6"/>
      <c r="AI114" s="13"/>
      <c r="AJ114" s="13"/>
      <c r="AK114" s="13"/>
      <c r="AL114" s="13"/>
      <c r="AM114" s="13"/>
      <c r="AN114" s="13"/>
      <c r="AO114" s="13"/>
      <c r="AP114" s="13"/>
      <c r="AQ114" s="13"/>
      <c r="AR114" s="13"/>
      <c r="AS114" s="13"/>
      <c r="AT114" s="13"/>
      <c r="AU114" s="13"/>
      <c r="AV114" s="98"/>
      <c r="AW114" s="13"/>
      <c r="AX114" s="13"/>
      <c r="AY114" s="13"/>
      <c r="AZ114" s="211"/>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row>
    <row r="115">
      <c r="A115" s="13"/>
      <c r="B115" s="13"/>
      <c r="C115" s="13"/>
      <c r="D115" s="13"/>
      <c r="E115" s="13"/>
      <c r="F115" s="34"/>
      <c r="G115" s="13"/>
      <c r="H115" s="13"/>
      <c r="I115" s="13"/>
      <c r="J115" s="13"/>
      <c r="K115" s="13"/>
      <c r="L115" s="13"/>
      <c r="M115" s="69"/>
      <c r="N115" s="13"/>
      <c r="O115" s="13"/>
      <c r="P115" s="44"/>
      <c r="Q115" s="13"/>
      <c r="R115" s="13"/>
      <c r="S115" s="13"/>
      <c r="T115" s="13"/>
      <c r="U115" s="13"/>
      <c r="V115" s="13"/>
      <c r="W115" s="13"/>
      <c r="X115" s="13"/>
      <c r="Y115" s="13"/>
      <c r="Z115" s="13"/>
      <c r="AA115" s="13"/>
      <c r="AB115" s="13"/>
      <c r="AC115" s="13"/>
      <c r="AD115" s="13"/>
      <c r="AE115" s="13"/>
      <c r="AF115" s="13"/>
      <c r="AG115" s="13"/>
      <c r="AH115" s="6"/>
      <c r="AI115" s="13"/>
      <c r="AJ115" s="13"/>
      <c r="AK115" s="13"/>
      <c r="AL115" s="13"/>
      <c r="AM115" s="13"/>
      <c r="AN115" s="13"/>
      <c r="AO115" s="13"/>
      <c r="AP115" s="13"/>
      <c r="AQ115" s="13"/>
      <c r="AR115" s="13"/>
      <c r="AS115" s="13"/>
      <c r="AT115" s="13"/>
      <c r="AU115" s="13"/>
      <c r="AV115" s="98"/>
      <c r="AW115" s="13"/>
      <c r="AX115" s="13"/>
      <c r="AY115" s="13"/>
      <c r="AZ115" s="211"/>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row>
    <row r="116">
      <c r="A116" s="13"/>
      <c r="B116" s="13"/>
      <c r="C116" s="13"/>
      <c r="D116" s="13"/>
      <c r="E116" s="13"/>
      <c r="F116" s="34"/>
      <c r="G116" s="13"/>
      <c r="H116" s="13"/>
      <c r="I116" s="13"/>
      <c r="J116" s="13"/>
      <c r="K116" s="13"/>
      <c r="L116" s="13"/>
      <c r="M116" s="69"/>
      <c r="N116" s="13"/>
      <c r="O116" s="13"/>
      <c r="P116" s="44"/>
      <c r="Q116" s="13"/>
      <c r="R116" s="13"/>
      <c r="S116" s="13"/>
      <c r="T116" s="13"/>
      <c r="U116" s="13"/>
      <c r="V116" s="13"/>
      <c r="W116" s="13"/>
      <c r="X116" s="13"/>
      <c r="Y116" s="13"/>
      <c r="Z116" s="13"/>
      <c r="AA116" s="13"/>
      <c r="AB116" s="13"/>
      <c r="AC116" s="13"/>
      <c r="AD116" s="13"/>
      <c r="AE116" s="13"/>
      <c r="AF116" s="13"/>
      <c r="AG116" s="13"/>
      <c r="AH116" s="6"/>
      <c r="AI116" s="13"/>
      <c r="AJ116" s="13"/>
      <c r="AK116" s="13"/>
      <c r="AL116" s="13"/>
      <c r="AM116" s="13"/>
      <c r="AN116" s="13"/>
      <c r="AO116" s="13"/>
      <c r="AP116" s="13"/>
      <c r="AQ116" s="13"/>
      <c r="AR116" s="13"/>
      <c r="AS116" s="13"/>
      <c r="AT116" s="13"/>
      <c r="AU116" s="13"/>
      <c r="AV116" s="98"/>
      <c r="AW116" s="13"/>
      <c r="AX116" s="13"/>
      <c r="AY116" s="13"/>
      <c r="AZ116" s="211"/>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row>
    <row r="117">
      <c r="A117" s="13"/>
      <c r="B117" s="13"/>
      <c r="C117" s="13"/>
      <c r="D117" s="13"/>
      <c r="E117" s="13"/>
      <c r="F117" s="34"/>
      <c r="G117" s="13"/>
      <c r="H117" s="13"/>
      <c r="I117" s="13"/>
      <c r="J117" s="13"/>
      <c r="K117" s="13"/>
      <c r="L117" s="13"/>
      <c r="M117" s="69"/>
      <c r="N117" s="13"/>
      <c r="O117" s="13"/>
      <c r="P117" s="44"/>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98"/>
      <c r="AW117" s="13"/>
      <c r="AX117" s="13"/>
      <c r="AY117" s="13"/>
      <c r="AZ117" s="211"/>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row>
    <row r="118">
      <c r="A118" s="13"/>
      <c r="B118" s="13"/>
      <c r="C118" s="13"/>
      <c r="D118" s="13"/>
      <c r="E118" s="13"/>
      <c r="F118" s="34"/>
      <c r="G118" s="13"/>
      <c r="H118" s="13"/>
      <c r="I118" s="13"/>
      <c r="J118" s="13"/>
      <c r="K118" s="13"/>
      <c r="L118" s="13"/>
      <c r="M118" s="69"/>
      <c r="N118" s="13"/>
      <c r="O118" s="252"/>
      <c r="P118" s="44"/>
      <c r="Q118" s="13"/>
      <c r="R118" s="13"/>
      <c r="S118" s="13"/>
      <c r="T118" s="13"/>
      <c r="U118" s="13"/>
      <c r="V118" s="13"/>
      <c r="W118" s="13"/>
      <c r="X118" s="13"/>
      <c r="Y118" s="13"/>
      <c r="Z118" s="13"/>
      <c r="AA118" s="13"/>
      <c r="AB118" s="13"/>
      <c r="AC118" s="13"/>
      <c r="AD118" s="13"/>
      <c r="AE118" s="13"/>
      <c r="AF118" s="13"/>
      <c r="AG118" s="13"/>
      <c r="AH118" s="6"/>
      <c r="AI118" s="13"/>
      <c r="AJ118" s="13"/>
      <c r="AK118" s="13"/>
      <c r="AL118" s="13"/>
      <c r="AM118" s="13"/>
      <c r="AN118" s="13"/>
      <c r="AO118" s="13"/>
      <c r="AP118" s="13"/>
      <c r="AQ118" s="13"/>
      <c r="AR118" s="13"/>
      <c r="AS118" s="13"/>
      <c r="AT118" s="13"/>
      <c r="AU118" s="13"/>
      <c r="AV118" s="98"/>
      <c r="AW118" s="13"/>
      <c r="AX118" s="13"/>
      <c r="AY118" s="13"/>
      <c r="AZ118" s="211"/>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row>
    <row r="119">
      <c r="A119" s="13"/>
      <c r="B119" s="13"/>
      <c r="C119" s="13"/>
      <c r="D119" s="13"/>
      <c r="E119" s="13"/>
      <c r="F119" s="34"/>
      <c r="G119" s="13"/>
      <c r="H119" s="13"/>
      <c r="I119" s="13"/>
      <c r="J119" s="13"/>
      <c r="K119" s="13"/>
      <c r="L119" s="13"/>
      <c r="M119" s="69"/>
      <c r="N119" s="13"/>
      <c r="O119" s="252"/>
      <c r="P119" s="44"/>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98"/>
      <c r="AW119" s="13"/>
      <c r="AX119" s="13"/>
      <c r="AY119" s="13"/>
      <c r="AZ119" s="211"/>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row>
    <row r="120">
      <c r="A120" s="111"/>
      <c r="B120" s="35"/>
      <c r="C120" s="111"/>
      <c r="D120" s="7"/>
      <c r="E120" s="197"/>
      <c r="F120" s="34"/>
      <c r="G120" s="34"/>
      <c r="H120" s="197"/>
      <c r="I120" s="197"/>
      <c r="J120" s="34"/>
      <c r="K120" s="34"/>
      <c r="L120" s="34"/>
      <c r="M120" s="69"/>
      <c r="N120" s="35"/>
      <c r="O120" s="111"/>
      <c r="P120" s="30"/>
      <c r="Q120" s="69"/>
      <c r="R120" s="69"/>
      <c r="S120" s="69"/>
      <c r="T120" s="197"/>
      <c r="U120" s="197"/>
      <c r="V120" s="197"/>
      <c r="W120" s="34"/>
      <c r="X120" s="35"/>
      <c r="Y120" s="35"/>
      <c r="Z120" s="211"/>
      <c r="AA120" s="35"/>
      <c r="AB120" s="211"/>
      <c r="AC120" s="35"/>
      <c r="AD120" s="35"/>
      <c r="AE120" s="34"/>
      <c r="AF120" s="34"/>
      <c r="AG120" s="34"/>
      <c r="AH120" s="35"/>
      <c r="AI120" s="34"/>
      <c r="AJ120" s="34"/>
      <c r="AK120" s="34"/>
      <c r="AL120" s="34"/>
      <c r="AM120" s="26"/>
      <c r="AN120" s="197"/>
      <c r="AO120" s="197"/>
      <c r="AP120" s="34"/>
      <c r="AQ120" s="111"/>
      <c r="AR120" s="34"/>
      <c r="AS120" s="111"/>
      <c r="AT120" s="35"/>
      <c r="AU120" s="111"/>
      <c r="AV120" s="111"/>
      <c r="AW120" s="35"/>
      <c r="AX120" s="111"/>
      <c r="AY120" s="111"/>
      <c r="AZ120" s="69"/>
      <c r="BA120" s="7"/>
      <c r="BB120" s="69"/>
      <c r="BC120" s="69"/>
      <c r="BD120" s="34"/>
      <c r="BE120" s="69"/>
      <c r="BF120" s="69"/>
      <c r="BG120" s="69"/>
      <c r="BH120" s="69"/>
      <c r="BI120" s="69"/>
      <c r="BJ120" s="69"/>
      <c r="BK120" s="98"/>
      <c r="BL120" s="98"/>
      <c r="BM120" s="69"/>
      <c r="BN120" s="69"/>
      <c r="BO120" s="69"/>
      <c r="BP120" s="69"/>
      <c r="BQ120" s="69"/>
      <c r="BR120" s="69"/>
      <c r="BS120" s="34"/>
      <c r="BT120" s="197"/>
      <c r="BU120" s="69"/>
      <c r="BV120" s="34"/>
      <c r="BW120" s="34"/>
    </row>
    <row r="121">
      <c r="A121" s="111"/>
      <c r="B121" s="35"/>
      <c r="C121" s="111"/>
      <c r="D121" s="16"/>
      <c r="E121" s="197"/>
      <c r="F121" s="34"/>
      <c r="G121" s="34"/>
      <c r="H121" s="197"/>
      <c r="I121" s="197"/>
      <c r="J121" s="34"/>
      <c r="K121" s="34"/>
      <c r="L121" s="34"/>
      <c r="M121" s="69"/>
      <c r="N121" s="35"/>
      <c r="O121" s="111"/>
      <c r="P121" s="30"/>
      <c r="Q121" s="69"/>
      <c r="R121" s="69"/>
      <c r="S121" s="69"/>
      <c r="T121" s="197"/>
      <c r="U121" s="197"/>
      <c r="V121" s="197"/>
      <c r="W121" s="34"/>
      <c r="X121" s="35"/>
      <c r="Y121" s="35"/>
      <c r="Z121" s="211"/>
      <c r="AA121" s="35"/>
      <c r="AB121" s="211"/>
      <c r="AC121" s="35"/>
      <c r="AD121" s="35"/>
      <c r="AE121" s="34"/>
      <c r="AF121" s="34"/>
      <c r="AG121" s="34"/>
      <c r="AH121" s="35"/>
      <c r="AI121" s="34"/>
      <c r="AJ121" s="34"/>
      <c r="AK121" s="34"/>
      <c r="AL121" s="34"/>
      <c r="AM121" s="26"/>
      <c r="AN121" s="197"/>
      <c r="AO121" s="197"/>
      <c r="AP121" s="34"/>
      <c r="AQ121" s="111"/>
      <c r="AR121" s="34"/>
      <c r="AS121" s="111"/>
      <c r="AT121" s="35"/>
      <c r="AU121" s="111"/>
      <c r="AV121" s="111"/>
      <c r="AW121" s="35"/>
      <c r="AX121" s="111"/>
      <c r="AY121" s="111"/>
      <c r="AZ121" s="69"/>
      <c r="BA121" s="7"/>
      <c r="BB121" s="69"/>
      <c r="BC121" s="69"/>
      <c r="BD121" s="34"/>
      <c r="BE121" s="69"/>
      <c r="BF121" s="69"/>
      <c r="BG121" s="69"/>
      <c r="BH121" s="69"/>
      <c r="BI121" s="69"/>
      <c r="BJ121" s="69"/>
      <c r="BK121" s="98"/>
      <c r="BL121" s="98"/>
      <c r="BM121" s="69"/>
      <c r="BN121" s="69"/>
      <c r="BO121" s="69"/>
      <c r="BP121" s="69"/>
      <c r="BQ121" s="69"/>
      <c r="BR121" s="69"/>
      <c r="BS121" s="34"/>
      <c r="BT121" s="197"/>
      <c r="BU121" s="69"/>
      <c r="BV121" s="34"/>
      <c r="BW121" s="34"/>
    </row>
    <row r="122">
      <c r="A122" s="197"/>
      <c r="B122" s="34"/>
      <c r="C122" s="111"/>
      <c r="D122" s="34"/>
      <c r="E122" s="197"/>
      <c r="F122" s="34"/>
      <c r="G122" s="34"/>
      <c r="H122" s="197"/>
      <c r="I122" s="197"/>
      <c r="J122" s="34"/>
      <c r="K122" s="34"/>
      <c r="L122" s="34"/>
      <c r="M122" s="69"/>
      <c r="N122" s="34"/>
      <c r="O122" s="98"/>
      <c r="P122" s="26"/>
      <c r="Q122" s="69"/>
      <c r="R122" s="69"/>
      <c r="S122" s="69"/>
      <c r="T122" s="197"/>
      <c r="U122" s="197"/>
      <c r="V122" s="197"/>
      <c r="W122" s="34"/>
      <c r="X122" s="34"/>
      <c r="Y122" s="35"/>
      <c r="Z122" s="211"/>
      <c r="AA122" s="35"/>
      <c r="AB122" s="211"/>
      <c r="AC122" s="35"/>
      <c r="AD122" s="34"/>
      <c r="AE122" s="34"/>
      <c r="AF122" s="34"/>
      <c r="AG122" s="34"/>
      <c r="AH122" s="34"/>
      <c r="AI122" s="34"/>
      <c r="AJ122" s="34"/>
      <c r="AK122" s="34"/>
      <c r="AL122" s="34"/>
      <c r="AM122" s="26"/>
      <c r="AN122" s="197"/>
      <c r="AO122" s="197"/>
      <c r="AP122" s="34"/>
      <c r="AQ122" s="197"/>
      <c r="AR122" s="34"/>
      <c r="AS122" s="197"/>
      <c r="AT122" s="69"/>
      <c r="AU122" s="98"/>
      <c r="AV122" s="98"/>
      <c r="AW122" s="69"/>
      <c r="AX122" s="98"/>
      <c r="AY122" s="98"/>
      <c r="AZ122" s="69"/>
      <c r="BA122" s="69"/>
      <c r="BB122" s="69"/>
      <c r="BC122" s="69"/>
      <c r="BD122" s="34"/>
      <c r="BE122" s="69"/>
      <c r="BF122" s="69"/>
      <c r="BG122" s="69"/>
      <c r="BH122" s="69"/>
      <c r="BI122" s="69"/>
      <c r="BJ122" s="69"/>
      <c r="BK122" s="98"/>
      <c r="BL122" s="98"/>
      <c r="BM122" s="69"/>
      <c r="BN122" s="69"/>
      <c r="BO122" s="69"/>
      <c r="BP122" s="69"/>
      <c r="BQ122" s="69"/>
      <c r="BR122" s="69"/>
      <c r="BS122" s="34"/>
      <c r="BT122" s="197"/>
      <c r="BU122" s="69"/>
      <c r="BV122" s="34"/>
      <c r="BW122" s="34"/>
    </row>
    <row r="123">
      <c r="A123" s="197"/>
      <c r="B123" s="34"/>
      <c r="C123" s="111"/>
      <c r="D123" s="34"/>
      <c r="E123" s="197"/>
      <c r="F123" s="34"/>
      <c r="G123" s="34"/>
      <c r="H123" s="197"/>
      <c r="I123" s="98"/>
      <c r="J123" s="69"/>
      <c r="K123" s="34"/>
      <c r="L123" s="34"/>
      <c r="M123" s="69"/>
      <c r="N123" s="69"/>
      <c r="O123" s="98"/>
      <c r="P123" s="183"/>
      <c r="Q123" s="69"/>
      <c r="R123" s="69"/>
      <c r="S123" s="69"/>
      <c r="T123" s="98"/>
      <c r="U123" s="98"/>
      <c r="V123" s="197"/>
      <c r="W123" s="34"/>
      <c r="X123" s="69"/>
      <c r="Y123" s="34"/>
      <c r="Z123" s="34"/>
      <c r="AA123" s="34"/>
      <c r="AB123" s="34"/>
      <c r="AC123" s="35"/>
      <c r="AD123" s="34"/>
      <c r="AE123" s="34"/>
      <c r="AF123" s="34"/>
      <c r="AG123" s="34"/>
      <c r="AH123" s="34"/>
      <c r="AI123" s="34"/>
      <c r="AJ123" s="34"/>
      <c r="AK123" s="34"/>
      <c r="AL123" s="34"/>
      <c r="AM123" s="253"/>
      <c r="AN123" s="197"/>
      <c r="AO123" s="197"/>
      <c r="AP123" s="69"/>
      <c r="AQ123" s="98"/>
      <c r="AR123" s="69"/>
      <c r="AS123" s="98"/>
      <c r="AT123" s="34"/>
      <c r="AU123" s="98"/>
      <c r="AV123" s="98"/>
      <c r="AW123" s="69"/>
      <c r="AX123" s="98"/>
      <c r="AY123" s="98"/>
      <c r="AZ123" s="69"/>
      <c r="BA123" s="69"/>
      <c r="BB123" s="69"/>
      <c r="BC123" s="69"/>
      <c r="BD123" s="34"/>
      <c r="BE123" s="34"/>
      <c r="BF123" s="34"/>
      <c r="BG123" s="34"/>
      <c r="BH123" s="34"/>
      <c r="BI123" s="34"/>
      <c r="BJ123" s="34"/>
      <c r="BK123" s="34"/>
      <c r="BL123" s="69"/>
      <c r="BM123" s="69"/>
      <c r="BN123" s="69"/>
      <c r="BO123" s="69"/>
      <c r="BP123" s="69"/>
      <c r="BQ123" s="69"/>
      <c r="BR123" s="69"/>
      <c r="BS123" s="34"/>
      <c r="BT123" s="197"/>
      <c r="BU123" s="69"/>
      <c r="BV123" s="34"/>
      <c r="BW123" s="34"/>
    </row>
    <row r="124">
      <c r="A124" s="197"/>
      <c r="B124" s="34"/>
      <c r="C124" s="111"/>
      <c r="D124" s="34"/>
      <c r="E124" s="197"/>
      <c r="F124" s="34"/>
      <c r="G124" s="34"/>
      <c r="H124" s="197"/>
      <c r="I124" s="98"/>
      <c r="J124" s="69"/>
      <c r="K124" s="34"/>
      <c r="L124" s="34"/>
      <c r="M124" s="69"/>
      <c r="N124" s="69"/>
      <c r="O124" s="98"/>
      <c r="P124" s="183"/>
      <c r="Q124" s="69"/>
      <c r="R124" s="69"/>
      <c r="S124" s="69"/>
      <c r="T124" s="197"/>
      <c r="U124" s="197"/>
      <c r="V124" s="197"/>
      <c r="W124" s="34"/>
      <c r="X124" s="34"/>
      <c r="Y124" s="34"/>
      <c r="Z124" s="34"/>
      <c r="AA124" s="34"/>
      <c r="AB124" s="34"/>
      <c r="AC124" s="34"/>
      <c r="AD124" s="34"/>
      <c r="AE124" s="34"/>
      <c r="AF124" s="34"/>
      <c r="AG124" s="34"/>
      <c r="AH124" s="35"/>
      <c r="AI124" s="34"/>
      <c r="AJ124" s="34"/>
      <c r="AK124" s="34"/>
      <c r="AL124" s="34"/>
      <c r="AM124" s="26"/>
      <c r="AN124" s="197"/>
      <c r="AO124" s="197"/>
      <c r="AP124" s="69"/>
      <c r="AQ124" s="98"/>
      <c r="AR124" s="69"/>
      <c r="AS124" s="98"/>
      <c r="AT124" s="69"/>
      <c r="AU124" s="98"/>
      <c r="AV124" s="98"/>
      <c r="AW124" s="69"/>
      <c r="AX124" s="98"/>
      <c r="AY124" s="98"/>
      <c r="AZ124" s="69"/>
      <c r="BA124" s="34"/>
      <c r="BB124" s="34"/>
      <c r="BC124" s="34"/>
      <c r="BD124" s="69"/>
      <c r="BE124" s="34"/>
      <c r="BF124" s="34"/>
      <c r="BG124" s="34"/>
      <c r="BH124" s="34"/>
      <c r="BI124" s="34"/>
      <c r="BJ124" s="34"/>
      <c r="BK124" s="34"/>
      <c r="BL124" s="69"/>
      <c r="BM124" s="69"/>
      <c r="BN124" s="69"/>
      <c r="BO124" s="69"/>
      <c r="BP124" s="69"/>
      <c r="BQ124" s="69"/>
      <c r="BR124" s="69"/>
      <c r="BS124" s="34"/>
      <c r="BT124" s="197"/>
      <c r="BU124" s="69"/>
      <c r="BV124" s="34"/>
      <c r="BW124" s="34"/>
    </row>
    <row r="125">
      <c r="A125" s="197"/>
      <c r="B125" s="34"/>
      <c r="C125" s="111"/>
      <c r="D125" s="34"/>
      <c r="E125" s="197"/>
      <c r="F125" s="34"/>
      <c r="G125" s="34"/>
      <c r="H125" s="197"/>
      <c r="I125" s="98"/>
      <c r="J125" s="34"/>
      <c r="K125" s="69"/>
      <c r="L125" s="69"/>
      <c r="M125" s="69"/>
      <c r="N125" s="34"/>
      <c r="O125" s="98"/>
      <c r="P125" s="183"/>
      <c r="Q125" s="69"/>
      <c r="R125" s="69"/>
      <c r="S125" s="69"/>
      <c r="T125" s="197"/>
      <c r="U125" s="197"/>
      <c r="V125" s="197"/>
      <c r="W125" s="34"/>
      <c r="X125" s="34"/>
      <c r="Y125" s="34"/>
      <c r="Z125" s="34"/>
      <c r="AA125" s="34"/>
      <c r="AB125" s="34"/>
      <c r="AC125" s="34"/>
      <c r="AD125" s="34"/>
      <c r="AE125" s="34"/>
      <c r="AF125" s="34"/>
      <c r="AG125" s="34"/>
      <c r="AH125" s="34"/>
      <c r="AI125" s="34"/>
      <c r="AJ125" s="34"/>
      <c r="AK125" s="34"/>
      <c r="AL125" s="34"/>
      <c r="AM125" s="69"/>
      <c r="AN125" s="197"/>
      <c r="AO125" s="197"/>
      <c r="AP125" s="34"/>
      <c r="AQ125" s="197"/>
      <c r="AR125" s="69"/>
      <c r="AS125" s="98"/>
      <c r="AT125" s="34"/>
      <c r="AU125" s="197"/>
      <c r="AV125" s="197"/>
      <c r="AW125" s="69"/>
      <c r="AX125" s="98"/>
      <c r="AY125" s="98"/>
      <c r="AZ125" s="34"/>
      <c r="BA125" s="69"/>
      <c r="BB125" s="69"/>
      <c r="BC125" s="69"/>
      <c r="BD125" s="34"/>
      <c r="BE125" s="69"/>
      <c r="BF125" s="69"/>
      <c r="BG125" s="69"/>
      <c r="BH125" s="69"/>
      <c r="BI125" s="69"/>
      <c r="BJ125" s="69"/>
      <c r="BK125" s="98"/>
      <c r="BL125" s="98"/>
      <c r="BM125" s="69"/>
      <c r="BN125" s="69"/>
      <c r="BO125" s="69"/>
      <c r="BP125" s="69"/>
      <c r="BQ125" s="69"/>
      <c r="BR125" s="69"/>
      <c r="BS125" s="34"/>
      <c r="BT125" s="197"/>
      <c r="BU125" s="69"/>
      <c r="BV125" s="69"/>
      <c r="BW125" s="34"/>
    </row>
    <row r="126">
      <c r="A126" s="197"/>
      <c r="B126" s="34"/>
      <c r="C126" s="111"/>
      <c r="D126" s="34"/>
      <c r="E126" s="197"/>
      <c r="F126" s="34"/>
      <c r="G126" s="34"/>
      <c r="H126" s="197"/>
      <c r="I126" s="98"/>
      <c r="J126" s="69"/>
      <c r="K126" s="34"/>
      <c r="L126" s="34"/>
      <c r="M126" s="69"/>
      <c r="N126" s="69"/>
      <c r="O126" s="98"/>
      <c r="P126" s="26"/>
      <c r="Q126" s="69"/>
      <c r="R126" s="69"/>
      <c r="S126" s="69"/>
      <c r="T126" s="197"/>
      <c r="U126" s="197"/>
      <c r="V126" s="197"/>
      <c r="W126" s="34"/>
      <c r="X126" s="34"/>
      <c r="Y126" s="35"/>
      <c r="Z126" s="211"/>
      <c r="AA126" s="35"/>
      <c r="AB126" s="211"/>
      <c r="AC126" s="35"/>
      <c r="AD126" s="34"/>
      <c r="AE126" s="34"/>
      <c r="AF126" s="34"/>
      <c r="AG126" s="34"/>
      <c r="AH126" s="35"/>
      <c r="AI126" s="34"/>
      <c r="AJ126" s="34"/>
      <c r="AK126" s="34"/>
      <c r="AL126" s="34"/>
      <c r="AM126" s="34"/>
      <c r="AN126" s="197"/>
      <c r="AO126" s="197"/>
      <c r="AP126" s="69"/>
      <c r="AQ126" s="98"/>
      <c r="AR126" s="69"/>
      <c r="AS126" s="98"/>
      <c r="AT126" s="34"/>
      <c r="AU126" s="98"/>
      <c r="AV126" s="98"/>
      <c r="AW126" s="69"/>
      <c r="AX126" s="98"/>
      <c r="AY126" s="98"/>
      <c r="AZ126" s="69"/>
      <c r="BA126" s="34"/>
      <c r="BB126" s="69"/>
      <c r="BC126" s="69"/>
      <c r="BD126" s="34"/>
      <c r="BE126" s="34"/>
      <c r="BF126" s="34"/>
      <c r="BG126" s="34"/>
      <c r="BH126" s="34"/>
      <c r="BI126" s="34"/>
      <c r="BJ126" s="34"/>
      <c r="BK126" s="197"/>
      <c r="BL126" s="69"/>
      <c r="BM126" s="69"/>
      <c r="BN126" s="69"/>
      <c r="BO126" s="69"/>
      <c r="BP126" s="69"/>
      <c r="BQ126" s="69"/>
      <c r="BR126" s="69"/>
      <c r="BS126" s="34"/>
      <c r="BT126" s="197"/>
      <c r="BU126" s="69"/>
      <c r="BV126" s="34"/>
      <c r="BW126" s="34"/>
    </row>
    <row r="127">
      <c r="A127" s="197"/>
      <c r="B127" s="34"/>
      <c r="C127" s="111"/>
      <c r="D127" s="34"/>
      <c r="E127" s="197"/>
      <c r="F127" s="34"/>
      <c r="G127" s="197"/>
      <c r="H127" s="197"/>
      <c r="I127" s="98"/>
      <c r="J127" s="69"/>
      <c r="K127" s="34"/>
      <c r="L127" s="34"/>
      <c r="M127" s="69"/>
      <c r="N127" s="69"/>
      <c r="O127" s="98"/>
      <c r="P127" s="183"/>
      <c r="Q127" s="69"/>
      <c r="R127" s="69"/>
      <c r="S127" s="69"/>
      <c r="T127" s="98"/>
      <c r="U127" s="98"/>
      <c r="V127" s="197"/>
      <c r="W127" s="34"/>
      <c r="X127" s="34"/>
      <c r="Y127" s="35"/>
      <c r="Z127" s="183"/>
      <c r="AA127" s="35"/>
      <c r="AB127" s="183"/>
      <c r="AC127" s="35"/>
      <c r="AD127" s="34"/>
      <c r="AE127" s="34"/>
      <c r="AF127" s="34"/>
      <c r="AG127" s="34"/>
      <c r="AH127" s="34"/>
      <c r="AI127" s="34"/>
      <c r="AJ127" s="34"/>
      <c r="AK127" s="34"/>
      <c r="AL127" s="34"/>
      <c r="AM127" s="34"/>
      <c r="AN127" s="197"/>
      <c r="AO127" s="197"/>
      <c r="AP127" s="69"/>
      <c r="AQ127" s="98"/>
      <c r="AR127" s="69"/>
      <c r="AS127" s="98"/>
      <c r="AT127" s="69"/>
      <c r="AU127" s="98"/>
      <c r="AV127" s="98"/>
      <c r="AW127" s="69"/>
      <c r="AX127" s="98"/>
      <c r="AY127" s="98"/>
      <c r="AZ127" s="183"/>
      <c r="BA127" s="34"/>
      <c r="BB127" s="34"/>
      <c r="BC127" s="34"/>
      <c r="BD127" s="69"/>
      <c r="BE127" s="34"/>
      <c r="BF127" s="34"/>
      <c r="BG127" s="34"/>
      <c r="BH127" s="34"/>
      <c r="BI127" s="34"/>
      <c r="BJ127" s="34"/>
      <c r="BK127" s="197"/>
      <c r="BL127" s="69"/>
      <c r="BM127" s="69"/>
      <c r="BN127" s="69"/>
      <c r="BO127" s="69"/>
      <c r="BP127" s="69"/>
      <c r="BQ127" s="69"/>
      <c r="BR127" s="69"/>
      <c r="BS127" s="34"/>
      <c r="BT127" s="197"/>
      <c r="BU127" s="69"/>
      <c r="BV127" s="34"/>
      <c r="BW127" s="34"/>
    </row>
    <row r="128">
      <c r="A128" s="197"/>
      <c r="B128" s="34"/>
      <c r="C128" s="111"/>
      <c r="D128" s="34"/>
      <c r="E128" s="197"/>
      <c r="F128" s="34"/>
      <c r="G128" s="34"/>
      <c r="H128" s="197"/>
      <c r="I128" s="98"/>
      <c r="J128" s="69"/>
      <c r="K128" s="34"/>
      <c r="L128" s="34"/>
      <c r="M128" s="69"/>
      <c r="N128" s="35"/>
      <c r="O128" s="98"/>
      <c r="P128" s="183"/>
      <c r="Q128" s="69"/>
      <c r="R128" s="69"/>
      <c r="S128" s="69"/>
      <c r="T128" s="98"/>
      <c r="U128" s="98"/>
      <c r="V128" s="197"/>
      <c r="W128" s="34"/>
      <c r="X128" s="34"/>
      <c r="Y128" s="35"/>
      <c r="Z128" s="35"/>
      <c r="AA128" s="35"/>
      <c r="AB128" s="35"/>
      <c r="AC128" s="35"/>
      <c r="AD128" s="34"/>
      <c r="AE128" s="34"/>
      <c r="AF128" s="34"/>
      <c r="AG128" s="34"/>
      <c r="AH128" s="34"/>
      <c r="AI128" s="34"/>
      <c r="AJ128" s="34"/>
      <c r="AK128" s="34"/>
      <c r="AL128" s="34"/>
      <c r="AM128" s="34"/>
      <c r="AN128" s="197"/>
      <c r="AO128" s="197"/>
      <c r="AP128" s="69"/>
      <c r="AQ128" s="98"/>
      <c r="AR128" s="69"/>
      <c r="AS128" s="98"/>
      <c r="AT128" s="69"/>
      <c r="AU128" s="98"/>
      <c r="AV128" s="98"/>
      <c r="AW128" s="69"/>
      <c r="AX128" s="98"/>
      <c r="AY128" s="98"/>
      <c r="AZ128" s="69"/>
      <c r="BA128" s="34"/>
      <c r="BB128" s="34"/>
      <c r="BC128" s="34"/>
      <c r="BD128" s="69"/>
      <c r="BE128" s="34"/>
      <c r="BF128" s="34"/>
      <c r="BG128" s="34"/>
      <c r="BH128" s="34"/>
      <c r="BI128" s="34"/>
      <c r="BJ128" s="34"/>
      <c r="BK128" s="34"/>
      <c r="BL128" s="69"/>
      <c r="BM128" s="69"/>
      <c r="BN128" s="69"/>
      <c r="BO128" s="69"/>
      <c r="BP128" s="69"/>
      <c r="BQ128" s="69"/>
      <c r="BR128" s="69"/>
      <c r="BS128" s="34"/>
      <c r="BT128" s="197"/>
      <c r="BU128" s="69"/>
      <c r="BV128" s="34"/>
      <c r="BW128" s="34"/>
    </row>
    <row r="129">
      <c r="A129" s="197"/>
      <c r="B129" s="34"/>
      <c r="C129" s="111"/>
      <c r="D129" s="34"/>
      <c r="E129" s="34"/>
      <c r="F129" s="34"/>
      <c r="G129" s="34"/>
      <c r="H129" s="197"/>
      <c r="I129" s="98"/>
      <c r="J129" s="34"/>
      <c r="K129" s="34"/>
      <c r="L129" s="34"/>
      <c r="M129" s="69"/>
      <c r="N129" s="69"/>
      <c r="O129" s="197"/>
      <c r="P129" s="26"/>
      <c r="Q129" s="69"/>
      <c r="R129" s="69"/>
      <c r="S129" s="69"/>
      <c r="T129" s="98"/>
      <c r="U129" s="98"/>
      <c r="V129" s="34"/>
      <c r="W129" s="13"/>
      <c r="X129" s="34"/>
      <c r="Y129" s="35"/>
      <c r="Z129" s="35"/>
      <c r="AA129" s="35"/>
      <c r="AB129" s="35"/>
      <c r="AC129" s="35"/>
      <c r="AD129" s="34"/>
      <c r="AE129" s="34"/>
      <c r="AF129" s="34"/>
      <c r="AG129" s="34"/>
      <c r="AH129" s="34"/>
      <c r="AI129" s="34"/>
      <c r="AJ129" s="34"/>
      <c r="AK129" s="34"/>
      <c r="AL129" s="26"/>
      <c r="AM129" s="34"/>
      <c r="AN129" s="13"/>
      <c r="AO129" s="13"/>
      <c r="AP129" s="13"/>
      <c r="AQ129" s="197"/>
      <c r="AR129" s="34"/>
      <c r="AS129" s="197"/>
      <c r="AT129" s="69"/>
      <c r="AU129" s="98"/>
      <c r="AV129" s="98"/>
      <c r="AW129" s="69"/>
      <c r="AX129" s="98"/>
      <c r="AY129" s="98"/>
      <c r="AZ129" s="69"/>
      <c r="BA129" s="69"/>
      <c r="BB129" s="69"/>
      <c r="BC129" s="69"/>
      <c r="BD129" s="69"/>
      <c r="BE129" s="34"/>
      <c r="BF129" s="69"/>
      <c r="BG129" s="69"/>
      <c r="BH129" s="34"/>
      <c r="BI129" s="34"/>
      <c r="BJ129" s="34"/>
      <c r="BK129" s="13"/>
      <c r="BL129" s="13"/>
      <c r="BM129" s="13"/>
      <c r="BN129" s="13"/>
      <c r="BO129" s="13"/>
      <c r="BP129" s="13"/>
      <c r="BQ129" s="13"/>
      <c r="BR129" s="13"/>
      <c r="BS129" s="13"/>
      <c r="BT129" s="34"/>
      <c r="BU129" s="34"/>
      <c r="BV129" s="34"/>
      <c r="BW129" s="34"/>
    </row>
    <row r="130">
      <c r="A130" s="197"/>
      <c r="B130" s="34"/>
      <c r="C130" s="111"/>
      <c r="D130" s="34"/>
      <c r="E130" s="34"/>
      <c r="F130" s="34"/>
      <c r="G130" s="34"/>
      <c r="H130" s="197"/>
      <c r="I130" s="98"/>
      <c r="J130" s="34"/>
      <c r="K130" s="34"/>
      <c r="L130" s="34"/>
      <c r="M130" s="69"/>
      <c r="N130" s="69"/>
      <c r="O130" s="98"/>
      <c r="P130" s="26"/>
      <c r="Q130" s="69"/>
      <c r="R130" s="69"/>
      <c r="S130" s="69"/>
      <c r="T130" s="98"/>
      <c r="U130" s="98"/>
      <c r="V130" s="34"/>
      <c r="W130" s="13"/>
      <c r="X130" s="34"/>
      <c r="Y130" s="34"/>
      <c r="Z130" s="34"/>
      <c r="AA130" s="34"/>
      <c r="AB130" s="34"/>
      <c r="AC130" s="34"/>
      <c r="AD130" s="34"/>
      <c r="AE130" s="34"/>
      <c r="AF130" s="34"/>
      <c r="AG130" s="34"/>
      <c r="AH130" s="34"/>
      <c r="AI130" s="34"/>
      <c r="AJ130" s="34"/>
      <c r="AK130" s="34"/>
      <c r="AL130" s="26"/>
      <c r="AM130" s="34"/>
      <c r="AN130" s="13"/>
      <c r="AO130" s="13"/>
      <c r="AP130" s="13"/>
      <c r="AQ130" s="197"/>
      <c r="AR130" s="34"/>
      <c r="AS130" s="197"/>
      <c r="AT130" s="69"/>
      <c r="AU130" s="98"/>
      <c r="AV130" s="98"/>
      <c r="AW130" s="69"/>
      <c r="AX130" s="98"/>
      <c r="AY130" s="98"/>
      <c r="AZ130" s="69"/>
      <c r="BA130" s="69"/>
      <c r="BB130" s="69"/>
      <c r="BC130" s="69"/>
      <c r="BD130" s="69"/>
      <c r="BE130" s="34"/>
      <c r="BF130" s="69"/>
      <c r="BG130" s="69"/>
      <c r="BH130" s="34"/>
      <c r="BI130" s="34"/>
      <c r="BJ130" s="34"/>
      <c r="BK130" s="13"/>
      <c r="BL130" s="13"/>
      <c r="BM130" s="13"/>
      <c r="BN130" s="13"/>
      <c r="BO130" s="13"/>
      <c r="BP130" s="13"/>
      <c r="BQ130" s="13"/>
      <c r="BR130" s="13"/>
      <c r="BS130" s="13"/>
      <c r="BT130" s="34"/>
      <c r="BU130" s="34"/>
      <c r="BV130" s="34"/>
      <c r="BW130" s="34"/>
    </row>
    <row r="131">
      <c r="A131" s="197"/>
      <c r="B131" s="34"/>
      <c r="C131" s="111"/>
      <c r="D131" s="34"/>
      <c r="E131" s="34"/>
      <c r="F131" s="34"/>
      <c r="G131" s="34"/>
      <c r="H131" s="197"/>
      <c r="I131" s="98"/>
      <c r="J131" s="34"/>
      <c r="K131" s="34"/>
      <c r="L131" s="34"/>
      <c r="M131" s="69"/>
      <c r="N131" s="34"/>
      <c r="O131" s="98"/>
      <c r="P131" s="26"/>
      <c r="Q131" s="69"/>
      <c r="R131" s="69"/>
      <c r="S131" s="69"/>
      <c r="T131" s="98"/>
      <c r="U131" s="98"/>
      <c r="V131" s="34"/>
      <c r="W131" s="13"/>
      <c r="X131" s="34"/>
      <c r="Y131" s="34"/>
      <c r="Z131" s="34"/>
      <c r="AA131" s="34"/>
      <c r="AB131" s="34"/>
      <c r="AC131" s="34"/>
      <c r="AD131" s="34"/>
      <c r="AE131" s="34"/>
      <c r="AF131" s="34"/>
      <c r="AG131" s="34"/>
      <c r="AH131" s="34"/>
      <c r="AI131" s="34"/>
      <c r="AJ131" s="34"/>
      <c r="AK131" s="34"/>
      <c r="AL131" s="34"/>
      <c r="AM131" s="34"/>
      <c r="AN131" s="13"/>
      <c r="AO131" s="13"/>
      <c r="AP131" s="13"/>
      <c r="AQ131" s="197"/>
      <c r="AR131" s="34"/>
      <c r="AS131" s="197"/>
      <c r="AT131" s="69"/>
      <c r="AU131" s="98"/>
      <c r="AV131" s="98"/>
      <c r="AW131" s="69"/>
      <c r="AX131" s="98"/>
      <c r="AY131" s="98"/>
      <c r="AZ131" s="69"/>
      <c r="BA131" s="69"/>
      <c r="BB131" s="69"/>
      <c r="BC131" s="69"/>
      <c r="BD131" s="69"/>
      <c r="BE131" s="34"/>
      <c r="BF131" s="69"/>
      <c r="BG131" s="69"/>
      <c r="BH131" s="34"/>
      <c r="BI131" s="34"/>
      <c r="BJ131" s="34"/>
      <c r="BK131" s="13"/>
      <c r="BL131" s="13"/>
      <c r="BM131" s="13"/>
      <c r="BN131" s="13"/>
      <c r="BO131" s="13"/>
      <c r="BP131" s="13"/>
      <c r="BQ131" s="13"/>
      <c r="BR131" s="13"/>
      <c r="BS131" s="13"/>
      <c r="BT131" s="34"/>
      <c r="BU131" s="34"/>
      <c r="BV131" s="34"/>
      <c r="BW131" s="34"/>
    </row>
    <row r="132">
      <c r="A132" s="197"/>
      <c r="B132" s="34"/>
      <c r="C132" s="111"/>
      <c r="D132" s="34"/>
      <c r="E132" s="197"/>
      <c r="F132" s="34"/>
      <c r="G132" s="34"/>
      <c r="H132" s="197"/>
      <c r="I132" s="98"/>
      <c r="J132" s="69"/>
      <c r="K132" s="34"/>
      <c r="L132" s="34"/>
      <c r="M132" s="69"/>
      <c r="N132" s="69"/>
      <c r="O132" s="98"/>
      <c r="P132" s="183"/>
      <c r="Q132" s="69"/>
      <c r="R132" s="69"/>
      <c r="S132" s="69"/>
      <c r="T132" s="98"/>
      <c r="U132" s="69"/>
      <c r="V132" s="197"/>
      <c r="W132" s="34"/>
      <c r="X132" s="34"/>
      <c r="Y132" s="34"/>
      <c r="Z132" s="34"/>
      <c r="AA132" s="34"/>
      <c r="AB132" s="34"/>
      <c r="AC132" s="34"/>
      <c r="AD132" s="34"/>
      <c r="AE132" s="34"/>
      <c r="AF132" s="34"/>
      <c r="AG132" s="34"/>
      <c r="AH132" s="35"/>
      <c r="AI132" s="34"/>
      <c r="AJ132" s="34"/>
      <c r="AK132" s="34"/>
      <c r="AL132" s="34"/>
      <c r="AM132" s="34"/>
      <c r="AN132" s="197"/>
      <c r="AO132" s="197"/>
      <c r="AP132" s="69"/>
      <c r="AQ132" s="98"/>
      <c r="AR132" s="69"/>
      <c r="AS132" s="98"/>
      <c r="AT132" s="69"/>
      <c r="AU132" s="98"/>
      <c r="AV132" s="98"/>
      <c r="AW132" s="69"/>
      <c r="AX132" s="98"/>
      <c r="AY132" s="98"/>
      <c r="AZ132" s="69"/>
      <c r="BA132" s="34"/>
      <c r="BB132" s="34"/>
      <c r="BC132" s="34"/>
      <c r="BD132" s="34"/>
      <c r="BE132" s="34"/>
      <c r="BF132" s="34"/>
      <c r="BG132" s="34"/>
      <c r="BH132" s="34"/>
      <c r="BI132" s="34"/>
      <c r="BJ132" s="34"/>
      <c r="BK132" s="34"/>
      <c r="BL132" s="69"/>
      <c r="BM132" s="69"/>
      <c r="BN132" s="69"/>
      <c r="BO132" s="69"/>
      <c r="BP132" s="69"/>
      <c r="BQ132" s="69"/>
      <c r="BR132" s="69"/>
      <c r="BS132" s="34"/>
      <c r="BT132" s="197"/>
      <c r="BU132" s="69"/>
      <c r="BV132" s="34"/>
      <c r="BW132" s="34"/>
    </row>
    <row r="133">
      <c r="A133" s="197"/>
      <c r="B133" s="34"/>
      <c r="C133" s="111"/>
      <c r="D133" s="34"/>
      <c r="E133" s="197"/>
      <c r="F133" s="34"/>
      <c r="G133" s="34"/>
      <c r="H133" s="197"/>
      <c r="I133" s="98"/>
      <c r="J133" s="34"/>
      <c r="K133" s="34"/>
      <c r="L133" s="34"/>
      <c r="M133" s="69"/>
      <c r="N133" s="69"/>
      <c r="O133" s="98"/>
      <c r="P133" s="183"/>
      <c r="Q133" s="69"/>
      <c r="R133" s="69"/>
      <c r="S133" s="69"/>
      <c r="T133" s="98"/>
      <c r="U133" s="98"/>
      <c r="V133" s="197"/>
      <c r="W133" s="34"/>
      <c r="X133" s="35"/>
      <c r="Y133" s="35"/>
      <c r="Z133" s="35"/>
      <c r="AA133" s="35"/>
      <c r="AB133" s="35"/>
      <c r="AC133" s="35"/>
      <c r="AD133" s="34"/>
      <c r="AE133" s="34"/>
      <c r="AF133" s="34"/>
      <c r="AG133" s="34"/>
      <c r="AH133" s="35"/>
      <c r="AI133" s="34"/>
      <c r="AJ133" s="34"/>
      <c r="AK133" s="34"/>
      <c r="AL133" s="34"/>
      <c r="AM133" s="34"/>
      <c r="AN133" s="197"/>
      <c r="AO133" s="197"/>
      <c r="AP133" s="69"/>
      <c r="AQ133" s="111"/>
      <c r="AR133" s="35"/>
      <c r="AS133" s="98"/>
      <c r="AT133" s="69"/>
      <c r="AU133" s="98"/>
      <c r="AV133" s="98"/>
      <c r="AW133" s="35"/>
      <c r="AX133" s="98"/>
      <c r="AY133" s="98"/>
      <c r="AZ133" s="69"/>
      <c r="BA133" s="34"/>
      <c r="BB133" s="34"/>
      <c r="BC133" s="34"/>
      <c r="BD133" s="34"/>
      <c r="BE133" s="34"/>
      <c r="BF133" s="34"/>
      <c r="BG133" s="34"/>
      <c r="BH133" s="34"/>
      <c r="BI133" s="34"/>
      <c r="BJ133" s="34"/>
      <c r="BK133" s="197"/>
      <c r="BL133" s="69"/>
      <c r="BM133" s="69"/>
      <c r="BN133" s="69"/>
      <c r="BO133" s="69"/>
      <c r="BP133" s="69"/>
      <c r="BQ133" s="69"/>
      <c r="BR133" s="69"/>
      <c r="BS133" s="34"/>
      <c r="BT133" s="197"/>
      <c r="BU133" s="69"/>
      <c r="BV133" s="34"/>
      <c r="BW133" s="34"/>
    </row>
    <row r="134">
      <c r="A134" s="197"/>
      <c r="B134" s="34"/>
      <c r="C134" s="111"/>
      <c r="D134" s="34"/>
      <c r="E134" s="197"/>
      <c r="F134" s="34"/>
      <c r="G134" s="34"/>
      <c r="H134" s="197"/>
      <c r="I134" s="98"/>
      <c r="J134" s="69"/>
      <c r="K134" s="34"/>
      <c r="L134" s="34"/>
      <c r="M134" s="69"/>
      <c r="N134" s="34"/>
      <c r="O134" s="197"/>
      <c r="P134" s="26"/>
      <c r="Q134" s="69"/>
      <c r="R134" s="69"/>
      <c r="S134" s="69"/>
      <c r="T134" s="197"/>
      <c r="U134" s="197"/>
      <c r="V134" s="197"/>
      <c r="W134" s="34"/>
      <c r="X134" s="35"/>
      <c r="Y134" s="35"/>
      <c r="Z134" s="35"/>
      <c r="AA134" s="35"/>
      <c r="AB134" s="35"/>
      <c r="AC134" s="35"/>
      <c r="AD134" s="35"/>
      <c r="AE134" s="34"/>
      <c r="AF134" s="34"/>
      <c r="AG134" s="34"/>
      <c r="AH134" s="34"/>
      <c r="AI134" s="34"/>
      <c r="AJ134" s="34"/>
      <c r="AK134" s="34"/>
      <c r="AL134" s="34"/>
      <c r="AM134" s="34"/>
      <c r="AN134" s="197"/>
      <c r="AO134" s="197"/>
      <c r="AP134" s="69"/>
      <c r="AQ134" s="98"/>
      <c r="AR134" s="69"/>
      <c r="AS134" s="98"/>
      <c r="AT134" s="34"/>
      <c r="AU134" s="98"/>
      <c r="AV134" s="197"/>
      <c r="AW134" s="34"/>
      <c r="AX134" s="98"/>
      <c r="AY134" s="98"/>
      <c r="AZ134" s="69"/>
      <c r="BA134" s="34"/>
      <c r="BB134" s="69"/>
      <c r="BC134" s="69"/>
      <c r="BD134" s="34"/>
      <c r="BE134" s="34"/>
      <c r="BF134" s="34"/>
      <c r="BG134" s="34"/>
      <c r="BH134" s="34"/>
      <c r="BI134" s="34"/>
      <c r="BJ134" s="34"/>
      <c r="BK134" s="197"/>
      <c r="BL134" s="69"/>
      <c r="BM134" s="69"/>
      <c r="BN134" s="69"/>
      <c r="BO134" s="69"/>
      <c r="BP134" s="69"/>
      <c r="BQ134" s="69"/>
      <c r="BR134" s="69"/>
      <c r="BS134" s="34"/>
      <c r="BT134" s="197"/>
      <c r="BU134" s="69"/>
      <c r="BV134" s="34"/>
      <c r="BW134" s="34"/>
    </row>
    <row r="135">
      <c r="A135" s="197"/>
      <c r="B135" s="34"/>
      <c r="C135" s="111"/>
      <c r="D135" s="34"/>
      <c r="E135" s="197"/>
      <c r="F135" s="34"/>
      <c r="G135" s="34"/>
      <c r="H135" s="197"/>
      <c r="I135" s="98"/>
      <c r="J135" s="69"/>
      <c r="K135" s="34"/>
      <c r="L135" s="34"/>
      <c r="M135" s="69"/>
      <c r="N135" s="69"/>
      <c r="O135" s="98"/>
      <c r="P135" s="183"/>
      <c r="Q135" s="69"/>
      <c r="R135" s="69"/>
      <c r="S135" s="69"/>
      <c r="T135" s="197"/>
      <c r="U135" s="197"/>
      <c r="V135" s="197"/>
      <c r="W135" s="34"/>
      <c r="X135" s="69"/>
      <c r="Y135" s="34"/>
      <c r="Z135" s="34"/>
      <c r="AA135" s="34"/>
      <c r="AB135" s="34"/>
      <c r="AC135" s="34"/>
      <c r="AD135" s="34"/>
      <c r="AE135" s="34"/>
      <c r="AF135" s="34"/>
      <c r="AG135" s="34"/>
      <c r="AH135" s="34"/>
      <c r="AI135" s="34"/>
      <c r="AJ135" s="34"/>
      <c r="AK135" s="34"/>
      <c r="AL135" s="34"/>
      <c r="AM135" s="34"/>
      <c r="AN135" s="197"/>
      <c r="AO135" s="197"/>
      <c r="AP135" s="69"/>
      <c r="AQ135" s="98"/>
      <c r="AR135" s="69"/>
      <c r="AS135" s="98"/>
      <c r="AT135" s="69"/>
      <c r="AU135" s="98"/>
      <c r="AV135" s="98"/>
      <c r="AW135" s="69"/>
      <c r="AX135" s="98"/>
      <c r="AY135" s="98"/>
      <c r="AZ135" s="35"/>
      <c r="BA135" s="34"/>
      <c r="BB135" s="34"/>
      <c r="BC135" s="34"/>
      <c r="BD135" s="34"/>
      <c r="BE135" s="34"/>
      <c r="BF135" s="34"/>
      <c r="BG135" s="34"/>
      <c r="BH135" s="34"/>
      <c r="BI135" s="34"/>
      <c r="BJ135" s="34"/>
      <c r="BK135" s="197"/>
      <c r="BL135" s="69"/>
      <c r="BM135" s="69"/>
      <c r="BN135" s="69"/>
      <c r="BO135" s="69"/>
      <c r="BP135" s="69"/>
      <c r="BQ135" s="69"/>
      <c r="BR135" s="69"/>
      <c r="BS135" s="34"/>
      <c r="BT135" s="197"/>
      <c r="BU135" s="69"/>
      <c r="BV135" s="34"/>
      <c r="BW135" s="34"/>
    </row>
    <row r="136">
      <c r="A136" s="197"/>
      <c r="B136" s="34"/>
      <c r="C136" s="111"/>
      <c r="D136" s="34"/>
      <c r="E136" s="197"/>
      <c r="F136" s="34"/>
      <c r="G136" s="34"/>
      <c r="H136" s="197"/>
      <c r="I136" s="98"/>
      <c r="J136" s="34"/>
      <c r="K136" s="34"/>
      <c r="L136" s="34"/>
      <c r="M136" s="69"/>
      <c r="N136" s="35"/>
      <c r="O136" s="98"/>
      <c r="P136" s="183"/>
      <c r="Q136" s="34"/>
      <c r="R136" s="34"/>
      <c r="S136" s="34"/>
      <c r="T136" s="197"/>
      <c r="U136" s="197"/>
      <c r="V136" s="197"/>
      <c r="W136" s="34"/>
      <c r="X136" s="35"/>
      <c r="Y136" s="35"/>
      <c r="Z136" s="35"/>
      <c r="AA136" s="35"/>
      <c r="AB136" s="35"/>
      <c r="AC136" s="35"/>
      <c r="AD136" s="35"/>
      <c r="AE136" s="34"/>
      <c r="AF136" s="34"/>
      <c r="AG136" s="34"/>
      <c r="AH136" s="34"/>
      <c r="AI136" s="34"/>
      <c r="AJ136" s="34"/>
      <c r="AK136" s="34"/>
      <c r="AL136" s="34"/>
      <c r="AM136" s="34"/>
      <c r="AN136" s="197"/>
      <c r="AO136" s="197"/>
      <c r="AP136" s="69"/>
      <c r="AQ136" s="98"/>
      <c r="AR136" s="69"/>
      <c r="AS136" s="98"/>
      <c r="AT136" s="69"/>
      <c r="AU136" s="98"/>
      <c r="AV136" s="98"/>
      <c r="AW136" s="35"/>
      <c r="AX136" s="98"/>
      <c r="AY136" s="98"/>
      <c r="AZ136" s="69"/>
      <c r="BA136" s="34"/>
      <c r="BB136" s="34"/>
      <c r="BC136" s="34"/>
      <c r="BD136" s="34"/>
      <c r="BE136" s="34"/>
      <c r="BF136" s="34"/>
      <c r="BG136" s="34"/>
      <c r="BH136" s="34"/>
      <c r="BI136" s="34"/>
      <c r="BJ136" s="34"/>
      <c r="BK136" s="197"/>
      <c r="BL136" s="69"/>
      <c r="BM136" s="34"/>
      <c r="BN136" s="34"/>
      <c r="BO136" s="69"/>
      <c r="BP136" s="34"/>
      <c r="BQ136" s="34"/>
      <c r="BR136" s="69"/>
      <c r="BS136" s="34"/>
      <c r="BT136" s="197"/>
      <c r="BU136" s="34"/>
      <c r="BV136" s="34"/>
      <c r="BW136" s="34"/>
    </row>
    <row r="137">
      <c r="A137" s="197"/>
      <c r="B137" s="34"/>
      <c r="C137" s="111"/>
      <c r="D137" s="34"/>
      <c r="E137" s="197"/>
      <c r="F137" s="34"/>
      <c r="G137" s="34"/>
      <c r="H137" s="197"/>
      <c r="I137" s="197"/>
      <c r="J137" s="69"/>
      <c r="K137" s="34"/>
      <c r="L137" s="34"/>
      <c r="M137" s="69"/>
      <c r="N137" s="34"/>
      <c r="O137" s="98"/>
      <c r="P137" s="26"/>
      <c r="Q137" s="69"/>
      <c r="R137" s="69"/>
      <c r="S137" s="69"/>
      <c r="T137" s="197"/>
      <c r="U137" s="197"/>
      <c r="V137" s="197"/>
      <c r="W137" s="34"/>
      <c r="X137" s="69"/>
      <c r="Y137" s="35"/>
      <c r="Z137" s="35"/>
      <c r="AA137" s="35"/>
      <c r="AB137" s="35"/>
      <c r="AC137" s="35"/>
      <c r="AD137" s="34"/>
      <c r="AE137" s="34"/>
      <c r="AF137" s="34"/>
      <c r="AG137" s="34"/>
      <c r="AH137" s="34"/>
      <c r="AI137" s="34"/>
      <c r="AJ137" s="34"/>
      <c r="AK137" s="34"/>
      <c r="AL137" s="34"/>
      <c r="AM137" s="34"/>
      <c r="AN137" s="197"/>
      <c r="AO137" s="197"/>
      <c r="AP137" s="69"/>
      <c r="AQ137" s="98"/>
      <c r="AR137" s="34"/>
      <c r="AS137" s="197"/>
      <c r="AT137" s="69"/>
      <c r="AU137" s="197"/>
      <c r="AV137" s="98"/>
      <c r="AW137" s="69"/>
      <c r="AX137" s="98"/>
      <c r="AY137" s="98"/>
      <c r="AZ137" s="69"/>
      <c r="BA137" s="34"/>
      <c r="BB137" s="69"/>
      <c r="BC137" s="34"/>
      <c r="BD137" s="34"/>
      <c r="BE137" s="34"/>
      <c r="BF137" s="34"/>
      <c r="BG137" s="34"/>
      <c r="BH137" s="34"/>
      <c r="BI137" s="34"/>
      <c r="BJ137" s="34"/>
      <c r="BK137" s="197"/>
      <c r="BL137" s="34"/>
      <c r="BM137" s="34"/>
      <c r="BN137" s="34"/>
      <c r="BO137" s="34"/>
      <c r="BP137" s="34"/>
      <c r="BQ137" s="34"/>
      <c r="BR137" s="34"/>
      <c r="BS137" s="34"/>
      <c r="BT137" s="197"/>
      <c r="BU137" s="69"/>
      <c r="BV137" s="34"/>
      <c r="BW137" s="34"/>
    </row>
    <row r="138">
      <c r="A138" s="197"/>
      <c r="B138" s="34"/>
      <c r="C138" s="111"/>
      <c r="D138" s="34"/>
      <c r="E138" s="197"/>
      <c r="F138" s="34"/>
      <c r="G138" s="34"/>
      <c r="H138" s="197"/>
      <c r="I138" s="98"/>
      <c r="J138" s="34"/>
      <c r="K138" s="69"/>
      <c r="L138" s="69"/>
      <c r="M138" s="69"/>
      <c r="N138" s="34"/>
      <c r="O138" s="98"/>
      <c r="P138" s="183"/>
      <c r="Q138" s="69"/>
      <c r="R138" s="69"/>
      <c r="S138" s="69"/>
      <c r="T138" s="197"/>
      <c r="U138" s="197"/>
      <c r="V138" s="197"/>
      <c r="W138" s="34"/>
      <c r="X138" s="34"/>
      <c r="Y138" s="34"/>
      <c r="Z138" s="34"/>
      <c r="AA138" s="34"/>
      <c r="AB138" s="34"/>
      <c r="AC138" s="34"/>
      <c r="AD138" s="34"/>
      <c r="AE138" s="34"/>
      <c r="AF138" s="34"/>
      <c r="AG138" s="34"/>
      <c r="AH138" s="34"/>
      <c r="AI138" s="34"/>
      <c r="AJ138" s="34"/>
      <c r="AK138" s="34"/>
      <c r="AL138" s="34"/>
      <c r="AM138" s="34"/>
      <c r="AN138" s="197"/>
      <c r="AO138" s="197"/>
      <c r="AP138" s="34"/>
      <c r="AQ138" s="197"/>
      <c r="AR138" s="69"/>
      <c r="AS138" s="98"/>
      <c r="AT138" s="34"/>
      <c r="AU138" s="197"/>
      <c r="AV138" s="197"/>
      <c r="AW138" s="69"/>
      <c r="AX138" s="98"/>
      <c r="AY138" s="98"/>
      <c r="AZ138" s="34"/>
      <c r="BA138" s="69"/>
      <c r="BB138" s="69"/>
      <c r="BC138" s="69"/>
      <c r="BD138" s="69"/>
      <c r="BE138" s="69"/>
      <c r="BF138" s="69"/>
      <c r="BG138" s="69"/>
      <c r="BH138" s="69"/>
      <c r="BI138" s="69"/>
      <c r="BJ138" s="69"/>
      <c r="BK138" s="98"/>
      <c r="BL138" s="69"/>
      <c r="BM138" s="69"/>
      <c r="BN138" s="69"/>
      <c r="BO138" s="69"/>
      <c r="BP138" s="69"/>
      <c r="BQ138" s="69"/>
      <c r="BR138" s="69"/>
      <c r="BS138" s="34"/>
      <c r="BT138" s="197"/>
      <c r="BU138" s="69"/>
      <c r="BV138" s="69"/>
      <c r="BW138" s="34"/>
    </row>
    <row r="139">
      <c r="A139" s="197"/>
      <c r="B139" s="34"/>
      <c r="C139" s="111"/>
      <c r="D139" s="34"/>
      <c r="E139" s="34"/>
      <c r="F139" s="34"/>
      <c r="G139" s="34"/>
      <c r="H139" s="197"/>
      <c r="I139" s="98"/>
      <c r="J139" s="34"/>
      <c r="K139" s="34"/>
      <c r="L139" s="34"/>
      <c r="M139" s="69"/>
      <c r="N139" s="34"/>
      <c r="O139" s="98"/>
      <c r="P139" s="183"/>
      <c r="Q139" s="69"/>
      <c r="R139" s="69"/>
      <c r="S139" s="69"/>
      <c r="T139" s="98"/>
      <c r="U139" s="98"/>
      <c r="V139" s="34"/>
      <c r="W139" s="13"/>
      <c r="X139" s="34"/>
      <c r="Y139" s="35"/>
      <c r="Z139" s="35"/>
      <c r="AA139" s="35"/>
      <c r="AB139" s="35"/>
      <c r="AC139" s="35"/>
      <c r="AD139" s="34"/>
      <c r="AE139" s="34"/>
      <c r="AF139" s="34"/>
      <c r="AG139" s="34"/>
      <c r="AH139" s="34"/>
      <c r="AI139" s="34"/>
      <c r="AJ139" s="34"/>
      <c r="AK139" s="34"/>
      <c r="AL139" s="34"/>
      <c r="AM139" s="34"/>
      <c r="AN139" s="13"/>
      <c r="AO139" s="13"/>
      <c r="AP139" s="13"/>
      <c r="AQ139" s="197"/>
      <c r="AR139" s="34"/>
      <c r="AS139" s="197"/>
      <c r="AT139" s="69"/>
      <c r="AU139" s="98"/>
      <c r="AV139" s="98"/>
      <c r="AW139" s="69"/>
      <c r="AX139" s="98"/>
      <c r="AY139" s="98"/>
      <c r="AZ139" s="69"/>
      <c r="BA139" s="69"/>
      <c r="BB139" s="69"/>
      <c r="BC139" s="69"/>
      <c r="BD139" s="69"/>
      <c r="BE139" s="34"/>
      <c r="BF139" s="69"/>
      <c r="BG139" s="69"/>
      <c r="BH139" s="34"/>
      <c r="BI139" s="34"/>
      <c r="BJ139" s="34"/>
      <c r="BK139" s="13"/>
      <c r="BL139" s="13"/>
      <c r="BM139" s="13"/>
      <c r="BN139" s="13"/>
      <c r="BO139" s="13"/>
      <c r="BP139" s="13"/>
      <c r="BQ139" s="13"/>
      <c r="BR139" s="13"/>
      <c r="BS139" s="13"/>
      <c r="BT139" s="197"/>
      <c r="BU139" s="34"/>
      <c r="BV139" s="34"/>
      <c r="BW139" s="34"/>
    </row>
    <row r="140">
      <c r="A140" s="197"/>
      <c r="B140" s="34"/>
      <c r="C140" s="111"/>
      <c r="D140" s="34"/>
      <c r="E140" s="34"/>
      <c r="F140" s="34"/>
      <c r="G140" s="34"/>
      <c r="H140" s="197"/>
      <c r="I140" s="98"/>
      <c r="J140" s="34"/>
      <c r="K140" s="34"/>
      <c r="L140" s="34"/>
      <c r="M140" s="69"/>
      <c r="N140" s="34"/>
      <c r="O140" s="98"/>
      <c r="P140" s="183"/>
      <c r="Q140" s="69"/>
      <c r="R140" s="69"/>
      <c r="S140" s="69"/>
      <c r="T140" s="197"/>
      <c r="U140" s="98"/>
      <c r="V140" s="34"/>
      <c r="W140" s="13"/>
      <c r="X140" s="34"/>
      <c r="Y140" s="35"/>
      <c r="Z140" s="35"/>
      <c r="AA140" s="35"/>
      <c r="AB140" s="35"/>
      <c r="AC140" s="35"/>
      <c r="AD140" s="34"/>
      <c r="AE140" s="34"/>
      <c r="AF140" s="34"/>
      <c r="AG140" s="34"/>
      <c r="AH140" s="34"/>
      <c r="AI140" s="34"/>
      <c r="AJ140" s="34"/>
      <c r="AK140" s="34"/>
      <c r="AL140" s="34"/>
      <c r="AM140" s="34"/>
      <c r="AN140" s="13"/>
      <c r="AO140" s="13"/>
      <c r="AP140" s="13"/>
      <c r="AQ140" s="197"/>
      <c r="AR140" s="34"/>
      <c r="AS140" s="197"/>
      <c r="AT140" s="69"/>
      <c r="AU140" s="98"/>
      <c r="AV140" s="98"/>
      <c r="AW140" s="69"/>
      <c r="AX140" s="98"/>
      <c r="AY140" s="98"/>
      <c r="AZ140" s="69"/>
      <c r="BA140" s="69"/>
      <c r="BB140" s="34"/>
      <c r="BC140" s="34"/>
      <c r="BD140" s="69"/>
      <c r="BE140" s="34"/>
      <c r="BF140" s="69"/>
      <c r="BG140" s="69"/>
      <c r="BH140" s="34"/>
      <c r="BI140" s="34"/>
      <c r="BJ140" s="34"/>
      <c r="BK140" s="13"/>
      <c r="BL140" s="13"/>
      <c r="BM140" s="13"/>
      <c r="BN140" s="13"/>
      <c r="BO140" s="13"/>
      <c r="BP140" s="13"/>
      <c r="BQ140" s="13"/>
      <c r="BR140" s="13"/>
      <c r="BS140" s="13"/>
      <c r="BT140" s="34"/>
      <c r="BU140" s="34"/>
      <c r="BV140" s="34"/>
      <c r="BW140" s="34"/>
    </row>
    <row r="141">
      <c r="A141" s="197"/>
      <c r="B141" s="34"/>
      <c r="C141" s="111"/>
      <c r="D141" s="34"/>
      <c r="E141" s="34"/>
      <c r="F141" s="34"/>
      <c r="G141" s="34"/>
      <c r="H141" s="197"/>
      <c r="I141" s="98"/>
      <c r="J141" s="34"/>
      <c r="K141" s="34"/>
      <c r="L141" s="34"/>
      <c r="M141" s="69"/>
      <c r="N141" s="34"/>
      <c r="O141" s="98"/>
      <c r="P141" s="26"/>
      <c r="Q141" s="69"/>
      <c r="R141" s="69"/>
      <c r="S141" s="69"/>
      <c r="T141" s="98"/>
      <c r="U141" s="98"/>
      <c r="V141" s="34"/>
      <c r="W141" s="13"/>
      <c r="X141" s="34"/>
      <c r="Y141" s="35"/>
      <c r="Z141" s="35"/>
      <c r="AA141" s="35"/>
      <c r="AB141" s="35"/>
      <c r="AC141" s="35"/>
      <c r="AD141" s="34"/>
      <c r="AE141" s="34"/>
      <c r="AF141" s="34"/>
      <c r="AG141" s="34"/>
      <c r="AH141" s="34"/>
      <c r="AI141" s="34"/>
      <c r="AJ141" s="34"/>
      <c r="AK141" s="34"/>
      <c r="AL141" s="34"/>
      <c r="AM141" s="34"/>
      <c r="AN141" s="13"/>
      <c r="AO141" s="13"/>
      <c r="AP141" s="13"/>
      <c r="AQ141" s="197"/>
      <c r="AR141" s="34"/>
      <c r="AS141" s="197"/>
      <c r="AT141" s="69"/>
      <c r="AU141" s="98"/>
      <c r="AV141" s="98"/>
      <c r="AW141" s="69"/>
      <c r="AX141" s="98"/>
      <c r="AY141" s="98"/>
      <c r="AZ141" s="34"/>
      <c r="BA141" s="69"/>
      <c r="BB141" s="69"/>
      <c r="BC141" s="69"/>
      <c r="BD141" s="69"/>
      <c r="BE141" s="34"/>
      <c r="BF141" s="69"/>
      <c r="BG141" s="69"/>
      <c r="BH141" s="34"/>
      <c r="BI141" s="34"/>
      <c r="BJ141" s="34"/>
      <c r="BK141" s="13"/>
      <c r="BL141" s="13"/>
      <c r="BM141" s="13"/>
      <c r="BN141" s="13"/>
      <c r="BO141" s="13"/>
      <c r="BP141" s="13"/>
      <c r="BQ141" s="13"/>
      <c r="BR141" s="13"/>
      <c r="BS141" s="13"/>
      <c r="BT141" s="34"/>
      <c r="BU141" s="34"/>
      <c r="BV141" s="34"/>
      <c r="BW141" s="34"/>
    </row>
    <row r="142">
      <c r="A142" s="197"/>
      <c r="B142" s="34"/>
      <c r="C142" s="111"/>
      <c r="D142" s="34"/>
      <c r="E142" s="34"/>
      <c r="F142" s="34"/>
      <c r="G142" s="34"/>
      <c r="H142" s="197"/>
      <c r="I142" s="98"/>
      <c r="J142" s="34"/>
      <c r="K142" s="34"/>
      <c r="L142" s="34"/>
      <c r="M142" s="69"/>
      <c r="N142" s="69"/>
      <c r="O142" s="197"/>
      <c r="P142" s="183"/>
      <c r="Q142" s="34"/>
      <c r="R142" s="34"/>
      <c r="S142" s="69"/>
      <c r="T142" s="197"/>
      <c r="U142" s="197"/>
      <c r="V142" s="34"/>
      <c r="W142" s="13"/>
      <c r="X142" s="34"/>
      <c r="Y142" s="35"/>
      <c r="Z142" s="35"/>
      <c r="AA142" s="35"/>
      <c r="AB142" s="35"/>
      <c r="AC142" s="35"/>
      <c r="AD142" s="34"/>
      <c r="AE142" s="34"/>
      <c r="AF142" s="34"/>
      <c r="AG142" s="34"/>
      <c r="AH142" s="34"/>
      <c r="AI142" s="34"/>
      <c r="AJ142" s="34"/>
      <c r="AK142" s="34"/>
      <c r="AL142" s="34"/>
      <c r="AM142" s="34"/>
      <c r="AN142" s="13"/>
      <c r="AO142" s="13"/>
      <c r="AP142" s="13"/>
      <c r="AQ142" s="197"/>
      <c r="AR142" s="34"/>
      <c r="AS142" s="197"/>
      <c r="AT142" s="69"/>
      <c r="AU142" s="98"/>
      <c r="AV142" s="98"/>
      <c r="AW142" s="69"/>
      <c r="AX142" s="98"/>
      <c r="AY142" s="98"/>
      <c r="AZ142" s="69"/>
      <c r="BA142" s="69"/>
      <c r="BB142" s="69"/>
      <c r="BC142" s="69"/>
      <c r="BD142" s="69"/>
      <c r="BE142" s="34"/>
      <c r="BF142" s="69"/>
      <c r="BG142" s="69"/>
      <c r="BH142" s="34"/>
      <c r="BI142" s="34"/>
      <c r="BJ142" s="34"/>
      <c r="BK142" s="13"/>
      <c r="BL142" s="13"/>
      <c r="BM142" s="13"/>
      <c r="BN142" s="13"/>
      <c r="BO142" s="13"/>
      <c r="BP142" s="13"/>
      <c r="BQ142" s="13"/>
      <c r="BR142" s="13"/>
      <c r="BS142" s="13"/>
      <c r="BT142" s="34"/>
      <c r="BU142" s="34"/>
      <c r="BV142" s="34"/>
      <c r="BW142" s="34"/>
    </row>
    <row r="143">
      <c r="A143" s="197"/>
      <c r="B143" s="34"/>
      <c r="C143" s="111"/>
      <c r="D143" s="34"/>
      <c r="E143" s="197"/>
      <c r="F143" s="34"/>
      <c r="G143" s="34"/>
      <c r="H143" s="197"/>
      <c r="I143" s="98"/>
      <c r="J143" s="69"/>
      <c r="K143" s="34"/>
      <c r="L143" s="34"/>
      <c r="M143" s="69"/>
      <c r="N143" s="69"/>
      <c r="O143" s="98"/>
      <c r="P143" s="183"/>
      <c r="Q143" s="34"/>
      <c r="R143" s="34"/>
      <c r="S143" s="34"/>
      <c r="T143" s="98"/>
      <c r="U143" s="98"/>
      <c r="V143" s="197"/>
      <c r="W143" s="34"/>
      <c r="X143" s="34"/>
      <c r="Y143" s="35"/>
      <c r="Z143" s="35"/>
      <c r="AA143" s="35"/>
      <c r="AB143" s="35"/>
      <c r="AC143" s="35"/>
      <c r="AD143" s="34"/>
      <c r="AE143" s="34"/>
      <c r="AF143" s="34"/>
      <c r="AG143" s="34"/>
      <c r="AH143" s="34"/>
      <c r="AI143" s="34"/>
      <c r="AJ143" s="34"/>
      <c r="AK143" s="34"/>
      <c r="AL143" s="34"/>
      <c r="AM143" s="26"/>
      <c r="AN143" s="197"/>
      <c r="AO143" s="197"/>
      <c r="AP143" s="69"/>
      <c r="AQ143" s="98"/>
      <c r="AR143" s="69"/>
      <c r="AS143" s="98"/>
      <c r="AT143" s="69"/>
      <c r="AU143" s="98"/>
      <c r="AV143" s="98"/>
      <c r="AW143" s="35"/>
      <c r="AX143" s="98"/>
      <c r="AY143" s="98"/>
      <c r="AZ143" s="69"/>
      <c r="BA143" s="34"/>
      <c r="BB143" s="34"/>
      <c r="BC143" s="34"/>
      <c r="BD143" s="34"/>
      <c r="BE143" s="34"/>
      <c r="BF143" s="34"/>
      <c r="BG143" s="34"/>
      <c r="BH143" s="34"/>
      <c r="BI143" s="34"/>
      <c r="BJ143" s="34"/>
      <c r="BK143" s="197"/>
      <c r="BL143" s="69"/>
      <c r="BM143" s="34"/>
      <c r="BN143" s="34"/>
      <c r="BO143" s="34"/>
      <c r="BP143" s="34"/>
      <c r="BQ143" s="34"/>
      <c r="BR143" s="34"/>
      <c r="BS143" s="34"/>
      <c r="BT143" s="197"/>
      <c r="BU143" s="69"/>
      <c r="BV143" s="34"/>
      <c r="BW143" s="34"/>
    </row>
    <row r="144">
      <c r="A144" s="197"/>
      <c r="B144" s="34"/>
      <c r="C144" s="111"/>
      <c r="D144" s="34"/>
      <c r="E144" s="197"/>
      <c r="F144" s="34"/>
      <c r="G144" s="34"/>
      <c r="H144" s="197"/>
      <c r="I144" s="98"/>
      <c r="J144" s="69"/>
      <c r="K144" s="34"/>
      <c r="L144" s="34"/>
      <c r="M144" s="69"/>
      <c r="N144" s="69"/>
      <c r="O144" s="98"/>
      <c r="P144" s="183"/>
      <c r="Q144" s="69"/>
      <c r="R144" s="69"/>
      <c r="S144" s="69"/>
      <c r="T144" s="98"/>
      <c r="U144" s="98"/>
      <c r="V144" s="197"/>
      <c r="W144" s="34"/>
      <c r="X144" s="35"/>
      <c r="Y144" s="35"/>
      <c r="Z144" s="35"/>
      <c r="AA144" s="35"/>
      <c r="AB144" s="35"/>
      <c r="AC144" s="35"/>
      <c r="AD144" s="35"/>
      <c r="AE144" s="34"/>
      <c r="AF144" s="34"/>
      <c r="AG144" s="34"/>
      <c r="AH144" s="34"/>
      <c r="AI144" s="34"/>
      <c r="AJ144" s="34"/>
      <c r="AK144" s="34"/>
      <c r="AL144" s="34"/>
      <c r="AM144" s="26"/>
      <c r="AN144" s="197"/>
      <c r="AO144" s="197"/>
      <c r="AP144" s="69"/>
      <c r="AQ144" s="98"/>
      <c r="AR144" s="69"/>
      <c r="AS144" s="98"/>
      <c r="AT144" s="69"/>
      <c r="AU144" s="98"/>
      <c r="AV144" s="98"/>
      <c r="AW144" s="69"/>
      <c r="AX144" s="98"/>
      <c r="AY144" s="98"/>
      <c r="AZ144" s="69"/>
      <c r="BA144" s="34"/>
      <c r="BB144" s="34"/>
      <c r="BC144" s="34"/>
      <c r="BD144" s="34"/>
      <c r="BE144" s="34"/>
      <c r="BF144" s="34"/>
      <c r="BG144" s="34"/>
      <c r="BH144" s="34"/>
      <c r="BI144" s="34"/>
      <c r="BJ144" s="34"/>
      <c r="BK144" s="197"/>
      <c r="BL144" s="98"/>
      <c r="BM144" s="69"/>
      <c r="BN144" s="98"/>
      <c r="BO144" s="98"/>
      <c r="BP144" s="69"/>
      <c r="BQ144" s="98"/>
      <c r="BR144" s="98"/>
      <c r="BS144" s="34"/>
      <c r="BT144" s="197"/>
      <c r="BU144" s="69"/>
      <c r="BV144" s="34"/>
      <c r="BW144" s="34"/>
    </row>
    <row r="145">
      <c r="A145" s="197"/>
      <c r="B145" s="34"/>
      <c r="C145" s="111"/>
      <c r="D145" s="34"/>
      <c r="E145" s="197"/>
      <c r="F145" s="34"/>
      <c r="G145" s="34"/>
      <c r="H145" s="197"/>
      <c r="I145" s="98"/>
      <c r="J145" s="69"/>
      <c r="K145" s="34"/>
      <c r="L145" s="34"/>
      <c r="M145" s="69"/>
      <c r="N145" s="34"/>
      <c r="O145" s="98"/>
      <c r="P145" s="183"/>
      <c r="Q145" s="34"/>
      <c r="R145" s="34"/>
      <c r="S145" s="34"/>
      <c r="T145" s="98"/>
      <c r="U145" s="98"/>
      <c r="V145" s="197"/>
      <c r="W145" s="34"/>
      <c r="X145" s="34"/>
      <c r="Y145" s="35"/>
      <c r="Z145" s="35"/>
      <c r="AA145" s="35"/>
      <c r="AB145" s="35"/>
      <c r="AC145" s="35"/>
      <c r="AD145" s="34"/>
      <c r="AE145" s="34"/>
      <c r="AF145" s="34"/>
      <c r="AG145" s="34"/>
      <c r="AH145" s="34"/>
      <c r="AI145" s="34"/>
      <c r="AJ145" s="34"/>
      <c r="AK145" s="34"/>
      <c r="AL145" s="34"/>
      <c r="AM145" s="26"/>
      <c r="AN145" s="197"/>
      <c r="AO145" s="197"/>
      <c r="AP145" s="98"/>
      <c r="AQ145" s="98"/>
      <c r="AR145" s="98"/>
      <c r="AS145" s="98"/>
      <c r="AT145" s="69"/>
      <c r="AU145" s="98"/>
      <c r="AV145" s="98"/>
      <c r="AW145" s="35"/>
      <c r="AX145" s="98"/>
      <c r="AY145" s="98"/>
      <c r="AZ145" s="69"/>
      <c r="BA145" s="34"/>
      <c r="BB145" s="69"/>
      <c r="BC145" s="69"/>
      <c r="BD145" s="34"/>
      <c r="BE145" s="34"/>
      <c r="BF145" s="34"/>
      <c r="BG145" s="34"/>
      <c r="BH145" s="34"/>
      <c r="BI145" s="34"/>
      <c r="BJ145" s="34"/>
      <c r="BK145" s="197"/>
      <c r="BL145" s="34"/>
      <c r="BM145" s="34"/>
      <c r="BN145" s="34"/>
      <c r="BO145" s="34"/>
      <c r="BP145" s="34"/>
      <c r="BQ145" s="34"/>
      <c r="BR145" s="34"/>
      <c r="BS145" s="34"/>
      <c r="BT145" s="197"/>
      <c r="BU145" s="69"/>
      <c r="BV145" s="34"/>
      <c r="BW145" s="34"/>
    </row>
    <row r="146">
      <c r="A146" s="197"/>
      <c r="B146" s="34"/>
      <c r="C146" s="111"/>
      <c r="D146" s="34"/>
      <c r="E146" s="197"/>
      <c r="F146" s="34"/>
      <c r="G146" s="34"/>
      <c r="H146" s="197"/>
      <c r="I146" s="98"/>
      <c r="J146" s="69"/>
      <c r="K146" s="34"/>
      <c r="L146" s="34"/>
      <c r="M146" s="69"/>
      <c r="N146" s="34"/>
      <c r="O146" s="98"/>
      <c r="P146" s="183"/>
      <c r="Q146" s="69"/>
      <c r="R146" s="69"/>
      <c r="S146" s="69"/>
      <c r="T146" s="98"/>
      <c r="U146" s="69"/>
      <c r="V146" s="197"/>
      <c r="W146" s="34"/>
      <c r="X146" s="69"/>
      <c r="Y146" s="35"/>
      <c r="Z146" s="211"/>
      <c r="AA146" s="35"/>
      <c r="AB146" s="211"/>
      <c r="AC146" s="35"/>
      <c r="AD146" s="34"/>
      <c r="AE146" s="34"/>
      <c r="AF146" s="34"/>
      <c r="AG146" s="34"/>
      <c r="AH146" s="34"/>
      <c r="AI146" s="34"/>
      <c r="AJ146" s="34"/>
      <c r="AK146" s="34"/>
      <c r="AL146" s="34"/>
      <c r="AM146" s="26"/>
      <c r="AN146" s="197"/>
      <c r="AO146" s="197"/>
      <c r="AP146" s="69"/>
      <c r="AQ146" s="98"/>
      <c r="AR146" s="69"/>
      <c r="AS146" s="98"/>
      <c r="AT146" s="69"/>
      <c r="AU146" s="98"/>
      <c r="AV146" s="98"/>
      <c r="AW146" s="35"/>
      <c r="AX146" s="98"/>
      <c r="AY146" s="98"/>
      <c r="AZ146" s="69"/>
      <c r="BA146" s="34"/>
      <c r="BB146" s="69"/>
      <c r="BC146" s="69"/>
      <c r="BD146" s="34"/>
      <c r="BE146" s="34"/>
      <c r="BF146" s="34"/>
      <c r="BG146" s="34"/>
      <c r="BH146" s="34"/>
      <c r="BI146" s="34"/>
      <c r="BJ146" s="34"/>
      <c r="BK146" s="197"/>
      <c r="BL146" s="197"/>
      <c r="BM146" s="69"/>
      <c r="BN146" s="98"/>
      <c r="BO146" s="98"/>
      <c r="BP146" s="69"/>
      <c r="BQ146" s="98"/>
      <c r="BR146" s="98"/>
      <c r="BS146" s="34"/>
      <c r="BT146" s="197"/>
      <c r="BU146" s="69"/>
      <c r="BV146" s="34"/>
      <c r="BW146" s="34"/>
    </row>
    <row r="147">
      <c r="A147" s="197"/>
      <c r="B147" s="34"/>
      <c r="C147" s="111"/>
      <c r="D147" s="34"/>
      <c r="E147" s="197"/>
      <c r="F147" s="34"/>
      <c r="G147" s="34"/>
      <c r="H147" s="197"/>
      <c r="I147" s="98"/>
      <c r="J147" s="34"/>
      <c r="K147" s="69"/>
      <c r="L147" s="69"/>
      <c r="M147" s="69"/>
      <c r="N147" s="69"/>
      <c r="O147" s="98"/>
      <c r="P147" s="183"/>
      <c r="Q147" s="69"/>
      <c r="R147" s="69"/>
      <c r="S147" s="69"/>
      <c r="T147" s="197"/>
      <c r="U147" s="197"/>
      <c r="V147" s="197"/>
      <c r="W147" s="34"/>
      <c r="X147" s="34"/>
      <c r="Y147" s="34"/>
      <c r="Z147" s="34"/>
      <c r="AA147" s="34"/>
      <c r="AB147" s="34"/>
      <c r="AC147" s="34"/>
      <c r="AD147" s="34"/>
      <c r="AE147" s="34"/>
      <c r="AF147" s="34"/>
      <c r="AG147" s="34"/>
      <c r="AH147" s="34"/>
      <c r="AI147" s="34"/>
      <c r="AJ147" s="34"/>
      <c r="AK147" s="34"/>
      <c r="AL147" s="34"/>
      <c r="AM147" s="34"/>
      <c r="AN147" s="34"/>
      <c r="AO147" s="197"/>
      <c r="AP147" s="34"/>
      <c r="AQ147" s="197"/>
      <c r="AR147" s="98"/>
      <c r="AS147" s="98"/>
      <c r="AT147" s="34"/>
      <c r="AU147" s="197"/>
      <c r="AV147" s="197"/>
      <c r="AW147" s="69"/>
      <c r="AX147" s="98"/>
      <c r="AY147" s="98"/>
      <c r="AZ147" s="69"/>
      <c r="BA147" s="69"/>
      <c r="BB147" s="69"/>
      <c r="BC147" s="69"/>
      <c r="BD147" s="69"/>
      <c r="BE147" s="69"/>
      <c r="BF147" s="69"/>
      <c r="BG147" s="69"/>
      <c r="BH147" s="69"/>
      <c r="BI147" s="69"/>
      <c r="BJ147" s="69"/>
      <c r="BK147" s="98"/>
      <c r="BL147" s="69"/>
      <c r="BM147" s="69"/>
      <c r="BN147" s="69"/>
      <c r="BO147" s="69"/>
      <c r="BP147" s="69"/>
      <c r="BQ147" s="69"/>
      <c r="BR147" s="69"/>
      <c r="BS147" s="34"/>
      <c r="BT147" s="197"/>
      <c r="BU147" s="69"/>
      <c r="BV147" s="69"/>
      <c r="BW147" s="34"/>
    </row>
    <row r="148">
      <c r="A148" s="197"/>
      <c r="B148" s="34"/>
      <c r="C148" s="111"/>
      <c r="D148" s="34"/>
      <c r="E148" s="197"/>
      <c r="F148" s="34"/>
      <c r="G148" s="34"/>
      <c r="H148" s="197"/>
      <c r="I148" s="197"/>
      <c r="J148" s="34"/>
      <c r="K148" s="69"/>
      <c r="L148" s="69"/>
      <c r="M148" s="69"/>
      <c r="N148" s="34"/>
      <c r="O148" s="98"/>
      <c r="P148" s="34"/>
      <c r="Q148" s="69"/>
      <c r="R148" s="69"/>
      <c r="S148" s="69"/>
      <c r="T148" s="197"/>
      <c r="U148" s="197"/>
      <c r="V148" s="197"/>
      <c r="W148" s="34"/>
      <c r="X148" s="34"/>
      <c r="Y148" s="34"/>
      <c r="Z148" s="34"/>
      <c r="AA148" s="34"/>
      <c r="AB148" s="34"/>
      <c r="AC148" s="34"/>
      <c r="AD148" s="34"/>
      <c r="AE148" s="34"/>
      <c r="AF148" s="34"/>
      <c r="AG148" s="34"/>
      <c r="AH148" s="34"/>
      <c r="AI148" s="34"/>
      <c r="AJ148" s="34"/>
      <c r="AK148" s="34"/>
      <c r="AL148" s="34"/>
      <c r="AM148" s="34"/>
      <c r="AN148" s="34"/>
      <c r="AO148" s="197"/>
      <c r="AP148" s="34"/>
      <c r="AQ148" s="197"/>
      <c r="AR148" s="197"/>
      <c r="AS148" s="197"/>
      <c r="AT148" s="69"/>
      <c r="AU148" s="197"/>
      <c r="AV148" s="197"/>
      <c r="AW148" s="69"/>
      <c r="AX148" s="98"/>
      <c r="AY148" s="98"/>
      <c r="AZ148" s="69"/>
      <c r="BA148" s="69"/>
      <c r="BB148" s="69"/>
      <c r="BC148" s="69"/>
      <c r="BD148" s="69"/>
      <c r="BE148" s="34"/>
      <c r="BF148" s="34"/>
      <c r="BG148" s="34"/>
      <c r="BH148" s="34"/>
      <c r="BI148" s="34"/>
      <c r="BJ148" s="34"/>
      <c r="BK148" s="197"/>
      <c r="BL148" s="69"/>
      <c r="BM148" s="69"/>
      <c r="BN148" s="69"/>
      <c r="BO148" s="69"/>
      <c r="BP148" s="69"/>
      <c r="BQ148" s="69"/>
      <c r="BR148" s="69"/>
      <c r="BS148" s="34"/>
      <c r="BT148" s="197"/>
      <c r="BU148" s="69"/>
      <c r="BV148" s="69"/>
      <c r="BW148" s="34"/>
    </row>
    <row r="149">
      <c r="A149" s="197"/>
      <c r="B149" s="34"/>
      <c r="C149" s="111"/>
      <c r="D149" s="34"/>
      <c r="E149" s="197"/>
      <c r="F149" s="34"/>
      <c r="G149" s="34"/>
      <c r="H149" s="197"/>
      <c r="I149" s="98"/>
      <c r="J149" s="69"/>
      <c r="K149" s="34"/>
      <c r="L149" s="34"/>
      <c r="M149" s="69"/>
      <c r="N149" s="69"/>
      <c r="O149" s="98"/>
      <c r="P149" s="183"/>
      <c r="Q149" s="69"/>
      <c r="R149" s="69"/>
      <c r="S149" s="69"/>
      <c r="T149" s="98"/>
      <c r="U149" s="98"/>
      <c r="V149" s="197"/>
      <c r="W149" s="34"/>
      <c r="X149" s="69"/>
      <c r="Y149" s="34"/>
      <c r="Z149" s="34"/>
      <c r="AA149" s="34"/>
      <c r="AB149" s="34"/>
      <c r="AC149" s="34"/>
      <c r="AD149" s="34"/>
      <c r="AE149" s="34"/>
      <c r="AF149" s="34"/>
      <c r="AG149" s="34"/>
      <c r="AH149" s="34"/>
      <c r="AI149" s="34"/>
      <c r="AJ149" s="34"/>
      <c r="AK149" s="34"/>
      <c r="AL149" s="34"/>
      <c r="AM149" s="34"/>
      <c r="AN149" s="197"/>
      <c r="AO149" s="197"/>
      <c r="AP149" s="69"/>
      <c r="AQ149" s="98"/>
      <c r="AR149" s="69"/>
      <c r="AS149" s="98"/>
      <c r="AT149" s="69"/>
      <c r="AU149" s="98"/>
      <c r="AV149" s="98"/>
      <c r="AW149" s="69"/>
      <c r="AX149" s="98"/>
      <c r="AY149" s="98"/>
      <c r="AZ149" s="69"/>
      <c r="BA149" s="34"/>
      <c r="BB149" s="69"/>
      <c r="BC149" s="69"/>
      <c r="BD149" s="34"/>
      <c r="BE149" s="34"/>
      <c r="BF149" s="34"/>
      <c r="BG149" s="34"/>
      <c r="BH149" s="34"/>
      <c r="BI149" s="34"/>
      <c r="BJ149" s="34"/>
      <c r="BK149" s="34"/>
      <c r="BL149" s="34"/>
      <c r="BM149" s="69"/>
      <c r="BN149" s="34"/>
      <c r="BO149" s="34"/>
      <c r="BP149" s="69"/>
      <c r="BQ149" s="34"/>
      <c r="BR149" s="34"/>
      <c r="BS149" s="34"/>
      <c r="BT149" s="197"/>
      <c r="BU149" s="69"/>
      <c r="BV149" s="34"/>
      <c r="BW149" s="34"/>
    </row>
    <row r="150">
      <c r="A150" s="197"/>
      <c r="B150" s="34"/>
      <c r="C150" s="111"/>
      <c r="D150" s="34"/>
      <c r="E150" s="197"/>
      <c r="F150" s="34"/>
      <c r="G150" s="34"/>
      <c r="H150" s="197"/>
      <c r="I150" s="98"/>
      <c r="J150" s="69"/>
      <c r="K150" s="34"/>
      <c r="L150" s="34"/>
      <c r="M150" s="69"/>
      <c r="N150" s="69"/>
      <c r="O150" s="98"/>
      <c r="P150" s="183"/>
      <c r="Q150" s="69"/>
      <c r="R150" s="69"/>
      <c r="S150" s="69"/>
      <c r="T150" s="98"/>
      <c r="U150" s="197"/>
      <c r="V150" s="197"/>
      <c r="W150" s="34"/>
      <c r="X150" s="69"/>
      <c r="Y150" s="34"/>
      <c r="Z150" s="34"/>
      <c r="AA150" s="34"/>
      <c r="AB150" s="34"/>
      <c r="AC150" s="34"/>
      <c r="AD150" s="34"/>
      <c r="AE150" s="34"/>
      <c r="AF150" s="34"/>
      <c r="AG150" s="34"/>
      <c r="AH150" s="34"/>
      <c r="AI150" s="34"/>
      <c r="AJ150" s="34"/>
      <c r="AK150" s="34"/>
      <c r="AL150" s="34"/>
      <c r="AM150" s="34"/>
      <c r="AN150" s="34"/>
      <c r="AO150" s="197"/>
      <c r="AP150" s="69"/>
      <c r="AQ150" s="98"/>
      <c r="AR150" s="69"/>
      <c r="AS150" s="98"/>
      <c r="AT150" s="69"/>
      <c r="AU150" s="98"/>
      <c r="AV150" s="98"/>
      <c r="AW150" s="69"/>
      <c r="AX150" s="98"/>
      <c r="AY150" s="98"/>
      <c r="AZ150" s="69"/>
      <c r="BA150" s="34"/>
      <c r="BB150" s="69"/>
      <c r="BC150" s="69"/>
      <c r="BD150" s="34"/>
      <c r="BE150" s="34"/>
      <c r="BF150" s="34"/>
      <c r="BG150" s="34"/>
      <c r="BH150" s="34"/>
      <c r="BI150" s="34"/>
      <c r="BJ150" s="34"/>
      <c r="BK150" s="34"/>
      <c r="BL150" s="69"/>
      <c r="BM150" s="69"/>
      <c r="BN150" s="69"/>
      <c r="BO150" s="69"/>
      <c r="BP150" s="69"/>
      <c r="BQ150" s="69"/>
      <c r="BR150" s="69"/>
      <c r="BS150" s="34"/>
      <c r="BT150" s="197"/>
      <c r="BU150" s="69"/>
      <c r="BV150" s="34"/>
      <c r="BW150" s="34"/>
    </row>
    <row r="151">
      <c r="A151" s="197"/>
      <c r="B151" s="34"/>
      <c r="C151" s="111"/>
      <c r="D151" s="34"/>
      <c r="E151" s="197"/>
      <c r="F151" s="34"/>
      <c r="G151" s="34"/>
      <c r="H151" s="197"/>
      <c r="I151" s="98"/>
      <c r="J151" s="69"/>
      <c r="K151" s="34"/>
      <c r="L151" s="34"/>
      <c r="M151" s="69"/>
      <c r="N151" s="69"/>
      <c r="O151" s="98"/>
      <c r="P151" s="183"/>
      <c r="Q151" s="69"/>
      <c r="R151" s="69"/>
      <c r="S151" s="69"/>
      <c r="T151" s="197"/>
      <c r="U151" s="197"/>
      <c r="V151" s="197"/>
      <c r="W151" s="34"/>
      <c r="X151" s="35"/>
      <c r="Y151" s="34"/>
      <c r="Z151" s="34"/>
      <c r="AA151" s="34"/>
      <c r="AB151" s="34"/>
      <c r="AC151" s="34"/>
      <c r="AD151" s="35"/>
      <c r="AE151" s="34"/>
      <c r="AF151" s="26"/>
      <c r="AG151" s="197"/>
      <c r="AH151" s="34"/>
      <c r="AI151" s="34"/>
      <c r="AJ151" s="34"/>
      <c r="AK151" s="34"/>
      <c r="AL151" s="34"/>
      <c r="AM151" s="34"/>
      <c r="AN151" s="197"/>
      <c r="AO151" s="197"/>
      <c r="AP151" s="69"/>
      <c r="AQ151" s="98"/>
      <c r="AR151" s="69"/>
      <c r="AS151" s="98"/>
      <c r="AT151" s="69"/>
      <c r="AU151" s="98"/>
      <c r="AV151" s="98"/>
      <c r="AW151" s="69"/>
      <c r="AX151" s="98"/>
      <c r="AY151" s="98"/>
      <c r="AZ151" s="69"/>
      <c r="BA151" s="34"/>
      <c r="BB151" s="69"/>
      <c r="BC151" s="69"/>
      <c r="BD151" s="34"/>
      <c r="BE151" s="34"/>
      <c r="BF151" s="34"/>
      <c r="BG151" s="34"/>
      <c r="BH151" s="34"/>
      <c r="BI151" s="34"/>
      <c r="BJ151" s="34"/>
      <c r="BK151" s="34"/>
      <c r="BL151" s="69"/>
      <c r="BM151" s="69"/>
      <c r="BN151" s="69"/>
      <c r="BO151" s="69"/>
      <c r="BP151" s="69"/>
      <c r="BQ151" s="69"/>
      <c r="BR151" s="69"/>
      <c r="BS151" s="34"/>
      <c r="BT151" s="197"/>
      <c r="BU151" s="69"/>
      <c r="BV151" s="34"/>
      <c r="BW151" s="34"/>
    </row>
    <row r="152">
      <c r="A152" s="13"/>
      <c r="B152" s="13"/>
      <c r="C152" s="13"/>
      <c r="D152" s="13"/>
      <c r="E152" s="13"/>
      <c r="F152" s="69"/>
      <c r="G152" s="13"/>
      <c r="H152" s="13"/>
      <c r="I152" s="13"/>
      <c r="J152" s="13"/>
      <c r="K152" s="13"/>
      <c r="L152" s="13"/>
      <c r="M152" s="13"/>
      <c r="N152" s="69"/>
      <c r="O152" s="98"/>
      <c r="P152" s="183"/>
      <c r="Q152" s="13"/>
      <c r="R152" s="13"/>
      <c r="S152" s="13"/>
      <c r="T152" s="13"/>
      <c r="U152" s="13"/>
      <c r="V152" s="13"/>
      <c r="W152" s="13"/>
      <c r="X152" s="34"/>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98"/>
      <c r="AW152" s="13"/>
      <c r="AX152" s="13"/>
      <c r="AY152" s="13"/>
      <c r="AZ152" s="211"/>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row>
    <row r="153">
      <c r="A153" s="13"/>
      <c r="B153" s="13"/>
      <c r="C153" s="13"/>
      <c r="D153" s="36"/>
      <c r="E153" s="13"/>
      <c r="F153" s="69"/>
      <c r="G153" s="13"/>
      <c r="H153" s="13"/>
      <c r="I153" s="13"/>
      <c r="J153" s="13"/>
      <c r="K153" s="13"/>
      <c r="L153" s="13"/>
      <c r="M153" s="13"/>
      <c r="N153" s="69"/>
      <c r="O153" s="98"/>
      <c r="P153" s="183"/>
      <c r="Q153" s="13"/>
      <c r="R153" s="13"/>
      <c r="S153" s="13"/>
      <c r="T153" s="13"/>
      <c r="U153" s="13"/>
      <c r="V153" s="13"/>
      <c r="W153" s="13"/>
      <c r="X153" s="34"/>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98"/>
      <c r="AW153" s="13"/>
      <c r="AX153" s="13"/>
      <c r="AY153" s="13"/>
      <c r="AZ153" s="211"/>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row>
    <row r="154">
      <c r="A154" s="13"/>
      <c r="B154" s="13"/>
      <c r="C154" s="13"/>
      <c r="D154" s="36"/>
      <c r="E154" s="13"/>
      <c r="F154" s="69"/>
      <c r="G154" s="13"/>
      <c r="H154" s="13"/>
      <c r="I154" s="13"/>
      <c r="J154" s="13"/>
      <c r="K154" s="13"/>
      <c r="L154" s="13"/>
      <c r="M154" s="13"/>
      <c r="N154" s="69"/>
      <c r="O154" s="98"/>
      <c r="P154" s="183"/>
      <c r="Q154" s="13"/>
      <c r="R154" s="13"/>
      <c r="S154" s="13"/>
      <c r="T154" s="13"/>
      <c r="U154" s="13"/>
      <c r="V154" s="13"/>
      <c r="W154" s="13"/>
      <c r="X154" s="34"/>
      <c r="Y154" s="34"/>
      <c r="Z154" s="13"/>
      <c r="AA154" s="13"/>
      <c r="AB154" s="13"/>
      <c r="AC154" s="13"/>
      <c r="AD154" s="13"/>
      <c r="AE154" s="13"/>
      <c r="AF154" s="13"/>
      <c r="AG154" s="13"/>
      <c r="AH154" s="6"/>
      <c r="AI154" s="13"/>
      <c r="AJ154" s="13"/>
      <c r="AK154" s="13"/>
      <c r="AL154" s="13"/>
      <c r="AM154" s="13"/>
      <c r="AN154" s="13"/>
      <c r="AO154" s="13"/>
      <c r="AP154" s="13"/>
      <c r="AQ154" s="13"/>
      <c r="AR154" s="13"/>
      <c r="AS154" s="13"/>
      <c r="AT154" s="13"/>
      <c r="AU154" s="13"/>
      <c r="AV154" s="98"/>
      <c r="AW154" s="13"/>
      <c r="AX154" s="13"/>
      <c r="AY154" s="13"/>
      <c r="AZ154" s="211"/>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row>
    <row r="155">
      <c r="A155" s="13"/>
      <c r="B155" s="13"/>
      <c r="C155" s="13"/>
      <c r="D155" s="36"/>
      <c r="E155" s="13"/>
      <c r="F155" s="69"/>
      <c r="G155" s="13"/>
      <c r="H155" s="13"/>
      <c r="I155" s="13"/>
      <c r="J155" s="13"/>
      <c r="K155" s="13"/>
      <c r="L155" s="13"/>
      <c r="M155" s="13"/>
      <c r="N155" s="69"/>
      <c r="O155" s="98"/>
      <c r="P155" s="183"/>
      <c r="Q155" s="13"/>
      <c r="R155" s="13"/>
      <c r="S155" s="13"/>
      <c r="T155" s="13"/>
      <c r="U155" s="13"/>
      <c r="V155" s="13"/>
      <c r="W155" s="13"/>
      <c r="X155" s="34"/>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98"/>
      <c r="AW155" s="13"/>
      <c r="AX155" s="13"/>
      <c r="AY155" s="13"/>
      <c r="AZ155" s="211"/>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row>
    <row r="156">
      <c r="A156" s="13"/>
      <c r="B156" s="13"/>
      <c r="C156" s="13"/>
      <c r="D156" s="36"/>
      <c r="E156" s="13"/>
      <c r="F156" s="69"/>
      <c r="G156" s="13"/>
      <c r="H156" s="13"/>
      <c r="I156" s="13"/>
      <c r="J156" s="13"/>
      <c r="K156" s="13"/>
      <c r="L156" s="13"/>
      <c r="M156" s="13"/>
      <c r="N156" s="35"/>
      <c r="O156" s="98"/>
      <c r="P156" s="183"/>
      <c r="Q156" s="13"/>
      <c r="R156" s="13"/>
      <c r="S156" s="13"/>
      <c r="T156" s="13"/>
      <c r="U156" s="13"/>
      <c r="V156" s="13"/>
      <c r="W156" s="13"/>
      <c r="X156" s="34"/>
      <c r="Y156" s="34"/>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98"/>
      <c r="AW156" s="13"/>
      <c r="AX156" s="13"/>
      <c r="AY156" s="13"/>
      <c r="AZ156" s="211"/>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row>
    <row r="157">
      <c r="A157" s="13"/>
      <c r="B157" s="13"/>
      <c r="C157" s="13"/>
      <c r="D157" s="36"/>
      <c r="E157" s="13"/>
      <c r="F157" s="69"/>
      <c r="G157" s="13"/>
      <c r="H157" s="13"/>
      <c r="I157" s="13"/>
      <c r="J157" s="13"/>
      <c r="K157" s="13"/>
      <c r="L157" s="13"/>
      <c r="M157" s="13"/>
      <c r="N157" s="69"/>
      <c r="O157" s="98"/>
      <c r="P157" s="183"/>
      <c r="Q157" s="13"/>
      <c r="R157" s="13"/>
      <c r="S157" s="13"/>
      <c r="T157" s="13"/>
      <c r="U157" s="13"/>
      <c r="V157" s="13"/>
      <c r="W157" s="13"/>
      <c r="X157" s="34"/>
      <c r="Y157" s="34"/>
      <c r="Z157" s="13"/>
      <c r="AA157" s="13"/>
      <c r="AB157" s="13"/>
      <c r="AC157" s="13"/>
      <c r="AD157" s="13"/>
      <c r="AE157" s="13"/>
      <c r="AF157" s="13"/>
      <c r="AG157" s="13"/>
      <c r="AH157" s="6"/>
      <c r="AI157" s="13"/>
      <c r="AJ157" s="13"/>
      <c r="AK157" s="13"/>
      <c r="AL157" s="13"/>
      <c r="AM157" s="13"/>
      <c r="AN157" s="13"/>
      <c r="AO157" s="13"/>
      <c r="AP157" s="13"/>
      <c r="AQ157" s="13"/>
      <c r="AR157" s="13"/>
      <c r="AS157" s="13"/>
      <c r="AT157" s="13"/>
      <c r="AU157" s="13"/>
      <c r="AV157" s="98"/>
      <c r="AW157" s="13"/>
      <c r="AX157" s="13"/>
      <c r="AY157" s="13"/>
      <c r="AZ157" s="211"/>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row>
    <row r="158">
      <c r="A158" s="13"/>
      <c r="B158" s="13"/>
      <c r="C158" s="13"/>
      <c r="D158" s="6"/>
      <c r="E158" s="36"/>
      <c r="F158" s="36"/>
      <c r="G158" s="36"/>
      <c r="H158" s="36"/>
      <c r="I158" s="13"/>
      <c r="J158" s="13"/>
      <c r="K158" s="36"/>
      <c r="L158" s="36"/>
      <c r="M158" s="13"/>
      <c r="N158" s="6"/>
      <c r="O158" s="6"/>
      <c r="P158" s="6"/>
      <c r="Q158" s="36"/>
      <c r="R158" s="36"/>
      <c r="S158" s="36"/>
      <c r="T158" s="13"/>
      <c r="U158" s="13"/>
      <c r="V158" s="36"/>
      <c r="W158" s="36"/>
      <c r="X158" s="6"/>
      <c r="Y158" s="6"/>
      <c r="Z158" s="36"/>
      <c r="AA158" s="6"/>
      <c r="AB158" s="36"/>
      <c r="AC158" s="36"/>
      <c r="AD158" s="36"/>
      <c r="AE158" s="36"/>
      <c r="AF158" s="36"/>
      <c r="AG158" s="36"/>
      <c r="AH158" s="6"/>
      <c r="AI158" s="36"/>
      <c r="AJ158" s="36"/>
      <c r="AK158" s="36"/>
      <c r="AL158" s="36"/>
      <c r="AM158" s="36"/>
      <c r="AN158" s="36"/>
      <c r="AO158" s="36"/>
      <c r="AP158" s="13"/>
      <c r="AQ158" s="13"/>
      <c r="AR158" s="13"/>
      <c r="AS158" s="13"/>
      <c r="AT158" s="13"/>
      <c r="AU158" s="13"/>
      <c r="AV158" s="6"/>
      <c r="AW158" s="6"/>
      <c r="AX158" s="13"/>
      <c r="AY158" s="13"/>
      <c r="AZ158" s="13"/>
      <c r="BA158" s="36"/>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row>
    <row r="159">
      <c r="A159" s="13"/>
      <c r="B159" s="13"/>
      <c r="C159" s="13"/>
      <c r="D159" s="36"/>
      <c r="E159" s="36"/>
      <c r="F159" s="36"/>
      <c r="G159" s="36"/>
      <c r="H159" s="36"/>
      <c r="I159" s="13"/>
      <c r="J159" s="36"/>
      <c r="K159" s="36"/>
      <c r="L159" s="36"/>
      <c r="M159" s="13"/>
      <c r="N159" s="6"/>
      <c r="O159" s="6"/>
      <c r="P159" s="6"/>
      <c r="Q159" s="36"/>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c r="AP159" s="13"/>
      <c r="AQ159" s="13"/>
      <c r="AR159" s="13"/>
      <c r="AS159" s="13"/>
      <c r="AT159" s="13"/>
      <c r="AU159" s="13"/>
      <c r="AV159" s="13"/>
      <c r="AW159" s="6"/>
      <c r="AX159" s="13"/>
      <c r="AY159" s="13"/>
      <c r="AZ159" s="13"/>
      <c r="BA159" s="36"/>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row>
    <row r="160">
      <c r="A160" s="13"/>
      <c r="B160" s="13"/>
      <c r="C160" s="13"/>
      <c r="D160" s="36"/>
      <c r="E160" s="36"/>
      <c r="F160" s="36"/>
      <c r="G160" s="36"/>
      <c r="H160" s="36"/>
      <c r="I160" s="13"/>
      <c r="J160" s="13"/>
      <c r="K160" s="36"/>
      <c r="L160" s="36"/>
      <c r="M160" s="13"/>
      <c r="N160" s="6"/>
      <c r="O160" s="6"/>
      <c r="P160" s="44"/>
      <c r="Q160" s="36"/>
      <c r="R160" s="36"/>
      <c r="S160" s="13"/>
      <c r="T160" s="36"/>
      <c r="U160" s="36"/>
      <c r="V160" s="36"/>
      <c r="W160" s="36"/>
      <c r="X160" s="34"/>
      <c r="Y160" s="34"/>
      <c r="Z160" s="36"/>
      <c r="AA160" s="6"/>
      <c r="AB160" s="36"/>
      <c r="AC160" s="36"/>
      <c r="AD160" s="36"/>
      <c r="AE160" s="36"/>
      <c r="AF160" s="36"/>
      <c r="AG160" s="36"/>
      <c r="AH160" s="6"/>
      <c r="AI160" s="36"/>
      <c r="AJ160" s="36"/>
      <c r="AK160" s="36"/>
      <c r="AL160" s="36"/>
      <c r="AM160" s="36"/>
      <c r="AN160" s="36"/>
      <c r="AO160" s="36"/>
      <c r="AP160" s="13"/>
      <c r="AQ160" s="13"/>
      <c r="AR160" s="13"/>
      <c r="AS160" s="13"/>
      <c r="AT160" s="13"/>
      <c r="AU160" s="13"/>
      <c r="AV160" s="13"/>
      <c r="AW160" s="6"/>
      <c r="AX160" s="13"/>
      <c r="AY160" s="13"/>
      <c r="AZ160" s="13"/>
      <c r="BA160" s="36"/>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row>
    <row r="161">
      <c r="A161" s="13"/>
      <c r="B161" s="13"/>
      <c r="C161" s="13"/>
      <c r="D161" s="36"/>
      <c r="E161" s="36"/>
      <c r="F161" s="36"/>
      <c r="G161" s="36"/>
      <c r="H161" s="36"/>
      <c r="I161" s="13"/>
      <c r="J161" s="13"/>
      <c r="K161" s="36"/>
      <c r="L161" s="36"/>
      <c r="M161" s="13"/>
      <c r="N161" s="6"/>
      <c r="O161" s="6"/>
      <c r="P161" s="44"/>
      <c r="Q161" s="36"/>
      <c r="R161" s="36"/>
      <c r="S161" s="13"/>
      <c r="T161" s="36"/>
      <c r="U161" s="36"/>
      <c r="V161" s="36"/>
      <c r="W161" s="36"/>
      <c r="X161" s="34"/>
      <c r="Y161" s="34"/>
      <c r="Z161" s="36"/>
      <c r="AA161" s="6"/>
      <c r="AB161" s="36"/>
      <c r="AC161" s="36"/>
      <c r="AD161" s="36"/>
      <c r="AE161" s="36"/>
      <c r="AF161" s="36"/>
      <c r="AG161" s="36"/>
      <c r="AH161" s="6"/>
      <c r="AI161" s="36"/>
      <c r="AJ161" s="36"/>
      <c r="AK161" s="36"/>
      <c r="AL161" s="36"/>
      <c r="AM161" s="36"/>
      <c r="AN161" s="36"/>
      <c r="AO161" s="36"/>
      <c r="AP161" s="13"/>
      <c r="AQ161" s="6"/>
      <c r="AR161" s="13"/>
      <c r="AS161" s="6"/>
      <c r="AT161" s="13"/>
      <c r="AU161" s="6"/>
      <c r="AV161" s="6"/>
      <c r="AW161" s="6"/>
      <c r="AX161" s="6"/>
      <c r="AY161" s="13"/>
      <c r="AZ161" s="13"/>
      <c r="BA161" s="36"/>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row>
    <row r="162">
      <c r="A162" s="13"/>
      <c r="B162" s="13"/>
      <c r="C162" s="13"/>
      <c r="D162" s="36"/>
      <c r="E162" s="36"/>
      <c r="F162" s="36"/>
      <c r="G162" s="36"/>
      <c r="H162" s="36"/>
      <c r="I162" s="13"/>
      <c r="J162" s="13"/>
      <c r="K162" s="36"/>
      <c r="L162" s="36"/>
      <c r="M162" s="13"/>
      <c r="N162" s="6"/>
      <c r="O162" s="6"/>
      <c r="P162" s="6"/>
      <c r="Q162" s="13"/>
      <c r="R162" s="13"/>
      <c r="S162" s="13"/>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13"/>
      <c r="AQ162" s="13"/>
      <c r="AR162" s="13"/>
      <c r="AS162" s="13"/>
      <c r="AT162" s="13"/>
      <c r="AU162" s="13"/>
      <c r="AV162" s="13"/>
      <c r="AW162" s="13"/>
      <c r="AX162" s="13"/>
      <c r="AY162" s="13"/>
      <c r="AZ162" s="13"/>
      <c r="BA162" s="36"/>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row>
    <row r="163">
      <c r="A163" s="13"/>
      <c r="B163" s="13"/>
      <c r="C163" s="13"/>
      <c r="D163" s="36"/>
      <c r="E163" s="36"/>
      <c r="F163" s="36"/>
      <c r="G163" s="36"/>
      <c r="H163" s="36"/>
      <c r="I163" s="13"/>
      <c r="J163" s="13"/>
      <c r="K163" s="36"/>
      <c r="L163" s="36"/>
      <c r="M163" s="13"/>
      <c r="N163" s="6"/>
      <c r="O163" s="6"/>
      <c r="P163" s="6"/>
      <c r="Q163" s="13"/>
      <c r="R163" s="13"/>
      <c r="S163" s="13"/>
      <c r="T163" s="13"/>
      <c r="U163" s="36"/>
      <c r="V163" s="36"/>
      <c r="W163" s="36"/>
      <c r="X163" s="36"/>
      <c r="Y163" s="36"/>
      <c r="Z163" s="36"/>
      <c r="AA163" s="36"/>
      <c r="AB163" s="36"/>
      <c r="AC163" s="36"/>
      <c r="AD163" s="36"/>
      <c r="AE163" s="36"/>
      <c r="AF163" s="36"/>
      <c r="AG163" s="36"/>
      <c r="AH163" s="36"/>
      <c r="AI163" s="36"/>
      <c r="AJ163" s="36"/>
      <c r="AK163" s="36"/>
      <c r="AL163" s="36"/>
      <c r="AM163" s="36"/>
      <c r="AN163" s="36"/>
      <c r="AO163" s="36"/>
      <c r="AP163" s="13"/>
      <c r="AQ163" s="13"/>
      <c r="AR163" s="13"/>
      <c r="AS163" s="13"/>
      <c r="AT163" s="13"/>
      <c r="AU163" s="13"/>
      <c r="AV163" s="13"/>
      <c r="AW163" s="13"/>
      <c r="AX163" s="13"/>
      <c r="AY163" s="13"/>
      <c r="AZ163" s="13"/>
      <c r="BA163" s="36"/>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row>
    <row r="164">
      <c r="A164" s="13"/>
      <c r="B164" s="13"/>
      <c r="C164" s="13"/>
      <c r="D164" s="36"/>
      <c r="E164" s="36"/>
      <c r="F164" s="36"/>
      <c r="G164" s="36"/>
      <c r="H164" s="36"/>
      <c r="I164" s="13"/>
      <c r="J164" s="13"/>
      <c r="K164" s="36"/>
      <c r="L164" s="36"/>
      <c r="M164" s="13"/>
      <c r="N164" s="6"/>
      <c r="O164" s="6"/>
      <c r="P164" s="6"/>
      <c r="Q164" s="13"/>
      <c r="R164" s="13"/>
      <c r="S164" s="13"/>
      <c r="T164" s="13"/>
      <c r="U164" s="36"/>
      <c r="V164" s="36"/>
      <c r="W164" s="36"/>
      <c r="X164" s="13"/>
      <c r="Y164" s="36"/>
      <c r="Z164" s="36"/>
      <c r="AA164" s="36"/>
      <c r="AB164" s="36"/>
      <c r="AC164" s="36"/>
      <c r="AD164" s="36"/>
      <c r="AE164" s="36"/>
      <c r="AF164" s="36"/>
      <c r="AG164" s="36"/>
      <c r="AH164" s="36"/>
      <c r="AI164" s="36"/>
      <c r="AJ164" s="36"/>
      <c r="AK164" s="36"/>
      <c r="AL164" s="36"/>
      <c r="AM164" s="36"/>
      <c r="AN164" s="36"/>
      <c r="AO164" s="36"/>
      <c r="AP164" s="13"/>
      <c r="AQ164" s="13"/>
      <c r="AR164" s="13"/>
      <c r="AS164" s="13"/>
      <c r="AT164" s="13"/>
      <c r="AU164" s="13"/>
      <c r="AV164" s="13"/>
      <c r="AW164" s="13"/>
      <c r="AX164" s="13"/>
      <c r="AY164" s="13"/>
      <c r="AZ164" s="13"/>
      <c r="BA164" s="36"/>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row>
    <row r="165">
      <c r="A165" s="13"/>
      <c r="B165" s="13"/>
      <c r="C165" s="13"/>
      <c r="D165" s="36"/>
      <c r="E165" s="36"/>
      <c r="F165" s="36"/>
      <c r="G165" s="36"/>
      <c r="H165" s="36"/>
      <c r="I165" s="13"/>
      <c r="J165" s="36"/>
      <c r="K165" s="36"/>
      <c r="L165" s="36"/>
      <c r="M165" s="13"/>
      <c r="N165" s="6"/>
      <c r="O165" s="6"/>
      <c r="P165" s="6"/>
      <c r="Q165" s="36"/>
      <c r="R165" s="36"/>
      <c r="S165" s="13"/>
      <c r="T165" s="13"/>
      <c r="U165" s="36"/>
      <c r="V165" s="36"/>
      <c r="W165" s="36"/>
      <c r="X165" s="34"/>
      <c r="Y165" s="34"/>
      <c r="Z165" s="36"/>
      <c r="AA165" s="6"/>
      <c r="AB165" s="36"/>
      <c r="AC165" s="36"/>
      <c r="AD165" s="36"/>
      <c r="AE165" s="36"/>
      <c r="AF165" s="36"/>
      <c r="AG165" s="36"/>
      <c r="AH165" s="6"/>
      <c r="AI165" s="36"/>
      <c r="AJ165" s="36"/>
      <c r="AK165" s="36"/>
      <c r="AL165" s="36"/>
      <c r="AM165" s="36"/>
      <c r="AN165" s="36"/>
      <c r="AO165" s="36"/>
      <c r="AP165" s="13"/>
      <c r="AQ165" s="6"/>
      <c r="AR165" s="13"/>
      <c r="AS165" s="6"/>
      <c r="AT165" s="13"/>
      <c r="AU165" s="6"/>
      <c r="AV165" s="6"/>
      <c r="AW165" s="6"/>
      <c r="AX165" s="6"/>
      <c r="AY165" s="13"/>
      <c r="AZ165" s="13"/>
      <c r="BA165" s="36"/>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row>
    <row r="166">
      <c r="A166" s="13"/>
      <c r="B166" s="13"/>
      <c r="C166" s="13"/>
      <c r="D166" s="36"/>
      <c r="E166" s="36"/>
      <c r="F166" s="36"/>
      <c r="G166" s="36"/>
      <c r="H166" s="36"/>
      <c r="I166" s="13"/>
      <c r="J166" s="13"/>
      <c r="K166" s="36"/>
      <c r="L166" s="36"/>
      <c r="M166" s="13"/>
      <c r="N166" s="13"/>
      <c r="O166" s="6"/>
      <c r="P166" s="6"/>
      <c r="Q166" s="13"/>
      <c r="R166" s="13"/>
      <c r="S166" s="13"/>
      <c r="T166" s="13"/>
      <c r="U166" s="36"/>
      <c r="V166" s="36"/>
      <c r="W166" s="36"/>
      <c r="X166" s="36"/>
      <c r="Y166" s="36"/>
      <c r="Z166" s="36"/>
      <c r="AA166" s="36"/>
      <c r="AB166" s="36"/>
      <c r="AC166" s="36"/>
      <c r="AD166" s="36"/>
      <c r="AE166" s="36"/>
      <c r="AF166" s="36"/>
      <c r="AG166" s="36"/>
      <c r="AH166" s="36"/>
      <c r="AI166" s="36"/>
      <c r="AJ166" s="36"/>
      <c r="AK166" s="36"/>
      <c r="AL166" s="36"/>
      <c r="AM166" s="36"/>
      <c r="AN166" s="36"/>
      <c r="AO166" s="36"/>
      <c r="AP166" s="13"/>
      <c r="AQ166" s="13"/>
      <c r="AR166" s="13"/>
      <c r="AS166" s="13"/>
      <c r="AT166" s="13"/>
      <c r="AU166" s="13"/>
      <c r="AV166" s="13"/>
      <c r="AW166" s="13"/>
      <c r="AX166" s="13"/>
      <c r="AY166" s="13"/>
      <c r="AZ166" s="13"/>
      <c r="BA166" s="36"/>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row>
    <row r="167">
      <c r="A167" s="13"/>
      <c r="B167" s="13"/>
      <c r="C167" s="13"/>
      <c r="D167" s="36"/>
      <c r="E167" s="36"/>
      <c r="F167" s="36"/>
      <c r="G167" s="36"/>
      <c r="H167" s="36"/>
      <c r="I167" s="13"/>
      <c r="J167" s="36"/>
      <c r="K167" s="36"/>
      <c r="L167" s="36"/>
      <c r="M167" s="13"/>
      <c r="N167" s="6"/>
      <c r="O167" s="6"/>
      <c r="P167" s="6"/>
      <c r="Q167" s="36"/>
      <c r="R167" s="36"/>
      <c r="S167" s="36"/>
      <c r="T167" s="13"/>
      <c r="U167" s="36"/>
      <c r="V167" s="36"/>
      <c r="W167" s="36"/>
      <c r="X167" s="36"/>
      <c r="Y167" s="36"/>
      <c r="Z167" s="36"/>
      <c r="AA167" s="36"/>
      <c r="AB167" s="36"/>
      <c r="AC167" s="36"/>
      <c r="AD167" s="36"/>
      <c r="AE167" s="36"/>
      <c r="AF167" s="36"/>
      <c r="AG167" s="36"/>
      <c r="AH167" s="36"/>
      <c r="AI167" s="36"/>
      <c r="AJ167" s="36"/>
      <c r="AK167" s="36"/>
      <c r="AL167" s="36"/>
      <c r="AM167" s="36"/>
      <c r="AN167" s="36"/>
      <c r="AO167" s="36"/>
      <c r="AP167" s="13"/>
      <c r="AQ167" s="13"/>
      <c r="AR167" s="13"/>
      <c r="AS167" s="13"/>
      <c r="AT167" s="13"/>
      <c r="AU167" s="13"/>
      <c r="AV167" s="13"/>
      <c r="AW167" s="13"/>
      <c r="AX167" s="13"/>
      <c r="AY167" s="13"/>
      <c r="AZ167" s="36"/>
      <c r="BA167" s="36"/>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row>
    <row r="168">
      <c r="A168" s="13"/>
      <c r="B168" s="13"/>
      <c r="C168" s="13"/>
      <c r="D168" s="36"/>
      <c r="E168" s="36"/>
      <c r="F168" s="36"/>
      <c r="G168" s="36"/>
      <c r="H168" s="36"/>
      <c r="I168" s="13"/>
      <c r="J168" s="36"/>
      <c r="K168" s="36"/>
      <c r="L168" s="36"/>
      <c r="M168" s="13"/>
      <c r="N168" s="6"/>
      <c r="O168" s="6"/>
      <c r="P168" s="6"/>
      <c r="Q168" s="13"/>
      <c r="R168" s="13"/>
      <c r="S168" s="13"/>
      <c r="T168" s="13"/>
      <c r="U168" s="13"/>
      <c r="V168" s="36"/>
      <c r="W168" s="36"/>
      <c r="X168" s="13"/>
      <c r="Y168" s="36"/>
      <c r="Z168" s="36"/>
      <c r="AA168" s="36"/>
      <c r="AB168" s="36"/>
      <c r="AC168" s="36"/>
      <c r="AD168" s="36"/>
      <c r="AE168" s="36"/>
      <c r="AF168" s="36"/>
      <c r="AG168" s="36"/>
      <c r="AH168" s="36"/>
      <c r="AI168" s="36"/>
      <c r="AJ168" s="36"/>
      <c r="AK168" s="36"/>
      <c r="AL168" s="36"/>
      <c r="AM168" s="36"/>
      <c r="AN168" s="36"/>
      <c r="AO168" s="36"/>
      <c r="AP168" s="13"/>
      <c r="AQ168" s="13"/>
      <c r="AR168" s="13"/>
      <c r="AS168" s="13"/>
      <c r="AT168" s="13"/>
      <c r="AU168" s="13"/>
      <c r="AV168" s="13"/>
      <c r="AW168" s="13"/>
      <c r="AX168" s="13"/>
      <c r="AY168" s="13"/>
      <c r="AZ168" s="13"/>
      <c r="BA168" s="36"/>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row>
    <row r="169">
      <c r="A169" s="13"/>
      <c r="B169" s="13"/>
      <c r="C169" s="13"/>
      <c r="D169" s="36"/>
      <c r="E169" s="36"/>
      <c r="F169" s="36"/>
      <c r="G169" s="36"/>
      <c r="H169" s="36"/>
      <c r="I169" s="13"/>
      <c r="J169" s="13"/>
      <c r="K169" s="36"/>
      <c r="L169" s="36"/>
      <c r="M169" s="13"/>
      <c r="N169" s="6"/>
      <c r="O169" s="6"/>
      <c r="P169" s="6"/>
      <c r="Q169" s="13"/>
      <c r="R169" s="13"/>
      <c r="S169" s="13"/>
      <c r="T169" s="13"/>
      <c r="U169" s="36"/>
      <c r="V169" s="36"/>
      <c r="W169" s="36"/>
      <c r="X169" s="36"/>
      <c r="Y169" s="36"/>
      <c r="Z169" s="36"/>
      <c r="AA169" s="36"/>
      <c r="AB169" s="36"/>
      <c r="AC169" s="36"/>
      <c r="AD169" s="36"/>
      <c r="AE169" s="36"/>
      <c r="AF169" s="36"/>
      <c r="AG169" s="36"/>
      <c r="AH169" s="36"/>
      <c r="AI169" s="36"/>
      <c r="AJ169" s="36"/>
      <c r="AK169" s="36"/>
      <c r="AL169" s="36"/>
      <c r="AM169" s="36"/>
      <c r="AN169" s="36"/>
      <c r="AO169" s="36"/>
      <c r="AP169" s="13"/>
      <c r="AQ169" s="13"/>
      <c r="AR169" s="13"/>
      <c r="AS169" s="13"/>
      <c r="AT169" s="13"/>
      <c r="AU169" s="13"/>
      <c r="AV169" s="13"/>
      <c r="AW169" s="13"/>
      <c r="AX169" s="13"/>
      <c r="AY169" s="13"/>
      <c r="AZ169" s="13"/>
      <c r="BA169" s="36"/>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row>
    <row r="170">
      <c r="A170" s="13"/>
      <c r="B170" s="13"/>
      <c r="C170" s="13"/>
      <c r="D170" s="36"/>
      <c r="E170" s="36"/>
      <c r="F170" s="69"/>
      <c r="G170" s="36"/>
      <c r="H170" s="36"/>
      <c r="I170" s="13"/>
      <c r="J170" s="13"/>
      <c r="K170" s="36"/>
      <c r="L170" s="36"/>
      <c r="M170" s="13"/>
      <c r="N170" s="13"/>
      <c r="O170" s="6"/>
      <c r="P170" s="6"/>
      <c r="Q170" s="36"/>
      <c r="R170" s="36"/>
      <c r="S170" s="36"/>
      <c r="T170" s="13"/>
      <c r="U170" s="13"/>
      <c r="V170" s="36"/>
      <c r="W170" s="36"/>
      <c r="X170" s="13"/>
      <c r="Y170" s="36"/>
      <c r="Z170" s="36"/>
      <c r="AA170" s="36"/>
      <c r="AB170" s="36"/>
      <c r="AC170" s="36"/>
      <c r="AD170" s="36"/>
      <c r="AE170" s="36"/>
      <c r="AF170" s="36"/>
      <c r="AG170" s="36"/>
      <c r="AH170" s="36"/>
      <c r="AI170" s="36"/>
      <c r="AJ170" s="36"/>
      <c r="AK170" s="36"/>
      <c r="AL170" s="36"/>
      <c r="AM170" s="36"/>
      <c r="AN170" s="36"/>
      <c r="AO170" s="36"/>
      <c r="AP170" s="13"/>
      <c r="AQ170" s="13"/>
      <c r="AR170" s="13"/>
      <c r="AS170" s="13"/>
      <c r="AT170" s="13"/>
      <c r="AU170" s="13"/>
      <c r="AV170" s="13"/>
      <c r="AW170" s="13"/>
      <c r="AX170" s="13"/>
      <c r="AY170" s="13"/>
      <c r="AZ170" s="13"/>
      <c r="BA170" s="36"/>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row>
    <row r="171">
      <c r="A171" s="13"/>
      <c r="B171" s="13"/>
      <c r="C171" s="13"/>
      <c r="D171" s="36"/>
      <c r="E171" s="36"/>
      <c r="F171" s="36"/>
      <c r="G171" s="36"/>
      <c r="H171" s="36"/>
      <c r="I171" s="13"/>
      <c r="J171" s="36"/>
      <c r="K171" s="36"/>
      <c r="L171" s="36"/>
      <c r="M171" s="13"/>
      <c r="N171" s="13"/>
      <c r="O171" s="6"/>
      <c r="P171" s="6"/>
      <c r="Q171" s="13"/>
      <c r="R171" s="13"/>
      <c r="S171" s="13"/>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13"/>
      <c r="AQ171" s="13"/>
      <c r="AR171" s="13"/>
      <c r="AS171" s="13"/>
      <c r="AT171" s="13"/>
      <c r="AU171" s="13"/>
      <c r="AV171" s="13"/>
      <c r="AW171" s="13"/>
      <c r="AX171" s="13"/>
      <c r="AY171" s="13"/>
      <c r="AZ171" s="36"/>
      <c r="BA171" s="36"/>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row>
    <row r="172">
      <c r="A172" s="13"/>
      <c r="B172" s="13"/>
      <c r="C172" s="13"/>
      <c r="D172" s="36"/>
      <c r="E172" s="36"/>
      <c r="F172" s="36"/>
      <c r="G172" s="36"/>
      <c r="H172" s="36"/>
      <c r="I172" s="13"/>
      <c r="J172" s="13"/>
      <c r="K172" s="36"/>
      <c r="L172" s="36"/>
      <c r="M172" s="13"/>
      <c r="N172" s="36"/>
      <c r="O172" s="6"/>
      <c r="P172" s="6"/>
      <c r="Q172" s="36"/>
      <c r="R172" s="36"/>
      <c r="S172" s="36"/>
      <c r="T172" s="13"/>
      <c r="U172" s="36"/>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6"/>
      <c r="AS172" s="13"/>
      <c r="AT172" s="13"/>
      <c r="AU172" s="13"/>
      <c r="AV172" s="13"/>
      <c r="AW172" s="13"/>
      <c r="AX172" s="13"/>
      <c r="AY172" s="13"/>
      <c r="AZ172" s="13"/>
      <c r="BA172" s="36"/>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row>
    <row r="173">
      <c r="A173" s="13"/>
      <c r="B173" s="13"/>
      <c r="C173" s="13"/>
      <c r="D173" s="36"/>
      <c r="E173" s="36"/>
      <c r="F173" s="36"/>
      <c r="G173" s="36"/>
      <c r="H173" s="36"/>
      <c r="I173" s="13"/>
      <c r="J173" s="13"/>
      <c r="K173" s="36"/>
      <c r="L173" s="36"/>
      <c r="M173" s="13"/>
      <c r="N173" s="13"/>
      <c r="O173" s="6"/>
      <c r="P173" s="6"/>
      <c r="Q173" s="13"/>
      <c r="R173" s="13"/>
      <c r="S173" s="13"/>
      <c r="T173" s="13"/>
      <c r="U173" s="13"/>
      <c r="V173" s="36"/>
      <c r="W173" s="36"/>
      <c r="X173" s="13"/>
      <c r="Y173" s="36"/>
      <c r="Z173" s="36"/>
      <c r="AA173" s="36"/>
      <c r="AB173" s="36"/>
      <c r="AC173" s="36"/>
      <c r="AD173" s="36"/>
      <c r="AE173" s="36"/>
      <c r="AF173" s="36"/>
      <c r="AG173" s="36"/>
      <c r="AH173" s="36"/>
      <c r="AI173" s="36"/>
      <c r="AJ173" s="36"/>
      <c r="AK173" s="36"/>
      <c r="AL173" s="36"/>
      <c r="AM173" s="36"/>
      <c r="AN173" s="36"/>
      <c r="AO173" s="36"/>
      <c r="AP173" s="13"/>
      <c r="AQ173" s="13"/>
      <c r="AR173" s="13"/>
      <c r="AS173" s="13"/>
      <c r="AT173" s="13"/>
      <c r="AU173" s="13"/>
      <c r="AV173" s="13"/>
      <c r="AW173" s="13"/>
      <c r="AX173" s="13"/>
      <c r="AY173" s="13"/>
      <c r="AZ173" s="13"/>
      <c r="BA173" s="36"/>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row>
    <row r="174">
      <c r="A174" s="13"/>
      <c r="B174" s="13"/>
      <c r="C174" s="13"/>
      <c r="D174" s="36"/>
      <c r="E174" s="36"/>
      <c r="F174" s="36"/>
      <c r="G174" s="36"/>
      <c r="H174" s="36"/>
      <c r="I174" s="13"/>
      <c r="J174" s="13"/>
      <c r="K174" s="36"/>
      <c r="L174" s="36"/>
      <c r="M174" s="13"/>
      <c r="N174" s="36"/>
      <c r="O174" s="6"/>
      <c r="P174" s="6"/>
      <c r="Q174" s="13"/>
      <c r="R174" s="13"/>
      <c r="S174" s="13"/>
      <c r="T174" s="13"/>
      <c r="U174" s="36"/>
      <c r="V174" s="36"/>
      <c r="W174" s="36"/>
      <c r="X174" s="36"/>
      <c r="Y174" s="36"/>
      <c r="Z174" s="36"/>
      <c r="AA174" s="36"/>
      <c r="AB174" s="36"/>
      <c r="AC174" s="36"/>
      <c r="AD174" s="36"/>
      <c r="AE174" s="36"/>
      <c r="AF174" s="36"/>
      <c r="AG174" s="36"/>
      <c r="AH174" s="36"/>
      <c r="AI174" s="36"/>
      <c r="AJ174" s="36"/>
      <c r="AK174" s="36"/>
      <c r="AL174" s="36"/>
      <c r="AM174" s="36"/>
      <c r="AN174" s="36"/>
      <c r="AO174" s="36"/>
      <c r="AP174" s="13"/>
      <c r="AQ174" s="13"/>
      <c r="AR174" s="13"/>
      <c r="AS174" s="13"/>
      <c r="AT174" s="13"/>
      <c r="AU174" s="13"/>
      <c r="AV174" s="13"/>
      <c r="AW174" s="13"/>
      <c r="AX174" s="13"/>
      <c r="AY174" s="13"/>
      <c r="AZ174" s="13"/>
      <c r="BA174" s="36"/>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row>
    <row r="175">
      <c r="A175" s="13"/>
      <c r="B175" s="13"/>
      <c r="C175" s="13"/>
      <c r="D175" s="36"/>
      <c r="E175" s="36"/>
      <c r="F175" s="36"/>
      <c r="G175" s="36"/>
      <c r="H175" s="36"/>
      <c r="I175" s="13"/>
      <c r="J175" s="13"/>
      <c r="K175" s="36"/>
      <c r="L175" s="36"/>
      <c r="M175" s="13"/>
      <c r="N175" s="13"/>
      <c r="O175" s="6"/>
      <c r="P175" s="6"/>
      <c r="Q175" s="13"/>
      <c r="R175" s="13"/>
      <c r="S175" s="13"/>
      <c r="T175" s="13"/>
      <c r="U175" s="36"/>
      <c r="V175" s="36"/>
      <c r="W175" s="36"/>
      <c r="X175" s="13"/>
      <c r="Y175" s="36"/>
      <c r="Z175" s="36"/>
      <c r="AA175" s="36"/>
      <c r="AB175" s="36"/>
      <c r="AC175" s="36"/>
      <c r="AD175" s="36"/>
      <c r="AE175" s="36"/>
      <c r="AF175" s="36"/>
      <c r="AG175" s="36"/>
      <c r="AH175" s="36"/>
      <c r="AI175" s="36"/>
      <c r="AJ175" s="36"/>
      <c r="AK175" s="36"/>
      <c r="AL175" s="36"/>
      <c r="AM175" s="36"/>
      <c r="AN175" s="36"/>
      <c r="AO175" s="36"/>
      <c r="AP175" s="13"/>
      <c r="AQ175" s="13"/>
      <c r="AR175" s="13"/>
      <c r="AS175" s="13"/>
      <c r="AT175" s="13"/>
      <c r="AU175" s="13"/>
      <c r="AV175" s="13"/>
      <c r="AW175" s="13"/>
      <c r="AX175" s="13"/>
      <c r="AY175" s="13"/>
      <c r="AZ175" s="36"/>
      <c r="BA175" s="36"/>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row>
    <row r="180">
      <c r="A180" s="10"/>
      <c r="B180" s="10"/>
      <c r="C180" s="10"/>
      <c r="D180" s="10"/>
      <c r="E180" s="10"/>
      <c r="F180" s="10"/>
      <c r="G180" s="10"/>
      <c r="H180" s="10"/>
      <c r="K180" s="10"/>
      <c r="L180" s="10"/>
      <c r="N180" s="10"/>
      <c r="P180" s="10"/>
      <c r="U180" s="10"/>
      <c r="V180" s="10"/>
      <c r="W180" s="10"/>
      <c r="X180" s="10"/>
      <c r="Y180" s="10"/>
      <c r="Z180" s="10"/>
      <c r="AA180" s="10"/>
      <c r="AB180" s="10"/>
      <c r="AC180" s="10"/>
      <c r="AD180" s="10"/>
      <c r="AE180" s="10"/>
      <c r="AF180" s="10"/>
      <c r="AG180" s="10"/>
      <c r="AH180" s="10"/>
      <c r="AI180" s="10"/>
      <c r="AJ180" s="10"/>
      <c r="AK180" s="10"/>
      <c r="AL180" s="10"/>
      <c r="AM180" s="10"/>
      <c r="AN180" s="10"/>
      <c r="AO180" s="10"/>
      <c r="AW180" s="143"/>
      <c r="BA180" s="10"/>
      <c r="BD180" s="10"/>
      <c r="BE180" s="10"/>
      <c r="BF180" s="10"/>
      <c r="BG180" s="10"/>
      <c r="BH180" s="10"/>
      <c r="BI180" s="10"/>
      <c r="BJ180" s="10"/>
      <c r="BK180" s="10"/>
      <c r="BL180" s="10"/>
      <c r="BS180" s="10"/>
      <c r="BT180" s="10"/>
      <c r="BV180" s="10"/>
      <c r="BW180" s="10"/>
    </row>
    <row r="181">
      <c r="A181" s="10"/>
      <c r="B181" s="10"/>
      <c r="C181" s="10"/>
      <c r="D181" s="10"/>
      <c r="E181" s="10"/>
      <c r="F181" s="10"/>
      <c r="G181" s="10"/>
      <c r="H181" s="10"/>
      <c r="K181" s="10"/>
      <c r="L181" s="10"/>
      <c r="N181" s="10"/>
      <c r="P181" s="10"/>
      <c r="U181" s="10"/>
      <c r="V181" s="10"/>
      <c r="W181" s="10"/>
      <c r="X181" s="10"/>
      <c r="Y181" s="10"/>
      <c r="Z181" s="10"/>
      <c r="AA181" s="10"/>
      <c r="AB181" s="10"/>
      <c r="AC181" s="10"/>
      <c r="AD181" s="10"/>
      <c r="AE181" s="10"/>
      <c r="AF181" s="10"/>
      <c r="AG181" s="10"/>
      <c r="AH181" s="10"/>
      <c r="AI181" s="10"/>
      <c r="AJ181" s="10"/>
      <c r="AK181" s="10"/>
      <c r="AL181" s="10"/>
      <c r="AM181" s="10"/>
      <c r="AN181" s="10"/>
      <c r="AO181" s="10"/>
      <c r="AW181" s="143"/>
      <c r="BA181" s="10"/>
      <c r="BD181" s="10"/>
      <c r="BE181" s="10"/>
      <c r="BF181" s="10"/>
      <c r="BG181" s="10"/>
      <c r="BH181" s="10"/>
      <c r="BI181" s="10"/>
      <c r="BJ181" s="10"/>
      <c r="BK181" s="10"/>
      <c r="BL181" s="10"/>
      <c r="BS181" s="10"/>
      <c r="BT181" s="10"/>
      <c r="BV181" s="10"/>
      <c r="BW181" s="10"/>
    </row>
    <row r="182">
      <c r="A182" s="10"/>
      <c r="B182" s="10"/>
      <c r="C182" s="10"/>
      <c r="D182" s="10"/>
      <c r="E182" s="10"/>
      <c r="F182" s="10"/>
      <c r="G182" s="10"/>
      <c r="H182" s="10"/>
      <c r="K182" s="10"/>
      <c r="L182" s="10"/>
      <c r="N182" s="10"/>
      <c r="P182" s="10"/>
      <c r="U182" s="10"/>
      <c r="V182" s="10"/>
      <c r="W182" s="10"/>
      <c r="X182" s="10"/>
      <c r="Y182" s="10"/>
      <c r="Z182" s="10"/>
      <c r="AA182" s="10"/>
      <c r="AB182" s="10"/>
      <c r="AC182" s="10"/>
      <c r="AD182" s="10"/>
      <c r="AE182" s="10"/>
      <c r="AF182" s="10"/>
      <c r="AG182" s="10"/>
      <c r="AH182" s="10"/>
      <c r="AI182" s="10"/>
      <c r="AJ182" s="10"/>
      <c r="AK182" s="10"/>
      <c r="AL182" s="10"/>
      <c r="AM182" s="10"/>
      <c r="AN182" s="10"/>
      <c r="AO182" s="10"/>
      <c r="AW182" s="143"/>
      <c r="BA182" s="10"/>
      <c r="BD182" s="10"/>
      <c r="BE182" s="10"/>
      <c r="BF182" s="10"/>
      <c r="BG182" s="10"/>
      <c r="BH182" s="10"/>
      <c r="BI182" s="10"/>
      <c r="BJ182" s="10"/>
      <c r="BK182" s="10"/>
      <c r="BL182" s="10"/>
      <c r="BS182" s="10"/>
      <c r="BT182" s="10"/>
      <c r="BV182" s="10"/>
      <c r="BW182" s="10"/>
    </row>
    <row r="183">
      <c r="A183" s="10"/>
      <c r="B183" s="10"/>
      <c r="C183" s="10"/>
      <c r="D183" s="10"/>
      <c r="E183" s="10"/>
      <c r="F183" s="10"/>
      <c r="G183" s="10"/>
      <c r="H183" s="10"/>
      <c r="I183" s="10"/>
      <c r="K183" s="10"/>
      <c r="L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R183" s="10"/>
      <c r="AS183" s="10"/>
      <c r="AU183" s="10"/>
      <c r="AV183" s="10"/>
      <c r="AW183" s="143"/>
      <c r="BA183" s="10"/>
      <c r="BD183" s="10"/>
      <c r="BE183" s="10"/>
      <c r="BF183" s="10"/>
      <c r="BG183" s="10"/>
      <c r="BH183" s="10"/>
      <c r="BI183" s="10"/>
      <c r="BJ183" s="10"/>
      <c r="BK183" s="10"/>
      <c r="BL183" s="10"/>
      <c r="BO183" s="10"/>
      <c r="BR183" s="10"/>
      <c r="BS183" s="10"/>
      <c r="BT183" s="10"/>
      <c r="BV183" s="10"/>
      <c r="BW183" s="10"/>
    </row>
    <row r="184">
      <c r="A184" s="10"/>
      <c r="B184" s="10"/>
      <c r="C184" s="10"/>
      <c r="D184" s="10"/>
      <c r="E184" s="10"/>
      <c r="F184" s="10"/>
      <c r="G184" s="10"/>
      <c r="H184" s="10"/>
      <c r="I184" s="10"/>
      <c r="J184" s="10"/>
      <c r="K184" s="10"/>
      <c r="L184" s="10"/>
      <c r="N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R184" s="10"/>
      <c r="AS184" s="10"/>
      <c r="AU184" s="10"/>
      <c r="AV184" s="10"/>
      <c r="AW184" s="143"/>
      <c r="BA184" s="10"/>
      <c r="BD184" s="10"/>
      <c r="BE184" s="10"/>
      <c r="BF184" s="10"/>
      <c r="BG184" s="10"/>
      <c r="BH184" s="10"/>
      <c r="BI184" s="10"/>
      <c r="BJ184" s="10"/>
      <c r="BK184" s="10"/>
      <c r="BS184" s="10"/>
      <c r="BT184" s="10"/>
      <c r="BV184" s="10"/>
      <c r="BW184" s="10"/>
    </row>
    <row r="185">
      <c r="A185" s="10"/>
      <c r="B185" s="10"/>
      <c r="C185" s="10"/>
      <c r="D185" s="10"/>
      <c r="E185" s="10"/>
      <c r="F185" s="10"/>
      <c r="G185" s="10"/>
      <c r="H185" s="10"/>
      <c r="I185" s="10"/>
      <c r="J185" s="10"/>
      <c r="K185" s="10"/>
      <c r="L185" s="10"/>
      <c r="N185" s="10"/>
      <c r="T185" s="10"/>
      <c r="U185" s="10"/>
      <c r="V185" s="10"/>
      <c r="W185" s="10"/>
      <c r="X185" s="10"/>
      <c r="Y185" s="10"/>
      <c r="Z185" s="10"/>
      <c r="AA185" s="10"/>
      <c r="AB185" s="10"/>
      <c r="AC185" s="10"/>
      <c r="AD185" s="10"/>
      <c r="AE185" s="10"/>
      <c r="AF185" s="10"/>
      <c r="AG185" s="10"/>
      <c r="AH185" s="10"/>
      <c r="AI185" s="10"/>
      <c r="AJ185" s="10"/>
      <c r="AK185" s="10"/>
      <c r="AL185" s="10"/>
      <c r="AN185" s="10"/>
      <c r="AO185" s="10"/>
      <c r="AR185" s="10"/>
      <c r="AS185" s="10"/>
      <c r="AU185" s="10"/>
      <c r="AV185" s="10"/>
      <c r="AW185" s="143"/>
      <c r="BA185" s="10"/>
      <c r="BD185" s="10"/>
      <c r="BE185" s="10"/>
      <c r="BF185" s="10"/>
      <c r="BG185" s="10"/>
      <c r="BH185" s="10"/>
      <c r="BI185" s="10"/>
      <c r="BJ185" s="10"/>
      <c r="BK185" s="10"/>
      <c r="BS185" s="10"/>
      <c r="BT185" s="10"/>
      <c r="BV185" s="10"/>
      <c r="BW185" s="10"/>
    </row>
    <row r="186">
      <c r="A186" s="10"/>
      <c r="B186" s="10"/>
      <c r="C186" s="10"/>
      <c r="D186" s="10"/>
      <c r="E186" s="10"/>
      <c r="F186" s="10"/>
      <c r="G186" s="10"/>
      <c r="H186" s="10"/>
      <c r="I186" s="10"/>
      <c r="J186" s="10"/>
      <c r="K186" s="10"/>
      <c r="L186" s="10"/>
      <c r="N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R186" s="10"/>
      <c r="AS186" s="10"/>
      <c r="AU186" s="10"/>
      <c r="AV186" s="10"/>
      <c r="AW186" s="143"/>
      <c r="BA186" s="10"/>
      <c r="BD186" s="10"/>
      <c r="BE186" s="10"/>
      <c r="BF186" s="10"/>
      <c r="BG186" s="10"/>
      <c r="BH186" s="10"/>
      <c r="BI186" s="10"/>
      <c r="BJ186" s="10"/>
      <c r="BK186" s="10"/>
      <c r="BS186" s="10"/>
      <c r="BT186" s="10"/>
      <c r="BV186" s="10"/>
      <c r="BW186" s="10"/>
    </row>
    <row r="187">
      <c r="A187" s="10"/>
      <c r="B187" s="10"/>
      <c r="C187" s="10"/>
      <c r="D187" s="10"/>
      <c r="E187" s="10"/>
      <c r="F187" s="10"/>
      <c r="G187" s="10"/>
      <c r="H187" s="10"/>
      <c r="I187" s="10"/>
      <c r="K187" s="10"/>
      <c r="L187" s="10"/>
      <c r="P187" s="10"/>
      <c r="Q187" s="10"/>
      <c r="R187" s="10"/>
      <c r="S187" s="10"/>
      <c r="U187" s="10"/>
      <c r="V187" s="10"/>
      <c r="W187" s="10"/>
      <c r="X187" s="10"/>
      <c r="Y187" s="10"/>
      <c r="Z187" s="10"/>
      <c r="AA187" s="10"/>
      <c r="AB187" s="10"/>
      <c r="AC187" s="10"/>
      <c r="AD187" s="10"/>
      <c r="AE187" s="10"/>
      <c r="AF187" s="10"/>
      <c r="AG187" s="10"/>
      <c r="AH187" s="10"/>
      <c r="AI187" s="10"/>
      <c r="AJ187" s="10"/>
      <c r="AK187" s="10"/>
      <c r="AL187" s="10"/>
      <c r="AM187" s="10"/>
      <c r="AN187" s="10"/>
      <c r="AO187" s="10"/>
      <c r="AR187" s="10"/>
      <c r="AS187" s="10"/>
      <c r="AU187" s="10"/>
      <c r="AV187" s="10"/>
      <c r="AW187" s="143"/>
      <c r="BA187" s="10"/>
      <c r="BD187" s="10"/>
      <c r="BE187" s="10"/>
      <c r="BF187" s="10"/>
      <c r="BG187" s="10"/>
      <c r="BH187" s="10"/>
      <c r="BI187" s="10"/>
      <c r="BJ187" s="10"/>
      <c r="BK187" s="10"/>
      <c r="BO187" s="10"/>
      <c r="BR187" s="10"/>
      <c r="BS187" s="10"/>
      <c r="BT187" s="10"/>
      <c r="BV187" s="10"/>
      <c r="BW187" s="10"/>
    </row>
    <row r="188">
      <c r="A188" s="10"/>
      <c r="B188" s="10"/>
      <c r="C188" s="10"/>
      <c r="D188" s="10"/>
      <c r="E188" s="10"/>
      <c r="F188" s="10"/>
      <c r="G188" s="10"/>
      <c r="H188" s="10"/>
      <c r="I188" s="10"/>
      <c r="J188" s="10"/>
      <c r="K188" s="10"/>
      <c r="L188" s="10"/>
      <c r="U188" s="10"/>
      <c r="V188" s="10"/>
      <c r="W188" s="10"/>
      <c r="X188" s="10"/>
      <c r="Y188" s="10"/>
      <c r="Z188" s="10"/>
      <c r="AA188" s="10"/>
      <c r="AB188" s="10"/>
      <c r="AC188" s="10"/>
      <c r="AD188" s="10"/>
      <c r="AE188" s="10"/>
      <c r="AF188" s="10"/>
      <c r="AG188" s="10"/>
      <c r="AH188" s="10"/>
      <c r="AI188" s="10"/>
      <c r="AJ188" s="10"/>
      <c r="AK188" s="10"/>
      <c r="AL188" s="10"/>
      <c r="AM188" s="10"/>
      <c r="AN188" s="10"/>
      <c r="AO188" s="10"/>
      <c r="AR188" s="10"/>
      <c r="AS188" s="10"/>
      <c r="AU188" s="10"/>
      <c r="AV188" s="10"/>
      <c r="AW188" s="143"/>
      <c r="BA188" s="10"/>
      <c r="BD188" s="10"/>
      <c r="BE188" s="10"/>
      <c r="BF188" s="10"/>
      <c r="BG188" s="10"/>
      <c r="BH188" s="10"/>
      <c r="BI188" s="10"/>
      <c r="BJ188" s="10"/>
      <c r="BK188" s="10"/>
      <c r="BS188" s="10"/>
      <c r="BT188" s="10"/>
      <c r="BV188" s="10"/>
      <c r="BW188" s="10"/>
    </row>
    <row r="189">
      <c r="A189" s="10"/>
      <c r="B189" s="10"/>
      <c r="C189" s="10"/>
      <c r="D189" s="10"/>
      <c r="E189" s="10"/>
      <c r="F189" s="10"/>
      <c r="G189" s="10"/>
      <c r="H189" s="10"/>
      <c r="I189" s="10"/>
      <c r="K189" s="10"/>
      <c r="L189" s="10"/>
      <c r="P189" s="10"/>
      <c r="Q189" s="10"/>
      <c r="R189" s="10"/>
      <c r="S189" s="10"/>
      <c r="U189" s="10"/>
      <c r="V189" s="10"/>
      <c r="W189" s="10"/>
      <c r="X189" s="10"/>
      <c r="Y189" s="10"/>
      <c r="Z189" s="10"/>
      <c r="AA189" s="10"/>
      <c r="AB189" s="10"/>
      <c r="AC189" s="10"/>
      <c r="AD189" s="10"/>
      <c r="AE189" s="10"/>
      <c r="AF189" s="10"/>
      <c r="AG189" s="10"/>
      <c r="AH189" s="10"/>
      <c r="AI189" s="10"/>
      <c r="AJ189" s="10"/>
      <c r="AK189" s="10"/>
      <c r="AL189" s="10"/>
      <c r="AM189" s="10"/>
      <c r="AN189" s="10"/>
      <c r="AO189" s="10"/>
      <c r="AR189" s="10"/>
      <c r="AS189" s="10"/>
      <c r="AU189" s="10"/>
      <c r="AV189" s="10"/>
      <c r="AW189" s="143"/>
      <c r="BA189" s="10"/>
      <c r="BD189" s="10"/>
      <c r="BE189" s="10"/>
      <c r="BF189" s="10"/>
      <c r="BG189" s="10"/>
      <c r="BH189" s="10"/>
      <c r="BI189" s="10"/>
      <c r="BJ189" s="10"/>
      <c r="BK189" s="10"/>
      <c r="BT189" s="10"/>
      <c r="BV189" s="10"/>
      <c r="BW189" s="10"/>
    </row>
    <row r="190">
      <c r="A190" s="10"/>
      <c r="B190" s="10"/>
      <c r="C190" s="10"/>
      <c r="D190" s="10"/>
      <c r="E190" s="10"/>
      <c r="F190" s="10"/>
      <c r="G190" s="10"/>
      <c r="H190" s="10"/>
      <c r="I190" s="10"/>
      <c r="K190" s="10"/>
      <c r="L190" s="10"/>
      <c r="P190" s="10"/>
      <c r="U190" s="10"/>
      <c r="V190" s="10"/>
      <c r="W190" s="10"/>
      <c r="X190" s="10"/>
      <c r="Y190" s="10"/>
      <c r="Z190" s="10"/>
      <c r="AA190" s="10"/>
      <c r="AB190" s="10"/>
      <c r="AC190" s="10"/>
      <c r="AD190" s="10"/>
      <c r="AE190" s="10"/>
      <c r="AF190" s="10"/>
      <c r="AG190" s="10"/>
      <c r="AH190" s="10"/>
      <c r="AI190" s="10"/>
      <c r="AJ190" s="10"/>
      <c r="AK190" s="10"/>
      <c r="AL190" s="10"/>
      <c r="AM190" s="10"/>
      <c r="AN190" s="10"/>
      <c r="AO190" s="10"/>
      <c r="AR190" s="10"/>
      <c r="AS190" s="10"/>
      <c r="AU190" s="10"/>
      <c r="AV190" s="10"/>
      <c r="AW190" s="143"/>
      <c r="BA190" s="10"/>
      <c r="BD190" s="10"/>
      <c r="BE190" s="10"/>
      <c r="BF190" s="10"/>
      <c r="BG190" s="10"/>
      <c r="BH190" s="10"/>
      <c r="BI190" s="10"/>
      <c r="BJ190" s="10"/>
      <c r="BK190" s="10"/>
      <c r="BS190" s="10"/>
      <c r="BT190" s="10"/>
      <c r="BV190" s="10"/>
      <c r="BW190" s="10"/>
    </row>
    <row r="191">
      <c r="A191" s="10"/>
      <c r="B191" s="10"/>
      <c r="C191" s="10"/>
      <c r="D191" s="10"/>
      <c r="E191" s="10"/>
      <c r="F191" s="10"/>
      <c r="G191" s="10"/>
      <c r="H191" s="10"/>
      <c r="I191" s="10"/>
      <c r="K191" s="10"/>
      <c r="L191" s="10"/>
      <c r="U191" s="10"/>
      <c r="V191" s="10"/>
      <c r="W191" s="10"/>
      <c r="X191" s="10"/>
      <c r="Y191" s="10"/>
      <c r="Z191" s="10"/>
      <c r="AA191" s="10"/>
      <c r="AB191" s="10"/>
      <c r="AC191" s="10"/>
      <c r="AD191" s="10"/>
      <c r="AE191" s="10"/>
      <c r="AF191" s="10"/>
      <c r="AG191" s="10"/>
      <c r="AH191" s="10"/>
      <c r="AI191" s="10"/>
      <c r="AJ191" s="10"/>
      <c r="AK191" s="10"/>
      <c r="AL191" s="10"/>
      <c r="AM191" s="10"/>
      <c r="AN191" s="10"/>
      <c r="AO191" s="10"/>
      <c r="AR191" s="10"/>
      <c r="AS191" s="10"/>
      <c r="AU191" s="10"/>
      <c r="AV191" s="10"/>
      <c r="AW191" s="143"/>
      <c r="AZ191" s="10"/>
      <c r="BA191" s="10"/>
      <c r="BD191" s="10"/>
      <c r="BE191" s="10"/>
      <c r="BF191" s="10"/>
      <c r="BG191" s="10"/>
      <c r="BH191" s="10"/>
      <c r="BI191" s="10"/>
      <c r="BJ191" s="10"/>
      <c r="BK191" s="10"/>
      <c r="BS191" s="10"/>
      <c r="BT191" s="10"/>
      <c r="BV191" s="10"/>
      <c r="BW191" s="10"/>
    </row>
    <row r="192">
      <c r="A192" s="10"/>
      <c r="B192" s="10"/>
      <c r="C192" s="10"/>
      <c r="D192" s="10"/>
      <c r="E192" s="10"/>
      <c r="F192" s="10"/>
      <c r="G192" s="10"/>
      <c r="H192" s="10"/>
      <c r="I192" s="10"/>
      <c r="K192" s="10"/>
      <c r="L192" s="10"/>
      <c r="N192" s="10"/>
      <c r="U192" s="10"/>
      <c r="V192" s="10"/>
      <c r="W192" s="10"/>
      <c r="X192" s="10"/>
      <c r="Y192" s="10"/>
      <c r="Z192" s="10"/>
      <c r="AA192" s="10"/>
      <c r="AB192" s="10"/>
      <c r="AC192" s="10"/>
      <c r="AD192" s="10"/>
      <c r="AE192" s="10"/>
      <c r="AF192" s="10"/>
      <c r="AG192" s="10"/>
      <c r="AH192" s="10"/>
      <c r="AI192" s="10"/>
      <c r="AJ192" s="10"/>
      <c r="AK192" s="10"/>
      <c r="AL192" s="10"/>
      <c r="AM192" s="10"/>
      <c r="AN192" s="10"/>
      <c r="AO192" s="10"/>
      <c r="AR192" s="10"/>
      <c r="AS192" s="10"/>
      <c r="AU192" s="10"/>
      <c r="AV192" s="10"/>
      <c r="AW192" s="143"/>
      <c r="BA192" s="10"/>
      <c r="BD192" s="10"/>
      <c r="BE192" s="10"/>
      <c r="BF192" s="10"/>
      <c r="BG192" s="10"/>
      <c r="BH192" s="10"/>
      <c r="BI192" s="10"/>
      <c r="BJ192" s="10"/>
      <c r="BK192" s="10"/>
      <c r="BS192" s="10"/>
      <c r="BT192" s="10"/>
      <c r="BV192" s="10"/>
      <c r="BW192" s="10"/>
    </row>
    <row r="193">
      <c r="A193" s="10"/>
      <c r="B193" s="10"/>
      <c r="C193" s="10"/>
      <c r="D193" s="10"/>
      <c r="E193" s="10"/>
      <c r="F193" s="10"/>
      <c r="G193" s="10"/>
      <c r="H193" s="10"/>
      <c r="I193" s="10"/>
      <c r="K193" s="10"/>
      <c r="L193" s="10"/>
      <c r="N193" s="10"/>
      <c r="P193" s="10"/>
      <c r="U193" s="10"/>
      <c r="V193" s="10"/>
      <c r="W193" s="10"/>
      <c r="X193" s="10"/>
      <c r="Y193" s="10"/>
      <c r="Z193" s="10"/>
      <c r="AA193" s="10"/>
      <c r="AB193" s="10"/>
      <c r="AC193" s="10"/>
      <c r="AD193" s="10"/>
      <c r="AE193" s="10"/>
      <c r="AF193" s="10"/>
      <c r="AG193" s="10"/>
      <c r="AH193" s="10"/>
      <c r="AI193" s="10"/>
      <c r="AJ193" s="10"/>
      <c r="AK193" s="10"/>
      <c r="AL193" s="10"/>
      <c r="AM193" s="10"/>
      <c r="AN193" s="10"/>
      <c r="AO193" s="10"/>
      <c r="AR193" s="10"/>
      <c r="AS193" s="10"/>
      <c r="AU193" s="10"/>
      <c r="AV193" s="10"/>
      <c r="AW193" s="143"/>
      <c r="BA193" s="10"/>
      <c r="BD193" s="10"/>
      <c r="BE193" s="10"/>
      <c r="BF193" s="10"/>
      <c r="BG193" s="10"/>
      <c r="BH193" s="10"/>
      <c r="BI193" s="10"/>
      <c r="BJ193" s="10"/>
      <c r="BK193" s="10"/>
      <c r="BS193" s="10"/>
      <c r="BT193" s="10"/>
      <c r="BV193" s="10"/>
      <c r="BW193" s="10"/>
    </row>
    <row r="194">
      <c r="A194" s="10"/>
      <c r="B194" s="10"/>
      <c r="C194" s="10"/>
      <c r="D194" s="10"/>
      <c r="E194" s="10"/>
      <c r="F194" s="10"/>
      <c r="G194" s="10"/>
      <c r="H194" s="10"/>
      <c r="I194" s="10"/>
      <c r="K194" s="10"/>
      <c r="L194" s="10"/>
      <c r="N194" s="10"/>
      <c r="P194" s="10"/>
      <c r="U194" s="10"/>
      <c r="V194" s="10"/>
      <c r="W194" s="10"/>
      <c r="X194" s="10"/>
      <c r="Y194" s="10"/>
      <c r="Z194" s="10"/>
      <c r="AA194" s="10"/>
      <c r="AB194" s="10"/>
      <c r="AC194" s="10"/>
      <c r="AD194" s="10"/>
      <c r="AE194" s="10"/>
      <c r="AF194" s="10"/>
      <c r="AG194" s="10"/>
      <c r="AH194" s="10"/>
      <c r="AI194" s="10"/>
      <c r="AJ194" s="10"/>
      <c r="AK194" s="10"/>
      <c r="AL194" s="10"/>
      <c r="AM194" s="10"/>
      <c r="AN194" s="10"/>
      <c r="AO194" s="10"/>
      <c r="AR194" s="10"/>
      <c r="AS194" s="10"/>
      <c r="AU194" s="10"/>
      <c r="AV194" s="10"/>
      <c r="AW194" s="143"/>
      <c r="BA194" s="10"/>
      <c r="BD194" s="10"/>
      <c r="BE194" s="10"/>
      <c r="BF194" s="10"/>
      <c r="BG194" s="10"/>
      <c r="BH194" s="10"/>
      <c r="BI194" s="10"/>
      <c r="BJ194" s="10"/>
      <c r="BK194" s="10"/>
      <c r="BS194" s="10"/>
      <c r="BT194" s="10"/>
      <c r="BV194" s="10"/>
      <c r="BW194" s="10"/>
    </row>
    <row r="195">
      <c r="A195" s="10"/>
      <c r="B195" s="10"/>
      <c r="C195" s="10"/>
      <c r="D195" s="10"/>
      <c r="E195" s="10"/>
      <c r="F195" s="10"/>
      <c r="G195" s="10"/>
      <c r="H195" s="10"/>
      <c r="I195" s="10"/>
      <c r="K195" s="10"/>
      <c r="L195" s="10"/>
      <c r="N195" s="10"/>
      <c r="U195" s="10"/>
      <c r="V195" s="10"/>
      <c r="W195" s="10"/>
      <c r="X195" s="10"/>
      <c r="Y195" s="10"/>
      <c r="Z195" s="10"/>
      <c r="AA195" s="10"/>
      <c r="AB195" s="10"/>
      <c r="AC195" s="10"/>
      <c r="AD195" s="10"/>
      <c r="AE195" s="10"/>
      <c r="AF195" s="10"/>
      <c r="AG195" s="10"/>
      <c r="AH195" s="10"/>
      <c r="AI195" s="10"/>
      <c r="AJ195" s="10"/>
      <c r="AK195" s="10"/>
      <c r="AL195" s="10"/>
      <c r="AM195" s="10"/>
      <c r="AN195" s="10"/>
      <c r="AO195" s="10"/>
      <c r="AR195" s="10"/>
      <c r="AS195" s="10"/>
      <c r="AU195" s="10"/>
      <c r="AV195" s="10"/>
      <c r="AW195" s="143"/>
      <c r="BA195" s="10"/>
      <c r="BD195" s="10"/>
      <c r="BE195" s="10"/>
      <c r="BF195" s="10"/>
      <c r="BG195" s="10"/>
      <c r="BH195" s="10"/>
      <c r="BI195" s="10"/>
      <c r="BJ195" s="10"/>
      <c r="BK195" s="10"/>
      <c r="BS195" s="10"/>
      <c r="BT195" s="10"/>
      <c r="BV195" s="10"/>
      <c r="BW195" s="10"/>
    </row>
    <row r="196">
      <c r="A196" s="10"/>
      <c r="B196" s="10"/>
      <c r="C196" s="10"/>
      <c r="D196" s="10"/>
      <c r="E196" s="10"/>
      <c r="F196" s="10"/>
      <c r="G196" s="10"/>
      <c r="H196" s="10"/>
      <c r="K196" s="10"/>
      <c r="L196" s="10"/>
      <c r="P196" s="10"/>
      <c r="Q196" s="10"/>
      <c r="R196" s="10"/>
      <c r="S196" s="10"/>
      <c r="V196" s="10"/>
      <c r="W196" s="10"/>
      <c r="Y196" s="10"/>
      <c r="Z196" s="10"/>
      <c r="AA196" s="10"/>
      <c r="AB196" s="10"/>
      <c r="AC196" s="10"/>
      <c r="AD196" s="10"/>
      <c r="AE196" s="10"/>
      <c r="AF196" s="10"/>
      <c r="AG196" s="10"/>
      <c r="AH196" s="10"/>
      <c r="AI196" s="10"/>
      <c r="AJ196" s="10"/>
      <c r="AK196" s="10"/>
      <c r="AL196" s="10"/>
      <c r="AM196" s="10"/>
      <c r="AN196" s="10"/>
      <c r="AO196" s="10"/>
      <c r="AW196" s="143"/>
      <c r="BA196" s="10"/>
      <c r="BD196" s="10"/>
      <c r="BE196" s="10"/>
      <c r="BF196" s="10"/>
      <c r="BG196" s="10"/>
      <c r="BH196" s="10"/>
      <c r="BI196" s="10"/>
      <c r="BJ196" s="10"/>
      <c r="BK196" s="10"/>
      <c r="BM196" s="10"/>
      <c r="BN196" s="10"/>
      <c r="BO196" s="10"/>
      <c r="BP196" s="10"/>
      <c r="BQ196" s="10"/>
      <c r="BR196" s="10"/>
      <c r="BS196" s="10"/>
      <c r="BT196" s="10"/>
      <c r="BV196" s="10"/>
      <c r="BW196" s="10"/>
    </row>
    <row r="197">
      <c r="A197" s="10"/>
      <c r="B197" s="10"/>
      <c r="C197" s="10"/>
      <c r="D197" s="10"/>
      <c r="E197" s="10"/>
      <c r="F197" s="10"/>
      <c r="G197" s="10"/>
      <c r="H197" s="10"/>
      <c r="K197" s="10"/>
      <c r="L197" s="10"/>
      <c r="U197" s="10"/>
      <c r="V197" s="10"/>
      <c r="W197" s="10"/>
      <c r="Y197" s="10"/>
      <c r="Z197" s="10"/>
      <c r="AA197" s="10"/>
      <c r="AB197" s="10"/>
      <c r="AC197" s="10"/>
      <c r="AD197" s="10"/>
      <c r="AE197" s="10"/>
      <c r="AF197" s="10"/>
      <c r="AG197" s="10"/>
      <c r="AH197" s="10"/>
      <c r="AI197" s="10"/>
      <c r="AJ197" s="10"/>
      <c r="AK197" s="10"/>
      <c r="AL197" s="10"/>
      <c r="AM197" s="10"/>
      <c r="AN197" s="10"/>
      <c r="AO197" s="10"/>
      <c r="AW197" s="143"/>
      <c r="BA197" s="10"/>
      <c r="BD197" s="10"/>
      <c r="BE197" s="10"/>
      <c r="BF197" s="10"/>
      <c r="BG197" s="10"/>
      <c r="BH197" s="10"/>
      <c r="BI197" s="10"/>
      <c r="BJ197" s="10"/>
      <c r="BK197" s="10"/>
      <c r="BS197" s="10"/>
      <c r="BT197" s="10"/>
      <c r="BV197" s="10"/>
      <c r="BW197" s="10"/>
    </row>
    <row r="198">
      <c r="A198" s="10"/>
      <c r="B198" s="10"/>
      <c r="C198" s="10"/>
      <c r="D198" s="10"/>
      <c r="E198" s="10"/>
      <c r="F198" s="10"/>
      <c r="G198" s="10"/>
      <c r="H198" s="10"/>
      <c r="J198" s="10"/>
      <c r="K198" s="10"/>
      <c r="L198" s="10"/>
      <c r="U198" s="10"/>
      <c r="V198" s="10"/>
      <c r="W198" s="10"/>
      <c r="X198" s="10"/>
      <c r="Y198" s="10"/>
      <c r="Z198" s="10"/>
      <c r="AA198" s="10"/>
      <c r="AB198" s="10"/>
      <c r="AC198" s="10"/>
      <c r="AD198" s="10"/>
      <c r="AE198" s="10"/>
      <c r="AF198" s="10"/>
      <c r="AG198" s="10"/>
      <c r="AH198" s="10"/>
      <c r="AI198" s="10"/>
      <c r="AJ198" s="10"/>
      <c r="AK198" s="10"/>
      <c r="AL198" s="10"/>
      <c r="AM198" s="10"/>
      <c r="AN198" s="10"/>
      <c r="AO198" s="10"/>
      <c r="AW198" s="143"/>
      <c r="BA198" s="10"/>
      <c r="BD198" s="10"/>
      <c r="BE198" s="10"/>
      <c r="BF198" s="10"/>
      <c r="BG198" s="10"/>
      <c r="BH198" s="10"/>
      <c r="BI198" s="10"/>
      <c r="BJ198" s="10"/>
      <c r="BK198" s="10"/>
      <c r="BS198" s="10"/>
      <c r="BT198" s="10"/>
      <c r="BV198" s="10"/>
      <c r="BW198" s="10"/>
    </row>
    <row r="199">
      <c r="A199" s="10"/>
      <c r="B199" s="10"/>
      <c r="C199" s="10"/>
      <c r="D199" s="10"/>
      <c r="E199" s="10"/>
      <c r="F199" s="10"/>
      <c r="G199" s="10"/>
      <c r="H199" s="10"/>
      <c r="K199" s="10"/>
      <c r="L199" s="10"/>
      <c r="P199" s="10"/>
      <c r="U199" s="10"/>
      <c r="V199" s="10"/>
      <c r="W199" s="10"/>
      <c r="Y199" s="10"/>
      <c r="Z199" s="10"/>
      <c r="AA199" s="10"/>
      <c r="AB199" s="10"/>
      <c r="AC199" s="10"/>
      <c r="AD199" s="10"/>
      <c r="AE199" s="10"/>
      <c r="AF199" s="10"/>
      <c r="AG199" s="10"/>
      <c r="AH199" s="10"/>
      <c r="AI199" s="10"/>
      <c r="AJ199" s="10"/>
      <c r="AK199" s="10"/>
      <c r="AL199" s="10"/>
      <c r="AM199" s="10"/>
      <c r="AN199" s="10"/>
      <c r="AO199" s="10"/>
      <c r="AW199" s="143"/>
      <c r="BA199" s="10"/>
      <c r="BD199" s="10"/>
      <c r="BE199" s="10"/>
      <c r="BF199" s="10"/>
      <c r="BG199" s="10"/>
      <c r="BH199" s="10"/>
      <c r="BI199" s="10"/>
      <c r="BJ199" s="10"/>
      <c r="BK199" s="10"/>
      <c r="BS199" s="10"/>
      <c r="BT199" s="10"/>
      <c r="BV199" s="10"/>
      <c r="BW199" s="10"/>
    </row>
    <row r="200">
      <c r="A200" s="10"/>
      <c r="B200" s="10"/>
      <c r="C200" s="10"/>
      <c r="D200" s="10"/>
      <c r="E200" s="10"/>
      <c r="F200" s="10"/>
      <c r="G200" s="10"/>
      <c r="H200" s="10"/>
      <c r="K200" s="10"/>
      <c r="L200" s="10"/>
      <c r="U200" s="10"/>
      <c r="V200" s="10"/>
      <c r="W200" s="10"/>
      <c r="Y200" s="10"/>
      <c r="Z200" s="10"/>
      <c r="AA200" s="10"/>
      <c r="AB200" s="10"/>
      <c r="AC200" s="10"/>
      <c r="AD200" s="10"/>
      <c r="AE200" s="10"/>
      <c r="AF200" s="10"/>
      <c r="AG200" s="10"/>
      <c r="AH200" s="10"/>
      <c r="AI200" s="10"/>
      <c r="AJ200" s="10"/>
      <c r="AK200" s="10"/>
      <c r="AL200" s="10"/>
      <c r="AM200" s="10"/>
      <c r="AN200" s="10"/>
      <c r="AO200" s="10"/>
      <c r="AW200" s="143"/>
      <c r="BA200" s="10"/>
      <c r="BD200" s="10"/>
      <c r="BE200" s="10"/>
      <c r="BF200" s="10"/>
      <c r="BG200" s="10"/>
      <c r="BH200" s="10"/>
      <c r="BI200" s="10"/>
      <c r="BJ200" s="10"/>
      <c r="BK200" s="10"/>
      <c r="BS200" s="10"/>
      <c r="BT200" s="10"/>
      <c r="BV200" s="10"/>
      <c r="BW200" s="10"/>
    </row>
    <row r="201">
      <c r="A201" s="10"/>
      <c r="B201" s="10"/>
      <c r="C201" s="10"/>
      <c r="D201" s="10"/>
      <c r="E201" s="10"/>
      <c r="F201" s="10"/>
      <c r="G201" s="10"/>
      <c r="H201" s="10"/>
      <c r="I201" s="10"/>
      <c r="K201" s="10"/>
      <c r="L201" s="10"/>
      <c r="P201" s="10"/>
      <c r="Q201" s="10"/>
      <c r="R201" s="10"/>
      <c r="S201" s="10"/>
      <c r="T201" s="10"/>
      <c r="U201" s="10"/>
      <c r="V201" s="10"/>
      <c r="W201" s="10"/>
      <c r="Y201" s="10"/>
      <c r="Z201" s="10"/>
      <c r="AA201" s="10"/>
      <c r="AB201" s="10"/>
      <c r="AC201" s="10"/>
      <c r="AD201" s="10"/>
      <c r="AE201" s="10"/>
      <c r="AF201" s="10"/>
      <c r="AG201" s="10"/>
      <c r="AH201" s="10"/>
      <c r="AI201" s="10"/>
      <c r="AJ201" s="10"/>
      <c r="AK201" s="10"/>
      <c r="AL201" s="10"/>
      <c r="AM201" s="10"/>
      <c r="AN201" s="10"/>
      <c r="AO201" s="10"/>
      <c r="AR201" s="10"/>
      <c r="AS201" s="10"/>
      <c r="AU201" s="10"/>
      <c r="AV201" s="10"/>
      <c r="AW201" s="143"/>
      <c r="BD201" s="10"/>
      <c r="BE201" s="10"/>
      <c r="BF201" s="10"/>
      <c r="BG201" s="10"/>
      <c r="BH201" s="10"/>
      <c r="BI201" s="10"/>
      <c r="BJ201" s="10"/>
      <c r="BK201" s="10"/>
      <c r="BL201" s="10"/>
      <c r="BM201" s="10"/>
      <c r="BN201" s="10"/>
      <c r="BO201" s="10"/>
      <c r="BP201" s="10"/>
      <c r="BQ201" s="10"/>
      <c r="BR201" s="10"/>
      <c r="BS201" s="10"/>
      <c r="BT201" s="10"/>
      <c r="BV201" s="10"/>
      <c r="BW201" s="10"/>
    </row>
    <row r="202">
      <c r="A202" s="10"/>
      <c r="B202" s="10"/>
      <c r="C202" s="10"/>
      <c r="D202" s="10"/>
      <c r="E202" s="10"/>
      <c r="F202" s="10"/>
      <c r="G202" s="10"/>
      <c r="H202" s="10"/>
      <c r="K202" s="10"/>
      <c r="L202" s="10"/>
      <c r="U202" s="10"/>
      <c r="V202" s="10"/>
      <c r="W202" s="10"/>
      <c r="X202" s="10"/>
      <c r="Y202" s="10"/>
      <c r="Z202" s="10"/>
      <c r="AA202" s="10"/>
      <c r="AB202" s="10"/>
      <c r="AC202" s="10"/>
      <c r="AD202" s="10"/>
      <c r="AE202" s="10"/>
      <c r="AF202" s="10"/>
      <c r="AG202" s="10"/>
      <c r="AH202" s="10"/>
      <c r="AI202" s="10"/>
      <c r="AJ202" s="10"/>
      <c r="AK202" s="10"/>
      <c r="AL202" s="10"/>
      <c r="AM202" s="10"/>
      <c r="AN202" s="10"/>
      <c r="AO202" s="10"/>
      <c r="AW202" s="143"/>
      <c r="BA202" s="10"/>
      <c r="BD202" s="10"/>
      <c r="BE202" s="10"/>
      <c r="BF202" s="10"/>
      <c r="BG202" s="10"/>
      <c r="BH202" s="10"/>
      <c r="BI202" s="10"/>
      <c r="BJ202" s="10"/>
      <c r="BK202" s="10"/>
      <c r="BL202" s="10"/>
      <c r="BO202" s="10"/>
      <c r="BR202" s="10"/>
      <c r="BT202" s="10"/>
      <c r="BV202" s="10"/>
      <c r="BW202" s="10"/>
    </row>
    <row r="203">
      <c r="A203" s="10"/>
      <c r="B203" s="10"/>
      <c r="C203" s="10"/>
      <c r="D203" s="10"/>
      <c r="E203" s="10"/>
      <c r="F203" s="10"/>
      <c r="G203" s="10"/>
      <c r="H203" s="10"/>
      <c r="K203" s="10"/>
      <c r="L203" s="10"/>
      <c r="U203" s="10"/>
      <c r="V203" s="10"/>
      <c r="W203" s="10"/>
      <c r="X203" s="10"/>
      <c r="Y203" s="10"/>
      <c r="Z203" s="10"/>
      <c r="AA203" s="10"/>
      <c r="AB203" s="10"/>
      <c r="AC203" s="10"/>
      <c r="AD203" s="10"/>
      <c r="AE203" s="10"/>
      <c r="AF203" s="10"/>
      <c r="AG203" s="10"/>
      <c r="AH203" s="10"/>
      <c r="AI203" s="10"/>
      <c r="AJ203" s="10"/>
      <c r="AK203" s="10"/>
      <c r="AL203" s="10"/>
      <c r="AM203" s="10"/>
      <c r="AN203" s="10"/>
      <c r="AO203" s="10"/>
      <c r="AW203" s="143"/>
      <c r="BA203" s="10"/>
      <c r="BD203" s="10"/>
      <c r="BE203" s="10"/>
      <c r="BF203" s="10"/>
      <c r="BG203" s="10"/>
      <c r="BH203" s="10"/>
      <c r="BI203" s="10"/>
      <c r="BJ203" s="10"/>
      <c r="BK203" s="10"/>
      <c r="BL203" s="10"/>
      <c r="BT203" s="10"/>
      <c r="BV203" s="10"/>
      <c r="BW203" s="10"/>
    </row>
    <row r="204">
      <c r="A204" s="10"/>
      <c r="B204" s="10"/>
      <c r="C204" s="10"/>
      <c r="D204" s="10"/>
      <c r="E204" s="10"/>
      <c r="F204" s="10"/>
      <c r="G204" s="10"/>
      <c r="H204" s="10"/>
      <c r="K204" s="10"/>
      <c r="L204" s="10"/>
      <c r="Q204" s="10"/>
      <c r="R204" s="10"/>
      <c r="S204" s="10"/>
      <c r="U204" s="10"/>
      <c r="V204" s="10"/>
      <c r="W204" s="10"/>
      <c r="X204" s="10"/>
      <c r="Y204" s="10"/>
      <c r="Z204" s="10"/>
      <c r="AA204" s="10"/>
      <c r="AB204" s="10"/>
      <c r="AC204" s="10"/>
      <c r="AD204" s="10"/>
      <c r="AE204" s="10"/>
      <c r="AF204" s="10"/>
      <c r="AG204" s="10"/>
      <c r="AH204" s="10"/>
      <c r="AI204" s="10"/>
      <c r="AJ204" s="10"/>
      <c r="AK204" s="10"/>
      <c r="AL204" s="10"/>
      <c r="AM204" s="10"/>
      <c r="AN204" s="10"/>
      <c r="AO204" s="10"/>
      <c r="AW204" s="143"/>
      <c r="BA204" s="10"/>
      <c r="BD204" s="10"/>
      <c r="BE204" s="10"/>
      <c r="BF204" s="10"/>
      <c r="BG204" s="10"/>
      <c r="BH204" s="10"/>
      <c r="BI204" s="10"/>
      <c r="BJ204" s="10"/>
      <c r="BK204" s="10"/>
      <c r="BL204" s="10"/>
      <c r="BM204" s="10"/>
      <c r="BN204" s="10"/>
      <c r="BO204" s="10"/>
      <c r="BP204" s="10"/>
      <c r="BQ204" s="10"/>
      <c r="BR204" s="10"/>
      <c r="BS204" s="10"/>
      <c r="BT204" s="10"/>
      <c r="BV204" s="10"/>
      <c r="BW204" s="10"/>
    </row>
    <row r="205">
      <c r="A205" s="10"/>
      <c r="B205" s="10"/>
      <c r="C205" s="10"/>
      <c r="D205" s="10"/>
      <c r="E205" s="10"/>
      <c r="F205" s="10"/>
      <c r="G205" s="10"/>
      <c r="H205" s="10"/>
      <c r="I205" s="10"/>
      <c r="K205" s="10"/>
      <c r="L205" s="10"/>
      <c r="O205" s="10"/>
      <c r="P205" s="10"/>
      <c r="T205" s="10"/>
      <c r="U205" s="10"/>
      <c r="V205" s="10"/>
      <c r="W205" s="10"/>
      <c r="Y205" s="10"/>
      <c r="Z205" s="10"/>
      <c r="AA205" s="10"/>
      <c r="AB205" s="10"/>
      <c r="AC205" s="10"/>
      <c r="AD205" s="10"/>
      <c r="AE205" s="10"/>
      <c r="AF205" s="10"/>
      <c r="AG205" s="10"/>
      <c r="AH205" s="10"/>
      <c r="AI205" s="10"/>
      <c r="AJ205" s="10"/>
      <c r="AK205" s="10"/>
      <c r="AL205" s="10"/>
      <c r="AM205" s="10"/>
      <c r="AN205" s="10"/>
      <c r="AO205" s="10"/>
      <c r="AR205" s="10"/>
      <c r="AS205" s="10"/>
      <c r="AU205" s="10"/>
      <c r="AV205" s="10"/>
      <c r="AW205" s="143"/>
      <c r="BD205" s="10"/>
      <c r="BE205" s="10"/>
      <c r="BF205" s="10"/>
      <c r="BG205" s="10"/>
      <c r="BH205" s="10"/>
      <c r="BI205" s="10"/>
      <c r="BJ205" s="10"/>
      <c r="BK205" s="10"/>
      <c r="BS205" s="10"/>
      <c r="BT205" s="10"/>
      <c r="BV205" s="10"/>
      <c r="BW205" s="10"/>
    </row>
    <row r="206">
      <c r="A206" s="10"/>
      <c r="B206" s="10"/>
      <c r="C206" s="10"/>
      <c r="D206" s="10"/>
      <c r="E206" s="10"/>
      <c r="F206" s="10"/>
      <c r="G206" s="10"/>
      <c r="H206" s="10"/>
      <c r="I206" s="10"/>
      <c r="K206" s="10"/>
      <c r="L206" s="10"/>
      <c r="P206" s="10"/>
      <c r="T206" s="10"/>
      <c r="U206" s="10"/>
      <c r="V206" s="10"/>
      <c r="W206" s="10"/>
      <c r="Y206" s="10"/>
      <c r="Z206" s="10"/>
      <c r="AA206" s="10"/>
      <c r="AB206" s="10"/>
      <c r="AC206" s="10"/>
      <c r="AD206" s="10"/>
      <c r="AE206" s="10"/>
      <c r="AF206" s="10"/>
      <c r="AG206" s="10"/>
      <c r="AH206" s="10"/>
      <c r="AI206" s="10"/>
      <c r="AJ206" s="10"/>
      <c r="AK206" s="10"/>
      <c r="AL206" s="10"/>
      <c r="AM206" s="10"/>
      <c r="AN206" s="10"/>
      <c r="AO206" s="10"/>
      <c r="AR206" s="10"/>
      <c r="AS206" s="10"/>
      <c r="AU206" s="10"/>
      <c r="AV206" s="10"/>
      <c r="AW206" s="143"/>
      <c r="BD206" s="10"/>
      <c r="BE206" s="10"/>
      <c r="BF206" s="10"/>
      <c r="BG206" s="10"/>
      <c r="BH206" s="10"/>
      <c r="BI206" s="10"/>
      <c r="BJ206" s="10"/>
      <c r="BK206" s="10"/>
      <c r="BS206" s="10"/>
      <c r="BT206" s="10"/>
      <c r="BV206" s="10"/>
      <c r="BW206" s="10"/>
    </row>
    <row r="207">
      <c r="A207" s="10"/>
      <c r="B207" s="10"/>
      <c r="C207" s="10"/>
      <c r="D207" s="10"/>
      <c r="E207" s="10"/>
      <c r="F207" s="10"/>
      <c r="G207" s="10"/>
      <c r="H207" s="10"/>
      <c r="I207" s="10"/>
      <c r="K207" s="10"/>
      <c r="L207" s="10"/>
      <c r="T207" s="10"/>
      <c r="U207" s="10"/>
      <c r="V207" s="10"/>
      <c r="W207" s="10"/>
      <c r="Y207" s="10"/>
      <c r="Z207" s="10"/>
      <c r="AA207" s="10"/>
      <c r="AB207" s="10"/>
      <c r="AC207" s="10"/>
      <c r="AD207" s="10"/>
      <c r="AE207" s="10"/>
      <c r="AF207" s="10"/>
      <c r="AG207" s="10"/>
      <c r="AH207" s="10"/>
      <c r="AI207" s="10"/>
      <c r="AJ207" s="10"/>
      <c r="AK207" s="10"/>
      <c r="AL207" s="10"/>
      <c r="AM207" s="10"/>
      <c r="AN207" s="10"/>
      <c r="AO207" s="10"/>
      <c r="AR207" s="10"/>
      <c r="AS207" s="10"/>
      <c r="AU207" s="10"/>
      <c r="AV207" s="10"/>
      <c r="AW207" s="143"/>
      <c r="AZ207" s="10"/>
      <c r="BD207" s="10"/>
      <c r="BE207" s="10"/>
      <c r="BF207" s="10"/>
      <c r="BG207" s="10"/>
      <c r="BH207" s="10"/>
      <c r="BI207" s="10"/>
      <c r="BJ207" s="10"/>
      <c r="BK207" s="10"/>
      <c r="BS207" s="10"/>
      <c r="BT207" s="10"/>
      <c r="BV207" s="10"/>
      <c r="BW207" s="10"/>
    </row>
    <row r="208">
      <c r="A208" s="10"/>
      <c r="B208" s="10"/>
      <c r="C208" s="10"/>
      <c r="D208" s="10"/>
      <c r="E208" s="10"/>
      <c r="F208" s="10"/>
      <c r="G208" s="10"/>
      <c r="H208" s="10"/>
      <c r="I208" s="10"/>
      <c r="K208" s="10"/>
      <c r="L208" s="10"/>
      <c r="P208" s="10"/>
      <c r="T208" s="10"/>
      <c r="U208" s="10"/>
      <c r="V208" s="10"/>
      <c r="W208" s="10"/>
      <c r="Y208" s="10"/>
      <c r="Z208" s="10"/>
      <c r="AA208" s="10"/>
      <c r="AB208" s="10"/>
      <c r="AC208" s="10"/>
      <c r="AD208" s="10"/>
      <c r="AE208" s="10"/>
      <c r="AF208" s="10"/>
      <c r="AG208" s="10"/>
      <c r="AH208" s="10"/>
      <c r="AI208" s="10"/>
      <c r="AJ208" s="10"/>
      <c r="AK208" s="10"/>
      <c r="AL208" s="10"/>
      <c r="AM208" s="10"/>
      <c r="AN208" s="10"/>
      <c r="AO208" s="10"/>
      <c r="AR208" s="10"/>
      <c r="AS208" s="10"/>
      <c r="AU208" s="10"/>
      <c r="AV208" s="10"/>
      <c r="AW208" s="143"/>
      <c r="BD208" s="10"/>
      <c r="BE208" s="10"/>
      <c r="BF208" s="10"/>
      <c r="BG208" s="10"/>
      <c r="BH208" s="10"/>
      <c r="BI208" s="10"/>
      <c r="BJ208" s="10"/>
      <c r="BK208" s="10"/>
      <c r="BS208" s="10"/>
      <c r="BT208" s="10"/>
      <c r="BV208" s="10"/>
      <c r="BW208" s="10"/>
    </row>
    <row r="209">
      <c r="A209" s="10"/>
      <c r="B209" s="10"/>
      <c r="C209" s="10"/>
      <c r="D209" s="10"/>
      <c r="E209" s="10"/>
      <c r="F209" s="10"/>
      <c r="G209" s="10"/>
      <c r="H209" s="10"/>
      <c r="I209" s="10"/>
      <c r="K209" s="10"/>
      <c r="L209" s="10"/>
      <c r="P209" s="10"/>
      <c r="T209" s="10"/>
      <c r="U209" s="10"/>
      <c r="V209" s="10"/>
      <c r="W209" s="10"/>
      <c r="Y209" s="10"/>
      <c r="Z209" s="10"/>
      <c r="AA209" s="10"/>
      <c r="AB209" s="10"/>
      <c r="AC209" s="10"/>
      <c r="AD209" s="10"/>
      <c r="AE209" s="10"/>
      <c r="AF209" s="10"/>
      <c r="AG209" s="10"/>
      <c r="AH209" s="10"/>
      <c r="AI209" s="10"/>
      <c r="AJ209" s="10"/>
      <c r="AK209" s="10"/>
      <c r="AL209" s="10"/>
      <c r="AM209" s="10"/>
      <c r="AN209" s="10"/>
      <c r="AO209" s="10"/>
      <c r="AR209" s="10"/>
      <c r="AS209" s="10"/>
      <c r="AU209" s="10"/>
      <c r="AV209" s="10"/>
      <c r="AW209" s="143"/>
      <c r="AZ209" s="10"/>
      <c r="BD209" s="10"/>
      <c r="BE209" s="10"/>
      <c r="BF209" s="10"/>
      <c r="BG209" s="10"/>
      <c r="BH209" s="10"/>
      <c r="BI209" s="10"/>
      <c r="BJ209" s="10"/>
      <c r="BK209" s="10"/>
      <c r="BS209" s="10"/>
      <c r="BT209" s="10"/>
      <c r="BV209" s="10"/>
      <c r="BW209" s="10"/>
    </row>
    <row r="210">
      <c r="A210" s="10"/>
      <c r="B210" s="10"/>
      <c r="C210" s="10"/>
      <c r="D210" s="10"/>
      <c r="E210" s="10"/>
      <c r="F210" s="10"/>
      <c r="G210" s="10"/>
      <c r="H210" s="10"/>
      <c r="I210" s="10"/>
      <c r="K210" s="10"/>
      <c r="L210" s="10"/>
      <c r="P210" s="10"/>
      <c r="T210" s="10"/>
      <c r="U210" s="10"/>
      <c r="V210" s="10"/>
      <c r="W210" s="10"/>
      <c r="Y210" s="10"/>
      <c r="Z210" s="10"/>
      <c r="AA210" s="10"/>
      <c r="AB210" s="10"/>
      <c r="AC210" s="10"/>
      <c r="AD210" s="10"/>
      <c r="AE210" s="10"/>
      <c r="AF210" s="10"/>
      <c r="AG210" s="10"/>
      <c r="AH210" s="10"/>
      <c r="AI210" s="10"/>
      <c r="AJ210" s="10"/>
      <c r="AK210" s="10"/>
      <c r="AL210" s="10"/>
      <c r="AM210" s="10"/>
      <c r="AN210" s="10"/>
      <c r="AO210" s="10"/>
      <c r="AR210" s="10"/>
      <c r="AS210" s="10"/>
      <c r="AU210" s="10"/>
      <c r="AV210" s="10"/>
      <c r="AW210" s="143"/>
      <c r="BD210" s="10"/>
      <c r="BE210" s="10"/>
      <c r="BF210" s="10"/>
      <c r="BG210" s="10"/>
      <c r="BH210" s="10"/>
      <c r="BI210" s="10"/>
      <c r="BJ210" s="10"/>
      <c r="BK210" s="10"/>
      <c r="BS210" s="10"/>
      <c r="BT210" s="10"/>
      <c r="BV210" s="10"/>
      <c r="BW210" s="10"/>
    </row>
    <row r="211">
      <c r="A211" s="10"/>
      <c r="B211" s="10"/>
      <c r="C211" s="10"/>
      <c r="D211" s="10"/>
      <c r="E211" s="10"/>
      <c r="F211" s="10"/>
      <c r="G211" s="10"/>
      <c r="H211" s="10"/>
      <c r="I211" s="10"/>
      <c r="J211" s="10"/>
      <c r="K211" s="10"/>
      <c r="L211" s="10"/>
      <c r="P211" s="10"/>
      <c r="Q211" s="10"/>
      <c r="R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U211" s="10"/>
      <c r="AV211" s="10"/>
      <c r="AW211" s="143"/>
      <c r="BD211" s="10"/>
      <c r="BE211" s="10"/>
      <c r="BF211" s="10"/>
      <c r="BG211" s="10"/>
      <c r="BH211" s="10"/>
      <c r="BI211" s="10"/>
      <c r="BJ211" s="10"/>
      <c r="BK211" s="10"/>
      <c r="BL211" s="10"/>
      <c r="BM211" s="10"/>
      <c r="BN211" s="10"/>
      <c r="BO211" s="10"/>
      <c r="BR211" s="10"/>
      <c r="BS211" s="10"/>
      <c r="BT211" s="10"/>
      <c r="BV211" s="10"/>
      <c r="BW211" s="10"/>
    </row>
    <row r="212">
      <c r="A212" s="10"/>
      <c r="B212" s="10"/>
      <c r="C212" s="10"/>
      <c r="D212" s="10"/>
      <c r="E212" s="10"/>
      <c r="F212" s="10"/>
      <c r="G212" s="10"/>
      <c r="H212" s="10"/>
      <c r="I212" s="10"/>
      <c r="J212" s="10"/>
      <c r="K212" s="10"/>
      <c r="L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U212" s="10"/>
      <c r="AV212" s="10"/>
      <c r="AW212" s="143"/>
      <c r="BD212" s="10"/>
      <c r="BE212" s="10"/>
      <c r="BF212" s="10"/>
      <c r="BG212" s="10"/>
      <c r="BH212" s="10"/>
      <c r="BI212" s="10"/>
      <c r="BJ212" s="10"/>
      <c r="BK212" s="10"/>
      <c r="BS212" s="10"/>
      <c r="BT212" s="10"/>
      <c r="BV212" s="10"/>
      <c r="BW212" s="10"/>
    </row>
    <row r="213">
      <c r="A213" s="10"/>
      <c r="B213" s="10"/>
      <c r="C213" s="10"/>
      <c r="D213" s="10"/>
      <c r="E213" s="10"/>
      <c r="F213" s="10"/>
      <c r="G213" s="10"/>
      <c r="H213" s="10"/>
      <c r="I213" s="10"/>
      <c r="J213" s="10"/>
      <c r="K213" s="10"/>
      <c r="L213" s="10"/>
      <c r="N213" s="10"/>
      <c r="O213" s="10"/>
      <c r="P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U213" s="10"/>
      <c r="AV213" s="10"/>
      <c r="AW213" s="143"/>
      <c r="BD213" s="10"/>
      <c r="BE213" s="10"/>
      <c r="BF213" s="10"/>
      <c r="BG213" s="10"/>
      <c r="BH213" s="10"/>
      <c r="BI213" s="10"/>
      <c r="BJ213" s="10"/>
      <c r="BK213" s="10"/>
      <c r="BS213" s="10"/>
      <c r="BT213" s="10"/>
      <c r="BV213" s="10"/>
      <c r="BW213" s="10"/>
    </row>
    <row r="214">
      <c r="A214" s="10"/>
      <c r="B214" s="10"/>
      <c r="C214" s="10"/>
      <c r="D214" s="10"/>
      <c r="E214" s="10"/>
      <c r="F214" s="10"/>
      <c r="G214" s="10"/>
      <c r="H214" s="10"/>
      <c r="I214" s="10"/>
      <c r="J214" s="10"/>
      <c r="K214" s="10"/>
      <c r="L214" s="10"/>
      <c r="P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W214" s="143"/>
      <c r="BD214" s="10"/>
      <c r="BE214" s="10"/>
      <c r="BF214" s="10"/>
      <c r="BG214" s="10"/>
      <c r="BH214" s="10"/>
      <c r="BI214" s="10"/>
      <c r="BJ214" s="10"/>
      <c r="BK214" s="10"/>
      <c r="BL214" s="10"/>
      <c r="BM214" s="10"/>
      <c r="BN214" s="10"/>
      <c r="BO214" s="10"/>
      <c r="BP214" s="10"/>
      <c r="BQ214" s="10"/>
      <c r="BR214" s="10"/>
      <c r="BS214" s="10"/>
      <c r="BT214" s="10"/>
      <c r="BV214" s="10"/>
      <c r="BW214" s="10"/>
    </row>
    <row r="215">
      <c r="A215" s="10"/>
      <c r="B215" s="10"/>
      <c r="C215" s="10"/>
      <c r="D215" s="10"/>
      <c r="E215" s="10"/>
      <c r="F215" s="10"/>
      <c r="G215" s="10"/>
      <c r="H215" s="10"/>
      <c r="I215" s="10"/>
      <c r="J215" s="10"/>
      <c r="K215" s="10"/>
      <c r="L215" s="10"/>
      <c r="N215" s="10"/>
      <c r="P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W215" s="143"/>
      <c r="AZ215" s="10"/>
      <c r="BD215" s="10"/>
      <c r="BE215" s="10"/>
      <c r="BF215" s="10"/>
      <c r="BG215" s="10"/>
      <c r="BH215" s="10"/>
      <c r="BI215" s="10"/>
      <c r="BJ215" s="10"/>
      <c r="BK215" s="10"/>
      <c r="BL215" s="10"/>
      <c r="BM215" s="10"/>
      <c r="BN215" s="10"/>
      <c r="BO215" s="10"/>
      <c r="BP215" s="10"/>
      <c r="BQ215" s="10"/>
      <c r="BR215" s="10"/>
      <c r="BS215" s="10"/>
      <c r="BT215" s="10"/>
      <c r="BV215" s="10"/>
      <c r="BW215" s="10"/>
    </row>
    <row r="216">
      <c r="A216" s="10"/>
      <c r="B216" s="10"/>
      <c r="C216" s="10"/>
      <c r="D216" s="10"/>
      <c r="E216" s="10"/>
      <c r="F216" s="10"/>
      <c r="G216" s="10"/>
      <c r="H216" s="10"/>
      <c r="I216" s="10"/>
      <c r="J216" s="10"/>
      <c r="K216" s="10"/>
      <c r="L216" s="10"/>
      <c r="N216" s="10"/>
      <c r="P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W216" s="143"/>
      <c r="BD216" s="10"/>
      <c r="BE216" s="10"/>
      <c r="BF216" s="10"/>
      <c r="BG216" s="10"/>
      <c r="BH216" s="10"/>
      <c r="BI216" s="10"/>
      <c r="BJ216" s="10"/>
      <c r="BK216" s="10"/>
      <c r="BL216" s="10"/>
      <c r="BM216" s="10"/>
      <c r="BN216" s="10"/>
      <c r="BO216" s="10"/>
      <c r="BP216" s="10"/>
      <c r="BQ216" s="10"/>
      <c r="BR216" s="10"/>
      <c r="BS216" s="10"/>
      <c r="BT216" s="10"/>
      <c r="BV216" s="10"/>
      <c r="BW216" s="10"/>
    </row>
    <row r="217">
      <c r="A217" s="10"/>
      <c r="B217" s="10"/>
      <c r="C217" s="10"/>
      <c r="D217" s="10"/>
      <c r="E217" s="10"/>
      <c r="F217" s="10"/>
      <c r="G217" s="10"/>
      <c r="H217" s="10"/>
      <c r="I217" s="10"/>
      <c r="J217" s="10"/>
      <c r="K217" s="10"/>
      <c r="L217" s="10"/>
      <c r="N217" s="10"/>
      <c r="O217" s="10"/>
      <c r="P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W217" s="143"/>
      <c r="BD217" s="10"/>
      <c r="BE217" s="10"/>
      <c r="BF217" s="10"/>
      <c r="BG217" s="10"/>
      <c r="BH217" s="10"/>
      <c r="BI217" s="10"/>
      <c r="BJ217" s="10"/>
      <c r="BK217" s="10"/>
      <c r="BL217" s="10"/>
      <c r="BM217" s="10"/>
      <c r="BN217" s="10"/>
      <c r="BO217" s="10"/>
      <c r="BP217" s="10"/>
      <c r="BQ217" s="10"/>
      <c r="BR217" s="10"/>
      <c r="BS217" s="10"/>
      <c r="BT217" s="10"/>
      <c r="BV217" s="10"/>
      <c r="BW217" s="10"/>
    </row>
    <row r="218">
      <c r="A218" s="10"/>
      <c r="B218" s="10"/>
      <c r="C218" s="10"/>
      <c r="D218" s="10"/>
      <c r="E218" s="10"/>
      <c r="F218" s="10"/>
      <c r="G218" s="10"/>
      <c r="H218" s="10"/>
      <c r="I218" s="10"/>
      <c r="J218" s="10"/>
      <c r="K218" s="10"/>
      <c r="L218" s="10"/>
      <c r="N218" s="10"/>
      <c r="P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W218" s="143"/>
      <c r="BD218" s="10"/>
      <c r="BS218" s="10"/>
      <c r="BT218" s="10"/>
      <c r="BV218" s="10"/>
      <c r="BW218" s="10"/>
    </row>
    <row r="219">
      <c r="A219" s="10"/>
      <c r="B219" s="10"/>
      <c r="C219" s="10"/>
      <c r="D219" s="10"/>
      <c r="E219" s="10"/>
      <c r="F219" s="10"/>
      <c r="G219" s="10"/>
      <c r="H219" s="10"/>
      <c r="K219" s="10"/>
      <c r="L219" s="10"/>
      <c r="N219" s="10"/>
      <c r="Q219" s="10"/>
      <c r="R219" s="10"/>
      <c r="V219" s="10"/>
      <c r="W219" s="10"/>
      <c r="Y219" s="10"/>
      <c r="Z219" s="10"/>
      <c r="AA219" s="10"/>
      <c r="AB219" s="10"/>
      <c r="AC219" s="10"/>
      <c r="AD219" s="10"/>
      <c r="AE219" s="10"/>
      <c r="AF219" s="10"/>
      <c r="AG219" s="10"/>
      <c r="AH219" s="10"/>
      <c r="AI219" s="10"/>
      <c r="AJ219" s="10"/>
      <c r="AK219" s="10"/>
      <c r="AL219" s="10"/>
      <c r="AM219" s="10"/>
      <c r="AN219" s="10"/>
      <c r="AO219" s="10"/>
      <c r="AW219" s="143"/>
      <c r="BD219" s="10"/>
      <c r="BE219" s="10"/>
      <c r="BF219" s="10"/>
      <c r="BG219" s="10"/>
      <c r="BH219" s="10"/>
      <c r="BI219" s="10"/>
      <c r="BJ219" s="10"/>
      <c r="BK219" s="10"/>
      <c r="BL219" s="10"/>
      <c r="BO219" s="10"/>
      <c r="BR219" s="10"/>
      <c r="BS219" s="10"/>
      <c r="BT219" s="10"/>
      <c r="BV219" s="10"/>
      <c r="BW219" s="10"/>
    </row>
    <row r="220">
      <c r="B220" s="10"/>
      <c r="C220" s="10"/>
      <c r="D220" s="10"/>
      <c r="E220" s="10"/>
      <c r="F220" s="10"/>
      <c r="G220" s="10"/>
      <c r="H220" s="10"/>
      <c r="K220" s="10"/>
      <c r="L220" s="10"/>
      <c r="V220" s="10"/>
      <c r="W220" s="10"/>
      <c r="Y220" s="10"/>
      <c r="Z220" s="10"/>
      <c r="AA220" s="10"/>
      <c r="AB220" s="10"/>
      <c r="AC220" s="10"/>
      <c r="AD220" s="10"/>
      <c r="AE220" s="10"/>
      <c r="AF220" s="10"/>
      <c r="AG220" s="10"/>
      <c r="AH220" s="10"/>
      <c r="AI220" s="10"/>
      <c r="AJ220" s="10"/>
      <c r="AK220" s="10"/>
      <c r="AL220" s="10"/>
      <c r="AM220" s="10"/>
      <c r="AN220" s="10"/>
      <c r="AO220" s="10"/>
      <c r="AW220" s="143"/>
      <c r="BD220" s="10"/>
      <c r="BE220" s="10"/>
      <c r="BF220" s="10"/>
      <c r="BG220" s="10"/>
      <c r="BH220" s="10"/>
      <c r="BI220" s="10"/>
      <c r="BJ220" s="10"/>
      <c r="BK220" s="10"/>
      <c r="BL220" s="10"/>
      <c r="BN220" s="10"/>
      <c r="BO220" s="10"/>
      <c r="BQ220" s="10"/>
      <c r="BR220" s="10"/>
      <c r="BT220" s="10"/>
      <c r="BV220" s="10"/>
      <c r="BW220" s="10"/>
    </row>
    <row r="221">
      <c r="B221" s="10"/>
      <c r="C221" s="10"/>
      <c r="D221" s="10"/>
      <c r="E221" s="10"/>
      <c r="F221" s="10"/>
      <c r="G221" s="10"/>
      <c r="H221" s="10"/>
      <c r="K221" s="10"/>
      <c r="L221" s="10"/>
      <c r="N221" s="10"/>
      <c r="P221" s="10"/>
      <c r="T221" s="10"/>
      <c r="U221" s="10"/>
      <c r="V221" s="10"/>
      <c r="W221" s="10"/>
      <c r="Y221" s="10"/>
      <c r="Z221" s="10"/>
      <c r="AA221" s="10"/>
      <c r="AB221" s="10"/>
      <c r="AC221" s="10"/>
      <c r="AD221" s="10"/>
      <c r="AE221" s="10"/>
      <c r="AF221" s="10"/>
      <c r="AG221" s="10"/>
      <c r="AH221" s="10"/>
      <c r="AI221" s="10"/>
      <c r="AJ221" s="10"/>
      <c r="AK221" s="10"/>
      <c r="AL221" s="10"/>
      <c r="AM221" s="10"/>
      <c r="AN221" s="10"/>
      <c r="AO221" s="10"/>
      <c r="AW221" s="143"/>
      <c r="BD221" s="10"/>
      <c r="BE221" s="10"/>
      <c r="BF221" s="10"/>
      <c r="BG221" s="10"/>
      <c r="BH221" s="10"/>
      <c r="BI221" s="10"/>
      <c r="BJ221" s="10"/>
      <c r="BK221" s="10"/>
      <c r="BL221" s="10"/>
      <c r="BO221" s="10"/>
      <c r="BR221" s="10"/>
      <c r="BS221" s="10"/>
      <c r="BT221" s="10"/>
      <c r="BV221" s="10"/>
      <c r="BW221" s="10"/>
    </row>
    <row r="222">
      <c r="B222" s="10"/>
      <c r="C222" s="10"/>
      <c r="D222" s="10"/>
      <c r="E222" s="10"/>
      <c r="F222" s="10"/>
      <c r="G222" s="10"/>
      <c r="H222" s="10"/>
      <c r="K222" s="10"/>
      <c r="L222" s="10"/>
      <c r="V222" s="10"/>
      <c r="W222" s="10"/>
      <c r="X222" s="10"/>
      <c r="Y222" s="10"/>
      <c r="Z222" s="10"/>
      <c r="AA222" s="10"/>
      <c r="AB222" s="10"/>
      <c r="AC222" s="10"/>
      <c r="AD222" s="10"/>
      <c r="AE222" s="10"/>
      <c r="AF222" s="10"/>
      <c r="AG222" s="10"/>
      <c r="AH222" s="10"/>
      <c r="AI222" s="10"/>
      <c r="AJ222" s="10"/>
      <c r="AK222" s="10"/>
      <c r="AL222" s="10"/>
      <c r="AM222" s="10"/>
      <c r="AN222" s="10"/>
      <c r="AO222" s="10"/>
      <c r="AW222" s="143"/>
      <c r="BD222" s="10"/>
      <c r="BE222" s="10"/>
      <c r="BF222" s="10"/>
      <c r="BG222" s="10"/>
      <c r="BH222" s="10"/>
      <c r="BI222" s="10"/>
      <c r="BJ222" s="10"/>
      <c r="BK222" s="10"/>
      <c r="BN222" s="10"/>
      <c r="BQ222" s="10"/>
      <c r="BT222" s="10"/>
      <c r="BV222" s="10"/>
      <c r="BW222" s="10"/>
    </row>
    <row r="223">
      <c r="B223" s="10"/>
      <c r="C223" s="10"/>
      <c r="D223" s="10"/>
      <c r="E223" s="10"/>
      <c r="F223" s="10"/>
      <c r="G223" s="10"/>
      <c r="H223" s="10"/>
      <c r="K223" s="10"/>
      <c r="L223" s="10"/>
      <c r="N223" s="10"/>
      <c r="Q223" s="10"/>
      <c r="R223" s="10"/>
      <c r="V223" s="10"/>
      <c r="W223" s="10"/>
      <c r="Y223" s="10"/>
      <c r="Z223" s="10"/>
      <c r="AA223" s="10"/>
      <c r="AB223" s="10"/>
      <c r="AC223" s="10"/>
      <c r="AD223" s="10"/>
      <c r="AE223" s="10"/>
      <c r="AF223" s="10"/>
      <c r="AG223" s="10"/>
      <c r="AH223" s="10"/>
      <c r="AI223" s="10"/>
      <c r="AJ223" s="10"/>
      <c r="AK223" s="10"/>
      <c r="AL223" s="10"/>
      <c r="AM223" s="10"/>
      <c r="AN223" s="10"/>
      <c r="AO223" s="10"/>
      <c r="AW223" s="143"/>
      <c r="BD223" s="10"/>
      <c r="BE223" s="10"/>
      <c r="BF223" s="10"/>
      <c r="BG223" s="10"/>
      <c r="BH223" s="10"/>
      <c r="BI223" s="10"/>
      <c r="BJ223" s="10"/>
      <c r="BK223" s="10"/>
      <c r="BN223" s="10"/>
      <c r="BQ223" s="10"/>
      <c r="BT223" s="10"/>
      <c r="BV223" s="10"/>
      <c r="BW223" s="10"/>
    </row>
    <row r="224">
      <c r="B224" s="10"/>
      <c r="C224" s="10"/>
      <c r="D224" s="10"/>
      <c r="E224" s="10"/>
      <c r="F224" s="10"/>
      <c r="G224" s="10"/>
      <c r="H224" s="10"/>
      <c r="J224" s="10"/>
      <c r="K224" s="10"/>
      <c r="L224" s="10"/>
      <c r="N224" s="10"/>
      <c r="P224" s="10"/>
      <c r="Q224" s="10"/>
      <c r="V224" s="10"/>
      <c r="W224" s="10"/>
      <c r="X224" s="10"/>
      <c r="Y224" s="10"/>
      <c r="Z224" s="10"/>
      <c r="AA224" s="10"/>
      <c r="AB224" s="10"/>
      <c r="AC224" s="10"/>
      <c r="AD224" s="10"/>
      <c r="AE224" s="10"/>
      <c r="AF224" s="10"/>
      <c r="AG224" s="10"/>
      <c r="AH224" s="10"/>
      <c r="AI224" s="10"/>
      <c r="AJ224" s="10"/>
      <c r="AK224" s="10"/>
      <c r="AL224" s="10"/>
      <c r="AM224" s="10"/>
      <c r="AN224" s="10"/>
      <c r="AO224" s="10"/>
      <c r="AW224" s="244"/>
      <c r="BD224" s="10"/>
      <c r="BE224" s="10"/>
      <c r="BF224" s="10"/>
      <c r="BG224" s="10"/>
      <c r="BH224" s="10"/>
      <c r="BI224" s="10"/>
      <c r="BJ224" s="10"/>
      <c r="BK224" s="10"/>
      <c r="BS224" s="10"/>
      <c r="BT224" s="10"/>
      <c r="BV224" s="10"/>
      <c r="BW224" s="10"/>
    </row>
    <row r="225">
      <c r="A225" s="10"/>
      <c r="B225" s="10"/>
      <c r="C225" s="10"/>
      <c r="D225" s="10"/>
      <c r="E225" s="10"/>
      <c r="F225" s="10"/>
      <c r="G225" s="10"/>
      <c r="H225" s="10"/>
      <c r="I225" s="10"/>
      <c r="J225" s="10"/>
      <c r="N225" s="10"/>
      <c r="O225" s="10"/>
      <c r="P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43"/>
      <c r="AX225" s="10"/>
      <c r="AY225" s="10"/>
      <c r="BS225" s="10"/>
      <c r="BT225" s="10"/>
      <c r="BW225" s="10"/>
    </row>
    <row r="226">
      <c r="A226" s="10"/>
      <c r="B226" s="10"/>
      <c r="C226" s="10"/>
      <c r="D226" s="10"/>
      <c r="E226" s="10"/>
      <c r="F226" s="10"/>
      <c r="G226" s="10"/>
      <c r="H226" s="10"/>
      <c r="I226" s="10"/>
      <c r="J226" s="10"/>
      <c r="N226" s="10"/>
      <c r="O226" s="10"/>
      <c r="P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43"/>
      <c r="AX226" s="10"/>
      <c r="AY226" s="10"/>
      <c r="BS226" s="10"/>
      <c r="BT226" s="10"/>
      <c r="BW226" s="10"/>
    </row>
    <row r="227">
      <c r="A227" s="10"/>
      <c r="B227" s="10"/>
      <c r="C227" s="10"/>
      <c r="D227" s="10"/>
      <c r="E227" s="10"/>
      <c r="F227" s="10"/>
      <c r="G227" s="10"/>
      <c r="H227" s="10"/>
      <c r="I227" s="10"/>
      <c r="J227" s="10"/>
      <c r="N227" s="10"/>
      <c r="O227" s="10"/>
      <c r="P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43"/>
      <c r="AX227" s="10"/>
      <c r="AY227" s="10"/>
      <c r="BS227" s="10"/>
      <c r="BT227" s="10"/>
      <c r="BW227" s="10"/>
    </row>
    <row r="228">
      <c r="A228" s="10"/>
      <c r="B228" s="10"/>
      <c r="C228" s="10"/>
      <c r="D228" s="10"/>
      <c r="E228" s="10"/>
      <c r="F228" s="10"/>
      <c r="G228" s="10"/>
      <c r="H228" s="10"/>
      <c r="I228" s="10"/>
      <c r="J228" s="10"/>
      <c r="N228" s="10"/>
      <c r="O228" s="10"/>
      <c r="P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43"/>
      <c r="AX228" s="10"/>
      <c r="AY228" s="10"/>
      <c r="BS228" s="10"/>
      <c r="BT228" s="10"/>
      <c r="BW228" s="10"/>
    </row>
    <row r="229">
      <c r="A229" s="10"/>
      <c r="B229" s="10"/>
      <c r="C229" s="10"/>
      <c r="D229" s="10"/>
      <c r="E229" s="10"/>
      <c r="F229" s="10"/>
      <c r="G229" s="10"/>
      <c r="H229" s="10"/>
      <c r="I229" s="10"/>
      <c r="J229" s="10"/>
      <c r="N229" s="10"/>
      <c r="O229" s="10"/>
      <c r="P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43"/>
      <c r="AX229" s="10"/>
      <c r="AY229" s="10"/>
      <c r="BS229" s="10"/>
      <c r="BT229" s="10"/>
      <c r="BW229" s="10"/>
    </row>
    <row r="230">
      <c r="A230" s="10"/>
      <c r="B230" s="10"/>
      <c r="C230" s="10"/>
      <c r="D230" s="10"/>
      <c r="E230" s="10"/>
      <c r="F230" s="10"/>
      <c r="G230" s="10"/>
      <c r="H230" s="10"/>
      <c r="I230" s="10"/>
      <c r="J230" s="10"/>
      <c r="K230" s="10"/>
      <c r="L230" s="10"/>
      <c r="N230" s="10"/>
      <c r="O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43"/>
      <c r="AX230" s="10"/>
      <c r="AY230" s="10"/>
      <c r="AZ230" s="10"/>
      <c r="BE230" s="10"/>
      <c r="BF230" s="10"/>
      <c r="BG230" s="10"/>
      <c r="BH230" s="10"/>
      <c r="BI230" s="10"/>
      <c r="BJ230" s="10"/>
      <c r="BK230" s="10"/>
      <c r="BL230" s="10"/>
      <c r="BM230" s="10"/>
      <c r="BN230" s="10"/>
      <c r="BO230" s="10"/>
      <c r="BP230" s="10"/>
      <c r="BQ230" s="10"/>
      <c r="BR230" s="10"/>
      <c r="BS230" s="10"/>
      <c r="BT230" s="10"/>
      <c r="BW230" s="10"/>
    </row>
    <row r="231">
      <c r="A231" s="10"/>
      <c r="B231" s="10"/>
      <c r="C231" s="10"/>
      <c r="D231" s="10"/>
      <c r="E231" s="10"/>
      <c r="F231" s="10"/>
      <c r="G231" s="10"/>
      <c r="H231" s="10"/>
      <c r="I231" s="10"/>
      <c r="J231" s="10"/>
      <c r="K231" s="10"/>
      <c r="L231" s="10"/>
      <c r="N231" s="10"/>
      <c r="O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43"/>
      <c r="AX231" s="10"/>
      <c r="AY231" s="10"/>
      <c r="AZ231" s="10"/>
      <c r="BE231" s="10"/>
      <c r="BF231" s="10"/>
      <c r="BG231" s="10"/>
      <c r="BH231" s="10"/>
      <c r="BI231" s="10"/>
      <c r="BJ231" s="10"/>
      <c r="BK231" s="10"/>
      <c r="BL231" s="10"/>
      <c r="BM231" s="10"/>
      <c r="BO231" s="10"/>
      <c r="BP231" s="10"/>
      <c r="BR231" s="10"/>
      <c r="BS231" s="10"/>
      <c r="BT231" s="10"/>
      <c r="BW231" s="10"/>
    </row>
    <row r="232">
      <c r="A232" s="10"/>
      <c r="B232" s="10"/>
      <c r="C232" s="10"/>
      <c r="D232" s="10"/>
      <c r="E232" s="10"/>
      <c r="F232" s="10"/>
      <c r="G232" s="10"/>
      <c r="H232" s="10"/>
      <c r="I232" s="10"/>
      <c r="J232" s="10"/>
      <c r="K232" s="10"/>
      <c r="L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43"/>
      <c r="AX232" s="10"/>
      <c r="AY232" s="10"/>
      <c r="AZ232" s="10"/>
      <c r="BE232" s="10"/>
      <c r="BF232" s="10"/>
      <c r="BG232" s="10"/>
      <c r="BH232" s="10"/>
      <c r="BI232" s="10"/>
      <c r="BJ232" s="10"/>
      <c r="BK232" s="10"/>
      <c r="BL232" s="10"/>
      <c r="BM232" s="10"/>
      <c r="BN232" s="10"/>
      <c r="BO232" s="10"/>
      <c r="BP232" s="10"/>
      <c r="BQ232" s="10"/>
      <c r="BR232" s="10"/>
      <c r="BS232" s="10"/>
      <c r="BT232" s="10"/>
      <c r="BW232" s="10"/>
    </row>
    <row r="233">
      <c r="A233" s="10"/>
      <c r="B233" s="10"/>
      <c r="C233" s="10"/>
      <c r="D233" s="10"/>
      <c r="E233" s="10"/>
      <c r="F233" s="10"/>
      <c r="G233" s="10"/>
      <c r="H233" s="10"/>
      <c r="I233" s="10"/>
      <c r="J233" s="10"/>
      <c r="K233" s="10"/>
      <c r="L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43"/>
      <c r="AX233" s="10"/>
      <c r="AY233" s="10"/>
      <c r="AZ233" s="10"/>
      <c r="BL233" s="10"/>
      <c r="BM233" s="10"/>
      <c r="BO233" s="10"/>
      <c r="BP233" s="10"/>
      <c r="BR233" s="10"/>
      <c r="BS233" s="10"/>
      <c r="BT233" s="10"/>
      <c r="BW233" s="10"/>
    </row>
    <row r="234">
      <c r="A234" s="10"/>
      <c r="B234" s="10"/>
      <c r="C234" s="10"/>
      <c r="D234" s="10"/>
      <c r="E234" s="10"/>
      <c r="F234" s="10"/>
      <c r="G234" s="10"/>
      <c r="H234" s="10"/>
      <c r="J234" s="10"/>
      <c r="K234" s="10"/>
      <c r="L234" s="10"/>
      <c r="N234" s="10"/>
      <c r="P234" s="10"/>
      <c r="V234" s="10"/>
      <c r="W234" s="10"/>
      <c r="X234" s="10"/>
      <c r="Y234" s="10"/>
      <c r="Z234" s="10"/>
      <c r="AA234" s="10"/>
      <c r="AB234" s="10"/>
      <c r="AC234" s="10"/>
      <c r="AD234" s="10"/>
      <c r="AE234" s="10"/>
      <c r="AF234" s="10"/>
      <c r="AG234" s="10"/>
      <c r="AH234" s="10"/>
      <c r="AI234" s="10"/>
      <c r="AJ234" s="10"/>
      <c r="AK234" s="10"/>
      <c r="AL234" s="10"/>
      <c r="AM234" s="10"/>
      <c r="AN234" s="10"/>
      <c r="AO234" s="10"/>
      <c r="AR234" s="10"/>
      <c r="AT234" s="10"/>
      <c r="AW234" s="244"/>
      <c r="BA234" s="10"/>
      <c r="BD234" s="10"/>
      <c r="BE234" s="10"/>
      <c r="BF234" s="10"/>
      <c r="BG234" s="10"/>
      <c r="BH234" s="10"/>
      <c r="BI234" s="10"/>
      <c r="BJ234" s="10"/>
      <c r="BK234" s="10"/>
      <c r="BL234" s="10"/>
      <c r="BS234" s="10"/>
      <c r="BT234" s="10"/>
      <c r="BV234" s="10"/>
      <c r="BW234" s="10"/>
    </row>
    <row r="235">
      <c r="A235" s="10"/>
      <c r="B235" s="10"/>
      <c r="C235" s="10"/>
      <c r="D235" s="10"/>
      <c r="E235" s="10"/>
      <c r="F235" s="10"/>
      <c r="G235" s="10"/>
      <c r="H235" s="10"/>
      <c r="J235" s="10"/>
      <c r="K235" s="10"/>
      <c r="L235" s="10"/>
      <c r="N235" s="10"/>
      <c r="P235" s="10"/>
      <c r="V235" s="10"/>
      <c r="W235" s="10"/>
      <c r="X235" s="10"/>
      <c r="Y235" s="10"/>
      <c r="Z235" s="10"/>
      <c r="AA235" s="10"/>
      <c r="AB235" s="10"/>
      <c r="AC235" s="10"/>
      <c r="AD235" s="10"/>
      <c r="AE235" s="10"/>
      <c r="AF235" s="10"/>
      <c r="AG235" s="10"/>
      <c r="AH235" s="10"/>
      <c r="AI235" s="10"/>
      <c r="AJ235" s="10"/>
      <c r="AK235" s="10"/>
      <c r="AL235" s="10"/>
      <c r="AM235" s="10"/>
      <c r="AN235" s="10"/>
      <c r="AO235" s="10"/>
      <c r="AR235" s="10"/>
      <c r="AT235" s="10"/>
      <c r="AW235" s="244"/>
      <c r="BA235" s="10"/>
      <c r="BD235" s="10"/>
      <c r="BE235" s="10"/>
      <c r="BF235" s="10"/>
      <c r="BG235" s="10"/>
      <c r="BH235" s="10"/>
      <c r="BI235" s="10"/>
      <c r="BJ235" s="10"/>
      <c r="BK235" s="10"/>
      <c r="BL235" s="10"/>
      <c r="BS235" s="10"/>
      <c r="BT235" s="10"/>
      <c r="BV235" s="10"/>
      <c r="BW235" s="10"/>
    </row>
    <row r="236">
      <c r="A236" s="10"/>
      <c r="B236" s="10"/>
      <c r="C236" s="10"/>
      <c r="D236" s="10"/>
      <c r="E236" s="10"/>
      <c r="F236" s="10"/>
      <c r="G236" s="10"/>
      <c r="H236" s="10"/>
      <c r="K236" s="10"/>
      <c r="L236" s="10"/>
      <c r="N236" s="10"/>
      <c r="V236" s="10"/>
      <c r="W236" s="10"/>
      <c r="X236" s="10"/>
      <c r="Y236" s="10"/>
      <c r="Z236" s="10"/>
      <c r="AA236" s="10"/>
      <c r="AB236" s="10"/>
      <c r="AC236" s="10"/>
      <c r="AD236" s="10"/>
      <c r="AE236" s="10"/>
      <c r="AF236" s="10"/>
      <c r="AG236" s="10"/>
      <c r="AH236" s="10"/>
      <c r="AI236" s="10"/>
      <c r="AJ236" s="10"/>
      <c r="AK236" s="10"/>
      <c r="AL236" s="10"/>
      <c r="AM236" s="10"/>
      <c r="AN236" s="10"/>
      <c r="AO236" s="10"/>
      <c r="AR236" s="10"/>
      <c r="AT236" s="10"/>
      <c r="AW236" s="143"/>
      <c r="BA236" s="10"/>
      <c r="BD236" s="10"/>
      <c r="BE236" s="10"/>
      <c r="BF236" s="10"/>
      <c r="BG236" s="10"/>
      <c r="BH236" s="10"/>
      <c r="BI236" s="10"/>
      <c r="BJ236" s="10"/>
      <c r="BK236" s="10"/>
      <c r="BL236" s="10"/>
      <c r="BS236" s="10"/>
      <c r="BT236" s="10"/>
      <c r="BV236" s="10"/>
      <c r="BW236" s="10"/>
    </row>
    <row r="237">
      <c r="A237" s="10"/>
      <c r="B237" s="10"/>
      <c r="C237" s="10"/>
      <c r="D237" s="10"/>
      <c r="E237" s="10"/>
      <c r="F237" s="10"/>
      <c r="G237" s="10"/>
      <c r="H237" s="10"/>
      <c r="K237" s="10"/>
      <c r="L237" s="10"/>
      <c r="N237" s="10"/>
      <c r="V237" s="10"/>
      <c r="W237" s="10"/>
      <c r="X237" s="10"/>
      <c r="Y237" s="10"/>
      <c r="Z237" s="10"/>
      <c r="AA237" s="10"/>
      <c r="AB237" s="10"/>
      <c r="AC237" s="10"/>
      <c r="AD237" s="10"/>
      <c r="AE237" s="10"/>
      <c r="AF237" s="10"/>
      <c r="AG237" s="10"/>
      <c r="AH237" s="10"/>
      <c r="AI237" s="10"/>
      <c r="AJ237" s="10"/>
      <c r="AK237" s="10"/>
      <c r="AL237" s="10"/>
      <c r="AM237" s="10"/>
      <c r="AN237" s="10"/>
      <c r="AO237" s="10"/>
      <c r="AR237" s="10"/>
      <c r="AT237" s="10"/>
      <c r="AW237" s="143"/>
      <c r="BA237" s="10"/>
      <c r="BD237" s="10"/>
      <c r="BE237" s="10"/>
      <c r="BF237" s="10"/>
      <c r="BG237" s="10"/>
      <c r="BH237" s="10"/>
      <c r="BI237" s="10"/>
      <c r="BJ237" s="10"/>
      <c r="BK237" s="10"/>
      <c r="BL237" s="10"/>
      <c r="BS237" s="10"/>
      <c r="BT237" s="10"/>
      <c r="BV237" s="10"/>
      <c r="BW237" s="10"/>
    </row>
    <row r="238">
      <c r="A238" s="10"/>
      <c r="B238" s="10"/>
      <c r="C238" s="10"/>
      <c r="D238" s="10"/>
      <c r="E238" s="10"/>
      <c r="F238" s="10"/>
      <c r="G238" s="10"/>
      <c r="H238" s="10"/>
      <c r="J238" s="10"/>
      <c r="K238" s="10"/>
      <c r="L238" s="10"/>
      <c r="P238" s="10"/>
      <c r="V238" s="10"/>
      <c r="W238" s="10"/>
      <c r="X238" s="10"/>
      <c r="Y238" s="10"/>
      <c r="Z238" s="10"/>
      <c r="AA238" s="10"/>
      <c r="AB238" s="10"/>
      <c r="AC238" s="10"/>
      <c r="AD238" s="10"/>
      <c r="AE238" s="10"/>
      <c r="AF238" s="10"/>
      <c r="AG238" s="10"/>
      <c r="AH238" s="10"/>
      <c r="AI238" s="10"/>
      <c r="AJ238" s="10"/>
      <c r="AK238" s="10"/>
      <c r="AL238" s="10"/>
      <c r="AM238" s="10"/>
      <c r="AN238" s="10"/>
      <c r="AO238" s="10"/>
      <c r="AR238" s="10"/>
      <c r="AT238" s="10"/>
      <c r="AW238" s="143"/>
      <c r="BA238" s="10"/>
      <c r="BD238" s="10"/>
      <c r="BE238" s="10"/>
      <c r="BF238" s="10"/>
      <c r="BG238" s="10"/>
      <c r="BH238" s="10"/>
      <c r="BI238" s="10"/>
      <c r="BJ238" s="10"/>
      <c r="BK238" s="10"/>
      <c r="BS238" s="10"/>
      <c r="BT238" s="10"/>
      <c r="BV238" s="10"/>
      <c r="BW238" s="10"/>
    </row>
    <row r="239">
      <c r="A239" s="10"/>
      <c r="B239" s="10"/>
      <c r="C239" s="10"/>
      <c r="D239" s="10"/>
      <c r="E239" s="10"/>
      <c r="F239" s="10"/>
      <c r="G239" s="10"/>
      <c r="H239" s="10"/>
      <c r="J239" s="10"/>
      <c r="K239" s="10"/>
      <c r="L239" s="10"/>
      <c r="P239" s="2"/>
      <c r="V239" s="10"/>
      <c r="W239" s="10"/>
      <c r="X239" s="10"/>
      <c r="Y239" s="10"/>
      <c r="Z239" s="10"/>
      <c r="AA239" s="10"/>
      <c r="AB239" s="10"/>
      <c r="AC239" s="10"/>
      <c r="AD239" s="10"/>
      <c r="AE239" s="10"/>
      <c r="AF239" s="10"/>
      <c r="AG239" s="10"/>
      <c r="AH239" s="10"/>
      <c r="AI239" s="10"/>
      <c r="AJ239" s="10"/>
      <c r="AK239" s="10"/>
      <c r="AL239" s="10"/>
      <c r="AM239" s="10"/>
      <c r="AN239" s="10"/>
      <c r="AO239" s="10"/>
      <c r="AR239" s="10"/>
      <c r="AT239" s="10"/>
      <c r="AW239" s="143"/>
      <c r="BA239" s="10"/>
      <c r="BD239" s="10"/>
      <c r="BE239" s="10"/>
      <c r="BF239" s="10"/>
      <c r="BG239" s="10"/>
      <c r="BH239" s="10"/>
      <c r="BI239" s="10"/>
      <c r="BJ239" s="10"/>
      <c r="BK239" s="10"/>
      <c r="BS239" s="10"/>
      <c r="BT239" s="10"/>
      <c r="BV239" s="10"/>
      <c r="BW239" s="10"/>
    </row>
    <row r="240">
      <c r="A240" s="10"/>
      <c r="B240" s="10"/>
      <c r="C240" s="10"/>
      <c r="D240" s="10"/>
      <c r="E240" s="10"/>
      <c r="F240" s="10"/>
      <c r="G240" s="10"/>
      <c r="H240" s="10"/>
      <c r="J240" s="10"/>
      <c r="K240" s="10"/>
      <c r="L240" s="10"/>
      <c r="P240" s="10"/>
      <c r="T240" s="10"/>
      <c r="U240" s="10"/>
      <c r="V240" s="10"/>
      <c r="W240" s="10"/>
      <c r="X240" s="10"/>
      <c r="Y240" s="10"/>
      <c r="Z240" s="10"/>
      <c r="AA240" s="10"/>
      <c r="AB240" s="10"/>
      <c r="AC240" s="10"/>
      <c r="AD240" s="10"/>
      <c r="AE240" s="10"/>
      <c r="AF240" s="10"/>
      <c r="AG240" s="10"/>
      <c r="AH240" s="10"/>
      <c r="AI240" s="10"/>
      <c r="AJ240" s="10"/>
      <c r="AL240" s="10"/>
      <c r="AM240" s="10"/>
      <c r="AO240" s="10"/>
      <c r="AR240" s="10"/>
      <c r="AT240" s="10"/>
      <c r="AW240" s="143"/>
      <c r="BA240" s="10"/>
      <c r="BD240" s="10"/>
      <c r="BE240" s="10"/>
      <c r="BF240" s="10"/>
      <c r="BG240" s="10"/>
      <c r="BH240" s="10"/>
      <c r="BI240" s="10"/>
      <c r="BJ240" s="10"/>
      <c r="BK240" s="10"/>
      <c r="BL240" s="10"/>
      <c r="BS240" s="10"/>
      <c r="BT240" s="10"/>
      <c r="BV240" s="10"/>
      <c r="BW240" s="10"/>
    </row>
    <row r="241">
      <c r="A241" s="10"/>
      <c r="B241" s="10"/>
      <c r="C241" s="10"/>
      <c r="D241" s="10"/>
      <c r="E241" s="10"/>
      <c r="F241" s="10"/>
      <c r="G241" s="10"/>
      <c r="H241" s="10"/>
      <c r="I241" s="10"/>
      <c r="J241" s="10"/>
      <c r="K241" s="10"/>
      <c r="L241" s="10"/>
      <c r="N241" s="10"/>
      <c r="O241" s="10"/>
      <c r="P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R241" s="10"/>
      <c r="AS241" s="10"/>
      <c r="AU241" s="10"/>
      <c r="AV241" s="10"/>
      <c r="AW241" s="143"/>
      <c r="BA241" s="10"/>
      <c r="BD241" s="10"/>
      <c r="BE241" s="10"/>
      <c r="BF241" s="10"/>
      <c r="BG241" s="10"/>
      <c r="BH241" s="10"/>
      <c r="BI241" s="10"/>
      <c r="BJ241" s="10"/>
      <c r="BK241" s="10"/>
      <c r="BL241" s="10"/>
      <c r="BM241" s="10"/>
      <c r="BP241" s="10"/>
      <c r="BS241" s="10"/>
      <c r="BT241" s="10"/>
      <c r="BV241" s="10"/>
      <c r="BW241" s="10"/>
    </row>
    <row r="242">
      <c r="A242" s="10"/>
      <c r="B242" s="10"/>
      <c r="C242" s="10"/>
      <c r="D242" s="10"/>
      <c r="E242" s="10"/>
      <c r="F242" s="10"/>
      <c r="G242" s="10"/>
      <c r="H242" s="10"/>
      <c r="I242" s="10"/>
      <c r="J242" s="10"/>
      <c r="K242" s="10"/>
      <c r="L242" s="10"/>
      <c r="P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R242" s="10"/>
      <c r="AS242" s="10"/>
      <c r="AU242" s="10"/>
      <c r="AW242" s="143"/>
      <c r="AZ242" s="10"/>
      <c r="BA242" s="10"/>
      <c r="BD242" s="10"/>
      <c r="BS242" s="10"/>
      <c r="BT242" s="10"/>
      <c r="BV242" s="10"/>
      <c r="BW242" s="10"/>
    </row>
    <row r="243">
      <c r="A243" s="10"/>
      <c r="B243" s="10"/>
      <c r="C243" s="10"/>
      <c r="D243" s="10"/>
      <c r="E243" s="10"/>
      <c r="F243" s="10"/>
      <c r="G243" s="10"/>
      <c r="H243" s="10"/>
      <c r="I243" s="10"/>
      <c r="J243" s="10"/>
      <c r="K243" s="10"/>
      <c r="L243" s="10"/>
      <c r="N243" s="10"/>
      <c r="O243" s="10"/>
      <c r="P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R243" s="10"/>
      <c r="AS243" s="10"/>
      <c r="AU243" s="10"/>
      <c r="AV243" s="10"/>
      <c r="AW243" s="143"/>
      <c r="BD243" s="10"/>
      <c r="BF243" s="10"/>
      <c r="BH243" s="10"/>
      <c r="BJ243" s="10"/>
      <c r="BS243" s="10"/>
      <c r="BT243" s="10"/>
      <c r="BV243" s="10"/>
      <c r="BW243" s="10"/>
    </row>
    <row r="244">
      <c r="A244" s="10"/>
      <c r="B244" s="10"/>
      <c r="C244" s="10"/>
      <c r="D244" s="10"/>
      <c r="E244" s="10"/>
      <c r="F244" s="10"/>
      <c r="G244" s="10"/>
      <c r="H244" s="10"/>
      <c r="I244" s="10"/>
      <c r="K244" s="10"/>
      <c r="L244" s="10"/>
      <c r="N244" s="10"/>
      <c r="O244" s="10"/>
      <c r="P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R244" s="10"/>
      <c r="AS244" s="10"/>
      <c r="AU244" s="10"/>
      <c r="AV244" s="10"/>
      <c r="AW244" s="143"/>
      <c r="BD244" s="10"/>
      <c r="BE244" s="10"/>
      <c r="BG244" s="10"/>
      <c r="BI244" s="10"/>
      <c r="BS244" s="10"/>
      <c r="BT244" s="10"/>
      <c r="BV244" s="10"/>
      <c r="BW244" s="10"/>
    </row>
    <row r="245">
      <c r="A245" s="10"/>
      <c r="B245" s="10"/>
      <c r="C245" s="10"/>
      <c r="D245" s="10"/>
      <c r="E245" s="10"/>
      <c r="F245" s="10"/>
      <c r="G245" s="10"/>
      <c r="H245" s="10"/>
      <c r="I245" s="10"/>
      <c r="J245" s="10"/>
      <c r="K245" s="10"/>
      <c r="L245" s="10"/>
      <c r="N245" s="10"/>
      <c r="P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R245" s="10"/>
      <c r="AS245" s="10"/>
      <c r="AT245" s="10"/>
      <c r="AU245" s="10"/>
      <c r="AV245" s="10"/>
      <c r="AW245" s="143"/>
      <c r="BD245" s="10"/>
      <c r="BS245" s="10"/>
      <c r="BT245" s="10"/>
      <c r="BV245" s="10"/>
      <c r="BW245" s="10"/>
    </row>
    <row r="246">
      <c r="A246" s="10"/>
      <c r="B246" s="10"/>
      <c r="C246" s="10"/>
      <c r="D246" s="10"/>
      <c r="E246" s="10"/>
      <c r="F246" s="10"/>
      <c r="G246" s="10"/>
      <c r="H246" s="10"/>
      <c r="L246" s="10"/>
      <c r="N246" s="10"/>
      <c r="P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U246" s="10"/>
      <c r="AV246" s="10"/>
      <c r="AW246" s="143"/>
      <c r="BE246" s="10"/>
      <c r="BF246" s="10"/>
      <c r="BG246" s="10"/>
      <c r="BH246" s="10"/>
      <c r="BI246" s="10"/>
      <c r="BJ246" s="10"/>
      <c r="BK246" s="10"/>
      <c r="BS246" s="10"/>
      <c r="BT246" s="10"/>
      <c r="BW246" s="10"/>
    </row>
    <row r="247">
      <c r="A247" s="10"/>
      <c r="B247" s="10"/>
      <c r="C247" s="10"/>
      <c r="D247" s="10"/>
      <c r="E247" s="10"/>
      <c r="F247" s="10"/>
      <c r="G247" s="10"/>
      <c r="H247" s="10"/>
      <c r="I247" s="10"/>
      <c r="N247" s="10"/>
      <c r="P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U247" s="10"/>
      <c r="AV247" s="10"/>
      <c r="AW247" s="143"/>
      <c r="BE247" s="10"/>
      <c r="BF247" s="10"/>
      <c r="BG247" s="10"/>
      <c r="BH247" s="10"/>
      <c r="BI247" s="10"/>
      <c r="BJ247" s="10"/>
      <c r="BK247" s="10"/>
      <c r="BS247" s="10"/>
      <c r="BT247" s="10"/>
      <c r="BW247" s="10"/>
    </row>
    <row r="248">
      <c r="A248" s="10"/>
      <c r="B248" s="10"/>
      <c r="C248" s="10"/>
      <c r="D248" s="10"/>
      <c r="E248" s="10"/>
      <c r="F248" s="10"/>
      <c r="G248" s="10"/>
      <c r="H248" s="10"/>
      <c r="I248" s="10"/>
      <c r="L248" s="10"/>
      <c r="N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U248" s="10"/>
      <c r="AV248" s="10"/>
      <c r="AW248" s="143"/>
      <c r="BE248" s="10"/>
      <c r="BF248" s="10"/>
      <c r="BG248" s="10"/>
      <c r="BH248" s="10"/>
      <c r="BI248" s="10"/>
      <c r="BJ248" s="10"/>
      <c r="BK248" s="10"/>
      <c r="BS248" s="10"/>
      <c r="BT248" s="10"/>
      <c r="BW248" s="10"/>
    </row>
    <row r="249">
      <c r="A249" s="10"/>
      <c r="B249" s="10"/>
      <c r="C249" s="10"/>
      <c r="D249" s="10"/>
      <c r="E249" s="10"/>
      <c r="F249" s="10"/>
      <c r="G249" s="10"/>
      <c r="H249" s="10"/>
      <c r="I249" s="10"/>
      <c r="J249" s="10"/>
      <c r="N249" s="10"/>
      <c r="P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43"/>
      <c r="AZ249" s="10"/>
      <c r="BS249" s="10"/>
      <c r="BT249" s="10"/>
      <c r="BW249" s="10"/>
    </row>
    <row r="250">
      <c r="A250" s="10"/>
      <c r="B250" s="10"/>
      <c r="C250" s="10"/>
      <c r="D250" s="10"/>
      <c r="E250" s="10"/>
      <c r="F250" s="10"/>
      <c r="G250" s="10"/>
      <c r="H250" s="10"/>
      <c r="I250" s="10"/>
      <c r="N250" s="10"/>
      <c r="P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U250" s="10"/>
      <c r="AV250" s="10"/>
      <c r="AW250" s="143"/>
      <c r="BE250" s="10"/>
      <c r="BF250" s="10"/>
      <c r="BG250" s="10"/>
      <c r="BH250" s="10"/>
      <c r="BI250" s="10"/>
      <c r="BJ250" s="10"/>
      <c r="BK250" s="10"/>
      <c r="BS250" s="10"/>
      <c r="BT250" s="10"/>
      <c r="BW250" s="10"/>
    </row>
    <row r="251">
      <c r="A251" s="10"/>
      <c r="B251" s="10"/>
      <c r="C251" s="10"/>
      <c r="D251" s="10"/>
      <c r="E251" s="10"/>
      <c r="F251" s="10"/>
      <c r="G251" s="10"/>
      <c r="H251" s="10"/>
      <c r="J251" s="10"/>
      <c r="N251" s="10"/>
      <c r="T251" s="10"/>
      <c r="U251" s="10"/>
      <c r="V251" s="10"/>
      <c r="W251" s="245"/>
      <c r="X251" s="10"/>
      <c r="Y251" s="10"/>
      <c r="Z251" s="10"/>
      <c r="AA251" s="10"/>
      <c r="AB251" s="10"/>
      <c r="AC251" s="10"/>
      <c r="AD251" s="10"/>
      <c r="AE251" s="10"/>
      <c r="AF251" s="10"/>
      <c r="AG251" s="10"/>
      <c r="AH251" s="10"/>
      <c r="AI251" s="10"/>
      <c r="AJ251" s="10"/>
      <c r="AK251" s="10"/>
      <c r="AL251" s="10"/>
      <c r="AM251" s="10"/>
      <c r="AN251" s="10"/>
      <c r="AO251" s="10"/>
      <c r="AP251" s="10"/>
      <c r="AQ251" s="10"/>
      <c r="AT251" s="10"/>
      <c r="AU251" s="10"/>
      <c r="AV251" s="10"/>
      <c r="AW251" s="143"/>
      <c r="AZ251" s="10"/>
      <c r="BS251" s="10"/>
      <c r="BT251" s="10"/>
      <c r="BW251" s="10"/>
    </row>
    <row r="252">
      <c r="A252" s="10"/>
      <c r="B252" s="10"/>
      <c r="C252" s="10"/>
      <c r="D252" s="10"/>
      <c r="E252" s="10"/>
      <c r="F252" s="10"/>
      <c r="G252" s="10"/>
      <c r="H252" s="10"/>
      <c r="I252" s="10"/>
      <c r="N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U252" s="10"/>
      <c r="AV252" s="10"/>
      <c r="AW252" s="143"/>
      <c r="BS252" s="10"/>
      <c r="BT252" s="10"/>
      <c r="BW252" s="10"/>
    </row>
    <row r="253">
      <c r="A253" s="10"/>
      <c r="B253" s="10"/>
      <c r="C253" s="10"/>
      <c r="D253" s="10"/>
      <c r="E253" s="10"/>
      <c r="F253" s="10"/>
      <c r="G253" s="10"/>
      <c r="H253" s="10"/>
      <c r="I253" s="10"/>
      <c r="N253" s="10"/>
      <c r="P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U253" s="10"/>
      <c r="AV253" s="10"/>
      <c r="AW253" s="143"/>
      <c r="BE253" s="10"/>
      <c r="BF253" s="10"/>
      <c r="BG253" s="10"/>
      <c r="BH253" s="10"/>
      <c r="BI253" s="10"/>
      <c r="BJ253" s="10"/>
      <c r="BK253" s="10"/>
      <c r="BS253" s="10"/>
      <c r="BT253" s="10"/>
      <c r="BW253" s="10"/>
    </row>
    <row r="254">
      <c r="A254" s="10"/>
      <c r="B254" s="10"/>
      <c r="C254" s="10"/>
      <c r="D254" s="10"/>
      <c r="E254" s="10"/>
      <c r="F254" s="10"/>
      <c r="G254" s="10"/>
      <c r="H254" s="10"/>
      <c r="I254" s="10"/>
      <c r="J254" s="10"/>
      <c r="N254" s="10"/>
      <c r="P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U254" s="10"/>
      <c r="AV254" s="10"/>
      <c r="AW254" s="143"/>
      <c r="BE254" s="10"/>
      <c r="BF254" s="10"/>
      <c r="BG254" s="10"/>
      <c r="BH254" s="10"/>
      <c r="BI254" s="10"/>
      <c r="BJ254" s="10"/>
      <c r="BK254" s="10"/>
      <c r="BS254" s="10"/>
      <c r="BT254" s="10"/>
      <c r="BW254" s="10"/>
    </row>
    <row r="255">
      <c r="A255" s="10"/>
      <c r="B255" s="10"/>
      <c r="C255" s="10"/>
      <c r="D255" s="10"/>
      <c r="E255" s="10"/>
      <c r="F255" s="10"/>
      <c r="G255" s="10"/>
      <c r="H255" s="10"/>
      <c r="I255" s="10"/>
      <c r="N255" s="10"/>
      <c r="O255" s="10"/>
      <c r="P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U255" s="10"/>
      <c r="AV255" s="10"/>
      <c r="AW255" s="143"/>
      <c r="BE255" s="10"/>
      <c r="BF255" s="10"/>
      <c r="BG255" s="10"/>
      <c r="BH255" s="10"/>
      <c r="BI255" s="10"/>
      <c r="BJ255" s="10"/>
      <c r="BK255" s="10"/>
      <c r="BS255" s="10"/>
      <c r="BT255" s="10"/>
      <c r="BW255" s="10"/>
    </row>
    <row r="256">
      <c r="A256" s="10"/>
      <c r="B256" s="10"/>
      <c r="C256" s="10"/>
      <c r="D256" s="10"/>
      <c r="E256" s="10"/>
      <c r="F256" s="10"/>
      <c r="G256" s="10"/>
      <c r="H256" s="10"/>
      <c r="I256" s="10"/>
      <c r="N256" s="10"/>
      <c r="P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U256" s="10"/>
      <c r="AV256" s="10"/>
      <c r="AW256" s="143"/>
      <c r="BE256" s="10"/>
      <c r="BF256" s="10"/>
      <c r="BG256" s="10"/>
      <c r="BH256" s="10"/>
      <c r="BI256" s="10"/>
      <c r="BJ256" s="10"/>
      <c r="BK256" s="10"/>
      <c r="BS256" s="10"/>
      <c r="BT256" s="10"/>
      <c r="BW256" s="10"/>
    </row>
    <row r="257">
      <c r="A257" s="10"/>
      <c r="B257" s="10"/>
      <c r="C257" s="10"/>
      <c r="D257" s="10"/>
      <c r="E257" s="10"/>
      <c r="F257" s="10"/>
      <c r="G257" s="10"/>
      <c r="H257" s="10"/>
      <c r="K257" s="10"/>
      <c r="L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W257" s="143"/>
      <c r="BE257" s="10"/>
      <c r="BF257" s="10"/>
      <c r="BG257" s="10"/>
      <c r="BH257" s="10"/>
      <c r="BI257" s="10"/>
      <c r="BJ257" s="10"/>
      <c r="BK257" s="10"/>
      <c r="BL257" s="10"/>
      <c r="BO257" s="10"/>
      <c r="BR257" s="10"/>
      <c r="BS257" s="10"/>
      <c r="BT257" s="10"/>
      <c r="BW257" s="10"/>
    </row>
    <row r="258">
      <c r="A258" s="10"/>
      <c r="B258" s="10"/>
      <c r="C258" s="10"/>
      <c r="D258" s="10"/>
      <c r="E258" s="10"/>
      <c r="F258" s="10"/>
      <c r="G258" s="10"/>
      <c r="H258" s="10"/>
      <c r="K258" s="10"/>
      <c r="L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W258" s="143"/>
      <c r="AZ258" s="10"/>
      <c r="BE258" s="10"/>
      <c r="BF258" s="10"/>
      <c r="BG258" s="10"/>
      <c r="BH258" s="10"/>
      <c r="BI258" s="10"/>
      <c r="BJ258" s="10"/>
      <c r="BK258" s="10"/>
      <c r="BS258" s="10"/>
      <c r="BT258" s="10"/>
      <c r="BW258" s="10"/>
    </row>
    <row r="259">
      <c r="A259" s="10"/>
      <c r="B259" s="10"/>
      <c r="C259" s="10"/>
      <c r="D259" s="10"/>
      <c r="E259" s="10"/>
      <c r="F259" s="10"/>
      <c r="G259" s="10"/>
      <c r="H259" s="10"/>
      <c r="K259" s="10"/>
      <c r="L259" s="10"/>
      <c r="P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W259" s="143"/>
      <c r="AZ259" s="10"/>
      <c r="BE259" s="10"/>
      <c r="BF259" s="10"/>
      <c r="BG259" s="10"/>
      <c r="BH259" s="10"/>
      <c r="BI259" s="10"/>
      <c r="BJ259" s="10"/>
      <c r="BK259" s="10"/>
      <c r="BS259" s="10"/>
      <c r="BT259" s="10"/>
      <c r="BW259" s="10"/>
    </row>
    <row r="260">
      <c r="A260" s="10"/>
      <c r="B260" s="10"/>
      <c r="C260" s="10"/>
      <c r="D260" s="10"/>
      <c r="E260" s="10"/>
      <c r="F260" s="10"/>
      <c r="G260" s="10"/>
      <c r="H260" s="10"/>
      <c r="I260" s="10"/>
      <c r="K260" s="10"/>
      <c r="L260" s="10"/>
      <c r="N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R260" s="10"/>
      <c r="AS260" s="10"/>
      <c r="AW260" s="143"/>
      <c r="AZ260" s="10"/>
      <c r="BE260" s="10"/>
      <c r="BF260" s="10"/>
      <c r="BG260" s="10"/>
      <c r="BH260" s="10"/>
      <c r="BI260" s="10"/>
      <c r="BJ260" s="10"/>
      <c r="BK260" s="10"/>
      <c r="BL260" s="10"/>
      <c r="BM260" s="10"/>
      <c r="BN260" s="10"/>
      <c r="BO260" s="10"/>
      <c r="BP260" s="10"/>
      <c r="BQ260" s="10"/>
      <c r="BR260" s="10"/>
      <c r="BS260" s="10"/>
      <c r="BT260" s="10"/>
      <c r="BW260" s="10"/>
    </row>
    <row r="261">
      <c r="A261" s="10"/>
      <c r="B261" s="10"/>
      <c r="C261" s="10"/>
      <c r="D261" s="10"/>
      <c r="E261" s="10"/>
      <c r="F261" s="10"/>
      <c r="G261" s="10"/>
      <c r="H261" s="10"/>
      <c r="I261" s="10"/>
      <c r="K261" s="10"/>
      <c r="L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R261" s="10"/>
      <c r="AS261" s="10"/>
      <c r="AT261" s="10"/>
      <c r="AW261" s="143"/>
      <c r="BA261" s="10"/>
      <c r="BD261" s="10"/>
      <c r="BE261" s="10"/>
      <c r="BF261" s="10"/>
      <c r="BG261" s="10"/>
      <c r="BH261" s="10"/>
      <c r="BI261" s="10"/>
      <c r="BJ261" s="10"/>
      <c r="BK261" s="10"/>
      <c r="BL261" s="10"/>
      <c r="BM261" s="10"/>
      <c r="BP261" s="10"/>
      <c r="BS261" s="10"/>
      <c r="BT261" s="10"/>
      <c r="BV261" s="10"/>
      <c r="BW261" s="10"/>
    </row>
    <row r="262">
      <c r="A262" s="10"/>
      <c r="B262" s="10"/>
      <c r="C262" s="10"/>
      <c r="D262" s="10"/>
      <c r="E262" s="10"/>
      <c r="F262" s="10"/>
      <c r="G262" s="10"/>
      <c r="H262" s="10"/>
      <c r="I262" s="10"/>
      <c r="K262" s="10"/>
      <c r="L262" s="10"/>
      <c r="N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W262" s="143"/>
      <c r="BA262" s="10"/>
      <c r="BD262" s="10"/>
      <c r="BE262" s="10"/>
      <c r="BF262" s="10"/>
      <c r="BG262" s="10"/>
      <c r="BH262" s="10"/>
      <c r="BI262" s="10"/>
      <c r="BJ262" s="10"/>
      <c r="BK262" s="10"/>
      <c r="BL262" s="10"/>
      <c r="BM262" s="10"/>
      <c r="BN262" s="10"/>
      <c r="BO262" s="10"/>
      <c r="BP262" s="10"/>
      <c r="BQ262" s="10"/>
      <c r="BR262" s="10"/>
      <c r="BS262" s="10"/>
      <c r="BT262" s="10"/>
      <c r="BV262" s="10"/>
      <c r="BW262" s="10"/>
    </row>
    <row r="263">
      <c r="A263" s="10"/>
      <c r="B263" s="10"/>
      <c r="C263" s="10"/>
      <c r="D263" s="10"/>
      <c r="E263" s="10"/>
      <c r="F263" s="10"/>
      <c r="G263" s="10"/>
      <c r="H263" s="10"/>
      <c r="I263" s="10"/>
      <c r="J263" s="10"/>
      <c r="K263" s="10"/>
      <c r="L263" s="10"/>
      <c r="N263" s="10"/>
      <c r="P263" s="10"/>
      <c r="U263" s="10"/>
      <c r="V263" s="10"/>
      <c r="W263" s="10"/>
      <c r="X263" s="10"/>
      <c r="Y263" s="10"/>
      <c r="Z263" s="10"/>
      <c r="AA263" s="10"/>
      <c r="AB263" s="10"/>
      <c r="AC263" s="10"/>
      <c r="AD263" s="10"/>
      <c r="AE263" s="10"/>
      <c r="AF263" s="10"/>
      <c r="AG263" s="10"/>
      <c r="AH263" s="10"/>
      <c r="AI263" s="10"/>
      <c r="AJ263" s="10"/>
      <c r="AK263" s="10"/>
      <c r="AL263" s="10"/>
      <c r="AM263" s="10"/>
      <c r="AN263" s="10"/>
      <c r="AO263" s="10"/>
      <c r="AR263" s="10"/>
      <c r="AS263" s="10"/>
      <c r="AT263" s="10"/>
      <c r="AW263" s="143"/>
      <c r="BA263" s="10"/>
      <c r="BD263" s="10"/>
      <c r="BE263" s="10"/>
      <c r="BF263" s="10"/>
      <c r="BG263" s="10"/>
      <c r="BH263" s="10"/>
      <c r="BI263" s="10"/>
      <c r="BJ263" s="10"/>
      <c r="BK263" s="10"/>
      <c r="BT263" s="10"/>
      <c r="BV263" s="10"/>
      <c r="BW263" s="10"/>
    </row>
    <row r="264">
      <c r="A264" s="10"/>
      <c r="B264" s="10"/>
      <c r="C264" s="10"/>
      <c r="D264" s="10"/>
      <c r="E264" s="10"/>
      <c r="F264" s="10"/>
      <c r="G264" s="10"/>
      <c r="H264" s="10"/>
      <c r="I264" s="10"/>
      <c r="K264" s="10"/>
      <c r="L264" s="10"/>
      <c r="N264" s="10"/>
      <c r="Q264" s="10"/>
      <c r="R264" s="10"/>
      <c r="S264" s="10"/>
      <c r="V264" s="10"/>
      <c r="W264" s="10"/>
      <c r="X264" s="10"/>
      <c r="Y264" s="10"/>
      <c r="Z264" s="10"/>
      <c r="AA264" s="10"/>
      <c r="AB264" s="10"/>
      <c r="AC264" s="10"/>
      <c r="AD264" s="10"/>
      <c r="AE264" s="10"/>
      <c r="AF264" s="10"/>
      <c r="AG264" s="10"/>
      <c r="AH264" s="10"/>
      <c r="AI264" s="10"/>
      <c r="AJ264" s="10"/>
      <c r="AK264" s="10"/>
      <c r="AL264" s="10"/>
      <c r="AM264" s="10"/>
      <c r="AN264" s="10"/>
      <c r="AO264" s="10"/>
      <c r="AR264" s="10"/>
      <c r="AS264" s="10"/>
      <c r="AT264" s="10"/>
      <c r="AW264" s="143"/>
      <c r="BA264" s="10"/>
      <c r="BD264" s="10"/>
      <c r="BE264" s="10"/>
      <c r="BF264" s="10"/>
      <c r="BG264" s="10"/>
      <c r="BH264" s="10"/>
      <c r="BI264" s="10"/>
      <c r="BJ264" s="10"/>
      <c r="BK264" s="10"/>
      <c r="BN264" s="10"/>
      <c r="BQ264" s="10"/>
      <c r="BT264" s="10"/>
      <c r="BV264" s="10"/>
      <c r="BW264" s="10"/>
    </row>
    <row r="265">
      <c r="A265" s="10"/>
      <c r="B265" s="10"/>
      <c r="C265" s="10"/>
      <c r="D265" s="10"/>
      <c r="E265" s="10"/>
      <c r="F265" s="10"/>
      <c r="G265" s="10"/>
      <c r="H265" s="10"/>
      <c r="I265" s="10"/>
      <c r="J265" s="10"/>
      <c r="K265" s="10"/>
      <c r="L265" s="10"/>
      <c r="P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R265" s="10"/>
      <c r="AS265" s="10"/>
      <c r="AT265" s="10"/>
      <c r="AU265" s="10"/>
      <c r="AV265" s="10"/>
      <c r="AW265" s="143"/>
      <c r="BA265" s="10"/>
      <c r="BD265" s="10"/>
      <c r="BS265" s="10"/>
      <c r="BT265" s="10"/>
      <c r="BV265" s="10"/>
      <c r="BW265" s="10"/>
    </row>
    <row r="266">
      <c r="A266" s="10"/>
      <c r="B266" s="10"/>
      <c r="C266" s="10"/>
      <c r="D266" s="10"/>
      <c r="E266" s="10"/>
      <c r="F266" s="10"/>
      <c r="G266" s="10"/>
      <c r="H266" s="10"/>
      <c r="K266" s="10"/>
      <c r="L266" s="10"/>
      <c r="O266" s="10"/>
      <c r="P266" s="10"/>
      <c r="V266" s="10"/>
      <c r="W266" s="10"/>
      <c r="X266" s="10"/>
      <c r="Y266" s="10"/>
      <c r="Z266" s="10"/>
      <c r="AA266" s="10"/>
      <c r="AB266" s="10"/>
      <c r="AC266" s="10"/>
      <c r="AD266" s="10"/>
      <c r="AE266" s="10"/>
      <c r="AF266" s="10"/>
      <c r="AG266" s="10"/>
      <c r="AH266" s="10"/>
      <c r="AI266" s="10"/>
      <c r="AJ266" s="10"/>
      <c r="AK266" s="10"/>
      <c r="AL266" s="10"/>
      <c r="AM266" s="10"/>
      <c r="AN266" s="10"/>
      <c r="AO266" s="10"/>
      <c r="AW266" s="143"/>
      <c r="BA266" s="10"/>
      <c r="BB266" s="10"/>
      <c r="BC266" s="10"/>
      <c r="BE266" s="10"/>
      <c r="BF266" s="10"/>
      <c r="BG266" s="10"/>
      <c r="BH266" s="10"/>
      <c r="BI266" s="10"/>
      <c r="BJ266" s="10"/>
      <c r="BK266" s="10"/>
      <c r="BS266" s="10"/>
      <c r="BT266" s="10"/>
      <c r="BV266" s="10"/>
      <c r="BW266" s="10"/>
    </row>
    <row r="267">
      <c r="A267" s="10"/>
      <c r="B267" s="10"/>
      <c r="C267" s="10"/>
      <c r="D267" s="10"/>
      <c r="E267" s="10"/>
      <c r="F267" s="10"/>
      <c r="G267" s="10"/>
      <c r="H267" s="10"/>
      <c r="K267" s="10"/>
      <c r="L267" s="10"/>
      <c r="V267" s="10"/>
      <c r="W267" s="10"/>
      <c r="X267" s="10"/>
      <c r="Y267" s="10"/>
      <c r="Z267" s="10"/>
      <c r="AA267" s="10"/>
      <c r="AB267" s="10"/>
      <c r="AC267" s="10"/>
      <c r="AD267" s="10"/>
      <c r="AE267" s="10"/>
      <c r="AF267" s="10"/>
      <c r="AG267" s="10"/>
      <c r="AH267" s="10"/>
      <c r="AI267" s="10"/>
      <c r="AJ267" s="10"/>
      <c r="AK267" s="10"/>
      <c r="AL267" s="10"/>
      <c r="AM267" s="10"/>
      <c r="AN267" s="10"/>
      <c r="AO267" s="10"/>
      <c r="AW267" s="143"/>
      <c r="BA267" s="10"/>
      <c r="BB267" s="10"/>
      <c r="BC267" s="10"/>
      <c r="BE267" s="10"/>
      <c r="BF267" s="10"/>
      <c r="BG267" s="10"/>
      <c r="BH267" s="10"/>
      <c r="BI267" s="10"/>
      <c r="BJ267" s="10"/>
      <c r="BK267" s="10"/>
      <c r="BS267" s="10"/>
      <c r="BT267" s="10"/>
      <c r="BV267" s="10"/>
      <c r="BW267" s="10"/>
    </row>
    <row r="268">
      <c r="A268" s="10"/>
      <c r="B268" s="10"/>
      <c r="C268" s="10"/>
      <c r="D268" s="10"/>
      <c r="E268" s="10"/>
      <c r="F268" s="10"/>
      <c r="G268" s="10"/>
      <c r="H268" s="10"/>
      <c r="J268" s="10"/>
      <c r="K268" s="10"/>
      <c r="L268" s="10"/>
      <c r="V268" s="10"/>
      <c r="W268" s="10"/>
      <c r="X268" s="10"/>
      <c r="Y268" s="10"/>
      <c r="Z268" s="10"/>
      <c r="AA268" s="10"/>
      <c r="AB268" s="10"/>
      <c r="AC268" s="10"/>
      <c r="AD268" s="10"/>
      <c r="AE268" s="10"/>
      <c r="AF268" s="10"/>
      <c r="AG268" s="10"/>
      <c r="AH268" s="10"/>
      <c r="AI268" s="10"/>
      <c r="AJ268" s="10"/>
      <c r="AK268" s="10"/>
      <c r="AL268" s="10"/>
      <c r="AM268" s="10"/>
      <c r="AN268" s="10"/>
      <c r="AO268" s="10"/>
      <c r="AW268" s="143"/>
      <c r="BA268" s="10"/>
      <c r="BB268" s="10"/>
      <c r="BC268" s="10"/>
      <c r="BE268" s="10"/>
      <c r="BF268" s="10"/>
      <c r="BG268" s="10"/>
      <c r="BH268" s="10"/>
      <c r="BI268" s="10"/>
      <c r="BJ268" s="10"/>
      <c r="BK268" s="10"/>
      <c r="BS268" s="10"/>
      <c r="BT268" s="10"/>
      <c r="BV268" s="10"/>
      <c r="BW268" s="10"/>
    </row>
    <row r="269">
      <c r="A269" s="10"/>
      <c r="B269" s="10"/>
      <c r="C269" s="10"/>
      <c r="D269" s="10"/>
      <c r="E269" s="10"/>
      <c r="F269" s="10"/>
      <c r="G269" s="10"/>
      <c r="H269" s="10"/>
      <c r="N269" s="10"/>
      <c r="V269" s="10"/>
      <c r="W269" s="10"/>
      <c r="X269" s="10"/>
      <c r="Y269" s="10"/>
      <c r="Z269" s="10"/>
      <c r="AA269" s="10"/>
      <c r="AB269" s="10"/>
      <c r="AC269" s="10"/>
      <c r="AD269" s="10"/>
      <c r="AE269" s="10"/>
      <c r="AF269" s="10"/>
      <c r="AG269" s="10"/>
      <c r="AH269" s="10"/>
      <c r="AI269" s="10"/>
      <c r="AJ269" s="10"/>
      <c r="AK269" s="10"/>
      <c r="AL269" s="10"/>
      <c r="AM269" s="10"/>
      <c r="AN269" s="10"/>
      <c r="AO269" s="10"/>
      <c r="AW269" s="143"/>
      <c r="BA269" s="10"/>
      <c r="BB269" s="10"/>
      <c r="BC269" s="10"/>
      <c r="BE269" s="10"/>
      <c r="BF269" s="10"/>
      <c r="BG269" s="10"/>
      <c r="BH269" s="10"/>
      <c r="BI269" s="10"/>
      <c r="BJ269" s="10"/>
      <c r="BK269" s="10"/>
      <c r="BS269" s="10"/>
      <c r="BT269" s="10"/>
      <c r="BV269" s="10"/>
      <c r="BW269" s="10"/>
    </row>
    <row r="270">
      <c r="A270" s="10"/>
      <c r="B270" s="10"/>
      <c r="C270" s="10"/>
      <c r="D270" s="10"/>
      <c r="E270" s="10"/>
      <c r="F270" s="10"/>
      <c r="G270" s="10"/>
      <c r="H270" s="10"/>
      <c r="K270" s="10"/>
      <c r="L270" s="10"/>
      <c r="N270" s="10"/>
      <c r="V270" s="10"/>
      <c r="W270" s="10"/>
      <c r="X270" s="10"/>
      <c r="Y270" s="10"/>
      <c r="Z270" s="10"/>
      <c r="AA270" s="10"/>
      <c r="AB270" s="10"/>
      <c r="AC270" s="10"/>
      <c r="AD270" s="10"/>
      <c r="AE270" s="10"/>
      <c r="AF270" s="10"/>
      <c r="AG270" s="10"/>
      <c r="AH270" s="10"/>
      <c r="AI270" s="10"/>
      <c r="AJ270" s="10"/>
      <c r="AK270" s="10"/>
      <c r="AL270" s="10"/>
      <c r="AM270" s="10"/>
      <c r="AN270" s="10"/>
      <c r="AO270" s="10"/>
      <c r="AW270" s="143"/>
      <c r="BA270" s="10"/>
      <c r="BB270" s="10"/>
      <c r="BC270" s="10"/>
      <c r="BD270" s="10"/>
      <c r="BE270" s="10"/>
      <c r="BF270" s="10"/>
      <c r="BG270" s="10"/>
      <c r="BH270" s="10"/>
      <c r="BI270" s="10"/>
      <c r="BJ270" s="10"/>
      <c r="BK270" s="10"/>
      <c r="BS270" s="10"/>
      <c r="BT270" s="10"/>
      <c r="BV270" s="10"/>
      <c r="BW270" s="10"/>
    </row>
    <row r="271">
      <c r="A271" s="10"/>
      <c r="B271" s="10"/>
      <c r="C271" s="10"/>
      <c r="D271" s="10"/>
      <c r="E271" s="10"/>
      <c r="F271" s="10"/>
      <c r="G271" s="10"/>
      <c r="H271" s="10"/>
      <c r="J271" s="10"/>
      <c r="K271" s="10"/>
      <c r="L271" s="10"/>
      <c r="N271" s="10"/>
      <c r="V271" s="10"/>
      <c r="W271" s="10"/>
      <c r="X271" s="10"/>
      <c r="Y271" s="10"/>
      <c r="Z271" s="10"/>
      <c r="AA271" s="10"/>
      <c r="AB271" s="10"/>
      <c r="AC271" s="10"/>
      <c r="AD271" s="10"/>
      <c r="AE271" s="10"/>
      <c r="AF271" s="10"/>
      <c r="AG271" s="10"/>
      <c r="AH271" s="10"/>
      <c r="AI271" s="10"/>
      <c r="AJ271" s="10"/>
      <c r="AK271" s="10"/>
      <c r="AL271" s="10"/>
      <c r="AM271" s="10"/>
      <c r="AN271" s="10"/>
      <c r="AO271" s="10"/>
      <c r="AW271" s="143"/>
      <c r="BA271" s="10"/>
      <c r="BB271" s="10"/>
      <c r="BC271" s="10"/>
      <c r="BD271" s="10"/>
      <c r="BE271" s="10"/>
      <c r="BF271" s="10"/>
      <c r="BG271" s="10"/>
      <c r="BH271" s="10"/>
      <c r="BI271" s="10"/>
      <c r="BJ271" s="10"/>
      <c r="BK271" s="10"/>
      <c r="BS271" s="10"/>
      <c r="BT271" s="10"/>
      <c r="BV271" s="10"/>
      <c r="BW271" s="10"/>
    </row>
    <row r="272">
      <c r="A272" s="10"/>
      <c r="B272" s="10"/>
      <c r="C272" s="10"/>
      <c r="D272" s="10"/>
      <c r="E272" s="10"/>
      <c r="F272" s="10"/>
      <c r="G272" s="10"/>
      <c r="H272" s="10"/>
      <c r="K272" s="10"/>
      <c r="L272" s="10"/>
      <c r="N272" s="10"/>
      <c r="P272" s="10"/>
      <c r="V272" s="10"/>
      <c r="W272" s="10"/>
      <c r="X272" s="10"/>
      <c r="Y272" s="10"/>
      <c r="Z272" s="10"/>
      <c r="AA272" s="10"/>
      <c r="AB272" s="10"/>
      <c r="AC272" s="10"/>
      <c r="AD272" s="10"/>
      <c r="AE272" s="10"/>
      <c r="AF272" s="10"/>
      <c r="AG272" s="10"/>
      <c r="AH272" s="10"/>
      <c r="AI272" s="10"/>
      <c r="AJ272" s="10"/>
      <c r="AK272" s="10"/>
      <c r="AL272" s="10"/>
      <c r="AM272" s="10"/>
      <c r="AN272" s="10"/>
      <c r="AO272" s="10"/>
      <c r="AW272" s="143"/>
      <c r="BA272" s="10"/>
      <c r="BB272" s="10"/>
      <c r="BC272" s="10"/>
      <c r="BD272" s="10"/>
      <c r="BE272" s="10"/>
      <c r="BF272" s="10"/>
      <c r="BG272" s="10"/>
      <c r="BH272" s="10"/>
      <c r="BI272" s="10"/>
      <c r="BJ272" s="10"/>
      <c r="BK272" s="10"/>
      <c r="BS272" s="10"/>
      <c r="BT272" s="10"/>
      <c r="BV272" s="10"/>
      <c r="BW272" s="10"/>
    </row>
    <row r="273">
      <c r="A273" s="10"/>
      <c r="B273" s="10"/>
      <c r="C273" s="10"/>
      <c r="D273" s="10"/>
      <c r="E273" s="10"/>
      <c r="F273" s="10"/>
      <c r="G273" s="10"/>
      <c r="H273" s="10"/>
      <c r="J273" s="10"/>
      <c r="K273" s="10"/>
      <c r="L273" s="10"/>
      <c r="N273" s="10"/>
      <c r="V273" s="10"/>
      <c r="W273" s="10"/>
      <c r="X273" s="10"/>
      <c r="Y273" s="10"/>
      <c r="Z273" s="10"/>
      <c r="AA273" s="10"/>
      <c r="AB273" s="10"/>
      <c r="AC273" s="10"/>
      <c r="AD273" s="10"/>
      <c r="AE273" s="10"/>
      <c r="AF273" s="10"/>
      <c r="AG273" s="10"/>
      <c r="AH273" s="10"/>
      <c r="AI273" s="10"/>
      <c r="AJ273" s="10"/>
      <c r="AK273" s="10"/>
      <c r="AL273" s="10"/>
      <c r="AM273" s="10"/>
      <c r="AN273" s="10"/>
      <c r="AO273" s="10"/>
      <c r="AW273" s="143"/>
      <c r="BA273" s="10"/>
      <c r="BB273" s="10"/>
      <c r="BC273" s="10"/>
      <c r="BD273" s="10"/>
      <c r="BE273" s="10"/>
      <c r="BF273" s="10"/>
      <c r="BG273" s="10"/>
      <c r="BH273" s="10"/>
      <c r="BI273" s="10"/>
      <c r="BJ273" s="10"/>
      <c r="BK273" s="10"/>
      <c r="BS273" s="10"/>
      <c r="BT273" s="10"/>
      <c r="BV273" s="10"/>
      <c r="BW273" s="10"/>
    </row>
    <row r="274" ht="63.75" customHeight="1">
      <c r="A274" s="10"/>
      <c r="B274" s="10"/>
      <c r="C274" s="10"/>
      <c r="D274" s="10"/>
      <c r="E274" s="10"/>
      <c r="F274" s="10"/>
      <c r="G274" s="10"/>
      <c r="H274" s="10"/>
      <c r="K274" s="10"/>
      <c r="L274" s="10"/>
      <c r="P274" s="10"/>
      <c r="V274" s="10"/>
      <c r="W274" s="10"/>
      <c r="X274" s="10"/>
      <c r="Y274" s="10"/>
      <c r="Z274" s="10"/>
      <c r="AA274" s="10"/>
      <c r="AB274" s="10"/>
      <c r="AC274" s="10"/>
      <c r="AD274" s="10"/>
      <c r="AE274" s="10"/>
      <c r="AF274" s="10"/>
      <c r="AG274" s="10"/>
      <c r="AH274" s="10"/>
      <c r="AI274" s="10"/>
      <c r="AJ274" s="10"/>
      <c r="AK274" s="10"/>
      <c r="AL274" s="10"/>
      <c r="AM274" s="10"/>
      <c r="AN274" s="10"/>
      <c r="AO274" s="10"/>
      <c r="AW274" s="244"/>
      <c r="BA274" s="10"/>
      <c r="BB274" s="10"/>
      <c r="BC274" s="10"/>
      <c r="BD274" s="10"/>
      <c r="BE274" s="10"/>
      <c r="BF274" s="10"/>
      <c r="BG274" s="10"/>
      <c r="BH274" s="10"/>
      <c r="BI274" s="10"/>
      <c r="BJ274" s="10"/>
      <c r="BK274" s="10"/>
      <c r="BS274" s="10"/>
      <c r="BT274" s="10"/>
      <c r="BV274" s="10"/>
      <c r="BW274" s="10"/>
    </row>
    <row r="275">
      <c r="A275" s="10"/>
      <c r="B275" s="10"/>
      <c r="C275" s="10"/>
      <c r="D275" s="10"/>
      <c r="E275" s="10"/>
      <c r="F275" s="10"/>
      <c r="G275" s="10"/>
      <c r="H275" s="10"/>
      <c r="K275" s="10"/>
      <c r="L275" s="10"/>
      <c r="P275" s="10"/>
      <c r="V275" s="10"/>
      <c r="W275" s="10"/>
      <c r="X275" s="10"/>
      <c r="Y275" s="10"/>
      <c r="Z275" s="10"/>
      <c r="AA275" s="10"/>
      <c r="AB275" s="10"/>
      <c r="AC275" s="10"/>
      <c r="AD275" s="10"/>
      <c r="AE275" s="10"/>
      <c r="AF275" s="10"/>
      <c r="AG275" s="10"/>
      <c r="AH275" s="10"/>
      <c r="AI275" s="10"/>
      <c r="AJ275" s="10"/>
      <c r="AK275" s="10"/>
      <c r="AL275" s="10"/>
      <c r="AM275" s="10"/>
      <c r="AN275" s="10"/>
      <c r="AO275" s="10"/>
      <c r="AW275" s="143"/>
      <c r="BA275" s="10"/>
      <c r="BB275" s="10"/>
      <c r="BC275" s="10"/>
      <c r="BD275" s="10"/>
      <c r="BE275" s="10"/>
      <c r="BF275" s="10"/>
      <c r="BG275" s="10"/>
      <c r="BH275" s="10"/>
      <c r="BI275" s="10"/>
      <c r="BJ275" s="10"/>
      <c r="BK275" s="10"/>
      <c r="BS275" s="10"/>
      <c r="BT275" s="10"/>
      <c r="BV275" s="10"/>
      <c r="BW275" s="10"/>
    </row>
    <row r="276">
      <c r="A276" s="10"/>
      <c r="B276" s="10"/>
      <c r="C276" s="10"/>
      <c r="D276" s="10"/>
      <c r="E276" s="10"/>
      <c r="F276" s="10"/>
      <c r="G276" s="10"/>
      <c r="H276" s="10"/>
      <c r="K276" s="10"/>
      <c r="L276" s="10"/>
      <c r="Q276" s="10"/>
      <c r="R276" s="10"/>
      <c r="S276" s="10"/>
      <c r="V276" s="10"/>
      <c r="W276" s="10"/>
      <c r="X276" s="10"/>
      <c r="Y276" s="10"/>
      <c r="Z276" s="10"/>
      <c r="AA276" s="10"/>
      <c r="AB276" s="10"/>
      <c r="AC276" s="10"/>
      <c r="AD276" s="10"/>
      <c r="AE276" s="10"/>
      <c r="AF276" s="10"/>
      <c r="AG276" s="10"/>
      <c r="AH276" s="10"/>
      <c r="AI276" s="10"/>
      <c r="AJ276" s="10"/>
      <c r="AK276" s="10"/>
      <c r="AL276" s="10"/>
      <c r="AM276" s="10"/>
      <c r="AN276" s="10"/>
      <c r="AO276" s="10"/>
      <c r="AW276" s="143"/>
      <c r="BA276" s="10"/>
      <c r="BB276" s="10"/>
      <c r="BC276" s="10"/>
      <c r="BD276" s="10"/>
      <c r="BE276" s="10"/>
      <c r="BF276" s="10"/>
      <c r="BG276" s="10"/>
      <c r="BH276" s="10"/>
      <c r="BI276" s="10"/>
      <c r="BJ276" s="10"/>
      <c r="BK276" s="10"/>
      <c r="BM276" s="10"/>
      <c r="BN276" s="10"/>
      <c r="BO276" s="10"/>
      <c r="BP276" s="10"/>
      <c r="BQ276" s="10"/>
      <c r="BR276" s="10"/>
      <c r="BS276" s="10"/>
      <c r="BT276" s="10"/>
      <c r="BU276" s="10"/>
      <c r="BV276" s="10"/>
      <c r="BW276" s="10"/>
    </row>
    <row r="277">
      <c r="A277" s="10"/>
      <c r="B277" s="10"/>
      <c r="C277" s="10"/>
      <c r="D277" s="10"/>
      <c r="E277" s="10"/>
      <c r="F277" s="10"/>
      <c r="G277" s="10"/>
      <c r="H277" s="10"/>
      <c r="K277" s="10"/>
      <c r="L277" s="10"/>
      <c r="V277" s="10"/>
      <c r="W277" s="10"/>
      <c r="X277" s="10"/>
      <c r="Y277" s="10"/>
      <c r="Z277" s="10"/>
      <c r="AA277" s="10"/>
      <c r="AB277" s="10"/>
      <c r="AC277" s="10"/>
      <c r="AD277" s="10"/>
      <c r="AE277" s="10"/>
      <c r="AF277" s="10"/>
      <c r="AG277" s="10"/>
      <c r="AH277" s="10"/>
      <c r="AI277" s="10"/>
      <c r="AJ277" s="10"/>
      <c r="AK277" s="10"/>
      <c r="AL277" s="10"/>
      <c r="AM277" s="10"/>
      <c r="AN277" s="10"/>
      <c r="AO277" s="10"/>
      <c r="AW277" s="143"/>
      <c r="BA277" s="10"/>
      <c r="BB277" s="10"/>
      <c r="BC277" s="10"/>
      <c r="BD277" s="10"/>
      <c r="BE277" s="10"/>
      <c r="BF277" s="10"/>
      <c r="BG277" s="10"/>
      <c r="BH277" s="10"/>
      <c r="BI277" s="10"/>
      <c r="BJ277" s="10"/>
      <c r="BK277" s="10"/>
      <c r="BS277" s="10"/>
      <c r="BT277" s="10"/>
      <c r="BV277" s="10"/>
      <c r="BW277" s="10"/>
    </row>
    <row r="278">
      <c r="A278" s="10"/>
      <c r="B278" s="10"/>
      <c r="C278" s="10"/>
      <c r="D278" s="10"/>
      <c r="E278" s="10"/>
      <c r="F278" s="10"/>
      <c r="G278" s="10"/>
      <c r="H278" s="10"/>
      <c r="K278" s="10"/>
      <c r="L278" s="10"/>
      <c r="V278" s="10"/>
      <c r="W278" s="10"/>
      <c r="X278" s="10"/>
      <c r="Y278" s="10"/>
      <c r="Z278" s="10"/>
      <c r="AA278" s="10"/>
      <c r="AB278" s="10"/>
      <c r="AC278" s="10"/>
      <c r="AD278" s="10"/>
      <c r="AE278" s="10"/>
      <c r="AF278" s="10"/>
      <c r="AG278" s="10"/>
      <c r="AH278" s="10"/>
      <c r="AI278" s="10"/>
      <c r="AJ278" s="10"/>
      <c r="AK278" s="10"/>
      <c r="AL278" s="10"/>
      <c r="AM278" s="10"/>
      <c r="AN278" s="10"/>
      <c r="AO278" s="10"/>
      <c r="AW278" s="143"/>
      <c r="BA278" s="10"/>
      <c r="BB278" s="10"/>
      <c r="BC278" s="10"/>
      <c r="BD278" s="10"/>
      <c r="BE278" s="10"/>
      <c r="BF278" s="10"/>
      <c r="BG278" s="10"/>
      <c r="BH278" s="10"/>
      <c r="BI278" s="10"/>
      <c r="BJ278" s="10"/>
      <c r="BK278" s="10"/>
      <c r="BS278" s="10"/>
      <c r="BT278" s="10"/>
      <c r="BV278" s="10"/>
      <c r="BW278" s="10"/>
    </row>
    <row r="279">
      <c r="A279" s="10"/>
      <c r="B279" s="10"/>
      <c r="C279" s="10"/>
      <c r="D279" s="10"/>
      <c r="E279" s="10"/>
      <c r="F279" s="10"/>
      <c r="G279" s="10"/>
      <c r="H279" s="10"/>
      <c r="J279" s="10"/>
      <c r="K279" s="10"/>
      <c r="L279" s="10"/>
      <c r="V279" s="10"/>
      <c r="W279" s="10"/>
      <c r="X279" s="10"/>
      <c r="Y279" s="10"/>
      <c r="Z279" s="10"/>
      <c r="AA279" s="10"/>
      <c r="AB279" s="10"/>
      <c r="AC279" s="10"/>
      <c r="AD279" s="10"/>
      <c r="AE279" s="10"/>
      <c r="AF279" s="10"/>
      <c r="AG279" s="10"/>
      <c r="AH279" s="10"/>
      <c r="AI279" s="10"/>
      <c r="AJ279" s="10"/>
      <c r="AK279" s="10"/>
      <c r="AL279" s="10"/>
      <c r="AM279" s="10"/>
      <c r="AN279" s="10"/>
      <c r="AO279" s="10"/>
      <c r="AW279" s="143"/>
      <c r="BA279" s="10"/>
      <c r="BB279" s="10"/>
      <c r="BC279" s="10"/>
      <c r="BD279" s="10"/>
      <c r="BE279" s="10"/>
      <c r="BF279" s="10"/>
      <c r="BG279" s="10"/>
      <c r="BH279" s="10"/>
      <c r="BI279" s="10"/>
      <c r="BJ279" s="10"/>
      <c r="BK279" s="10"/>
      <c r="BS279" s="10"/>
      <c r="BT279" s="10"/>
      <c r="BV279" s="10"/>
      <c r="BW279" s="10"/>
    </row>
    <row r="280">
      <c r="A280" s="10"/>
      <c r="B280" s="10"/>
      <c r="C280" s="10"/>
      <c r="D280" s="10"/>
      <c r="E280" s="10"/>
      <c r="F280" s="10"/>
      <c r="G280" s="10"/>
      <c r="H280" s="10"/>
      <c r="J280" s="10"/>
      <c r="K280" s="10"/>
      <c r="L280" s="10"/>
      <c r="V280" s="10"/>
      <c r="W280" s="10"/>
      <c r="X280" s="10"/>
      <c r="Y280" s="10"/>
      <c r="Z280" s="10"/>
      <c r="AA280" s="10"/>
      <c r="AB280" s="10"/>
      <c r="AC280" s="10"/>
      <c r="AD280" s="10"/>
      <c r="AE280" s="10"/>
      <c r="AF280" s="10"/>
      <c r="AG280" s="10"/>
      <c r="AH280" s="10"/>
      <c r="AI280" s="10"/>
      <c r="AJ280" s="10"/>
      <c r="AK280" s="10"/>
      <c r="AL280" s="10"/>
      <c r="AM280" s="10"/>
      <c r="AN280" s="10"/>
      <c r="AO280" s="10"/>
      <c r="AW280" s="143"/>
      <c r="BA280" s="10"/>
      <c r="BB280" s="10"/>
      <c r="BC280" s="10"/>
      <c r="BD280" s="10"/>
      <c r="BE280" s="10"/>
      <c r="BF280" s="10"/>
      <c r="BG280" s="10"/>
      <c r="BH280" s="10"/>
      <c r="BI280" s="10"/>
      <c r="BJ280" s="10"/>
      <c r="BK280" s="10"/>
      <c r="BS280" s="10"/>
      <c r="BT280" s="10"/>
      <c r="BV280" s="10"/>
      <c r="BW280" s="10"/>
    </row>
    <row r="281">
      <c r="A281" s="10"/>
      <c r="B281" s="10"/>
      <c r="C281" s="10"/>
      <c r="D281" s="10"/>
      <c r="E281" s="10"/>
      <c r="F281" s="10"/>
      <c r="G281" s="10"/>
      <c r="H281" s="10"/>
      <c r="K281" s="10"/>
      <c r="L281" s="10"/>
      <c r="Q281" s="10"/>
      <c r="R281" s="10"/>
      <c r="S281" s="10"/>
      <c r="V281" s="10"/>
      <c r="W281" s="10"/>
      <c r="X281" s="10"/>
      <c r="Y281" s="10"/>
      <c r="Z281" s="10"/>
      <c r="AA281" s="10"/>
      <c r="AB281" s="10"/>
      <c r="AC281" s="10"/>
      <c r="AD281" s="10"/>
      <c r="AE281" s="10"/>
      <c r="AF281" s="10"/>
      <c r="AG281" s="10"/>
      <c r="AH281" s="10"/>
      <c r="AI281" s="10"/>
      <c r="AJ281" s="10"/>
      <c r="AK281" s="10"/>
      <c r="AL281" s="10"/>
      <c r="AM281" s="10"/>
      <c r="AN281" s="10"/>
      <c r="AO281" s="10"/>
      <c r="AW281" s="143"/>
      <c r="BA281" s="10"/>
      <c r="BB281" s="10"/>
      <c r="BC281" s="10"/>
      <c r="BD281" s="10"/>
      <c r="BE281" s="10"/>
      <c r="BF281" s="10"/>
      <c r="BG281" s="10"/>
      <c r="BH281" s="10"/>
      <c r="BI281" s="10"/>
      <c r="BJ281" s="10"/>
      <c r="BK281" s="10"/>
      <c r="BM281" s="10"/>
      <c r="BN281" s="10"/>
      <c r="BP281" s="10"/>
      <c r="BQ281" s="10"/>
      <c r="BS281" s="10"/>
      <c r="BT281" s="10"/>
      <c r="BV281" s="10"/>
      <c r="BW281" s="10"/>
    </row>
    <row r="282">
      <c r="A282" s="10"/>
      <c r="B282" s="10"/>
      <c r="C282" s="10"/>
      <c r="D282" s="10"/>
      <c r="E282" s="10"/>
      <c r="F282" s="10"/>
      <c r="G282" s="10"/>
      <c r="H282" s="10"/>
      <c r="K282" s="10"/>
      <c r="L282" s="10"/>
      <c r="N282" s="10"/>
      <c r="P282" s="10"/>
      <c r="Q282" s="10"/>
      <c r="R282" s="10"/>
      <c r="S282" s="10"/>
      <c r="V282" s="10"/>
      <c r="W282" s="10"/>
      <c r="X282" s="10"/>
      <c r="Y282" s="10"/>
      <c r="Z282" s="10"/>
      <c r="AA282" s="10"/>
      <c r="AB282" s="10"/>
      <c r="AC282" s="10"/>
      <c r="AD282" s="10"/>
      <c r="AE282" s="10"/>
      <c r="AF282" s="10"/>
      <c r="AG282" s="10"/>
      <c r="AH282" s="10"/>
      <c r="AI282" s="10"/>
      <c r="AJ282" s="10"/>
      <c r="AK282" s="10"/>
      <c r="AL282" s="10"/>
      <c r="AM282" s="10"/>
      <c r="AN282" s="10"/>
      <c r="AO282" s="10"/>
      <c r="AW282" s="143"/>
      <c r="BA282" s="10"/>
      <c r="BD282" s="10"/>
      <c r="BE282" s="10"/>
      <c r="BF282" s="10"/>
      <c r="BG282" s="10"/>
      <c r="BH282" s="10"/>
      <c r="BI282" s="10"/>
      <c r="BJ282" s="10"/>
      <c r="BK282" s="10"/>
      <c r="BL282" s="10"/>
      <c r="BM282" s="10"/>
      <c r="BN282" s="10"/>
      <c r="BO282" s="10"/>
      <c r="BP282" s="10"/>
      <c r="BQ282" s="10"/>
      <c r="BR282" s="10"/>
      <c r="BS282" s="10"/>
      <c r="BT282" s="10"/>
      <c r="BV282" s="10"/>
      <c r="BW282" s="10"/>
    </row>
    <row r="283">
      <c r="A283" s="10"/>
      <c r="B283" s="10"/>
      <c r="C283" s="10"/>
      <c r="D283" s="10"/>
      <c r="E283" s="10"/>
      <c r="F283" s="10"/>
      <c r="G283" s="10"/>
      <c r="H283" s="10"/>
      <c r="J283" s="10"/>
      <c r="K283" s="10"/>
      <c r="L283" s="10"/>
      <c r="V283" s="10"/>
      <c r="W283" s="10"/>
      <c r="X283" s="10"/>
      <c r="Y283" s="10"/>
      <c r="Z283" s="10"/>
      <c r="AA283" s="10"/>
      <c r="AB283" s="10"/>
      <c r="AC283" s="10"/>
      <c r="AD283" s="10"/>
      <c r="AE283" s="10"/>
      <c r="AF283" s="10"/>
      <c r="AG283" s="10"/>
      <c r="AH283" s="10"/>
      <c r="AI283" s="10"/>
      <c r="AJ283" s="10"/>
      <c r="AK283" s="10"/>
      <c r="AL283" s="10"/>
      <c r="AM283" s="10"/>
      <c r="AN283" s="10"/>
      <c r="AO283" s="10"/>
      <c r="AW283" s="143"/>
      <c r="BA283" s="10"/>
      <c r="BD283" s="10"/>
      <c r="BE283" s="10"/>
      <c r="BF283" s="10"/>
      <c r="BG283" s="10"/>
      <c r="BH283" s="10"/>
      <c r="BI283" s="10"/>
      <c r="BJ283" s="10"/>
      <c r="BK283" s="10"/>
      <c r="BL283" s="10"/>
      <c r="BN283" s="10"/>
      <c r="BO283" s="10"/>
      <c r="BQ283" s="10"/>
      <c r="BR283" s="10"/>
      <c r="BT283" s="10"/>
      <c r="BV283" s="10"/>
      <c r="BW283" s="10"/>
    </row>
    <row r="284">
      <c r="A284" s="10"/>
      <c r="B284" s="10"/>
      <c r="C284" s="10"/>
      <c r="D284" s="10"/>
      <c r="E284" s="10"/>
      <c r="F284" s="10"/>
      <c r="G284" s="10"/>
      <c r="H284" s="10"/>
      <c r="J284" s="10"/>
      <c r="K284" s="10"/>
      <c r="L284" s="10"/>
      <c r="V284" s="10"/>
      <c r="W284" s="10"/>
      <c r="X284" s="10"/>
      <c r="Y284" s="10"/>
      <c r="Z284" s="10"/>
      <c r="AA284" s="10"/>
      <c r="AB284" s="10"/>
      <c r="AC284" s="10"/>
      <c r="AD284" s="10"/>
      <c r="AE284" s="10"/>
      <c r="AF284" s="10"/>
      <c r="AG284" s="10"/>
      <c r="AH284" s="10"/>
      <c r="AI284" s="10"/>
      <c r="AJ284" s="10"/>
      <c r="AK284" s="10"/>
      <c r="AL284" s="10"/>
      <c r="AM284" s="10"/>
      <c r="AN284" s="10"/>
      <c r="AO284" s="10"/>
      <c r="AW284" s="143"/>
      <c r="BA284" s="10"/>
      <c r="BD284" s="10"/>
      <c r="BE284" s="10"/>
      <c r="BF284" s="10"/>
      <c r="BG284" s="10"/>
      <c r="BH284" s="10"/>
      <c r="BI284" s="10"/>
      <c r="BJ284" s="10"/>
      <c r="BK284" s="10"/>
      <c r="BL284" s="10"/>
      <c r="BS284" s="10"/>
      <c r="BT284" s="10"/>
      <c r="BV284" s="10"/>
      <c r="BW284" s="10"/>
    </row>
    <row r="285">
      <c r="A285" s="10"/>
      <c r="B285" s="10"/>
      <c r="C285" s="10"/>
      <c r="D285" s="10"/>
      <c r="E285" s="10"/>
      <c r="F285" s="10"/>
      <c r="G285" s="10"/>
      <c r="H285" s="10"/>
      <c r="K285" s="10"/>
      <c r="L285" s="10"/>
      <c r="U285" s="10"/>
      <c r="V285" s="10"/>
      <c r="W285" s="10"/>
      <c r="X285" s="10"/>
      <c r="Y285" s="10"/>
      <c r="Z285" s="10"/>
      <c r="AA285" s="10"/>
      <c r="AB285" s="10"/>
      <c r="AC285" s="10"/>
      <c r="AD285" s="10"/>
      <c r="AE285" s="10"/>
      <c r="AF285" s="10"/>
      <c r="AG285" s="10"/>
      <c r="AH285" s="10"/>
      <c r="AI285" s="10"/>
      <c r="AJ285" s="10"/>
      <c r="AK285" s="10"/>
      <c r="AL285" s="10"/>
      <c r="AM285" s="10"/>
      <c r="AN285" s="10"/>
      <c r="AO285" s="10"/>
      <c r="AW285" s="143"/>
      <c r="BA285" s="10"/>
      <c r="BD285" s="10"/>
      <c r="BE285" s="10"/>
      <c r="BF285" s="10"/>
      <c r="BG285" s="10"/>
      <c r="BH285" s="10"/>
      <c r="BI285" s="10"/>
      <c r="BJ285" s="10"/>
      <c r="BK285" s="10"/>
      <c r="BO285" s="10"/>
      <c r="BR285" s="10"/>
      <c r="BS285" s="10"/>
      <c r="BT285" s="10"/>
      <c r="BV285" s="10"/>
      <c r="BW285" s="10"/>
    </row>
    <row r="286">
      <c r="A286" s="10"/>
      <c r="B286" s="10"/>
      <c r="C286" s="10"/>
      <c r="D286" s="10"/>
      <c r="E286" s="10"/>
      <c r="F286" s="10"/>
      <c r="G286" s="10"/>
      <c r="H286" s="10"/>
      <c r="K286" s="10"/>
      <c r="L286" s="10"/>
      <c r="N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W286" s="143"/>
      <c r="BA286" s="10"/>
      <c r="BD286" s="10"/>
      <c r="BE286" s="10"/>
      <c r="BF286" s="10"/>
      <c r="BG286" s="10"/>
      <c r="BH286" s="10"/>
      <c r="BI286" s="10"/>
      <c r="BJ286" s="10"/>
      <c r="BK286" s="10"/>
      <c r="BN286" s="10"/>
      <c r="BQ286" s="10"/>
      <c r="BT286" s="10"/>
      <c r="BV286" s="10"/>
      <c r="BW286" s="10"/>
    </row>
    <row r="287">
      <c r="A287" s="10"/>
      <c r="B287" s="10"/>
      <c r="C287" s="10"/>
      <c r="D287" s="10"/>
      <c r="E287" s="10"/>
      <c r="F287" s="10"/>
      <c r="G287" s="10"/>
      <c r="H287" s="10"/>
      <c r="K287" s="10"/>
      <c r="L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W287" s="143"/>
      <c r="BA287" s="10"/>
      <c r="BD287" s="10"/>
      <c r="BE287" s="10"/>
      <c r="BF287" s="10"/>
      <c r="BG287" s="10"/>
      <c r="BH287" s="10"/>
      <c r="BI287" s="10"/>
      <c r="BJ287" s="10"/>
      <c r="BK287" s="10"/>
      <c r="BS287" s="10"/>
      <c r="BT287" s="10"/>
      <c r="BV287" s="10"/>
      <c r="BW287" s="10"/>
    </row>
    <row r="288">
      <c r="A288" s="10"/>
      <c r="B288" s="10"/>
      <c r="C288" s="10"/>
      <c r="D288" s="10"/>
      <c r="E288" s="10"/>
      <c r="F288" s="10"/>
      <c r="G288" s="10"/>
      <c r="H288" s="10"/>
      <c r="K288" s="10"/>
      <c r="L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W288" s="143"/>
      <c r="BA288" s="10"/>
      <c r="BD288" s="10"/>
      <c r="BE288" s="10"/>
      <c r="BF288" s="10"/>
      <c r="BG288" s="10"/>
      <c r="BH288" s="10"/>
      <c r="BI288" s="10"/>
      <c r="BJ288" s="10"/>
      <c r="BK288" s="10"/>
      <c r="BS288" s="10"/>
      <c r="BT288" s="10"/>
      <c r="BV288" s="10"/>
      <c r="BW288" s="10"/>
    </row>
    <row r="289">
      <c r="A289" s="10"/>
      <c r="B289" s="10"/>
      <c r="C289" s="10"/>
      <c r="D289" s="10"/>
      <c r="E289" s="10"/>
      <c r="F289" s="10"/>
      <c r="G289" s="10"/>
      <c r="H289" s="10"/>
      <c r="K289" s="10"/>
      <c r="L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W289" s="143"/>
      <c r="BA289" s="10"/>
      <c r="BD289" s="10"/>
      <c r="BE289" s="10"/>
      <c r="BF289" s="10"/>
      <c r="BG289" s="10"/>
      <c r="BH289" s="10"/>
      <c r="BI289" s="10"/>
      <c r="BJ289" s="10"/>
      <c r="BK289" s="10"/>
      <c r="BS289" s="10"/>
      <c r="BT289" s="10"/>
      <c r="BV289" s="10"/>
      <c r="BW289" s="10"/>
    </row>
    <row r="290">
      <c r="A290" s="10"/>
      <c r="B290" s="10"/>
      <c r="C290" s="10"/>
      <c r="D290" s="10"/>
      <c r="E290" s="10"/>
      <c r="F290" s="10"/>
      <c r="G290" s="10"/>
      <c r="H290" s="10"/>
      <c r="K290" s="10"/>
      <c r="L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W290" s="143"/>
      <c r="BA290" s="10"/>
      <c r="BD290" s="10"/>
      <c r="BE290" s="10"/>
      <c r="BF290" s="10"/>
      <c r="BG290" s="10"/>
      <c r="BH290" s="10"/>
      <c r="BI290" s="10"/>
      <c r="BJ290" s="10"/>
      <c r="BK290" s="10"/>
      <c r="BS290" s="10"/>
      <c r="BT290" s="10"/>
      <c r="BV290" s="10"/>
      <c r="BW290" s="10"/>
    </row>
    <row r="291">
      <c r="A291" s="10"/>
      <c r="B291" s="10"/>
      <c r="C291" s="10"/>
      <c r="D291" s="10"/>
      <c r="E291" s="10"/>
      <c r="F291" s="10"/>
      <c r="G291" s="10"/>
      <c r="H291" s="10"/>
      <c r="I291" s="10"/>
      <c r="J291" s="10"/>
      <c r="K291" s="10"/>
      <c r="L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R291" s="10"/>
      <c r="AW291" s="143"/>
      <c r="BA291" s="10"/>
      <c r="BD291" s="10"/>
      <c r="BE291" s="10"/>
      <c r="BF291" s="10"/>
      <c r="BG291" s="10"/>
      <c r="BH291" s="10"/>
      <c r="BI291" s="10"/>
      <c r="BJ291" s="10"/>
      <c r="BK291" s="10"/>
      <c r="BS291" s="10"/>
      <c r="BT291" s="10"/>
      <c r="BV291" s="10"/>
      <c r="BW291" s="10"/>
    </row>
    <row r="292">
      <c r="A292" s="10"/>
      <c r="B292" s="10"/>
      <c r="C292" s="10"/>
      <c r="D292" s="10"/>
      <c r="E292" s="10"/>
      <c r="F292" s="10"/>
      <c r="G292" s="10"/>
      <c r="H292" s="10"/>
      <c r="K292" s="10"/>
      <c r="L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W292" s="143"/>
      <c r="BA292" s="10"/>
      <c r="BD292" s="10"/>
      <c r="BE292" s="10"/>
      <c r="BF292" s="10"/>
      <c r="BG292" s="10"/>
      <c r="BH292" s="10"/>
      <c r="BI292" s="10"/>
      <c r="BJ292" s="10"/>
      <c r="BK292" s="10"/>
      <c r="BS292" s="10"/>
      <c r="BT292" s="10"/>
      <c r="BV292" s="10"/>
      <c r="BW292" s="10"/>
    </row>
    <row r="293">
      <c r="A293" s="10"/>
      <c r="B293" s="10"/>
      <c r="C293" s="10"/>
      <c r="D293" s="10"/>
      <c r="E293" s="10"/>
      <c r="F293" s="10"/>
      <c r="G293" s="10"/>
      <c r="H293" s="10"/>
      <c r="J293" s="10"/>
      <c r="K293" s="10"/>
      <c r="L293" s="10"/>
      <c r="P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W293" s="143"/>
      <c r="BA293" s="10"/>
      <c r="BD293" s="10"/>
      <c r="BE293" s="10"/>
      <c r="BF293" s="10"/>
      <c r="BG293" s="10"/>
      <c r="BH293" s="10"/>
      <c r="BI293" s="10"/>
      <c r="BJ293" s="10"/>
      <c r="BK293" s="10"/>
      <c r="BM293" s="10"/>
      <c r="BP293" s="10"/>
      <c r="BS293" s="10"/>
      <c r="BT293" s="10"/>
      <c r="BV293" s="10"/>
      <c r="BW293" s="10"/>
    </row>
    <row r="294">
      <c r="A294" s="10"/>
      <c r="B294" s="10"/>
      <c r="C294" s="10"/>
      <c r="D294" s="10"/>
      <c r="E294" s="10"/>
      <c r="F294" s="10"/>
      <c r="G294" s="10"/>
      <c r="H294" s="10"/>
      <c r="J294" s="10"/>
      <c r="K294" s="10"/>
      <c r="L294" s="10"/>
      <c r="N294" s="10"/>
      <c r="P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W294" s="143"/>
      <c r="BA294" s="10"/>
      <c r="BD294" s="10"/>
      <c r="BE294" s="10"/>
      <c r="BF294" s="10"/>
      <c r="BG294" s="10"/>
      <c r="BH294" s="10"/>
      <c r="BI294" s="10"/>
      <c r="BJ294" s="10"/>
      <c r="BK294" s="10"/>
      <c r="BS294" s="10"/>
      <c r="BT294" s="10"/>
      <c r="BV294" s="10"/>
      <c r="BW294" s="10"/>
    </row>
    <row r="295">
      <c r="A295" s="10"/>
      <c r="B295" s="10"/>
      <c r="C295" s="10"/>
      <c r="D295" s="10"/>
      <c r="E295" s="10"/>
      <c r="F295" s="10"/>
      <c r="G295" s="10"/>
      <c r="H295" s="10"/>
      <c r="J295" s="10"/>
      <c r="K295" s="10"/>
      <c r="L295" s="10"/>
      <c r="U295" s="10"/>
      <c r="V295" s="10"/>
      <c r="W295" s="10"/>
      <c r="X295" s="10"/>
      <c r="Y295" s="10"/>
      <c r="Z295" s="10"/>
      <c r="AA295" s="10"/>
      <c r="AB295" s="10"/>
      <c r="AC295" s="10"/>
      <c r="AD295" s="10"/>
      <c r="AE295" s="10"/>
      <c r="AF295" s="10"/>
      <c r="AG295" s="10"/>
      <c r="AH295" s="10"/>
      <c r="AI295" s="10"/>
      <c r="AJ295" s="10"/>
      <c r="AK295" s="10"/>
      <c r="AL295" s="10"/>
      <c r="AM295" s="10"/>
      <c r="AN295" s="10"/>
      <c r="AO295" s="10"/>
      <c r="AW295" s="143"/>
      <c r="BA295" s="10"/>
      <c r="BD295" s="10"/>
      <c r="BE295" s="10"/>
      <c r="BF295" s="10"/>
      <c r="BG295" s="10"/>
      <c r="BH295" s="10"/>
      <c r="BI295" s="10"/>
      <c r="BJ295" s="10"/>
      <c r="BK295" s="10"/>
      <c r="BS295" s="10"/>
      <c r="BT295" s="10"/>
      <c r="BV295" s="10"/>
      <c r="BW295" s="10"/>
    </row>
    <row r="296">
      <c r="A296" s="10"/>
      <c r="B296" s="10"/>
      <c r="C296" s="10"/>
      <c r="D296" s="10"/>
      <c r="E296" s="10"/>
      <c r="F296" s="10"/>
      <c r="G296" s="10"/>
      <c r="H296" s="10"/>
      <c r="J296" s="10"/>
      <c r="K296" s="10"/>
      <c r="L296" s="10"/>
      <c r="U296" s="10"/>
      <c r="V296" s="10"/>
      <c r="W296" s="10"/>
      <c r="X296" s="10"/>
      <c r="Y296" s="10"/>
      <c r="Z296" s="10"/>
      <c r="AA296" s="10"/>
      <c r="AB296" s="10"/>
      <c r="AC296" s="10"/>
      <c r="AD296" s="10"/>
      <c r="AE296" s="10"/>
      <c r="AF296" s="10"/>
      <c r="AG296" s="10"/>
      <c r="AH296" s="10"/>
      <c r="AI296" s="10"/>
      <c r="AJ296" s="10"/>
      <c r="AK296" s="10"/>
      <c r="AL296" s="10"/>
      <c r="AM296" s="10"/>
      <c r="AN296" s="10"/>
      <c r="AO296" s="10"/>
      <c r="AW296" s="143"/>
      <c r="BA296" s="10"/>
      <c r="BD296" s="10"/>
      <c r="BE296" s="10"/>
      <c r="BF296" s="10"/>
      <c r="BG296" s="10"/>
      <c r="BH296" s="10"/>
      <c r="BI296" s="10"/>
      <c r="BJ296" s="10"/>
      <c r="BK296" s="10"/>
      <c r="BS296" s="10"/>
      <c r="BT296" s="10"/>
      <c r="BV296" s="10"/>
      <c r="BW296" s="10"/>
    </row>
    <row r="297">
      <c r="A297" s="10"/>
      <c r="B297" s="10"/>
      <c r="C297" s="10"/>
      <c r="D297" s="10"/>
      <c r="E297" s="10"/>
      <c r="F297" s="10"/>
      <c r="G297" s="10"/>
      <c r="H297" s="10"/>
      <c r="J297" s="10"/>
      <c r="K297" s="10"/>
      <c r="L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W297" s="143"/>
      <c r="BA297" s="10"/>
      <c r="BD297" s="10"/>
      <c r="BE297" s="10"/>
      <c r="BF297" s="10"/>
      <c r="BG297" s="10"/>
      <c r="BH297" s="10"/>
      <c r="BI297" s="10"/>
      <c r="BJ297" s="10"/>
      <c r="BK297" s="10"/>
      <c r="BS297" s="10"/>
      <c r="BT297" s="10"/>
      <c r="BV297" s="10"/>
      <c r="BW297" s="10"/>
    </row>
    <row r="298">
      <c r="A298" s="10"/>
      <c r="B298" s="10"/>
      <c r="C298" s="10"/>
      <c r="D298" s="10"/>
      <c r="E298" s="10"/>
      <c r="F298" s="10"/>
      <c r="G298" s="10"/>
      <c r="H298" s="10"/>
      <c r="K298" s="10"/>
      <c r="L298" s="10"/>
      <c r="P298" s="10"/>
      <c r="U298" s="10"/>
      <c r="V298" s="10"/>
      <c r="W298" s="10"/>
      <c r="X298" s="10"/>
      <c r="Y298" s="10"/>
      <c r="Z298" s="10"/>
      <c r="AA298" s="10"/>
      <c r="AB298" s="10"/>
      <c r="AC298" s="10"/>
      <c r="AD298" s="10"/>
      <c r="AE298" s="10"/>
      <c r="AF298" s="10"/>
      <c r="AG298" s="10"/>
      <c r="AH298" s="10"/>
      <c r="AI298" s="10"/>
      <c r="AJ298" s="10"/>
      <c r="AK298" s="10"/>
      <c r="AL298" s="10"/>
      <c r="AM298" s="10"/>
      <c r="AN298" s="10"/>
      <c r="AO298" s="10"/>
      <c r="AW298" s="143"/>
      <c r="BA298" s="10"/>
      <c r="BD298" s="10"/>
      <c r="BE298" s="10"/>
      <c r="BF298" s="10"/>
      <c r="BG298" s="10"/>
      <c r="BH298" s="10"/>
      <c r="BI298" s="10"/>
      <c r="BJ298" s="10"/>
      <c r="BK298" s="10"/>
      <c r="BM298" s="10"/>
      <c r="BP298" s="10"/>
      <c r="BS298" s="10"/>
      <c r="BT298" s="10"/>
      <c r="BV298" s="10"/>
      <c r="BW298" s="10"/>
    </row>
    <row r="299">
      <c r="A299" s="10"/>
      <c r="B299" s="10"/>
      <c r="C299" s="10"/>
      <c r="D299" s="10"/>
      <c r="E299" s="10"/>
      <c r="F299" s="10"/>
      <c r="G299" s="10"/>
      <c r="H299" s="10"/>
      <c r="J299" s="10"/>
      <c r="K299" s="10"/>
      <c r="L299" s="10"/>
      <c r="N299" s="10"/>
      <c r="P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W299" s="143"/>
      <c r="BA299" s="10"/>
      <c r="BD299" s="10"/>
      <c r="BE299" s="10"/>
      <c r="BF299" s="10"/>
      <c r="BG299" s="10"/>
      <c r="BH299" s="10"/>
      <c r="BI299" s="10"/>
      <c r="BJ299" s="10"/>
      <c r="BK299" s="10"/>
      <c r="BL299" s="10"/>
      <c r="BM299" s="10"/>
      <c r="BN299" s="10"/>
      <c r="BO299" s="10"/>
      <c r="BP299" s="10"/>
      <c r="BQ299" s="10"/>
      <c r="BR299" s="10"/>
      <c r="BS299" s="10"/>
      <c r="BT299" s="10"/>
      <c r="BV299" s="10"/>
      <c r="BW299" s="10"/>
    </row>
    <row r="300">
      <c r="A300" s="10"/>
      <c r="B300" s="10"/>
      <c r="C300" s="10"/>
      <c r="D300" s="10"/>
      <c r="E300" s="10"/>
      <c r="F300" s="10"/>
      <c r="G300" s="10"/>
      <c r="H300" s="10"/>
      <c r="K300" s="10"/>
      <c r="L300" s="10"/>
      <c r="N300" s="10"/>
      <c r="P300" s="10"/>
      <c r="Q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W300" s="143"/>
      <c r="BA300" s="10"/>
      <c r="BD300" s="10"/>
      <c r="BE300" s="10"/>
      <c r="BF300" s="10"/>
      <c r="BG300" s="10"/>
      <c r="BH300" s="10"/>
      <c r="BI300" s="10"/>
      <c r="BJ300" s="10"/>
      <c r="BK300" s="10"/>
      <c r="BL300" s="10"/>
      <c r="BS300" s="10"/>
      <c r="BT300" s="10"/>
      <c r="BV300" s="10"/>
      <c r="BW300" s="10"/>
    </row>
    <row r="301">
      <c r="A301" s="10"/>
      <c r="B301" s="10"/>
      <c r="C301" s="10"/>
      <c r="D301" s="10"/>
      <c r="E301" s="10"/>
      <c r="F301" s="10"/>
      <c r="G301" s="10"/>
      <c r="H301" s="10"/>
      <c r="K301" s="10"/>
      <c r="L301" s="10"/>
      <c r="N301" s="10"/>
      <c r="P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W301" s="143"/>
      <c r="BA301" s="10"/>
      <c r="BD301" s="10"/>
      <c r="BE301" s="10"/>
      <c r="BF301" s="10"/>
      <c r="BG301" s="10"/>
      <c r="BH301" s="10"/>
      <c r="BI301" s="10"/>
      <c r="BJ301" s="10"/>
      <c r="BK301" s="10"/>
      <c r="BL301" s="10"/>
      <c r="BS301" s="10"/>
      <c r="BT301" s="10"/>
      <c r="BV301" s="10"/>
      <c r="BW301" s="10"/>
    </row>
    <row r="302">
      <c r="A302" s="10"/>
      <c r="B302" s="10"/>
      <c r="C302" s="10"/>
      <c r="D302" s="10"/>
      <c r="E302" s="10"/>
      <c r="F302" s="10"/>
      <c r="G302" s="10"/>
      <c r="H302" s="10"/>
      <c r="K302" s="10"/>
      <c r="L302" s="10"/>
      <c r="N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W302" s="143"/>
      <c r="BA302" s="10"/>
      <c r="BD302" s="10"/>
      <c r="BE302" s="10"/>
      <c r="BF302" s="10"/>
      <c r="BG302" s="10"/>
      <c r="BH302" s="10"/>
      <c r="BI302" s="10"/>
      <c r="BJ302" s="10"/>
      <c r="BK302" s="10"/>
      <c r="BL302" s="10"/>
      <c r="BS302" s="10"/>
      <c r="BT302" s="10"/>
      <c r="BV302" s="10"/>
      <c r="BW302" s="10"/>
    </row>
    <row r="303">
      <c r="A303" s="10"/>
      <c r="B303" s="10"/>
      <c r="C303" s="10"/>
      <c r="D303" s="10"/>
      <c r="E303" s="10"/>
      <c r="F303" s="10"/>
      <c r="G303" s="10"/>
      <c r="H303" s="10"/>
      <c r="K303" s="10"/>
      <c r="L303" s="10"/>
      <c r="N303" s="10"/>
      <c r="P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W303" s="143"/>
      <c r="BA303" s="10"/>
      <c r="BD303" s="10"/>
      <c r="BE303" s="10"/>
      <c r="BF303" s="10"/>
      <c r="BG303" s="10"/>
      <c r="BH303" s="10"/>
      <c r="BI303" s="10"/>
      <c r="BJ303" s="10"/>
      <c r="BK303" s="10"/>
      <c r="BL303" s="10"/>
      <c r="BM303" s="10"/>
      <c r="BN303" s="10"/>
      <c r="BO303" s="10"/>
      <c r="BP303" s="10"/>
      <c r="BQ303" s="10"/>
      <c r="BR303" s="10"/>
      <c r="BS303" s="10"/>
      <c r="BT303" s="10"/>
      <c r="BV303" s="10"/>
      <c r="BW303" s="10"/>
    </row>
    <row r="304">
      <c r="A304" s="10"/>
      <c r="B304" s="10"/>
      <c r="C304" s="10"/>
      <c r="D304" s="10"/>
      <c r="E304" s="10"/>
      <c r="F304" s="10"/>
      <c r="G304" s="10"/>
      <c r="H304" s="10"/>
      <c r="J304" s="10"/>
      <c r="K304" s="10"/>
      <c r="L304" s="10"/>
      <c r="N304" s="10"/>
      <c r="O304" s="10"/>
      <c r="P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W304" s="143"/>
      <c r="BA304" s="10"/>
      <c r="BD304" s="10"/>
      <c r="BE304" s="10"/>
      <c r="BF304" s="10"/>
      <c r="BG304" s="10"/>
      <c r="BH304" s="10"/>
      <c r="BI304" s="10"/>
      <c r="BJ304" s="10"/>
      <c r="BK304" s="10"/>
      <c r="BL304" s="10"/>
      <c r="BS304" s="10"/>
      <c r="BT304" s="10"/>
      <c r="BV304" s="10"/>
      <c r="BW304" s="10"/>
    </row>
    <row r="305">
      <c r="A305" s="10"/>
      <c r="B305" s="10"/>
      <c r="C305" s="10"/>
      <c r="D305" s="10"/>
      <c r="E305" s="10"/>
      <c r="F305" s="10"/>
      <c r="G305" s="10"/>
      <c r="H305" s="10"/>
      <c r="I305" s="10"/>
      <c r="K305" s="10"/>
      <c r="L305" s="10"/>
      <c r="Q305" s="10"/>
      <c r="R305" s="10"/>
      <c r="S305" s="10"/>
      <c r="U305" s="10"/>
      <c r="V305" s="10"/>
      <c r="W305" s="10"/>
      <c r="X305" s="10"/>
      <c r="Y305" s="10"/>
      <c r="Z305" s="10"/>
      <c r="AA305" s="10"/>
      <c r="AB305" s="10"/>
      <c r="AC305" s="10"/>
      <c r="AD305" s="10"/>
      <c r="AE305" s="10"/>
      <c r="AF305" s="10"/>
      <c r="AG305" s="10"/>
      <c r="AH305" s="10"/>
      <c r="AI305" s="10"/>
      <c r="AJ305" s="10"/>
      <c r="AK305" s="10"/>
      <c r="AL305" s="10"/>
      <c r="AM305" s="10"/>
      <c r="AN305" s="10"/>
      <c r="AO305" s="10"/>
      <c r="AS305" s="10"/>
      <c r="AW305" s="143"/>
      <c r="BA305" s="10"/>
      <c r="BD305" s="10"/>
      <c r="BE305" s="10"/>
      <c r="BF305" s="10"/>
      <c r="BG305" s="10"/>
      <c r="BH305" s="10"/>
      <c r="BI305" s="10"/>
      <c r="BJ305" s="10"/>
      <c r="BK305" s="10"/>
      <c r="BT305" s="10"/>
      <c r="BV305" s="10"/>
      <c r="BW305" s="10"/>
    </row>
    <row r="306">
      <c r="A306" s="10"/>
      <c r="B306" s="10"/>
      <c r="C306" s="10"/>
      <c r="D306" s="10"/>
      <c r="E306" s="10"/>
      <c r="F306" s="10"/>
      <c r="G306" s="10"/>
      <c r="H306" s="10"/>
      <c r="J306" s="10"/>
      <c r="K306" s="10"/>
      <c r="L306" s="10"/>
      <c r="P306" s="10"/>
      <c r="T306" s="10"/>
      <c r="V306" s="10"/>
      <c r="W306" s="10"/>
      <c r="X306" s="10"/>
      <c r="Y306" s="10"/>
      <c r="Z306" s="10"/>
      <c r="AA306" s="10"/>
      <c r="AB306" s="10"/>
      <c r="AC306" s="10"/>
      <c r="AD306" s="10"/>
      <c r="AE306" s="10"/>
      <c r="AF306" s="10"/>
      <c r="AG306" s="10"/>
      <c r="AH306" s="10"/>
      <c r="AI306" s="10"/>
      <c r="AJ306" s="10"/>
      <c r="AK306" s="10"/>
      <c r="AL306" s="10"/>
      <c r="AM306" s="10"/>
      <c r="AN306" s="10"/>
      <c r="AO306" s="10"/>
      <c r="AW306" s="143"/>
      <c r="AZ306" s="10"/>
      <c r="BA306" s="10"/>
      <c r="BD306" s="10"/>
      <c r="BE306" s="10"/>
      <c r="BF306" s="10"/>
      <c r="BG306" s="10"/>
      <c r="BH306" s="10"/>
      <c r="BI306" s="10"/>
      <c r="BJ306" s="10"/>
      <c r="BK306" s="10"/>
      <c r="BS306" s="10"/>
      <c r="BT306" s="10"/>
      <c r="BV306" s="10"/>
      <c r="BW306" s="10"/>
    </row>
    <row r="307">
      <c r="A307" s="10"/>
      <c r="B307" s="10"/>
      <c r="C307" s="10"/>
      <c r="D307" s="10"/>
      <c r="E307" s="10"/>
      <c r="F307" s="10"/>
      <c r="G307" s="10"/>
      <c r="H307" s="10"/>
      <c r="K307" s="10"/>
      <c r="L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W307" s="143"/>
      <c r="BA307" s="10"/>
      <c r="BD307" s="10"/>
      <c r="BE307" s="10"/>
      <c r="BF307" s="10"/>
      <c r="BG307" s="10"/>
      <c r="BH307" s="10"/>
      <c r="BI307" s="10"/>
      <c r="BJ307" s="10"/>
      <c r="BK307" s="10"/>
      <c r="BL307" s="10"/>
      <c r="BO307" s="10"/>
      <c r="BR307" s="10"/>
      <c r="BS307" s="10"/>
      <c r="BT307" s="10"/>
      <c r="BV307" s="10"/>
      <c r="BW307" s="10"/>
    </row>
    <row r="308">
      <c r="A308" s="10"/>
      <c r="B308" s="10"/>
      <c r="C308" s="10"/>
      <c r="D308" s="10"/>
      <c r="E308" s="10"/>
      <c r="F308" s="10"/>
      <c r="G308" s="10"/>
      <c r="H308" s="10"/>
      <c r="J308" s="10"/>
      <c r="K308" s="10"/>
      <c r="L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W308" s="143"/>
      <c r="AZ308" s="10"/>
      <c r="BA308" s="10"/>
      <c r="BD308" s="10"/>
      <c r="BE308" s="10"/>
      <c r="BF308" s="10"/>
      <c r="BG308" s="10"/>
      <c r="BH308" s="10"/>
      <c r="BI308" s="10"/>
      <c r="BJ308" s="10"/>
      <c r="BK308" s="10"/>
      <c r="BL308" s="10"/>
      <c r="BS308" s="10"/>
      <c r="BT308" s="10"/>
      <c r="BV308" s="10"/>
      <c r="BW308" s="10"/>
    </row>
    <row r="309">
      <c r="A309" s="10"/>
      <c r="B309" s="10"/>
      <c r="C309" s="10"/>
      <c r="D309" s="10"/>
      <c r="E309" s="10"/>
      <c r="F309" s="10"/>
      <c r="G309" s="10"/>
      <c r="H309" s="10"/>
      <c r="J309" s="10"/>
      <c r="K309" s="10"/>
      <c r="L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W309" s="143"/>
      <c r="AZ309" s="10"/>
      <c r="BA309" s="10"/>
      <c r="BD309" s="10"/>
      <c r="BE309" s="10"/>
      <c r="BF309" s="10"/>
      <c r="BG309" s="10"/>
      <c r="BH309" s="10"/>
      <c r="BI309" s="10"/>
      <c r="BJ309" s="10"/>
      <c r="BK309" s="10"/>
      <c r="BL309" s="10"/>
      <c r="BS309" s="10"/>
      <c r="BT309" s="10"/>
      <c r="BV309" s="10"/>
      <c r="BW309" s="10"/>
    </row>
    <row r="310">
      <c r="A310" s="10"/>
      <c r="B310" s="10"/>
      <c r="C310" s="10"/>
      <c r="D310" s="10"/>
      <c r="E310" s="10"/>
      <c r="F310" s="10"/>
      <c r="G310" s="10"/>
      <c r="H310" s="10"/>
      <c r="J310" s="10"/>
      <c r="K310" s="10"/>
      <c r="L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W310" s="143"/>
      <c r="BA310" s="10"/>
      <c r="BD310" s="10"/>
      <c r="BE310" s="10"/>
      <c r="BF310" s="10"/>
      <c r="BG310" s="10"/>
      <c r="BH310" s="10"/>
      <c r="BI310" s="10"/>
      <c r="BJ310" s="10"/>
      <c r="BK310" s="10"/>
      <c r="BL310" s="10"/>
      <c r="BM310" s="10"/>
      <c r="BP310" s="10"/>
      <c r="BS310" s="10"/>
      <c r="BT310" s="10"/>
      <c r="BV310" s="10"/>
      <c r="BW310" s="10"/>
    </row>
    <row r="311">
      <c r="A311" s="10"/>
      <c r="B311" s="10"/>
      <c r="C311" s="10"/>
      <c r="D311" s="10"/>
      <c r="E311" s="10"/>
      <c r="F311" s="10"/>
      <c r="G311" s="10"/>
      <c r="H311" s="10"/>
      <c r="J311" s="10"/>
      <c r="K311" s="10"/>
      <c r="L311" s="10"/>
      <c r="N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W311" s="143"/>
      <c r="BA311" s="10"/>
      <c r="BD311" s="10"/>
      <c r="BE311" s="10"/>
      <c r="BF311" s="10"/>
      <c r="BG311" s="10"/>
      <c r="BH311" s="10"/>
      <c r="BI311" s="10"/>
      <c r="BJ311" s="10"/>
      <c r="BK311" s="10"/>
      <c r="BL311" s="10"/>
      <c r="BO311" s="10"/>
      <c r="BR311" s="10"/>
      <c r="BS311" s="10"/>
      <c r="BT311" s="10"/>
      <c r="BV311" s="10"/>
      <c r="BW311" s="10"/>
    </row>
    <row r="312">
      <c r="A312" s="10"/>
      <c r="B312" s="10"/>
      <c r="C312" s="10"/>
      <c r="D312" s="10"/>
      <c r="E312" s="10"/>
      <c r="F312" s="10"/>
      <c r="G312" s="10"/>
      <c r="H312" s="10"/>
      <c r="J312" s="10"/>
      <c r="K312" s="10"/>
      <c r="L312" s="10"/>
      <c r="N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W312" s="143"/>
      <c r="BA312" s="10"/>
      <c r="BD312" s="10"/>
      <c r="BE312" s="10"/>
      <c r="BF312" s="10"/>
      <c r="BG312" s="10"/>
      <c r="BH312" s="10"/>
      <c r="BI312" s="10"/>
      <c r="BJ312" s="10"/>
      <c r="BK312" s="10"/>
      <c r="BL312" s="10"/>
      <c r="BM312" s="10"/>
      <c r="BP312" s="10"/>
      <c r="BS312" s="10"/>
      <c r="BT312" s="10"/>
      <c r="BV312" s="10"/>
      <c r="BW312" s="10"/>
    </row>
    <row r="313">
      <c r="A313" s="10"/>
      <c r="B313" s="10"/>
      <c r="C313" s="10"/>
      <c r="D313" s="10"/>
      <c r="E313" s="10"/>
      <c r="F313" s="10"/>
      <c r="G313" s="10"/>
      <c r="H313" s="10"/>
      <c r="K313" s="10"/>
      <c r="L313" s="10"/>
      <c r="N313" s="10"/>
      <c r="P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W313" s="143"/>
      <c r="BA313" s="10"/>
      <c r="BD313" s="10"/>
      <c r="BE313" s="10"/>
      <c r="BF313" s="10"/>
      <c r="BG313" s="10"/>
      <c r="BH313" s="10"/>
      <c r="BI313" s="10"/>
      <c r="BJ313" s="10"/>
      <c r="BK313" s="10"/>
      <c r="BS313" s="10"/>
      <c r="BT313" s="10"/>
      <c r="BV313" s="10"/>
      <c r="BW313" s="10"/>
    </row>
    <row r="314">
      <c r="A314" s="10"/>
      <c r="B314" s="10"/>
      <c r="C314" s="10"/>
      <c r="D314" s="10"/>
      <c r="E314" s="10"/>
      <c r="F314" s="10"/>
      <c r="G314" s="10"/>
      <c r="H314" s="10"/>
      <c r="J314" s="10"/>
      <c r="K314" s="10"/>
      <c r="L314" s="10"/>
      <c r="N314" s="10"/>
      <c r="P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W314" s="143"/>
      <c r="BA314" s="10"/>
      <c r="BD314" s="10"/>
      <c r="BE314" s="10"/>
      <c r="BF314" s="10"/>
      <c r="BG314" s="10"/>
      <c r="BH314" s="10"/>
      <c r="BI314" s="10"/>
      <c r="BJ314" s="10"/>
      <c r="BK314" s="10"/>
      <c r="BS314" s="10"/>
      <c r="BT314" s="10"/>
      <c r="BV314" s="10"/>
      <c r="BW314" s="10"/>
    </row>
    <row r="315">
      <c r="A315" s="10"/>
      <c r="B315" s="10"/>
      <c r="C315" s="10"/>
      <c r="D315" s="10"/>
      <c r="E315" s="10"/>
      <c r="F315" s="10"/>
      <c r="G315" s="10"/>
      <c r="H315" s="10"/>
      <c r="K315" s="10"/>
      <c r="L315" s="10"/>
      <c r="N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W315" s="143"/>
      <c r="BA315" s="10"/>
      <c r="BD315" s="10"/>
      <c r="BE315" s="10"/>
      <c r="BF315" s="10"/>
      <c r="BG315" s="10"/>
      <c r="BH315" s="10"/>
      <c r="BI315" s="10"/>
      <c r="BJ315" s="10"/>
      <c r="BK315" s="10"/>
      <c r="BS315" s="10"/>
      <c r="BT315" s="10"/>
      <c r="BV315" s="10"/>
      <c r="BW315" s="10"/>
    </row>
    <row r="316">
      <c r="A316" s="10"/>
      <c r="B316" s="10"/>
      <c r="C316" s="10"/>
      <c r="D316" s="10"/>
      <c r="E316" s="10"/>
      <c r="F316" s="10"/>
      <c r="G316" s="10"/>
      <c r="H316" s="10"/>
      <c r="K316" s="10"/>
      <c r="L316" s="10"/>
      <c r="P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W316" s="143"/>
      <c r="BA316" s="10"/>
      <c r="BD316" s="10"/>
      <c r="BE316" s="10"/>
      <c r="BF316" s="10"/>
      <c r="BG316" s="10"/>
      <c r="BH316" s="10"/>
      <c r="BI316" s="10"/>
      <c r="BJ316" s="10"/>
      <c r="BK316" s="10"/>
      <c r="BS316" s="10"/>
      <c r="BT316" s="10"/>
      <c r="BV316" s="10"/>
      <c r="BW316" s="10"/>
    </row>
    <row r="317">
      <c r="A317" s="10"/>
      <c r="B317" s="10"/>
      <c r="C317" s="10"/>
      <c r="D317" s="10"/>
      <c r="E317" s="10"/>
      <c r="F317" s="10"/>
      <c r="G317" s="10"/>
      <c r="H317" s="10"/>
      <c r="K317" s="10"/>
      <c r="L317" s="10"/>
      <c r="P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W317" s="143"/>
      <c r="BA317" s="10"/>
      <c r="BD317" s="10"/>
      <c r="BE317" s="10"/>
      <c r="BF317" s="10"/>
      <c r="BG317" s="10"/>
      <c r="BH317" s="10"/>
      <c r="BI317" s="10"/>
      <c r="BJ317" s="10"/>
      <c r="BK317" s="10"/>
      <c r="BS317" s="10"/>
      <c r="BT317" s="10"/>
      <c r="BV317" s="10"/>
      <c r="BW317" s="10"/>
    </row>
    <row r="318">
      <c r="A318" s="10"/>
      <c r="B318" s="10"/>
      <c r="C318" s="10"/>
      <c r="D318" s="10"/>
      <c r="E318" s="10"/>
      <c r="F318" s="10"/>
      <c r="G318" s="10"/>
      <c r="H318" s="10"/>
      <c r="K318" s="10"/>
      <c r="L318" s="10"/>
      <c r="N318" s="10"/>
      <c r="P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W318" s="143"/>
      <c r="BA318" s="10"/>
      <c r="BD318" s="10"/>
      <c r="BE318" s="10"/>
      <c r="BF318" s="10"/>
      <c r="BG318" s="10"/>
      <c r="BH318" s="10"/>
      <c r="BI318" s="10"/>
      <c r="BJ318" s="10"/>
      <c r="BK318" s="10"/>
      <c r="BS318" s="10"/>
      <c r="BT318" s="10"/>
      <c r="BV318" s="10"/>
      <c r="BW318" s="10"/>
    </row>
    <row r="319">
      <c r="A319" s="10"/>
      <c r="B319" s="10"/>
      <c r="C319" s="10"/>
      <c r="D319" s="10"/>
      <c r="E319" s="10"/>
      <c r="F319" s="10"/>
      <c r="G319" s="10"/>
      <c r="H319" s="10"/>
      <c r="J319" s="10"/>
      <c r="K319" s="10"/>
      <c r="L319" s="10"/>
      <c r="N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W319" s="244"/>
      <c r="BA319" s="10"/>
      <c r="BD319" s="10"/>
      <c r="BE319" s="10"/>
      <c r="BF319" s="10"/>
      <c r="BG319" s="10"/>
      <c r="BH319" s="10"/>
      <c r="BI319" s="10"/>
      <c r="BJ319" s="10"/>
      <c r="BK319" s="10"/>
      <c r="BS319" s="10"/>
      <c r="BT319" s="10"/>
      <c r="BV319" s="10"/>
      <c r="BW319" s="10"/>
    </row>
    <row r="320">
      <c r="A320" s="10"/>
      <c r="B320" s="10"/>
      <c r="C320" s="10"/>
      <c r="D320" s="10"/>
      <c r="E320" s="10"/>
      <c r="F320" s="10"/>
      <c r="G320" s="10"/>
      <c r="H320" s="10"/>
      <c r="K320" s="10"/>
      <c r="L320" s="10"/>
      <c r="P320" s="10"/>
      <c r="U320" s="10"/>
      <c r="V320" s="10"/>
      <c r="W320" s="10"/>
      <c r="X320" s="10"/>
      <c r="Y320" s="10"/>
      <c r="Z320" s="10"/>
      <c r="AA320" s="10"/>
      <c r="AB320" s="10"/>
      <c r="AC320" s="10"/>
      <c r="AD320" s="10"/>
      <c r="AE320" s="10"/>
      <c r="AF320" s="10"/>
      <c r="AG320" s="10"/>
      <c r="AH320" s="10"/>
      <c r="AI320" s="10"/>
      <c r="AJ320" s="10"/>
      <c r="AK320" s="10"/>
      <c r="AL320" s="10"/>
      <c r="AM320" s="10"/>
      <c r="AN320" s="10"/>
      <c r="AO320" s="10"/>
      <c r="AW320" s="143"/>
      <c r="BA320" s="10"/>
      <c r="BD320" s="10"/>
      <c r="BE320" s="10"/>
      <c r="BF320" s="10"/>
      <c r="BG320" s="10"/>
      <c r="BH320" s="10"/>
      <c r="BI320" s="10"/>
      <c r="BJ320" s="10"/>
      <c r="BK320" s="10"/>
      <c r="BT320" s="10"/>
      <c r="BV320" s="10"/>
      <c r="BW320" s="10"/>
    </row>
    <row r="321">
      <c r="A321" s="10"/>
      <c r="B321" s="10"/>
      <c r="C321" s="10"/>
      <c r="D321" s="10"/>
      <c r="E321" s="10"/>
      <c r="F321" s="10"/>
      <c r="G321" s="10"/>
      <c r="H321" s="10"/>
      <c r="J321" s="10"/>
      <c r="K321" s="10"/>
      <c r="N321" s="10"/>
      <c r="U321" s="10"/>
      <c r="V321" s="10"/>
      <c r="W321" s="10"/>
      <c r="X321" s="10"/>
      <c r="Y321" s="10"/>
      <c r="Z321" s="10"/>
      <c r="AA321" s="10"/>
      <c r="AB321" s="10"/>
      <c r="AC321" s="10"/>
      <c r="AD321" s="10"/>
      <c r="AE321" s="10"/>
      <c r="AF321" s="10"/>
      <c r="AG321" s="10"/>
      <c r="AH321" s="10"/>
      <c r="AI321" s="10"/>
      <c r="AJ321" s="10"/>
      <c r="AK321" s="10"/>
      <c r="AL321" s="10"/>
      <c r="AM321" s="10"/>
      <c r="AN321" s="10"/>
      <c r="AO321" s="10"/>
      <c r="AW321" s="143"/>
      <c r="BA321" s="10"/>
      <c r="BD321" s="10"/>
      <c r="BE321" s="10"/>
      <c r="BF321" s="10"/>
      <c r="BG321" s="10"/>
      <c r="BH321" s="10"/>
      <c r="BI321" s="10"/>
      <c r="BJ321" s="10"/>
      <c r="BK321" s="10"/>
      <c r="BS321" s="10"/>
      <c r="BT321" s="10"/>
      <c r="BV321" s="10"/>
      <c r="BW321" s="10"/>
    </row>
    <row r="322">
      <c r="A322" s="10"/>
      <c r="B322" s="10"/>
      <c r="C322" s="10"/>
      <c r="D322" s="10"/>
      <c r="E322" s="10"/>
      <c r="F322" s="10"/>
      <c r="G322" s="10"/>
      <c r="H322" s="10"/>
      <c r="K322" s="10"/>
      <c r="L322" s="10"/>
      <c r="U322" s="10"/>
      <c r="V322" s="10"/>
      <c r="W322" s="10"/>
      <c r="X322" s="10"/>
      <c r="Y322" s="10"/>
      <c r="Z322" s="10"/>
      <c r="AA322" s="10"/>
      <c r="AB322" s="10"/>
      <c r="AC322" s="10"/>
      <c r="AD322" s="10"/>
      <c r="AE322" s="10"/>
      <c r="AF322" s="10"/>
      <c r="AG322" s="10"/>
      <c r="AH322" s="10"/>
      <c r="AI322" s="10"/>
      <c r="AJ322" s="10"/>
      <c r="AK322" s="10"/>
      <c r="AL322" s="10"/>
      <c r="AM322" s="10"/>
      <c r="AN322" s="10"/>
      <c r="AO322" s="10"/>
      <c r="AW322" s="143"/>
      <c r="BA322" s="10"/>
      <c r="BD322" s="10"/>
      <c r="BE322" s="10"/>
      <c r="BF322" s="10"/>
      <c r="BG322" s="10"/>
      <c r="BH322" s="10"/>
      <c r="BI322" s="10"/>
      <c r="BJ322" s="10"/>
      <c r="BK322" s="10"/>
      <c r="BS322" s="10"/>
      <c r="BT322" s="10"/>
      <c r="BV322" s="10"/>
      <c r="BW322" s="10"/>
    </row>
    <row r="323">
      <c r="A323" s="10"/>
      <c r="B323" s="10"/>
      <c r="C323" s="10"/>
      <c r="D323" s="10"/>
      <c r="E323" s="10"/>
      <c r="F323" s="10"/>
      <c r="G323" s="10"/>
      <c r="H323" s="10"/>
      <c r="K323" s="10"/>
      <c r="L323" s="10"/>
      <c r="P323" s="10"/>
      <c r="U323" s="10"/>
      <c r="V323" s="10"/>
      <c r="W323" s="10"/>
      <c r="X323" s="10"/>
      <c r="Y323" s="10"/>
      <c r="Z323" s="10"/>
      <c r="AA323" s="10"/>
      <c r="AB323" s="10"/>
      <c r="AC323" s="10"/>
      <c r="AD323" s="10"/>
      <c r="AE323" s="10"/>
      <c r="AF323" s="10"/>
      <c r="AG323" s="10"/>
      <c r="AH323" s="10"/>
      <c r="AI323" s="10"/>
      <c r="AJ323" s="10"/>
      <c r="AK323" s="10"/>
      <c r="AL323" s="10"/>
      <c r="AM323" s="10"/>
      <c r="AN323" s="10"/>
      <c r="AO323" s="10"/>
      <c r="AW323" s="143"/>
      <c r="BA323" s="10"/>
      <c r="BD323" s="10"/>
      <c r="BE323" s="10"/>
      <c r="BF323" s="10"/>
      <c r="BG323" s="10"/>
      <c r="BH323" s="10"/>
      <c r="BI323" s="10"/>
      <c r="BJ323" s="10"/>
      <c r="BK323" s="10"/>
      <c r="BS323" s="10"/>
      <c r="BT323" s="10"/>
      <c r="BV323" s="10"/>
      <c r="BW323" s="10"/>
    </row>
    <row r="324">
      <c r="A324" s="10"/>
      <c r="B324" s="10"/>
      <c r="C324" s="10"/>
      <c r="D324" s="10"/>
      <c r="E324" s="10"/>
      <c r="F324" s="10"/>
      <c r="G324" s="10"/>
      <c r="H324" s="10"/>
      <c r="K324" s="10"/>
      <c r="L324" s="10"/>
      <c r="Q324" s="10"/>
      <c r="R324" s="10"/>
      <c r="S324" s="10"/>
      <c r="V324" s="10"/>
      <c r="W324" s="10"/>
      <c r="X324" s="10"/>
      <c r="Y324" s="10"/>
      <c r="Z324" s="10"/>
      <c r="AA324" s="10"/>
      <c r="AB324" s="10"/>
      <c r="AC324" s="10"/>
      <c r="AD324" s="10"/>
      <c r="AE324" s="10"/>
      <c r="AF324" s="10"/>
      <c r="AG324" s="10"/>
      <c r="AH324" s="10"/>
      <c r="AI324" s="10"/>
      <c r="AJ324" s="10"/>
      <c r="AK324" s="10"/>
      <c r="AL324" s="10"/>
      <c r="AN324" s="10"/>
      <c r="AO324" s="10"/>
      <c r="AW324" s="143"/>
      <c r="BA324" s="10"/>
      <c r="BD324" s="10"/>
      <c r="BE324" s="10"/>
      <c r="BF324" s="10"/>
      <c r="BG324" s="10"/>
      <c r="BH324" s="10"/>
      <c r="BI324" s="10"/>
      <c r="BJ324" s="10"/>
      <c r="BK324" s="10"/>
      <c r="BS324" s="10"/>
      <c r="BT324" s="10"/>
      <c r="BV324" s="10"/>
      <c r="BW324" s="10"/>
    </row>
    <row r="325">
      <c r="A325" s="10"/>
      <c r="B325" s="10"/>
      <c r="C325" s="10"/>
      <c r="D325" s="10"/>
      <c r="E325" s="10"/>
      <c r="F325" s="10"/>
      <c r="G325" s="10"/>
      <c r="H325" s="10"/>
      <c r="K325" s="10"/>
      <c r="L325" s="10"/>
      <c r="P325" s="10"/>
      <c r="U325" s="10"/>
      <c r="V325" s="10"/>
      <c r="W325" s="10"/>
      <c r="X325" s="10"/>
      <c r="Y325" s="10"/>
      <c r="Z325" s="10"/>
      <c r="AA325" s="10"/>
      <c r="AB325" s="10"/>
      <c r="AC325" s="10"/>
      <c r="AD325" s="10"/>
      <c r="AE325" s="10"/>
      <c r="AF325" s="10"/>
      <c r="AG325" s="10"/>
      <c r="AH325" s="10"/>
      <c r="AI325" s="10"/>
      <c r="AJ325" s="10"/>
      <c r="AK325" s="10"/>
      <c r="AL325" s="10"/>
      <c r="AM325" s="10"/>
      <c r="AN325" s="10"/>
      <c r="AO325" s="10"/>
      <c r="AW325" s="143"/>
      <c r="BA325" s="10"/>
      <c r="BD325" s="10"/>
      <c r="BE325" s="10"/>
      <c r="BF325" s="10"/>
      <c r="BG325" s="10"/>
      <c r="BH325" s="10"/>
      <c r="BI325" s="10"/>
      <c r="BJ325" s="10"/>
      <c r="BK325" s="10"/>
      <c r="BS325" s="10"/>
      <c r="BT325" s="10"/>
      <c r="BV325" s="10"/>
      <c r="BW325" s="10"/>
    </row>
    <row r="326">
      <c r="A326" s="10"/>
      <c r="B326" s="10"/>
      <c r="C326" s="10"/>
      <c r="D326" s="10"/>
      <c r="E326" s="10"/>
      <c r="F326" s="10"/>
      <c r="G326" s="10"/>
      <c r="H326" s="10"/>
      <c r="K326" s="10"/>
      <c r="L326" s="10"/>
      <c r="N326" s="10"/>
      <c r="V326" s="10"/>
      <c r="W326" s="10"/>
      <c r="X326" s="10"/>
      <c r="Y326" s="10"/>
      <c r="Z326" s="10"/>
      <c r="AA326" s="10"/>
      <c r="AB326" s="10"/>
      <c r="AC326" s="10"/>
      <c r="AD326" s="10"/>
      <c r="AE326" s="10"/>
      <c r="AF326" s="10"/>
      <c r="AG326" s="10"/>
      <c r="AH326" s="10"/>
      <c r="AI326" s="10"/>
      <c r="AJ326" s="10"/>
      <c r="AK326" s="10"/>
      <c r="AL326" s="10"/>
      <c r="AM326" s="10"/>
      <c r="AN326" s="10"/>
      <c r="AO326" s="10"/>
      <c r="AW326" s="143"/>
      <c r="BA326" s="10"/>
      <c r="BD326" s="10"/>
      <c r="BE326" s="10"/>
      <c r="BF326" s="10"/>
      <c r="BG326" s="10"/>
      <c r="BH326" s="10"/>
      <c r="BI326" s="10"/>
      <c r="BJ326" s="10"/>
      <c r="BK326" s="10"/>
      <c r="BS326" s="10"/>
      <c r="BT326" s="10"/>
      <c r="BV326" s="10"/>
      <c r="BW326" s="10"/>
    </row>
    <row r="327">
      <c r="A327" s="10"/>
      <c r="B327" s="10"/>
      <c r="C327" s="10"/>
      <c r="D327" s="10"/>
      <c r="E327" s="10"/>
      <c r="F327" s="10"/>
      <c r="G327" s="10"/>
      <c r="H327" s="10"/>
      <c r="K327" s="10"/>
      <c r="L327" s="10"/>
      <c r="U327" s="10"/>
      <c r="V327" s="10"/>
      <c r="W327" s="10"/>
      <c r="X327" s="10"/>
      <c r="Y327" s="10"/>
      <c r="Z327" s="10"/>
      <c r="AA327" s="10"/>
      <c r="AB327" s="10"/>
      <c r="AC327" s="10"/>
      <c r="AD327" s="10"/>
      <c r="AE327" s="10"/>
      <c r="AF327" s="10"/>
      <c r="AG327" s="10"/>
      <c r="AH327" s="10"/>
      <c r="AI327" s="10"/>
      <c r="AJ327" s="10"/>
      <c r="AK327" s="10"/>
      <c r="AL327" s="10"/>
      <c r="AM327" s="10"/>
      <c r="AN327" s="10"/>
      <c r="AO327" s="10"/>
      <c r="AW327" s="143"/>
      <c r="BA327" s="10"/>
      <c r="BD327" s="10"/>
      <c r="BE327" s="10"/>
      <c r="BF327" s="10"/>
      <c r="BG327" s="10"/>
      <c r="BH327" s="10"/>
      <c r="BI327" s="10"/>
      <c r="BJ327" s="10"/>
      <c r="BK327" s="10"/>
      <c r="BS327" s="10"/>
      <c r="BT327" s="10"/>
      <c r="BV327" s="10"/>
      <c r="BW327" s="10"/>
    </row>
    <row r="328">
      <c r="A328" s="10"/>
      <c r="B328" s="10"/>
      <c r="C328" s="10"/>
      <c r="D328" s="10"/>
      <c r="E328" s="10"/>
      <c r="F328" s="10"/>
      <c r="G328" s="10"/>
      <c r="H328" s="10"/>
      <c r="K328" s="10"/>
      <c r="L328" s="10"/>
      <c r="P328" s="10"/>
      <c r="Q328" s="10"/>
      <c r="R328" s="10"/>
      <c r="S328" s="10"/>
      <c r="U328" s="10"/>
      <c r="V328" s="10"/>
      <c r="W328" s="10"/>
      <c r="X328" s="10"/>
      <c r="Y328" s="10"/>
      <c r="Z328" s="10"/>
      <c r="AA328" s="10"/>
      <c r="AB328" s="10"/>
      <c r="AC328" s="10"/>
      <c r="AD328" s="10"/>
      <c r="AE328" s="10"/>
      <c r="AF328" s="10"/>
      <c r="AG328" s="10"/>
      <c r="AH328" s="10"/>
      <c r="AI328" s="10"/>
      <c r="AJ328" s="10"/>
      <c r="AK328" s="10"/>
      <c r="AL328" s="10"/>
      <c r="AM328" s="10"/>
      <c r="AN328" s="10"/>
      <c r="AO328" s="10"/>
      <c r="AW328" s="143"/>
      <c r="BA328" s="10"/>
      <c r="BD328" s="10"/>
      <c r="BE328" s="10"/>
      <c r="BF328" s="10"/>
      <c r="BG328" s="10"/>
      <c r="BH328" s="10"/>
      <c r="BI328" s="10"/>
      <c r="BJ328" s="10"/>
      <c r="BK328" s="10"/>
      <c r="BM328" s="10"/>
      <c r="BN328" s="10"/>
      <c r="BP328" s="10"/>
      <c r="BQ328" s="10"/>
      <c r="BS328" s="10"/>
      <c r="BT328" s="10"/>
      <c r="BV328" s="10"/>
      <c r="BW328" s="10"/>
    </row>
    <row r="329">
      <c r="A329" s="10"/>
      <c r="B329" s="10"/>
      <c r="C329" s="10"/>
      <c r="D329" s="10"/>
      <c r="E329" s="10"/>
      <c r="F329" s="10"/>
      <c r="G329" s="10"/>
      <c r="H329" s="10"/>
      <c r="K329" s="10"/>
      <c r="L329" s="10"/>
      <c r="N329" s="10"/>
      <c r="U329" s="10"/>
      <c r="V329" s="10"/>
      <c r="W329" s="10"/>
      <c r="X329" s="10"/>
      <c r="Y329" s="10"/>
      <c r="Z329" s="10"/>
      <c r="AA329" s="10"/>
      <c r="AB329" s="10"/>
      <c r="AC329" s="10"/>
      <c r="AD329" s="10"/>
      <c r="AE329" s="10"/>
      <c r="AF329" s="10"/>
      <c r="AG329" s="10"/>
      <c r="AH329" s="10"/>
      <c r="AI329" s="10"/>
      <c r="AJ329" s="10"/>
      <c r="AK329" s="10"/>
      <c r="AL329" s="10"/>
      <c r="AM329" s="10"/>
      <c r="AN329" s="10"/>
      <c r="AO329" s="10"/>
      <c r="AW329" s="143"/>
      <c r="BA329" s="10"/>
      <c r="BD329" s="10"/>
      <c r="BE329" s="10"/>
      <c r="BF329" s="10"/>
      <c r="BG329" s="10"/>
      <c r="BH329" s="10"/>
      <c r="BI329" s="10"/>
      <c r="BJ329" s="10"/>
      <c r="BK329" s="10"/>
      <c r="BS329" s="10"/>
      <c r="BT329" s="10"/>
      <c r="BV329" s="10"/>
      <c r="BW329" s="10"/>
    </row>
    <row r="330">
      <c r="A330" s="10"/>
      <c r="B330" s="10"/>
      <c r="C330" s="10"/>
      <c r="D330" s="10"/>
      <c r="E330" s="10"/>
      <c r="F330" s="10"/>
      <c r="G330" s="10"/>
      <c r="H330" s="10"/>
      <c r="J330" s="10"/>
      <c r="K330" s="10"/>
      <c r="L330" s="10"/>
      <c r="N330" s="10"/>
      <c r="O330" s="10"/>
      <c r="P330" s="10"/>
      <c r="U330" s="10"/>
      <c r="V330" s="10"/>
      <c r="W330" s="10"/>
      <c r="X330" s="10"/>
      <c r="Y330" s="10"/>
      <c r="Z330" s="10"/>
      <c r="AA330" s="10"/>
      <c r="AB330" s="10"/>
      <c r="AC330" s="10"/>
      <c r="AD330" s="10"/>
      <c r="AE330" s="10"/>
      <c r="AF330" s="10"/>
      <c r="AG330" s="10"/>
      <c r="AH330" s="10"/>
      <c r="AI330" s="10"/>
      <c r="AJ330" s="10"/>
      <c r="AK330" s="10"/>
      <c r="AL330" s="10"/>
      <c r="AM330" s="10"/>
      <c r="AN330" s="10"/>
      <c r="AO330" s="10"/>
      <c r="AW330" s="143"/>
      <c r="BA330" s="10"/>
      <c r="BD330" s="10"/>
      <c r="BE330" s="10"/>
      <c r="BF330" s="10"/>
      <c r="BG330" s="10"/>
      <c r="BH330" s="10"/>
      <c r="BI330" s="10"/>
      <c r="BJ330" s="10"/>
      <c r="BK330" s="10"/>
      <c r="BS330" s="10"/>
      <c r="BT330" s="10"/>
      <c r="BV330" s="10"/>
      <c r="BW330" s="10"/>
    </row>
    <row r="331">
      <c r="A331" s="10"/>
      <c r="B331" s="10"/>
      <c r="C331" s="10"/>
      <c r="D331" s="10"/>
      <c r="E331" s="10"/>
      <c r="F331" s="10"/>
      <c r="G331" s="10"/>
      <c r="H331" s="10"/>
      <c r="K331" s="10"/>
      <c r="L331" s="10"/>
      <c r="N331" s="10"/>
      <c r="U331" s="10"/>
      <c r="V331" s="10"/>
      <c r="W331" s="10"/>
      <c r="X331" s="10"/>
      <c r="Y331" s="10"/>
      <c r="Z331" s="10"/>
      <c r="AA331" s="10"/>
      <c r="AB331" s="10"/>
      <c r="AC331" s="10"/>
      <c r="AD331" s="10"/>
      <c r="AE331" s="10"/>
      <c r="AF331" s="10"/>
      <c r="AG331" s="10"/>
      <c r="AH331" s="10"/>
      <c r="AI331" s="10"/>
      <c r="AJ331" s="10"/>
      <c r="AK331" s="10"/>
      <c r="AL331" s="10"/>
      <c r="AM331" s="10"/>
      <c r="AN331" s="10"/>
      <c r="AO331" s="10"/>
      <c r="AW331" s="143"/>
      <c r="BA331" s="10"/>
      <c r="BD331" s="10"/>
      <c r="BE331" s="10"/>
      <c r="BF331" s="10"/>
      <c r="BG331" s="10"/>
      <c r="BH331" s="10"/>
      <c r="BI331" s="10"/>
      <c r="BJ331" s="10"/>
      <c r="BK331" s="10"/>
      <c r="BS331" s="10"/>
      <c r="BT331" s="10"/>
      <c r="BV331" s="10"/>
      <c r="BW331" s="10"/>
    </row>
    <row r="332">
      <c r="A332" s="10"/>
      <c r="B332" s="10"/>
      <c r="C332" s="10"/>
      <c r="D332" s="10"/>
      <c r="E332" s="10"/>
      <c r="F332" s="10"/>
      <c r="G332" s="10"/>
      <c r="H332" s="10"/>
      <c r="K332" s="10"/>
      <c r="L332" s="10"/>
      <c r="U332" s="10"/>
      <c r="V332" s="10"/>
      <c r="W332" s="10"/>
      <c r="X332" s="10"/>
      <c r="Y332" s="10"/>
      <c r="Z332" s="10"/>
      <c r="AA332" s="10"/>
      <c r="AB332" s="10"/>
      <c r="AC332" s="10"/>
      <c r="AD332" s="10"/>
      <c r="AE332" s="10"/>
      <c r="AF332" s="10"/>
      <c r="AG332" s="10"/>
      <c r="AH332" s="10"/>
      <c r="AI332" s="10"/>
      <c r="AJ332" s="10"/>
      <c r="AK332" s="10"/>
      <c r="AL332" s="10"/>
      <c r="AM332" s="10"/>
      <c r="AN332" s="10"/>
      <c r="AO332" s="10"/>
      <c r="AW332" s="143"/>
      <c r="BA332" s="10"/>
      <c r="BD332" s="10"/>
      <c r="BE332" s="10"/>
      <c r="BF332" s="10"/>
      <c r="BG332" s="10"/>
      <c r="BH332" s="10"/>
      <c r="BI332" s="10"/>
      <c r="BJ332" s="10"/>
      <c r="BK332" s="10"/>
      <c r="BS332" s="10"/>
      <c r="BT332" s="10"/>
      <c r="BV332" s="10"/>
      <c r="BW332" s="10"/>
    </row>
    <row r="333">
      <c r="A333" s="10"/>
      <c r="B333" s="10"/>
      <c r="C333" s="10"/>
      <c r="D333" s="10"/>
      <c r="E333" s="10"/>
      <c r="F333" s="10"/>
      <c r="G333" s="10"/>
      <c r="H333" s="10"/>
      <c r="K333" s="10"/>
      <c r="L333" s="10"/>
      <c r="N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W333" s="143"/>
      <c r="BA333" s="10"/>
      <c r="BD333" s="10"/>
      <c r="BE333" s="10"/>
      <c r="BF333" s="10"/>
      <c r="BG333" s="10"/>
      <c r="BH333" s="10"/>
      <c r="BI333" s="10"/>
      <c r="BJ333" s="10"/>
      <c r="BK333" s="10"/>
      <c r="BM333" s="10"/>
      <c r="BN333" s="10"/>
      <c r="BO333" s="10"/>
      <c r="BR333" s="10"/>
      <c r="BS333" s="10"/>
      <c r="BT333" s="10"/>
      <c r="BV333" s="10"/>
      <c r="BW333" s="10"/>
    </row>
    <row r="334">
      <c r="A334" s="10"/>
      <c r="B334" s="10"/>
      <c r="C334" s="10"/>
      <c r="D334" s="10"/>
      <c r="E334" s="10"/>
      <c r="F334" s="10"/>
      <c r="G334" s="10"/>
      <c r="H334" s="10"/>
      <c r="J334" s="10"/>
      <c r="K334" s="10"/>
      <c r="L334" s="10"/>
      <c r="N334" s="10"/>
      <c r="U334" s="10"/>
      <c r="V334" s="10"/>
      <c r="W334" s="10"/>
      <c r="X334" s="10"/>
      <c r="Y334" s="10"/>
      <c r="Z334" s="10"/>
      <c r="AA334" s="10"/>
      <c r="AB334" s="10"/>
      <c r="AC334" s="10"/>
      <c r="AD334" s="10"/>
      <c r="AE334" s="10"/>
      <c r="AF334" s="10"/>
      <c r="AG334" s="10"/>
      <c r="AH334" s="10"/>
      <c r="AI334" s="10"/>
      <c r="AJ334" s="10"/>
      <c r="AK334" s="10"/>
      <c r="AL334" s="10"/>
      <c r="AM334" s="10"/>
      <c r="AN334" s="10"/>
      <c r="AO334" s="10"/>
      <c r="AW334" s="143"/>
      <c r="AZ334" s="10"/>
      <c r="BA334" s="10"/>
      <c r="BD334" s="10"/>
      <c r="BE334" s="10"/>
      <c r="BF334" s="10"/>
      <c r="BG334" s="10"/>
      <c r="BH334" s="10"/>
      <c r="BI334" s="10"/>
      <c r="BJ334" s="10"/>
      <c r="BK334" s="10"/>
      <c r="BS334" s="10"/>
      <c r="BT334" s="10"/>
      <c r="BV334" s="10"/>
      <c r="BW334" s="10"/>
    </row>
    <row r="335">
      <c r="A335" s="10"/>
      <c r="B335" s="10"/>
      <c r="C335" s="10"/>
      <c r="D335" s="10"/>
      <c r="E335" s="10"/>
      <c r="F335" s="10"/>
      <c r="G335" s="10"/>
      <c r="H335" s="10"/>
      <c r="J335" s="10"/>
      <c r="K335" s="10"/>
      <c r="L335" s="10"/>
      <c r="P335" s="10"/>
      <c r="U335" s="10"/>
      <c r="V335" s="10"/>
      <c r="W335" s="10"/>
      <c r="X335" s="10"/>
      <c r="Y335" s="10"/>
      <c r="Z335" s="10"/>
      <c r="AA335" s="10"/>
      <c r="AB335" s="10"/>
      <c r="AC335" s="10"/>
      <c r="AD335" s="10"/>
      <c r="AE335" s="10"/>
      <c r="AF335" s="10"/>
      <c r="AG335" s="10"/>
      <c r="AH335" s="10"/>
      <c r="AI335" s="10"/>
      <c r="AJ335" s="10"/>
      <c r="AK335" s="10"/>
      <c r="AL335" s="10"/>
      <c r="AM335" s="10"/>
      <c r="AN335" s="10"/>
      <c r="AO335" s="10"/>
      <c r="AW335" s="143"/>
      <c r="AZ335" s="10"/>
      <c r="BA335" s="10"/>
      <c r="BD335" s="10"/>
      <c r="BE335" s="10"/>
      <c r="BF335" s="10"/>
      <c r="BG335" s="10"/>
      <c r="BH335" s="10"/>
      <c r="BI335" s="10"/>
      <c r="BJ335" s="10"/>
      <c r="BK335" s="10"/>
      <c r="BS335" s="10"/>
      <c r="BT335" s="10"/>
      <c r="BV335" s="10"/>
      <c r="BW335" s="10"/>
    </row>
    <row r="336">
      <c r="A336" s="10"/>
      <c r="B336" s="10"/>
      <c r="C336" s="10"/>
      <c r="D336" s="10"/>
      <c r="E336" s="10"/>
      <c r="F336" s="10"/>
      <c r="G336" s="10"/>
      <c r="H336" s="10"/>
      <c r="K336" s="10"/>
      <c r="L336" s="10"/>
      <c r="N336" s="10"/>
      <c r="U336" s="10"/>
      <c r="V336" s="10"/>
      <c r="W336" s="10"/>
      <c r="X336" s="10"/>
      <c r="Y336" s="10"/>
      <c r="Z336" s="10"/>
      <c r="AA336" s="10"/>
      <c r="AB336" s="10"/>
      <c r="AC336" s="10"/>
      <c r="AD336" s="10"/>
      <c r="AE336" s="10"/>
      <c r="AF336" s="10"/>
      <c r="AG336" s="10"/>
      <c r="AH336" s="10"/>
      <c r="AI336" s="10"/>
      <c r="AJ336" s="10"/>
      <c r="AK336" s="10"/>
      <c r="AL336" s="10"/>
      <c r="AM336" s="10"/>
      <c r="AN336" s="10"/>
      <c r="AO336" s="10"/>
      <c r="AW336" s="143"/>
      <c r="AZ336" s="10"/>
      <c r="BA336" s="10"/>
      <c r="BD336" s="10"/>
      <c r="BE336" s="10"/>
      <c r="BF336" s="10"/>
      <c r="BG336" s="10"/>
      <c r="BH336" s="10"/>
      <c r="BI336" s="10"/>
      <c r="BJ336" s="10"/>
      <c r="BK336" s="10"/>
      <c r="BS336" s="10"/>
      <c r="BT336" s="10"/>
      <c r="BV336" s="10"/>
      <c r="BW336" s="10"/>
    </row>
    <row r="337">
      <c r="A337" s="10"/>
      <c r="B337" s="10"/>
      <c r="C337" s="10"/>
      <c r="D337" s="10"/>
      <c r="E337" s="10"/>
      <c r="F337" s="10"/>
      <c r="G337" s="10"/>
      <c r="H337" s="10"/>
      <c r="K337" s="10"/>
      <c r="L337" s="10"/>
      <c r="U337" s="10"/>
      <c r="V337" s="10"/>
      <c r="W337" s="10"/>
      <c r="X337" s="10"/>
      <c r="Y337" s="10"/>
      <c r="Z337" s="10"/>
      <c r="AA337" s="10"/>
      <c r="AB337" s="10"/>
      <c r="AC337" s="10"/>
      <c r="AD337" s="10"/>
      <c r="AE337" s="10"/>
      <c r="AF337" s="10"/>
      <c r="AG337" s="10"/>
      <c r="AH337" s="10"/>
      <c r="AI337" s="10"/>
      <c r="AJ337" s="10"/>
      <c r="AK337" s="10"/>
      <c r="AL337" s="10"/>
      <c r="AM337" s="10"/>
      <c r="AN337" s="10"/>
      <c r="AO337" s="10"/>
      <c r="AW337" s="143"/>
      <c r="AZ337" s="10"/>
      <c r="BA337" s="10"/>
      <c r="BD337" s="10"/>
      <c r="BE337" s="10"/>
      <c r="BF337" s="10"/>
      <c r="BG337" s="10"/>
      <c r="BH337" s="10"/>
      <c r="BI337" s="10"/>
      <c r="BJ337" s="10"/>
      <c r="BT337" s="10"/>
      <c r="BV337" s="10"/>
      <c r="BW337" s="10"/>
    </row>
    <row r="338">
      <c r="A338" s="10"/>
      <c r="B338" s="10"/>
      <c r="C338" s="10"/>
      <c r="D338" s="10"/>
      <c r="E338" s="10"/>
      <c r="F338" s="10"/>
      <c r="G338" s="10"/>
      <c r="H338" s="10"/>
      <c r="J338" s="10"/>
      <c r="K338" s="10"/>
      <c r="L338" s="10"/>
      <c r="U338" s="10"/>
      <c r="V338" s="10"/>
      <c r="W338" s="10"/>
      <c r="X338" s="10"/>
      <c r="Y338" s="10"/>
      <c r="Z338" s="10"/>
      <c r="AA338" s="10"/>
      <c r="AB338" s="10"/>
      <c r="AC338" s="10"/>
      <c r="AD338" s="10"/>
      <c r="AE338" s="10"/>
      <c r="AF338" s="10"/>
      <c r="AG338" s="10"/>
      <c r="AH338" s="10"/>
      <c r="AI338" s="10"/>
      <c r="AJ338" s="10"/>
      <c r="AK338" s="10"/>
      <c r="AL338" s="10"/>
      <c r="AM338" s="10"/>
      <c r="AN338" s="10"/>
      <c r="AO338" s="10"/>
      <c r="AW338" s="143"/>
      <c r="BA338" s="10"/>
      <c r="BD338" s="10"/>
      <c r="BE338" s="10"/>
      <c r="BF338" s="10"/>
      <c r="BG338" s="10"/>
      <c r="BH338" s="10"/>
      <c r="BI338" s="10"/>
      <c r="BJ338" s="10"/>
      <c r="BK338" s="10"/>
      <c r="BS338" s="10"/>
      <c r="BT338" s="10"/>
      <c r="BV338" s="10"/>
      <c r="BW338" s="10"/>
    </row>
    <row r="339">
      <c r="A339" s="10"/>
      <c r="B339" s="10"/>
      <c r="C339" s="10"/>
      <c r="D339" s="10"/>
      <c r="E339" s="10"/>
      <c r="F339" s="10"/>
      <c r="G339" s="10"/>
      <c r="H339" s="10"/>
      <c r="J339" s="10"/>
      <c r="K339" s="10"/>
      <c r="L339" s="10"/>
      <c r="U339" s="10"/>
      <c r="V339" s="10"/>
      <c r="W339" s="10"/>
      <c r="X339" s="10"/>
      <c r="Y339" s="10"/>
      <c r="Z339" s="10"/>
      <c r="AA339" s="10"/>
      <c r="AB339" s="10"/>
      <c r="AC339" s="10"/>
      <c r="AD339" s="10"/>
      <c r="AE339" s="10"/>
      <c r="AF339" s="10"/>
      <c r="AG339" s="10"/>
      <c r="AH339" s="10"/>
      <c r="AI339" s="10"/>
      <c r="AJ339" s="10"/>
      <c r="AK339" s="10"/>
      <c r="AL339" s="10"/>
      <c r="AM339" s="10"/>
      <c r="AN339" s="10"/>
      <c r="AO339" s="10"/>
      <c r="AW339" s="143"/>
      <c r="BA339" s="10"/>
      <c r="BD339" s="10"/>
      <c r="BE339" s="10"/>
      <c r="BF339" s="10"/>
      <c r="BG339" s="10"/>
      <c r="BH339" s="10"/>
      <c r="BI339" s="10"/>
      <c r="BJ339" s="10"/>
      <c r="BK339" s="10"/>
      <c r="BS339" s="10"/>
      <c r="BT339" s="10"/>
      <c r="BV339" s="10"/>
      <c r="BW339" s="10"/>
    </row>
    <row r="340">
      <c r="A340" s="10"/>
      <c r="B340" s="10"/>
      <c r="C340" s="10"/>
      <c r="D340" s="10"/>
      <c r="E340" s="10"/>
      <c r="F340" s="10"/>
      <c r="G340" s="10"/>
      <c r="H340" s="10"/>
      <c r="J340" s="10"/>
      <c r="K340" s="10"/>
      <c r="L340" s="10"/>
      <c r="U340" s="10"/>
      <c r="V340" s="10"/>
      <c r="W340" s="10"/>
      <c r="X340" s="10"/>
      <c r="Y340" s="10"/>
      <c r="Z340" s="10"/>
      <c r="AA340" s="10"/>
      <c r="AB340" s="10"/>
      <c r="AC340" s="10"/>
      <c r="AD340" s="10"/>
      <c r="AE340" s="10"/>
      <c r="AF340" s="10"/>
      <c r="AG340" s="10"/>
      <c r="AH340" s="10"/>
      <c r="AI340" s="10"/>
      <c r="AJ340" s="10"/>
      <c r="AK340" s="10"/>
      <c r="AL340" s="10"/>
      <c r="AM340" s="10"/>
      <c r="AN340" s="10"/>
      <c r="AO340" s="10"/>
      <c r="AW340" s="143"/>
      <c r="BA340" s="10"/>
      <c r="BD340" s="10"/>
      <c r="BE340" s="10"/>
      <c r="BF340" s="10"/>
      <c r="BG340" s="10"/>
      <c r="BH340" s="10"/>
      <c r="BI340" s="10"/>
      <c r="BJ340" s="10"/>
      <c r="BK340" s="10"/>
      <c r="BS340" s="10"/>
      <c r="BT340" s="10"/>
      <c r="BV340" s="10"/>
      <c r="BW340" s="10"/>
    </row>
    <row r="341">
      <c r="A341" s="10"/>
      <c r="B341" s="10"/>
      <c r="C341" s="10"/>
      <c r="D341" s="10"/>
      <c r="E341" s="10"/>
      <c r="F341" s="10"/>
      <c r="G341" s="10"/>
      <c r="H341" s="10"/>
      <c r="K341" s="10"/>
      <c r="L341" s="10"/>
      <c r="O341" s="10"/>
      <c r="Q341" s="10"/>
      <c r="R341" s="10"/>
      <c r="S341" s="10"/>
      <c r="U341" s="10"/>
      <c r="V341" s="10"/>
      <c r="W341" s="10"/>
      <c r="X341" s="10"/>
      <c r="Y341" s="10"/>
      <c r="Z341" s="10"/>
      <c r="AA341" s="10"/>
      <c r="AB341" s="10"/>
      <c r="AC341" s="10"/>
      <c r="AD341" s="10"/>
      <c r="AE341" s="10"/>
      <c r="AF341" s="10"/>
      <c r="AG341" s="10"/>
      <c r="AH341" s="10"/>
      <c r="AI341" s="10"/>
      <c r="AJ341" s="10"/>
      <c r="AK341" s="10"/>
      <c r="AL341" s="10"/>
      <c r="AM341" s="10"/>
      <c r="AN341" s="10"/>
      <c r="AO341" s="10"/>
      <c r="AW341" s="143"/>
      <c r="BA341" s="10"/>
      <c r="BD341" s="10"/>
      <c r="BE341" s="10"/>
      <c r="BF341" s="10"/>
      <c r="BG341" s="10"/>
      <c r="BH341" s="10"/>
      <c r="BI341" s="10"/>
      <c r="BJ341" s="10"/>
      <c r="BK341" s="10"/>
      <c r="BO341" s="10"/>
      <c r="BR341" s="10"/>
      <c r="BS341" s="10"/>
      <c r="BT341" s="10"/>
      <c r="BV341" s="10"/>
      <c r="BW341" s="10"/>
    </row>
    <row r="342">
      <c r="A342" s="10"/>
      <c r="B342" s="10"/>
      <c r="C342" s="10"/>
      <c r="D342" s="10"/>
      <c r="E342" s="10"/>
      <c r="F342" s="10"/>
      <c r="G342" s="10"/>
      <c r="H342" s="10"/>
      <c r="K342" s="10"/>
      <c r="L342" s="10"/>
      <c r="N342" s="10"/>
      <c r="U342" s="10"/>
      <c r="V342" s="10"/>
      <c r="W342" s="10"/>
      <c r="X342" s="10"/>
      <c r="Y342" s="10"/>
      <c r="Z342" s="10"/>
      <c r="AA342" s="10"/>
      <c r="AB342" s="10"/>
      <c r="AC342" s="10"/>
      <c r="AD342" s="10"/>
      <c r="AE342" s="10"/>
      <c r="AF342" s="10"/>
      <c r="AG342" s="10"/>
      <c r="AH342" s="10"/>
      <c r="AI342" s="10"/>
      <c r="AJ342" s="10"/>
      <c r="AK342" s="10"/>
      <c r="AL342" s="10"/>
      <c r="AM342" s="10"/>
      <c r="AN342" s="10"/>
      <c r="AO342" s="10"/>
      <c r="AW342" s="143"/>
      <c r="BA342" s="10"/>
      <c r="BD342" s="10"/>
      <c r="BE342" s="10"/>
      <c r="BF342" s="10"/>
      <c r="BG342" s="10"/>
      <c r="BH342" s="10"/>
      <c r="BI342" s="10"/>
      <c r="BJ342" s="10"/>
      <c r="BK342" s="10"/>
      <c r="BS342" s="10"/>
      <c r="BT342" s="10"/>
      <c r="BV342" s="10"/>
      <c r="BW342" s="10"/>
    </row>
    <row r="343">
      <c r="A343" s="10"/>
      <c r="B343" s="10"/>
      <c r="C343" s="10"/>
      <c r="D343" s="10"/>
      <c r="E343" s="10"/>
      <c r="F343" s="10"/>
      <c r="G343" s="10"/>
      <c r="H343" s="10"/>
      <c r="K343" s="10"/>
      <c r="L343" s="10"/>
      <c r="U343" s="10"/>
      <c r="V343" s="10"/>
      <c r="W343" s="10"/>
      <c r="X343" s="10"/>
      <c r="Y343" s="10"/>
      <c r="Z343" s="10"/>
      <c r="AA343" s="10"/>
      <c r="AB343" s="10"/>
      <c r="AC343" s="10"/>
      <c r="AD343" s="10"/>
      <c r="AE343" s="10"/>
      <c r="AF343" s="10"/>
      <c r="AG343" s="10"/>
      <c r="AH343" s="10"/>
      <c r="AI343" s="10"/>
      <c r="AJ343" s="10"/>
      <c r="AK343" s="10"/>
      <c r="AL343" s="10"/>
      <c r="AM343" s="10"/>
      <c r="AN343" s="10"/>
      <c r="AO343" s="10"/>
      <c r="AW343" s="143"/>
      <c r="BA343" s="10"/>
      <c r="BD343" s="10"/>
      <c r="BE343" s="10"/>
      <c r="BF343" s="10"/>
      <c r="BG343" s="10"/>
      <c r="BH343" s="10"/>
      <c r="BI343" s="10"/>
      <c r="BJ343" s="10"/>
      <c r="BK343" s="10"/>
      <c r="BS343" s="10"/>
      <c r="BT343" s="10"/>
      <c r="BV343" s="10"/>
      <c r="BW343" s="10"/>
    </row>
    <row r="344">
      <c r="A344" s="10"/>
      <c r="B344" s="10"/>
      <c r="C344" s="10"/>
      <c r="D344" s="10"/>
      <c r="E344" s="10"/>
      <c r="F344" s="10"/>
      <c r="G344" s="10"/>
      <c r="H344" s="10"/>
      <c r="K344" s="10"/>
      <c r="L344" s="10"/>
      <c r="U344" s="10"/>
      <c r="V344" s="10"/>
      <c r="W344" s="10"/>
      <c r="X344" s="10"/>
      <c r="Y344" s="10"/>
      <c r="Z344" s="10"/>
      <c r="AA344" s="10"/>
      <c r="AB344" s="10"/>
      <c r="AC344" s="10"/>
      <c r="AD344" s="10"/>
      <c r="AE344" s="10"/>
      <c r="AF344" s="10"/>
      <c r="AG344" s="10"/>
      <c r="AH344" s="10"/>
      <c r="AI344" s="10"/>
      <c r="AJ344" s="10"/>
      <c r="AK344" s="10"/>
      <c r="AL344" s="10"/>
      <c r="AM344" s="10"/>
      <c r="AN344" s="10"/>
      <c r="AO344" s="10"/>
      <c r="AW344" s="143"/>
      <c r="BA344" s="10"/>
      <c r="BD344" s="10"/>
      <c r="BE344" s="10"/>
      <c r="BF344" s="10"/>
      <c r="BG344" s="10"/>
      <c r="BH344" s="10"/>
      <c r="BI344" s="10"/>
      <c r="BJ344" s="10"/>
      <c r="BK344" s="10"/>
      <c r="BS344" s="10"/>
      <c r="BT344" s="10"/>
      <c r="BV344" s="10"/>
      <c r="BW344" s="10"/>
    </row>
    <row r="345">
      <c r="A345" s="10"/>
      <c r="B345" s="10"/>
      <c r="C345" s="10"/>
      <c r="D345" s="10"/>
      <c r="E345" s="10"/>
      <c r="F345" s="10"/>
      <c r="G345" s="10"/>
      <c r="H345" s="10"/>
      <c r="K345" s="10"/>
      <c r="L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W345" s="143"/>
      <c r="BA345" s="10"/>
      <c r="BD345" s="10"/>
      <c r="BE345" s="10"/>
      <c r="BF345" s="10"/>
      <c r="BG345" s="10"/>
      <c r="BH345" s="10"/>
      <c r="BI345" s="10"/>
      <c r="BJ345" s="10"/>
      <c r="BK345" s="10"/>
      <c r="BT345" s="10"/>
      <c r="BV345" s="10"/>
      <c r="BW345" s="10"/>
    </row>
    <row r="346">
      <c r="A346" s="10"/>
      <c r="B346" s="10"/>
      <c r="C346" s="10"/>
      <c r="D346" s="10"/>
      <c r="E346" s="10"/>
      <c r="F346" s="10"/>
      <c r="G346" s="10"/>
      <c r="H346" s="10"/>
      <c r="K346" s="10"/>
      <c r="L346" s="10"/>
      <c r="U346" s="10"/>
      <c r="V346" s="10"/>
      <c r="W346" s="10"/>
      <c r="X346" s="10"/>
      <c r="Y346" s="10"/>
      <c r="Z346" s="10"/>
      <c r="AA346" s="10"/>
      <c r="AB346" s="10"/>
      <c r="AC346" s="10"/>
      <c r="AD346" s="10"/>
      <c r="AE346" s="10"/>
      <c r="AF346" s="10"/>
      <c r="AG346" s="10"/>
      <c r="AH346" s="10"/>
      <c r="AI346" s="10"/>
      <c r="AJ346" s="10"/>
      <c r="AK346" s="10"/>
      <c r="AL346" s="10"/>
      <c r="AM346" s="10"/>
      <c r="AN346" s="10"/>
      <c r="AO346" s="10"/>
      <c r="AW346" s="143"/>
      <c r="BA346" s="10"/>
      <c r="BD346" s="10"/>
      <c r="BE346" s="10"/>
      <c r="BF346" s="10"/>
      <c r="BG346" s="10"/>
      <c r="BH346" s="10"/>
      <c r="BI346" s="10"/>
      <c r="BJ346" s="10"/>
      <c r="BK346" s="10"/>
      <c r="BS346" s="10"/>
      <c r="BT346" s="10"/>
      <c r="BV346" s="10"/>
      <c r="BW346" s="10"/>
    </row>
    <row r="347">
      <c r="A347" s="10"/>
      <c r="B347" s="10"/>
      <c r="C347" s="10"/>
      <c r="D347" s="10"/>
      <c r="E347" s="10"/>
      <c r="F347" s="10"/>
      <c r="G347" s="10"/>
      <c r="H347" s="10"/>
      <c r="J347" s="10"/>
      <c r="K347" s="10"/>
      <c r="L347" s="10"/>
      <c r="N347" s="10"/>
      <c r="U347" s="10"/>
      <c r="V347" s="10"/>
      <c r="W347" s="10"/>
      <c r="X347" s="10"/>
      <c r="Y347" s="10"/>
      <c r="Z347" s="10"/>
      <c r="AA347" s="10"/>
      <c r="AB347" s="10"/>
      <c r="AC347" s="10"/>
      <c r="AD347" s="10"/>
      <c r="AE347" s="10"/>
      <c r="AF347" s="10"/>
      <c r="AG347" s="10"/>
      <c r="AH347" s="10"/>
      <c r="AI347" s="10"/>
      <c r="AJ347" s="10"/>
      <c r="AK347" s="10"/>
      <c r="AL347" s="10"/>
      <c r="AM347" s="10"/>
      <c r="AN347" s="10"/>
      <c r="AO347" s="10"/>
      <c r="AW347" s="143"/>
      <c r="BA347" s="10"/>
      <c r="BD347" s="10"/>
      <c r="BE347" s="10"/>
      <c r="BF347" s="10"/>
      <c r="BG347" s="10"/>
      <c r="BH347" s="10"/>
      <c r="BI347" s="10"/>
      <c r="BJ347" s="10"/>
      <c r="BK347" s="10"/>
      <c r="BS347" s="10"/>
      <c r="BT347" s="10"/>
      <c r="BV347" s="10"/>
      <c r="BW347" s="10"/>
    </row>
    <row r="348">
      <c r="A348" s="10"/>
      <c r="B348" s="10"/>
      <c r="C348" s="10"/>
      <c r="D348" s="10"/>
      <c r="E348" s="10"/>
      <c r="F348" s="10"/>
      <c r="G348" s="10"/>
      <c r="H348" s="10"/>
      <c r="J348" s="10"/>
      <c r="K348" s="10"/>
      <c r="L348" s="10"/>
      <c r="P348" s="10"/>
      <c r="T348" s="10"/>
      <c r="U348" s="10"/>
      <c r="V348" s="10"/>
      <c r="W348" s="10"/>
      <c r="X348" s="10"/>
      <c r="Y348" s="10"/>
      <c r="Z348" s="10"/>
      <c r="AA348" s="10"/>
      <c r="AB348" s="10"/>
      <c r="AC348" s="10"/>
      <c r="AD348" s="10"/>
      <c r="AE348" s="10"/>
      <c r="AF348" s="10"/>
      <c r="AG348" s="10"/>
      <c r="AH348" s="10"/>
      <c r="AI348" s="10"/>
      <c r="AJ348" s="10"/>
      <c r="AK348" s="10"/>
      <c r="AL348" s="10"/>
      <c r="AM348" s="10"/>
      <c r="AO348" s="10"/>
      <c r="AW348" s="143"/>
      <c r="BA348" s="10"/>
      <c r="BD348" s="10"/>
      <c r="BE348" s="10"/>
      <c r="BF348" s="10"/>
      <c r="BG348" s="10"/>
      <c r="BH348" s="10"/>
      <c r="BI348" s="10"/>
      <c r="BJ348" s="10"/>
      <c r="BK348" s="10"/>
      <c r="BS348" s="10"/>
      <c r="BT348" s="10"/>
      <c r="BV348" s="10"/>
      <c r="BW348" s="10"/>
    </row>
    <row r="349">
      <c r="A349" s="10"/>
      <c r="B349" s="10"/>
      <c r="C349" s="10"/>
      <c r="D349" s="10"/>
      <c r="E349" s="10"/>
      <c r="F349" s="10"/>
      <c r="G349" s="10"/>
      <c r="H349" s="10"/>
      <c r="K349" s="10"/>
      <c r="L349" s="10"/>
      <c r="N349" s="10"/>
      <c r="U349" s="10"/>
      <c r="V349" s="10"/>
      <c r="W349" s="10"/>
      <c r="X349" s="10"/>
      <c r="Y349" s="10"/>
      <c r="Z349" s="10"/>
      <c r="AA349" s="10"/>
      <c r="AB349" s="10"/>
      <c r="AC349" s="10"/>
      <c r="AD349" s="10"/>
      <c r="AE349" s="10"/>
      <c r="AF349" s="10"/>
      <c r="AG349" s="10"/>
      <c r="AH349" s="10"/>
      <c r="AI349" s="10"/>
      <c r="AJ349" s="10"/>
      <c r="AK349" s="10"/>
      <c r="AL349" s="10"/>
      <c r="AM349" s="10"/>
      <c r="AN349" s="10"/>
      <c r="AO349" s="10"/>
      <c r="AW349" s="143"/>
      <c r="BA349" s="10"/>
      <c r="BD349" s="10"/>
      <c r="BE349" s="10"/>
      <c r="BF349" s="10"/>
      <c r="BG349" s="10"/>
      <c r="BH349" s="10"/>
      <c r="BI349" s="10"/>
      <c r="BJ349" s="10"/>
      <c r="BK349" s="10"/>
      <c r="BS349" s="10"/>
      <c r="BT349" s="10"/>
      <c r="BV349" s="10"/>
      <c r="BW349" s="10"/>
    </row>
    <row r="350">
      <c r="C350" s="10"/>
      <c r="D350" s="10"/>
      <c r="E350" s="10"/>
      <c r="F350" s="10"/>
      <c r="G350" s="10"/>
      <c r="H350" s="10"/>
      <c r="J350" s="10"/>
      <c r="K350" s="10"/>
      <c r="L350" s="10"/>
      <c r="U350" s="10"/>
      <c r="V350" s="10"/>
      <c r="W350" s="10"/>
      <c r="X350" s="10"/>
      <c r="Y350" s="10"/>
      <c r="Z350" s="10"/>
      <c r="AA350" s="10"/>
      <c r="AB350" s="10"/>
      <c r="AC350" s="10"/>
      <c r="AD350" s="10"/>
      <c r="AE350" s="10"/>
      <c r="AF350" s="10"/>
      <c r="AG350" s="10"/>
      <c r="AH350" s="10"/>
      <c r="AI350" s="10"/>
      <c r="AJ350" s="10"/>
      <c r="AK350" s="10"/>
      <c r="AL350" s="10"/>
      <c r="AM350" s="10"/>
      <c r="AN350" s="10"/>
      <c r="AO350" s="10"/>
      <c r="AW350" s="143"/>
      <c r="AZ350" s="10"/>
      <c r="BA350" s="10"/>
      <c r="BD350" s="10"/>
      <c r="BE350" s="10"/>
      <c r="BF350" s="10"/>
      <c r="BG350" s="10"/>
      <c r="BH350" s="10"/>
      <c r="BI350" s="10"/>
      <c r="BJ350" s="10"/>
      <c r="BK350" s="10"/>
      <c r="BS350" s="10"/>
      <c r="BT350" s="10"/>
      <c r="BV350" s="10"/>
      <c r="BW350" s="10"/>
    </row>
    <row r="351">
      <c r="C351" s="10"/>
      <c r="D351" s="10"/>
      <c r="E351" s="10"/>
      <c r="F351" s="10"/>
      <c r="G351" s="10"/>
      <c r="H351" s="10"/>
      <c r="J351" s="10"/>
      <c r="K351" s="10"/>
      <c r="L351" s="10"/>
      <c r="U351" s="10"/>
      <c r="V351" s="10"/>
      <c r="W351" s="10"/>
      <c r="X351" s="10"/>
      <c r="Y351" s="10"/>
      <c r="Z351" s="10"/>
      <c r="AA351" s="10"/>
      <c r="AB351" s="10"/>
      <c r="AC351" s="10"/>
      <c r="AD351" s="10"/>
      <c r="AE351" s="10"/>
      <c r="AF351" s="10"/>
      <c r="AG351" s="10"/>
      <c r="AH351" s="10"/>
      <c r="AI351" s="10"/>
      <c r="AJ351" s="10"/>
      <c r="AK351" s="10"/>
      <c r="AL351" s="10"/>
      <c r="AM351" s="10"/>
      <c r="AN351" s="10"/>
      <c r="AO351" s="10"/>
      <c r="AW351" s="143"/>
      <c r="BA351" s="10"/>
      <c r="BD351" s="10"/>
      <c r="BE351" s="10"/>
      <c r="BF351" s="10"/>
      <c r="BG351" s="10"/>
      <c r="BH351" s="10"/>
      <c r="BI351" s="10"/>
      <c r="BJ351" s="10"/>
      <c r="BK351" s="10"/>
      <c r="BS351" s="10"/>
      <c r="BT351" s="10"/>
      <c r="BV351" s="10"/>
      <c r="BW351" s="10"/>
    </row>
    <row r="352">
      <c r="C352" s="10"/>
      <c r="D352" s="10"/>
      <c r="E352" s="10"/>
      <c r="F352" s="10"/>
      <c r="G352" s="10"/>
      <c r="H352" s="10"/>
      <c r="J352" s="10"/>
      <c r="K352" s="10"/>
      <c r="L352" s="10"/>
      <c r="P352" s="10"/>
      <c r="V352" s="10"/>
      <c r="W352" s="10"/>
      <c r="X352" s="10"/>
      <c r="Y352" s="10"/>
      <c r="Z352" s="10"/>
      <c r="AA352" s="10"/>
      <c r="AB352" s="10"/>
      <c r="AC352" s="10"/>
      <c r="AD352" s="10"/>
      <c r="AE352" s="10"/>
      <c r="AF352" s="10"/>
      <c r="AG352" s="10"/>
      <c r="AH352" s="10"/>
      <c r="AI352" s="10"/>
      <c r="AJ352" s="10"/>
      <c r="AK352" s="10"/>
      <c r="AL352" s="10"/>
      <c r="AM352" s="10"/>
      <c r="AN352" s="10"/>
      <c r="AO352" s="10"/>
      <c r="AR352" s="10"/>
      <c r="AW352" s="143"/>
      <c r="BA352" s="10"/>
      <c r="BD352" s="10"/>
      <c r="BE352" s="10"/>
      <c r="BF352" s="10"/>
      <c r="BG352" s="10"/>
      <c r="BH352" s="10"/>
      <c r="BI352" s="10"/>
      <c r="BJ352" s="10"/>
      <c r="BK352" s="10"/>
      <c r="BM352" s="10"/>
      <c r="BN352" s="10"/>
      <c r="BO352" s="10"/>
      <c r="BP352" s="10"/>
      <c r="BQ352" s="10"/>
      <c r="BR352" s="10"/>
      <c r="BS352" s="10"/>
      <c r="BT352" s="10"/>
      <c r="BV352" s="10"/>
      <c r="BW352" s="10"/>
    </row>
    <row r="353">
      <c r="C353" s="10"/>
      <c r="D353" s="10"/>
      <c r="E353" s="10"/>
      <c r="F353" s="10"/>
      <c r="G353" s="10"/>
      <c r="H353" s="10"/>
      <c r="J353" s="10"/>
      <c r="K353" s="10"/>
      <c r="L353" s="10"/>
      <c r="U353" s="10"/>
      <c r="V353" s="10"/>
      <c r="W353" s="10"/>
      <c r="X353" s="10"/>
      <c r="Y353" s="10"/>
      <c r="Z353" s="10"/>
      <c r="AA353" s="10"/>
      <c r="AB353" s="10"/>
      <c r="AC353" s="10"/>
      <c r="AD353" s="10"/>
      <c r="AE353" s="10"/>
      <c r="AF353" s="10"/>
      <c r="AG353" s="10"/>
      <c r="AH353" s="10"/>
      <c r="AI353" s="10"/>
      <c r="AJ353" s="10"/>
      <c r="AK353" s="10"/>
      <c r="AL353" s="10"/>
      <c r="AM353" s="10"/>
      <c r="AN353" s="10"/>
      <c r="AO353" s="10"/>
      <c r="AW353" s="143"/>
      <c r="BA353" s="10"/>
      <c r="BD353" s="10"/>
      <c r="BE353" s="10"/>
      <c r="BF353" s="10"/>
      <c r="BG353" s="10"/>
      <c r="BH353" s="10"/>
      <c r="BI353" s="10"/>
      <c r="BJ353" s="10"/>
      <c r="BK353" s="10"/>
      <c r="BS353" s="10"/>
      <c r="BT353" s="10"/>
      <c r="BV353" s="10"/>
      <c r="BW353" s="10"/>
    </row>
    <row r="354">
      <c r="C354" s="10"/>
      <c r="D354" s="10"/>
      <c r="E354" s="10"/>
      <c r="F354" s="10"/>
      <c r="G354" s="10"/>
      <c r="H354" s="10"/>
      <c r="J354" s="10"/>
      <c r="K354" s="10"/>
      <c r="L354" s="10"/>
      <c r="P354" s="10"/>
      <c r="U354" s="10"/>
      <c r="V354" s="10"/>
      <c r="W354" s="10"/>
      <c r="X354" s="10"/>
      <c r="Y354" s="10"/>
      <c r="Z354" s="10"/>
      <c r="AA354" s="10"/>
      <c r="AB354" s="10"/>
      <c r="AC354" s="10"/>
      <c r="AD354" s="10"/>
      <c r="AE354" s="10"/>
      <c r="AF354" s="10"/>
      <c r="AG354" s="10"/>
      <c r="AH354" s="10"/>
      <c r="AI354" s="10"/>
      <c r="AJ354" s="10"/>
      <c r="AK354" s="10"/>
      <c r="AL354" s="10"/>
      <c r="AM354" s="10"/>
      <c r="AN354" s="10"/>
      <c r="AO354" s="10"/>
      <c r="AW354" s="143"/>
      <c r="BA354" s="10"/>
      <c r="BD354" s="10"/>
      <c r="BE354" s="10"/>
      <c r="BF354" s="10"/>
      <c r="BG354" s="10"/>
      <c r="BH354" s="10"/>
      <c r="BI354" s="10"/>
      <c r="BJ354" s="10"/>
      <c r="BK354" s="10"/>
      <c r="BS354" s="10"/>
      <c r="BT354" s="10"/>
      <c r="BV354" s="10"/>
      <c r="BW354" s="10"/>
    </row>
    <row r="355">
      <c r="C355" s="10"/>
      <c r="D355" s="10"/>
      <c r="E355" s="10"/>
      <c r="F355" s="10"/>
      <c r="G355" s="10"/>
      <c r="H355" s="10"/>
      <c r="K355" s="10"/>
      <c r="L355" s="10"/>
      <c r="U355" s="10"/>
      <c r="V355" s="10"/>
      <c r="W355" s="10"/>
      <c r="X355" s="10"/>
      <c r="Y355" s="10"/>
      <c r="Z355" s="10"/>
      <c r="AA355" s="10"/>
      <c r="AB355" s="10"/>
      <c r="AC355" s="10"/>
      <c r="AD355" s="10"/>
      <c r="AE355" s="10"/>
      <c r="AF355" s="10"/>
      <c r="AG355" s="10"/>
      <c r="AH355" s="10"/>
      <c r="AI355" s="10"/>
      <c r="AJ355" s="10"/>
      <c r="AK355" s="10"/>
      <c r="AL355" s="10"/>
      <c r="AM355" s="10"/>
      <c r="AN355" s="10"/>
      <c r="AO355" s="10"/>
      <c r="AW355" s="143"/>
      <c r="BA355" s="10"/>
      <c r="BD355" s="10"/>
      <c r="BE355" s="10"/>
      <c r="BF355" s="10"/>
      <c r="BG355" s="10"/>
      <c r="BH355" s="10"/>
      <c r="BI355" s="10"/>
      <c r="BJ355" s="10"/>
      <c r="BK355" s="10"/>
      <c r="BS355" s="10"/>
      <c r="BT355" s="10"/>
      <c r="BV355" s="10"/>
      <c r="BW355" s="10"/>
    </row>
    <row r="356">
      <c r="C356" s="10"/>
      <c r="D356" s="10"/>
      <c r="E356" s="10"/>
      <c r="F356" s="10"/>
      <c r="G356" s="10"/>
      <c r="H356" s="10"/>
      <c r="K356" s="10"/>
      <c r="L356" s="10"/>
      <c r="P356" s="10"/>
      <c r="Q356" s="10"/>
      <c r="R356" s="10"/>
      <c r="S356" s="10"/>
      <c r="V356" s="10"/>
      <c r="W356" s="10"/>
      <c r="X356" s="10"/>
      <c r="Y356" s="10"/>
      <c r="Z356" s="10"/>
      <c r="AA356" s="10"/>
      <c r="AB356" s="10"/>
      <c r="AC356" s="10"/>
      <c r="AD356" s="10"/>
      <c r="AE356" s="10"/>
      <c r="AF356" s="10"/>
      <c r="AG356" s="10"/>
      <c r="AH356" s="10"/>
      <c r="AI356" s="10"/>
      <c r="AJ356" s="10"/>
      <c r="AK356" s="10"/>
      <c r="AL356" s="10"/>
      <c r="AM356" s="10"/>
      <c r="AN356" s="10"/>
      <c r="AO356" s="10"/>
      <c r="AW356" s="143"/>
      <c r="BA356" s="10"/>
      <c r="BD356" s="10"/>
      <c r="BE356" s="10"/>
      <c r="BF356" s="10"/>
      <c r="BG356" s="10"/>
      <c r="BH356" s="10"/>
      <c r="BI356" s="10"/>
      <c r="BJ356" s="10"/>
      <c r="BK356" s="10"/>
      <c r="BT356" s="10"/>
      <c r="BV356" s="10"/>
      <c r="BW356" s="10"/>
    </row>
    <row r="357">
      <c r="C357" s="10"/>
      <c r="D357" s="10"/>
      <c r="E357" s="10"/>
      <c r="F357" s="10"/>
      <c r="G357" s="10"/>
      <c r="H357" s="10"/>
      <c r="J357" s="10"/>
      <c r="K357" s="10"/>
      <c r="L357" s="10"/>
      <c r="U357" s="10"/>
      <c r="V357" s="10"/>
      <c r="W357" s="10"/>
      <c r="X357" s="10"/>
      <c r="Y357" s="10"/>
      <c r="Z357" s="10"/>
      <c r="AA357" s="10"/>
      <c r="AB357" s="10"/>
      <c r="AC357" s="10"/>
      <c r="AD357" s="10"/>
      <c r="AE357" s="10"/>
      <c r="AF357" s="10"/>
      <c r="AG357" s="10"/>
      <c r="AH357" s="10"/>
      <c r="AI357" s="10"/>
      <c r="AJ357" s="10"/>
      <c r="AK357" s="10"/>
      <c r="AL357" s="10"/>
      <c r="AN357" s="10"/>
      <c r="AO357" s="10"/>
      <c r="AW357" s="143"/>
      <c r="BA357" s="10"/>
      <c r="BD357" s="10"/>
      <c r="BE357" s="10"/>
      <c r="BF357" s="10"/>
      <c r="BG357" s="10"/>
      <c r="BH357" s="10"/>
      <c r="BI357" s="10"/>
      <c r="BJ357" s="10"/>
      <c r="BK357" s="10"/>
      <c r="BS357" s="10"/>
      <c r="BT357" s="10"/>
      <c r="BV357" s="10"/>
      <c r="BW357" s="10"/>
    </row>
    <row r="358">
      <c r="A358" s="10"/>
      <c r="B358" s="10"/>
      <c r="C358" s="10"/>
      <c r="D358" s="10"/>
      <c r="E358" s="10"/>
      <c r="F358" s="10"/>
      <c r="G358" s="10"/>
      <c r="H358" s="10"/>
      <c r="K358" s="10"/>
      <c r="L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W358" s="143"/>
      <c r="BA358" s="10"/>
      <c r="BD358" s="10"/>
      <c r="BE358" s="10"/>
      <c r="BF358" s="10"/>
      <c r="BG358" s="10"/>
      <c r="BH358" s="10"/>
      <c r="BI358" s="10"/>
      <c r="BJ358" s="10"/>
      <c r="BK358" s="10"/>
      <c r="BL358" s="10"/>
      <c r="BO358" s="10"/>
      <c r="BR358" s="10"/>
      <c r="BS358" s="10"/>
      <c r="BT358" s="10"/>
      <c r="BV358" s="10"/>
      <c r="BW358" s="10"/>
    </row>
    <row r="359">
      <c r="A359" s="10"/>
      <c r="B359" s="10"/>
      <c r="C359" s="10"/>
      <c r="D359" s="10"/>
      <c r="E359" s="10"/>
      <c r="F359" s="10"/>
      <c r="G359" s="10"/>
      <c r="H359" s="10"/>
      <c r="K359" s="10"/>
      <c r="L359" s="10"/>
      <c r="P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W359" s="143"/>
      <c r="BA359" s="10"/>
      <c r="BD359" s="10"/>
      <c r="BE359" s="10"/>
      <c r="BF359" s="10"/>
      <c r="BG359" s="10"/>
      <c r="BH359" s="10"/>
      <c r="BI359" s="10"/>
      <c r="BJ359" s="10"/>
      <c r="BK359" s="10"/>
      <c r="BT359" s="10"/>
      <c r="BV359" s="10"/>
      <c r="BW359" s="10"/>
    </row>
    <row r="360">
      <c r="A360" s="10"/>
      <c r="B360" s="10"/>
      <c r="C360" s="10"/>
      <c r="D360" s="10"/>
      <c r="E360" s="10"/>
      <c r="F360" s="10"/>
      <c r="G360" s="10"/>
      <c r="H360" s="10"/>
      <c r="K360" s="10"/>
      <c r="L360" s="10"/>
      <c r="P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W360" s="143"/>
      <c r="BA360" s="10"/>
      <c r="BD360" s="10"/>
      <c r="BE360" s="10"/>
      <c r="BF360" s="10"/>
      <c r="BG360" s="10"/>
      <c r="BH360" s="10"/>
      <c r="BI360" s="10"/>
      <c r="BJ360" s="10"/>
      <c r="BK360" s="10"/>
      <c r="BS360" s="10"/>
      <c r="BT360" s="10"/>
      <c r="BV360" s="10"/>
      <c r="BW360" s="10"/>
    </row>
    <row r="361">
      <c r="A361" s="10"/>
      <c r="B361" s="10"/>
      <c r="C361" s="10"/>
      <c r="D361" s="10"/>
      <c r="E361" s="10"/>
      <c r="F361" s="10"/>
      <c r="G361" s="10"/>
      <c r="H361" s="10"/>
      <c r="K361" s="10"/>
      <c r="L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W361" s="143"/>
      <c r="BA361" s="10"/>
      <c r="BD361" s="10"/>
      <c r="BE361" s="10"/>
      <c r="BF361" s="10"/>
      <c r="BG361" s="10"/>
      <c r="BH361" s="10"/>
      <c r="BI361" s="10"/>
      <c r="BJ361" s="10"/>
      <c r="BK361" s="10"/>
      <c r="BS361" s="10"/>
      <c r="BT361" s="10"/>
      <c r="BV361" s="10"/>
      <c r="BW361" s="10"/>
    </row>
    <row r="362">
      <c r="A362" s="10"/>
      <c r="B362" s="10"/>
      <c r="C362" s="10"/>
      <c r="D362" s="10"/>
      <c r="E362" s="10"/>
      <c r="F362" s="10"/>
      <c r="G362" s="10"/>
      <c r="H362" s="10"/>
      <c r="K362" s="10"/>
      <c r="L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W362" s="143"/>
      <c r="BA362" s="10"/>
      <c r="BD362" s="10"/>
      <c r="BE362" s="10"/>
      <c r="BF362" s="10"/>
      <c r="BG362" s="10"/>
      <c r="BH362" s="10"/>
      <c r="BI362" s="10"/>
      <c r="BJ362" s="10"/>
      <c r="BK362" s="10"/>
      <c r="BT362" s="10"/>
      <c r="BV362" s="10"/>
      <c r="BW362" s="10"/>
    </row>
    <row r="363">
      <c r="A363" s="10"/>
      <c r="B363" s="10"/>
      <c r="C363" s="10"/>
      <c r="D363" s="10"/>
      <c r="E363" s="10"/>
      <c r="F363" s="10"/>
      <c r="G363" s="10"/>
      <c r="H363" s="10"/>
      <c r="K363" s="10"/>
      <c r="L363" s="10"/>
      <c r="P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W363" s="143"/>
      <c r="BA363" s="10"/>
      <c r="BD363" s="10"/>
      <c r="BE363" s="10"/>
      <c r="BF363" s="10"/>
      <c r="BG363" s="10"/>
      <c r="BH363" s="10"/>
      <c r="BI363" s="10"/>
      <c r="BJ363" s="10"/>
      <c r="BK363" s="10"/>
      <c r="BS363" s="10"/>
      <c r="BT363" s="10"/>
      <c r="BV363" s="10"/>
      <c r="BW363" s="10"/>
    </row>
    <row r="364">
      <c r="A364" s="10"/>
      <c r="B364" s="10"/>
      <c r="C364" s="10"/>
      <c r="D364" s="10"/>
      <c r="E364" s="10"/>
      <c r="F364" s="10"/>
      <c r="G364" s="10"/>
      <c r="H364" s="10"/>
      <c r="K364" s="10"/>
      <c r="L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W364" s="143"/>
      <c r="BA364" s="10"/>
      <c r="BD364" s="10"/>
      <c r="BE364" s="10"/>
      <c r="BF364" s="10"/>
      <c r="BG364" s="10"/>
      <c r="BH364" s="10"/>
      <c r="BI364" s="10"/>
      <c r="BJ364" s="10"/>
      <c r="BK364" s="10"/>
      <c r="BT364" s="10"/>
      <c r="BV364" s="10"/>
      <c r="BW364" s="10"/>
    </row>
    <row r="365">
      <c r="A365" s="10"/>
      <c r="B365" s="10"/>
      <c r="C365" s="10"/>
      <c r="D365" s="10"/>
      <c r="E365" s="10"/>
      <c r="F365" s="10"/>
      <c r="G365" s="10"/>
      <c r="H365" s="10"/>
      <c r="J365" s="10"/>
      <c r="K365" s="10"/>
      <c r="L365" s="10"/>
      <c r="P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W365" s="143"/>
      <c r="BA365" s="10"/>
      <c r="BD365" s="10"/>
      <c r="BE365" s="10"/>
      <c r="BF365" s="10"/>
      <c r="BG365" s="10"/>
      <c r="BH365" s="10"/>
      <c r="BI365" s="10"/>
      <c r="BJ365" s="10"/>
      <c r="BK365" s="10"/>
      <c r="BS365" s="10"/>
      <c r="BT365" s="10"/>
      <c r="BV365" s="10"/>
      <c r="BW365" s="10"/>
    </row>
    <row r="366">
      <c r="A366" s="10"/>
      <c r="B366" s="10"/>
      <c r="C366" s="10"/>
      <c r="D366" s="10"/>
      <c r="E366" s="10"/>
      <c r="F366" s="10"/>
      <c r="G366" s="10"/>
      <c r="H366" s="10"/>
      <c r="K366" s="10"/>
      <c r="L366" s="10"/>
      <c r="N366" s="10"/>
      <c r="P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W366" s="143"/>
      <c r="BA366" s="10"/>
      <c r="BD366" s="10"/>
      <c r="BE366" s="10"/>
      <c r="BF366" s="10"/>
      <c r="BG366" s="10"/>
      <c r="BH366" s="10"/>
      <c r="BI366" s="10"/>
      <c r="BJ366" s="10"/>
      <c r="BK366" s="10"/>
      <c r="BS366" s="10"/>
      <c r="BT366" s="10"/>
      <c r="BV366" s="10"/>
      <c r="BW366" s="10"/>
    </row>
    <row r="367">
      <c r="A367" s="10"/>
      <c r="B367" s="10"/>
      <c r="C367" s="10"/>
      <c r="D367" s="10"/>
      <c r="E367" s="10"/>
      <c r="F367" s="10"/>
      <c r="G367" s="10"/>
      <c r="H367" s="10"/>
      <c r="J367" s="10"/>
      <c r="K367" s="10"/>
      <c r="L367" s="10"/>
      <c r="P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W367" s="143"/>
      <c r="BA367" s="10"/>
      <c r="BD367" s="10"/>
      <c r="BE367" s="10"/>
      <c r="BF367" s="10"/>
      <c r="BG367" s="10"/>
      <c r="BH367" s="10"/>
      <c r="BI367" s="10"/>
      <c r="BJ367" s="10"/>
      <c r="BK367" s="10"/>
      <c r="BS367" s="10"/>
      <c r="BT367" s="10"/>
      <c r="BV367" s="10"/>
      <c r="BW367" s="10"/>
    </row>
    <row r="368">
      <c r="A368" s="10"/>
      <c r="B368" s="10"/>
      <c r="C368" s="10"/>
      <c r="D368" s="10"/>
      <c r="E368" s="10"/>
      <c r="F368" s="10"/>
      <c r="G368" s="10"/>
      <c r="H368" s="10"/>
      <c r="J368" s="10"/>
      <c r="K368" s="10"/>
      <c r="L368" s="10"/>
      <c r="N368" s="10"/>
      <c r="Q368" s="10"/>
      <c r="R368" s="10"/>
      <c r="S368" s="10"/>
      <c r="U368" s="10"/>
      <c r="V368" s="10"/>
      <c r="W368" s="10"/>
      <c r="X368" s="10"/>
      <c r="Y368" s="10"/>
      <c r="Z368" s="10"/>
      <c r="AA368" s="10"/>
      <c r="AB368" s="10"/>
      <c r="AC368" s="10"/>
      <c r="AD368" s="10"/>
      <c r="AE368" s="10"/>
      <c r="AF368" s="10"/>
      <c r="AG368" s="10"/>
      <c r="AH368" s="10"/>
      <c r="AI368" s="10"/>
      <c r="AJ368" s="10"/>
      <c r="AK368" s="10"/>
      <c r="AL368" s="10"/>
      <c r="AM368" s="10"/>
      <c r="AN368" s="10"/>
      <c r="AO368" s="10"/>
      <c r="AW368" s="143"/>
      <c r="BA368" s="10"/>
      <c r="BD368" s="10"/>
      <c r="BE368" s="10"/>
      <c r="BF368" s="10"/>
      <c r="BG368" s="10"/>
      <c r="BH368" s="10"/>
      <c r="BI368" s="10"/>
      <c r="BJ368" s="10"/>
      <c r="BK368" s="10"/>
      <c r="BO368" s="10"/>
      <c r="BR368" s="10"/>
      <c r="BS368" s="10"/>
      <c r="BT368" s="10"/>
      <c r="BV368" s="10"/>
      <c r="BW368" s="10"/>
    </row>
    <row r="369">
      <c r="A369" s="10"/>
      <c r="B369" s="10"/>
      <c r="C369" s="10"/>
      <c r="D369" s="10"/>
      <c r="E369" s="10"/>
      <c r="F369" s="10"/>
      <c r="G369" s="10"/>
      <c r="H369" s="10"/>
      <c r="J369" s="10"/>
      <c r="K369" s="10"/>
      <c r="L369" s="10"/>
      <c r="U369" s="10"/>
      <c r="V369" s="10"/>
      <c r="W369" s="10"/>
      <c r="X369" s="10"/>
      <c r="Y369" s="10"/>
      <c r="Z369" s="10"/>
      <c r="AA369" s="10"/>
      <c r="AB369" s="10"/>
      <c r="AC369" s="10"/>
      <c r="AD369" s="10"/>
      <c r="AE369" s="10"/>
      <c r="AF369" s="10"/>
      <c r="AG369" s="10"/>
      <c r="AH369" s="10"/>
      <c r="AI369" s="10"/>
      <c r="AJ369" s="10"/>
      <c r="AK369" s="10"/>
      <c r="AL369" s="10"/>
      <c r="AM369" s="10"/>
      <c r="AN369" s="10"/>
      <c r="AO369" s="10"/>
      <c r="AW369" s="143"/>
      <c r="BA369" s="10"/>
      <c r="BD369" s="10"/>
      <c r="BE369" s="10"/>
      <c r="BF369" s="10"/>
      <c r="BG369" s="10"/>
      <c r="BH369" s="10"/>
      <c r="BI369" s="10"/>
      <c r="BJ369" s="10"/>
      <c r="BK369" s="10"/>
      <c r="BT369" s="10"/>
      <c r="BV369" s="10"/>
      <c r="BW369" s="10"/>
    </row>
    <row r="370">
      <c r="A370" s="10"/>
      <c r="B370" s="10"/>
      <c r="C370" s="10"/>
      <c r="D370" s="10"/>
      <c r="E370" s="10"/>
      <c r="F370" s="10"/>
      <c r="G370" s="10"/>
      <c r="H370" s="10"/>
      <c r="J370" s="10"/>
      <c r="K370" s="10"/>
      <c r="L370" s="10"/>
      <c r="P370" s="10"/>
      <c r="U370" s="10"/>
      <c r="V370" s="10"/>
      <c r="W370" s="10"/>
      <c r="X370" s="10"/>
      <c r="Y370" s="10"/>
      <c r="Z370" s="10"/>
      <c r="AA370" s="10"/>
      <c r="AB370" s="10"/>
      <c r="AC370" s="10"/>
      <c r="AD370" s="10"/>
      <c r="AE370" s="10"/>
      <c r="AF370" s="10"/>
      <c r="AG370" s="10"/>
      <c r="AH370" s="10"/>
      <c r="AI370" s="10"/>
      <c r="AJ370" s="10"/>
      <c r="AK370" s="10"/>
      <c r="AL370" s="10"/>
      <c r="AM370" s="10"/>
      <c r="AN370" s="10"/>
      <c r="AO370" s="10"/>
      <c r="AW370" s="143"/>
      <c r="BA370" s="10"/>
      <c r="BD370" s="10"/>
      <c r="BE370" s="10"/>
      <c r="BF370" s="10"/>
      <c r="BG370" s="10"/>
      <c r="BH370" s="10"/>
      <c r="BI370" s="10"/>
      <c r="BJ370" s="10"/>
      <c r="BK370" s="10"/>
      <c r="BT370" s="10"/>
      <c r="BV370" s="10"/>
      <c r="BW370" s="10"/>
    </row>
    <row r="371">
      <c r="A371" s="10"/>
      <c r="B371" s="10"/>
      <c r="C371" s="10"/>
      <c r="D371" s="10"/>
      <c r="E371" s="10"/>
      <c r="F371" s="10"/>
      <c r="G371" s="10"/>
      <c r="H371" s="10"/>
      <c r="J371" s="10"/>
      <c r="K371" s="10"/>
      <c r="L371" s="10"/>
      <c r="N371" s="10"/>
      <c r="U371" s="10"/>
      <c r="V371" s="10"/>
      <c r="W371" s="10"/>
      <c r="X371" s="10"/>
      <c r="Y371" s="10"/>
      <c r="Z371" s="10"/>
      <c r="AA371" s="10"/>
      <c r="AB371" s="10"/>
      <c r="AC371" s="10"/>
      <c r="AD371" s="10"/>
      <c r="AE371" s="10"/>
      <c r="AF371" s="10"/>
      <c r="AG371" s="10"/>
      <c r="AH371" s="10"/>
      <c r="AI371" s="10"/>
      <c r="AJ371" s="10"/>
      <c r="AK371" s="10"/>
      <c r="AL371" s="10"/>
      <c r="AM371" s="10"/>
      <c r="AN371" s="10"/>
      <c r="AO371" s="10"/>
      <c r="AW371" s="143"/>
      <c r="BA371" s="10"/>
      <c r="BD371" s="10"/>
      <c r="BE371" s="10"/>
      <c r="BF371" s="10"/>
      <c r="BG371" s="10"/>
      <c r="BH371" s="10"/>
      <c r="BI371" s="10"/>
      <c r="BJ371" s="10"/>
      <c r="BK371" s="10"/>
      <c r="BS371" s="10"/>
      <c r="BT371" s="10"/>
      <c r="BV371" s="10"/>
      <c r="BW371" s="10"/>
    </row>
    <row r="372">
      <c r="A372" s="10"/>
      <c r="B372" s="10"/>
      <c r="C372" s="10"/>
      <c r="D372" s="10"/>
      <c r="E372" s="10"/>
      <c r="F372" s="10"/>
      <c r="G372" s="10"/>
      <c r="H372" s="10"/>
      <c r="J372" s="10"/>
      <c r="K372" s="10"/>
      <c r="L372" s="10"/>
      <c r="N372" s="10"/>
      <c r="U372" s="10"/>
      <c r="V372" s="10"/>
      <c r="W372" s="10"/>
      <c r="X372" s="10"/>
      <c r="Y372" s="10"/>
      <c r="Z372" s="10"/>
      <c r="AA372" s="10"/>
      <c r="AB372" s="10"/>
      <c r="AC372" s="10"/>
      <c r="AD372" s="10"/>
      <c r="AE372" s="10"/>
      <c r="AF372" s="10"/>
      <c r="AG372" s="10"/>
      <c r="AH372" s="10"/>
      <c r="AI372" s="10"/>
      <c r="AJ372" s="10"/>
      <c r="AL372" s="10"/>
      <c r="AM372" s="10"/>
      <c r="AO372" s="10"/>
      <c r="AW372" s="143"/>
      <c r="BA372" s="10"/>
      <c r="BD372" s="10"/>
      <c r="BE372" s="10"/>
      <c r="BF372" s="10"/>
      <c r="BG372" s="10"/>
      <c r="BH372" s="10"/>
      <c r="BI372" s="10"/>
      <c r="BJ372" s="10"/>
      <c r="BK372" s="10"/>
      <c r="BS372" s="10"/>
      <c r="BT372" s="10"/>
      <c r="BV372" s="10"/>
      <c r="BW372" s="10"/>
    </row>
    <row r="373">
      <c r="A373" s="10"/>
      <c r="B373" s="10"/>
      <c r="C373" s="10"/>
      <c r="D373" s="10"/>
      <c r="E373" s="10"/>
      <c r="F373" s="10"/>
      <c r="G373" s="10"/>
      <c r="H373" s="10"/>
      <c r="J373" s="10"/>
      <c r="K373" s="10"/>
      <c r="L373" s="10"/>
      <c r="N373" s="10"/>
      <c r="P373" s="10"/>
      <c r="Q373" s="10"/>
      <c r="R373" s="10"/>
      <c r="S373" s="10"/>
      <c r="U373" s="10"/>
      <c r="V373" s="10"/>
      <c r="W373" s="10"/>
      <c r="X373" s="10"/>
      <c r="Y373" s="10"/>
      <c r="Z373" s="10"/>
      <c r="AA373" s="10"/>
      <c r="AB373" s="10"/>
      <c r="AC373" s="10"/>
      <c r="AD373" s="10"/>
      <c r="AE373" s="10"/>
      <c r="AF373" s="10"/>
      <c r="AG373" s="10"/>
      <c r="AH373" s="10"/>
      <c r="AI373" s="10"/>
      <c r="AJ373" s="10"/>
      <c r="AK373" s="10"/>
      <c r="AL373" s="10"/>
      <c r="AM373" s="10"/>
      <c r="AN373" s="10"/>
      <c r="AO373" s="10"/>
      <c r="AW373" s="143"/>
      <c r="BA373" s="10"/>
      <c r="BD373" s="10"/>
      <c r="BE373" s="10"/>
      <c r="BF373" s="10"/>
      <c r="BG373" s="10"/>
      <c r="BH373" s="10"/>
      <c r="BI373" s="10"/>
      <c r="BJ373" s="10"/>
      <c r="BK373" s="10"/>
      <c r="BS373" s="10"/>
      <c r="BT373" s="10"/>
      <c r="BV373" s="10"/>
      <c r="BW373" s="10"/>
    </row>
    <row r="374">
      <c r="A374" s="10"/>
      <c r="B374" s="10"/>
      <c r="C374" s="10"/>
      <c r="D374" s="10"/>
      <c r="E374" s="10"/>
      <c r="F374" s="10"/>
      <c r="G374" s="10"/>
      <c r="H374" s="10"/>
      <c r="J374" s="10"/>
      <c r="K374" s="10"/>
      <c r="L374" s="10"/>
      <c r="N374" s="10"/>
      <c r="U374" s="10"/>
      <c r="V374" s="10"/>
      <c r="W374" s="10"/>
      <c r="X374" s="10"/>
      <c r="Y374" s="10"/>
      <c r="Z374" s="10"/>
      <c r="AA374" s="10"/>
      <c r="AB374" s="10"/>
      <c r="AC374" s="10"/>
      <c r="AD374" s="10"/>
      <c r="AE374" s="10"/>
      <c r="AF374" s="10"/>
      <c r="AG374" s="10"/>
      <c r="AH374" s="10"/>
      <c r="AI374" s="10"/>
      <c r="AJ374" s="10"/>
      <c r="AK374" s="10"/>
      <c r="AL374" s="10"/>
      <c r="AM374" s="10"/>
      <c r="AN374" s="10"/>
      <c r="AO374" s="10"/>
      <c r="AW374" s="143"/>
      <c r="BA374" s="10"/>
      <c r="BD374" s="10"/>
      <c r="BE374" s="10"/>
      <c r="BF374" s="10"/>
      <c r="BG374" s="10"/>
      <c r="BH374" s="10"/>
      <c r="BI374" s="10"/>
      <c r="BJ374" s="10"/>
      <c r="BK374" s="10"/>
      <c r="BS374" s="10"/>
      <c r="BT374" s="10"/>
      <c r="BV374" s="10"/>
      <c r="BW374" s="10"/>
    </row>
    <row r="375">
      <c r="A375" s="10"/>
      <c r="B375" s="10"/>
      <c r="C375" s="10"/>
      <c r="D375" s="10"/>
      <c r="E375" s="10"/>
      <c r="F375" s="10"/>
      <c r="G375" s="10"/>
      <c r="H375" s="10"/>
      <c r="J375" s="10"/>
      <c r="K375" s="10"/>
      <c r="L375" s="10"/>
      <c r="N375" s="10"/>
      <c r="U375" s="10"/>
      <c r="V375" s="10"/>
      <c r="W375" s="10"/>
      <c r="X375" s="10"/>
      <c r="Y375" s="10"/>
      <c r="Z375" s="10"/>
      <c r="AA375" s="10"/>
      <c r="AB375" s="10"/>
      <c r="AC375" s="10"/>
      <c r="AD375" s="10"/>
      <c r="AE375" s="10"/>
      <c r="AF375" s="10"/>
      <c r="AG375" s="10"/>
      <c r="AH375" s="10"/>
      <c r="AI375" s="10"/>
      <c r="AJ375" s="10"/>
      <c r="AK375" s="10"/>
      <c r="AL375" s="10"/>
      <c r="AM375" s="10"/>
      <c r="AN375" s="10"/>
      <c r="AO375" s="10"/>
      <c r="AW375" s="143"/>
      <c r="BA375" s="10"/>
      <c r="BD375" s="10"/>
      <c r="BE375" s="10"/>
      <c r="BF375" s="10"/>
      <c r="BG375" s="10"/>
      <c r="BH375" s="10"/>
      <c r="BI375" s="10"/>
      <c r="BJ375" s="10"/>
      <c r="BK375" s="10"/>
      <c r="BS375" s="10"/>
      <c r="BT375" s="10"/>
      <c r="BV375" s="10"/>
      <c r="BW375" s="10"/>
    </row>
    <row r="376">
      <c r="A376" s="10"/>
      <c r="B376" s="10"/>
      <c r="C376" s="10"/>
      <c r="D376" s="10"/>
      <c r="E376" s="10"/>
      <c r="F376" s="10"/>
      <c r="G376" s="10"/>
      <c r="H376" s="10"/>
      <c r="J376" s="10"/>
      <c r="K376" s="10"/>
      <c r="L376" s="10"/>
      <c r="O376" s="10"/>
      <c r="P376" s="10"/>
      <c r="Q376" s="10"/>
      <c r="R376" s="10"/>
      <c r="S376" s="10"/>
      <c r="U376" s="10"/>
      <c r="V376" s="10"/>
      <c r="W376" s="10"/>
      <c r="X376" s="10"/>
      <c r="Y376" s="10"/>
      <c r="Z376" s="10"/>
      <c r="AA376" s="10"/>
      <c r="AB376" s="10"/>
      <c r="AC376" s="10"/>
      <c r="AD376" s="10"/>
      <c r="AE376" s="10"/>
      <c r="AF376" s="10"/>
      <c r="AG376" s="10"/>
      <c r="AH376" s="10"/>
      <c r="AI376" s="10"/>
      <c r="AJ376" s="10"/>
      <c r="AK376" s="10"/>
      <c r="AL376" s="10"/>
      <c r="AM376" s="10"/>
      <c r="AN376" s="10"/>
      <c r="AO376" s="10"/>
      <c r="AW376" s="143"/>
      <c r="AZ376" s="10"/>
      <c r="BA376" s="10"/>
      <c r="BD376" s="10"/>
      <c r="BE376" s="10"/>
      <c r="BF376" s="10"/>
      <c r="BG376" s="10"/>
      <c r="BH376" s="10"/>
      <c r="BI376" s="10"/>
      <c r="BJ376" s="10"/>
      <c r="BK376" s="10"/>
      <c r="BL376" s="10"/>
      <c r="BM376" s="10"/>
      <c r="BN376" s="10"/>
      <c r="BO376" s="10"/>
      <c r="BP376" s="10"/>
      <c r="BQ376" s="10"/>
      <c r="BR376" s="10"/>
      <c r="BS376" s="10"/>
      <c r="BT376" s="10"/>
      <c r="BV376" s="10"/>
      <c r="BW376" s="10"/>
    </row>
    <row r="377">
      <c r="A377" s="10"/>
      <c r="B377" s="10"/>
      <c r="C377" s="10"/>
      <c r="D377" s="10"/>
      <c r="E377" s="10"/>
      <c r="F377" s="10"/>
      <c r="G377" s="10"/>
      <c r="H377" s="10"/>
      <c r="J377" s="10"/>
      <c r="K377" s="10"/>
      <c r="L377" s="10"/>
      <c r="U377" s="10"/>
      <c r="V377" s="10"/>
      <c r="W377" s="10"/>
      <c r="X377" s="10"/>
      <c r="Y377" s="10"/>
      <c r="Z377" s="10"/>
      <c r="AA377" s="10"/>
      <c r="AB377" s="10"/>
      <c r="AC377" s="10"/>
      <c r="AD377" s="10"/>
      <c r="AE377" s="10"/>
      <c r="AF377" s="10"/>
      <c r="AG377" s="10"/>
      <c r="AH377" s="10"/>
      <c r="AI377" s="10"/>
      <c r="AJ377" s="10"/>
      <c r="AK377" s="10"/>
      <c r="AL377" s="10"/>
      <c r="AM377" s="10"/>
      <c r="AN377" s="10"/>
      <c r="AO377" s="10"/>
      <c r="AW377" s="143"/>
      <c r="BA377" s="10"/>
      <c r="BD377" s="10"/>
      <c r="BE377" s="10"/>
      <c r="BF377" s="10"/>
      <c r="BG377" s="10"/>
      <c r="BH377" s="10"/>
      <c r="BI377" s="10"/>
      <c r="BJ377" s="10"/>
      <c r="BK377" s="10"/>
      <c r="BL377" s="10"/>
      <c r="BS377" s="10"/>
      <c r="BT377" s="10"/>
      <c r="BV377" s="10"/>
      <c r="BW377" s="10"/>
    </row>
    <row r="378">
      <c r="A378" s="10"/>
      <c r="B378" s="10"/>
      <c r="C378" s="10"/>
      <c r="D378" s="10"/>
      <c r="E378" s="10"/>
      <c r="F378" s="10"/>
      <c r="G378" s="10"/>
      <c r="H378" s="10"/>
      <c r="K378" s="10"/>
      <c r="L378" s="10"/>
      <c r="P378" s="10"/>
      <c r="U378" s="10"/>
      <c r="V378" s="10"/>
      <c r="Y378" s="10"/>
      <c r="Z378" s="10"/>
      <c r="AA378" s="10"/>
      <c r="AB378" s="10"/>
      <c r="AC378" s="10"/>
      <c r="AD378" s="10"/>
      <c r="AE378" s="10"/>
      <c r="AF378" s="10"/>
      <c r="AG378" s="10"/>
      <c r="AH378" s="10"/>
      <c r="AI378" s="10"/>
      <c r="AJ378" s="10"/>
      <c r="AK378" s="10"/>
      <c r="AL378" s="10"/>
      <c r="AM378" s="10"/>
      <c r="AN378" s="10"/>
      <c r="AO378" s="10"/>
      <c r="AW378" s="143"/>
      <c r="BA378" s="10"/>
      <c r="BD378" s="10"/>
      <c r="BE378" s="10"/>
      <c r="BF378" s="10"/>
      <c r="BG378" s="10"/>
      <c r="BH378" s="10"/>
      <c r="BI378" s="10"/>
      <c r="BJ378" s="10"/>
      <c r="BK378" s="10"/>
      <c r="BL378" s="10"/>
      <c r="BS378" s="10"/>
      <c r="BT378" s="10"/>
      <c r="BV378" s="10"/>
      <c r="BW378" s="10"/>
    </row>
    <row r="379">
      <c r="A379" s="10"/>
      <c r="B379" s="10"/>
      <c r="C379" s="10"/>
      <c r="D379" s="10"/>
      <c r="E379" s="10"/>
      <c r="F379" s="10"/>
      <c r="G379" s="10"/>
      <c r="H379" s="10"/>
      <c r="J379" s="10"/>
      <c r="K379" s="10"/>
      <c r="L379" s="10"/>
      <c r="P379" s="10"/>
      <c r="U379" s="10"/>
      <c r="V379" s="10"/>
      <c r="W379" s="10"/>
      <c r="X379" s="10"/>
      <c r="Y379" s="10"/>
      <c r="Z379" s="10"/>
      <c r="AA379" s="10"/>
      <c r="AB379" s="10"/>
      <c r="AC379" s="10"/>
      <c r="AD379" s="10"/>
      <c r="AE379" s="10"/>
      <c r="AF379" s="10"/>
      <c r="AG379" s="10"/>
      <c r="AH379" s="10"/>
      <c r="AI379" s="10"/>
      <c r="AJ379" s="10"/>
      <c r="AK379" s="10"/>
      <c r="AL379" s="10"/>
      <c r="AM379" s="10"/>
      <c r="AN379" s="10"/>
      <c r="AO379" s="10"/>
      <c r="AW379" s="143"/>
      <c r="BA379" s="10"/>
      <c r="BD379" s="10"/>
      <c r="BE379" s="10"/>
      <c r="BF379" s="10"/>
      <c r="BG379" s="10"/>
      <c r="BH379" s="10"/>
      <c r="BI379" s="10"/>
      <c r="BJ379" s="10"/>
      <c r="BK379" s="10"/>
      <c r="BL379" s="10"/>
      <c r="BS379" s="10"/>
      <c r="BT379" s="10"/>
      <c r="BV379" s="10"/>
      <c r="BW379" s="10"/>
    </row>
    <row r="380">
      <c r="A380" s="10"/>
      <c r="B380" s="10"/>
      <c r="C380" s="10"/>
      <c r="D380" s="10"/>
      <c r="E380" s="10"/>
      <c r="F380" s="10"/>
      <c r="G380" s="10"/>
      <c r="H380" s="10"/>
      <c r="J380" s="10"/>
      <c r="K380" s="10"/>
      <c r="L380" s="10"/>
      <c r="P380" s="10"/>
      <c r="U380" s="10"/>
      <c r="V380" s="10"/>
      <c r="W380" s="10"/>
      <c r="X380" s="10"/>
      <c r="Y380" s="10"/>
      <c r="Z380" s="10"/>
      <c r="AA380" s="10"/>
      <c r="AB380" s="10"/>
      <c r="AC380" s="10"/>
      <c r="AD380" s="10"/>
      <c r="AE380" s="10"/>
      <c r="AF380" s="10"/>
      <c r="AG380" s="10"/>
      <c r="AH380" s="10"/>
      <c r="AI380" s="10"/>
      <c r="AJ380" s="10"/>
      <c r="AK380" s="10"/>
      <c r="AL380" s="10"/>
      <c r="AM380" s="10"/>
      <c r="AN380" s="10"/>
      <c r="AO380" s="10"/>
      <c r="AW380" s="143"/>
      <c r="BA380" s="10"/>
      <c r="BD380" s="10"/>
      <c r="BE380" s="10"/>
      <c r="BF380" s="10"/>
      <c r="BG380" s="10"/>
      <c r="BH380" s="10"/>
      <c r="BI380" s="10"/>
      <c r="BJ380" s="10"/>
      <c r="BK380" s="10"/>
      <c r="BL380" s="10"/>
      <c r="BS380" s="10"/>
      <c r="BT380" s="10"/>
      <c r="BV380" s="10"/>
      <c r="BW380" s="10"/>
    </row>
    <row r="381">
      <c r="A381" s="10"/>
      <c r="B381" s="10"/>
      <c r="C381" s="10"/>
      <c r="D381" s="10"/>
      <c r="E381" s="10"/>
      <c r="F381" s="10"/>
      <c r="G381" s="10"/>
      <c r="H381" s="10"/>
      <c r="J381" s="10"/>
      <c r="K381" s="10"/>
      <c r="L381" s="10"/>
      <c r="O381" s="10"/>
      <c r="P381" s="10"/>
      <c r="U381" s="10"/>
      <c r="V381" s="10"/>
      <c r="W381" s="10"/>
      <c r="X381" s="10"/>
      <c r="Y381" s="10"/>
      <c r="Z381" s="10"/>
      <c r="AA381" s="10"/>
      <c r="AB381" s="10"/>
      <c r="AC381" s="10"/>
      <c r="AD381" s="10"/>
      <c r="AE381" s="10"/>
      <c r="AF381" s="10"/>
      <c r="AG381" s="10"/>
      <c r="AH381" s="10"/>
      <c r="AI381" s="10"/>
      <c r="AJ381" s="10"/>
      <c r="AK381" s="10"/>
      <c r="AL381" s="10"/>
      <c r="AM381" s="10"/>
      <c r="AN381" s="10"/>
      <c r="AO381" s="10"/>
      <c r="AW381" s="143"/>
      <c r="BA381" s="10"/>
      <c r="BD381" s="10"/>
      <c r="BE381" s="10"/>
      <c r="BF381" s="10"/>
      <c r="BG381" s="10"/>
      <c r="BH381" s="10"/>
      <c r="BI381" s="10"/>
      <c r="BJ381" s="10"/>
      <c r="BK381" s="10"/>
      <c r="BL381" s="10"/>
      <c r="BS381" s="10"/>
      <c r="BT381" s="10"/>
      <c r="BV381" s="10"/>
      <c r="BW381" s="10"/>
    </row>
    <row r="382">
      <c r="A382" s="10"/>
      <c r="B382" s="10"/>
      <c r="C382" s="10"/>
      <c r="D382" s="10"/>
      <c r="E382" s="10"/>
      <c r="F382" s="10"/>
      <c r="G382" s="10"/>
      <c r="H382" s="10"/>
      <c r="J382" s="10"/>
      <c r="K382" s="10"/>
      <c r="L382" s="10"/>
      <c r="O382" s="10"/>
      <c r="P382" s="10"/>
      <c r="Q382" s="10"/>
      <c r="R382" s="10"/>
      <c r="S382" s="10"/>
      <c r="U382" s="10"/>
      <c r="V382" s="10"/>
      <c r="W382" s="10"/>
      <c r="X382" s="10"/>
      <c r="Y382" s="10"/>
      <c r="Z382" s="10"/>
      <c r="AA382" s="10"/>
      <c r="AB382" s="10"/>
      <c r="AC382" s="10"/>
      <c r="AD382" s="10"/>
      <c r="AE382" s="10"/>
      <c r="AF382" s="10"/>
      <c r="AG382" s="10"/>
      <c r="AH382" s="10"/>
      <c r="AI382" s="10"/>
      <c r="AJ382" s="10"/>
      <c r="AK382" s="10"/>
      <c r="AL382" s="10"/>
      <c r="AM382" s="10"/>
      <c r="AN382" s="10"/>
      <c r="AO382" s="10"/>
      <c r="AW382" s="143"/>
      <c r="BA382" s="10"/>
      <c r="BD382" s="10"/>
      <c r="BE382" s="10"/>
      <c r="BF382" s="10"/>
      <c r="BG382" s="10"/>
      <c r="BH382" s="10"/>
      <c r="BI382" s="10"/>
      <c r="BJ382" s="10"/>
      <c r="BK382" s="10"/>
      <c r="BL382" s="10"/>
      <c r="BO382" s="10"/>
      <c r="BR382" s="10"/>
      <c r="BS382" s="10"/>
      <c r="BT382" s="10"/>
      <c r="BV382" s="10"/>
      <c r="BW382" s="10"/>
    </row>
    <row r="383">
      <c r="A383" s="10"/>
      <c r="B383" s="10"/>
      <c r="C383" s="10"/>
      <c r="D383" s="10"/>
      <c r="E383" s="10"/>
      <c r="F383" s="10"/>
      <c r="G383" s="10"/>
      <c r="H383" s="10"/>
      <c r="J383" s="10"/>
      <c r="K383" s="10"/>
      <c r="L383" s="10"/>
      <c r="P383" s="10"/>
      <c r="U383" s="10"/>
      <c r="V383" s="10"/>
      <c r="W383" s="10"/>
      <c r="X383" s="10"/>
      <c r="Y383" s="10"/>
      <c r="Z383" s="10"/>
      <c r="AA383" s="10"/>
      <c r="AB383" s="10"/>
      <c r="AC383" s="10"/>
      <c r="AD383" s="10"/>
      <c r="AE383" s="10"/>
      <c r="AF383" s="10"/>
      <c r="AG383" s="10"/>
      <c r="AH383" s="10"/>
      <c r="AI383" s="10"/>
      <c r="AJ383" s="10"/>
      <c r="AK383" s="10"/>
      <c r="AL383" s="10"/>
      <c r="AM383" s="10"/>
      <c r="AN383" s="10"/>
      <c r="AO383" s="10"/>
      <c r="AW383" s="143"/>
      <c r="AZ383" s="10"/>
      <c r="BA383" s="10"/>
      <c r="BD383" s="10"/>
      <c r="BE383" s="10"/>
      <c r="BF383" s="10"/>
      <c r="BG383" s="10"/>
      <c r="BH383" s="10"/>
      <c r="BI383" s="10"/>
      <c r="BJ383" s="10"/>
      <c r="BK383" s="10"/>
      <c r="BL383" s="10"/>
      <c r="BS383" s="10"/>
      <c r="BT383" s="10"/>
      <c r="BV383" s="10"/>
      <c r="BW383" s="10"/>
    </row>
    <row r="384">
      <c r="A384" s="10"/>
      <c r="B384" s="10"/>
      <c r="C384" s="10"/>
      <c r="D384" s="10"/>
      <c r="E384" s="10"/>
      <c r="F384" s="10"/>
      <c r="G384" s="10"/>
      <c r="H384" s="10"/>
      <c r="J384" s="10"/>
      <c r="P384" s="10"/>
      <c r="V384" s="10"/>
      <c r="W384" s="10"/>
      <c r="X384" s="10"/>
      <c r="Y384" s="10"/>
      <c r="Z384" s="10"/>
      <c r="AA384" s="10"/>
      <c r="AB384" s="10"/>
      <c r="AC384" s="10"/>
      <c r="AD384" s="10"/>
      <c r="AE384" s="10"/>
      <c r="AF384" s="10"/>
      <c r="AG384" s="10"/>
      <c r="AH384" s="10"/>
      <c r="AI384" s="10"/>
      <c r="AJ384" s="10"/>
      <c r="AK384" s="10"/>
      <c r="AL384" s="10"/>
      <c r="AM384" s="10"/>
      <c r="AN384" s="10"/>
      <c r="AO384" s="10"/>
      <c r="AW384" s="143"/>
      <c r="BA384" s="10"/>
      <c r="BS384" s="10"/>
      <c r="BT384" s="10"/>
      <c r="BW384" s="10"/>
    </row>
    <row r="385">
      <c r="A385" s="10"/>
      <c r="B385" s="10"/>
      <c r="C385" s="10"/>
      <c r="D385" s="10"/>
      <c r="E385" s="10"/>
      <c r="F385" s="10"/>
      <c r="G385" s="10"/>
      <c r="H385" s="10"/>
      <c r="J385" s="10"/>
      <c r="O385" s="10"/>
      <c r="P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T385" s="10"/>
      <c r="AW385" s="143"/>
      <c r="BA385" s="10"/>
      <c r="BL385" s="10"/>
      <c r="BO385" s="10"/>
      <c r="BR385" s="10"/>
      <c r="BS385" s="10"/>
      <c r="BT385" s="10"/>
      <c r="BW385" s="10"/>
    </row>
    <row r="386">
      <c r="A386" s="10"/>
      <c r="B386" s="10"/>
      <c r="C386" s="10"/>
      <c r="D386" s="10"/>
      <c r="E386" s="10"/>
      <c r="F386" s="10"/>
      <c r="G386" s="10"/>
      <c r="H386" s="10"/>
      <c r="P386" s="10"/>
      <c r="V386" s="10"/>
      <c r="Y386" s="10"/>
      <c r="Z386" s="10"/>
      <c r="AA386" s="10"/>
      <c r="AB386" s="10"/>
      <c r="AC386" s="10"/>
      <c r="AD386" s="10"/>
      <c r="AE386" s="10"/>
      <c r="AF386" s="10"/>
      <c r="AG386" s="10"/>
      <c r="AH386" s="10"/>
      <c r="AI386" s="10"/>
      <c r="AJ386" s="10"/>
      <c r="AK386" s="10"/>
      <c r="AL386" s="10"/>
      <c r="AM386" s="10"/>
      <c r="AN386" s="10"/>
      <c r="AO386" s="10"/>
      <c r="AW386" s="143"/>
      <c r="BA386" s="10"/>
      <c r="BS386" s="10"/>
      <c r="BT386" s="10"/>
      <c r="BW386" s="10"/>
    </row>
    <row r="387">
      <c r="A387" s="10"/>
      <c r="B387" s="10"/>
      <c r="C387" s="10"/>
      <c r="D387" s="10"/>
      <c r="E387" s="10"/>
      <c r="F387" s="10"/>
      <c r="G387" s="10"/>
      <c r="H387" s="10"/>
      <c r="J387" s="10"/>
      <c r="P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W387" s="143"/>
      <c r="BA387" s="10"/>
      <c r="BS387" s="10"/>
      <c r="BT387" s="10"/>
      <c r="BW387" s="10"/>
    </row>
    <row r="388">
      <c r="A388" s="10"/>
      <c r="B388" s="10"/>
      <c r="C388" s="10"/>
      <c r="D388" s="10"/>
      <c r="E388" s="10"/>
      <c r="F388" s="10"/>
      <c r="G388" s="10"/>
      <c r="H388" s="10"/>
      <c r="J388" s="10"/>
      <c r="O388" s="10"/>
      <c r="P388" s="10"/>
      <c r="V388" s="10"/>
      <c r="W388" s="10"/>
      <c r="X388" s="10"/>
      <c r="Y388" s="10"/>
      <c r="Z388" s="10"/>
      <c r="AA388" s="10"/>
      <c r="AB388" s="10"/>
      <c r="AC388" s="10"/>
      <c r="AD388" s="10"/>
      <c r="AE388" s="10"/>
      <c r="AF388" s="10"/>
      <c r="AG388" s="10"/>
      <c r="AH388" s="10"/>
      <c r="AI388" s="10"/>
      <c r="AJ388" s="10"/>
      <c r="AK388" s="10"/>
      <c r="AL388" s="10"/>
      <c r="AM388" s="10"/>
      <c r="AN388" s="10"/>
      <c r="AO388" s="10"/>
      <c r="AW388" s="143"/>
      <c r="BA388" s="10"/>
      <c r="BS388" s="10"/>
      <c r="BT388" s="10"/>
      <c r="BW388" s="10"/>
    </row>
    <row r="389">
      <c r="A389" s="10"/>
      <c r="B389" s="10"/>
      <c r="C389" s="10"/>
      <c r="D389" s="10"/>
      <c r="E389" s="10"/>
      <c r="F389" s="10"/>
      <c r="G389" s="10"/>
      <c r="H389" s="10"/>
      <c r="K389" s="10"/>
      <c r="L389" s="10"/>
      <c r="V389" s="10"/>
      <c r="W389" s="10"/>
      <c r="X389" s="10"/>
      <c r="Y389" s="10"/>
      <c r="Z389" s="10"/>
      <c r="AA389" s="10"/>
      <c r="AB389" s="10"/>
      <c r="AC389" s="10"/>
      <c r="AD389" s="10"/>
      <c r="AE389" s="10"/>
      <c r="AF389" s="10"/>
      <c r="AG389" s="10"/>
      <c r="AH389" s="10"/>
      <c r="AI389" s="10"/>
      <c r="AJ389" s="10"/>
      <c r="AL389" s="10"/>
      <c r="AM389" s="10"/>
      <c r="AO389" s="10"/>
      <c r="AW389" s="143"/>
      <c r="BA389" s="10"/>
      <c r="BD389" s="10"/>
      <c r="BE389" s="10"/>
      <c r="BF389" s="10"/>
      <c r="BG389" s="10"/>
      <c r="BH389" s="10"/>
      <c r="BI389" s="10"/>
      <c r="BJ389" s="10"/>
      <c r="BK389" s="10"/>
      <c r="BS389" s="10"/>
      <c r="BT389" s="10"/>
      <c r="BV389" s="10"/>
      <c r="BW389" s="10"/>
    </row>
    <row r="390">
      <c r="A390" s="10"/>
      <c r="B390" s="10"/>
      <c r="C390" s="10"/>
      <c r="D390" s="10"/>
      <c r="E390" s="10"/>
      <c r="F390" s="10"/>
      <c r="G390" s="10"/>
      <c r="H390" s="10"/>
      <c r="I390" s="10"/>
      <c r="K390" s="10"/>
      <c r="L390" s="10"/>
      <c r="N390" s="10"/>
      <c r="P390" s="10"/>
      <c r="V390" s="10"/>
      <c r="W390" s="10"/>
      <c r="Y390" s="10"/>
      <c r="Z390" s="10"/>
      <c r="AA390" s="10"/>
      <c r="AB390" s="10"/>
      <c r="AC390" s="10"/>
      <c r="AD390" s="10"/>
      <c r="AE390" s="10"/>
      <c r="AF390" s="10"/>
      <c r="AG390" s="10"/>
      <c r="AH390" s="10"/>
      <c r="AI390" s="10"/>
      <c r="AJ390" s="10"/>
      <c r="AK390" s="10"/>
      <c r="AL390" s="10"/>
      <c r="AM390" s="10"/>
      <c r="AN390" s="10"/>
      <c r="AO390" s="10"/>
      <c r="AR390" s="10"/>
      <c r="AS390" s="10"/>
      <c r="AT390" s="10"/>
      <c r="AW390" s="143"/>
      <c r="BA390" s="10"/>
      <c r="BD390" s="10"/>
      <c r="BE390" s="10"/>
      <c r="BF390" s="10"/>
      <c r="BG390" s="10"/>
      <c r="BH390" s="10"/>
      <c r="BI390" s="10"/>
      <c r="BJ390" s="10"/>
      <c r="BK390" s="10"/>
      <c r="BS390" s="10"/>
      <c r="BT390" s="10"/>
      <c r="BU390" s="10"/>
      <c r="BV390" s="10"/>
      <c r="BW390" s="10"/>
    </row>
    <row r="391">
      <c r="A391" s="10"/>
      <c r="B391" s="10"/>
      <c r="C391" s="10"/>
      <c r="D391" s="10"/>
      <c r="E391" s="10"/>
      <c r="F391" s="10"/>
      <c r="G391" s="10"/>
      <c r="H391" s="10"/>
      <c r="K391" s="10"/>
      <c r="L391" s="10"/>
      <c r="N391" s="10"/>
      <c r="V391" s="10"/>
      <c r="W391" s="10"/>
      <c r="X391" s="10"/>
      <c r="Y391" s="10"/>
      <c r="Z391" s="10"/>
      <c r="AA391" s="10"/>
      <c r="AB391" s="10"/>
      <c r="AC391" s="10"/>
      <c r="AD391" s="10"/>
      <c r="AE391" s="10"/>
      <c r="AF391" s="10"/>
      <c r="AG391" s="10"/>
      <c r="AH391" s="10"/>
      <c r="AI391" s="10"/>
      <c r="AJ391" s="10"/>
      <c r="AL391" s="10"/>
      <c r="AM391" s="10"/>
      <c r="AO391" s="10"/>
      <c r="AW391" s="143"/>
      <c r="BA391" s="10"/>
      <c r="BD391" s="10"/>
      <c r="BE391" s="10"/>
      <c r="BF391" s="10"/>
      <c r="BG391" s="10"/>
      <c r="BH391" s="10"/>
      <c r="BI391" s="10"/>
      <c r="BJ391" s="10"/>
      <c r="BK391" s="10"/>
      <c r="BS391" s="10"/>
      <c r="BT391" s="10"/>
      <c r="BV391" s="10"/>
      <c r="BW391" s="10"/>
    </row>
    <row r="392">
      <c r="A392" s="10"/>
      <c r="B392" s="10"/>
      <c r="C392" s="10"/>
      <c r="D392" s="10"/>
      <c r="E392" s="10"/>
      <c r="F392" s="10"/>
      <c r="G392" s="10"/>
      <c r="H392" s="10"/>
      <c r="J392" s="10"/>
      <c r="K392" s="10"/>
      <c r="L392" s="10"/>
      <c r="N392" s="10"/>
      <c r="P392" s="10"/>
      <c r="V392" s="10"/>
      <c r="W392" s="10"/>
      <c r="X392" s="10"/>
      <c r="Y392" s="10"/>
      <c r="Z392" s="10"/>
      <c r="AA392" s="10"/>
      <c r="AB392" s="10"/>
      <c r="AC392" s="10"/>
      <c r="AD392" s="10"/>
      <c r="AE392" s="10"/>
      <c r="AF392" s="10"/>
      <c r="AG392" s="10"/>
      <c r="AH392" s="10"/>
      <c r="AI392" s="10"/>
      <c r="AJ392" s="10"/>
      <c r="AK392" s="10"/>
      <c r="AL392" s="10"/>
      <c r="AM392" s="10"/>
      <c r="AN392" s="10"/>
      <c r="AO392" s="10"/>
      <c r="AW392" s="143"/>
      <c r="BA392" s="10"/>
      <c r="BD392" s="10"/>
      <c r="BE392" s="10"/>
      <c r="BF392" s="10"/>
      <c r="BG392" s="10"/>
      <c r="BH392" s="10"/>
      <c r="BI392" s="10"/>
      <c r="BJ392" s="10"/>
      <c r="BK392" s="10"/>
      <c r="BS392" s="10"/>
      <c r="BT392" s="10"/>
      <c r="BV392" s="10"/>
      <c r="BW392" s="10"/>
    </row>
    <row r="393">
      <c r="A393" s="10"/>
      <c r="B393" s="10"/>
      <c r="C393" s="10"/>
      <c r="D393" s="10"/>
      <c r="E393" s="10"/>
      <c r="F393" s="10"/>
      <c r="G393" s="10"/>
      <c r="H393" s="10"/>
      <c r="K393" s="10"/>
      <c r="L393" s="10"/>
      <c r="N393" s="10"/>
      <c r="O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W393" s="143"/>
      <c r="AZ393" s="10"/>
      <c r="BA393" s="10"/>
      <c r="BD393" s="10"/>
      <c r="BE393" s="10"/>
      <c r="BF393" s="10"/>
      <c r="BG393" s="10"/>
      <c r="BH393" s="10"/>
      <c r="BI393" s="10"/>
      <c r="BJ393" s="10"/>
      <c r="BK393" s="10"/>
      <c r="BL393" s="10"/>
      <c r="BM393" s="10"/>
      <c r="BN393" s="10"/>
      <c r="BO393" s="10"/>
      <c r="BP393" s="10"/>
      <c r="BQ393" s="10"/>
      <c r="BR393" s="10"/>
      <c r="BS393" s="10"/>
      <c r="BT393" s="10"/>
      <c r="BV393" s="10"/>
      <c r="BW393" s="10"/>
    </row>
    <row r="394">
      <c r="A394" s="10"/>
      <c r="B394" s="10"/>
      <c r="C394" s="10"/>
      <c r="D394" s="10"/>
      <c r="E394" s="10"/>
      <c r="F394" s="10"/>
      <c r="G394" s="10"/>
      <c r="H394" s="10"/>
      <c r="K394" s="10"/>
      <c r="L394" s="10"/>
      <c r="U394" s="10"/>
      <c r="V394" s="10"/>
      <c r="W394" s="10"/>
      <c r="X394" s="10"/>
      <c r="Y394" s="10"/>
      <c r="Z394" s="10"/>
      <c r="AA394" s="10"/>
      <c r="AB394" s="10"/>
      <c r="AC394" s="10"/>
      <c r="AD394" s="10"/>
      <c r="AE394" s="10"/>
      <c r="AF394" s="10"/>
      <c r="AG394" s="10"/>
      <c r="AH394" s="10"/>
      <c r="AI394" s="10"/>
      <c r="AJ394" s="10"/>
      <c r="AL394" s="10"/>
      <c r="AM394" s="10"/>
      <c r="AO394" s="10"/>
      <c r="AW394" s="143"/>
      <c r="AZ394" s="10"/>
      <c r="BA394" s="10"/>
      <c r="BD394" s="10"/>
      <c r="BE394" s="10"/>
      <c r="BF394" s="10"/>
      <c r="BG394" s="10"/>
      <c r="BH394" s="10"/>
      <c r="BI394" s="10"/>
      <c r="BJ394" s="10"/>
      <c r="BK394" s="10"/>
      <c r="BL394" s="10"/>
      <c r="BS394" s="10"/>
      <c r="BT394" s="10"/>
      <c r="BV394" s="10"/>
      <c r="BW394" s="10"/>
    </row>
    <row r="395">
      <c r="A395" s="10"/>
      <c r="B395" s="10"/>
      <c r="C395" s="10"/>
      <c r="D395" s="10"/>
      <c r="E395" s="10"/>
      <c r="F395" s="10"/>
      <c r="G395" s="10"/>
      <c r="H395" s="10"/>
      <c r="K395" s="10"/>
      <c r="L395" s="10"/>
      <c r="P395" s="10"/>
      <c r="U395" s="10"/>
      <c r="V395" s="10"/>
      <c r="W395" s="10"/>
      <c r="X395" s="10"/>
      <c r="Y395" s="10"/>
      <c r="Z395" s="10"/>
      <c r="AA395" s="10"/>
      <c r="AB395" s="10"/>
      <c r="AC395" s="10"/>
      <c r="AD395" s="10"/>
      <c r="AE395" s="10"/>
      <c r="AF395" s="10"/>
      <c r="AG395" s="10"/>
      <c r="AH395" s="10"/>
      <c r="AI395" s="10"/>
      <c r="AJ395" s="10"/>
      <c r="AK395" s="10"/>
      <c r="AL395" s="10"/>
      <c r="AM395" s="10"/>
      <c r="AN395" s="10"/>
      <c r="AO395" s="10"/>
      <c r="AW395" s="143"/>
      <c r="BA395" s="10"/>
      <c r="BD395" s="10"/>
      <c r="BE395" s="10"/>
      <c r="BF395" s="10"/>
      <c r="BG395" s="10"/>
      <c r="BH395" s="10"/>
      <c r="BI395" s="10"/>
      <c r="BJ395" s="10"/>
      <c r="BK395" s="10"/>
      <c r="BL395" s="10"/>
      <c r="BS395" s="10"/>
      <c r="BT395" s="10"/>
      <c r="BV395" s="10"/>
      <c r="BW395" s="10"/>
    </row>
    <row r="396">
      <c r="A396" s="10"/>
      <c r="B396" s="10"/>
      <c r="C396" s="10"/>
      <c r="D396" s="10"/>
      <c r="E396" s="10"/>
      <c r="F396" s="10"/>
      <c r="G396" s="10"/>
      <c r="H396" s="10"/>
      <c r="K396" s="10"/>
      <c r="L396" s="10"/>
      <c r="P396" s="10"/>
      <c r="U396" s="10"/>
      <c r="V396" s="10"/>
      <c r="W396" s="10"/>
      <c r="X396" s="10"/>
      <c r="Y396" s="10"/>
      <c r="Z396" s="10"/>
      <c r="AA396" s="10"/>
      <c r="AB396" s="10"/>
      <c r="AC396" s="10"/>
      <c r="AD396" s="10"/>
      <c r="AE396" s="10"/>
      <c r="AF396" s="10"/>
      <c r="AG396" s="10"/>
      <c r="AH396" s="10"/>
      <c r="AI396" s="10"/>
      <c r="AJ396" s="10"/>
      <c r="AK396" s="10"/>
      <c r="AL396" s="10"/>
      <c r="AM396" s="10"/>
      <c r="AN396" s="10"/>
      <c r="AO396" s="10"/>
      <c r="AW396" s="143"/>
      <c r="BA396" s="10"/>
      <c r="BD396" s="10"/>
      <c r="BE396" s="10"/>
      <c r="BF396" s="10"/>
      <c r="BG396" s="10"/>
      <c r="BH396" s="10"/>
      <c r="BI396" s="10"/>
      <c r="BJ396" s="10"/>
      <c r="BK396" s="10"/>
      <c r="BL396" s="10"/>
      <c r="BS396" s="10"/>
      <c r="BT396" s="10"/>
      <c r="BV396" s="10"/>
      <c r="BW396" s="10"/>
    </row>
    <row r="397">
      <c r="A397" s="10"/>
      <c r="B397" s="10"/>
      <c r="C397" s="10"/>
      <c r="D397" s="10"/>
      <c r="E397" s="10"/>
      <c r="F397" s="10"/>
      <c r="G397" s="10"/>
      <c r="H397" s="10"/>
      <c r="K397" s="10"/>
      <c r="L397" s="10"/>
      <c r="P397" s="10"/>
      <c r="U397" s="10"/>
      <c r="V397" s="10"/>
      <c r="W397" s="10"/>
      <c r="X397" s="10"/>
      <c r="Y397" s="10"/>
      <c r="Z397" s="10"/>
      <c r="AA397" s="10"/>
      <c r="AB397" s="10"/>
      <c r="AC397" s="10"/>
      <c r="AD397" s="10"/>
      <c r="AE397" s="10"/>
      <c r="AF397" s="10"/>
      <c r="AG397" s="10"/>
      <c r="AH397" s="10"/>
      <c r="AI397" s="10"/>
      <c r="AJ397" s="10"/>
      <c r="AK397" s="10"/>
      <c r="AL397" s="10"/>
      <c r="AM397" s="10"/>
      <c r="AN397" s="10"/>
      <c r="AO397" s="10"/>
      <c r="AW397" s="143"/>
      <c r="BA397" s="10"/>
      <c r="BD397" s="10"/>
      <c r="BE397" s="10"/>
      <c r="BF397" s="10"/>
      <c r="BG397" s="10"/>
      <c r="BH397" s="10"/>
      <c r="BI397" s="10"/>
      <c r="BJ397" s="10"/>
      <c r="BK397" s="10"/>
      <c r="BL397" s="10"/>
      <c r="BS397" s="10"/>
      <c r="BT397" s="10"/>
      <c r="BV397" s="10"/>
      <c r="BW397" s="10"/>
    </row>
    <row r="398">
      <c r="A398" s="10"/>
      <c r="B398" s="10"/>
      <c r="C398" s="10"/>
      <c r="D398" s="10"/>
      <c r="E398" s="10"/>
      <c r="F398" s="10"/>
      <c r="G398" s="10"/>
      <c r="H398" s="10"/>
      <c r="K398" s="10"/>
      <c r="L398" s="10"/>
      <c r="U398" s="10"/>
      <c r="V398" s="10"/>
      <c r="W398" s="10"/>
      <c r="X398" s="10"/>
      <c r="Y398" s="10"/>
      <c r="Z398" s="10"/>
      <c r="AA398" s="10"/>
      <c r="AB398" s="10"/>
      <c r="AC398" s="10"/>
      <c r="AD398" s="10"/>
      <c r="AE398" s="10"/>
      <c r="AF398" s="10"/>
      <c r="AG398" s="10"/>
      <c r="AH398" s="10"/>
      <c r="AI398" s="10"/>
      <c r="AJ398" s="10"/>
      <c r="AK398" s="10"/>
      <c r="AL398" s="10"/>
      <c r="AM398" s="10"/>
      <c r="AN398" s="10"/>
      <c r="AO398" s="10"/>
      <c r="AW398" s="143"/>
      <c r="BA398" s="10"/>
      <c r="BD398" s="10"/>
      <c r="BE398" s="10"/>
      <c r="BF398" s="10"/>
      <c r="BG398" s="10"/>
      <c r="BH398" s="10"/>
      <c r="BI398" s="10"/>
      <c r="BJ398" s="10"/>
      <c r="BK398" s="10"/>
      <c r="BL398" s="10"/>
      <c r="BS398" s="10"/>
      <c r="BT398" s="10"/>
      <c r="BV398" s="10"/>
      <c r="BW398" s="10"/>
    </row>
    <row r="399">
      <c r="A399" s="10"/>
      <c r="B399" s="10"/>
      <c r="C399" s="10"/>
      <c r="D399" s="10"/>
      <c r="E399" s="10"/>
      <c r="F399" s="10"/>
      <c r="G399" s="10"/>
      <c r="H399" s="10"/>
      <c r="I399" s="10"/>
      <c r="J399" s="10"/>
      <c r="K399" s="10"/>
      <c r="L399" s="10"/>
      <c r="T399" s="10"/>
      <c r="U399" s="10"/>
      <c r="V399" s="10"/>
      <c r="W399" s="10"/>
      <c r="X399" s="10"/>
      <c r="Y399" s="10"/>
      <c r="Z399" s="10"/>
      <c r="AA399" s="10"/>
      <c r="AB399" s="10"/>
      <c r="AC399" s="10"/>
      <c r="AD399" s="10"/>
      <c r="AE399" s="10"/>
      <c r="AF399" s="10"/>
      <c r="AG399" s="10"/>
      <c r="AH399" s="10"/>
      <c r="AI399" s="10"/>
      <c r="AJ399" s="10"/>
      <c r="AK399" s="10"/>
      <c r="AL399" s="10"/>
      <c r="AN399" s="10"/>
      <c r="AO399" s="10"/>
      <c r="AR399" s="10"/>
      <c r="AS399" s="10"/>
      <c r="AU399" s="10"/>
      <c r="AV399" s="10"/>
      <c r="AW399" s="143"/>
      <c r="BA399" s="10"/>
      <c r="BD399" s="10"/>
      <c r="BE399" s="10"/>
      <c r="BF399" s="10"/>
      <c r="BG399" s="10"/>
      <c r="BH399" s="10"/>
      <c r="BI399" s="10"/>
      <c r="BJ399" s="10"/>
      <c r="BK399" s="10"/>
      <c r="BS399" s="10"/>
      <c r="BT399" s="10"/>
      <c r="BV399" s="10"/>
      <c r="BW399" s="10"/>
    </row>
    <row r="400">
      <c r="A400" s="10"/>
      <c r="B400" s="10"/>
      <c r="C400" s="10"/>
      <c r="D400" s="10"/>
      <c r="E400" s="10"/>
      <c r="F400" s="10"/>
      <c r="G400" s="10"/>
      <c r="H400" s="10"/>
      <c r="I400" s="10"/>
      <c r="K400" s="10"/>
      <c r="L400" s="10"/>
      <c r="U400" s="10"/>
      <c r="V400" s="10"/>
      <c r="W400" s="10"/>
      <c r="X400" s="10"/>
      <c r="Y400" s="10"/>
      <c r="Z400" s="10"/>
      <c r="AA400" s="10"/>
      <c r="AB400" s="10"/>
      <c r="AC400" s="10"/>
      <c r="AD400" s="10"/>
      <c r="AE400" s="10"/>
      <c r="AF400" s="10"/>
      <c r="AG400" s="10"/>
      <c r="AH400" s="10"/>
      <c r="AI400" s="10"/>
      <c r="AJ400" s="10"/>
      <c r="AK400" s="10"/>
      <c r="AL400" s="10"/>
      <c r="AM400" s="10"/>
      <c r="AN400" s="10"/>
      <c r="AO400" s="10"/>
      <c r="AR400" s="10"/>
      <c r="AS400" s="10"/>
      <c r="AU400" s="10"/>
      <c r="AV400" s="10"/>
      <c r="AW400" s="143"/>
      <c r="BA400" s="10"/>
      <c r="BD400" s="10"/>
      <c r="BE400" s="10"/>
      <c r="BF400" s="10"/>
      <c r="BG400" s="10"/>
      <c r="BH400" s="10"/>
      <c r="BI400" s="10"/>
      <c r="BJ400" s="10"/>
      <c r="BK400" s="10"/>
      <c r="BS400" s="10"/>
      <c r="BT400" s="10"/>
      <c r="BV400" s="10"/>
      <c r="BW400" s="10"/>
    </row>
    <row r="401">
      <c r="A401" s="10"/>
      <c r="B401" s="10"/>
      <c r="C401" s="10"/>
      <c r="D401" s="10"/>
      <c r="E401" s="10"/>
      <c r="F401" s="10"/>
      <c r="G401" s="10"/>
      <c r="H401" s="10"/>
      <c r="J401" s="10"/>
      <c r="K401" s="10"/>
      <c r="L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W401" s="143"/>
      <c r="BA401" s="10"/>
      <c r="BD401" s="10"/>
      <c r="BE401" s="10"/>
      <c r="BF401" s="10"/>
      <c r="BG401" s="10"/>
      <c r="BH401" s="10"/>
      <c r="BI401" s="10"/>
      <c r="BJ401" s="10"/>
      <c r="BK401" s="10"/>
      <c r="BS401" s="10"/>
      <c r="BT401" s="10"/>
      <c r="BV401" s="10"/>
      <c r="BW401" s="10"/>
    </row>
    <row r="402">
      <c r="A402" s="10"/>
      <c r="B402" s="10"/>
      <c r="C402" s="10"/>
      <c r="D402" s="10"/>
      <c r="E402" s="10"/>
      <c r="F402" s="10"/>
      <c r="G402" s="10"/>
      <c r="H402" s="10"/>
      <c r="J402" s="10"/>
      <c r="K402" s="10"/>
      <c r="L402" s="10"/>
      <c r="P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W402" s="143"/>
      <c r="BA402" s="10"/>
      <c r="BD402" s="10"/>
      <c r="BE402" s="10"/>
      <c r="BF402" s="10"/>
      <c r="BG402" s="10"/>
      <c r="BH402" s="10"/>
      <c r="BI402" s="10"/>
      <c r="BJ402" s="10"/>
      <c r="BK402" s="10"/>
      <c r="BS402" s="10"/>
      <c r="BT402" s="10"/>
      <c r="BV402" s="10"/>
      <c r="BW402" s="10"/>
    </row>
    <row r="403">
      <c r="A403" s="10"/>
      <c r="B403" s="10"/>
      <c r="C403" s="10"/>
      <c r="D403" s="10"/>
      <c r="E403" s="10"/>
      <c r="F403" s="10"/>
      <c r="G403" s="10"/>
      <c r="H403" s="10"/>
      <c r="K403" s="10"/>
      <c r="L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W403" s="143"/>
      <c r="BA403" s="10"/>
      <c r="BD403" s="10"/>
      <c r="BE403" s="10"/>
      <c r="BF403" s="10"/>
      <c r="BG403" s="10"/>
      <c r="BH403" s="10"/>
      <c r="BI403" s="10"/>
      <c r="BJ403" s="10"/>
      <c r="BK403" s="10"/>
      <c r="BL403" s="10"/>
      <c r="BT403" s="10"/>
      <c r="BV403" s="10"/>
      <c r="BW403" s="10"/>
    </row>
    <row r="404">
      <c r="A404" s="10"/>
      <c r="B404" s="10"/>
      <c r="C404" s="10"/>
      <c r="D404" s="10"/>
      <c r="E404" s="10"/>
      <c r="F404" s="10"/>
      <c r="G404" s="10"/>
      <c r="H404" s="10"/>
      <c r="J404" s="10"/>
      <c r="K404" s="10"/>
      <c r="L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W404" s="143"/>
      <c r="BA404" s="10"/>
      <c r="BD404" s="10"/>
      <c r="BE404" s="10"/>
      <c r="BF404" s="10"/>
      <c r="BG404" s="10"/>
      <c r="BH404" s="10"/>
      <c r="BI404" s="10"/>
      <c r="BJ404" s="10"/>
      <c r="BK404" s="10"/>
      <c r="BL404" s="10"/>
      <c r="BS404" s="10"/>
      <c r="BT404" s="10"/>
      <c r="BV404" s="10"/>
      <c r="BW404" s="10"/>
    </row>
    <row r="405">
      <c r="A405" s="10"/>
      <c r="B405" s="10"/>
      <c r="C405" s="10"/>
      <c r="D405" s="10"/>
      <c r="E405" s="10"/>
      <c r="F405" s="10"/>
      <c r="G405" s="10"/>
      <c r="H405" s="10"/>
      <c r="J405" s="10"/>
      <c r="K405" s="10"/>
      <c r="L405" s="10"/>
      <c r="N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W405" s="143"/>
      <c r="BA405" s="10"/>
      <c r="BD405" s="10"/>
      <c r="BE405" s="10"/>
      <c r="BF405" s="10"/>
      <c r="BG405" s="10"/>
      <c r="BH405" s="10"/>
      <c r="BI405" s="10"/>
      <c r="BJ405" s="10"/>
      <c r="BK405" s="10"/>
      <c r="BL405" s="10"/>
      <c r="BS405" s="10"/>
      <c r="BT405" s="10"/>
      <c r="BV405" s="10"/>
      <c r="BW405" s="10"/>
    </row>
    <row r="406">
      <c r="A406" s="10"/>
      <c r="B406" s="10"/>
      <c r="C406" s="10"/>
      <c r="D406" s="10"/>
      <c r="E406" s="10"/>
      <c r="F406" s="10"/>
      <c r="G406" s="10"/>
      <c r="H406" s="10"/>
      <c r="K406" s="10"/>
      <c r="L406" s="10"/>
      <c r="P406" s="10"/>
      <c r="U406" s="10"/>
      <c r="V406" s="10"/>
      <c r="W406" s="10"/>
      <c r="X406" s="10"/>
      <c r="Y406" s="10"/>
      <c r="Z406" s="10"/>
      <c r="AA406" s="10"/>
      <c r="AB406" s="10"/>
      <c r="AC406" s="10"/>
      <c r="AD406" s="10"/>
      <c r="AE406" s="10"/>
      <c r="AF406" s="10"/>
      <c r="AG406" s="10"/>
      <c r="AH406" s="10"/>
      <c r="AI406" s="10"/>
      <c r="AJ406" s="10"/>
      <c r="AK406" s="10"/>
      <c r="AL406" s="10"/>
      <c r="AM406" s="10"/>
      <c r="AN406" s="10"/>
      <c r="AO406" s="10"/>
      <c r="AW406" s="143"/>
      <c r="BA406" s="10"/>
      <c r="BD406" s="10"/>
      <c r="BE406" s="10"/>
      <c r="BF406" s="10"/>
      <c r="BG406" s="10"/>
      <c r="BH406" s="10"/>
      <c r="BI406" s="10"/>
      <c r="BJ406" s="10"/>
      <c r="BK406" s="10"/>
      <c r="BL406" s="10"/>
      <c r="BN406" s="10"/>
      <c r="BQ406" s="10"/>
      <c r="BT406" s="10"/>
      <c r="BV406" s="10"/>
      <c r="BW406" s="10"/>
    </row>
    <row r="407">
      <c r="A407" s="10"/>
      <c r="B407" s="10"/>
      <c r="C407" s="10"/>
      <c r="D407" s="10"/>
      <c r="E407" s="10"/>
      <c r="F407" s="10"/>
      <c r="G407" s="10"/>
      <c r="H407" s="10"/>
      <c r="J407" s="10"/>
      <c r="K407" s="10"/>
      <c r="L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W407" s="143"/>
      <c r="BA407" s="10"/>
      <c r="BD407" s="10"/>
      <c r="BE407" s="10"/>
      <c r="BF407" s="10"/>
      <c r="BG407" s="10"/>
      <c r="BH407" s="10"/>
      <c r="BI407" s="10"/>
      <c r="BJ407" s="10"/>
      <c r="BK407" s="10"/>
      <c r="BL407" s="10"/>
      <c r="BS407" s="10"/>
      <c r="BT407" s="10"/>
      <c r="BV407" s="10"/>
      <c r="BW407" s="10"/>
    </row>
    <row r="408">
      <c r="A408" s="10"/>
      <c r="B408" s="10"/>
      <c r="C408" s="10"/>
      <c r="D408" s="10"/>
      <c r="E408" s="10"/>
      <c r="F408" s="10"/>
      <c r="G408" s="10"/>
      <c r="H408" s="10"/>
      <c r="J408" s="10"/>
      <c r="K408" s="10"/>
      <c r="L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W408" s="143"/>
      <c r="BA408" s="10"/>
      <c r="BD408" s="10"/>
      <c r="BE408" s="10"/>
      <c r="BF408" s="10"/>
      <c r="BG408" s="10"/>
      <c r="BH408" s="10"/>
      <c r="BI408" s="10"/>
      <c r="BJ408" s="10"/>
      <c r="BK408" s="10"/>
      <c r="BL408" s="10"/>
      <c r="BS408" s="10"/>
      <c r="BT408" s="10"/>
      <c r="BV408" s="10"/>
      <c r="BW408" s="10"/>
    </row>
    <row r="409">
      <c r="A409" s="10"/>
      <c r="B409" s="10"/>
      <c r="C409" s="10"/>
      <c r="D409" s="10"/>
      <c r="E409" s="10"/>
      <c r="F409" s="10"/>
      <c r="G409" s="10"/>
      <c r="H409" s="10"/>
      <c r="J409" s="10"/>
      <c r="K409" s="10"/>
      <c r="L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W409" s="143"/>
      <c r="BA409" s="10"/>
      <c r="BD409" s="10"/>
      <c r="BE409" s="10"/>
      <c r="BF409" s="10"/>
      <c r="BG409" s="10"/>
      <c r="BH409" s="10"/>
      <c r="BI409" s="10"/>
      <c r="BJ409" s="10"/>
      <c r="BK409" s="10"/>
      <c r="BL409" s="10"/>
      <c r="BS409" s="10"/>
      <c r="BT409" s="10"/>
      <c r="BV409" s="10"/>
      <c r="BW409" s="10"/>
    </row>
    <row r="410">
      <c r="A410" s="10"/>
      <c r="B410" s="10"/>
      <c r="C410" s="10"/>
      <c r="D410" s="10"/>
      <c r="E410" s="10"/>
      <c r="F410" s="10"/>
      <c r="G410" s="10"/>
      <c r="H410" s="10"/>
      <c r="J410" s="10"/>
      <c r="K410" s="10"/>
      <c r="L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W410" s="143"/>
      <c r="BA410" s="10"/>
      <c r="BD410" s="10"/>
      <c r="BE410" s="10"/>
      <c r="BF410" s="10"/>
      <c r="BG410" s="10"/>
      <c r="BH410" s="10"/>
      <c r="BI410" s="10"/>
      <c r="BJ410" s="10"/>
      <c r="BK410" s="10"/>
      <c r="BL410" s="10"/>
      <c r="BS410" s="10"/>
      <c r="BT410" s="10"/>
      <c r="BV410" s="10"/>
      <c r="BW410" s="10"/>
    </row>
    <row r="411">
      <c r="A411" s="10"/>
      <c r="B411" s="10"/>
      <c r="C411" s="10"/>
      <c r="D411" s="10"/>
      <c r="E411" s="10"/>
      <c r="F411" s="10"/>
      <c r="G411" s="10"/>
      <c r="H411" s="10"/>
      <c r="K411" s="10"/>
      <c r="L411" s="10"/>
      <c r="U411" s="10"/>
      <c r="V411" s="10"/>
      <c r="W411" s="10"/>
      <c r="X411" s="10"/>
      <c r="Y411" s="10"/>
      <c r="Z411" s="10"/>
      <c r="AA411" s="10"/>
      <c r="AB411" s="10"/>
      <c r="AC411" s="10"/>
      <c r="AD411" s="10"/>
      <c r="AE411" s="10"/>
      <c r="AF411" s="10"/>
      <c r="AG411" s="10"/>
      <c r="AH411" s="10"/>
      <c r="AI411" s="10"/>
      <c r="AJ411" s="10"/>
      <c r="AK411" s="10"/>
      <c r="AL411" s="10"/>
      <c r="AM411" s="10"/>
      <c r="AN411" s="10"/>
      <c r="AO411" s="10"/>
      <c r="AW411" s="143"/>
      <c r="BA411" s="10"/>
      <c r="BD411" s="10"/>
      <c r="BE411" s="10"/>
      <c r="BF411" s="10"/>
      <c r="BG411" s="10"/>
      <c r="BH411" s="10"/>
      <c r="BI411" s="10"/>
      <c r="BJ411" s="10"/>
      <c r="BK411" s="10"/>
      <c r="BL411" s="10"/>
      <c r="BS411" s="10"/>
      <c r="BT411" s="10"/>
      <c r="BV411" s="10"/>
      <c r="BW411" s="10"/>
    </row>
    <row r="412">
      <c r="A412" s="10"/>
      <c r="B412" s="10"/>
      <c r="C412" s="10"/>
      <c r="D412" s="10"/>
      <c r="E412" s="10"/>
      <c r="F412" s="10"/>
      <c r="G412" s="10"/>
      <c r="H412" s="10"/>
      <c r="K412" s="10"/>
      <c r="L412" s="10"/>
      <c r="U412" s="10"/>
      <c r="V412" s="10"/>
      <c r="W412" s="10"/>
      <c r="X412" s="10"/>
      <c r="Y412" s="10"/>
      <c r="Z412" s="10"/>
      <c r="AA412" s="10"/>
      <c r="AB412" s="10"/>
      <c r="AC412" s="10"/>
      <c r="AD412" s="10"/>
      <c r="AE412" s="10"/>
      <c r="AF412" s="10"/>
      <c r="AG412" s="10"/>
      <c r="AH412" s="10"/>
      <c r="AI412" s="10"/>
      <c r="AJ412" s="10"/>
      <c r="AK412" s="10"/>
      <c r="AL412" s="10"/>
      <c r="AM412" s="10"/>
      <c r="AN412" s="10"/>
      <c r="AO412" s="10"/>
      <c r="AW412" s="143"/>
      <c r="BA412" s="10"/>
      <c r="BD412" s="10"/>
      <c r="BE412" s="10"/>
      <c r="BF412" s="10"/>
      <c r="BG412" s="10"/>
      <c r="BH412" s="10"/>
      <c r="BI412" s="10"/>
      <c r="BJ412" s="10"/>
      <c r="BK412" s="10"/>
      <c r="BL412" s="10"/>
      <c r="BS412" s="10"/>
      <c r="BT412" s="10"/>
      <c r="BV412" s="10"/>
      <c r="BW412" s="10"/>
    </row>
    <row r="413">
      <c r="A413" s="10"/>
      <c r="B413" s="10"/>
      <c r="C413" s="10"/>
      <c r="D413" s="10"/>
      <c r="E413" s="10"/>
      <c r="F413" s="10"/>
      <c r="G413" s="10"/>
      <c r="H413" s="10"/>
      <c r="K413" s="10"/>
      <c r="L413" s="10"/>
      <c r="U413" s="10"/>
      <c r="V413" s="10"/>
      <c r="W413" s="10"/>
      <c r="X413" s="10"/>
      <c r="Y413" s="10"/>
      <c r="Z413" s="10"/>
      <c r="AA413" s="10"/>
      <c r="AB413" s="10"/>
      <c r="AC413" s="10"/>
      <c r="AD413" s="10"/>
      <c r="AE413" s="10"/>
      <c r="AF413" s="10"/>
      <c r="AG413" s="10"/>
      <c r="AH413" s="10"/>
      <c r="AI413" s="10"/>
      <c r="AJ413" s="10"/>
      <c r="AK413" s="10"/>
      <c r="AL413" s="10"/>
      <c r="AM413" s="10"/>
      <c r="AN413" s="10"/>
      <c r="AO413" s="10"/>
      <c r="AW413" s="143"/>
      <c r="BA413" s="10"/>
      <c r="BD413" s="10"/>
      <c r="BE413" s="10"/>
      <c r="BF413" s="10"/>
      <c r="BG413" s="10"/>
      <c r="BH413" s="10"/>
      <c r="BI413" s="10"/>
      <c r="BJ413" s="10"/>
      <c r="BK413" s="10"/>
      <c r="BL413" s="10"/>
      <c r="BS413" s="10"/>
      <c r="BT413" s="10"/>
      <c r="BV413" s="10"/>
      <c r="BW413" s="10"/>
    </row>
    <row r="414">
      <c r="A414" s="10"/>
      <c r="B414" s="10"/>
      <c r="C414" s="10"/>
      <c r="D414" s="10"/>
      <c r="E414" s="10"/>
      <c r="F414" s="10"/>
      <c r="G414" s="10"/>
      <c r="H414" s="10"/>
      <c r="J414" s="10"/>
      <c r="K414" s="10"/>
      <c r="L414" s="10"/>
      <c r="V414" s="10"/>
      <c r="W414" s="10"/>
      <c r="X414" s="10"/>
      <c r="Y414" s="10"/>
      <c r="Z414" s="10"/>
      <c r="AA414" s="10"/>
      <c r="AB414" s="10"/>
      <c r="AC414" s="10"/>
      <c r="AD414" s="10"/>
      <c r="AE414" s="10"/>
      <c r="AF414" s="10"/>
      <c r="AG414" s="10"/>
      <c r="AH414" s="10"/>
      <c r="AI414" s="10"/>
      <c r="AJ414" s="10"/>
      <c r="AK414" s="10"/>
      <c r="AL414" s="10"/>
      <c r="AM414" s="10"/>
      <c r="AN414" s="10"/>
      <c r="AO414" s="10"/>
      <c r="AW414" s="143"/>
      <c r="BA414" s="10"/>
      <c r="BD414" s="10"/>
      <c r="BE414" s="10"/>
      <c r="BF414" s="10"/>
      <c r="BG414" s="10"/>
      <c r="BH414" s="10"/>
      <c r="BI414" s="10"/>
      <c r="BJ414" s="10"/>
      <c r="BK414" s="10"/>
      <c r="BN414" s="10"/>
      <c r="BQ414" s="10"/>
      <c r="BT414" s="10"/>
      <c r="BV414" s="10"/>
      <c r="BW414" s="10"/>
    </row>
    <row r="415">
      <c r="A415" s="10"/>
      <c r="B415" s="10"/>
      <c r="C415" s="10"/>
      <c r="D415" s="10"/>
      <c r="E415" s="10"/>
      <c r="F415" s="10"/>
      <c r="G415" s="10"/>
      <c r="H415" s="10"/>
      <c r="J415" s="10"/>
      <c r="K415" s="10"/>
      <c r="L415" s="10"/>
      <c r="P415" s="10"/>
      <c r="U415" s="10"/>
      <c r="V415" s="10"/>
      <c r="W415" s="10"/>
      <c r="X415" s="10"/>
      <c r="Y415" s="10"/>
      <c r="Z415" s="10"/>
      <c r="AA415" s="10"/>
      <c r="AB415" s="10"/>
      <c r="AC415" s="10"/>
      <c r="AD415" s="10"/>
      <c r="AE415" s="10"/>
      <c r="AF415" s="10"/>
      <c r="AG415" s="10"/>
      <c r="AH415" s="10"/>
      <c r="AI415" s="10"/>
      <c r="AJ415" s="10"/>
      <c r="AK415" s="10"/>
      <c r="AL415" s="10"/>
      <c r="AM415" s="10"/>
      <c r="AN415" s="10"/>
      <c r="AO415" s="10"/>
      <c r="AW415" s="143"/>
      <c r="BA415" s="10"/>
      <c r="BD415" s="10"/>
      <c r="BE415" s="10"/>
      <c r="BF415" s="10"/>
      <c r="BG415" s="10"/>
      <c r="BH415" s="10"/>
      <c r="BI415" s="10"/>
      <c r="BJ415" s="10"/>
      <c r="BK415" s="10"/>
      <c r="BS415" s="10"/>
      <c r="BT415" s="10"/>
      <c r="BV415" s="10"/>
      <c r="BW415" s="10"/>
    </row>
    <row r="416">
      <c r="A416" s="10"/>
      <c r="B416" s="10"/>
      <c r="C416" s="10"/>
      <c r="D416" s="10"/>
      <c r="E416" s="10"/>
      <c r="F416" s="10"/>
      <c r="G416" s="10"/>
      <c r="H416" s="10"/>
      <c r="J416" s="10"/>
      <c r="K416" s="10"/>
      <c r="L416" s="10"/>
      <c r="Q416" s="10"/>
      <c r="R416" s="10"/>
      <c r="V416" s="10"/>
      <c r="W416" s="10"/>
      <c r="X416" s="10"/>
      <c r="Y416" s="10"/>
      <c r="Z416" s="10"/>
      <c r="AA416" s="10"/>
      <c r="AB416" s="10"/>
      <c r="AC416" s="10"/>
      <c r="AD416" s="10"/>
      <c r="AE416" s="10"/>
      <c r="AF416" s="10"/>
      <c r="AG416" s="10"/>
      <c r="AH416" s="10"/>
      <c r="AI416" s="10"/>
      <c r="AJ416" s="10"/>
      <c r="AK416" s="10"/>
      <c r="AL416" s="10"/>
      <c r="AM416" s="10"/>
      <c r="AN416" s="10"/>
      <c r="AO416" s="10"/>
      <c r="AW416" s="143"/>
      <c r="BA416" s="10"/>
      <c r="BD416" s="10"/>
      <c r="BE416" s="10"/>
      <c r="BF416" s="10"/>
      <c r="BG416" s="10"/>
      <c r="BH416" s="10"/>
      <c r="BI416" s="10"/>
      <c r="BJ416" s="10"/>
      <c r="BK416" s="10"/>
      <c r="BS416" s="10"/>
      <c r="BT416" s="10"/>
      <c r="BV416" s="10"/>
      <c r="BW416" s="10"/>
    </row>
    <row r="417">
      <c r="A417" s="10"/>
      <c r="B417" s="10"/>
      <c r="C417" s="10"/>
      <c r="D417" s="10"/>
      <c r="E417" s="10"/>
      <c r="F417" s="10"/>
      <c r="G417" s="10"/>
      <c r="H417" s="10"/>
      <c r="I417" s="10"/>
      <c r="J417" s="10"/>
      <c r="K417" s="10"/>
      <c r="L417" s="10"/>
      <c r="N417" s="10"/>
      <c r="O417" s="10"/>
      <c r="P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R417" s="10"/>
      <c r="AS417" s="10"/>
      <c r="AU417" s="10"/>
      <c r="AV417" s="10"/>
      <c r="AW417" s="143"/>
      <c r="BD417" s="10"/>
      <c r="BE417" s="10"/>
      <c r="BF417" s="10"/>
      <c r="BG417" s="10"/>
      <c r="BH417" s="10"/>
      <c r="BI417" s="10"/>
      <c r="BJ417" s="10"/>
      <c r="BK417" s="10"/>
      <c r="BS417" s="10"/>
      <c r="BT417" s="10"/>
      <c r="BV417" s="10"/>
      <c r="BW417" s="10"/>
    </row>
    <row r="418">
      <c r="A418" s="10"/>
      <c r="B418" s="10"/>
      <c r="C418" s="10"/>
      <c r="D418" s="10"/>
      <c r="E418" s="10"/>
      <c r="F418" s="10"/>
      <c r="G418" s="10"/>
      <c r="H418" s="10"/>
      <c r="I418" s="10"/>
      <c r="J418" s="10"/>
      <c r="K418" s="10"/>
      <c r="L418" s="10"/>
      <c r="P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R418" s="10"/>
      <c r="AS418" s="10"/>
      <c r="AU418" s="10"/>
      <c r="AV418" s="10"/>
      <c r="AW418" s="143"/>
      <c r="BD418" s="10"/>
      <c r="BE418" s="10"/>
      <c r="BF418" s="10"/>
      <c r="BG418" s="10"/>
      <c r="BH418" s="10"/>
      <c r="BI418" s="10"/>
      <c r="BJ418" s="10"/>
      <c r="BK418" s="10"/>
      <c r="BS418" s="10"/>
      <c r="BT418" s="10"/>
      <c r="BV418" s="10"/>
      <c r="BW418" s="10"/>
    </row>
    <row r="419">
      <c r="A419" s="10"/>
      <c r="B419" s="10"/>
      <c r="C419" s="10"/>
      <c r="D419" s="10"/>
      <c r="E419" s="10"/>
      <c r="F419" s="10"/>
      <c r="G419" s="10"/>
      <c r="H419" s="10"/>
      <c r="I419" s="10"/>
      <c r="J419" s="10"/>
      <c r="K419" s="10"/>
      <c r="L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R419" s="10"/>
      <c r="AS419" s="10"/>
      <c r="AU419" s="10"/>
      <c r="AV419" s="10"/>
      <c r="AW419" s="143"/>
      <c r="BD419" s="10"/>
      <c r="BE419" s="10"/>
      <c r="BF419" s="10"/>
      <c r="BG419" s="10"/>
      <c r="BH419" s="10"/>
      <c r="BI419" s="10"/>
      <c r="BJ419" s="10"/>
      <c r="BK419" s="10"/>
      <c r="BS419" s="10"/>
      <c r="BT419" s="10"/>
      <c r="BV419" s="10"/>
      <c r="BW419" s="10"/>
    </row>
    <row r="420">
      <c r="A420" s="10"/>
      <c r="B420" s="10"/>
      <c r="C420" s="10"/>
      <c r="D420" s="10"/>
      <c r="E420" s="10"/>
      <c r="F420" s="10"/>
      <c r="G420" s="10"/>
      <c r="H420" s="10"/>
      <c r="I420" s="10"/>
      <c r="J420" s="10"/>
      <c r="K420" s="10"/>
      <c r="L420" s="10"/>
      <c r="P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R420" s="10"/>
      <c r="AS420" s="10"/>
      <c r="AU420" s="10"/>
      <c r="AV420" s="10"/>
      <c r="AW420" s="143"/>
      <c r="AZ420" s="10"/>
      <c r="BD420" s="10"/>
      <c r="BS420" s="10"/>
      <c r="BT420" s="10"/>
      <c r="BV420" s="10"/>
      <c r="BW420" s="10"/>
    </row>
    <row r="421">
      <c r="A421" s="10"/>
      <c r="B421" s="10"/>
      <c r="C421" s="10"/>
      <c r="D421" s="10"/>
      <c r="E421" s="10"/>
      <c r="F421" s="10"/>
      <c r="G421" s="10"/>
      <c r="H421" s="10"/>
      <c r="I421" s="10"/>
      <c r="J421" s="10"/>
      <c r="K421" s="10"/>
      <c r="L421" s="10"/>
      <c r="P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R421" s="10"/>
      <c r="AS421" s="10"/>
      <c r="AU421" s="10"/>
      <c r="AV421" s="10"/>
      <c r="AW421" s="143"/>
      <c r="BD421" s="10"/>
      <c r="BE421" s="10"/>
      <c r="BF421" s="10"/>
      <c r="BG421" s="10"/>
      <c r="BH421" s="10"/>
      <c r="BI421" s="10"/>
      <c r="BJ421" s="10"/>
      <c r="BK421" s="10"/>
      <c r="BS421" s="10"/>
      <c r="BT421" s="10"/>
      <c r="BV421" s="10"/>
      <c r="BW421" s="10"/>
    </row>
    <row r="422">
      <c r="A422" s="10"/>
      <c r="B422" s="10"/>
      <c r="C422" s="10"/>
      <c r="D422" s="10"/>
      <c r="E422" s="10"/>
      <c r="F422" s="10"/>
      <c r="G422" s="10"/>
      <c r="H422" s="10"/>
      <c r="I422" s="10"/>
      <c r="J422" s="10"/>
      <c r="K422" s="10"/>
      <c r="L422" s="10"/>
      <c r="N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R422" s="10"/>
      <c r="AS422" s="10"/>
      <c r="AU422" s="10"/>
      <c r="AV422" s="10"/>
      <c r="AW422" s="143"/>
      <c r="AZ422" s="10"/>
      <c r="BD422" s="10"/>
      <c r="BE422" s="10"/>
      <c r="BF422" s="10"/>
      <c r="BG422" s="10"/>
      <c r="BH422" s="10"/>
      <c r="BI422" s="10"/>
      <c r="BJ422" s="10"/>
      <c r="BK422" s="10"/>
      <c r="BS422" s="10"/>
      <c r="BT422" s="10"/>
      <c r="BV422" s="10"/>
      <c r="BW422" s="10"/>
    </row>
    <row r="423">
      <c r="A423" s="10"/>
      <c r="B423" s="10"/>
      <c r="C423" s="10"/>
      <c r="D423" s="10"/>
      <c r="E423" s="10"/>
      <c r="F423" s="10"/>
      <c r="G423" s="10"/>
      <c r="H423" s="10"/>
      <c r="I423" s="10"/>
      <c r="K423" s="10"/>
      <c r="L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R423" s="10"/>
      <c r="AS423" s="10"/>
      <c r="AU423" s="10"/>
      <c r="AV423" s="10"/>
      <c r="AW423" s="143"/>
      <c r="BD423" s="10"/>
      <c r="BE423" s="10"/>
      <c r="BF423" s="10"/>
      <c r="BG423" s="10"/>
      <c r="BH423" s="10"/>
      <c r="BI423" s="10"/>
      <c r="BJ423" s="10"/>
      <c r="BK423" s="10"/>
      <c r="BL423" s="10"/>
      <c r="BM423" s="10"/>
      <c r="BN423" s="10"/>
      <c r="BO423" s="10"/>
      <c r="BP423" s="10"/>
      <c r="BQ423" s="10"/>
      <c r="BR423" s="10"/>
      <c r="BS423" s="10"/>
      <c r="BT423" s="10"/>
      <c r="BV423" s="10"/>
      <c r="BW423" s="10"/>
    </row>
    <row r="424">
      <c r="A424" s="10"/>
      <c r="B424" s="10"/>
      <c r="C424" s="10"/>
      <c r="D424" s="10"/>
      <c r="E424" s="10"/>
      <c r="F424" s="10"/>
      <c r="G424" s="10"/>
      <c r="H424" s="10"/>
      <c r="K424" s="10"/>
      <c r="L424" s="10"/>
      <c r="N424" s="10"/>
      <c r="V424" s="10"/>
      <c r="W424" s="10"/>
      <c r="X424" s="10"/>
      <c r="Y424" s="10"/>
      <c r="Z424" s="10"/>
      <c r="AA424" s="10"/>
      <c r="AB424" s="10"/>
      <c r="AC424" s="10"/>
      <c r="AD424" s="10"/>
      <c r="AE424" s="10"/>
      <c r="AF424" s="10"/>
      <c r="AG424" s="10"/>
      <c r="AH424" s="10"/>
      <c r="AI424" s="10"/>
      <c r="AJ424" s="10"/>
      <c r="AK424" s="10"/>
      <c r="AL424" s="10"/>
      <c r="AM424" s="10"/>
      <c r="AN424" s="10"/>
      <c r="AO424" s="10"/>
      <c r="AW424" s="143"/>
      <c r="BD424" s="10"/>
      <c r="BE424" s="10"/>
      <c r="BF424" s="10"/>
      <c r="BG424" s="10"/>
      <c r="BH424" s="10"/>
      <c r="BI424" s="10"/>
      <c r="BJ424" s="10"/>
      <c r="BK424" s="10"/>
      <c r="BS424" s="10"/>
      <c r="BT424" s="10"/>
      <c r="BV424" s="10"/>
      <c r="BW424" s="10"/>
    </row>
    <row r="425">
      <c r="B425" s="10"/>
      <c r="C425" s="10"/>
      <c r="D425" s="10"/>
      <c r="E425" s="10"/>
      <c r="F425" s="10"/>
      <c r="G425" s="10"/>
      <c r="H425" s="10"/>
      <c r="K425" s="10"/>
      <c r="L425" s="10"/>
      <c r="P425" s="10"/>
      <c r="V425" s="10"/>
      <c r="W425" s="10"/>
      <c r="X425" s="10"/>
      <c r="Y425" s="10"/>
      <c r="Z425" s="10"/>
      <c r="AA425" s="10"/>
      <c r="AB425" s="10"/>
      <c r="AC425" s="10"/>
      <c r="AD425" s="10"/>
      <c r="AE425" s="10"/>
      <c r="AF425" s="10"/>
      <c r="AG425" s="10"/>
      <c r="AH425" s="10"/>
      <c r="AI425" s="10"/>
      <c r="AJ425" s="10"/>
      <c r="AK425" s="10"/>
      <c r="AL425" s="10"/>
      <c r="AM425" s="10"/>
      <c r="AN425" s="10"/>
      <c r="AO425" s="10"/>
      <c r="AW425" s="143"/>
      <c r="BD425" s="10"/>
      <c r="BE425" s="10"/>
      <c r="BF425" s="10"/>
      <c r="BG425" s="10"/>
      <c r="BH425" s="10"/>
      <c r="BI425" s="10"/>
      <c r="BJ425" s="10"/>
      <c r="BK425" s="10"/>
      <c r="BS425" s="10"/>
      <c r="BT425" s="10"/>
      <c r="BV425" s="10"/>
      <c r="BW425" s="10"/>
    </row>
    <row r="426">
      <c r="B426" s="10"/>
      <c r="C426" s="10"/>
      <c r="D426" s="10"/>
      <c r="E426" s="10"/>
      <c r="F426" s="10"/>
      <c r="G426" s="10"/>
      <c r="H426" s="10"/>
      <c r="K426" s="10"/>
      <c r="L426" s="10"/>
      <c r="N426" s="10"/>
      <c r="V426" s="10"/>
      <c r="W426" s="10"/>
      <c r="X426" s="10"/>
      <c r="Y426" s="10"/>
      <c r="Z426" s="10"/>
      <c r="AA426" s="10"/>
      <c r="AB426" s="10"/>
      <c r="AC426" s="10"/>
      <c r="AD426" s="10"/>
      <c r="AE426" s="10"/>
      <c r="AF426" s="10"/>
      <c r="AG426" s="10"/>
      <c r="AH426" s="10"/>
      <c r="AI426" s="10"/>
      <c r="AJ426" s="10"/>
      <c r="AK426" s="10"/>
      <c r="AL426" s="10"/>
      <c r="AM426" s="10"/>
      <c r="AN426" s="10"/>
      <c r="AO426" s="10"/>
      <c r="AW426" s="143"/>
      <c r="BD426" s="10"/>
      <c r="BE426" s="10"/>
      <c r="BF426" s="10"/>
      <c r="BG426" s="10"/>
      <c r="BH426" s="10"/>
      <c r="BI426" s="10"/>
      <c r="BJ426" s="10"/>
      <c r="BK426" s="10"/>
      <c r="BS426" s="10"/>
      <c r="BT426" s="10"/>
      <c r="BV426" s="10"/>
      <c r="BW426" s="10"/>
    </row>
    <row r="427">
      <c r="B427" s="10"/>
      <c r="C427" s="10"/>
      <c r="D427" s="10"/>
      <c r="E427" s="10"/>
      <c r="F427" s="10"/>
      <c r="G427" s="10"/>
      <c r="H427" s="10"/>
      <c r="J427" s="10"/>
      <c r="K427" s="10"/>
      <c r="L427" s="10"/>
      <c r="N427" s="10"/>
      <c r="V427" s="10"/>
      <c r="W427" s="10"/>
      <c r="X427" s="10"/>
      <c r="Y427" s="10"/>
      <c r="Z427" s="10"/>
      <c r="AA427" s="10"/>
      <c r="AB427" s="10"/>
      <c r="AC427" s="10"/>
      <c r="AD427" s="10"/>
      <c r="AE427" s="10"/>
      <c r="AF427" s="10"/>
      <c r="AG427" s="10"/>
      <c r="AH427" s="10"/>
      <c r="AI427" s="10"/>
      <c r="AJ427" s="10"/>
      <c r="AK427" s="10"/>
      <c r="AL427" s="10"/>
      <c r="AM427" s="10"/>
      <c r="AN427" s="10"/>
      <c r="AO427" s="10"/>
      <c r="AW427" s="244"/>
      <c r="AY427" s="10"/>
      <c r="BD427" s="10"/>
      <c r="BE427" s="10"/>
      <c r="BF427" s="10"/>
      <c r="BG427" s="10"/>
      <c r="BH427" s="10"/>
      <c r="BI427" s="10"/>
      <c r="BJ427" s="10"/>
      <c r="BK427" s="10"/>
      <c r="BS427" s="10"/>
      <c r="BT427" s="10"/>
      <c r="BV427" s="10"/>
      <c r="BW427" s="10"/>
    </row>
    <row r="428">
      <c r="A428" s="10"/>
      <c r="B428" s="10"/>
      <c r="C428" s="10"/>
      <c r="D428" s="10"/>
      <c r="E428" s="10"/>
      <c r="F428" s="10"/>
      <c r="G428" s="10"/>
      <c r="H428" s="10"/>
      <c r="J428" s="10"/>
      <c r="U428" s="10"/>
      <c r="V428" s="10"/>
      <c r="W428" s="10"/>
      <c r="X428" s="10"/>
      <c r="Y428" s="10"/>
      <c r="Z428" s="10"/>
      <c r="AA428" s="10"/>
      <c r="AB428" s="10"/>
      <c r="AC428" s="10"/>
      <c r="AD428" s="10"/>
      <c r="AE428" s="10"/>
      <c r="AF428" s="10"/>
      <c r="AG428" s="10"/>
      <c r="AH428" s="10"/>
      <c r="AI428" s="10"/>
      <c r="AJ428" s="10"/>
      <c r="AK428" s="10"/>
      <c r="AL428" s="10"/>
      <c r="AM428" s="10"/>
      <c r="AN428" s="10"/>
      <c r="AO428" s="10"/>
      <c r="AW428" s="143"/>
      <c r="BA428" s="10"/>
      <c r="BE428" s="10"/>
      <c r="BF428" s="10"/>
      <c r="BG428" s="10"/>
      <c r="BH428" s="10"/>
      <c r="BI428" s="10"/>
      <c r="BJ428" s="10"/>
      <c r="BK428" s="10"/>
      <c r="BS428" s="10"/>
      <c r="BT428" s="10"/>
      <c r="BW428" s="10"/>
    </row>
    <row r="429">
      <c r="A429" s="10"/>
      <c r="B429" s="10"/>
      <c r="C429" s="10"/>
      <c r="D429" s="10"/>
      <c r="E429" s="10"/>
      <c r="F429" s="10"/>
      <c r="G429" s="10"/>
      <c r="H429" s="10"/>
      <c r="I429" s="10"/>
      <c r="J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43"/>
      <c r="AX429" s="10"/>
      <c r="AY429" s="10"/>
      <c r="BE429" s="10"/>
      <c r="BF429" s="10"/>
      <c r="BG429" s="10"/>
      <c r="BH429" s="10"/>
      <c r="BI429" s="10"/>
      <c r="BJ429" s="10"/>
      <c r="BK429" s="10"/>
      <c r="BL429" s="10"/>
      <c r="BM429" s="10"/>
      <c r="BN429" s="10"/>
      <c r="BO429" s="10"/>
      <c r="BP429" s="10"/>
      <c r="BQ429" s="10"/>
      <c r="BR429" s="10"/>
      <c r="BS429" s="10"/>
      <c r="BT429" s="10"/>
      <c r="BW429" s="10"/>
    </row>
    <row r="430">
      <c r="A430" s="10"/>
      <c r="B430" s="10"/>
      <c r="C430" s="10"/>
      <c r="D430" s="10"/>
      <c r="E430" s="10"/>
      <c r="F430" s="10"/>
      <c r="G430" s="10"/>
      <c r="H430" s="10"/>
      <c r="I430" s="10"/>
      <c r="J430" s="10"/>
      <c r="N430" s="10"/>
      <c r="O430" s="10"/>
      <c r="P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43"/>
      <c r="AX430" s="10"/>
      <c r="AY430" s="10"/>
      <c r="BE430" s="10"/>
      <c r="BF430" s="10"/>
      <c r="BG430" s="10"/>
      <c r="BH430" s="10"/>
      <c r="BI430" s="10"/>
      <c r="BJ430" s="10"/>
      <c r="BK430" s="10"/>
      <c r="BS430" s="10"/>
      <c r="BT430" s="10"/>
      <c r="BW430" s="10"/>
    </row>
    <row r="431">
      <c r="A431" s="10"/>
      <c r="B431" s="10"/>
      <c r="C431" s="10"/>
      <c r="D431" s="10"/>
      <c r="E431" s="10"/>
      <c r="F431" s="10"/>
      <c r="G431" s="10"/>
      <c r="H431" s="10"/>
      <c r="I431" s="10"/>
      <c r="K431" s="10"/>
      <c r="L431" s="10"/>
      <c r="N431" s="10"/>
      <c r="P431" s="10"/>
      <c r="T431" s="10"/>
      <c r="U431" s="10"/>
      <c r="V431" s="10"/>
      <c r="W431" s="10"/>
      <c r="Y431" s="10"/>
      <c r="Z431" s="10"/>
      <c r="AA431" s="10"/>
      <c r="AB431" s="10"/>
      <c r="AC431" s="10"/>
      <c r="AD431" s="10"/>
      <c r="AE431" s="10"/>
      <c r="AF431" s="10"/>
      <c r="AG431" s="10"/>
      <c r="AH431" s="10"/>
      <c r="AI431" s="10"/>
      <c r="AJ431" s="10"/>
      <c r="AL431" s="10"/>
      <c r="AM431" s="10"/>
      <c r="AO431" s="10"/>
      <c r="AR431" s="10"/>
      <c r="AS431" s="10"/>
      <c r="AU431" s="10"/>
      <c r="AV431" s="10"/>
      <c r="AW431" s="143"/>
      <c r="BD431" s="10"/>
      <c r="BS431" s="10"/>
      <c r="BT431" s="10"/>
      <c r="BV431" s="10"/>
      <c r="BW431" s="10"/>
    </row>
    <row r="432">
      <c r="A432" s="10"/>
      <c r="B432" s="10"/>
      <c r="C432" s="10"/>
      <c r="D432" s="10"/>
      <c r="E432" s="10"/>
      <c r="F432" s="10"/>
      <c r="G432" s="10"/>
      <c r="H432" s="10"/>
      <c r="I432" s="10"/>
      <c r="J432" s="10"/>
      <c r="K432" s="10"/>
      <c r="L432" s="10"/>
      <c r="N432" s="10"/>
      <c r="P432" s="10"/>
      <c r="T432" s="10"/>
      <c r="U432" s="10"/>
      <c r="V432" s="10"/>
      <c r="W432" s="10"/>
      <c r="X432" s="10"/>
      <c r="Y432" s="10"/>
      <c r="Z432" s="10"/>
      <c r="AA432" s="10"/>
      <c r="AB432" s="10"/>
      <c r="AC432" s="10"/>
      <c r="AD432" s="10"/>
      <c r="AE432" s="10"/>
      <c r="AF432" s="10"/>
      <c r="AG432" s="10"/>
      <c r="AH432" s="10"/>
      <c r="AI432" s="10"/>
      <c r="AJ432" s="10"/>
      <c r="AL432" s="10"/>
      <c r="AM432" s="10"/>
      <c r="AO432" s="10"/>
      <c r="AR432" s="10"/>
      <c r="AS432" s="10"/>
      <c r="AU432" s="10"/>
      <c r="AV432" s="10"/>
      <c r="AW432" s="143"/>
      <c r="BD432" s="10"/>
      <c r="BS432" s="10"/>
      <c r="BT432" s="10"/>
      <c r="BV432" s="10"/>
      <c r="BW432" s="10"/>
    </row>
    <row r="433">
      <c r="A433" s="10"/>
      <c r="B433" s="10"/>
      <c r="C433" s="10"/>
      <c r="D433" s="10"/>
      <c r="E433" s="10"/>
      <c r="F433" s="10"/>
      <c r="G433" s="10"/>
      <c r="H433" s="10"/>
      <c r="I433" s="10"/>
      <c r="J433" s="10"/>
      <c r="K433" s="10"/>
      <c r="L433" s="10"/>
      <c r="N433" s="10"/>
      <c r="P433" s="10"/>
      <c r="T433" s="10"/>
      <c r="U433" s="10"/>
      <c r="V433" s="10"/>
      <c r="W433" s="10"/>
      <c r="X433" s="10"/>
      <c r="Y433" s="10"/>
      <c r="Z433" s="10"/>
      <c r="AA433" s="10"/>
      <c r="AB433" s="10"/>
      <c r="AC433" s="10"/>
      <c r="AD433" s="10"/>
      <c r="AE433" s="10"/>
      <c r="AF433" s="10"/>
      <c r="AG433" s="10"/>
      <c r="AH433" s="10"/>
      <c r="AI433" s="10"/>
      <c r="AJ433" s="10"/>
      <c r="AL433" s="10"/>
      <c r="AM433" s="10"/>
      <c r="AO433" s="10"/>
      <c r="AR433" s="10"/>
      <c r="AS433" s="10"/>
      <c r="AU433" s="10"/>
      <c r="AV433" s="10"/>
      <c r="AW433" s="143"/>
      <c r="BD433" s="10"/>
      <c r="BS433" s="10"/>
      <c r="BT433" s="10"/>
      <c r="BV433" s="10"/>
      <c r="BW433" s="10"/>
    </row>
    <row r="434">
      <c r="A434" s="10"/>
      <c r="B434" s="10"/>
      <c r="C434" s="10"/>
      <c r="D434" s="10"/>
      <c r="E434" s="10"/>
      <c r="F434" s="10"/>
      <c r="G434" s="10"/>
      <c r="H434" s="10"/>
      <c r="I434" s="10"/>
      <c r="J434" s="10"/>
      <c r="K434" s="10"/>
      <c r="L434" s="10"/>
      <c r="N434" s="10"/>
      <c r="P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R434" s="10"/>
      <c r="AS434" s="10"/>
      <c r="AT434" s="10"/>
      <c r="AU434" s="10"/>
      <c r="AV434" s="10"/>
      <c r="AW434" s="143"/>
      <c r="BD434" s="10"/>
      <c r="BS434" s="10"/>
      <c r="BT434" s="10"/>
      <c r="BV434" s="10"/>
      <c r="BW434" s="10"/>
    </row>
    <row r="435">
      <c r="A435" s="10"/>
      <c r="B435" s="10"/>
      <c r="C435" s="10"/>
      <c r="D435" s="10"/>
      <c r="E435" s="10"/>
      <c r="F435" s="10"/>
      <c r="G435" s="10"/>
      <c r="H435" s="10"/>
      <c r="I435" s="10"/>
      <c r="J435" s="10"/>
      <c r="K435" s="10"/>
      <c r="L435" s="10"/>
      <c r="P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R435" s="10"/>
      <c r="AS435" s="10"/>
      <c r="AU435" s="10"/>
      <c r="AV435" s="10"/>
      <c r="AW435" s="143"/>
      <c r="BD435" s="10"/>
      <c r="BS435" s="10"/>
      <c r="BT435" s="10"/>
      <c r="BV435" s="10"/>
      <c r="BW435" s="10"/>
    </row>
    <row r="436">
      <c r="A436" s="10"/>
      <c r="B436" s="10"/>
      <c r="C436" s="10"/>
      <c r="D436" s="10"/>
      <c r="E436" s="10"/>
      <c r="F436" s="10"/>
      <c r="G436" s="10"/>
      <c r="H436" s="10"/>
      <c r="K436" s="10"/>
      <c r="L436" s="10"/>
      <c r="N436" s="10"/>
      <c r="V436" s="10"/>
      <c r="W436" s="10"/>
      <c r="Y436" s="10"/>
      <c r="Z436" s="10"/>
      <c r="AA436" s="10"/>
      <c r="AB436" s="10"/>
      <c r="AC436" s="10"/>
      <c r="AD436" s="10"/>
      <c r="AE436" s="10"/>
      <c r="AF436" s="10"/>
      <c r="AG436" s="10"/>
      <c r="AH436" s="10"/>
      <c r="AI436" s="10"/>
      <c r="AJ436" s="10"/>
      <c r="AK436" s="10"/>
      <c r="AL436" s="10"/>
      <c r="AM436" s="10"/>
      <c r="AN436" s="10"/>
      <c r="AO436" s="10"/>
      <c r="AW436" s="143"/>
      <c r="AZ436" s="10"/>
      <c r="BD436" s="10"/>
      <c r="BE436" s="10"/>
      <c r="BF436" s="10"/>
      <c r="BG436" s="10"/>
      <c r="BH436" s="10"/>
      <c r="BI436" s="10"/>
      <c r="BJ436" s="10"/>
      <c r="BK436" s="10"/>
      <c r="BS436" s="10"/>
      <c r="BT436" s="10"/>
      <c r="BV436" s="10"/>
      <c r="BW436" s="10"/>
    </row>
    <row r="437">
      <c r="A437" s="10"/>
      <c r="B437" s="10"/>
      <c r="C437" s="10"/>
      <c r="D437" s="10"/>
      <c r="E437" s="10"/>
      <c r="F437" s="10"/>
      <c r="G437" s="10"/>
      <c r="H437" s="10"/>
      <c r="K437" s="10"/>
      <c r="L437" s="10"/>
      <c r="N437" s="10"/>
      <c r="V437" s="10"/>
      <c r="W437" s="10"/>
      <c r="X437" s="10"/>
      <c r="Y437" s="10"/>
      <c r="Z437" s="10"/>
      <c r="AA437" s="10"/>
      <c r="AB437" s="10"/>
      <c r="AC437" s="10"/>
      <c r="AD437" s="10"/>
      <c r="AE437" s="10"/>
      <c r="AF437" s="10"/>
      <c r="AG437" s="10"/>
      <c r="AH437" s="10"/>
      <c r="AI437" s="10"/>
      <c r="AJ437" s="10"/>
      <c r="AK437" s="10"/>
      <c r="AL437" s="10"/>
      <c r="AM437" s="10"/>
      <c r="AN437" s="10"/>
      <c r="AO437" s="10"/>
      <c r="AW437" s="143"/>
      <c r="BD437" s="10"/>
      <c r="BE437" s="10"/>
      <c r="BF437" s="10"/>
      <c r="BG437" s="10"/>
      <c r="BH437" s="10"/>
      <c r="BI437" s="10"/>
      <c r="BJ437" s="10"/>
      <c r="BK437" s="10"/>
      <c r="BS437" s="10"/>
      <c r="BT437" s="10"/>
      <c r="BV437" s="10"/>
      <c r="BW437" s="10"/>
    </row>
    <row r="438">
      <c r="A438" s="10"/>
      <c r="B438" s="10"/>
      <c r="C438" s="10"/>
      <c r="D438" s="10"/>
      <c r="E438" s="10"/>
      <c r="F438" s="10"/>
      <c r="G438" s="10"/>
      <c r="H438" s="10"/>
      <c r="I438" s="10"/>
      <c r="K438" s="10"/>
      <c r="L438" s="10"/>
      <c r="T438" s="10"/>
      <c r="U438" s="10"/>
      <c r="V438" s="10"/>
      <c r="W438" s="10"/>
      <c r="Y438" s="10"/>
      <c r="Z438" s="10"/>
      <c r="AA438" s="10"/>
      <c r="AB438" s="10"/>
      <c r="AC438" s="10"/>
      <c r="AD438" s="10"/>
      <c r="AE438" s="10"/>
      <c r="AF438" s="10"/>
      <c r="AG438" s="10"/>
      <c r="AH438" s="10"/>
      <c r="AI438" s="10"/>
      <c r="AJ438" s="10"/>
      <c r="AL438" s="10"/>
      <c r="AM438" s="10"/>
      <c r="AO438" s="10"/>
      <c r="AR438" s="10"/>
      <c r="AS438" s="10"/>
      <c r="AU438" s="10"/>
      <c r="AV438" s="10"/>
      <c r="AW438" s="143"/>
      <c r="BD438" s="10"/>
      <c r="BE438" s="10"/>
      <c r="BF438" s="10"/>
      <c r="BG438" s="10"/>
      <c r="BH438" s="10"/>
      <c r="BI438" s="10"/>
      <c r="BJ438" s="10"/>
      <c r="BK438" s="10"/>
      <c r="BS438" s="10"/>
      <c r="BT438" s="10"/>
      <c r="BV438" s="10"/>
      <c r="BW438" s="10"/>
    </row>
    <row r="439">
      <c r="A439" s="10"/>
      <c r="B439" s="10"/>
      <c r="C439" s="10"/>
      <c r="D439" s="10"/>
      <c r="E439" s="10"/>
      <c r="F439" s="10"/>
      <c r="G439" s="10"/>
      <c r="H439" s="10"/>
      <c r="I439" s="10"/>
      <c r="K439" s="10"/>
      <c r="L439" s="10"/>
      <c r="P439" s="10"/>
      <c r="T439" s="10"/>
      <c r="U439" s="10"/>
      <c r="V439" s="10"/>
      <c r="W439" s="10"/>
      <c r="Y439" s="10"/>
      <c r="Z439" s="10"/>
      <c r="AA439" s="10"/>
      <c r="AB439" s="10"/>
      <c r="AC439" s="10"/>
      <c r="AD439" s="10"/>
      <c r="AE439" s="10"/>
      <c r="AF439" s="10"/>
      <c r="AG439" s="10"/>
      <c r="AH439" s="10"/>
      <c r="AI439" s="10"/>
      <c r="AJ439" s="10"/>
      <c r="AL439" s="10"/>
      <c r="AM439" s="10"/>
      <c r="AO439" s="10"/>
      <c r="AR439" s="10"/>
      <c r="AS439" s="10"/>
      <c r="AU439" s="10"/>
      <c r="AV439" s="10"/>
      <c r="AW439" s="143"/>
      <c r="BD439" s="10"/>
      <c r="BE439" s="10"/>
      <c r="BF439" s="10"/>
      <c r="BG439" s="10"/>
      <c r="BH439" s="10"/>
      <c r="BI439" s="10"/>
      <c r="BJ439" s="10"/>
      <c r="BK439" s="10"/>
      <c r="BS439" s="10"/>
      <c r="BT439" s="10"/>
      <c r="BV439" s="10"/>
      <c r="BW439" s="10"/>
    </row>
    <row r="440">
      <c r="A440" s="10"/>
      <c r="B440" s="10"/>
      <c r="C440" s="10"/>
      <c r="D440" s="10"/>
      <c r="E440" s="10"/>
      <c r="F440" s="10"/>
      <c r="G440" s="10"/>
      <c r="H440" s="10"/>
      <c r="I440" s="10"/>
      <c r="K440" s="10"/>
      <c r="L440" s="10"/>
      <c r="P440" s="10"/>
      <c r="T440" s="10"/>
      <c r="U440" s="10"/>
      <c r="V440" s="10"/>
      <c r="W440" s="10"/>
      <c r="Y440" s="10"/>
      <c r="Z440" s="10"/>
      <c r="AA440" s="10"/>
      <c r="AB440" s="10"/>
      <c r="AC440" s="10"/>
      <c r="AD440" s="10"/>
      <c r="AE440" s="10"/>
      <c r="AF440" s="10"/>
      <c r="AG440" s="10"/>
      <c r="AH440" s="10"/>
      <c r="AI440" s="10"/>
      <c r="AJ440" s="10"/>
      <c r="AL440" s="10"/>
      <c r="AM440" s="10"/>
      <c r="AO440" s="10"/>
      <c r="AR440" s="10"/>
      <c r="AS440" s="10"/>
      <c r="AU440" s="10"/>
      <c r="AV440" s="10"/>
      <c r="AW440" s="143"/>
      <c r="BD440" s="10"/>
      <c r="BE440" s="10"/>
      <c r="BF440" s="10"/>
      <c r="BG440" s="10"/>
      <c r="BH440" s="10"/>
      <c r="BI440" s="10"/>
      <c r="BJ440" s="10"/>
      <c r="BK440" s="10"/>
      <c r="BS440" s="10"/>
      <c r="BT440" s="10"/>
      <c r="BV440" s="10"/>
      <c r="BW440" s="10"/>
    </row>
    <row r="441">
      <c r="A441" s="10"/>
      <c r="B441" s="10"/>
      <c r="C441" s="10"/>
      <c r="D441" s="10"/>
      <c r="E441" s="10"/>
      <c r="F441" s="10"/>
      <c r="G441" s="10"/>
      <c r="H441" s="10"/>
      <c r="I441" s="10"/>
      <c r="K441" s="10"/>
      <c r="L441" s="10"/>
      <c r="P441" s="10"/>
      <c r="T441" s="10"/>
      <c r="U441" s="10"/>
      <c r="V441" s="10"/>
      <c r="W441" s="10"/>
      <c r="Y441" s="10"/>
      <c r="Z441" s="10"/>
      <c r="AA441" s="10"/>
      <c r="AB441" s="10"/>
      <c r="AC441" s="10"/>
      <c r="AD441" s="10"/>
      <c r="AE441" s="10"/>
      <c r="AF441" s="10"/>
      <c r="AG441" s="10"/>
      <c r="AH441" s="10"/>
      <c r="AI441" s="10"/>
      <c r="AJ441" s="10"/>
      <c r="AL441" s="10"/>
      <c r="AM441" s="10"/>
      <c r="AO441" s="10"/>
      <c r="AR441" s="10"/>
      <c r="AS441" s="10"/>
      <c r="AU441" s="10"/>
      <c r="AV441" s="10"/>
      <c r="AW441" s="143"/>
      <c r="BD441" s="10"/>
      <c r="BE441" s="10"/>
      <c r="BF441" s="10"/>
      <c r="BG441" s="10"/>
      <c r="BH441" s="10"/>
      <c r="BI441" s="10"/>
      <c r="BJ441" s="10"/>
      <c r="BK441" s="10"/>
      <c r="BS441" s="10"/>
      <c r="BT441" s="10"/>
      <c r="BV441" s="10"/>
      <c r="BW441" s="10"/>
    </row>
    <row r="442">
      <c r="A442" s="10"/>
      <c r="B442" s="10"/>
      <c r="C442" s="10"/>
      <c r="D442" s="10"/>
      <c r="E442" s="10"/>
      <c r="F442" s="10"/>
      <c r="G442" s="10"/>
      <c r="H442" s="10"/>
      <c r="I442" s="10"/>
      <c r="K442" s="10"/>
      <c r="L442" s="10"/>
      <c r="T442" s="10"/>
      <c r="U442" s="10"/>
      <c r="V442" s="10"/>
      <c r="W442" s="10"/>
      <c r="Y442" s="10"/>
      <c r="Z442" s="10"/>
      <c r="AA442" s="10"/>
      <c r="AB442" s="10"/>
      <c r="AC442" s="10"/>
      <c r="AD442" s="10"/>
      <c r="AE442" s="10"/>
      <c r="AF442" s="10"/>
      <c r="AG442" s="10"/>
      <c r="AH442" s="10"/>
      <c r="AI442" s="10"/>
      <c r="AJ442" s="10"/>
      <c r="AL442" s="10"/>
      <c r="AM442" s="10"/>
      <c r="AO442" s="10"/>
      <c r="AR442" s="10"/>
      <c r="AS442" s="10"/>
      <c r="AU442" s="10"/>
      <c r="AV442" s="10"/>
      <c r="AW442" s="143"/>
      <c r="BD442" s="10"/>
      <c r="BE442" s="10"/>
      <c r="BF442" s="10"/>
      <c r="BG442" s="10"/>
      <c r="BH442" s="10"/>
      <c r="BI442" s="10"/>
      <c r="BJ442" s="10"/>
      <c r="BK442" s="10"/>
      <c r="BS442" s="10"/>
      <c r="BT442" s="10"/>
      <c r="BV442" s="10"/>
      <c r="BW442" s="10"/>
    </row>
    <row r="443">
      <c r="A443" s="10"/>
      <c r="B443" s="10"/>
      <c r="C443" s="10"/>
      <c r="D443" s="10"/>
      <c r="E443" s="10"/>
      <c r="F443" s="10"/>
      <c r="G443" s="10"/>
      <c r="H443" s="10"/>
      <c r="I443" s="10"/>
      <c r="P443" s="10"/>
      <c r="T443" s="10"/>
      <c r="U443" s="10"/>
      <c r="V443" s="10"/>
      <c r="W443" s="10"/>
      <c r="Y443" s="10"/>
      <c r="Z443" s="10"/>
      <c r="AA443" s="10"/>
      <c r="AB443" s="10"/>
      <c r="AC443" s="10"/>
      <c r="AD443" s="10"/>
      <c r="AE443" s="10"/>
      <c r="AF443" s="10"/>
      <c r="AG443" s="10"/>
      <c r="AH443" s="10"/>
      <c r="AI443" s="10"/>
      <c r="AJ443" s="10"/>
      <c r="AL443" s="10"/>
      <c r="AM443" s="10"/>
      <c r="AO443" s="10"/>
      <c r="AR443" s="10"/>
      <c r="AS443" s="10"/>
      <c r="AU443" s="10"/>
      <c r="AV443" s="10"/>
      <c r="AW443" s="143"/>
      <c r="BE443" s="10"/>
      <c r="BF443" s="10"/>
      <c r="BG443" s="10"/>
      <c r="BH443" s="10"/>
      <c r="BI443" s="10"/>
      <c r="BJ443" s="10"/>
      <c r="BK443" s="10"/>
      <c r="BS443" s="10"/>
      <c r="BT443" s="10"/>
      <c r="BW443" s="10"/>
    </row>
    <row r="444">
      <c r="A444" s="10"/>
      <c r="B444" s="10"/>
      <c r="C444" s="10"/>
      <c r="D444" s="10"/>
      <c r="E444" s="10"/>
      <c r="F444" s="10"/>
      <c r="G444" s="10"/>
      <c r="H444" s="10"/>
      <c r="I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U444" s="10"/>
      <c r="AV444" s="10"/>
      <c r="AW444" s="143"/>
      <c r="BE444" s="10"/>
      <c r="BF444" s="10"/>
      <c r="BG444" s="10"/>
      <c r="BH444" s="10"/>
      <c r="BI444" s="10"/>
      <c r="BJ444" s="10"/>
      <c r="BK444" s="10"/>
      <c r="BS444" s="10"/>
      <c r="BT444" s="10"/>
      <c r="BW444" s="10"/>
    </row>
    <row r="445">
      <c r="A445" s="10"/>
      <c r="B445" s="10"/>
      <c r="C445" s="10"/>
      <c r="D445" s="10"/>
      <c r="E445" s="10"/>
      <c r="F445" s="10"/>
      <c r="G445" s="10"/>
      <c r="H445" s="10"/>
      <c r="I445" s="10"/>
      <c r="P445" s="10"/>
      <c r="T445" s="10"/>
      <c r="U445" s="10"/>
      <c r="V445" s="10"/>
      <c r="W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U445" s="10"/>
      <c r="AV445" s="10"/>
      <c r="AW445" s="143"/>
      <c r="BE445" s="10"/>
      <c r="BF445" s="10"/>
      <c r="BG445" s="10"/>
      <c r="BH445" s="10"/>
      <c r="BI445" s="10"/>
      <c r="BJ445" s="10"/>
      <c r="BK445" s="10"/>
      <c r="BS445" s="10"/>
      <c r="BT445" s="10"/>
      <c r="BW445" s="10"/>
    </row>
    <row r="446">
      <c r="A446" s="10"/>
      <c r="B446" s="10"/>
      <c r="C446" s="10"/>
      <c r="D446" s="10"/>
      <c r="E446" s="10"/>
      <c r="F446" s="10"/>
      <c r="G446" s="10"/>
      <c r="H446" s="10"/>
      <c r="I446" s="10"/>
      <c r="T446" s="10"/>
      <c r="U446" s="10"/>
      <c r="V446" s="10"/>
      <c r="W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U446" s="10"/>
      <c r="AV446" s="10"/>
      <c r="AW446" s="143"/>
      <c r="BE446" s="10"/>
      <c r="BF446" s="10"/>
      <c r="BG446" s="10"/>
      <c r="BH446" s="10"/>
      <c r="BI446" s="10"/>
      <c r="BJ446" s="10"/>
      <c r="BK446" s="10"/>
      <c r="BS446" s="10"/>
      <c r="BT446" s="10"/>
      <c r="BW446" s="10"/>
    </row>
    <row r="447">
      <c r="A447" s="10"/>
      <c r="B447" s="10"/>
      <c r="C447" s="10"/>
      <c r="D447" s="10"/>
      <c r="E447" s="10"/>
      <c r="F447" s="10"/>
      <c r="G447" s="10"/>
      <c r="H447" s="10"/>
      <c r="I447" s="10"/>
      <c r="P447" s="10"/>
      <c r="T447" s="10"/>
      <c r="U447" s="10"/>
      <c r="V447" s="10"/>
      <c r="W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U447" s="10"/>
      <c r="AV447" s="10"/>
      <c r="AW447" s="143"/>
      <c r="BE447" s="10"/>
      <c r="BF447" s="10"/>
      <c r="BG447" s="10"/>
      <c r="BH447" s="10"/>
      <c r="BI447" s="10"/>
      <c r="BJ447" s="10"/>
      <c r="BK447" s="10"/>
      <c r="BS447" s="10"/>
      <c r="BT447" s="10"/>
      <c r="BW447" s="10"/>
    </row>
    <row r="448">
      <c r="A448" s="10"/>
      <c r="B448" s="10"/>
      <c r="C448" s="10"/>
      <c r="D448" s="10"/>
      <c r="E448" s="10"/>
      <c r="F448" s="10"/>
      <c r="G448" s="10"/>
      <c r="H448" s="10"/>
      <c r="I448" s="10"/>
      <c r="P448" s="10"/>
      <c r="T448" s="10"/>
      <c r="U448" s="10"/>
      <c r="V448" s="10"/>
      <c r="W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U448" s="10"/>
      <c r="AV448" s="10"/>
      <c r="AW448" s="143"/>
      <c r="BE448" s="10"/>
      <c r="BF448" s="10"/>
      <c r="BG448" s="10"/>
      <c r="BH448" s="10"/>
      <c r="BI448" s="10"/>
      <c r="BJ448" s="10"/>
      <c r="BK448" s="10"/>
      <c r="BS448" s="10"/>
      <c r="BT448" s="10"/>
      <c r="BW448" s="10"/>
    </row>
    <row r="449">
      <c r="A449" s="10"/>
      <c r="B449" s="10"/>
      <c r="C449" s="10"/>
      <c r="D449" s="10"/>
      <c r="E449" s="10"/>
      <c r="F449" s="10"/>
      <c r="G449" s="10"/>
      <c r="H449" s="10"/>
      <c r="I449" s="10"/>
      <c r="P449" s="10"/>
      <c r="T449" s="10"/>
      <c r="U449" s="10"/>
      <c r="V449" s="10"/>
      <c r="W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U449" s="10"/>
      <c r="AV449" s="10"/>
      <c r="AW449" s="143"/>
      <c r="BE449" s="10"/>
      <c r="BF449" s="10"/>
      <c r="BG449" s="10"/>
      <c r="BH449" s="10"/>
      <c r="BI449" s="10"/>
      <c r="BJ449" s="10"/>
      <c r="BK449" s="10"/>
      <c r="BS449" s="10"/>
      <c r="BT449" s="10"/>
      <c r="BW449" s="10"/>
    </row>
    <row r="450">
      <c r="A450" s="10"/>
      <c r="B450" s="10"/>
      <c r="C450" s="10"/>
      <c r="D450" s="10"/>
      <c r="E450" s="10"/>
      <c r="F450" s="10"/>
      <c r="G450" s="10"/>
      <c r="H450" s="10"/>
      <c r="I450" s="10"/>
      <c r="T450" s="10"/>
      <c r="U450" s="10"/>
      <c r="V450" s="10"/>
      <c r="W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U450" s="10"/>
      <c r="AV450" s="10"/>
      <c r="AW450" s="143"/>
      <c r="BE450" s="10"/>
      <c r="BF450" s="10"/>
      <c r="BG450" s="10"/>
      <c r="BH450" s="10"/>
      <c r="BI450" s="10"/>
      <c r="BJ450" s="10"/>
      <c r="BK450" s="10"/>
      <c r="BS450" s="10"/>
      <c r="BT450" s="10"/>
      <c r="BW450" s="10"/>
    </row>
    <row r="451">
      <c r="A451" s="10"/>
      <c r="B451" s="10"/>
      <c r="C451" s="10"/>
      <c r="D451" s="10"/>
      <c r="E451" s="10"/>
      <c r="F451" s="10"/>
      <c r="G451" s="10"/>
      <c r="H451" s="10"/>
      <c r="I451" s="10"/>
      <c r="T451" s="10"/>
      <c r="U451" s="10"/>
      <c r="V451" s="10"/>
      <c r="W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U451" s="10"/>
      <c r="AV451" s="10"/>
      <c r="AW451" s="143"/>
      <c r="BE451" s="10"/>
      <c r="BF451" s="10"/>
      <c r="BG451" s="10"/>
      <c r="BH451" s="10"/>
      <c r="BI451" s="10"/>
      <c r="BJ451" s="10"/>
      <c r="BK451" s="10"/>
      <c r="BS451" s="10"/>
      <c r="BT451" s="10"/>
      <c r="BW451" s="10"/>
    </row>
    <row r="452">
      <c r="A452" s="10"/>
      <c r="B452" s="10"/>
      <c r="C452" s="10"/>
      <c r="D452" s="10"/>
      <c r="E452" s="10"/>
      <c r="F452" s="10"/>
      <c r="G452" s="10"/>
      <c r="H452" s="10"/>
      <c r="I452" s="10"/>
      <c r="T452" s="10"/>
      <c r="U452" s="10"/>
      <c r="V452" s="10"/>
      <c r="W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U452" s="10"/>
      <c r="AV452" s="10"/>
      <c r="AW452" s="143"/>
      <c r="BE452" s="10"/>
      <c r="BF452" s="10"/>
      <c r="BG452" s="10"/>
      <c r="BH452" s="10"/>
      <c r="BI452" s="10"/>
      <c r="BJ452" s="10"/>
      <c r="BK452" s="10"/>
      <c r="BS452" s="10"/>
      <c r="BT452" s="10"/>
      <c r="BW452" s="10"/>
    </row>
    <row r="453">
      <c r="A453" s="10"/>
      <c r="B453" s="10"/>
      <c r="C453" s="10"/>
      <c r="D453" s="10"/>
      <c r="E453" s="10"/>
      <c r="F453" s="10"/>
      <c r="G453" s="10"/>
      <c r="H453" s="10"/>
      <c r="I453" s="10"/>
      <c r="T453" s="10"/>
      <c r="U453" s="10"/>
      <c r="V453" s="10"/>
      <c r="W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U453" s="10"/>
      <c r="AV453" s="10"/>
      <c r="AW453" s="143"/>
      <c r="BE453" s="10"/>
      <c r="BF453" s="10"/>
      <c r="BG453" s="10"/>
      <c r="BH453" s="10"/>
      <c r="BI453" s="10"/>
      <c r="BJ453" s="10"/>
      <c r="BK453" s="10"/>
      <c r="BS453" s="10"/>
      <c r="BT453" s="10"/>
      <c r="BW453" s="10"/>
    </row>
    <row r="454">
      <c r="A454" s="10"/>
      <c r="B454" s="10"/>
      <c r="C454" s="10"/>
      <c r="D454" s="10"/>
      <c r="E454" s="10"/>
      <c r="F454" s="10"/>
      <c r="G454" s="10"/>
      <c r="H454" s="10"/>
      <c r="I454" s="10"/>
      <c r="P454" s="10"/>
      <c r="T454" s="10"/>
      <c r="U454" s="10"/>
      <c r="V454" s="10"/>
      <c r="W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U454" s="10"/>
      <c r="AV454" s="10"/>
      <c r="AW454" s="143"/>
      <c r="BE454" s="10"/>
      <c r="BF454" s="10"/>
      <c r="BG454" s="10"/>
      <c r="BH454" s="10"/>
      <c r="BI454" s="10"/>
      <c r="BJ454" s="10"/>
      <c r="BK454" s="10"/>
      <c r="BS454" s="10"/>
      <c r="BT454" s="10"/>
      <c r="BW454" s="10"/>
    </row>
    <row r="455">
      <c r="A455" s="10"/>
      <c r="B455" s="10"/>
      <c r="C455" s="10"/>
      <c r="D455" s="10"/>
      <c r="E455" s="10"/>
      <c r="F455" s="10"/>
      <c r="G455" s="10"/>
      <c r="H455" s="10"/>
      <c r="I455" s="10"/>
      <c r="P455" s="10"/>
      <c r="T455" s="10"/>
      <c r="U455" s="10"/>
      <c r="V455" s="10"/>
      <c r="W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U455" s="10"/>
      <c r="AV455" s="10"/>
      <c r="AW455" s="143"/>
      <c r="BE455" s="10"/>
      <c r="BF455" s="10"/>
      <c r="BG455" s="10"/>
      <c r="BH455" s="10"/>
      <c r="BI455" s="10"/>
      <c r="BJ455" s="10"/>
      <c r="BK455" s="10"/>
      <c r="BS455" s="10"/>
      <c r="BT455" s="10"/>
      <c r="BW455" s="10"/>
    </row>
    <row r="456">
      <c r="A456" s="10"/>
      <c r="B456" s="10"/>
      <c r="C456" s="10"/>
      <c r="D456" s="10"/>
      <c r="E456" s="10"/>
      <c r="F456" s="10"/>
      <c r="G456" s="10"/>
      <c r="H456" s="10"/>
      <c r="I456" s="10"/>
      <c r="P456" s="10"/>
      <c r="T456" s="10"/>
      <c r="U456" s="10"/>
      <c r="V456" s="10"/>
      <c r="W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U456" s="10"/>
      <c r="AV456" s="10"/>
      <c r="AW456" s="143"/>
      <c r="BE456" s="10"/>
      <c r="BF456" s="10"/>
      <c r="BG456" s="10"/>
      <c r="BH456" s="10"/>
      <c r="BI456" s="10"/>
      <c r="BJ456" s="10"/>
      <c r="BK456" s="10"/>
      <c r="BS456" s="10"/>
      <c r="BT456" s="10"/>
      <c r="BW456" s="10"/>
    </row>
    <row r="457">
      <c r="A457" s="10"/>
      <c r="B457" s="10"/>
      <c r="C457" s="10"/>
      <c r="D457" s="10"/>
      <c r="E457" s="10"/>
      <c r="F457" s="10"/>
      <c r="G457" s="10"/>
      <c r="H457" s="10"/>
      <c r="I457" s="10"/>
      <c r="T457" s="10"/>
      <c r="U457" s="10"/>
      <c r="V457" s="10"/>
      <c r="W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U457" s="10"/>
      <c r="AV457" s="10"/>
      <c r="AW457" s="143"/>
      <c r="AX457" s="10"/>
      <c r="AY457" s="10"/>
      <c r="BE457" s="10"/>
      <c r="BF457" s="10"/>
      <c r="BG457" s="10"/>
      <c r="BH457" s="10"/>
      <c r="BI457" s="10"/>
      <c r="BJ457" s="10"/>
      <c r="BK457" s="10"/>
      <c r="BS457" s="10"/>
      <c r="BT457" s="10"/>
      <c r="BW457" s="10"/>
    </row>
    <row r="458">
      <c r="A458" s="10"/>
      <c r="B458" s="10"/>
      <c r="C458" s="10"/>
      <c r="D458" s="10"/>
      <c r="E458" s="10"/>
      <c r="F458" s="10"/>
      <c r="G458" s="10"/>
      <c r="H458" s="10"/>
      <c r="I458" s="10"/>
      <c r="T458" s="10"/>
      <c r="U458" s="10"/>
      <c r="V458" s="10"/>
      <c r="W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U458" s="10"/>
      <c r="AV458" s="10"/>
      <c r="AW458" s="143"/>
      <c r="BE458" s="10"/>
      <c r="BF458" s="10"/>
      <c r="BG458" s="10"/>
      <c r="BH458" s="10"/>
      <c r="BI458" s="10"/>
      <c r="BJ458" s="10"/>
      <c r="BK458" s="10"/>
      <c r="BS458" s="10"/>
      <c r="BT458" s="10"/>
      <c r="BW458" s="10"/>
    </row>
    <row r="459">
      <c r="A459" s="10"/>
      <c r="B459" s="10"/>
      <c r="C459" s="10"/>
      <c r="D459" s="10"/>
      <c r="E459" s="10"/>
      <c r="F459" s="10"/>
      <c r="G459" s="10"/>
      <c r="H459" s="10"/>
      <c r="I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U459" s="10"/>
      <c r="AV459" s="10"/>
      <c r="AW459" s="143"/>
      <c r="BE459" s="10"/>
      <c r="BF459" s="10"/>
      <c r="BG459" s="10"/>
      <c r="BH459" s="10"/>
      <c r="BI459" s="10"/>
      <c r="BJ459" s="10"/>
      <c r="BK459" s="10"/>
      <c r="BS459" s="10"/>
      <c r="BT459" s="10"/>
      <c r="BW459" s="10"/>
    </row>
    <row r="460">
      <c r="A460" s="10"/>
      <c r="B460" s="10"/>
      <c r="C460" s="10"/>
      <c r="D460" s="10"/>
      <c r="E460" s="10"/>
      <c r="F460" s="10"/>
      <c r="G460" s="10"/>
      <c r="H460" s="10"/>
      <c r="I460" s="10"/>
      <c r="T460" s="10"/>
      <c r="U460" s="10"/>
      <c r="V460" s="10"/>
      <c r="W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U460" s="10"/>
      <c r="AV460" s="10"/>
      <c r="AW460" s="143"/>
      <c r="BE460" s="10"/>
      <c r="BF460" s="10"/>
      <c r="BG460" s="10"/>
      <c r="BH460" s="10"/>
      <c r="BI460" s="10"/>
      <c r="BJ460" s="10"/>
      <c r="BK460" s="10"/>
      <c r="BS460" s="10"/>
      <c r="BT460" s="10"/>
      <c r="BW460" s="10"/>
    </row>
    <row r="461">
      <c r="A461" s="10"/>
      <c r="B461" s="10"/>
      <c r="C461" s="10"/>
      <c r="D461" s="10"/>
      <c r="E461" s="10"/>
      <c r="F461" s="10"/>
      <c r="G461" s="10"/>
      <c r="H461" s="10"/>
      <c r="I461" s="10"/>
      <c r="T461" s="10"/>
      <c r="U461" s="10"/>
      <c r="V461" s="10"/>
      <c r="W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U461" s="10"/>
      <c r="AV461" s="10"/>
      <c r="AW461" s="143"/>
      <c r="BE461" s="10"/>
      <c r="BF461" s="10"/>
      <c r="BG461" s="10"/>
      <c r="BH461" s="10"/>
      <c r="BI461" s="10"/>
      <c r="BJ461" s="10"/>
      <c r="BK461" s="10"/>
      <c r="BS461" s="10"/>
      <c r="BT461" s="10"/>
      <c r="BW461" s="10"/>
    </row>
    <row r="462">
      <c r="A462" s="10"/>
      <c r="B462" s="10"/>
      <c r="C462" s="10"/>
      <c r="D462" s="10"/>
      <c r="E462" s="10"/>
      <c r="F462" s="10"/>
      <c r="G462" s="10"/>
      <c r="H462" s="10"/>
      <c r="I462" s="10"/>
      <c r="T462" s="10"/>
      <c r="U462" s="10"/>
      <c r="V462" s="10"/>
      <c r="W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U462" s="10"/>
      <c r="AV462" s="10"/>
      <c r="AW462" s="143"/>
      <c r="BE462" s="10"/>
      <c r="BF462" s="10"/>
      <c r="BG462" s="10"/>
      <c r="BH462" s="10"/>
      <c r="BI462" s="10"/>
      <c r="BJ462" s="10"/>
      <c r="BK462" s="10"/>
      <c r="BS462" s="10"/>
      <c r="BT462" s="10"/>
      <c r="BW462" s="10"/>
    </row>
    <row r="463">
      <c r="A463" s="10"/>
      <c r="B463" s="10"/>
      <c r="C463" s="10"/>
      <c r="D463" s="10"/>
      <c r="E463" s="10"/>
      <c r="F463" s="10"/>
      <c r="G463" s="10"/>
      <c r="H463" s="10"/>
      <c r="I463" s="10"/>
      <c r="T463" s="10"/>
      <c r="U463" s="10"/>
      <c r="V463" s="10"/>
      <c r="W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U463" s="10"/>
      <c r="AV463" s="10"/>
      <c r="AW463" s="143"/>
      <c r="BE463" s="10"/>
      <c r="BF463" s="10"/>
      <c r="BG463" s="10"/>
      <c r="BH463" s="10"/>
      <c r="BI463" s="10"/>
      <c r="BJ463" s="10"/>
      <c r="BK463" s="10"/>
      <c r="BS463" s="10"/>
      <c r="BT463" s="10"/>
      <c r="BW463" s="10"/>
    </row>
    <row r="464">
      <c r="A464" s="10"/>
      <c r="B464" s="10"/>
      <c r="C464" s="10"/>
      <c r="D464" s="10"/>
      <c r="E464" s="10"/>
      <c r="F464" s="10"/>
      <c r="G464" s="10"/>
      <c r="H464" s="10"/>
      <c r="I464" s="10"/>
      <c r="T464" s="10"/>
      <c r="U464" s="10"/>
      <c r="V464" s="10"/>
      <c r="W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U464" s="10"/>
      <c r="AV464" s="10"/>
      <c r="AW464" s="143"/>
      <c r="BE464" s="10"/>
      <c r="BF464" s="10"/>
      <c r="BG464" s="10"/>
      <c r="BH464" s="10"/>
      <c r="BI464" s="10"/>
      <c r="BJ464" s="10"/>
      <c r="BK464" s="10"/>
      <c r="BS464" s="10"/>
      <c r="BT464" s="10"/>
      <c r="BW464" s="10"/>
    </row>
    <row r="465">
      <c r="A465" s="10"/>
      <c r="B465" s="10"/>
      <c r="C465" s="10"/>
      <c r="D465" s="10"/>
      <c r="E465" s="10"/>
      <c r="F465" s="10"/>
      <c r="G465" s="10"/>
      <c r="H465" s="10"/>
      <c r="I465" s="10"/>
      <c r="T465" s="10"/>
      <c r="U465" s="10"/>
      <c r="V465" s="10"/>
      <c r="W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U465" s="10"/>
      <c r="AV465" s="10"/>
      <c r="AW465" s="143"/>
      <c r="BE465" s="10"/>
      <c r="BF465" s="10"/>
      <c r="BG465" s="10"/>
      <c r="BH465" s="10"/>
      <c r="BI465" s="10"/>
      <c r="BJ465" s="10"/>
      <c r="BK465" s="10"/>
      <c r="BS465" s="10"/>
      <c r="BT465" s="10"/>
      <c r="BW465" s="10"/>
    </row>
    <row r="466">
      <c r="A466" s="10"/>
      <c r="B466" s="10"/>
      <c r="C466" s="10"/>
      <c r="D466" s="10"/>
      <c r="E466" s="10"/>
      <c r="F466" s="10"/>
      <c r="G466" s="10"/>
      <c r="H466" s="10"/>
      <c r="I466" s="10"/>
      <c r="T466" s="10"/>
      <c r="U466" s="10"/>
      <c r="V466" s="10"/>
      <c r="W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U466" s="10"/>
      <c r="AV466" s="10"/>
      <c r="AW466" s="143"/>
      <c r="BE466" s="10"/>
      <c r="BF466" s="10"/>
      <c r="BG466" s="10"/>
      <c r="BH466" s="10"/>
      <c r="BI466" s="10"/>
      <c r="BJ466" s="10"/>
      <c r="BK466" s="10"/>
      <c r="BS466" s="10"/>
      <c r="BT466" s="10"/>
      <c r="BW466" s="10"/>
    </row>
    <row r="467">
      <c r="A467" s="10"/>
      <c r="B467" s="10"/>
      <c r="C467" s="10"/>
      <c r="D467" s="10"/>
      <c r="E467" s="10"/>
      <c r="F467" s="10"/>
      <c r="G467" s="10"/>
      <c r="H467" s="10"/>
      <c r="I467" s="10"/>
      <c r="T467" s="10"/>
      <c r="U467" s="10"/>
      <c r="V467" s="10"/>
      <c r="W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U467" s="10"/>
      <c r="AV467" s="10"/>
      <c r="AW467" s="143"/>
      <c r="BS467" s="10"/>
      <c r="BT467" s="10"/>
      <c r="BW467" s="10"/>
    </row>
    <row r="468">
      <c r="A468" s="10"/>
      <c r="B468" s="10"/>
      <c r="C468" s="10"/>
      <c r="D468" s="10"/>
      <c r="E468" s="10"/>
      <c r="F468" s="10"/>
      <c r="G468" s="10"/>
      <c r="H468" s="10"/>
      <c r="I468" s="10"/>
      <c r="T468" s="10"/>
      <c r="U468" s="10"/>
      <c r="V468" s="10"/>
      <c r="W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U468" s="10"/>
      <c r="AV468" s="10"/>
      <c r="AW468" s="143"/>
      <c r="BE468" s="10"/>
      <c r="BF468" s="10"/>
      <c r="BG468" s="10"/>
      <c r="BH468" s="10"/>
      <c r="BI468" s="10"/>
      <c r="BJ468" s="10"/>
      <c r="BK468" s="10"/>
      <c r="BS468" s="10"/>
      <c r="BT468" s="10"/>
      <c r="BW468" s="10"/>
    </row>
    <row r="469">
      <c r="A469" s="10"/>
      <c r="B469" s="10"/>
      <c r="C469" s="10"/>
      <c r="D469" s="10"/>
      <c r="E469" s="10"/>
      <c r="F469" s="10"/>
      <c r="G469" s="10"/>
      <c r="H469" s="10"/>
      <c r="I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U469" s="10"/>
      <c r="AV469" s="10"/>
      <c r="AW469" s="143"/>
      <c r="BS469" s="10"/>
      <c r="BT469" s="10"/>
      <c r="BW469" s="10"/>
    </row>
    <row r="470">
      <c r="A470" s="10"/>
      <c r="B470" s="10"/>
      <c r="C470" s="10"/>
      <c r="D470" s="10"/>
      <c r="E470" s="10"/>
      <c r="F470" s="10"/>
      <c r="G470" s="10"/>
      <c r="H470" s="10"/>
      <c r="I470" s="10"/>
      <c r="T470" s="10"/>
      <c r="U470" s="10"/>
      <c r="V470" s="10"/>
      <c r="W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U470" s="10"/>
      <c r="AV470" s="10"/>
      <c r="AW470" s="143"/>
      <c r="BE470" s="10"/>
      <c r="BF470" s="10"/>
      <c r="BG470" s="10"/>
      <c r="BH470" s="10"/>
      <c r="BI470" s="10"/>
      <c r="BJ470" s="10"/>
      <c r="BK470" s="10"/>
      <c r="BS470" s="10"/>
      <c r="BT470" s="10"/>
      <c r="BW470" s="10"/>
    </row>
    <row r="471">
      <c r="A471" s="10"/>
      <c r="B471" s="10"/>
      <c r="C471" s="10"/>
      <c r="D471" s="10"/>
      <c r="E471" s="10"/>
      <c r="F471" s="10"/>
      <c r="G471" s="10"/>
      <c r="H471" s="10"/>
      <c r="I471" s="10"/>
      <c r="T471" s="10"/>
      <c r="U471" s="10"/>
      <c r="V471" s="10"/>
      <c r="W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U471" s="10"/>
      <c r="AV471" s="10"/>
      <c r="AW471" s="143"/>
      <c r="BE471" s="10"/>
      <c r="BF471" s="10"/>
      <c r="BG471" s="10"/>
      <c r="BH471" s="10"/>
      <c r="BI471" s="10"/>
      <c r="BJ471" s="10"/>
      <c r="BK471" s="10"/>
      <c r="BS471" s="10"/>
      <c r="BT471" s="10"/>
      <c r="BW471" s="10"/>
    </row>
    <row r="472">
      <c r="A472" s="10"/>
      <c r="B472" s="10"/>
      <c r="C472" s="10"/>
      <c r="D472" s="10"/>
      <c r="E472" s="10"/>
      <c r="F472" s="10"/>
      <c r="G472" s="10"/>
      <c r="H472" s="10"/>
      <c r="I472" s="10"/>
      <c r="T472" s="10"/>
      <c r="U472" s="10"/>
      <c r="V472" s="10"/>
      <c r="W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U472" s="10"/>
      <c r="AV472" s="10"/>
      <c r="AW472" s="143"/>
      <c r="BE472" s="10"/>
      <c r="BF472" s="10"/>
      <c r="BG472" s="10"/>
      <c r="BH472" s="10"/>
      <c r="BI472" s="10"/>
      <c r="BJ472" s="10"/>
      <c r="BK472" s="10"/>
      <c r="BS472" s="10"/>
      <c r="BT472" s="10"/>
      <c r="BW472" s="10"/>
    </row>
    <row r="473">
      <c r="A473" s="10"/>
      <c r="B473" s="10"/>
      <c r="C473" s="10"/>
      <c r="D473" s="10"/>
      <c r="E473" s="10"/>
      <c r="F473" s="10"/>
      <c r="G473" s="10"/>
      <c r="H473" s="10"/>
      <c r="I473" s="10"/>
      <c r="T473" s="10"/>
      <c r="U473" s="10"/>
      <c r="V473" s="10"/>
      <c r="W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U473" s="10"/>
      <c r="AV473" s="10"/>
      <c r="AW473" s="143"/>
      <c r="BE473" s="10"/>
      <c r="BF473" s="10"/>
      <c r="BG473" s="10"/>
      <c r="BH473" s="10"/>
      <c r="BI473" s="10"/>
      <c r="BJ473" s="10"/>
      <c r="BK473" s="10"/>
      <c r="BS473" s="10"/>
      <c r="BT473" s="10"/>
      <c r="BW473" s="10"/>
    </row>
    <row r="474">
      <c r="A474" s="10"/>
      <c r="B474" s="10"/>
      <c r="C474" s="10"/>
      <c r="D474" s="10"/>
      <c r="E474" s="10"/>
      <c r="F474" s="10"/>
      <c r="G474" s="10"/>
      <c r="H474" s="10"/>
      <c r="I474" s="10"/>
      <c r="T474" s="10"/>
      <c r="U474" s="10"/>
      <c r="V474" s="10"/>
      <c r="W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U474" s="10"/>
      <c r="AV474" s="10"/>
      <c r="AW474" s="143"/>
      <c r="BE474" s="10"/>
      <c r="BF474" s="10"/>
      <c r="BG474" s="10"/>
      <c r="BH474" s="10"/>
      <c r="BI474" s="10"/>
      <c r="BJ474" s="10"/>
      <c r="BK474" s="10"/>
      <c r="BS474" s="10"/>
      <c r="BT474" s="10"/>
      <c r="BW474" s="10"/>
    </row>
    <row r="475">
      <c r="A475" s="10"/>
      <c r="B475" s="10"/>
      <c r="C475" s="10"/>
      <c r="D475" s="10"/>
      <c r="E475" s="10"/>
      <c r="F475" s="10"/>
      <c r="G475" s="10"/>
      <c r="H475" s="10"/>
      <c r="I475" s="10"/>
      <c r="T475" s="10"/>
      <c r="U475" s="10"/>
      <c r="V475" s="10"/>
      <c r="W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U475" s="10"/>
      <c r="AV475" s="10"/>
      <c r="AW475" s="143"/>
      <c r="BE475" s="10"/>
      <c r="BF475" s="10"/>
      <c r="BG475" s="10"/>
      <c r="BH475" s="10"/>
      <c r="BI475" s="10"/>
      <c r="BJ475" s="10"/>
      <c r="BK475" s="10"/>
      <c r="BS475" s="10"/>
      <c r="BT475" s="10"/>
      <c r="BW475" s="10"/>
    </row>
    <row r="476">
      <c r="A476" s="10"/>
      <c r="B476" s="10"/>
      <c r="C476" s="10"/>
      <c r="D476" s="10"/>
      <c r="E476" s="10"/>
      <c r="F476" s="10"/>
      <c r="G476" s="10"/>
      <c r="H476" s="10"/>
      <c r="I476" s="10"/>
      <c r="P476" s="10"/>
      <c r="T476" s="10"/>
      <c r="U476" s="10"/>
      <c r="V476" s="10"/>
      <c r="W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U476" s="10"/>
      <c r="AV476" s="10"/>
      <c r="AW476" s="143"/>
      <c r="BE476" s="10"/>
      <c r="BF476" s="10"/>
      <c r="BG476" s="10"/>
      <c r="BH476" s="10"/>
      <c r="BI476" s="10"/>
      <c r="BJ476" s="10"/>
      <c r="BK476" s="10"/>
      <c r="BS476" s="10"/>
      <c r="BT476" s="10"/>
      <c r="BW476" s="10"/>
    </row>
    <row r="477">
      <c r="A477" s="10"/>
      <c r="B477" s="10"/>
      <c r="C477" s="10"/>
      <c r="D477" s="10"/>
      <c r="E477" s="10"/>
      <c r="F477" s="10"/>
      <c r="G477" s="10"/>
      <c r="H477" s="10"/>
      <c r="I477" s="10"/>
      <c r="T477" s="10"/>
      <c r="U477" s="10"/>
      <c r="V477" s="10"/>
      <c r="W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U477" s="10"/>
      <c r="AV477" s="10"/>
      <c r="AW477" s="143"/>
      <c r="BE477" s="10"/>
      <c r="BF477" s="10"/>
      <c r="BG477" s="10"/>
      <c r="BH477" s="10"/>
      <c r="BI477" s="10"/>
      <c r="BJ477" s="10"/>
      <c r="BK477" s="10"/>
      <c r="BS477" s="10"/>
      <c r="BT477" s="10"/>
      <c r="BW477" s="10"/>
    </row>
    <row r="478">
      <c r="A478" s="10"/>
      <c r="B478" s="10"/>
      <c r="C478" s="10"/>
      <c r="D478" s="10"/>
      <c r="E478" s="10"/>
      <c r="F478" s="10"/>
      <c r="G478" s="10"/>
      <c r="H478" s="10"/>
      <c r="I478" s="10"/>
      <c r="T478" s="10"/>
      <c r="U478" s="10"/>
      <c r="V478" s="10"/>
      <c r="W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U478" s="10"/>
      <c r="AV478" s="10"/>
      <c r="AW478" s="143"/>
      <c r="BS478" s="10"/>
      <c r="BT478" s="10"/>
      <c r="BW478" s="10"/>
    </row>
    <row r="479">
      <c r="A479" s="10"/>
      <c r="B479" s="10"/>
      <c r="C479" s="10"/>
      <c r="D479" s="10"/>
      <c r="E479" s="10"/>
      <c r="F479" s="10"/>
      <c r="G479" s="10"/>
      <c r="H479" s="10"/>
      <c r="I479" s="10"/>
      <c r="T479" s="10"/>
      <c r="U479" s="10"/>
      <c r="V479" s="10"/>
      <c r="W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U479" s="10"/>
      <c r="AV479" s="10"/>
      <c r="AW479" s="143"/>
      <c r="BS479" s="10"/>
      <c r="BT479" s="10"/>
      <c r="BW479" s="10"/>
    </row>
    <row r="480">
      <c r="A480" s="10"/>
      <c r="B480" s="10"/>
      <c r="C480" s="10"/>
      <c r="D480" s="10"/>
      <c r="E480" s="10"/>
      <c r="F480" s="10"/>
      <c r="G480" s="10"/>
      <c r="H480" s="10"/>
      <c r="I480" s="10"/>
      <c r="T480" s="10"/>
      <c r="U480" s="10"/>
      <c r="V480" s="10"/>
      <c r="W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U480" s="10"/>
      <c r="AV480" s="10"/>
      <c r="AW480" s="143"/>
      <c r="BS480" s="10"/>
      <c r="BT480" s="10"/>
      <c r="BW480" s="10"/>
    </row>
    <row r="481">
      <c r="A481" s="10"/>
      <c r="B481" s="10"/>
      <c r="C481" s="10"/>
      <c r="D481" s="10"/>
      <c r="E481" s="10"/>
      <c r="F481" s="10"/>
      <c r="G481" s="10"/>
      <c r="H481" s="10"/>
      <c r="I481" s="10"/>
      <c r="T481" s="10"/>
      <c r="U481" s="10"/>
      <c r="V481" s="10"/>
      <c r="W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U481" s="10"/>
      <c r="AV481" s="10"/>
      <c r="AW481" s="143"/>
      <c r="BS481" s="10"/>
      <c r="BT481" s="10"/>
      <c r="BW481" s="10"/>
    </row>
    <row r="482">
      <c r="A482" s="10"/>
      <c r="B482" s="10"/>
      <c r="C482" s="10"/>
      <c r="D482" s="10"/>
      <c r="E482" s="10"/>
      <c r="F482" s="10"/>
      <c r="G482" s="10"/>
      <c r="H482" s="10"/>
      <c r="I482" s="10"/>
      <c r="T482" s="10"/>
      <c r="U482" s="10"/>
      <c r="V482" s="10"/>
      <c r="W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U482" s="10"/>
      <c r="AV482" s="10"/>
      <c r="AW482" s="143"/>
      <c r="BS482" s="10"/>
      <c r="BT482" s="10"/>
      <c r="BW482" s="10"/>
    </row>
    <row r="483">
      <c r="A483" s="10"/>
      <c r="B483" s="10"/>
      <c r="C483" s="10"/>
      <c r="D483" s="10"/>
      <c r="E483" s="10"/>
      <c r="F483" s="10"/>
      <c r="G483" s="10"/>
      <c r="H483" s="10"/>
      <c r="I483" s="10"/>
      <c r="T483" s="10"/>
      <c r="U483" s="10"/>
      <c r="V483" s="10"/>
      <c r="W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U483" s="10"/>
      <c r="AV483" s="10"/>
      <c r="AW483" s="143"/>
      <c r="BS483" s="10"/>
      <c r="BT483" s="10"/>
      <c r="BW483" s="10"/>
    </row>
    <row r="484">
      <c r="A484" s="10"/>
      <c r="B484" s="10"/>
      <c r="C484" s="10"/>
      <c r="D484" s="10"/>
      <c r="E484" s="10"/>
      <c r="F484" s="10"/>
      <c r="G484" s="10"/>
      <c r="H484" s="10"/>
      <c r="I484" s="10"/>
      <c r="T484" s="10"/>
      <c r="U484" s="10"/>
      <c r="V484" s="10"/>
      <c r="W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U484" s="10"/>
      <c r="AV484" s="10"/>
      <c r="AW484" s="143"/>
      <c r="BS484" s="10"/>
      <c r="BT484" s="10"/>
      <c r="BW484" s="10"/>
    </row>
    <row r="485">
      <c r="A485" s="10"/>
      <c r="B485" s="10"/>
      <c r="C485" s="10"/>
      <c r="D485" s="10"/>
      <c r="E485" s="10"/>
      <c r="F485" s="10"/>
      <c r="G485" s="10"/>
      <c r="H485" s="10"/>
      <c r="I485" s="10"/>
      <c r="T485" s="10"/>
      <c r="U485" s="10"/>
      <c r="V485" s="10"/>
      <c r="W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U485" s="10"/>
      <c r="AV485" s="10"/>
      <c r="AW485" s="143"/>
      <c r="BE485" s="10"/>
      <c r="BF485" s="10"/>
      <c r="BG485" s="10"/>
      <c r="BH485" s="10"/>
      <c r="BI485" s="10"/>
      <c r="BJ485" s="10"/>
      <c r="BK485" s="10"/>
      <c r="BS485" s="10"/>
      <c r="BT485" s="10"/>
      <c r="BW485" s="10"/>
    </row>
    <row r="486">
      <c r="A486" s="10"/>
      <c r="B486" s="10"/>
      <c r="C486" s="10"/>
      <c r="D486" s="10"/>
      <c r="E486" s="10"/>
      <c r="F486" s="10"/>
      <c r="G486" s="10"/>
      <c r="H486" s="10"/>
      <c r="I486" s="10"/>
      <c r="T486" s="10"/>
      <c r="U486" s="10"/>
      <c r="V486" s="10"/>
      <c r="W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U486" s="10"/>
      <c r="AV486" s="10"/>
      <c r="AW486" s="143"/>
      <c r="BE486" s="10"/>
      <c r="BF486" s="10"/>
      <c r="BG486" s="10"/>
      <c r="BH486" s="10"/>
      <c r="BI486" s="10"/>
      <c r="BJ486" s="10"/>
      <c r="BK486" s="10"/>
      <c r="BS486" s="10"/>
      <c r="BT486" s="10"/>
      <c r="BW486" s="10"/>
    </row>
    <row r="487">
      <c r="A487" s="10"/>
      <c r="B487" s="10"/>
      <c r="C487" s="10"/>
      <c r="D487" s="10"/>
      <c r="E487" s="10"/>
      <c r="F487" s="10"/>
      <c r="G487" s="10"/>
      <c r="H487" s="10"/>
      <c r="I487" s="10"/>
      <c r="T487" s="10"/>
      <c r="U487" s="10"/>
      <c r="V487" s="10"/>
      <c r="W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U487" s="10"/>
      <c r="AV487" s="10"/>
      <c r="AW487" s="143"/>
      <c r="BE487" s="10"/>
      <c r="BF487" s="10"/>
      <c r="BG487" s="10"/>
      <c r="BH487" s="10"/>
      <c r="BI487" s="10"/>
      <c r="BJ487" s="10"/>
      <c r="BK487" s="10"/>
      <c r="BS487" s="10"/>
      <c r="BT487" s="10"/>
      <c r="BW487" s="10"/>
    </row>
    <row r="488">
      <c r="A488" s="10"/>
      <c r="B488" s="10"/>
      <c r="C488" s="10"/>
      <c r="D488" s="10"/>
      <c r="E488" s="10"/>
      <c r="F488" s="10"/>
      <c r="G488" s="10"/>
      <c r="H488" s="10"/>
      <c r="I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U488" s="10"/>
      <c r="AV488" s="10"/>
      <c r="AW488" s="143"/>
      <c r="BS488" s="10"/>
      <c r="BT488" s="10"/>
      <c r="BW488" s="10"/>
    </row>
    <row r="489">
      <c r="A489" s="10"/>
      <c r="B489" s="10"/>
      <c r="C489" s="10"/>
      <c r="D489" s="10"/>
      <c r="E489" s="10"/>
      <c r="F489" s="10"/>
      <c r="G489" s="10"/>
      <c r="H489" s="10"/>
      <c r="I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U489" s="10"/>
      <c r="AV489" s="10"/>
      <c r="AW489" s="143"/>
      <c r="BS489" s="10"/>
      <c r="BT489" s="10"/>
      <c r="BW489" s="10"/>
    </row>
    <row r="490">
      <c r="A490" s="10"/>
      <c r="B490" s="10"/>
      <c r="C490" s="10"/>
      <c r="D490" s="10"/>
      <c r="E490" s="10"/>
      <c r="F490" s="10"/>
      <c r="G490" s="10"/>
      <c r="H490" s="10"/>
      <c r="T490" s="10"/>
      <c r="U490" s="10"/>
      <c r="V490" s="10"/>
      <c r="W490" s="10"/>
      <c r="Y490" s="10"/>
      <c r="Z490" s="10"/>
      <c r="AA490" s="10"/>
      <c r="AB490" s="10"/>
      <c r="AC490" s="10"/>
      <c r="AD490" s="10"/>
      <c r="AE490" s="10"/>
      <c r="AF490" s="10"/>
      <c r="AG490" s="10"/>
      <c r="AH490" s="10"/>
      <c r="AI490" s="10"/>
      <c r="AJ490" s="10"/>
      <c r="AL490" s="10"/>
      <c r="AM490" s="10"/>
      <c r="AO490" s="10"/>
      <c r="AW490" s="143"/>
      <c r="AY490" s="10"/>
      <c r="BE490" s="10"/>
      <c r="BF490" s="10"/>
      <c r="BG490" s="10"/>
      <c r="BH490" s="10"/>
      <c r="BI490" s="10"/>
      <c r="BJ490" s="10"/>
      <c r="BK490" s="10"/>
      <c r="BS490" s="10"/>
      <c r="BT490" s="10"/>
      <c r="BW490" s="10"/>
    </row>
    <row r="491">
      <c r="A491" s="10"/>
      <c r="B491" s="10"/>
      <c r="C491" s="10"/>
      <c r="D491" s="10"/>
      <c r="E491" s="10"/>
      <c r="F491" s="10"/>
      <c r="G491" s="10"/>
      <c r="H491" s="10"/>
      <c r="T491" s="10"/>
      <c r="U491" s="10"/>
      <c r="V491" s="10"/>
      <c r="W491" s="10"/>
      <c r="Y491" s="10"/>
      <c r="Z491" s="10"/>
      <c r="AA491" s="10"/>
      <c r="AB491" s="10"/>
      <c r="AC491" s="10"/>
      <c r="AD491" s="10"/>
      <c r="AE491" s="10"/>
      <c r="AF491" s="10"/>
      <c r="AG491" s="10"/>
      <c r="AH491" s="10"/>
      <c r="AI491" s="10"/>
      <c r="AJ491" s="10"/>
      <c r="AL491" s="10"/>
      <c r="AM491" s="10"/>
      <c r="AO491" s="10"/>
      <c r="AW491" s="143"/>
      <c r="BE491" s="10"/>
      <c r="BF491" s="10"/>
      <c r="BG491" s="10"/>
      <c r="BH491" s="10"/>
      <c r="BI491" s="10"/>
      <c r="BJ491" s="10"/>
      <c r="BK491" s="10"/>
      <c r="BS491" s="10"/>
      <c r="BT491" s="10"/>
      <c r="BW491" s="10"/>
    </row>
    <row r="492">
      <c r="A492" s="10"/>
      <c r="B492" s="10"/>
      <c r="C492" s="10"/>
      <c r="D492" s="10"/>
      <c r="E492" s="10"/>
      <c r="F492" s="10"/>
      <c r="G492" s="10"/>
      <c r="H492" s="10"/>
      <c r="T492" s="10"/>
      <c r="U492" s="10"/>
      <c r="V492" s="10"/>
      <c r="W492" s="10"/>
      <c r="X492" s="10"/>
      <c r="Y492" s="10"/>
      <c r="Z492" s="10"/>
      <c r="AA492" s="10"/>
      <c r="AB492" s="10"/>
      <c r="AC492" s="10"/>
      <c r="AD492" s="10"/>
      <c r="AE492" s="10"/>
      <c r="AF492" s="10"/>
      <c r="AG492" s="10"/>
      <c r="AH492" s="10"/>
      <c r="AI492" s="10"/>
      <c r="AJ492" s="10"/>
      <c r="AL492" s="10"/>
      <c r="AM492" s="10"/>
      <c r="AO492" s="10"/>
      <c r="AW492" s="143"/>
      <c r="BE492" s="10"/>
      <c r="BF492" s="10"/>
      <c r="BG492" s="10"/>
      <c r="BH492" s="10"/>
      <c r="BI492" s="10"/>
      <c r="BJ492" s="10"/>
      <c r="BK492" s="10"/>
      <c r="BS492" s="10"/>
      <c r="BT492" s="10"/>
      <c r="BW492" s="10"/>
    </row>
    <row r="493">
      <c r="A493" s="10"/>
      <c r="B493" s="10"/>
      <c r="C493" s="10"/>
      <c r="D493" s="10"/>
      <c r="E493" s="10"/>
      <c r="F493" s="10"/>
      <c r="G493" s="10"/>
      <c r="H493" s="10"/>
      <c r="T493" s="10"/>
      <c r="U493" s="10"/>
      <c r="V493" s="10"/>
      <c r="W493" s="10"/>
      <c r="X493" s="10"/>
      <c r="Y493" s="10"/>
      <c r="Z493" s="10"/>
      <c r="AA493" s="10"/>
      <c r="AB493" s="10"/>
      <c r="AC493" s="10"/>
      <c r="AD493" s="10"/>
      <c r="AE493" s="10"/>
      <c r="AF493" s="10"/>
      <c r="AG493" s="10"/>
      <c r="AH493" s="10"/>
      <c r="AI493" s="10"/>
      <c r="AJ493" s="10"/>
      <c r="AL493" s="10"/>
      <c r="AM493" s="10"/>
      <c r="AO493" s="10"/>
      <c r="AW493" s="143"/>
      <c r="BE493" s="10"/>
      <c r="BF493" s="10"/>
      <c r="BG493" s="10"/>
      <c r="BH493" s="10"/>
      <c r="BI493" s="10"/>
      <c r="BJ493" s="10"/>
      <c r="BK493" s="10"/>
      <c r="BS493" s="10"/>
      <c r="BT493" s="10"/>
      <c r="BW493" s="10"/>
    </row>
    <row r="494">
      <c r="A494" s="10"/>
      <c r="B494" s="10"/>
      <c r="C494" s="10"/>
      <c r="D494" s="10"/>
      <c r="E494" s="10"/>
      <c r="F494" s="10"/>
      <c r="G494" s="10"/>
      <c r="H494" s="10"/>
      <c r="T494" s="10"/>
      <c r="U494" s="10"/>
      <c r="V494" s="10"/>
      <c r="W494" s="10"/>
      <c r="Y494" s="10"/>
      <c r="Z494" s="10"/>
      <c r="AA494" s="10"/>
      <c r="AB494" s="10"/>
      <c r="AC494" s="10"/>
      <c r="AD494" s="10"/>
      <c r="AE494" s="10"/>
      <c r="AF494" s="10"/>
      <c r="AG494" s="10"/>
      <c r="AH494" s="10"/>
      <c r="AI494" s="10"/>
      <c r="AJ494" s="10"/>
      <c r="AL494" s="10"/>
      <c r="AM494" s="10"/>
      <c r="AO494" s="10"/>
      <c r="AW494" s="143"/>
      <c r="BE494" s="10"/>
      <c r="BF494" s="10"/>
      <c r="BG494" s="10"/>
      <c r="BH494" s="10"/>
      <c r="BI494" s="10"/>
      <c r="BJ494" s="10"/>
      <c r="BK494" s="10"/>
      <c r="BS494" s="10"/>
      <c r="BT494" s="10"/>
      <c r="BW494" s="10"/>
    </row>
    <row r="495">
      <c r="A495" s="10"/>
      <c r="B495" s="10"/>
      <c r="C495" s="10"/>
      <c r="D495" s="10"/>
      <c r="E495" s="10"/>
      <c r="F495" s="10"/>
      <c r="G495" s="10"/>
      <c r="H495" s="10"/>
      <c r="T495" s="10"/>
      <c r="U495" s="10"/>
      <c r="V495" s="10"/>
      <c r="W495" s="10"/>
      <c r="Y495" s="10"/>
      <c r="Z495" s="10"/>
      <c r="AA495" s="10"/>
      <c r="AB495" s="10"/>
      <c r="AC495" s="10"/>
      <c r="AD495" s="10"/>
      <c r="AE495" s="10"/>
      <c r="AF495" s="10"/>
      <c r="AG495" s="10"/>
      <c r="AH495" s="10"/>
      <c r="AI495" s="10"/>
      <c r="AJ495" s="10"/>
      <c r="AL495" s="10"/>
      <c r="AM495" s="10"/>
      <c r="AO495" s="10"/>
      <c r="AW495" s="143"/>
      <c r="BE495" s="10"/>
      <c r="BF495" s="10"/>
      <c r="BG495" s="10"/>
      <c r="BH495" s="10"/>
      <c r="BI495" s="10"/>
      <c r="BJ495" s="10"/>
      <c r="BK495" s="10"/>
      <c r="BS495" s="10"/>
      <c r="BT495" s="10"/>
      <c r="BW495" s="10"/>
    </row>
    <row r="496">
      <c r="A496" s="10"/>
      <c r="B496" s="10"/>
      <c r="C496" s="10"/>
      <c r="D496" s="10"/>
      <c r="E496" s="10"/>
      <c r="F496" s="10"/>
      <c r="G496" s="10"/>
      <c r="H496" s="10"/>
      <c r="T496" s="10"/>
      <c r="U496" s="10"/>
      <c r="V496" s="10"/>
      <c r="W496" s="10"/>
      <c r="X496" s="10"/>
      <c r="Y496" s="10"/>
      <c r="Z496" s="10"/>
      <c r="AA496" s="10"/>
      <c r="AB496" s="10"/>
      <c r="AC496" s="10"/>
      <c r="AD496" s="10"/>
      <c r="AE496" s="10"/>
      <c r="AF496" s="10"/>
      <c r="AG496" s="10"/>
      <c r="AH496" s="10"/>
      <c r="AI496" s="10"/>
      <c r="AJ496" s="10"/>
      <c r="AL496" s="10"/>
      <c r="AM496" s="10"/>
      <c r="AO496" s="10"/>
      <c r="AW496" s="143"/>
      <c r="BE496" s="10"/>
      <c r="BF496" s="10"/>
      <c r="BG496" s="10"/>
      <c r="BH496" s="10"/>
      <c r="BI496" s="10"/>
      <c r="BJ496" s="10"/>
      <c r="BK496" s="10"/>
      <c r="BS496" s="10"/>
      <c r="BT496" s="10"/>
      <c r="BW496" s="10"/>
    </row>
    <row r="497">
      <c r="A497" s="10"/>
      <c r="B497" s="10"/>
      <c r="C497" s="10"/>
      <c r="D497" s="10"/>
      <c r="E497" s="10"/>
      <c r="F497" s="10"/>
      <c r="G497" s="10"/>
      <c r="H497" s="10"/>
      <c r="T497" s="10"/>
      <c r="U497" s="10"/>
      <c r="V497" s="10"/>
      <c r="W497" s="10"/>
      <c r="Y497" s="10"/>
      <c r="Z497" s="10"/>
      <c r="AA497" s="10"/>
      <c r="AB497" s="10"/>
      <c r="AC497" s="10"/>
      <c r="AD497" s="10"/>
      <c r="AE497" s="10"/>
      <c r="AF497" s="10"/>
      <c r="AG497" s="10"/>
      <c r="AH497" s="10"/>
      <c r="AI497" s="10"/>
      <c r="AJ497" s="10"/>
      <c r="AL497" s="10"/>
      <c r="AM497" s="10"/>
      <c r="AO497" s="10"/>
      <c r="AW497" s="143"/>
      <c r="BE497" s="10"/>
      <c r="BF497" s="10"/>
      <c r="BG497" s="10"/>
      <c r="BH497" s="10"/>
      <c r="BI497" s="10"/>
      <c r="BJ497" s="10"/>
      <c r="BK497" s="10"/>
      <c r="BS497" s="10"/>
      <c r="BT497" s="10"/>
      <c r="BW497" s="10"/>
    </row>
    <row r="498">
      <c r="A498" s="10"/>
      <c r="B498" s="10"/>
      <c r="C498" s="10"/>
      <c r="D498" s="10"/>
      <c r="E498" s="10"/>
      <c r="F498" s="10"/>
      <c r="G498" s="10"/>
      <c r="H498" s="10"/>
      <c r="T498" s="10"/>
      <c r="U498" s="10"/>
      <c r="V498" s="10"/>
      <c r="W498" s="10"/>
      <c r="Y498" s="10"/>
      <c r="Z498" s="10"/>
      <c r="AA498" s="10"/>
      <c r="AB498" s="10"/>
      <c r="AC498" s="10"/>
      <c r="AD498" s="10"/>
      <c r="AE498" s="10"/>
      <c r="AF498" s="10"/>
      <c r="AG498" s="10"/>
      <c r="AH498" s="10"/>
      <c r="AI498" s="10"/>
      <c r="AJ498" s="10"/>
      <c r="AL498" s="10"/>
      <c r="AM498" s="10"/>
      <c r="AO498" s="10"/>
      <c r="AW498" s="143"/>
      <c r="BE498" s="10"/>
      <c r="BF498" s="10"/>
      <c r="BG498" s="10"/>
      <c r="BH498" s="10"/>
      <c r="BI498" s="10"/>
      <c r="BJ498" s="10"/>
      <c r="BK498" s="10"/>
      <c r="BS498" s="10"/>
      <c r="BT498" s="10"/>
      <c r="BW498" s="10"/>
    </row>
    <row r="499">
      <c r="A499" s="10"/>
      <c r="B499" s="10"/>
      <c r="C499" s="10"/>
      <c r="D499" s="10"/>
      <c r="E499" s="10"/>
      <c r="F499" s="10"/>
      <c r="G499" s="10"/>
      <c r="H499" s="10"/>
      <c r="T499" s="10"/>
      <c r="U499" s="10"/>
      <c r="V499" s="10"/>
      <c r="W499" s="10"/>
      <c r="Y499" s="10"/>
      <c r="Z499" s="10"/>
      <c r="AA499" s="10"/>
      <c r="AB499" s="10"/>
      <c r="AC499" s="10"/>
      <c r="AD499" s="10"/>
      <c r="AE499" s="10"/>
      <c r="AF499" s="10"/>
      <c r="AG499" s="10"/>
      <c r="AH499" s="10"/>
      <c r="AI499" s="10"/>
      <c r="AJ499" s="10"/>
      <c r="AL499" s="10"/>
      <c r="AM499" s="10"/>
      <c r="AO499" s="10"/>
      <c r="AW499" s="143"/>
      <c r="BE499" s="10"/>
      <c r="BF499" s="10"/>
      <c r="BG499" s="10"/>
      <c r="BH499" s="10"/>
      <c r="BI499" s="10"/>
      <c r="BJ499" s="10"/>
      <c r="BK499" s="10"/>
      <c r="BS499" s="10"/>
      <c r="BT499" s="10"/>
      <c r="BW499" s="10"/>
    </row>
    <row r="500">
      <c r="A500" s="10"/>
      <c r="B500" s="10"/>
      <c r="C500" s="10"/>
      <c r="D500" s="10"/>
      <c r="E500" s="10"/>
      <c r="F500" s="10"/>
      <c r="G500" s="10"/>
      <c r="H500" s="10"/>
      <c r="T500" s="10"/>
      <c r="U500" s="10"/>
      <c r="V500" s="10"/>
      <c r="W500" s="10"/>
      <c r="Y500" s="10"/>
      <c r="Z500" s="10"/>
      <c r="AA500" s="10"/>
      <c r="AB500" s="10"/>
      <c r="AC500" s="10"/>
      <c r="AD500" s="10"/>
      <c r="AE500" s="10"/>
      <c r="AF500" s="10"/>
      <c r="AG500" s="10"/>
      <c r="AH500" s="10"/>
      <c r="AI500" s="10"/>
      <c r="AJ500" s="10"/>
      <c r="AL500" s="10"/>
      <c r="AM500" s="10"/>
      <c r="AO500" s="10"/>
      <c r="AW500" s="143"/>
      <c r="BE500" s="10"/>
      <c r="BF500" s="10"/>
      <c r="BG500" s="10"/>
      <c r="BH500" s="10"/>
      <c r="BI500" s="10"/>
      <c r="BJ500" s="10"/>
      <c r="BK500" s="10"/>
      <c r="BS500" s="10"/>
      <c r="BT500" s="10"/>
      <c r="BW500" s="10"/>
    </row>
    <row r="501">
      <c r="A501" s="10"/>
      <c r="B501" s="10"/>
      <c r="C501" s="10"/>
      <c r="D501" s="10"/>
      <c r="E501" s="10"/>
      <c r="F501" s="10"/>
      <c r="G501" s="10"/>
      <c r="H501" s="10"/>
      <c r="T501" s="10"/>
      <c r="U501" s="10"/>
      <c r="V501" s="10"/>
      <c r="W501" s="10"/>
      <c r="Y501" s="10"/>
      <c r="Z501" s="10"/>
      <c r="AA501" s="10"/>
      <c r="AB501" s="10"/>
      <c r="AC501" s="10"/>
      <c r="AD501" s="10"/>
      <c r="AE501" s="10"/>
      <c r="AF501" s="10"/>
      <c r="AG501" s="10"/>
      <c r="AH501" s="10"/>
      <c r="AI501" s="10"/>
      <c r="AJ501" s="10"/>
      <c r="AL501" s="10"/>
      <c r="AM501" s="10"/>
      <c r="AO501" s="10"/>
      <c r="AW501" s="143"/>
      <c r="BE501" s="10"/>
      <c r="BF501" s="10"/>
      <c r="BG501" s="10"/>
      <c r="BH501" s="10"/>
      <c r="BI501" s="10"/>
      <c r="BJ501" s="10"/>
      <c r="BK501" s="10"/>
      <c r="BS501" s="10"/>
      <c r="BT501" s="10"/>
      <c r="BW501" s="10"/>
    </row>
    <row r="502">
      <c r="A502" s="10"/>
      <c r="B502" s="10"/>
      <c r="C502" s="10"/>
      <c r="D502" s="10"/>
      <c r="E502" s="10"/>
      <c r="F502" s="10"/>
      <c r="G502" s="10"/>
      <c r="H502" s="10"/>
      <c r="T502" s="10"/>
      <c r="U502" s="10"/>
      <c r="V502" s="10"/>
      <c r="W502" s="10"/>
      <c r="Y502" s="10"/>
      <c r="Z502" s="10"/>
      <c r="AA502" s="10"/>
      <c r="AB502" s="10"/>
      <c r="AC502" s="10"/>
      <c r="AD502" s="10"/>
      <c r="AE502" s="10"/>
      <c r="AF502" s="10"/>
      <c r="AG502" s="10"/>
      <c r="AH502" s="10"/>
      <c r="AI502" s="10"/>
      <c r="AJ502" s="10"/>
      <c r="AL502" s="10"/>
      <c r="AM502" s="10"/>
      <c r="AO502" s="10"/>
      <c r="AW502" s="143"/>
      <c r="BE502" s="10"/>
      <c r="BF502" s="10"/>
      <c r="BG502" s="10"/>
      <c r="BH502" s="10"/>
      <c r="BI502" s="10"/>
      <c r="BJ502" s="10"/>
      <c r="BK502" s="10"/>
      <c r="BS502" s="10"/>
      <c r="BT502" s="10"/>
      <c r="BW502" s="10"/>
    </row>
    <row r="503">
      <c r="A503" s="10"/>
      <c r="B503" s="10"/>
      <c r="C503" s="10"/>
      <c r="D503" s="10"/>
      <c r="E503" s="10"/>
      <c r="F503" s="10"/>
      <c r="G503" s="10"/>
      <c r="H503" s="10"/>
      <c r="T503" s="10"/>
      <c r="U503" s="10"/>
      <c r="V503" s="10"/>
      <c r="W503" s="10"/>
      <c r="Y503" s="10"/>
      <c r="Z503" s="10"/>
      <c r="AA503" s="10"/>
      <c r="AB503" s="10"/>
      <c r="AC503" s="10"/>
      <c r="AD503" s="10"/>
      <c r="AE503" s="10"/>
      <c r="AF503" s="10"/>
      <c r="AG503" s="10"/>
      <c r="AH503" s="10"/>
      <c r="AI503" s="10"/>
      <c r="AJ503" s="10"/>
      <c r="AL503" s="10"/>
      <c r="AM503" s="10"/>
      <c r="AO503" s="10"/>
      <c r="AW503" s="143"/>
      <c r="BE503" s="10"/>
      <c r="BF503" s="10"/>
      <c r="BG503" s="10"/>
      <c r="BH503" s="10"/>
      <c r="BI503" s="10"/>
      <c r="BJ503" s="10"/>
      <c r="BK503" s="10"/>
      <c r="BS503" s="10"/>
      <c r="BT503" s="10"/>
      <c r="BW503" s="10"/>
    </row>
    <row r="504">
      <c r="A504" s="10"/>
      <c r="B504" s="10"/>
      <c r="C504" s="10"/>
      <c r="D504" s="10"/>
      <c r="E504" s="10"/>
      <c r="F504" s="10"/>
      <c r="G504" s="10"/>
      <c r="H504" s="10"/>
      <c r="T504" s="10"/>
      <c r="U504" s="10"/>
      <c r="V504" s="10"/>
      <c r="W504" s="10"/>
      <c r="Y504" s="10"/>
      <c r="Z504" s="10"/>
      <c r="AA504" s="10"/>
      <c r="AB504" s="10"/>
      <c r="AC504" s="10"/>
      <c r="AD504" s="10"/>
      <c r="AE504" s="10"/>
      <c r="AF504" s="10"/>
      <c r="AG504" s="10"/>
      <c r="AH504" s="10"/>
      <c r="AI504" s="10"/>
      <c r="AJ504" s="10"/>
      <c r="AL504" s="10"/>
      <c r="AM504" s="10"/>
      <c r="AO504" s="10"/>
      <c r="AW504" s="143"/>
      <c r="BE504" s="10"/>
      <c r="BF504" s="10"/>
      <c r="BG504" s="10"/>
      <c r="BH504" s="10"/>
      <c r="BI504" s="10"/>
      <c r="BJ504" s="10"/>
      <c r="BK504" s="10"/>
      <c r="BS504" s="10"/>
      <c r="BT504" s="10"/>
      <c r="BW504" s="10"/>
    </row>
    <row r="505">
      <c r="A505" s="10"/>
      <c r="B505" s="10"/>
      <c r="C505" s="10"/>
      <c r="D505" s="10"/>
      <c r="E505" s="10"/>
      <c r="F505" s="10"/>
      <c r="G505" s="10"/>
      <c r="H505" s="10"/>
      <c r="T505" s="10"/>
      <c r="U505" s="10"/>
      <c r="V505" s="10"/>
      <c r="W505" s="10"/>
      <c r="Y505" s="10"/>
      <c r="Z505" s="10"/>
      <c r="AA505" s="10"/>
      <c r="AB505" s="10"/>
      <c r="AC505" s="10"/>
      <c r="AD505" s="10"/>
      <c r="AE505" s="10"/>
      <c r="AF505" s="10"/>
      <c r="AG505" s="10"/>
      <c r="AH505" s="10"/>
      <c r="AI505" s="10"/>
      <c r="AJ505" s="10"/>
      <c r="AL505" s="10"/>
      <c r="AM505" s="10"/>
      <c r="AO505" s="10"/>
      <c r="AW505" s="143"/>
      <c r="BE505" s="10"/>
      <c r="BF505" s="10"/>
      <c r="BG505" s="10"/>
      <c r="BH505" s="10"/>
      <c r="BI505" s="10"/>
      <c r="BJ505" s="10"/>
      <c r="BK505" s="10"/>
      <c r="BS505" s="10"/>
      <c r="BT505" s="10"/>
      <c r="BW505" s="10"/>
    </row>
    <row r="506">
      <c r="A506" s="10"/>
      <c r="B506" s="10"/>
      <c r="C506" s="10"/>
      <c r="D506" s="10"/>
      <c r="E506" s="10"/>
      <c r="F506" s="10"/>
      <c r="G506" s="10"/>
      <c r="H506" s="10"/>
      <c r="T506" s="10"/>
      <c r="U506" s="10"/>
      <c r="V506" s="10"/>
      <c r="W506" s="10"/>
      <c r="Y506" s="10"/>
      <c r="Z506" s="10"/>
      <c r="AA506" s="10"/>
      <c r="AB506" s="10"/>
      <c r="AC506" s="10"/>
      <c r="AD506" s="10"/>
      <c r="AE506" s="10"/>
      <c r="AF506" s="10"/>
      <c r="AG506" s="10"/>
      <c r="AH506" s="10"/>
      <c r="AI506" s="10"/>
      <c r="AJ506" s="10"/>
      <c r="AL506" s="10"/>
      <c r="AM506" s="10"/>
      <c r="AO506" s="10"/>
      <c r="AW506" s="143"/>
      <c r="BE506" s="10"/>
      <c r="BF506" s="10"/>
      <c r="BG506" s="10"/>
      <c r="BH506" s="10"/>
      <c r="BI506" s="10"/>
      <c r="BJ506" s="10"/>
      <c r="BK506" s="10"/>
      <c r="BS506" s="10"/>
      <c r="BT506" s="10"/>
      <c r="BW506" s="10"/>
    </row>
    <row r="507">
      <c r="A507" s="10"/>
      <c r="B507" s="10"/>
      <c r="C507" s="10"/>
      <c r="D507" s="10"/>
      <c r="E507" s="10"/>
      <c r="F507" s="10"/>
      <c r="G507" s="10"/>
      <c r="H507" s="10"/>
      <c r="T507" s="10"/>
      <c r="U507" s="10"/>
      <c r="V507" s="10"/>
      <c r="W507" s="10"/>
      <c r="X507" s="10"/>
      <c r="Y507" s="10"/>
      <c r="Z507" s="10"/>
      <c r="AA507" s="10"/>
      <c r="AB507" s="10"/>
      <c r="AC507" s="10"/>
      <c r="AD507" s="10"/>
      <c r="AE507" s="10"/>
      <c r="AF507" s="10"/>
      <c r="AG507" s="10"/>
      <c r="AH507" s="10"/>
      <c r="AI507" s="10"/>
      <c r="AJ507" s="10"/>
      <c r="AL507" s="10"/>
      <c r="AM507" s="10"/>
      <c r="AO507" s="10"/>
      <c r="AW507" s="143"/>
      <c r="BE507" s="10"/>
      <c r="BF507" s="10"/>
      <c r="BG507" s="10"/>
      <c r="BH507" s="10"/>
      <c r="BI507" s="10"/>
      <c r="BJ507" s="10"/>
      <c r="BK507" s="10"/>
      <c r="BS507" s="10"/>
      <c r="BT507" s="10"/>
      <c r="BW507" s="10"/>
    </row>
    <row r="508">
      <c r="A508" s="10"/>
      <c r="B508" s="10"/>
      <c r="C508" s="10"/>
      <c r="D508" s="10"/>
      <c r="E508" s="10"/>
      <c r="F508" s="10"/>
      <c r="G508" s="10"/>
      <c r="H508" s="10"/>
      <c r="T508" s="10"/>
      <c r="U508" s="10"/>
      <c r="V508" s="10"/>
      <c r="W508" s="10"/>
      <c r="Y508" s="10"/>
      <c r="Z508" s="10"/>
      <c r="AA508" s="10"/>
      <c r="AB508" s="10"/>
      <c r="AC508" s="10"/>
      <c r="AD508" s="10"/>
      <c r="AE508" s="10"/>
      <c r="AF508" s="10"/>
      <c r="AG508" s="10"/>
      <c r="AH508" s="10"/>
      <c r="AI508" s="10"/>
      <c r="AJ508" s="10"/>
      <c r="AL508" s="10"/>
      <c r="AM508" s="10"/>
      <c r="AO508" s="10"/>
      <c r="AW508" s="143"/>
      <c r="BE508" s="10"/>
      <c r="BF508" s="10"/>
      <c r="BG508" s="10"/>
      <c r="BH508" s="10"/>
      <c r="BI508" s="10"/>
      <c r="BJ508" s="10"/>
      <c r="BK508" s="10"/>
      <c r="BS508" s="10"/>
      <c r="BT508" s="10"/>
      <c r="BW508" s="10"/>
    </row>
    <row r="509">
      <c r="A509" s="10"/>
      <c r="B509" s="10"/>
      <c r="C509" s="10"/>
      <c r="D509" s="10"/>
      <c r="E509" s="10"/>
      <c r="F509" s="10"/>
      <c r="G509" s="10"/>
      <c r="H509" s="10"/>
      <c r="I509" s="10"/>
      <c r="V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U509" s="10"/>
      <c r="AV509" s="10"/>
      <c r="AW509" s="143"/>
      <c r="BS509" s="10"/>
      <c r="BT509" s="10"/>
      <c r="BW509" s="10"/>
    </row>
    <row r="510">
      <c r="A510" s="10"/>
      <c r="B510" s="10"/>
      <c r="C510" s="10"/>
      <c r="D510" s="10"/>
      <c r="E510" s="10"/>
      <c r="F510" s="10"/>
      <c r="G510" s="10"/>
      <c r="H510" s="10"/>
      <c r="I510" s="10"/>
      <c r="V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U510" s="10"/>
      <c r="AV510" s="10"/>
      <c r="AW510" s="143"/>
      <c r="BS510" s="10"/>
      <c r="BT510" s="10"/>
      <c r="BW510" s="10"/>
    </row>
    <row r="511">
      <c r="A511" s="10"/>
      <c r="B511" s="10"/>
      <c r="C511" s="10"/>
      <c r="D511" s="10"/>
      <c r="E511" s="10"/>
      <c r="F511" s="10"/>
      <c r="G511" s="10"/>
      <c r="H511" s="10"/>
      <c r="I511" s="10"/>
      <c r="V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U511" s="10"/>
      <c r="AV511" s="10"/>
      <c r="AW511" s="143"/>
      <c r="BS511" s="10"/>
      <c r="BT511" s="10"/>
      <c r="BW511" s="10"/>
    </row>
    <row r="512">
      <c r="A512" s="10"/>
      <c r="B512" s="10"/>
      <c r="C512" s="10"/>
      <c r="D512" s="10"/>
      <c r="E512" s="10"/>
      <c r="F512" s="10"/>
      <c r="G512" s="10"/>
      <c r="H512" s="10"/>
      <c r="I512" s="10"/>
      <c r="V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U512" s="10"/>
      <c r="AV512" s="10"/>
      <c r="AW512" s="143"/>
      <c r="BS512" s="10"/>
      <c r="BT512" s="10"/>
      <c r="BW512" s="10"/>
    </row>
    <row r="513">
      <c r="A513" s="10"/>
      <c r="B513" s="10"/>
      <c r="C513" s="10"/>
      <c r="D513" s="10"/>
      <c r="E513" s="10"/>
      <c r="F513" s="10"/>
      <c r="G513" s="10"/>
      <c r="H513" s="10"/>
      <c r="I513" s="10"/>
      <c r="V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U513" s="10"/>
      <c r="AV513" s="10"/>
      <c r="AW513" s="143"/>
      <c r="BS513" s="10"/>
      <c r="BT513" s="10"/>
      <c r="BW513" s="10"/>
    </row>
    <row r="514">
      <c r="A514" s="10"/>
      <c r="B514" s="10"/>
      <c r="C514" s="10"/>
      <c r="D514" s="10"/>
      <c r="E514" s="10"/>
      <c r="F514" s="10"/>
      <c r="G514" s="10"/>
      <c r="H514" s="10"/>
      <c r="I514" s="10"/>
      <c r="V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U514" s="10"/>
      <c r="AV514" s="10"/>
      <c r="AW514" s="143"/>
      <c r="BS514" s="10"/>
      <c r="BT514" s="10"/>
      <c r="BW514" s="10"/>
    </row>
    <row r="515">
      <c r="A515" s="10"/>
      <c r="B515" s="10"/>
      <c r="C515" s="10"/>
      <c r="D515" s="10"/>
      <c r="E515" s="10"/>
      <c r="F515" s="10"/>
      <c r="G515" s="10"/>
      <c r="H515" s="10"/>
      <c r="I515" s="10"/>
      <c r="V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U515" s="10"/>
      <c r="AV515" s="10"/>
      <c r="AW515" s="143"/>
      <c r="BS515" s="10"/>
      <c r="BT515" s="10"/>
      <c r="BW515" s="10"/>
    </row>
    <row r="516">
      <c r="A516" s="10"/>
      <c r="B516" s="10"/>
      <c r="C516" s="10"/>
      <c r="D516" s="10"/>
      <c r="E516" s="10"/>
      <c r="F516" s="10"/>
      <c r="G516" s="10"/>
      <c r="H516" s="10"/>
      <c r="I516" s="10"/>
      <c r="V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U516" s="10"/>
      <c r="AV516" s="10"/>
      <c r="AW516" s="143"/>
      <c r="BS516" s="10"/>
      <c r="BT516" s="10"/>
      <c r="BW516" s="10"/>
    </row>
    <row r="517">
      <c r="A517" s="10"/>
      <c r="B517" s="10"/>
      <c r="C517" s="10"/>
      <c r="D517" s="10"/>
      <c r="E517" s="10"/>
      <c r="F517" s="10"/>
      <c r="G517" s="10"/>
      <c r="H517" s="10"/>
      <c r="I517" s="10"/>
      <c r="V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U517" s="10"/>
      <c r="AV517" s="10"/>
      <c r="AW517" s="143"/>
      <c r="BS517" s="10"/>
      <c r="BT517" s="10"/>
      <c r="BW517" s="10"/>
    </row>
    <row r="518">
      <c r="A518" s="10"/>
      <c r="B518" s="10"/>
      <c r="C518" s="10"/>
      <c r="D518" s="10"/>
      <c r="E518" s="10"/>
      <c r="F518" s="10"/>
      <c r="G518" s="10"/>
      <c r="H518" s="10"/>
      <c r="I518" s="10"/>
      <c r="V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U518" s="10"/>
      <c r="AV518" s="10"/>
      <c r="AW518" s="143"/>
      <c r="BS518" s="10"/>
      <c r="BT518" s="10"/>
      <c r="BW518" s="10"/>
    </row>
    <row r="519">
      <c r="A519" s="10"/>
      <c r="B519" s="10"/>
      <c r="C519" s="10"/>
      <c r="D519" s="10"/>
      <c r="E519" s="10"/>
      <c r="F519" s="10"/>
      <c r="G519" s="10"/>
      <c r="H519" s="10"/>
      <c r="I519" s="10"/>
      <c r="V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U519" s="10"/>
      <c r="AV519" s="10"/>
      <c r="AW519" s="143"/>
      <c r="BS519" s="10"/>
      <c r="BT519" s="10"/>
      <c r="BW519" s="10"/>
    </row>
    <row r="520">
      <c r="A520" s="10"/>
      <c r="B520" s="10"/>
      <c r="C520" s="10"/>
      <c r="D520" s="10"/>
      <c r="E520" s="10"/>
      <c r="F520" s="10"/>
      <c r="G520" s="10"/>
      <c r="H520" s="10"/>
      <c r="I520" s="10"/>
      <c r="V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U520" s="10"/>
      <c r="AV520" s="10"/>
      <c r="AW520" s="143"/>
      <c r="BS520" s="10"/>
      <c r="BT520" s="10"/>
      <c r="BW520" s="10"/>
    </row>
    <row r="521">
      <c r="A521" s="10"/>
      <c r="B521" s="10"/>
      <c r="C521" s="10"/>
      <c r="D521" s="10"/>
      <c r="E521" s="10"/>
      <c r="F521" s="10"/>
      <c r="G521" s="10"/>
      <c r="H521" s="10"/>
      <c r="I521" s="10"/>
      <c r="V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U521" s="10"/>
      <c r="AV521" s="10"/>
      <c r="AW521" s="143"/>
      <c r="BS521" s="10"/>
      <c r="BT521" s="10"/>
      <c r="BW521" s="10"/>
    </row>
    <row r="522">
      <c r="A522" s="10"/>
      <c r="B522" s="10"/>
      <c r="C522" s="10"/>
      <c r="D522" s="10"/>
      <c r="E522" s="10"/>
      <c r="F522" s="10"/>
      <c r="G522" s="10"/>
      <c r="H522" s="10"/>
      <c r="I522" s="10"/>
      <c r="V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U522" s="10"/>
      <c r="AV522" s="10"/>
      <c r="AW522" s="143"/>
      <c r="BS522" s="10"/>
      <c r="BT522" s="10"/>
      <c r="BW522" s="10"/>
    </row>
    <row r="523">
      <c r="A523" s="10"/>
      <c r="B523" s="10"/>
      <c r="C523" s="10"/>
      <c r="D523" s="10"/>
      <c r="E523" s="10"/>
      <c r="F523" s="10"/>
      <c r="G523" s="10"/>
      <c r="H523" s="10"/>
      <c r="I523" s="10"/>
      <c r="V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U523" s="10"/>
      <c r="AV523" s="10"/>
      <c r="AW523" s="143"/>
      <c r="BS523" s="10"/>
      <c r="BT523" s="10"/>
      <c r="BW523" s="10"/>
    </row>
    <row r="524">
      <c r="A524" s="10"/>
      <c r="B524" s="10"/>
      <c r="C524" s="10"/>
      <c r="D524" s="10"/>
      <c r="E524" s="10"/>
      <c r="F524" s="10"/>
      <c r="G524" s="10"/>
      <c r="H524" s="10"/>
      <c r="I524" s="10"/>
      <c r="V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U524" s="10"/>
      <c r="AV524" s="10"/>
      <c r="AW524" s="143"/>
      <c r="BS524" s="10"/>
      <c r="BT524" s="10"/>
      <c r="BW524" s="10"/>
    </row>
    <row r="525">
      <c r="A525" s="10"/>
      <c r="B525" s="10"/>
      <c r="C525" s="10"/>
      <c r="D525" s="10"/>
      <c r="E525" s="10"/>
      <c r="F525" s="10"/>
      <c r="G525" s="10"/>
      <c r="H525" s="10"/>
      <c r="I525" s="10"/>
      <c r="V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U525" s="10"/>
      <c r="AV525" s="10"/>
      <c r="AW525" s="143"/>
      <c r="BS525" s="10"/>
      <c r="BT525" s="10"/>
      <c r="BW525" s="10"/>
    </row>
    <row r="526">
      <c r="A526" s="10"/>
      <c r="B526" s="10"/>
      <c r="C526" s="10"/>
      <c r="D526" s="10"/>
      <c r="E526" s="10"/>
      <c r="F526" s="10"/>
      <c r="G526" s="10"/>
      <c r="H526" s="10"/>
      <c r="I526" s="10"/>
      <c r="V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U526" s="10"/>
      <c r="AV526" s="10"/>
      <c r="AW526" s="143"/>
      <c r="BS526" s="10"/>
      <c r="BT526" s="10"/>
      <c r="BW526" s="10"/>
    </row>
    <row r="527">
      <c r="A527" s="10"/>
      <c r="B527" s="10"/>
      <c r="C527" s="10"/>
      <c r="D527" s="10"/>
      <c r="E527" s="10"/>
      <c r="F527" s="10"/>
      <c r="G527" s="10"/>
      <c r="H527" s="10"/>
      <c r="I527" s="10"/>
      <c r="V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U527" s="10"/>
      <c r="AV527" s="10"/>
      <c r="AW527" s="143"/>
      <c r="BS527" s="10"/>
      <c r="BT527" s="10"/>
      <c r="BW527" s="10"/>
    </row>
    <row r="528">
      <c r="A528" s="10"/>
      <c r="B528" s="10"/>
      <c r="C528" s="10"/>
      <c r="D528" s="10"/>
      <c r="E528" s="10"/>
      <c r="F528" s="10"/>
      <c r="G528" s="10"/>
      <c r="H528" s="10"/>
      <c r="I528" s="10"/>
      <c r="V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U528" s="10"/>
      <c r="AV528" s="10"/>
      <c r="AW528" s="143"/>
      <c r="BS528" s="10"/>
      <c r="BT528" s="10"/>
      <c r="BW528" s="10"/>
    </row>
    <row r="529">
      <c r="A529" s="10"/>
      <c r="B529" s="10"/>
      <c r="C529" s="10"/>
      <c r="D529" s="10"/>
      <c r="E529" s="10"/>
      <c r="F529" s="10"/>
      <c r="G529" s="10"/>
      <c r="H529" s="10"/>
      <c r="I529" s="10"/>
      <c r="V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U529" s="10"/>
      <c r="AV529" s="10"/>
      <c r="AW529" s="143"/>
      <c r="BS529" s="10"/>
      <c r="BT529" s="10"/>
      <c r="BW529" s="10"/>
    </row>
    <row r="530">
      <c r="A530" s="10"/>
      <c r="B530" s="10"/>
      <c r="C530" s="10"/>
      <c r="D530" s="10"/>
      <c r="E530" s="10"/>
      <c r="F530" s="10"/>
      <c r="G530" s="10"/>
      <c r="H530" s="10"/>
      <c r="I530" s="10"/>
      <c r="V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U530" s="10"/>
      <c r="AV530" s="10"/>
      <c r="AW530" s="143"/>
      <c r="BS530" s="10"/>
      <c r="BT530" s="10"/>
      <c r="BW530" s="10"/>
    </row>
    <row r="531">
      <c r="A531" s="10"/>
      <c r="B531" s="10"/>
      <c r="C531" s="10"/>
      <c r="D531" s="10"/>
      <c r="E531" s="10"/>
      <c r="F531" s="10"/>
      <c r="G531" s="10"/>
      <c r="H531" s="10"/>
      <c r="I531" s="10"/>
      <c r="V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U531" s="10"/>
      <c r="AV531" s="10"/>
      <c r="AW531" s="143"/>
      <c r="BE531" s="10"/>
      <c r="BF531" s="10"/>
      <c r="BG531" s="10"/>
      <c r="BH531" s="10"/>
      <c r="BI531" s="10"/>
      <c r="BJ531" s="10"/>
      <c r="BK531" s="10"/>
      <c r="BS531" s="10"/>
      <c r="BT531" s="10"/>
      <c r="BW531" s="10"/>
    </row>
    <row r="532">
      <c r="A532" s="10"/>
      <c r="B532" s="10"/>
      <c r="C532" s="10"/>
      <c r="D532" s="10"/>
      <c r="E532" s="10"/>
      <c r="F532" s="10"/>
      <c r="G532" s="10"/>
      <c r="H532" s="10"/>
      <c r="I532" s="10"/>
      <c r="V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U532" s="10"/>
      <c r="AV532" s="10"/>
      <c r="AW532" s="143"/>
      <c r="BE532" s="10"/>
      <c r="BF532" s="10"/>
      <c r="BG532" s="10"/>
      <c r="BH532" s="10"/>
      <c r="BI532" s="10"/>
      <c r="BJ532" s="10"/>
      <c r="BK532" s="10"/>
      <c r="BS532" s="10"/>
      <c r="BT532" s="10"/>
      <c r="BW532" s="10"/>
    </row>
    <row r="533">
      <c r="A533" s="10"/>
      <c r="B533" s="10"/>
      <c r="C533" s="10"/>
      <c r="D533" s="10"/>
      <c r="E533" s="10"/>
      <c r="F533" s="10"/>
      <c r="G533" s="10"/>
      <c r="H533" s="10"/>
      <c r="I533" s="10"/>
      <c r="V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U533" s="10"/>
      <c r="AV533" s="10"/>
      <c r="AW533" s="143"/>
      <c r="BE533" s="10"/>
      <c r="BF533" s="10"/>
      <c r="BG533" s="10"/>
      <c r="BH533" s="10"/>
      <c r="BI533" s="10"/>
      <c r="BJ533" s="10"/>
      <c r="BK533" s="10"/>
      <c r="BS533" s="10"/>
      <c r="BT533" s="10"/>
      <c r="BW533" s="10"/>
    </row>
    <row r="534">
      <c r="A534" s="10"/>
      <c r="B534" s="10"/>
      <c r="C534" s="10"/>
      <c r="D534" s="10"/>
      <c r="E534" s="10"/>
      <c r="F534" s="10"/>
      <c r="G534" s="10"/>
      <c r="H534" s="10"/>
      <c r="I534" s="10"/>
      <c r="V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U534" s="10"/>
      <c r="AV534" s="10"/>
      <c r="AW534" s="143"/>
      <c r="BE534" s="10"/>
      <c r="BF534" s="10"/>
      <c r="BG534" s="10"/>
      <c r="BH534" s="10"/>
      <c r="BI534" s="10"/>
      <c r="BJ534" s="10"/>
      <c r="BK534" s="10"/>
      <c r="BS534" s="10"/>
      <c r="BT534" s="10"/>
      <c r="BW534" s="10"/>
    </row>
    <row r="535">
      <c r="A535" s="10"/>
      <c r="B535" s="10"/>
      <c r="C535" s="10"/>
      <c r="D535" s="10"/>
      <c r="E535" s="10"/>
      <c r="F535" s="10"/>
      <c r="G535" s="10"/>
      <c r="H535" s="10"/>
      <c r="I535" s="10"/>
      <c r="V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U535" s="10"/>
      <c r="AV535" s="10"/>
      <c r="AW535" s="143"/>
      <c r="BE535" s="10"/>
      <c r="BF535" s="10"/>
      <c r="BG535" s="10"/>
      <c r="BH535" s="10"/>
      <c r="BI535" s="10"/>
      <c r="BJ535" s="10"/>
      <c r="BK535" s="10"/>
      <c r="BS535" s="10"/>
      <c r="BT535" s="10"/>
      <c r="BW535" s="10"/>
    </row>
    <row r="536">
      <c r="A536" s="10"/>
      <c r="B536" s="10"/>
      <c r="C536" s="10"/>
      <c r="D536" s="10"/>
      <c r="E536" s="10"/>
      <c r="F536" s="10"/>
      <c r="G536" s="10"/>
      <c r="H536" s="10"/>
      <c r="I536" s="10"/>
      <c r="V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U536" s="10"/>
      <c r="AV536" s="10"/>
      <c r="AW536" s="143"/>
      <c r="BE536" s="10"/>
      <c r="BF536" s="10"/>
      <c r="BG536" s="10"/>
      <c r="BH536" s="10"/>
      <c r="BI536" s="10"/>
      <c r="BJ536" s="10"/>
      <c r="BK536" s="10"/>
      <c r="BS536" s="10"/>
      <c r="BT536" s="10"/>
      <c r="BW536" s="10"/>
    </row>
    <row r="537">
      <c r="A537" s="10"/>
      <c r="B537" s="10"/>
      <c r="C537" s="10"/>
      <c r="D537" s="10"/>
      <c r="E537" s="10"/>
      <c r="F537" s="10"/>
      <c r="G537" s="10"/>
      <c r="H537" s="10"/>
      <c r="I537" s="10"/>
      <c r="V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U537" s="10"/>
      <c r="AV537" s="10"/>
      <c r="AW537" s="143"/>
      <c r="BE537" s="10"/>
      <c r="BF537" s="10"/>
      <c r="BG537" s="10"/>
      <c r="BH537" s="10"/>
      <c r="BI537" s="10"/>
      <c r="BJ537" s="10"/>
      <c r="BK537" s="10"/>
      <c r="BS537" s="10"/>
      <c r="BT537" s="10"/>
      <c r="BW537" s="10"/>
    </row>
    <row r="538">
      <c r="A538" s="10"/>
      <c r="B538" s="10"/>
      <c r="C538" s="10"/>
      <c r="D538" s="10"/>
      <c r="E538" s="10"/>
      <c r="F538" s="10"/>
      <c r="G538" s="10"/>
      <c r="H538" s="10"/>
      <c r="I538" s="10"/>
      <c r="V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U538" s="10"/>
      <c r="AV538" s="10"/>
      <c r="AW538" s="143"/>
      <c r="BE538" s="10"/>
      <c r="BF538" s="10"/>
      <c r="BG538" s="10"/>
      <c r="BH538" s="10"/>
      <c r="BI538" s="10"/>
      <c r="BJ538" s="10"/>
      <c r="BK538" s="10"/>
      <c r="BS538" s="10"/>
      <c r="BT538" s="10"/>
      <c r="BW538" s="10"/>
    </row>
    <row r="539">
      <c r="A539" s="10"/>
      <c r="B539" s="10"/>
      <c r="C539" s="10"/>
      <c r="D539" s="10"/>
      <c r="E539" s="10"/>
      <c r="F539" s="10"/>
      <c r="G539" s="10"/>
      <c r="H539" s="10"/>
      <c r="I539" s="10"/>
      <c r="V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U539" s="10"/>
      <c r="AV539" s="10"/>
      <c r="AW539" s="143"/>
      <c r="BE539" s="10"/>
      <c r="BF539" s="10"/>
      <c r="BG539" s="10"/>
      <c r="BH539" s="10"/>
      <c r="BI539" s="10"/>
      <c r="BJ539" s="10"/>
      <c r="BK539" s="10"/>
      <c r="BS539" s="10"/>
      <c r="BT539" s="10"/>
      <c r="BW539" s="10"/>
    </row>
    <row r="540">
      <c r="A540" s="10"/>
      <c r="B540" s="10"/>
      <c r="C540" s="10"/>
      <c r="D540" s="10"/>
      <c r="E540" s="10"/>
      <c r="F540" s="10"/>
      <c r="G540" s="10"/>
      <c r="H540" s="10"/>
      <c r="I540" s="10"/>
      <c r="V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U540" s="10"/>
      <c r="AV540" s="10"/>
      <c r="AW540" s="143"/>
      <c r="BE540" s="10"/>
      <c r="BF540" s="10"/>
      <c r="BG540" s="10"/>
      <c r="BH540" s="10"/>
      <c r="BI540" s="10"/>
      <c r="BJ540" s="10"/>
      <c r="BK540" s="10"/>
      <c r="BS540" s="10"/>
      <c r="BT540" s="10"/>
      <c r="BW540" s="10"/>
    </row>
    <row r="541">
      <c r="A541" s="10"/>
      <c r="B541" s="10"/>
      <c r="C541" s="10"/>
      <c r="D541" s="10"/>
      <c r="E541" s="10"/>
      <c r="F541" s="10"/>
      <c r="G541" s="10"/>
      <c r="H541" s="10"/>
      <c r="I541" s="10"/>
      <c r="V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U541" s="10"/>
      <c r="AV541" s="10"/>
      <c r="AW541" s="143"/>
      <c r="BE541" s="10"/>
      <c r="BF541" s="10"/>
      <c r="BG541" s="10"/>
      <c r="BH541" s="10"/>
      <c r="BI541" s="10"/>
      <c r="BJ541" s="10"/>
      <c r="BK541" s="10"/>
      <c r="BS541" s="10"/>
      <c r="BT541" s="10"/>
      <c r="BW541" s="10"/>
    </row>
    <row r="542">
      <c r="A542" s="10"/>
      <c r="B542" s="10"/>
      <c r="C542" s="10"/>
      <c r="D542" s="10"/>
      <c r="E542" s="10"/>
      <c r="F542" s="10"/>
      <c r="G542" s="10"/>
      <c r="H542" s="10"/>
      <c r="I542" s="10"/>
      <c r="V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U542" s="10"/>
      <c r="AV542" s="10"/>
      <c r="AW542" s="143"/>
      <c r="BE542" s="10"/>
      <c r="BF542" s="10"/>
      <c r="BG542" s="10"/>
      <c r="BH542" s="10"/>
      <c r="BI542" s="10"/>
      <c r="BJ542" s="10"/>
      <c r="BK542" s="10"/>
      <c r="BS542" s="10"/>
      <c r="BT542" s="10"/>
      <c r="BW542" s="10"/>
    </row>
    <row r="543">
      <c r="A543" s="10"/>
      <c r="B543" s="10"/>
      <c r="C543" s="10"/>
      <c r="D543" s="10"/>
      <c r="E543" s="10"/>
      <c r="F543" s="10"/>
      <c r="G543" s="10"/>
      <c r="H543" s="10"/>
      <c r="I543" s="10"/>
      <c r="V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U543" s="10"/>
      <c r="AV543" s="10"/>
      <c r="AW543" s="143"/>
      <c r="BE543" s="10"/>
      <c r="BF543" s="10"/>
      <c r="BG543" s="10"/>
      <c r="BH543" s="10"/>
      <c r="BI543" s="10"/>
      <c r="BJ543" s="10"/>
      <c r="BK543" s="10"/>
      <c r="BS543" s="10"/>
      <c r="BT543" s="10"/>
      <c r="BW543" s="10"/>
    </row>
    <row r="544">
      <c r="A544" s="10"/>
      <c r="B544" s="10"/>
      <c r="C544" s="10"/>
      <c r="D544" s="10"/>
      <c r="E544" s="10"/>
      <c r="F544" s="10"/>
      <c r="G544" s="10"/>
      <c r="H544" s="10"/>
      <c r="I544" s="10"/>
      <c r="P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43"/>
      <c r="BE544" s="10"/>
      <c r="BF544" s="10"/>
      <c r="BG544" s="10"/>
      <c r="BH544" s="10"/>
      <c r="BI544" s="10"/>
      <c r="BJ544" s="10"/>
      <c r="BK544" s="10"/>
      <c r="BS544" s="10"/>
      <c r="BT544" s="10"/>
      <c r="BW544" s="10"/>
    </row>
    <row r="545">
      <c r="A545" s="10"/>
      <c r="B545" s="10"/>
      <c r="C545" s="10"/>
      <c r="D545" s="10"/>
      <c r="E545" s="10"/>
      <c r="F545" s="10"/>
      <c r="G545" s="10"/>
      <c r="H545" s="10"/>
      <c r="I545" s="10"/>
      <c r="P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43"/>
      <c r="BE545" s="10"/>
      <c r="BF545" s="10"/>
      <c r="BG545" s="10"/>
      <c r="BH545" s="10"/>
      <c r="BI545" s="10"/>
      <c r="BJ545" s="10"/>
      <c r="BK545" s="10"/>
      <c r="BS545" s="10"/>
      <c r="BT545" s="10"/>
      <c r="BW545" s="10"/>
    </row>
    <row r="546">
      <c r="A546" s="10"/>
      <c r="B546" s="10"/>
      <c r="C546" s="10"/>
      <c r="D546" s="10"/>
      <c r="E546" s="10"/>
      <c r="F546" s="10"/>
      <c r="G546" s="10"/>
      <c r="H546" s="10"/>
      <c r="I546" s="10"/>
      <c r="N546" s="10"/>
      <c r="V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U546" s="10"/>
      <c r="AV546" s="10"/>
      <c r="AW546" s="143"/>
      <c r="BS546" s="10"/>
      <c r="BT546" s="10"/>
      <c r="BW546" s="10"/>
    </row>
    <row r="547">
      <c r="A547" s="10"/>
      <c r="B547" s="10"/>
      <c r="C547" s="10"/>
      <c r="D547" s="10"/>
      <c r="E547" s="10"/>
      <c r="F547" s="10"/>
      <c r="G547" s="10"/>
      <c r="H547" s="10"/>
      <c r="I547" s="10"/>
      <c r="N547" s="10"/>
      <c r="V547" s="10"/>
      <c r="W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U547" s="10"/>
      <c r="AV547" s="10"/>
      <c r="AW547" s="143"/>
      <c r="BE547" s="10"/>
      <c r="BF547" s="10"/>
      <c r="BG547" s="10"/>
      <c r="BH547" s="10"/>
      <c r="BI547" s="10"/>
      <c r="BJ547" s="10"/>
      <c r="BK547" s="10"/>
      <c r="BS547" s="10"/>
      <c r="BT547" s="10"/>
      <c r="BW547" s="10"/>
    </row>
    <row r="548">
      <c r="A548" s="10"/>
      <c r="B548" s="10"/>
      <c r="C548" s="10"/>
      <c r="D548" s="10"/>
      <c r="E548" s="10"/>
      <c r="F548" s="10"/>
      <c r="G548" s="10"/>
      <c r="H548" s="10"/>
      <c r="I548" s="10"/>
      <c r="V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U548" s="10"/>
      <c r="AV548" s="10"/>
      <c r="AW548" s="143"/>
      <c r="BS548" s="10"/>
      <c r="BT548" s="10"/>
      <c r="BW548" s="10"/>
    </row>
    <row r="549">
      <c r="A549" s="10"/>
      <c r="B549" s="10"/>
      <c r="C549" s="10"/>
      <c r="D549" s="10"/>
      <c r="E549" s="10"/>
      <c r="F549" s="10"/>
      <c r="G549" s="10"/>
      <c r="H549" s="10"/>
      <c r="I549" s="10"/>
      <c r="N549" s="10"/>
      <c r="V549" s="10"/>
      <c r="W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U549" s="10"/>
      <c r="AV549" s="10"/>
      <c r="AW549" s="143"/>
      <c r="BE549" s="10"/>
      <c r="BF549" s="10"/>
      <c r="BG549" s="10"/>
      <c r="BH549" s="10"/>
      <c r="BI549" s="10"/>
      <c r="BJ549" s="10"/>
      <c r="BK549" s="10"/>
      <c r="BS549" s="10"/>
      <c r="BT549" s="10"/>
      <c r="BW549" s="10"/>
    </row>
    <row r="550">
      <c r="A550" s="10"/>
      <c r="B550" s="10"/>
      <c r="C550" s="10"/>
      <c r="D550" s="10"/>
      <c r="E550" s="10"/>
      <c r="F550" s="10"/>
      <c r="G550" s="10"/>
      <c r="H550" s="10"/>
      <c r="I550" s="10"/>
      <c r="N550" s="10"/>
      <c r="V550" s="10"/>
      <c r="W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U550" s="10"/>
      <c r="AV550" s="10"/>
      <c r="AW550" s="143"/>
      <c r="BE550" s="10"/>
      <c r="BF550" s="10"/>
      <c r="BG550" s="10"/>
      <c r="BH550" s="10"/>
      <c r="BI550" s="10"/>
      <c r="BJ550" s="10"/>
      <c r="BK550" s="10"/>
      <c r="BS550" s="10"/>
      <c r="BT550" s="10"/>
      <c r="BW550" s="10"/>
    </row>
    <row r="551">
      <c r="A551" s="10"/>
      <c r="B551" s="10"/>
      <c r="C551" s="10"/>
      <c r="D551" s="10"/>
      <c r="E551" s="10"/>
      <c r="F551" s="10"/>
      <c r="G551" s="10"/>
      <c r="H551" s="10"/>
      <c r="I551" s="10"/>
      <c r="N551" s="10"/>
      <c r="V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U551" s="10"/>
      <c r="AV551" s="10"/>
      <c r="AW551" s="143"/>
      <c r="BS551" s="10"/>
      <c r="BT551" s="10"/>
      <c r="BW551" s="10"/>
    </row>
    <row r="552">
      <c r="A552" s="10"/>
      <c r="B552" s="10"/>
      <c r="C552" s="10"/>
      <c r="D552" s="10"/>
      <c r="E552" s="10"/>
      <c r="F552" s="10"/>
      <c r="G552" s="10"/>
      <c r="H552" s="10"/>
      <c r="I552" s="10"/>
      <c r="N552" s="10"/>
      <c r="V552" s="10"/>
      <c r="W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U552" s="10"/>
      <c r="AV552" s="10"/>
      <c r="AW552" s="143"/>
      <c r="BE552" s="10"/>
      <c r="BF552" s="10"/>
      <c r="BG552" s="10"/>
      <c r="BH552" s="10"/>
      <c r="BI552" s="10"/>
      <c r="BJ552" s="10"/>
      <c r="BK552" s="10"/>
      <c r="BS552" s="10"/>
      <c r="BT552" s="10"/>
      <c r="BW552" s="10"/>
    </row>
    <row r="553">
      <c r="A553" s="10"/>
      <c r="B553" s="10"/>
      <c r="C553" s="10"/>
      <c r="D553" s="10"/>
      <c r="E553" s="10"/>
      <c r="F553" s="10"/>
      <c r="G553" s="10"/>
      <c r="H553" s="10"/>
      <c r="I553" s="10"/>
      <c r="N553" s="10"/>
      <c r="T553" s="10"/>
      <c r="U553" s="10"/>
      <c r="V553" s="10"/>
      <c r="W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U553" s="10"/>
      <c r="AV553" s="10"/>
      <c r="AW553" s="143"/>
      <c r="BE553" s="10"/>
      <c r="BF553" s="10"/>
      <c r="BG553" s="10"/>
      <c r="BH553" s="10"/>
      <c r="BI553" s="10"/>
      <c r="BJ553" s="10"/>
      <c r="BK553" s="10"/>
      <c r="BS553" s="10"/>
      <c r="BT553" s="10"/>
      <c r="BW553" s="10"/>
    </row>
    <row r="554">
      <c r="A554" s="10"/>
      <c r="B554" s="10"/>
      <c r="C554" s="10"/>
      <c r="D554" s="10"/>
      <c r="E554" s="10"/>
      <c r="F554" s="10"/>
      <c r="G554" s="10"/>
      <c r="H554" s="10"/>
      <c r="J554" s="10"/>
      <c r="K554" s="10"/>
      <c r="L554" s="10"/>
      <c r="P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W554" s="143"/>
      <c r="AZ554" s="10"/>
      <c r="BE554" s="10"/>
      <c r="BF554" s="10"/>
      <c r="BG554" s="10"/>
      <c r="BH554" s="10"/>
      <c r="BI554" s="10"/>
      <c r="BJ554" s="10"/>
      <c r="BK554" s="10"/>
      <c r="BS554" s="10"/>
      <c r="BT554" s="10"/>
      <c r="BW554" s="10"/>
    </row>
    <row r="555">
      <c r="A555" s="10"/>
      <c r="B555" s="10"/>
      <c r="C555" s="10"/>
      <c r="D555" s="10"/>
      <c r="E555" s="10"/>
      <c r="F555" s="10"/>
      <c r="G555" s="10"/>
      <c r="H555" s="10"/>
      <c r="K555" s="10"/>
      <c r="L555" s="10"/>
      <c r="T555" s="10"/>
      <c r="U555" s="10"/>
      <c r="V555" s="10"/>
      <c r="W555" s="10"/>
      <c r="Y555" s="10"/>
      <c r="Z555" s="10"/>
      <c r="AA555" s="10"/>
      <c r="AB555" s="10"/>
      <c r="AC555" s="10"/>
      <c r="AD555" s="10"/>
      <c r="AE555" s="10"/>
      <c r="AF555" s="10"/>
      <c r="AG555" s="10"/>
      <c r="AH555" s="10"/>
      <c r="AI555" s="10"/>
      <c r="AJ555" s="10"/>
      <c r="AK555" s="10"/>
      <c r="AL555" s="10"/>
      <c r="AM555" s="10"/>
      <c r="AN555" s="10"/>
      <c r="AO555" s="10"/>
      <c r="AW555" s="143"/>
      <c r="AZ555" s="10"/>
      <c r="BE555" s="10"/>
      <c r="BF555" s="10"/>
      <c r="BG555" s="10"/>
      <c r="BH555" s="10"/>
      <c r="BI555" s="10"/>
      <c r="BJ555" s="10"/>
      <c r="BK555" s="10"/>
      <c r="BS555" s="10"/>
      <c r="BT555" s="10"/>
      <c r="BW555" s="10"/>
    </row>
    <row r="556">
      <c r="A556" s="10"/>
      <c r="B556" s="10"/>
      <c r="C556" s="10"/>
      <c r="D556" s="10"/>
      <c r="E556" s="10"/>
      <c r="F556" s="10"/>
      <c r="G556" s="10"/>
      <c r="H556" s="10"/>
      <c r="I556" s="10"/>
      <c r="J556" s="10"/>
      <c r="N556" s="10"/>
      <c r="O556" s="10"/>
      <c r="P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43"/>
      <c r="AX556" s="10"/>
      <c r="AY556" s="10"/>
      <c r="BS556" s="10"/>
      <c r="BT556" s="10"/>
      <c r="BW556" s="10"/>
    </row>
    <row r="557">
      <c r="A557" s="10"/>
      <c r="B557" s="10"/>
      <c r="C557" s="10"/>
      <c r="D557" s="10"/>
      <c r="E557" s="10"/>
      <c r="F557" s="10"/>
      <c r="G557" s="10"/>
      <c r="H557" s="10"/>
      <c r="K557" s="10"/>
      <c r="L557" s="10"/>
      <c r="V557" s="10"/>
      <c r="W557" s="10"/>
      <c r="X557" s="10"/>
      <c r="Y557" s="10"/>
      <c r="Z557" s="10"/>
      <c r="AA557" s="10"/>
      <c r="AB557" s="10"/>
      <c r="AC557" s="10"/>
      <c r="AD557" s="10"/>
      <c r="AE557" s="10"/>
      <c r="AF557" s="10"/>
      <c r="AG557" s="10"/>
      <c r="AH557" s="10"/>
      <c r="AI557" s="10"/>
      <c r="AJ557" s="10"/>
      <c r="AK557" s="10"/>
      <c r="AL557" s="10"/>
      <c r="AM557" s="10"/>
      <c r="AN557" s="10"/>
      <c r="AO557" s="10"/>
      <c r="AW557" s="143"/>
      <c r="BA557" s="10"/>
      <c r="BB557" s="10"/>
      <c r="BC557" s="10"/>
      <c r="BD557" s="10"/>
      <c r="BE557" s="10"/>
      <c r="BF557" s="10"/>
      <c r="BG557" s="10"/>
      <c r="BH557" s="10"/>
      <c r="BI557" s="10"/>
      <c r="BJ557" s="10"/>
      <c r="BK557" s="10"/>
      <c r="BS557" s="10"/>
      <c r="BT557" s="10"/>
      <c r="BV557" s="10"/>
      <c r="BW557" s="10"/>
    </row>
    <row r="558">
      <c r="A558" s="10"/>
      <c r="B558" s="10"/>
      <c r="C558" s="10"/>
      <c r="D558" s="10"/>
      <c r="E558" s="10"/>
      <c r="F558" s="10"/>
      <c r="G558" s="10"/>
      <c r="H558" s="10"/>
      <c r="K558" s="10"/>
      <c r="L558" s="10"/>
      <c r="V558" s="10"/>
      <c r="W558" s="10"/>
      <c r="Y558" s="10"/>
      <c r="Z558" s="10"/>
      <c r="AA558" s="10"/>
      <c r="AB558" s="10"/>
      <c r="AC558" s="10"/>
      <c r="AD558" s="10"/>
      <c r="AE558" s="10"/>
      <c r="AF558" s="10"/>
      <c r="AG558" s="10"/>
      <c r="AH558" s="10"/>
      <c r="AI558" s="10"/>
      <c r="AJ558" s="10"/>
      <c r="AK558" s="10"/>
      <c r="AL558" s="10"/>
      <c r="AM558" s="10"/>
      <c r="AN558" s="10"/>
      <c r="AO558" s="10"/>
      <c r="AW558" s="143"/>
      <c r="AZ558" s="10"/>
      <c r="BA558" s="10"/>
      <c r="BB558" s="10"/>
      <c r="BC558" s="10"/>
      <c r="BD558" s="10"/>
      <c r="BE558" s="10"/>
      <c r="BF558" s="10"/>
      <c r="BG558" s="10"/>
      <c r="BH558" s="10"/>
      <c r="BI558" s="10"/>
      <c r="BJ558" s="10"/>
      <c r="BK558" s="10"/>
      <c r="BS558" s="10"/>
      <c r="BT558" s="10"/>
      <c r="BV558" s="10"/>
      <c r="BW558" s="10"/>
    </row>
    <row r="559">
      <c r="A559" s="10"/>
      <c r="B559" s="10"/>
      <c r="C559" s="10"/>
      <c r="D559" s="10"/>
      <c r="E559" s="10"/>
      <c r="F559" s="10"/>
      <c r="G559" s="10"/>
      <c r="H559" s="10"/>
      <c r="J559" s="10"/>
      <c r="K559" s="10"/>
      <c r="L559" s="10"/>
      <c r="V559" s="10"/>
      <c r="W559" s="10"/>
      <c r="X559" s="10"/>
      <c r="Y559" s="10"/>
      <c r="Z559" s="10"/>
      <c r="AA559" s="10"/>
      <c r="AB559" s="10"/>
      <c r="AC559" s="10"/>
      <c r="AD559" s="10"/>
      <c r="AE559" s="10"/>
      <c r="AF559" s="10"/>
      <c r="AG559" s="10"/>
      <c r="AH559" s="10"/>
      <c r="AI559" s="10"/>
      <c r="AJ559" s="10"/>
      <c r="AK559" s="10"/>
      <c r="AL559" s="10"/>
      <c r="AM559" s="10"/>
      <c r="AN559" s="10"/>
      <c r="AO559" s="10"/>
      <c r="AS559" s="10"/>
      <c r="AT559" s="10"/>
      <c r="AV559" s="10"/>
      <c r="AW559" s="244"/>
      <c r="BA559" s="10"/>
      <c r="BD559" s="10"/>
      <c r="BE559" s="10"/>
      <c r="BF559" s="10"/>
      <c r="BG559" s="10"/>
      <c r="BH559" s="10"/>
      <c r="BI559" s="10"/>
      <c r="BJ559" s="10"/>
      <c r="BK559" s="10"/>
      <c r="BL559" s="10"/>
      <c r="BS559" s="10"/>
      <c r="BT559" s="10"/>
      <c r="BV559" s="10"/>
      <c r="BW559" s="10"/>
    </row>
    <row r="560">
      <c r="A560" s="10"/>
      <c r="B560" s="10"/>
      <c r="C560" s="10"/>
      <c r="D560" s="10"/>
      <c r="E560" s="10"/>
      <c r="F560" s="10"/>
      <c r="G560" s="10"/>
      <c r="H560" s="10"/>
      <c r="J560" s="10"/>
      <c r="K560" s="10"/>
      <c r="L560" s="10"/>
      <c r="V560" s="10"/>
      <c r="W560" s="10"/>
      <c r="X560" s="10"/>
      <c r="Y560" s="10"/>
      <c r="Z560" s="10"/>
      <c r="AA560" s="10"/>
      <c r="AB560" s="10"/>
      <c r="AC560" s="10"/>
      <c r="AD560" s="10"/>
      <c r="AE560" s="10"/>
      <c r="AF560" s="10"/>
      <c r="AG560" s="10"/>
      <c r="AH560" s="10"/>
      <c r="AI560" s="10"/>
      <c r="AJ560" s="10"/>
      <c r="AK560" s="10"/>
      <c r="AL560" s="10"/>
      <c r="AM560" s="10"/>
      <c r="AN560" s="10"/>
      <c r="AO560" s="10"/>
      <c r="AW560" s="244"/>
      <c r="BA560" s="10"/>
      <c r="BD560" s="10"/>
      <c r="BE560" s="10"/>
      <c r="BF560" s="10"/>
      <c r="BG560" s="10"/>
      <c r="BH560" s="10"/>
      <c r="BI560" s="10"/>
      <c r="BJ560" s="10"/>
      <c r="BK560" s="10"/>
      <c r="BL560" s="10"/>
      <c r="BS560" s="10"/>
      <c r="BT560" s="10"/>
      <c r="BV560" s="10"/>
      <c r="BW560" s="10"/>
    </row>
    <row r="561">
      <c r="A561" s="10"/>
      <c r="B561" s="10"/>
      <c r="C561" s="10"/>
      <c r="D561" s="10"/>
      <c r="E561" s="10"/>
      <c r="F561" s="10"/>
      <c r="G561" s="10"/>
      <c r="H561" s="10"/>
      <c r="K561" s="10"/>
      <c r="L561" s="10"/>
      <c r="N561" s="10"/>
      <c r="O561" s="10"/>
      <c r="P561" s="10"/>
      <c r="V561" s="10"/>
      <c r="W561" s="10"/>
      <c r="X561" s="10"/>
      <c r="Y561" s="10"/>
      <c r="Z561" s="10"/>
      <c r="AA561" s="10"/>
      <c r="AB561" s="10"/>
      <c r="AC561" s="10"/>
      <c r="AD561" s="10"/>
      <c r="AE561" s="10"/>
      <c r="AF561" s="10"/>
      <c r="AG561" s="10"/>
      <c r="AH561" s="10"/>
      <c r="AI561" s="10"/>
      <c r="AJ561" s="10"/>
      <c r="AK561" s="10"/>
      <c r="AL561" s="10"/>
      <c r="AM561" s="10"/>
      <c r="AN561" s="10"/>
      <c r="AO561" s="10"/>
      <c r="AW561" s="244"/>
      <c r="BA561" s="10"/>
      <c r="BD561" s="10"/>
      <c r="BE561" s="10"/>
      <c r="BF561" s="10"/>
      <c r="BG561" s="10"/>
      <c r="BH561" s="10"/>
      <c r="BI561" s="10"/>
      <c r="BJ561" s="10"/>
      <c r="BK561" s="10"/>
      <c r="BL561" s="10"/>
      <c r="BS561" s="10"/>
      <c r="BT561" s="10"/>
      <c r="BV561" s="10"/>
      <c r="BW561" s="10"/>
    </row>
    <row r="562">
      <c r="A562" s="10"/>
      <c r="B562" s="10"/>
      <c r="C562" s="10"/>
      <c r="D562" s="10"/>
      <c r="E562" s="10"/>
      <c r="F562" s="10"/>
      <c r="G562" s="10"/>
      <c r="H562" s="10"/>
      <c r="J562" s="10"/>
      <c r="K562" s="10"/>
      <c r="L562" s="10"/>
      <c r="N562" s="10"/>
      <c r="V562" s="10"/>
      <c r="W562" s="10"/>
      <c r="X562" s="10"/>
      <c r="Y562" s="10"/>
      <c r="Z562" s="10"/>
      <c r="AA562" s="10"/>
      <c r="AB562" s="10"/>
      <c r="AC562" s="10"/>
      <c r="AD562" s="10"/>
      <c r="AE562" s="10"/>
      <c r="AF562" s="10"/>
      <c r="AG562" s="10"/>
      <c r="AH562" s="10"/>
      <c r="AI562" s="10"/>
      <c r="AJ562" s="10"/>
      <c r="AK562" s="10"/>
      <c r="AL562" s="10"/>
      <c r="AM562" s="10"/>
      <c r="AN562" s="10"/>
      <c r="AO562" s="10"/>
      <c r="AW562" s="143"/>
      <c r="BA562" s="10"/>
      <c r="BD562" s="10"/>
      <c r="BE562" s="10"/>
      <c r="BF562" s="10"/>
      <c r="BG562" s="10"/>
      <c r="BH562" s="10"/>
      <c r="BI562" s="10"/>
      <c r="BJ562" s="10"/>
      <c r="BK562" s="10"/>
      <c r="BL562" s="10"/>
      <c r="BS562" s="10"/>
      <c r="BT562" s="10"/>
      <c r="BV562" s="10"/>
      <c r="BW562" s="10"/>
    </row>
    <row r="563">
      <c r="A563" s="10"/>
      <c r="B563" s="10"/>
      <c r="C563" s="10"/>
      <c r="D563" s="10"/>
      <c r="E563" s="10"/>
      <c r="F563" s="10"/>
      <c r="G563" s="10"/>
      <c r="H563" s="10"/>
      <c r="J563" s="10"/>
      <c r="K563" s="10"/>
      <c r="L563" s="10"/>
      <c r="N563" s="10"/>
      <c r="V563" s="10"/>
      <c r="W563" s="10"/>
      <c r="X563" s="10"/>
      <c r="Y563" s="10"/>
      <c r="Z563" s="10"/>
      <c r="AA563" s="10"/>
      <c r="AB563" s="10"/>
      <c r="AC563" s="10"/>
      <c r="AD563" s="10"/>
      <c r="AE563" s="10"/>
      <c r="AF563" s="10"/>
      <c r="AG563" s="10"/>
      <c r="AH563" s="10"/>
      <c r="AI563" s="10"/>
      <c r="AJ563" s="10"/>
      <c r="AK563" s="10"/>
      <c r="AL563" s="10"/>
      <c r="AM563" s="10"/>
      <c r="AN563" s="10"/>
      <c r="AO563" s="10"/>
      <c r="AW563" s="143"/>
      <c r="BA563" s="10"/>
      <c r="BD563" s="10"/>
      <c r="BE563" s="10"/>
      <c r="BF563" s="10"/>
      <c r="BG563" s="10"/>
      <c r="BH563" s="10"/>
      <c r="BI563" s="10"/>
      <c r="BJ563" s="10"/>
      <c r="BK563" s="10"/>
      <c r="BL563" s="10"/>
      <c r="BS563" s="10"/>
      <c r="BT563" s="10"/>
      <c r="BV563" s="10"/>
      <c r="BW563" s="10"/>
    </row>
    <row r="564">
      <c r="A564" s="10"/>
      <c r="B564" s="10"/>
      <c r="C564" s="10"/>
      <c r="D564" s="10"/>
      <c r="E564" s="10"/>
      <c r="F564" s="10"/>
      <c r="G564" s="10"/>
      <c r="H564" s="10"/>
      <c r="J564" s="10"/>
      <c r="K564" s="10"/>
      <c r="L564" s="10"/>
      <c r="V564" s="10"/>
      <c r="W564" s="10"/>
      <c r="X564" s="10"/>
      <c r="Y564" s="10"/>
      <c r="Z564" s="10"/>
      <c r="AA564" s="10"/>
      <c r="AB564" s="10"/>
      <c r="AC564" s="10"/>
      <c r="AD564" s="10"/>
      <c r="AE564" s="10"/>
      <c r="AF564" s="10"/>
      <c r="AG564" s="10"/>
      <c r="AH564" s="10"/>
      <c r="AI564" s="10"/>
      <c r="AJ564" s="10"/>
      <c r="AK564" s="10"/>
      <c r="AL564" s="10"/>
      <c r="AM564" s="10"/>
      <c r="AN564" s="10"/>
      <c r="AO564" s="10"/>
      <c r="AW564" s="143"/>
      <c r="BA564" s="10"/>
      <c r="BD564" s="10"/>
      <c r="BE564" s="10"/>
      <c r="BF564" s="10"/>
      <c r="BG564" s="10"/>
      <c r="BH564" s="10"/>
      <c r="BI564" s="10"/>
      <c r="BJ564" s="10"/>
      <c r="BK564" s="10"/>
      <c r="BL564" s="10"/>
      <c r="BS564" s="10"/>
      <c r="BT564" s="10"/>
      <c r="BV564" s="10"/>
      <c r="BW564" s="10"/>
    </row>
    <row r="565">
      <c r="A565" s="10"/>
      <c r="B565" s="10"/>
      <c r="C565" s="10"/>
      <c r="D565" s="10"/>
      <c r="E565" s="10"/>
      <c r="F565" s="10"/>
      <c r="G565" s="10"/>
      <c r="H565" s="10"/>
      <c r="J565" s="10"/>
      <c r="K565" s="10"/>
      <c r="L565" s="10"/>
      <c r="P565" s="10"/>
      <c r="V565" s="10"/>
      <c r="W565" s="10"/>
      <c r="X565" s="10"/>
      <c r="Y565" s="10"/>
      <c r="Z565" s="10"/>
      <c r="AA565" s="10"/>
      <c r="AB565" s="10"/>
      <c r="AC565" s="10"/>
      <c r="AD565" s="10"/>
      <c r="AE565" s="10"/>
      <c r="AF565" s="10"/>
      <c r="AG565" s="10"/>
      <c r="AH565" s="10"/>
      <c r="AI565" s="10"/>
      <c r="AJ565" s="10"/>
      <c r="AK565" s="10"/>
      <c r="AL565" s="10"/>
      <c r="AM565" s="10"/>
      <c r="AN565" s="10"/>
      <c r="AO565" s="10"/>
      <c r="AW565" s="143"/>
      <c r="BA565" s="10"/>
      <c r="BD565" s="10"/>
      <c r="BE565" s="10"/>
      <c r="BF565" s="10"/>
      <c r="BG565" s="10"/>
      <c r="BH565" s="10"/>
      <c r="BI565" s="10"/>
      <c r="BJ565" s="10"/>
      <c r="BK565" s="10"/>
      <c r="BL565" s="10"/>
      <c r="BS565" s="10"/>
      <c r="BT565" s="10"/>
      <c r="BV565" s="10"/>
      <c r="BW565" s="10"/>
    </row>
    <row r="566">
      <c r="A566" s="10"/>
      <c r="B566" s="10"/>
      <c r="C566" s="10"/>
      <c r="D566" s="10"/>
      <c r="E566" s="10"/>
      <c r="F566" s="10"/>
      <c r="G566" s="10"/>
      <c r="H566" s="10"/>
      <c r="J566" s="10"/>
      <c r="K566" s="10"/>
      <c r="L566" s="10"/>
      <c r="P566" s="10"/>
      <c r="V566" s="10"/>
      <c r="W566" s="10"/>
      <c r="X566" s="10"/>
      <c r="Y566" s="10"/>
      <c r="Z566" s="10"/>
      <c r="AA566" s="10"/>
      <c r="AB566" s="10"/>
      <c r="AC566" s="10"/>
      <c r="AD566" s="10"/>
      <c r="AE566" s="10"/>
      <c r="AF566" s="10"/>
      <c r="AG566" s="10"/>
      <c r="AH566" s="10"/>
      <c r="AI566" s="10"/>
      <c r="AJ566" s="10"/>
      <c r="AK566" s="10"/>
      <c r="AL566" s="10"/>
      <c r="AM566" s="10"/>
      <c r="AN566" s="10"/>
      <c r="AO566" s="10"/>
      <c r="AW566" s="143"/>
      <c r="BA566" s="10"/>
      <c r="BD566" s="10"/>
      <c r="BE566" s="10"/>
      <c r="BF566" s="10"/>
      <c r="BG566" s="10"/>
      <c r="BH566" s="10"/>
      <c r="BI566" s="10"/>
      <c r="BJ566" s="10"/>
      <c r="BK566" s="10"/>
      <c r="BL566" s="10"/>
      <c r="BS566" s="10"/>
      <c r="BT566" s="10"/>
      <c r="BV566" s="10"/>
      <c r="BW566" s="10"/>
    </row>
    <row r="567">
      <c r="A567" s="10"/>
      <c r="B567" s="10"/>
      <c r="C567" s="10"/>
      <c r="D567" s="10"/>
      <c r="E567" s="10"/>
      <c r="F567" s="10"/>
      <c r="G567" s="10"/>
      <c r="H567" s="10"/>
      <c r="J567" s="10"/>
      <c r="K567" s="10"/>
      <c r="L567" s="10"/>
      <c r="P567" s="10"/>
      <c r="V567" s="10"/>
      <c r="W567" s="10"/>
      <c r="X567" s="10"/>
      <c r="Y567" s="10"/>
      <c r="Z567" s="10"/>
      <c r="AA567" s="10"/>
      <c r="AB567" s="10"/>
      <c r="AC567" s="10"/>
      <c r="AD567" s="10"/>
      <c r="AE567" s="10"/>
      <c r="AF567" s="10"/>
      <c r="AG567" s="10"/>
      <c r="AH567" s="10"/>
      <c r="AI567" s="10"/>
      <c r="AJ567" s="10"/>
      <c r="AK567" s="10"/>
      <c r="AL567" s="10"/>
      <c r="AM567" s="10"/>
      <c r="AN567" s="10"/>
      <c r="AO567" s="10"/>
      <c r="AW567" s="143"/>
      <c r="BA567" s="10"/>
      <c r="BD567" s="10"/>
      <c r="BE567" s="10"/>
      <c r="BF567" s="10"/>
      <c r="BG567" s="10"/>
      <c r="BH567" s="10"/>
      <c r="BI567" s="10"/>
      <c r="BJ567" s="10"/>
      <c r="BK567" s="10"/>
      <c r="BL567" s="10"/>
      <c r="BS567" s="10"/>
      <c r="BT567" s="10"/>
      <c r="BV567" s="10"/>
      <c r="BW567" s="10"/>
    </row>
    <row r="568">
      <c r="A568" s="10"/>
      <c r="B568" s="10"/>
      <c r="C568" s="10"/>
      <c r="D568" s="10"/>
      <c r="E568" s="10"/>
      <c r="F568" s="10"/>
      <c r="G568" s="10"/>
      <c r="H568" s="10"/>
      <c r="J568" s="10"/>
      <c r="K568" s="10"/>
      <c r="L568" s="10"/>
      <c r="N568" s="10"/>
      <c r="V568" s="10"/>
      <c r="W568" s="10"/>
      <c r="X568" s="10"/>
      <c r="Y568" s="10"/>
      <c r="Z568" s="10"/>
      <c r="AA568" s="10"/>
      <c r="AB568" s="10"/>
      <c r="AC568" s="10"/>
      <c r="AD568" s="10"/>
      <c r="AE568" s="10"/>
      <c r="AF568" s="10"/>
      <c r="AG568" s="10"/>
      <c r="AH568" s="10"/>
      <c r="AI568" s="10"/>
      <c r="AJ568" s="10"/>
      <c r="AK568" s="10"/>
      <c r="AL568" s="10"/>
      <c r="AM568" s="10"/>
      <c r="AN568" s="10"/>
      <c r="AO568" s="10"/>
      <c r="AW568" s="143"/>
      <c r="BA568" s="10"/>
      <c r="BD568" s="10"/>
      <c r="BE568" s="10"/>
      <c r="BF568" s="10"/>
      <c r="BG568" s="10"/>
      <c r="BH568" s="10"/>
      <c r="BI568" s="10"/>
      <c r="BJ568" s="10"/>
      <c r="BK568" s="10"/>
      <c r="BL568" s="10"/>
      <c r="BS568" s="10"/>
      <c r="BT568" s="10"/>
      <c r="BV568" s="10"/>
      <c r="BW568" s="10"/>
    </row>
    <row r="569">
      <c r="A569" s="10"/>
      <c r="B569" s="10"/>
      <c r="C569" s="10"/>
      <c r="D569" s="10"/>
      <c r="E569" s="10"/>
      <c r="F569" s="10"/>
      <c r="G569" s="10"/>
      <c r="H569" s="10"/>
      <c r="J569" s="10"/>
      <c r="K569" s="10"/>
      <c r="L569" s="10"/>
      <c r="N569" s="10"/>
      <c r="V569" s="10"/>
      <c r="W569" s="10"/>
      <c r="X569" s="10"/>
      <c r="Y569" s="10"/>
      <c r="Z569" s="10"/>
      <c r="AA569" s="10"/>
      <c r="AB569" s="10"/>
      <c r="AC569" s="10"/>
      <c r="AD569" s="10"/>
      <c r="AE569" s="10"/>
      <c r="AF569" s="10"/>
      <c r="AG569" s="10"/>
      <c r="AH569" s="10"/>
      <c r="AI569" s="10"/>
      <c r="AJ569" s="10"/>
      <c r="AK569" s="10"/>
      <c r="AL569" s="10"/>
      <c r="AM569" s="10"/>
      <c r="AN569" s="10"/>
      <c r="AO569" s="10"/>
      <c r="AW569" s="143"/>
      <c r="BA569" s="10"/>
      <c r="BD569" s="10"/>
      <c r="BE569" s="10"/>
      <c r="BF569" s="10"/>
      <c r="BG569" s="10"/>
      <c r="BH569" s="10"/>
      <c r="BI569" s="10"/>
      <c r="BJ569" s="10"/>
      <c r="BK569" s="10"/>
      <c r="BL569" s="10"/>
      <c r="BS569" s="10"/>
      <c r="BT569" s="10"/>
      <c r="BV569" s="10"/>
      <c r="BW569" s="10"/>
    </row>
    <row r="570">
      <c r="A570" s="10"/>
      <c r="B570" s="10"/>
      <c r="C570" s="10"/>
      <c r="D570" s="10"/>
      <c r="E570" s="10"/>
      <c r="F570" s="10"/>
      <c r="G570" s="10"/>
      <c r="H570" s="10"/>
      <c r="J570" s="10"/>
      <c r="K570" s="10"/>
      <c r="L570" s="10"/>
      <c r="P570" s="10"/>
      <c r="V570" s="10"/>
      <c r="W570" s="10"/>
      <c r="X570" s="10"/>
      <c r="Y570" s="10"/>
      <c r="Z570" s="10"/>
      <c r="AA570" s="10"/>
      <c r="AB570" s="10"/>
      <c r="AC570" s="10"/>
      <c r="AD570" s="10"/>
      <c r="AE570" s="10"/>
      <c r="AF570" s="10"/>
      <c r="AG570" s="10"/>
      <c r="AH570" s="10"/>
      <c r="AI570" s="10"/>
      <c r="AJ570" s="10"/>
      <c r="AK570" s="10"/>
      <c r="AL570" s="10"/>
      <c r="AM570" s="10"/>
      <c r="AN570" s="10"/>
      <c r="AO570" s="10"/>
      <c r="AW570" s="143"/>
      <c r="AZ570" s="10"/>
      <c r="BA570" s="10"/>
      <c r="BD570" s="10"/>
      <c r="BE570" s="10"/>
      <c r="BF570" s="10"/>
      <c r="BG570" s="10"/>
      <c r="BH570" s="10"/>
      <c r="BI570" s="10"/>
      <c r="BJ570" s="10"/>
      <c r="BK570" s="10"/>
      <c r="BL570" s="10"/>
      <c r="BS570" s="10"/>
      <c r="BT570" s="10"/>
      <c r="BV570" s="10"/>
      <c r="BW570" s="10"/>
    </row>
    <row r="571">
      <c r="A571" s="10"/>
      <c r="B571" s="10"/>
      <c r="C571" s="10"/>
      <c r="D571" s="10"/>
      <c r="E571" s="10"/>
      <c r="F571" s="10"/>
      <c r="G571" s="10"/>
      <c r="H571" s="10"/>
      <c r="K571" s="10"/>
      <c r="L571" s="10"/>
      <c r="N571" s="10"/>
      <c r="V571" s="10"/>
      <c r="W571" s="10"/>
      <c r="Y571" s="10"/>
      <c r="Z571" s="10"/>
      <c r="AA571" s="10"/>
      <c r="AB571" s="10"/>
      <c r="AC571" s="10"/>
      <c r="AD571" s="10"/>
      <c r="AE571" s="10"/>
      <c r="AF571" s="10"/>
      <c r="AG571" s="10"/>
      <c r="AH571" s="10"/>
      <c r="AI571" s="10"/>
      <c r="AJ571" s="10"/>
      <c r="AK571" s="10"/>
      <c r="AL571" s="10"/>
      <c r="AM571" s="10"/>
      <c r="AN571" s="10"/>
      <c r="AO571" s="10"/>
      <c r="AW571" s="143"/>
      <c r="AZ571" s="10"/>
      <c r="BA571" s="10"/>
      <c r="BD571" s="10"/>
      <c r="BE571" s="10"/>
      <c r="BF571" s="10"/>
      <c r="BG571" s="10"/>
      <c r="BH571" s="10"/>
      <c r="BI571" s="10"/>
      <c r="BJ571" s="10"/>
      <c r="BK571" s="10"/>
      <c r="BL571" s="10"/>
      <c r="BS571" s="10"/>
      <c r="BT571" s="10"/>
      <c r="BV571" s="10"/>
      <c r="BW571" s="10"/>
    </row>
    <row r="572">
      <c r="A572" s="10"/>
      <c r="B572" s="10"/>
      <c r="C572" s="10"/>
      <c r="D572" s="10"/>
      <c r="E572" s="10"/>
      <c r="F572" s="10"/>
      <c r="G572" s="10"/>
      <c r="H572" s="10"/>
      <c r="J572" s="10"/>
      <c r="K572" s="10"/>
      <c r="L572" s="10"/>
      <c r="V572" s="10"/>
      <c r="W572" s="10"/>
      <c r="X572" s="10"/>
      <c r="Y572" s="10"/>
      <c r="Z572" s="10"/>
      <c r="AA572" s="10"/>
      <c r="AB572" s="10"/>
      <c r="AC572" s="10"/>
      <c r="AD572" s="10"/>
      <c r="AE572" s="10"/>
      <c r="AF572" s="10"/>
      <c r="AG572" s="10"/>
      <c r="AH572" s="10"/>
      <c r="AI572" s="10"/>
      <c r="AJ572" s="10"/>
      <c r="AK572" s="10"/>
      <c r="AL572" s="10"/>
      <c r="AM572" s="10"/>
      <c r="AN572" s="10"/>
      <c r="AO572" s="10"/>
      <c r="AW572" s="143"/>
      <c r="BA572" s="10"/>
      <c r="BD572" s="10"/>
      <c r="BE572" s="10"/>
      <c r="BF572" s="10"/>
      <c r="BG572" s="10"/>
      <c r="BH572" s="10"/>
      <c r="BI572" s="10"/>
      <c r="BJ572" s="10"/>
      <c r="BK572" s="10"/>
      <c r="BL572" s="10"/>
      <c r="BS572" s="10"/>
      <c r="BT572" s="10"/>
      <c r="BV572" s="10"/>
      <c r="BW572" s="10"/>
    </row>
    <row r="573">
      <c r="A573" s="10"/>
      <c r="B573" s="10"/>
      <c r="C573" s="10"/>
      <c r="D573" s="10"/>
      <c r="E573" s="10"/>
      <c r="F573" s="10"/>
      <c r="G573" s="10"/>
      <c r="H573" s="10"/>
      <c r="K573" s="10"/>
      <c r="L573" s="10"/>
      <c r="N573" s="10"/>
      <c r="P573" s="10"/>
      <c r="V573" s="10"/>
      <c r="W573" s="10"/>
      <c r="Y573" s="10"/>
      <c r="Z573" s="10"/>
      <c r="AA573" s="10"/>
      <c r="AB573" s="10"/>
      <c r="AC573" s="10"/>
      <c r="AD573" s="10"/>
      <c r="AE573" s="10"/>
      <c r="AF573" s="10"/>
      <c r="AG573" s="10"/>
      <c r="AH573" s="10"/>
      <c r="AI573" s="10"/>
      <c r="AJ573" s="10"/>
      <c r="AK573" s="10"/>
      <c r="AL573" s="10"/>
      <c r="AM573" s="10"/>
      <c r="AN573" s="10"/>
      <c r="AO573" s="10"/>
      <c r="AW573" s="143"/>
      <c r="BA573" s="10"/>
      <c r="BD573" s="10"/>
      <c r="BE573" s="10"/>
      <c r="BF573" s="10"/>
      <c r="BG573" s="10"/>
      <c r="BH573" s="10"/>
      <c r="BI573" s="10"/>
      <c r="BJ573" s="10"/>
      <c r="BK573" s="10"/>
      <c r="BL573" s="10"/>
      <c r="BS573" s="10"/>
      <c r="BT573" s="10"/>
      <c r="BV573" s="10"/>
      <c r="BW573" s="10"/>
    </row>
    <row r="574">
      <c r="A574" s="10"/>
      <c r="B574" s="10"/>
      <c r="C574" s="10"/>
      <c r="D574" s="10"/>
      <c r="E574" s="10"/>
      <c r="F574" s="10"/>
      <c r="G574" s="10"/>
      <c r="H574" s="10"/>
      <c r="K574" s="10"/>
      <c r="L574" s="10"/>
      <c r="U574" s="10"/>
      <c r="V574" s="10"/>
      <c r="W574" s="10"/>
      <c r="Y574" s="10"/>
      <c r="Z574" s="10"/>
      <c r="AA574" s="10"/>
      <c r="AB574" s="10"/>
      <c r="AC574" s="10"/>
      <c r="AD574" s="10"/>
      <c r="AE574" s="10"/>
      <c r="AF574" s="10"/>
      <c r="AG574" s="10"/>
      <c r="AH574" s="10"/>
      <c r="AI574" s="10"/>
      <c r="AJ574" s="10"/>
      <c r="AL574" s="10"/>
      <c r="AM574" s="10"/>
      <c r="AO574" s="10"/>
      <c r="AW574" s="143"/>
      <c r="BA574" s="10"/>
      <c r="BD574" s="10"/>
      <c r="BE574" s="10"/>
      <c r="BF574" s="10"/>
      <c r="BG574" s="10"/>
      <c r="BH574" s="10"/>
      <c r="BI574" s="10"/>
      <c r="BJ574" s="10"/>
      <c r="BK574" s="10"/>
      <c r="BS574" s="10"/>
      <c r="BT574" s="10"/>
      <c r="BV574" s="10"/>
      <c r="BW574" s="10"/>
    </row>
    <row r="575">
      <c r="B575" s="10"/>
      <c r="C575" s="10"/>
      <c r="D575" s="10"/>
      <c r="E575" s="10"/>
      <c r="F575" s="10"/>
      <c r="G575" s="10"/>
      <c r="H575" s="10"/>
      <c r="K575" s="10"/>
      <c r="L575" s="10"/>
      <c r="P575" s="10"/>
      <c r="T575" s="10"/>
      <c r="U575" s="10"/>
      <c r="V575" s="10"/>
      <c r="W575" s="10"/>
      <c r="Y575" s="10"/>
      <c r="Z575" s="10"/>
      <c r="AA575" s="10"/>
      <c r="AB575" s="10"/>
      <c r="AC575" s="10"/>
      <c r="AD575" s="10"/>
      <c r="AE575" s="10"/>
      <c r="AF575" s="10"/>
      <c r="AG575" s="10"/>
      <c r="AH575" s="10"/>
      <c r="AI575" s="10"/>
      <c r="AJ575" s="10"/>
      <c r="AL575" s="10"/>
      <c r="AM575" s="10"/>
      <c r="AO575" s="10"/>
      <c r="AW575" s="143"/>
      <c r="BA575" s="10"/>
      <c r="BD575" s="10"/>
      <c r="BE575" s="10"/>
      <c r="BF575" s="10"/>
      <c r="BG575" s="10"/>
      <c r="BH575" s="10"/>
      <c r="BI575" s="10"/>
      <c r="BJ575" s="10"/>
      <c r="BK575" s="10"/>
      <c r="BL575" s="10"/>
      <c r="BM575" s="10"/>
      <c r="BN575" s="10"/>
      <c r="BO575" s="10"/>
      <c r="BP575" s="10"/>
      <c r="BQ575" s="10"/>
      <c r="BR575" s="10"/>
      <c r="BS575" s="10"/>
      <c r="BT575" s="10"/>
      <c r="BV575" s="10"/>
      <c r="BW575" s="10"/>
    </row>
    <row r="576">
      <c r="B576" s="10"/>
      <c r="C576" s="10"/>
      <c r="D576" s="10"/>
      <c r="E576" s="10"/>
      <c r="F576" s="10"/>
      <c r="G576" s="10"/>
      <c r="H576" s="10"/>
      <c r="K576" s="10"/>
      <c r="L576" s="10"/>
      <c r="N576" s="10"/>
      <c r="T576" s="10"/>
      <c r="U576" s="10"/>
      <c r="V576" s="10"/>
      <c r="W576" s="10"/>
      <c r="Y576" s="10"/>
      <c r="Z576" s="10"/>
      <c r="AA576" s="10"/>
      <c r="AB576" s="10"/>
      <c r="AC576" s="10"/>
      <c r="AD576" s="10"/>
      <c r="AE576" s="10"/>
      <c r="AF576" s="10"/>
      <c r="AG576" s="10"/>
      <c r="AH576" s="10"/>
      <c r="AI576" s="10"/>
      <c r="AJ576" s="10"/>
      <c r="AL576" s="10"/>
      <c r="AM576" s="10"/>
      <c r="AO576" s="10"/>
      <c r="AW576" s="143"/>
      <c r="BA576" s="10"/>
      <c r="BD576" s="10"/>
      <c r="BE576" s="10"/>
      <c r="BF576" s="10"/>
      <c r="BG576" s="10"/>
      <c r="BH576" s="10"/>
      <c r="BI576" s="10"/>
      <c r="BJ576" s="10"/>
      <c r="BK576" s="10"/>
      <c r="BL576" s="10"/>
      <c r="BS576" s="10"/>
      <c r="BT576" s="10"/>
      <c r="BV576" s="10"/>
      <c r="BW576" s="10"/>
    </row>
    <row r="577">
      <c r="B577" s="10"/>
      <c r="C577" s="10"/>
      <c r="D577" s="10"/>
      <c r="E577" s="10"/>
      <c r="F577" s="10"/>
      <c r="G577" s="10"/>
      <c r="H577" s="10"/>
      <c r="K577" s="10"/>
      <c r="L577" s="10"/>
      <c r="P577" s="10"/>
      <c r="T577" s="10"/>
      <c r="U577" s="10"/>
      <c r="V577" s="10"/>
      <c r="W577" s="10"/>
      <c r="Y577" s="10"/>
      <c r="Z577" s="10"/>
      <c r="AA577" s="10"/>
      <c r="AB577" s="10"/>
      <c r="AC577" s="10"/>
      <c r="AD577" s="10"/>
      <c r="AE577" s="10"/>
      <c r="AF577" s="10"/>
      <c r="AG577" s="10"/>
      <c r="AH577" s="10"/>
      <c r="AI577" s="10"/>
      <c r="AJ577" s="10"/>
      <c r="AL577" s="10"/>
      <c r="AM577" s="10"/>
      <c r="AO577" s="10"/>
      <c r="AW577" s="143"/>
      <c r="BA577" s="10"/>
      <c r="BD577" s="10"/>
      <c r="BE577" s="10"/>
      <c r="BF577" s="10"/>
      <c r="BG577" s="10"/>
      <c r="BH577" s="10"/>
      <c r="BI577" s="10"/>
      <c r="BJ577" s="10"/>
      <c r="BK577" s="10"/>
      <c r="BL577" s="10"/>
      <c r="BS577" s="10"/>
      <c r="BT577" s="10"/>
      <c r="BV577" s="10"/>
      <c r="BW577" s="10"/>
    </row>
    <row r="578">
      <c r="B578" s="10"/>
      <c r="C578" s="10"/>
      <c r="D578" s="10"/>
      <c r="E578" s="10"/>
      <c r="F578" s="10"/>
      <c r="G578" s="10"/>
      <c r="H578" s="10"/>
      <c r="K578" s="10"/>
      <c r="L578" s="10"/>
      <c r="N578" s="10"/>
      <c r="P578" s="10"/>
      <c r="T578" s="10"/>
      <c r="U578" s="10"/>
      <c r="V578" s="10"/>
      <c r="W578" s="10"/>
      <c r="Y578" s="10"/>
      <c r="Z578" s="10"/>
      <c r="AA578" s="10"/>
      <c r="AB578" s="10"/>
      <c r="AC578" s="10"/>
      <c r="AD578" s="10"/>
      <c r="AE578" s="10"/>
      <c r="AF578" s="10"/>
      <c r="AG578" s="10"/>
      <c r="AH578" s="10"/>
      <c r="AI578" s="10"/>
      <c r="AJ578" s="10"/>
      <c r="AL578" s="10"/>
      <c r="AM578" s="10"/>
      <c r="AO578" s="10"/>
      <c r="AW578" s="143"/>
      <c r="BA578" s="10"/>
      <c r="BD578" s="10"/>
      <c r="BE578" s="10"/>
      <c r="BF578" s="10"/>
      <c r="BG578" s="10"/>
      <c r="BH578" s="10"/>
      <c r="BI578" s="10"/>
      <c r="BJ578" s="10"/>
      <c r="BK578" s="10"/>
      <c r="BL578" s="10"/>
      <c r="BS578" s="10"/>
      <c r="BT578" s="10"/>
      <c r="BV578" s="10"/>
      <c r="BW578" s="10"/>
    </row>
    <row r="579">
      <c r="B579" s="10"/>
      <c r="C579" s="10"/>
      <c r="D579" s="10"/>
      <c r="E579" s="10"/>
      <c r="F579" s="10"/>
      <c r="G579" s="10"/>
      <c r="H579" s="10"/>
      <c r="K579" s="10"/>
      <c r="L579" s="10"/>
      <c r="P579" s="10"/>
      <c r="Q579" s="10"/>
      <c r="R579" s="10"/>
      <c r="S579" s="10"/>
      <c r="T579" s="10"/>
      <c r="U579" s="10"/>
      <c r="V579" s="10"/>
      <c r="W579" s="10"/>
      <c r="Y579" s="10"/>
      <c r="Z579" s="10"/>
      <c r="AA579" s="10"/>
      <c r="AB579" s="10"/>
      <c r="AC579" s="10"/>
      <c r="AD579" s="10"/>
      <c r="AE579" s="10"/>
      <c r="AF579" s="10"/>
      <c r="AG579" s="10"/>
      <c r="AH579" s="10"/>
      <c r="AI579" s="10"/>
      <c r="AJ579" s="10"/>
      <c r="AL579" s="10"/>
      <c r="AM579" s="10"/>
      <c r="AO579" s="10"/>
      <c r="AW579" s="143"/>
      <c r="BA579" s="10"/>
      <c r="BD579" s="10"/>
      <c r="BE579" s="10"/>
      <c r="BF579" s="10"/>
      <c r="BG579" s="10"/>
      <c r="BH579" s="10"/>
      <c r="BI579" s="10"/>
      <c r="BJ579" s="10"/>
      <c r="BK579" s="10"/>
      <c r="BL579" s="10"/>
      <c r="BS579" s="10"/>
      <c r="BT579" s="10"/>
      <c r="BV579" s="10"/>
      <c r="BW579" s="10"/>
    </row>
    <row r="580">
      <c r="A580" s="10"/>
      <c r="B580" s="10"/>
      <c r="C580" s="10"/>
      <c r="D580" s="10"/>
      <c r="E580" s="10"/>
      <c r="F580" s="10"/>
      <c r="G580" s="10"/>
      <c r="H580" s="10"/>
      <c r="K580" s="10"/>
      <c r="L580" s="10"/>
      <c r="U580" s="10"/>
      <c r="V580" s="10"/>
      <c r="W580" s="10"/>
      <c r="X580" s="10"/>
      <c r="Y580" s="10"/>
      <c r="Z580" s="10"/>
      <c r="AA580" s="10"/>
      <c r="AB580" s="10"/>
      <c r="AC580" s="10"/>
      <c r="AD580" s="10"/>
      <c r="AE580" s="10"/>
      <c r="AF580" s="10"/>
      <c r="AG580" s="10"/>
      <c r="AH580" s="10"/>
      <c r="AI580" s="10"/>
      <c r="AJ580" s="10"/>
      <c r="AL580" s="10"/>
      <c r="AM580" s="10"/>
      <c r="AO580" s="10"/>
      <c r="AW580" s="143"/>
      <c r="BA580" s="10"/>
      <c r="BD580" s="10"/>
      <c r="BE580" s="10"/>
      <c r="BF580" s="10"/>
      <c r="BG580" s="10"/>
      <c r="BH580" s="10"/>
      <c r="BI580" s="10"/>
      <c r="BJ580" s="10"/>
      <c r="BK580" s="10"/>
      <c r="BS580" s="10"/>
      <c r="BT580" s="10"/>
      <c r="BV580" s="10"/>
      <c r="BW580" s="10"/>
    </row>
    <row r="581">
      <c r="A581" s="10"/>
      <c r="B581" s="10"/>
      <c r="C581" s="10"/>
      <c r="D581" s="10"/>
      <c r="E581" s="10"/>
      <c r="F581" s="10"/>
      <c r="G581" s="10"/>
      <c r="H581" s="10"/>
      <c r="J581" s="10"/>
      <c r="K581" s="10"/>
      <c r="L581" s="10"/>
      <c r="N581" s="10"/>
      <c r="U581" s="10"/>
      <c r="V581" s="10"/>
      <c r="W581" s="10"/>
      <c r="X581" s="10"/>
      <c r="Y581" s="10"/>
      <c r="Z581" s="10"/>
      <c r="AA581" s="10"/>
      <c r="AB581" s="10"/>
      <c r="AC581" s="10"/>
      <c r="AD581" s="10"/>
      <c r="AE581" s="10"/>
      <c r="AG581" s="10"/>
      <c r="AH581" s="10"/>
      <c r="AI581" s="10"/>
      <c r="AJ581" s="10"/>
      <c r="AK581" s="10"/>
      <c r="AL581" s="10"/>
      <c r="AM581" s="10"/>
      <c r="AN581" s="10"/>
      <c r="AO581" s="10"/>
      <c r="AW581" s="244"/>
      <c r="BA581" s="10"/>
      <c r="BD581" s="10"/>
      <c r="BE581" s="10"/>
      <c r="BF581" s="10"/>
      <c r="BG581" s="10"/>
      <c r="BH581" s="10"/>
      <c r="BI581" s="10"/>
      <c r="BJ581" s="10"/>
      <c r="BK581" s="10"/>
      <c r="BS581" s="10"/>
      <c r="BT581" s="10"/>
      <c r="BV581" s="10"/>
      <c r="BW581" s="10"/>
    </row>
    <row r="582">
      <c r="A582" s="10"/>
      <c r="B582" s="10"/>
      <c r="C582" s="10"/>
      <c r="D582" s="10"/>
      <c r="E582" s="10"/>
      <c r="F582" s="10"/>
      <c r="G582" s="10"/>
      <c r="H582" s="10"/>
      <c r="J582" s="10"/>
      <c r="K582" s="10"/>
      <c r="L582" s="10"/>
      <c r="U582" s="10"/>
      <c r="V582" s="10"/>
      <c r="W582" s="10"/>
      <c r="X582" s="10"/>
      <c r="Y582" s="10"/>
      <c r="Z582" s="10"/>
      <c r="AA582" s="10"/>
      <c r="AB582" s="10"/>
      <c r="AC582" s="10"/>
      <c r="AD582" s="10"/>
      <c r="AE582" s="10"/>
      <c r="AF582" s="10"/>
      <c r="AG582" s="10"/>
      <c r="AH582" s="10"/>
      <c r="AI582" s="10"/>
      <c r="AJ582" s="10"/>
      <c r="AK582" s="10"/>
      <c r="AL582" s="10"/>
      <c r="AM582" s="10"/>
      <c r="AN582" s="10"/>
      <c r="AO582" s="10"/>
      <c r="AU582" s="10"/>
      <c r="AW582" s="143"/>
      <c r="BA582" s="10"/>
      <c r="BD582" s="10"/>
      <c r="BE582" s="10"/>
      <c r="BF582" s="10"/>
      <c r="BG582" s="10"/>
      <c r="BH582" s="10"/>
      <c r="BI582" s="10"/>
      <c r="BJ582" s="10"/>
      <c r="BK582" s="10"/>
      <c r="BL582" s="10"/>
      <c r="BS582" s="10"/>
      <c r="BT582" s="10"/>
      <c r="BV582" s="10"/>
      <c r="BW582" s="10"/>
    </row>
    <row r="583">
      <c r="A583" s="10"/>
      <c r="B583" s="10"/>
      <c r="C583" s="10"/>
      <c r="D583" s="10"/>
      <c r="E583" s="10"/>
      <c r="F583" s="10"/>
      <c r="G583" s="10"/>
      <c r="H583" s="10"/>
      <c r="J583" s="10"/>
      <c r="O583" s="10"/>
      <c r="P583" s="10"/>
      <c r="U583" s="10"/>
      <c r="V583" s="10"/>
      <c r="W583" s="10"/>
      <c r="X583" s="10"/>
      <c r="Y583" s="10"/>
      <c r="Z583" s="10"/>
      <c r="AA583" s="10"/>
      <c r="AB583" s="10"/>
      <c r="AC583" s="10"/>
      <c r="AD583" s="10"/>
      <c r="AE583" s="10"/>
      <c r="AF583" s="10"/>
      <c r="AG583" s="10"/>
      <c r="AH583" s="10"/>
      <c r="AI583" s="10"/>
      <c r="AJ583" s="10"/>
      <c r="AK583" s="10"/>
      <c r="AL583" s="10"/>
      <c r="AM583" s="10"/>
      <c r="AN583" s="10"/>
      <c r="AO583" s="10"/>
      <c r="AU583" s="10"/>
      <c r="AW583" s="143"/>
      <c r="BA583" s="10"/>
      <c r="BS583" s="10"/>
      <c r="BT583" s="10"/>
      <c r="BW583" s="10"/>
    </row>
    <row r="584">
      <c r="A584" s="10"/>
      <c r="B584" s="10"/>
      <c r="C584" s="10"/>
      <c r="D584" s="10"/>
      <c r="E584" s="10"/>
      <c r="F584" s="10"/>
      <c r="G584" s="10"/>
      <c r="H584" s="10"/>
      <c r="J584" s="10"/>
      <c r="P584" s="10"/>
      <c r="V584" s="10"/>
      <c r="W584" s="10"/>
      <c r="X584" s="10"/>
      <c r="Y584" s="10"/>
      <c r="Z584" s="10"/>
      <c r="AA584" s="10"/>
      <c r="AB584" s="10"/>
      <c r="AC584" s="10"/>
      <c r="AD584" s="10"/>
      <c r="AE584" s="10"/>
      <c r="AF584" s="10"/>
      <c r="AG584" s="10"/>
      <c r="AH584" s="10"/>
      <c r="AI584" s="10"/>
      <c r="AJ584" s="10"/>
      <c r="AK584" s="10"/>
      <c r="AL584" s="10"/>
      <c r="AM584" s="10"/>
      <c r="AN584" s="10"/>
      <c r="AO584" s="10"/>
      <c r="AW584" s="143"/>
      <c r="AZ584" s="10"/>
      <c r="BA584" s="10"/>
      <c r="BE584" s="10"/>
      <c r="BF584" s="10"/>
      <c r="BG584" s="10"/>
      <c r="BH584" s="10"/>
      <c r="BI584" s="10"/>
      <c r="BJ584" s="10"/>
      <c r="BK584" s="10"/>
      <c r="BS584" s="10"/>
      <c r="BT584" s="10"/>
      <c r="BU584" s="10"/>
      <c r="BW584" s="10"/>
    </row>
    <row r="585">
      <c r="A585" s="10"/>
      <c r="B585" s="10"/>
      <c r="C585" s="10"/>
      <c r="D585" s="10"/>
      <c r="E585" s="10"/>
      <c r="F585" s="10"/>
      <c r="G585" s="10"/>
      <c r="H585" s="10"/>
      <c r="I585" s="10"/>
      <c r="J585" s="10"/>
      <c r="K585" s="10"/>
      <c r="L585" s="10"/>
      <c r="N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R585" s="10"/>
      <c r="AS585" s="10"/>
      <c r="AU585" s="10"/>
      <c r="AV585" s="10"/>
      <c r="AW585" s="143"/>
      <c r="BA585" s="10"/>
      <c r="BD585" s="10"/>
      <c r="BE585" s="10"/>
      <c r="BF585" s="10"/>
      <c r="BG585" s="10"/>
      <c r="BH585" s="10"/>
      <c r="BI585" s="10"/>
      <c r="BJ585" s="10"/>
      <c r="BK585" s="10"/>
      <c r="BS585" s="10"/>
      <c r="BT585" s="10"/>
      <c r="BV585" s="10"/>
      <c r="BW585" s="10"/>
    </row>
    <row r="586">
      <c r="A586" s="10"/>
      <c r="B586" s="10"/>
      <c r="C586" s="10"/>
      <c r="D586" s="10"/>
      <c r="E586" s="10"/>
      <c r="F586" s="10"/>
      <c r="G586" s="10"/>
      <c r="H586" s="10"/>
      <c r="I586" s="10"/>
      <c r="K586" s="10"/>
      <c r="L586" s="10"/>
      <c r="N586" s="10"/>
      <c r="O586" s="10"/>
      <c r="T586" s="10"/>
      <c r="U586" s="10"/>
      <c r="V586" s="10"/>
      <c r="W586" s="10"/>
      <c r="Y586" s="10"/>
      <c r="Z586" s="10"/>
      <c r="AA586" s="10"/>
      <c r="AB586" s="10"/>
      <c r="AC586" s="10"/>
      <c r="AD586" s="10"/>
      <c r="AE586" s="10"/>
      <c r="AF586" s="10"/>
      <c r="AG586" s="10"/>
      <c r="AH586" s="10"/>
      <c r="AI586" s="10"/>
      <c r="AJ586" s="10"/>
      <c r="AK586" s="10"/>
      <c r="AL586" s="10"/>
      <c r="AM586" s="10"/>
      <c r="AN586" s="10"/>
      <c r="AO586" s="10"/>
      <c r="AR586" s="10"/>
      <c r="AS586" s="10"/>
      <c r="AU586" s="10"/>
      <c r="AV586" s="10"/>
      <c r="AW586" s="143"/>
      <c r="AZ586" s="10"/>
      <c r="BA586" s="10"/>
      <c r="BD586" s="10"/>
      <c r="BE586" s="10"/>
      <c r="BF586" s="10"/>
      <c r="BG586" s="10"/>
      <c r="BH586" s="10"/>
      <c r="BI586" s="10"/>
      <c r="BJ586" s="10"/>
      <c r="BK586" s="10"/>
      <c r="BS586" s="10"/>
      <c r="BT586" s="10"/>
      <c r="BV586" s="10"/>
      <c r="BW586" s="10"/>
    </row>
    <row r="587">
      <c r="A587" s="10"/>
      <c r="B587" s="10"/>
      <c r="C587" s="10"/>
      <c r="D587" s="10"/>
      <c r="E587" s="10"/>
      <c r="F587" s="10"/>
      <c r="G587" s="10"/>
      <c r="H587" s="10"/>
      <c r="I587" s="10"/>
      <c r="J587" s="10"/>
      <c r="K587" s="10"/>
      <c r="L587" s="10"/>
      <c r="N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R587" s="10"/>
      <c r="AS587" s="10"/>
      <c r="AU587" s="10"/>
      <c r="AV587" s="10"/>
      <c r="AW587" s="143"/>
      <c r="BA587" s="10"/>
      <c r="BD587" s="10"/>
      <c r="BS587" s="10"/>
      <c r="BT587" s="10"/>
      <c r="BV587" s="10"/>
      <c r="BW587" s="10"/>
    </row>
    <row r="588">
      <c r="A588" s="10"/>
      <c r="B588" s="10"/>
      <c r="C588" s="10"/>
      <c r="D588" s="10"/>
      <c r="E588" s="10"/>
      <c r="F588" s="10"/>
      <c r="G588" s="10"/>
      <c r="H588" s="10"/>
      <c r="I588" s="10"/>
      <c r="J588" s="10"/>
      <c r="K588" s="10"/>
      <c r="L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R588" s="10"/>
      <c r="AS588" s="10"/>
      <c r="AU588" s="10"/>
      <c r="AV588" s="10"/>
      <c r="AW588" s="143"/>
      <c r="BA588" s="10"/>
      <c r="BD588" s="10"/>
      <c r="BT588" s="10"/>
      <c r="BV588" s="10"/>
      <c r="BW588" s="10"/>
    </row>
    <row r="589">
      <c r="A589" s="10"/>
      <c r="B589" s="10"/>
      <c r="C589" s="10"/>
      <c r="D589" s="10"/>
      <c r="E589" s="10"/>
      <c r="F589" s="10"/>
      <c r="G589" s="10"/>
      <c r="H589" s="10"/>
      <c r="I589" s="10"/>
      <c r="K589" s="10"/>
      <c r="L589" s="10"/>
      <c r="N589" s="10"/>
      <c r="P589" s="10"/>
      <c r="T589" s="10"/>
      <c r="U589" s="10"/>
      <c r="V589" s="10"/>
      <c r="W589" s="10"/>
      <c r="Y589" s="10"/>
      <c r="Z589" s="10"/>
      <c r="AA589" s="10"/>
      <c r="AB589" s="10"/>
      <c r="AC589" s="10"/>
      <c r="AD589" s="10"/>
      <c r="AE589" s="10"/>
      <c r="AF589" s="10"/>
      <c r="AG589" s="10"/>
      <c r="AH589" s="10"/>
      <c r="AI589" s="10"/>
      <c r="AJ589" s="10"/>
      <c r="AK589" s="10"/>
      <c r="AL589" s="10"/>
      <c r="AM589" s="10"/>
      <c r="AN589" s="10"/>
      <c r="AO589" s="10"/>
      <c r="AR589" s="10"/>
      <c r="AS589" s="10"/>
      <c r="AU589" s="10"/>
      <c r="AW589" s="143"/>
      <c r="BA589" s="10"/>
      <c r="BD589" s="10"/>
      <c r="BS589" s="10"/>
      <c r="BT589" s="10"/>
      <c r="BV589" s="10"/>
      <c r="BW589" s="10"/>
    </row>
    <row r="590">
      <c r="A590" s="10"/>
      <c r="B590" s="10"/>
      <c r="C590" s="10"/>
      <c r="D590" s="10"/>
      <c r="E590" s="10"/>
      <c r="F590" s="10"/>
      <c r="G590" s="10"/>
      <c r="H590" s="10"/>
      <c r="I590" s="10"/>
      <c r="K590" s="10"/>
      <c r="L590" s="10"/>
      <c r="N590" s="10"/>
      <c r="T590" s="10"/>
      <c r="U590" s="10"/>
      <c r="V590" s="10"/>
      <c r="W590" s="10"/>
      <c r="Y590" s="10"/>
      <c r="Z590" s="10"/>
      <c r="AA590" s="10"/>
      <c r="AB590" s="10"/>
      <c r="AC590" s="10"/>
      <c r="AD590" s="10"/>
      <c r="AE590" s="10"/>
      <c r="AF590" s="10"/>
      <c r="AG590" s="10"/>
      <c r="AH590" s="10"/>
      <c r="AI590" s="10"/>
      <c r="AJ590" s="10"/>
      <c r="AK590" s="10"/>
      <c r="AL590" s="10"/>
      <c r="AM590" s="10"/>
      <c r="AN590" s="10"/>
      <c r="AO590" s="10"/>
      <c r="AR590" s="10"/>
      <c r="AS590" s="10"/>
      <c r="AU590" s="10"/>
      <c r="AV590" s="10"/>
      <c r="AW590" s="143"/>
      <c r="BA590" s="10"/>
      <c r="BD590" s="10"/>
      <c r="BS590" s="10"/>
      <c r="BT590" s="10"/>
      <c r="BV590" s="10"/>
      <c r="BW590" s="10"/>
    </row>
    <row r="591">
      <c r="A591" s="10"/>
      <c r="B591" s="10"/>
      <c r="C591" s="10"/>
      <c r="D591" s="10"/>
      <c r="E591" s="10"/>
      <c r="F591" s="10"/>
      <c r="G591" s="10"/>
      <c r="H591" s="10"/>
      <c r="I591" s="10"/>
      <c r="J591" s="10"/>
      <c r="K591" s="10"/>
      <c r="L591" s="10"/>
      <c r="N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R591" s="10"/>
      <c r="AS591" s="10"/>
      <c r="AU591" s="10"/>
      <c r="AV591" s="10"/>
      <c r="AW591" s="143"/>
      <c r="BA591" s="10"/>
      <c r="BD591" s="10"/>
      <c r="BS591" s="10"/>
      <c r="BT591" s="10"/>
      <c r="BV591" s="10"/>
      <c r="BW591" s="10"/>
    </row>
    <row r="592">
      <c r="A592" s="10"/>
      <c r="B592" s="10"/>
      <c r="C592" s="10"/>
      <c r="D592" s="10"/>
      <c r="E592" s="10"/>
      <c r="F592" s="10"/>
      <c r="G592" s="10"/>
      <c r="H592" s="10"/>
      <c r="I592" s="10"/>
      <c r="J592" s="10"/>
      <c r="K592" s="10"/>
      <c r="L592" s="10"/>
      <c r="N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R592" s="10"/>
      <c r="AS592" s="10"/>
      <c r="AU592" s="10"/>
      <c r="AV592" s="10"/>
      <c r="AW592" s="143"/>
      <c r="BA592" s="10"/>
      <c r="BD592" s="10"/>
      <c r="BS592" s="10"/>
      <c r="BT592" s="10"/>
      <c r="BV592" s="10"/>
      <c r="BW592" s="10"/>
    </row>
    <row r="593">
      <c r="A593" s="10"/>
      <c r="B593" s="10"/>
      <c r="C593" s="10"/>
      <c r="D593" s="10"/>
      <c r="E593" s="10"/>
      <c r="F593" s="10"/>
      <c r="G593" s="10"/>
      <c r="H593" s="10"/>
      <c r="I593" s="10"/>
      <c r="J593" s="10"/>
      <c r="K593" s="10"/>
      <c r="L593" s="10"/>
      <c r="N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R593" s="10"/>
      <c r="AS593" s="10"/>
      <c r="AU593" s="10"/>
      <c r="AV593" s="10"/>
      <c r="AW593" s="143"/>
      <c r="BA593" s="10"/>
      <c r="BD593" s="10"/>
      <c r="BS593" s="10"/>
      <c r="BT593" s="10"/>
      <c r="BV593" s="10"/>
      <c r="BW593" s="10"/>
    </row>
    <row r="594">
      <c r="A594" s="10"/>
      <c r="B594" s="10"/>
      <c r="C594" s="10"/>
      <c r="D594" s="10"/>
      <c r="E594" s="10"/>
      <c r="F594" s="10"/>
      <c r="G594" s="10"/>
      <c r="H594" s="10"/>
      <c r="I594" s="10"/>
      <c r="J594" s="10"/>
      <c r="K594" s="10"/>
      <c r="L594" s="10"/>
      <c r="O594" s="10"/>
      <c r="P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R594" s="10"/>
      <c r="AS594" s="10"/>
      <c r="AU594" s="10"/>
      <c r="AV594" s="10"/>
      <c r="AW594" s="143"/>
      <c r="AZ594" s="10"/>
      <c r="BA594" s="10"/>
      <c r="BD594" s="10"/>
      <c r="BS594" s="10"/>
      <c r="BT594" s="10"/>
      <c r="BV594" s="10"/>
      <c r="BW594" s="10"/>
    </row>
    <row r="595">
      <c r="A595" s="10"/>
      <c r="B595" s="10"/>
      <c r="C595" s="10"/>
      <c r="D595" s="10"/>
      <c r="E595" s="10"/>
      <c r="F595" s="10"/>
      <c r="G595" s="10"/>
      <c r="H595" s="10"/>
      <c r="I595" s="10"/>
      <c r="J595" s="10"/>
      <c r="K595" s="10"/>
      <c r="L595" s="10"/>
      <c r="N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R595" s="10"/>
      <c r="AS595" s="10"/>
      <c r="AU595" s="10"/>
      <c r="AV595" s="10"/>
      <c r="AW595" s="143"/>
      <c r="AZ595" s="10"/>
      <c r="BA595" s="10"/>
      <c r="BD595" s="10"/>
      <c r="BS595" s="10"/>
      <c r="BT595" s="10"/>
      <c r="BV595" s="10"/>
      <c r="BW595" s="10"/>
    </row>
    <row r="596">
      <c r="A596" s="10"/>
      <c r="B596" s="10"/>
      <c r="C596" s="10"/>
      <c r="D596" s="10"/>
      <c r="E596" s="10"/>
      <c r="F596" s="10"/>
      <c r="G596" s="10"/>
      <c r="H596" s="10"/>
      <c r="I596" s="10"/>
      <c r="K596" s="10"/>
      <c r="L596" s="10"/>
      <c r="U596" s="10"/>
      <c r="V596" s="10"/>
      <c r="W596" s="10"/>
      <c r="Y596" s="10"/>
      <c r="Z596" s="10"/>
      <c r="AA596" s="10"/>
      <c r="AB596" s="10"/>
      <c r="AC596" s="10"/>
      <c r="AD596" s="10"/>
      <c r="AE596" s="10"/>
      <c r="AF596" s="10"/>
      <c r="AG596" s="10"/>
      <c r="AH596" s="10"/>
      <c r="AI596" s="10"/>
      <c r="AJ596" s="10"/>
      <c r="AK596" s="10"/>
      <c r="AL596" s="10"/>
      <c r="AM596" s="10"/>
      <c r="AO596" s="10"/>
      <c r="AR596" s="10"/>
      <c r="AS596" s="10"/>
      <c r="AU596" s="10"/>
      <c r="AV596" s="10"/>
      <c r="AW596" s="143"/>
      <c r="BA596" s="10"/>
      <c r="BD596" s="10"/>
      <c r="BE596" s="10"/>
      <c r="BF596" s="10"/>
      <c r="BG596" s="10"/>
      <c r="BH596" s="10"/>
      <c r="BI596" s="10"/>
      <c r="BJ596" s="10"/>
      <c r="BK596" s="10"/>
      <c r="BS596" s="10"/>
      <c r="BT596" s="10"/>
      <c r="BV596" s="10"/>
      <c r="BW596" s="10"/>
    </row>
    <row r="597">
      <c r="A597" s="10"/>
      <c r="B597" s="10"/>
      <c r="C597" s="10"/>
      <c r="D597" s="10"/>
      <c r="E597" s="10"/>
      <c r="F597" s="10"/>
      <c r="G597" s="10"/>
      <c r="H597" s="10"/>
      <c r="I597" s="10"/>
      <c r="K597" s="10"/>
      <c r="L597" s="10"/>
      <c r="N597" s="10"/>
      <c r="U597" s="10"/>
      <c r="V597" s="10"/>
      <c r="W597" s="10"/>
      <c r="Y597" s="10"/>
      <c r="Z597" s="10"/>
      <c r="AA597" s="10"/>
      <c r="AB597" s="10"/>
      <c r="AC597" s="10"/>
      <c r="AD597" s="10"/>
      <c r="AE597" s="10"/>
      <c r="AF597" s="10"/>
      <c r="AG597" s="10"/>
      <c r="AH597" s="10"/>
      <c r="AI597" s="10"/>
      <c r="AJ597" s="10"/>
      <c r="AK597" s="10"/>
      <c r="AL597" s="10"/>
      <c r="AM597" s="10"/>
      <c r="AO597" s="10"/>
      <c r="AR597" s="10"/>
      <c r="AS597" s="10"/>
      <c r="AU597" s="10"/>
      <c r="AV597" s="10"/>
      <c r="AW597" s="143"/>
      <c r="BA597" s="10"/>
      <c r="BD597" s="10"/>
      <c r="BE597" s="10"/>
      <c r="BF597" s="10"/>
      <c r="BG597" s="10"/>
      <c r="BH597" s="10"/>
      <c r="BI597" s="10"/>
      <c r="BJ597" s="10"/>
      <c r="BK597" s="10"/>
      <c r="BS597" s="10"/>
      <c r="BT597" s="10"/>
      <c r="BV597" s="10"/>
      <c r="BW597" s="10"/>
    </row>
    <row r="598">
      <c r="A598" s="10"/>
      <c r="B598" s="10"/>
      <c r="C598" s="10"/>
      <c r="D598" s="10"/>
      <c r="E598" s="10"/>
      <c r="F598" s="10"/>
      <c r="G598" s="10"/>
      <c r="H598" s="10"/>
      <c r="I598" s="10"/>
      <c r="K598" s="10"/>
      <c r="L598" s="10"/>
      <c r="Q598" s="10"/>
      <c r="R598" s="10"/>
      <c r="S598" s="10"/>
      <c r="T598" s="10"/>
      <c r="U598" s="10"/>
      <c r="V598" s="10"/>
      <c r="W598" s="10"/>
      <c r="Y598" s="10"/>
      <c r="Z598" s="10"/>
      <c r="AA598" s="10"/>
      <c r="AB598" s="10"/>
      <c r="AC598" s="10"/>
      <c r="AD598" s="10"/>
      <c r="AE598" s="10"/>
      <c r="AF598" s="10"/>
      <c r="AG598" s="10"/>
      <c r="AH598" s="10"/>
      <c r="AI598" s="10"/>
      <c r="AJ598" s="10"/>
      <c r="AK598" s="10"/>
      <c r="AL598" s="10"/>
      <c r="AM598" s="10"/>
      <c r="AN598" s="10"/>
      <c r="AO598" s="10"/>
      <c r="AR598" s="10"/>
      <c r="AS598" s="10"/>
      <c r="AU598" s="10"/>
      <c r="AV598" s="10"/>
      <c r="AW598" s="143"/>
      <c r="BA598" s="10"/>
      <c r="BD598" s="10"/>
      <c r="BE598" s="10"/>
      <c r="BF598" s="10"/>
      <c r="BG598" s="10"/>
      <c r="BH598" s="10"/>
      <c r="BI598" s="10"/>
      <c r="BJ598" s="10"/>
      <c r="BK598" s="10"/>
      <c r="BN598" s="10"/>
      <c r="BO598" s="10"/>
      <c r="BQ598" s="10"/>
      <c r="BR598" s="10"/>
      <c r="BS598" s="10"/>
      <c r="BT598" s="10"/>
      <c r="BV598" s="10"/>
      <c r="BW598" s="10"/>
    </row>
    <row r="599">
      <c r="A599" s="10"/>
      <c r="B599" s="10"/>
      <c r="C599" s="10"/>
      <c r="D599" s="10"/>
      <c r="E599" s="10"/>
      <c r="F599" s="10"/>
      <c r="G599" s="10"/>
      <c r="H599" s="10"/>
      <c r="I599" s="10"/>
      <c r="K599" s="10"/>
      <c r="L599" s="10"/>
      <c r="T599" s="10"/>
      <c r="U599" s="10"/>
      <c r="V599" s="10"/>
      <c r="W599" s="10"/>
      <c r="Y599" s="10"/>
      <c r="Z599" s="10"/>
      <c r="AA599" s="10"/>
      <c r="AB599" s="10"/>
      <c r="AC599" s="10"/>
      <c r="AD599" s="10"/>
      <c r="AE599" s="10"/>
      <c r="AF599" s="10"/>
      <c r="AG599" s="10"/>
      <c r="AH599" s="10"/>
      <c r="AI599" s="10"/>
      <c r="AJ599" s="10"/>
      <c r="AK599" s="10"/>
      <c r="AL599" s="10"/>
      <c r="AM599" s="10"/>
      <c r="AN599" s="10"/>
      <c r="AO599" s="10"/>
      <c r="AR599" s="10"/>
      <c r="AS599" s="10"/>
      <c r="AU599" s="10"/>
      <c r="AV599" s="10"/>
      <c r="AW599" s="143"/>
      <c r="BA599" s="10"/>
      <c r="BD599" s="10"/>
      <c r="BE599" s="10"/>
      <c r="BF599" s="10"/>
      <c r="BG599" s="10"/>
      <c r="BH599" s="10"/>
      <c r="BI599" s="10"/>
      <c r="BJ599" s="10"/>
      <c r="BK599" s="10"/>
      <c r="BT599" s="10"/>
      <c r="BV599" s="10"/>
      <c r="BW599" s="10"/>
    </row>
    <row r="600">
      <c r="A600" s="10"/>
      <c r="B600" s="10"/>
      <c r="C600" s="10"/>
      <c r="D600" s="10"/>
      <c r="E600" s="10"/>
      <c r="F600" s="10"/>
      <c r="G600" s="10"/>
      <c r="H600" s="10"/>
      <c r="I600" s="10"/>
      <c r="K600" s="10"/>
      <c r="L600" s="10"/>
      <c r="Q600" s="10"/>
      <c r="R600" s="10"/>
      <c r="S600" s="10"/>
      <c r="T600" s="10"/>
      <c r="U600" s="10"/>
      <c r="V600" s="10"/>
      <c r="W600" s="10"/>
      <c r="Y600" s="10"/>
      <c r="Z600" s="10"/>
      <c r="AA600" s="10"/>
      <c r="AB600" s="10"/>
      <c r="AC600" s="10"/>
      <c r="AD600" s="10"/>
      <c r="AE600" s="10"/>
      <c r="AF600" s="10"/>
      <c r="AG600" s="10"/>
      <c r="AH600" s="10"/>
      <c r="AI600" s="10"/>
      <c r="AJ600" s="10"/>
      <c r="AK600" s="10"/>
      <c r="AL600" s="10"/>
      <c r="AM600" s="10"/>
      <c r="AN600" s="10"/>
      <c r="AO600" s="10"/>
      <c r="AR600" s="10"/>
      <c r="AS600" s="10"/>
      <c r="AU600" s="10"/>
      <c r="AV600" s="10"/>
      <c r="AW600" s="143"/>
      <c r="BA600" s="10"/>
      <c r="BD600" s="10"/>
      <c r="BE600" s="10"/>
      <c r="BF600" s="10"/>
      <c r="BG600" s="10"/>
      <c r="BH600" s="10"/>
      <c r="BI600" s="10"/>
      <c r="BJ600" s="10"/>
      <c r="BK600" s="10"/>
      <c r="BN600" s="10"/>
      <c r="BQ600" s="10"/>
      <c r="BT600" s="10"/>
      <c r="BV600" s="10"/>
      <c r="BW600" s="10"/>
    </row>
    <row r="601">
      <c r="A601" s="10"/>
      <c r="B601" s="10"/>
      <c r="C601" s="10"/>
      <c r="D601" s="10"/>
      <c r="E601" s="10"/>
      <c r="F601" s="10"/>
      <c r="G601" s="10"/>
      <c r="H601" s="10"/>
      <c r="I601" s="10"/>
      <c r="K601" s="10"/>
      <c r="L601" s="10"/>
      <c r="P601" s="10"/>
      <c r="T601" s="10"/>
      <c r="U601" s="10"/>
      <c r="V601" s="10"/>
      <c r="W601" s="10"/>
      <c r="Y601" s="10"/>
      <c r="Z601" s="10"/>
      <c r="AA601" s="10"/>
      <c r="AB601" s="10"/>
      <c r="AC601" s="10"/>
      <c r="AD601" s="10"/>
      <c r="AE601" s="10"/>
      <c r="AF601" s="10"/>
      <c r="AG601" s="10"/>
      <c r="AH601" s="10"/>
      <c r="AI601" s="10"/>
      <c r="AJ601" s="10"/>
      <c r="AK601" s="10"/>
      <c r="AL601" s="10"/>
      <c r="AM601" s="10"/>
      <c r="AN601" s="10"/>
      <c r="AO601" s="10"/>
      <c r="AR601" s="10"/>
      <c r="AS601" s="10"/>
      <c r="AU601" s="10"/>
      <c r="AW601" s="143"/>
      <c r="BA601" s="10"/>
      <c r="BD601" s="10"/>
      <c r="BL601" s="10"/>
      <c r="BO601" s="10"/>
      <c r="BR601" s="10"/>
      <c r="BS601" s="10"/>
      <c r="BT601" s="10"/>
      <c r="BV601" s="10"/>
      <c r="BW601" s="10"/>
    </row>
    <row r="602">
      <c r="A602" s="10"/>
      <c r="B602" s="10"/>
      <c r="C602" s="10"/>
      <c r="D602" s="10"/>
      <c r="E602" s="10"/>
      <c r="F602" s="10"/>
      <c r="G602" s="10"/>
      <c r="H602" s="10"/>
      <c r="I602" s="10"/>
      <c r="J602" s="10"/>
      <c r="K602" s="10"/>
      <c r="L602" s="10"/>
      <c r="P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R602" s="10"/>
      <c r="AS602" s="10"/>
      <c r="AU602" s="10"/>
      <c r="AW602" s="143"/>
      <c r="AZ602" s="10"/>
      <c r="BA602" s="10"/>
      <c r="BD602" s="10"/>
      <c r="BS602" s="10"/>
      <c r="BT602" s="10"/>
      <c r="BV602" s="10"/>
      <c r="BW602" s="10"/>
    </row>
    <row r="603">
      <c r="A603" s="10"/>
      <c r="B603" s="10"/>
      <c r="C603" s="10"/>
      <c r="D603" s="10"/>
      <c r="E603" s="10"/>
      <c r="F603" s="10"/>
      <c r="G603" s="10"/>
      <c r="H603" s="10"/>
      <c r="I603" s="10"/>
      <c r="J603" s="10"/>
      <c r="K603" s="10"/>
      <c r="L603" s="10"/>
      <c r="N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U603" s="10"/>
      <c r="AW603" s="143"/>
      <c r="BA603" s="10"/>
      <c r="BD603" s="10"/>
      <c r="BT603" s="10"/>
      <c r="BV603" s="10"/>
      <c r="BW603" s="10"/>
    </row>
    <row r="604">
      <c r="A604" s="10"/>
      <c r="B604" s="10"/>
      <c r="C604" s="10"/>
      <c r="D604" s="10"/>
      <c r="E604" s="10"/>
      <c r="F604" s="10"/>
      <c r="G604" s="10"/>
      <c r="H604" s="10"/>
      <c r="I604" s="10"/>
      <c r="J604" s="10"/>
      <c r="K604" s="10"/>
      <c r="L604" s="10"/>
      <c r="O604" s="10"/>
      <c r="P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R604" s="10"/>
      <c r="AS604" s="10"/>
      <c r="AU604" s="10"/>
      <c r="AW604" s="143"/>
      <c r="BA604" s="10"/>
      <c r="BD604" s="10"/>
      <c r="BS604" s="10"/>
      <c r="BT604" s="10"/>
      <c r="BV604" s="10"/>
      <c r="BW604" s="10"/>
    </row>
    <row r="605">
      <c r="A605" s="10"/>
      <c r="B605" s="10"/>
      <c r="C605" s="10"/>
      <c r="D605" s="10"/>
      <c r="E605" s="10"/>
      <c r="F605" s="10"/>
      <c r="G605" s="10"/>
      <c r="H605" s="10"/>
      <c r="I605" s="10"/>
      <c r="J605" s="10"/>
      <c r="K605" s="10"/>
      <c r="L605" s="10"/>
      <c r="N605" s="10"/>
      <c r="P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c r="AU605" s="10"/>
      <c r="AW605" s="143"/>
      <c r="BA605" s="10"/>
      <c r="BD605" s="10"/>
      <c r="BS605" s="10"/>
      <c r="BT605" s="10"/>
      <c r="BV605" s="10"/>
      <c r="BW605" s="10"/>
    </row>
    <row r="606">
      <c r="A606" s="10"/>
      <c r="B606" s="10"/>
      <c r="C606" s="10"/>
      <c r="D606" s="10"/>
      <c r="E606" s="10"/>
      <c r="F606" s="10"/>
      <c r="G606" s="10"/>
      <c r="H606" s="10"/>
      <c r="I606" s="10"/>
      <c r="J606" s="10"/>
      <c r="K606" s="10"/>
      <c r="L606" s="10"/>
      <c r="N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R606" s="10"/>
      <c r="AS606" s="10"/>
      <c r="AU606" s="10"/>
      <c r="AW606" s="143"/>
      <c r="BA606" s="10"/>
      <c r="BD606" s="10"/>
      <c r="BS606" s="10"/>
      <c r="BT606" s="10"/>
      <c r="BV606" s="10"/>
      <c r="BW606" s="10"/>
    </row>
    <row r="607">
      <c r="A607" s="10"/>
      <c r="B607" s="10"/>
      <c r="C607" s="10"/>
      <c r="D607" s="10"/>
      <c r="E607" s="10"/>
      <c r="F607" s="10"/>
      <c r="G607" s="10"/>
      <c r="H607" s="10"/>
      <c r="I607" s="10"/>
      <c r="J607" s="10"/>
      <c r="K607" s="10"/>
      <c r="L607" s="10"/>
      <c r="N607" s="10"/>
      <c r="P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R607" s="10"/>
      <c r="AS607" s="10"/>
      <c r="AU607" s="10"/>
      <c r="AW607" s="143"/>
      <c r="BA607" s="10"/>
      <c r="BD607" s="10"/>
      <c r="BS607" s="10"/>
      <c r="BT607" s="10"/>
      <c r="BV607" s="10"/>
      <c r="BW607" s="10"/>
    </row>
    <row r="608">
      <c r="A608" s="10"/>
      <c r="B608" s="10"/>
      <c r="C608" s="10"/>
      <c r="D608" s="10"/>
      <c r="E608" s="10"/>
      <c r="F608" s="10"/>
      <c r="G608" s="10"/>
      <c r="H608" s="10"/>
      <c r="I608" s="10"/>
      <c r="J608" s="10"/>
      <c r="K608" s="10"/>
      <c r="L608" s="10"/>
      <c r="N608" s="10"/>
      <c r="P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U608" s="10"/>
      <c r="AW608" s="143"/>
      <c r="BA608" s="10"/>
      <c r="BD608" s="10"/>
      <c r="BS608" s="10"/>
      <c r="BT608" s="10"/>
      <c r="BV608" s="10"/>
      <c r="BW608" s="10"/>
    </row>
    <row r="609">
      <c r="A609" s="10"/>
      <c r="B609" s="10"/>
      <c r="C609" s="10"/>
      <c r="D609" s="10"/>
      <c r="E609" s="10"/>
      <c r="F609" s="10"/>
      <c r="G609" s="10"/>
      <c r="H609" s="10"/>
      <c r="I609" s="10"/>
      <c r="J609" s="10"/>
      <c r="K609" s="10"/>
      <c r="L609" s="10"/>
      <c r="N609" s="10"/>
      <c r="P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R609" s="10"/>
      <c r="AS609" s="10"/>
      <c r="AU609" s="10"/>
      <c r="AW609" s="143"/>
      <c r="BA609" s="10"/>
      <c r="BD609" s="10"/>
      <c r="BT609" s="10"/>
      <c r="BV609" s="10"/>
      <c r="BW609" s="10"/>
    </row>
    <row r="610">
      <c r="A610" s="10"/>
      <c r="B610" s="10"/>
      <c r="C610" s="10"/>
      <c r="D610" s="10"/>
      <c r="E610" s="10"/>
      <c r="F610" s="10"/>
      <c r="G610" s="10"/>
      <c r="H610" s="10"/>
      <c r="I610" s="10"/>
      <c r="J610" s="10"/>
      <c r="K610" s="10"/>
      <c r="L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W610" s="143"/>
      <c r="BA610" s="10"/>
      <c r="BD610" s="10"/>
      <c r="BL610" s="10"/>
      <c r="BO610" s="10"/>
      <c r="BR610" s="10"/>
      <c r="BS610" s="10"/>
      <c r="BT610" s="10"/>
      <c r="BV610" s="10"/>
      <c r="BW610" s="10"/>
    </row>
    <row r="611">
      <c r="A611" s="10"/>
      <c r="B611" s="10"/>
      <c r="C611" s="10"/>
      <c r="D611" s="10"/>
      <c r="E611" s="10"/>
      <c r="F611" s="10"/>
      <c r="G611" s="10"/>
      <c r="H611" s="10"/>
      <c r="I611" s="10"/>
      <c r="J611" s="10"/>
      <c r="K611" s="10"/>
      <c r="L611" s="10"/>
      <c r="O611" s="10"/>
      <c r="P611" s="10"/>
      <c r="Q611" s="10"/>
      <c r="R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W611" s="143"/>
      <c r="BA611" s="10"/>
      <c r="BD611" s="10"/>
      <c r="BS611" s="10"/>
      <c r="BT611" s="10"/>
      <c r="BV611" s="10"/>
      <c r="BW611" s="10"/>
    </row>
    <row r="612">
      <c r="A612" s="10"/>
      <c r="B612" s="10"/>
      <c r="C612" s="10"/>
      <c r="D612" s="10"/>
      <c r="E612" s="10"/>
      <c r="F612" s="10"/>
      <c r="G612" s="10"/>
      <c r="H612" s="10"/>
      <c r="K612" s="10"/>
      <c r="L612" s="10"/>
      <c r="Q612" s="10"/>
      <c r="R612" s="10"/>
      <c r="V612" s="10"/>
      <c r="W612" s="10"/>
      <c r="Y612" s="10"/>
      <c r="Z612" s="10"/>
      <c r="AA612" s="10"/>
      <c r="AB612" s="10"/>
      <c r="AC612" s="10"/>
      <c r="AD612" s="10"/>
      <c r="AE612" s="10"/>
      <c r="AF612" s="10"/>
      <c r="AG612" s="10"/>
      <c r="AH612" s="10"/>
      <c r="AI612" s="10"/>
      <c r="AJ612" s="10"/>
      <c r="AK612" s="10"/>
      <c r="AL612" s="10"/>
      <c r="AM612" s="10"/>
      <c r="AO612" s="10"/>
      <c r="AW612" s="143"/>
      <c r="BA612" s="10"/>
      <c r="BD612" s="10"/>
      <c r="BE612" s="10"/>
      <c r="BF612" s="10"/>
      <c r="BG612" s="10"/>
      <c r="BH612" s="10"/>
      <c r="BI612" s="10"/>
      <c r="BJ612" s="10"/>
      <c r="BK612" s="10"/>
      <c r="BL612" s="10"/>
      <c r="BM612" s="10"/>
      <c r="BN612" s="10"/>
      <c r="BO612" s="10"/>
      <c r="BP612" s="10"/>
      <c r="BQ612" s="10"/>
      <c r="BR612" s="10"/>
      <c r="BS612" s="10"/>
      <c r="BT612" s="10"/>
      <c r="BV612" s="10"/>
      <c r="BW612" s="10"/>
    </row>
    <row r="613">
      <c r="A613" s="10"/>
      <c r="B613" s="10"/>
      <c r="C613" s="10"/>
      <c r="D613" s="10"/>
      <c r="E613" s="10"/>
      <c r="F613" s="10"/>
      <c r="G613" s="10"/>
      <c r="H613" s="10"/>
      <c r="K613" s="10"/>
      <c r="L613" s="10"/>
      <c r="P613" s="10"/>
      <c r="U613" s="10"/>
      <c r="V613" s="10"/>
      <c r="W613" s="10"/>
      <c r="Y613" s="10"/>
      <c r="Z613" s="10"/>
      <c r="AA613" s="10"/>
      <c r="AB613" s="10"/>
      <c r="AC613" s="10"/>
      <c r="AD613" s="10"/>
      <c r="AE613" s="10"/>
      <c r="AF613" s="10"/>
      <c r="AG613" s="10"/>
      <c r="AH613" s="10"/>
      <c r="AI613" s="10"/>
      <c r="AJ613" s="10"/>
      <c r="AK613" s="10"/>
      <c r="AL613" s="10"/>
      <c r="AM613" s="10"/>
      <c r="AN613" s="10"/>
      <c r="AO613" s="10"/>
      <c r="AW613" s="143"/>
      <c r="BA613" s="10"/>
      <c r="BD613" s="10"/>
      <c r="BE613" s="10"/>
      <c r="BF613" s="10"/>
      <c r="BG613" s="10"/>
      <c r="BH613" s="10"/>
      <c r="BI613" s="10"/>
      <c r="BJ613" s="10"/>
      <c r="BK613" s="10"/>
      <c r="BL613" s="10"/>
      <c r="BS613" s="10"/>
      <c r="BT613" s="10"/>
      <c r="BV613" s="10"/>
      <c r="BW613" s="10"/>
    </row>
    <row r="614">
      <c r="A614" s="10"/>
      <c r="B614" s="10"/>
      <c r="C614" s="10"/>
      <c r="D614" s="10"/>
      <c r="E614" s="10"/>
      <c r="F614" s="10"/>
      <c r="G614" s="10"/>
      <c r="H614" s="10"/>
      <c r="K614" s="10"/>
      <c r="L614" s="10"/>
      <c r="P614" s="10"/>
      <c r="U614" s="10"/>
      <c r="V614" s="10"/>
      <c r="W614" s="10"/>
      <c r="X614" s="10"/>
      <c r="Y614" s="10"/>
      <c r="Z614" s="10"/>
      <c r="AA614" s="10"/>
      <c r="AB614" s="10"/>
      <c r="AC614" s="10"/>
      <c r="AD614" s="10"/>
      <c r="AE614" s="10"/>
      <c r="AF614" s="10"/>
      <c r="AG614" s="10"/>
      <c r="AH614" s="10"/>
      <c r="AI614" s="10"/>
      <c r="AJ614" s="10"/>
      <c r="AK614" s="10"/>
      <c r="AL614" s="10"/>
      <c r="AM614" s="10"/>
      <c r="AN614" s="10"/>
      <c r="AO614" s="10"/>
      <c r="AW614" s="143"/>
      <c r="BA614" s="10"/>
      <c r="BD614" s="10"/>
      <c r="BE614" s="10"/>
      <c r="BF614" s="10"/>
      <c r="BG614" s="10"/>
      <c r="BH614" s="10"/>
      <c r="BI614" s="10"/>
      <c r="BJ614" s="10"/>
      <c r="BK614" s="10"/>
      <c r="BS614" s="10"/>
      <c r="BT614" s="10"/>
      <c r="BV614" s="10"/>
      <c r="BW614" s="10"/>
    </row>
    <row r="615">
      <c r="A615" s="10"/>
      <c r="B615" s="10"/>
      <c r="C615" s="10"/>
      <c r="D615" s="10"/>
      <c r="E615" s="10"/>
      <c r="F615" s="10"/>
      <c r="G615" s="10"/>
      <c r="H615" s="10"/>
      <c r="K615" s="10"/>
      <c r="L615" s="10"/>
      <c r="U615" s="10"/>
      <c r="V615" s="10"/>
      <c r="W615" s="10"/>
      <c r="X615" s="10"/>
      <c r="Y615" s="10"/>
      <c r="Z615" s="10"/>
      <c r="AA615" s="10"/>
      <c r="AB615" s="10"/>
      <c r="AC615" s="10"/>
      <c r="AD615" s="10"/>
      <c r="AE615" s="10"/>
      <c r="AF615" s="10"/>
      <c r="AG615" s="10"/>
      <c r="AH615" s="10"/>
      <c r="AI615" s="10"/>
      <c r="AJ615" s="10"/>
      <c r="AK615" s="10"/>
      <c r="AL615" s="10"/>
      <c r="AM615" s="10"/>
      <c r="AN615" s="10"/>
      <c r="AO615" s="10"/>
      <c r="AW615" s="143"/>
      <c r="BA615" s="10"/>
      <c r="BD615" s="10"/>
      <c r="BE615" s="10"/>
      <c r="BF615" s="10"/>
      <c r="BG615" s="10"/>
      <c r="BH615" s="10"/>
      <c r="BI615" s="10"/>
      <c r="BJ615" s="10"/>
      <c r="BK615" s="10"/>
      <c r="BT615" s="10"/>
      <c r="BV615" s="10"/>
      <c r="BW615" s="10"/>
    </row>
    <row r="616">
      <c r="A616" s="10"/>
      <c r="B616" s="10"/>
      <c r="C616" s="10"/>
      <c r="D616" s="10"/>
      <c r="E616" s="10"/>
      <c r="F616" s="10"/>
      <c r="G616" s="10"/>
      <c r="H616" s="10"/>
      <c r="I616" s="10"/>
      <c r="J616" s="10"/>
      <c r="K616" s="10"/>
      <c r="L616" s="10"/>
      <c r="N616" s="10"/>
      <c r="P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R616" s="10"/>
      <c r="AS616" s="10"/>
      <c r="AT616" s="10"/>
      <c r="AU616" s="10"/>
      <c r="AV616" s="10"/>
      <c r="AW616" s="143"/>
      <c r="AZ616" s="10"/>
      <c r="BA616" s="10"/>
      <c r="BD616" s="10"/>
      <c r="BS616" s="10"/>
      <c r="BT616" s="10"/>
      <c r="BV616" s="10"/>
      <c r="BW616" s="10"/>
    </row>
    <row r="617">
      <c r="A617" s="10"/>
      <c r="B617" s="10"/>
      <c r="C617" s="10"/>
      <c r="D617" s="10"/>
      <c r="E617" s="10"/>
      <c r="F617" s="10"/>
      <c r="G617" s="10"/>
      <c r="H617" s="10"/>
      <c r="I617" s="10"/>
      <c r="J617" s="10"/>
      <c r="K617" s="10"/>
      <c r="L617" s="10"/>
      <c r="N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R617" s="10"/>
      <c r="AS617" s="10"/>
      <c r="AT617" s="10"/>
      <c r="AU617" s="10"/>
      <c r="AV617" s="10"/>
      <c r="AW617" s="143"/>
      <c r="AZ617" s="10"/>
      <c r="BA617" s="10"/>
      <c r="BD617" s="10"/>
      <c r="BL617" s="10"/>
      <c r="BO617" s="10"/>
      <c r="BR617" s="10"/>
      <c r="BS617" s="10"/>
      <c r="BT617" s="10"/>
      <c r="BV617" s="10"/>
      <c r="BW617" s="10"/>
    </row>
    <row r="618">
      <c r="A618" s="10"/>
      <c r="B618" s="10"/>
      <c r="C618" s="10"/>
      <c r="D618" s="10"/>
      <c r="E618" s="10"/>
      <c r="F618" s="10"/>
      <c r="G618" s="10"/>
      <c r="H618" s="10"/>
      <c r="I618" s="10"/>
      <c r="K618" s="10"/>
      <c r="L618" s="10"/>
      <c r="N618" s="10"/>
      <c r="T618" s="10"/>
      <c r="U618" s="10"/>
      <c r="V618" s="10"/>
      <c r="W618" s="10"/>
      <c r="Y618" s="10"/>
      <c r="Z618" s="10"/>
      <c r="AA618" s="10"/>
      <c r="AB618" s="10"/>
      <c r="AC618" s="10"/>
      <c r="AD618" s="10"/>
      <c r="AE618" s="10"/>
      <c r="AF618" s="10"/>
      <c r="AG618" s="10"/>
      <c r="AH618" s="10"/>
      <c r="AI618" s="10"/>
      <c r="AJ618" s="10"/>
      <c r="AK618" s="10"/>
      <c r="AL618" s="10"/>
      <c r="AM618" s="10"/>
      <c r="AN618" s="10"/>
      <c r="AO618" s="10"/>
      <c r="AR618" s="10"/>
      <c r="AS618" s="10"/>
      <c r="AT618" s="10"/>
      <c r="AU618" s="10"/>
      <c r="AV618" s="10"/>
      <c r="AW618" s="143"/>
      <c r="BA618" s="10"/>
      <c r="BD618" s="10"/>
      <c r="BL618" s="10"/>
      <c r="BO618" s="10"/>
      <c r="BR618" s="10"/>
      <c r="BS618" s="10"/>
      <c r="BT618" s="10"/>
      <c r="BV618" s="10"/>
      <c r="BW618" s="10"/>
    </row>
    <row r="619">
      <c r="A619" s="10"/>
      <c r="B619" s="10"/>
      <c r="C619" s="10"/>
      <c r="D619" s="10"/>
      <c r="E619" s="10"/>
      <c r="F619" s="10"/>
      <c r="G619" s="10"/>
      <c r="H619" s="10"/>
      <c r="I619" s="10"/>
      <c r="K619" s="10"/>
      <c r="L619" s="10"/>
      <c r="N619" s="10"/>
      <c r="T619" s="10"/>
      <c r="U619" s="10"/>
      <c r="V619" s="10"/>
      <c r="W619" s="10"/>
      <c r="X619" s="10"/>
      <c r="Y619" s="10"/>
      <c r="Z619" s="10"/>
      <c r="AA619" s="10"/>
      <c r="AB619" s="10"/>
      <c r="AC619" s="10"/>
      <c r="AD619" s="10"/>
      <c r="AE619" s="10"/>
      <c r="AF619" s="10"/>
      <c r="AG619" s="10"/>
      <c r="AH619" s="10"/>
      <c r="AI619" s="10"/>
      <c r="AJ619" s="10"/>
      <c r="AL619" s="10"/>
      <c r="AM619" s="10"/>
      <c r="AO619" s="10"/>
      <c r="AR619" s="10"/>
      <c r="AS619" s="10"/>
      <c r="AU619" s="10"/>
      <c r="AV619" s="10"/>
      <c r="AW619" s="143"/>
      <c r="BA619" s="10"/>
      <c r="BD619" s="10"/>
      <c r="BS619" s="10"/>
      <c r="BT619" s="10"/>
      <c r="BV619" s="10"/>
      <c r="BW619" s="10"/>
    </row>
    <row r="620">
      <c r="A620" s="10"/>
      <c r="B620" s="10"/>
      <c r="C620" s="10"/>
      <c r="D620" s="10"/>
      <c r="E620" s="10"/>
      <c r="F620" s="10"/>
      <c r="G620" s="10"/>
      <c r="H620" s="10"/>
      <c r="I620" s="10"/>
      <c r="J620" s="10"/>
      <c r="K620" s="10"/>
      <c r="L620" s="10"/>
      <c r="N620" s="10"/>
      <c r="T620" s="10"/>
      <c r="U620" s="10"/>
      <c r="V620" s="10"/>
      <c r="W620" s="10"/>
      <c r="X620" s="10"/>
      <c r="Y620" s="10"/>
      <c r="Z620" s="10"/>
      <c r="AA620" s="10"/>
      <c r="AB620" s="10"/>
      <c r="AC620" s="10"/>
      <c r="AD620" s="10"/>
      <c r="AE620" s="10"/>
      <c r="AF620" s="10"/>
      <c r="AG620" s="10"/>
      <c r="AH620" s="10"/>
      <c r="AI620" s="10"/>
      <c r="AJ620" s="10"/>
      <c r="AL620" s="10"/>
      <c r="AM620" s="10"/>
      <c r="AO620" s="10"/>
      <c r="AR620" s="10"/>
      <c r="AS620" s="10"/>
      <c r="AT620" s="10"/>
      <c r="AU620" s="10"/>
      <c r="AV620" s="10"/>
      <c r="AW620" s="143"/>
      <c r="AZ620" s="10"/>
      <c r="BA620" s="10"/>
      <c r="BD620" s="10"/>
      <c r="BE620" s="10"/>
      <c r="BF620" s="10"/>
      <c r="BG620" s="10"/>
      <c r="BH620" s="10"/>
      <c r="BI620" s="10"/>
      <c r="BJ620" s="10"/>
      <c r="BK620" s="10"/>
      <c r="BL620" s="10"/>
      <c r="BO620" s="10"/>
      <c r="BR620" s="10"/>
      <c r="BS620" s="10"/>
      <c r="BT620" s="10"/>
      <c r="BV620" s="10"/>
      <c r="BW620" s="10"/>
    </row>
    <row r="621">
      <c r="A621" s="10"/>
      <c r="B621" s="10"/>
      <c r="C621" s="10"/>
      <c r="D621" s="10"/>
      <c r="E621" s="10"/>
      <c r="F621" s="10"/>
      <c r="G621" s="10"/>
      <c r="H621" s="10"/>
      <c r="I621" s="10"/>
      <c r="K621" s="10"/>
      <c r="L621" s="10"/>
      <c r="N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R621" s="10"/>
      <c r="AS621" s="10"/>
      <c r="AT621" s="10"/>
      <c r="AU621" s="10"/>
      <c r="AV621" s="10"/>
      <c r="AW621" s="143"/>
      <c r="BA621" s="10"/>
      <c r="BD621" s="10"/>
      <c r="BS621" s="10"/>
      <c r="BT621" s="10"/>
      <c r="BV621" s="10"/>
      <c r="BW621" s="10"/>
    </row>
    <row r="622">
      <c r="A622" s="10"/>
      <c r="B622" s="10"/>
      <c r="C622" s="10"/>
      <c r="D622" s="10"/>
      <c r="E622" s="10"/>
      <c r="F622" s="10"/>
      <c r="G622" s="10"/>
      <c r="H622" s="10"/>
      <c r="I622" s="10"/>
      <c r="J622" s="10"/>
      <c r="K622" s="10"/>
      <c r="L622" s="10"/>
      <c r="N622" s="10"/>
      <c r="P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R622" s="10"/>
      <c r="AS622" s="10"/>
      <c r="AT622" s="10"/>
      <c r="AU622" s="10"/>
      <c r="AV622" s="10"/>
      <c r="AW622" s="143"/>
      <c r="BA622" s="10"/>
      <c r="BD622" s="10"/>
      <c r="BS622" s="10"/>
      <c r="BT622" s="10"/>
      <c r="BV622" s="10"/>
      <c r="BW622" s="10"/>
    </row>
    <row r="623">
      <c r="A623" s="10"/>
      <c r="B623" s="10"/>
      <c r="C623" s="10"/>
      <c r="D623" s="10"/>
      <c r="E623" s="10"/>
      <c r="F623" s="10"/>
      <c r="G623" s="10"/>
      <c r="H623" s="10"/>
      <c r="I623" s="10"/>
      <c r="J623" s="10"/>
      <c r="K623" s="10"/>
      <c r="L623" s="10"/>
      <c r="N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R623" s="10"/>
      <c r="AS623" s="10"/>
      <c r="AT623" s="10"/>
      <c r="AU623" s="10"/>
      <c r="AV623" s="10"/>
      <c r="AW623" s="143"/>
      <c r="AZ623" s="10"/>
      <c r="BA623" s="10"/>
      <c r="BD623" s="10"/>
      <c r="BS623" s="10"/>
      <c r="BT623" s="10"/>
      <c r="BV623" s="10"/>
      <c r="BW623" s="10"/>
    </row>
    <row r="624">
      <c r="A624" s="10"/>
      <c r="B624" s="10"/>
      <c r="C624" s="10"/>
      <c r="D624" s="10"/>
      <c r="E624" s="10"/>
      <c r="F624" s="10"/>
      <c r="G624" s="10"/>
      <c r="H624" s="10"/>
      <c r="I624" s="10"/>
      <c r="K624" s="10"/>
      <c r="L624" s="10"/>
      <c r="N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R624" s="10"/>
      <c r="AS624" s="10"/>
      <c r="AT624" s="10"/>
      <c r="AU624" s="10"/>
      <c r="AV624" s="10"/>
      <c r="AW624" s="143"/>
      <c r="BA624" s="10"/>
      <c r="BD624" s="10"/>
      <c r="BL624" s="10"/>
      <c r="BO624" s="10"/>
      <c r="BR624" s="10"/>
      <c r="BS624" s="10"/>
      <c r="BT624" s="10"/>
      <c r="BV624" s="10"/>
      <c r="BW624" s="10"/>
    </row>
    <row r="625">
      <c r="A625" s="10"/>
      <c r="B625" s="10"/>
      <c r="C625" s="10"/>
      <c r="D625" s="10"/>
      <c r="E625" s="10"/>
      <c r="F625" s="10"/>
      <c r="G625" s="10"/>
      <c r="H625" s="10"/>
      <c r="I625" s="10"/>
      <c r="J625" s="10"/>
      <c r="K625" s="10"/>
      <c r="L625" s="10"/>
      <c r="N625" s="10"/>
      <c r="T625" s="10"/>
      <c r="U625" s="10"/>
      <c r="V625" s="10"/>
      <c r="W625" s="10"/>
      <c r="X625" s="10"/>
      <c r="Y625" s="10"/>
      <c r="Z625" s="10"/>
      <c r="AA625" s="10"/>
      <c r="AB625" s="10"/>
      <c r="AC625" s="10"/>
      <c r="AD625" s="10"/>
      <c r="AE625" s="10"/>
      <c r="AF625" s="10"/>
      <c r="AG625" s="10"/>
      <c r="AH625" s="10"/>
      <c r="AI625" s="10"/>
      <c r="AJ625" s="10"/>
      <c r="AL625" s="10"/>
      <c r="AM625" s="10"/>
      <c r="AO625" s="10"/>
      <c r="AR625" s="10"/>
      <c r="AS625" s="10"/>
      <c r="AU625" s="10"/>
      <c r="AV625" s="10"/>
      <c r="AW625" s="143"/>
      <c r="BA625" s="10"/>
      <c r="BD625" s="10"/>
      <c r="BL625" s="10"/>
      <c r="BO625" s="10"/>
      <c r="BR625" s="10"/>
      <c r="BS625" s="10"/>
      <c r="BT625" s="10"/>
      <c r="BV625" s="10"/>
      <c r="BW625" s="10"/>
    </row>
    <row r="626">
      <c r="A626" s="10"/>
      <c r="B626" s="10"/>
      <c r="C626" s="10"/>
      <c r="D626" s="10"/>
      <c r="E626" s="10"/>
      <c r="F626" s="10"/>
      <c r="G626" s="10"/>
      <c r="H626" s="10"/>
      <c r="I626" s="10"/>
      <c r="J626" s="10"/>
      <c r="K626" s="10"/>
      <c r="L626" s="10"/>
      <c r="N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R626" s="10"/>
      <c r="AS626" s="10"/>
      <c r="AT626" s="10"/>
      <c r="AU626" s="10"/>
      <c r="AV626" s="10"/>
      <c r="AW626" s="143"/>
      <c r="BA626" s="10"/>
      <c r="BD626" s="10"/>
      <c r="BS626" s="10"/>
      <c r="BT626" s="10"/>
      <c r="BV626" s="10"/>
      <c r="BW626" s="10"/>
    </row>
    <row r="627">
      <c r="A627" s="10"/>
      <c r="B627" s="10"/>
      <c r="C627" s="10"/>
      <c r="D627" s="10"/>
      <c r="E627" s="10"/>
      <c r="F627" s="10"/>
      <c r="G627" s="10"/>
      <c r="H627" s="10"/>
      <c r="I627" s="10"/>
      <c r="K627" s="10"/>
      <c r="L627" s="10"/>
      <c r="N627" s="10"/>
      <c r="P627" s="10"/>
      <c r="Q627" s="10"/>
      <c r="R627" s="10"/>
      <c r="S627" s="10"/>
      <c r="T627" s="10"/>
      <c r="U627" s="10"/>
      <c r="V627" s="10"/>
      <c r="W627" s="10"/>
      <c r="Y627" s="10"/>
      <c r="Z627" s="10"/>
      <c r="AA627" s="10"/>
      <c r="AB627" s="10"/>
      <c r="AC627" s="10"/>
      <c r="AD627" s="10"/>
      <c r="AE627" s="10"/>
      <c r="AF627" s="10"/>
      <c r="AG627" s="10"/>
      <c r="AH627" s="10"/>
      <c r="AI627" s="10"/>
      <c r="AJ627" s="10"/>
      <c r="AK627" s="10"/>
      <c r="AL627" s="10"/>
      <c r="AM627" s="10"/>
      <c r="AN627" s="10"/>
      <c r="AO627" s="10"/>
      <c r="AR627" s="10"/>
      <c r="AS627" s="10"/>
      <c r="AT627" s="10"/>
      <c r="AU627" s="10"/>
      <c r="AV627" s="10"/>
      <c r="AW627" s="143"/>
      <c r="BA627" s="10"/>
      <c r="BD627" s="10"/>
      <c r="BE627" s="10"/>
      <c r="BF627" s="10"/>
      <c r="BG627" s="10"/>
      <c r="BH627" s="10"/>
      <c r="BI627" s="10"/>
      <c r="BJ627" s="10"/>
      <c r="BK627" s="10"/>
      <c r="BL627" s="10"/>
      <c r="BM627" s="10"/>
      <c r="BN627" s="10"/>
      <c r="BO627" s="10"/>
      <c r="BP627" s="10"/>
      <c r="BQ627" s="10"/>
      <c r="BR627" s="10"/>
      <c r="BS627" s="10"/>
      <c r="BT627" s="10"/>
      <c r="BV627" s="10"/>
      <c r="BW627" s="10"/>
    </row>
    <row r="628">
      <c r="A628" s="10"/>
      <c r="B628" s="10"/>
      <c r="C628" s="10"/>
      <c r="D628" s="10"/>
      <c r="E628" s="10"/>
      <c r="F628" s="10"/>
      <c r="G628" s="10"/>
      <c r="H628" s="10"/>
      <c r="I628" s="10"/>
      <c r="J628" s="10"/>
      <c r="K628" s="10"/>
      <c r="L628" s="10"/>
      <c r="N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R628" s="10"/>
      <c r="AS628" s="10"/>
      <c r="AT628" s="10"/>
      <c r="AU628" s="10"/>
      <c r="AV628" s="10"/>
      <c r="AW628" s="143"/>
      <c r="BA628" s="10"/>
      <c r="BD628" s="10"/>
      <c r="BS628" s="10"/>
      <c r="BT628" s="10"/>
      <c r="BV628" s="10"/>
      <c r="BW628" s="10"/>
    </row>
    <row r="629">
      <c r="A629" s="10"/>
      <c r="B629" s="10"/>
      <c r="C629" s="10"/>
      <c r="D629" s="10"/>
      <c r="E629" s="10"/>
      <c r="F629" s="10"/>
      <c r="G629" s="10"/>
      <c r="H629" s="10"/>
      <c r="I629" s="10"/>
      <c r="K629" s="10"/>
      <c r="L629" s="10"/>
      <c r="O629" s="10"/>
      <c r="Q629" s="10"/>
      <c r="R629" s="10"/>
      <c r="T629" s="10"/>
      <c r="U629" s="10"/>
      <c r="V629" s="10"/>
      <c r="W629" s="10"/>
      <c r="Y629" s="10"/>
      <c r="Z629" s="10"/>
      <c r="AA629" s="10"/>
      <c r="AB629" s="10"/>
      <c r="AC629" s="10"/>
      <c r="AD629" s="10"/>
      <c r="AE629" s="10"/>
      <c r="AF629" s="10"/>
      <c r="AG629" s="10"/>
      <c r="AH629" s="10"/>
      <c r="AI629" s="10"/>
      <c r="AJ629" s="10"/>
      <c r="AK629" s="10"/>
      <c r="AL629" s="10"/>
      <c r="AM629" s="10"/>
      <c r="AN629" s="10"/>
      <c r="AO629" s="10"/>
      <c r="AR629" s="10"/>
      <c r="AS629" s="10"/>
      <c r="AU629" s="10"/>
      <c r="AV629" s="10"/>
      <c r="AW629" s="143"/>
      <c r="AZ629" s="10"/>
      <c r="BA629" s="10"/>
      <c r="BD629" s="10"/>
      <c r="BE629" s="10"/>
      <c r="BF629" s="10"/>
      <c r="BG629" s="10"/>
      <c r="BH629" s="10"/>
      <c r="BI629" s="10"/>
      <c r="BJ629" s="10"/>
      <c r="BK629" s="10"/>
      <c r="BL629" s="10"/>
      <c r="BO629" s="10"/>
      <c r="BR629" s="10"/>
      <c r="BS629" s="10"/>
      <c r="BT629" s="10"/>
      <c r="BV629" s="10"/>
      <c r="BW629" s="10"/>
    </row>
    <row r="630">
      <c r="A630" s="10"/>
      <c r="B630" s="10"/>
      <c r="C630" s="10"/>
      <c r="D630" s="10"/>
      <c r="E630" s="10"/>
      <c r="F630" s="10"/>
      <c r="G630" s="10"/>
      <c r="H630" s="10"/>
      <c r="I630" s="10"/>
      <c r="K630" s="10"/>
      <c r="L630" s="10"/>
      <c r="Q630" s="10"/>
      <c r="R630" s="10"/>
      <c r="T630" s="10"/>
      <c r="U630" s="10"/>
      <c r="V630" s="10"/>
      <c r="W630" s="10"/>
      <c r="Y630" s="10"/>
      <c r="Z630" s="10"/>
      <c r="AA630" s="10"/>
      <c r="AB630" s="10"/>
      <c r="AC630" s="10"/>
      <c r="AD630" s="10"/>
      <c r="AE630" s="10"/>
      <c r="AF630" s="10"/>
      <c r="AG630" s="10"/>
      <c r="AH630" s="10"/>
      <c r="AI630" s="10"/>
      <c r="AJ630" s="10"/>
      <c r="AK630" s="10"/>
      <c r="AL630" s="10"/>
      <c r="AM630" s="10"/>
      <c r="AN630" s="10"/>
      <c r="AO630" s="10"/>
      <c r="AR630" s="10"/>
      <c r="AS630" s="10"/>
      <c r="AU630" s="10"/>
      <c r="AV630" s="10"/>
      <c r="AW630" s="143"/>
      <c r="BA630" s="10"/>
      <c r="BD630" s="10"/>
      <c r="BE630" s="10"/>
      <c r="BF630" s="10"/>
      <c r="BG630" s="10"/>
      <c r="BH630" s="10"/>
      <c r="BI630" s="10"/>
      <c r="BJ630" s="10"/>
      <c r="BK630" s="10"/>
      <c r="BL630" s="10"/>
      <c r="BM630" s="10"/>
      <c r="BN630" s="10"/>
      <c r="BO630" s="10"/>
      <c r="BP630" s="10"/>
      <c r="BQ630" s="10"/>
      <c r="BR630" s="10"/>
      <c r="BS630" s="10"/>
      <c r="BT630" s="10"/>
      <c r="BV630" s="10"/>
      <c r="BW630" s="10"/>
    </row>
    <row r="631">
      <c r="A631" s="10"/>
      <c r="B631" s="10"/>
      <c r="C631" s="10"/>
      <c r="D631" s="10"/>
      <c r="E631" s="10"/>
      <c r="F631" s="10"/>
      <c r="G631" s="10"/>
      <c r="H631" s="10"/>
      <c r="I631" s="10"/>
      <c r="J631" s="10"/>
      <c r="K631" s="10"/>
      <c r="L631" s="10"/>
      <c r="N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R631" s="10"/>
      <c r="AS631" s="10"/>
      <c r="AU631" s="10"/>
      <c r="AV631" s="10"/>
      <c r="AW631" s="143"/>
      <c r="AZ631" s="10"/>
      <c r="BA631" s="10"/>
      <c r="BD631" s="10"/>
      <c r="BE631" s="10"/>
      <c r="BF631" s="10"/>
      <c r="BG631" s="10"/>
      <c r="BH631" s="10"/>
      <c r="BI631" s="10"/>
      <c r="BJ631" s="10"/>
      <c r="BK631" s="10"/>
      <c r="BL631" s="10"/>
      <c r="BM631" s="10"/>
      <c r="BN631" s="10"/>
      <c r="BO631" s="10"/>
      <c r="BP631" s="10"/>
      <c r="BQ631" s="10"/>
      <c r="BR631" s="10"/>
      <c r="BS631" s="10"/>
      <c r="BT631" s="10"/>
      <c r="BV631" s="10"/>
      <c r="BW631" s="10"/>
    </row>
    <row r="632">
      <c r="A632" s="10"/>
      <c r="B632" s="10"/>
      <c r="C632" s="10"/>
      <c r="D632" s="10"/>
      <c r="E632" s="10"/>
      <c r="F632" s="10"/>
      <c r="G632" s="10"/>
      <c r="H632" s="10"/>
      <c r="I632" s="10"/>
      <c r="J632" s="10"/>
      <c r="K632" s="10"/>
      <c r="L632" s="10"/>
      <c r="O632" s="10"/>
      <c r="P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R632" s="10"/>
      <c r="AS632" s="10"/>
      <c r="AU632" s="10"/>
      <c r="AV632" s="10"/>
      <c r="AW632" s="143"/>
      <c r="BA632" s="10"/>
      <c r="BD632" s="10"/>
      <c r="BE632" s="10"/>
      <c r="BF632" s="10"/>
      <c r="BG632" s="10"/>
      <c r="BH632" s="10"/>
      <c r="BI632" s="10"/>
      <c r="BJ632" s="10"/>
      <c r="BK632" s="10"/>
      <c r="BS632" s="10"/>
      <c r="BT632" s="10"/>
      <c r="BV632" s="10"/>
      <c r="BW632" s="10"/>
    </row>
    <row r="633">
      <c r="A633" s="10"/>
      <c r="B633" s="10"/>
      <c r="C633" s="10"/>
      <c r="D633" s="10"/>
      <c r="E633" s="10"/>
      <c r="F633" s="10"/>
      <c r="G633" s="10"/>
      <c r="H633" s="10"/>
      <c r="I633" s="10"/>
      <c r="J633" s="10"/>
      <c r="K633" s="10"/>
      <c r="L633" s="10"/>
      <c r="O633" s="10"/>
      <c r="P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R633" s="10"/>
      <c r="AS633" s="10"/>
      <c r="AU633" s="10"/>
      <c r="AV633" s="10"/>
      <c r="AW633" s="143"/>
      <c r="BA633" s="10"/>
      <c r="BD633" s="10"/>
      <c r="BE633" s="10"/>
      <c r="BF633" s="10"/>
      <c r="BG633" s="10"/>
      <c r="BH633" s="10"/>
      <c r="BI633" s="10"/>
      <c r="BJ633" s="10"/>
      <c r="BK633" s="10"/>
      <c r="BS633" s="10"/>
      <c r="BT633" s="10"/>
      <c r="BV633" s="10"/>
      <c r="BW633" s="10"/>
    </row>
    <row r="634">
      <c r="A634" s="10"/>
      <c r="B634" s="10"/>
      <c r="C634" s="10"/>
      <c r="D634" s="10"/>
      <c r="E634" s="10"/>
      <c r="F634" s="10"/>
      <c r="G634" s="10"/>
      <c r="H634" s="10"/>
      <c r="I634" s="10"/>
      <c r="J634" s="10"/>
      <c r="K634" s="10"/>
      <c r="L634" s="10"/>
      <c r="O634" s="10"/>
      <c r="P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43"/>
      <c r="AZ634" s="10"/>
      <c r="BA634" s="10"/>
      <c r="BD634" s="10"/>
      <c r="BE634" s="10"/>
      <c r="BF634" s="10"/>
      <c r="BG634" s="10"/>
      <c r="BH634" s="10"/>
      <c r="BI634" s="10"/>
      <c r="BJ634" s="10"/>
      <c r="BK634" s="10"/>
      <c r="BS634" s="10"/>
      <c r="BT634" s="10"/>
      <c r="BV634" s="10"/>
      <c r="BW634" s="10"/>
    </row>
    <row r="635">
      <c r="A635" s="10"/>
      <c r="B635" s="10"/>
      <c r="C635" s="10"/>
      <c r="D635" s="10"/>
      <c r="E635" s="10"/>
      <c r="F635" s="10"/>
      <c r="G635" s="10"/>
      <c r="H635" s="10"/>
      <c r="I635" s="10"/>
      <c r="K635" s="10"/>
      <c r="L635" s="10"/>
      <c r="P635" s="10"/>
      <c r="T635" s="10"/>
      <c r="U635" s="10"/>
      <c r="V635" s="10"/>
      <c r="W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U635" s="10"/>
      <c r="AV635" s="10"/>
      <c r="AW635" s="143"/>
      <c r="BA635" s="10"/>
      <c r="BD635" s="10"/>
      <c r="BE635" s="10"/>
      <c r="BF635" s="10"/>
      <c r="BG635" s="10"/>
      <c r="BH635" s="10"/>
      <c r="BI635" s="10"/>
      <c r="BJ635" s="10"/>
      <c r="BK635" s="10"/>
      <c r="BS635" s="10"/>
      <c r="BT635" s="10"/>
      <c r="BV635" s="10"/>
      <c r="BW635" s="10"/>
    </row>
    <row r="636">
      <c r="A636" s="10"/>
      <c r="B636" s="10"/>
      <c r="C636" s="10"/>
      <c r="D636" s="10"/>
      <c r="E636" s="10"/>
      <c r="F636" s="10"/>
      <c r="G636" s="10"/>
      <c r="H636" s="10"/>
      <c r="I636" s="10"/>
      <c r="K636" s="10"/>
      <c r="L636" s="10"/>
      <c r="O636" s="10"/>
      <c r="P636" s="10"/>
      <c r="Q636" s="10"/>
      <c r="R636" s="10"/>
      <c r="S636" s="10"/>
      <c r="T636" s="10"/>
      <c r="U636" s="10"/>
      <c r="V636" s="10"/>
      <c r="W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U636" s="10"/>
      <c r="AV636" s="10"/>
      <c r="AW636" s="143"/>
      <c r="AZ636" s="10"/>
      <c r="BA636" s="10"/>
      <c r="BD636" s="10"/>
      <c r="BE636" s="10"/>
      <c r="BF636" s="10"/>
      <c r="BG636" s="10"/>
      <c r="BH636" s="10"/>
      <c r="BI636" s="10"/>
      <c r="BJ636" s="10"/>
      <c r="BK636" s="10"/>
      <c r="BL636" s="10"/>
      <c r="BM636" s="10"/>
      <c r="BN636" s="10"/>
      <c r="BO636" s="10"/>
      <c r="BP636" s="10"/>
      <c r="BQ636" s="10"/>
      <c r="BR636" s="10"/>
      <c r="BS636" s="10"/>
      <c r="BT636" s="10"/>
      <c r="BV636" s="10"/>
      <c r="BW636" s="10"/>
    </row>
    <row r="637">
      <c r="A637" s="10"/>
      <c r="B637" s="10"/>
      <c r="C637" s="10"/>
      <c r="D637" s="10"/>
      <c r="E637" s="10"/>
      <c r="F637" s="10"/>
      <c r="G637" s="10"/>
      <c r="H637" s="10"/>
      <c r="I637" s="10"/>
      <c r="K637" s="10"/>
      <c r="L637" s="10"/>
      <c r="O637" s="10"/>
      <c r="P637" s="10"/>
      <c r="T637" s="10"/>
      <c r="U637" s="10"/>
      <c r="V637" s="10"/>
      <c r="W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U637" s="10"/>
      <c r="AV637" s="10"/>
      <c r="AW637" s="143"/>
      <c r="BA637" s="10"/>
      <c r="BD637" s="10"/>
      <c r="BE637" s="10"/>
      <c r="BF637" s="10"/>
      <c r="BG637" s="10"/>
      <c r="BH637" s="10"/>
      <c r="BI637" s="10"/>
      <c r="BJ637" s="10"/>
      <c r="BK637" s="10"/>
      <c r="BS637" s="10"/>
      <c r="BT637" s="10"/>
      <c r="BV637" s="10"/>
      <c r="BW637" s="10"/>
    </row>
    <row r="638">
      <c r="A638" s="10"/>
      <c r="B638" s="10"/>
      <c r="C638" s="10"/>
      <c r="D638" s="10"/>
      <c r="E638" s="10"/>
      <c r="F638" s="10"/>
      <c r="G638" s="10"/>
      <c r="H638" s="10"/>
      <c r="I638" s="10"/>
      <c r="J638" s="10"/>
      <c r="K638" s="10"/>
      <c r="L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R638" s="10"/>
      <c r="AS638" s="10"/>
      <c r="AT638" s="10"/>
      <c r="AU638" s="10"/>
      <c r="AV638" s="10"/>
      <c r="AW638" s="143"/>
      <c r="AZ638" s="10"/>
      <c r="BA638" s="10"/>
      <c r="BD638" s="10"/>
      <c r="BE638" s="10"/>
      <c r="BF638" s="10"/>
      <c r="BG638" s="10"/>
      <c r="BH638" s="10"/>
      <c r="BI638" s="10"/>
      <c r="BJ638" s="10"/>
      <c r="BK638" s="10"/>
      <c r="BL638" s="10"/>
      <c r="BO638" s="10"/>
      <c r="BR638" s="10"/>
      <c r="BS638" s="10"/>
      <c r="BT638" s="10"/>
      <c r="BV638" s="10"/>
      <c r="BW638" s="10"/>
    </row>
    <row r="639">
      <c r="A639" s="10"/>
      <c r="B639" s="10"/>
      <c r="C639" s="10"/>
      <c r="D639" s="10"/>
      <c r="E639" s="10"/>
      <c r="F639" s="10"/>
      <c r="G639" s="10"/>
      <c r="H639" s="10"/>
      <c r="I639" s="10"/>
      <c r="J639" s="10"/>
      <c r="K639" s="10"/>
      <c r="L639" s="10"/>
      <c r="P639" s="10"/>
      <c r="T639" s="10"/>
      <c r="U639" s="10"/>
      <c r="V639" s="10"/>
      <c r="W639" s="10"/>
      <c r="X639" s="10"/>
      <c r="Y639" s="10"/>
      <c r="Z639" s="10"/>
      <c r="AA639" s="10"/>
      <c r="AB639" s="10"/>
      <c r="AC639" s="10"/>
      <c r="AD639" s="10"/>
      <c r="AE639" s="10"/>
      <c r="AF639" s="10"/>
      <c r="AG639" s="10"/>
      <c r="AH639" s="10"/>
      <c r="AI639" s="10"/>
      <c r="AJ639" s="10"/>
      <c r="AL639" s="10"/>
      <c r="AM639" s="10"/>
      <c r="AN639" s="10"/>
      <c r="AO639" s="10"/>
      <c r="AR639" s="10"/>
      <c r="AS639" s="10"/>
      <c r="AT639" s="10"/>
      <c r="AU639" s="10"/>
      <c r="AV639" s="10"/>
      <c r="AW639" s="143"/>
      <c r="BA639" s="10"/>
      <c r="BD639" s="10"/>
      <c r="BE639" s="10"/>
      <c r="BF639" s="10"/>
      <c r="BG639" s="10"/>
      <c r="BH639" s="10"/>
      <c r="BI639" s="10"/>
      <c r="BJ639" s="10"/>
      <c r="BK639" s="10"/>
      <c r="BS639" s="10"/>
      <c r="BT639" s="10"/>
      <c r="BV639" s="10"/>
      <c r="BW639" s="10"/>
    </row>
    <row r="640">
      <c r="A640" s="10"/>
      <c r="B640" s="10"/>
      <c r="C640" s="10"/>
      <c r="D640" s="10"/>
      <c r="E640" s="10"/>
      <c r="F640" s="10"/>
      <c r="G640" s="10"/>
      <c r="H640" s="10"/>
      <c r="I640" s="10"/>
      <c r="J640" s="10"/>
      <c r="K640" s="10"/>
      <c r="L640" s="10"/>
      <c r="O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R640" s="10"/>
      <c r="AS640" s="10"/>
      <c r="AT640" s="10"/>
      <c r="AU640" s="10"/>
      <c r="AV640" s="10"/>
      <c r="AW640" s="143"/>
      <c r="AZ640" s="10"/>
      <c r="BA640" s="10"/>
      <c r="BD640" s="10"/>
      <c r="BE640" s="10"/>
      <c r="BF640" s="10"/>
      <c r="BG640" s="10"/>
      <c r="BH640" s="10"/>
      <c r="BI640" s="10"/>
      <c r="BJ640" s="10"/>
      <c r="BK640" s="10"/>
      <c r="BT640" s="10"/>
      <c r="BV640" s="10"/>
      <c r="BW640" s="10"/>
    </row>
    <row r="641">
      <c r="A641" s="10"/>
      <c r="B641" s="10"/>
      <c r="C641" s="10"/>
      <c r="D641" s="10"/>
      <c r="E641" s="10"/>
      <c r="F641" s="10"/>
      <c r="G641" s="10"/>
      <c r="H641" s="10"/>
      <c r="I641" s="10"/>
      <c r="J641" s="10"/>
      <c r="K641" s="10"/>
      <c r="L641" s="10"/>
      <c r="P641" s="10"/>
      <c r="Q641" s="10"/>
      <c r="R641" s="10"/>
      <c r="S641" s="10"/>
      <c r="T641" s="10"/>
      <c r="U641" s="10"/>
      <c r="V641" s="10"/>
      <c r="W641" s="10"/>
      <c r="X641" s="10"/>
      <c r="Y641" s="10"/>
      <c r="Z641" s="10"/>
      <c r="AA641" s="10"/>
      <c r="AB641" s="10"/>
      <c r="AC641" s="10"/>
      <c r="AD641" s="10"/>
      <c r="AE641" s="10"/>
      <c r="AF641" s="10"/>
      <c r="AG641" s="10"/>
      <c r="AH641" s="10"/>
      <c r="AI641" s="10"/>
      <c r="AJ641" s="10"/>
      <c r="AL641" s="10"/>
      <c r="AM641" s="10"/>
      <c r="AO641" s="10"/>
      <c r="AR641" s="10"/>
      <c r="AS641" s="10"/>
      <c r="AT641" s="10"/>
      <c r="AU641" s="10"/>
      <c r="AV641" s="10"/>
      <c r="AW641" s="143"/>
      <c r="BA641" s="10"/>
      <c r="BD641" s="10"/>
      <c r="BE641" s="10"/>
      <c r="BF641" s="10"/>
      <c r="BG641" s="10"/>
      <c r="BH641" s="10"/>
      <c r="BI641" s="10"/>
      <c r="BJ641" s="10"/>
      <c r="BK641" s="10"/>
      <c r="BL641" s="10"/>
      <c r="BT641" s="10"/>
      <c r="BV641" s="10"/>
      <c r="BW641" s="10"/>
    </row>
    <row r="642">
      <c r="A642" s="10"/>
      <c r="B642" s="10"/>
      <c r="C642" s="10"/>
      <c r="D642" s="10"/>
      <c r="E642" s="10"/>
      <c r="F642" s="10"/>
      <c r="G642" s="10"/>
      <c r="H642" s="10"/>
      <c r="I642" s="10"/>
      <c r="J642" s="10"/>
      <c r="K642" s="10"/>
      <c r="L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R642" s="10"/>
      <c r="AS642" s="10"/>
      <c r="AT642" s="10"/>
      <c r="AU642" s="10"/>
      <c r="AV642" s="10"/>
      <c r="AW642" s="143"/>
      <c r="BA642" s="10"/>
      <c r="BD642" s="10"/>
      <c r="BE642" s="10"/>
      <c r="BF642" s="10"/>
      <c r="BG642" s="10"/>
      <c r="BH642" s="10"/>
      <c r="BI642" s="10"/>
      <c r="BJ642" s="10"/>
      <c r="BK642" s="10"/>
      <c r="BS642" s="10"/>
      <c r="BT642" s="10"/>
      <c r="BV642" s="10"/>
      <c r="BW642" s="10"/>
    </row>
    <row r="643">
      <c r="A643" s="10"/>
      <c r="B643" s="10"/>
      <c r="C643" s="10"/>
      <c r="D643" s="10"/>
      <c r="E643" s="10"/>
      <c r="F643" s="10"/>
      <c r="G643" s="10"/>
      <c r="H643" s="10"/>
      <c r="I643" s="10"/>
      <c r="J643" s="10"/>
      <c r="K643" s="10"/>
      <c r="L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R643" s="10"/>
      <c r="AS643" s="10"/>
      <c r="AU643" s="10"/>
      <c r="AV643" s="10"/>
      <c r="AW643" s="143"/>
      <c r="AZ643" s="10"/>
      <c r="BA643" s="10"/>
      <c r="BD643" s="10"/>
      <c r="BE643" s="10"/>
      <c r="BF643" s="10"/>
      <c r="BG643" s="10"/>
      <c r="BH643" s="10"/>
      <c r="BI643" s="10"/>
      <c r="BJ643" s="10"/>
      <c r="BK643" s="10"/>
      <c r="BL643" s="10"/>
      <c r="BM643" s="10"/>
      <c r="BN643" s="10"/>
      <c r="BO643" s="10"/>
      <c r="BP643" s="10"/>
      <c r="BQ643" s="10"/>
      <c r="BR643" s="10"/>
      <c r="BS643" s="10"/>
      <c r="BT643" s="10"/>
      <c r="BU643" s="10"/>
      <c r="BV643" s="10"/>
      <c r="BW643" s="10"/>
    </row>
    <row r="644">
      <c r="A644" s="10"/>
      <c r="B644" s="10"/>
      <c r="C644" s="10"/>
      <c r="D644" s="10"/>
      <c r="E644" s="10"/>
      <c r="F644" s="10"/>
      <c r="G644" s="10"/>
      <c r="H644" s="10"/>
      <c r="I644" s="10"/>
      <c r="J644" s="10"/>
      <c r="K644" s="10"/>
      <c r="L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R644" s="10"/>
      <c r="AS644" s="10"/>
      <c r="AU644" s="10"/>
      <c r="AV644" s="10"/>
      <c r="AW644" s="143"/>
      <c r="AZ644" s="10"/>
      <c r="BA644" s="10"/>
      <c r="BD644" s="10"/>
      <c r="BL644" s="10"/>
      <c r="BO644" s="10"/>
      <c r="BR644" s="10"/>
      <c r="BS644" s="10"/>
      <c r="BT644" s="10"/>
      <c r="BV644" s="10"/>
      <c r="BW644" s="10"/>
    </row>
    <row r="645">
      <c r="A645" s="10"/>
      <c r="B645" s="10"/>
      <c r="C645" s="10"/>
      <c r="D645" s="10"/>
      <c r="E645" s="10"/>
      <c r="F645" s="10"/>
      <c r="G645" s="10"/>
      <c r="H645" s="10"/>
      <c r="I645" s="10"/>
      <c r="J645" s="10"/>
      <c r="K645" s="10"/>
      <c r="L645" s="10"/>
      <c r="P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R645" s="10"/>
      <c r="AS645" s="10"/>
      <c r="AU645" s="10"/>
      <c r="AV645" s="10"/>
      <c r="AW645" s="143"/>
      <c r="AZ645" s="10"/>
      <c r="BA645" s="10"/>
      <c r="BD645" s="10"/>
      <c r="BS645" s="10"/>
      <c r="BT645" s="10"/>
      <c r="BV645" s="10"/>
      <c r="BW645" s="10"/>
    </row>
    <row r="646">
      <c r="A646" s="10"/>
      <c r="B646" s="10"/>
      <c r="C646" s="10"/>
      <c r="D646" s="10"/>
      <c r="E646" s="10"/>
      <c r="F646" s="10"/>
      <c r="G646" s="10"/>
      <c r="H646" s="10"/>
      <c r="K646" s="10"/>
      <c r="L646" s="10"/>
      <c r="P646" s="10"/>
      <c r="Q646" s="10"/>
      <c r="R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W646" s="143"/>
      <c r="BD646" s="10"/>
      <c r="BL646" s="10"/>
      <c r="BO646" s="10"/>
      <c r="BR646" s="10"/>
      <c r="BS646" s="10"/>
      <c r="BT646" s="10"/>
      <c r="BV646" s="10"/>
      <c r="BW646" s="10"/>
    </row>
    <row r="647">
      <c r="A647" s="10"/>
      <c r="B647" s="10"/>
      <c r="C647" s="10"/>
      <c r="D647" s="10"/>
      <c r="E647" s="10"/>
      <c r="F647" s="10"/>
      <c r="G647" s="10"/>
      <c r="H647" s="10"/>
      <c r="K647" s="10"/>
      <c r="L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W647" s="143"/>
      <c r="BD647" s="10"/>
      <c r="BE647" s="10"/>
      <c r="BF647" s="10"/>
      <c r="BG647" s="10"/>
      <c r="BH647" s="10"/>
      <c r="BI647" s="10"/>
      <c r="BJ647" s="10"/>
      <c r="BK647" s="10"/>
      <c r="BM647" s="10"/>
      <c r="BN647" s="10"/>
      <c r="BP647" s="10"/>
      <c r="BQ647" s="10"/>
      <c r="BS647" s="10"/>
      <c r="BT647" s="10"/>
      <c r="BV647" s="10"/>
      <c r="BW647" s="10"/>
    </row>
    <row r="648">
      <c r="A648" s="10"/>
      <c r="B648" s="10"/>
      <c r="C648" s="10"/>
      <c r="D648" s="10"/>
      <c r="E648" s="10"/>
      <c r="F648" s="10"/>
      <c r="G648" s="10"/>
      <c r="H648" s="10"/>
      <c r="I648" s="10"/>
      <c r="J648" s="10"/>
      <c r="K648" s="10"/>
      <c r="L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R648" s="10"/>
      <c r="AS648" s="10"/>
      <c r="AU648" s="10"/>
      <c r="AV648" s="10"/>
      <c r="AW648" s="143"/>
      <c r="BA648" s="10"/>
      <c r="BD648" s="10"/>
      <c r="BE648" s="10"/>
      <c r="BF648" s="10"/>
      <c r="BG648" s="10"/>
      <c r="BH648" s="10"/>
      <c r="BI648" s="10"/>
      <c r="BJ648" s="10"/>
      <c r="BK648" s="10"/>
      <c r="BL648" s="10"/>
      <c r="BM648" s="10"/>
      <c r="BN648" s="10"/>
      <c r="BO648" s="10"/>
      <c r="BP648" s="10"/>
      <c r="BQ648" s="10"/>
      <c r="BR648" s="10"/>
      <c r="BS648" s="10"/>
      <c r="BT648" s="10"/>
      <c r="BV648" s="10"/>
      <c r="BW648" s="10"/>
    </row>
    <row r="649">
      <c r="A649" s="10"/>
      <c r="B649" s="10"/>
      <c r="C649" s="10"/>
      <c r="D649" s="10"/>
      <c r="E649" s="10"/>
      <c r="F649" s="10"/>
      <c r="G649" s="10"/>
      <c r="H649" s="10"/>
      <c r="I649" s="10"/>
      <c r="J649" s="10"/>
      <c r="K649" s="10"/>
      <c r="L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R649" s="10"/>
      <c r="AS649" s="10"/>
      <c r="AU649" s="10"/>
      <c r="AV649" s="10"/>
      <c r="AW649" s="143"/>
      <c r="BA649" s="10"/>
      <c r="BD649" s="10"/>
      <c r="BE649" s="10"/>
      <c r="BF649" s="10"/>
      <c r="BG649" s="10"/>
      <c r="BH649" s="10"/>
      <c r="BI649" s="10"/>
      <c r="BJ649" s="10"/>
      <c r="BK649" s="10"/>
      <c r="BL649" s="10"/>
      <c r="BM649" s="10"/>
      <c r="BN649" s="10"/>
      <c r="BO649" s="10"/>
      <c r="BP649" s="10"/>
      <c r="BQ649" s="10"/>
      <c r="BR649" s="10"/>
      <c r="BS649" s="10"/>
      <c r="BT649" s="10"/>
      <c r="BV649" s="10"/>
      <c r="BW649" s="10"/>
    </row>
    <row r="650">
      <c r="A650" s="10"/>
      <c r="B650" s="10"/>
      <c r="C650" s="10"/>
      <c r="D650" s="10"/>
      <c r="E650" s="10"/>
      <c r="F650" s="10"/>
      <c r="G650" s="10"/>
      <c r="H650" s="10"/>
      <c r="I650" s="10"/>
      <c r="J650" s="10"/>
      <c r="K650" s="10"/>
      <c r="L650" s="10"/>
      <c r="P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R650" s="10"/>
      <c r="AS650" s="10"/>
      <c r="AU650" s="10"/>
      <c r="AV650" s="10"/>
      <c r="AW650" s="143"/>
      <c r="BA650" s="10"/>
      <c r="BD650" s="10"/>
      <c r="BE650" s="10"/>
      <c r="BF650" s="10"/>
      <c r="BG650" s="10"/>
      <c r="BH650" s="10"/>
      <c r="BI650" s="10"/>
      <c r="BJ650" s="10"/>
      <c r="BK650" s="10"/>
      <c r="BS650" s="10"/>
      <c r="BT650" s="10"/>
      <c r="BV650" s="10"/>
      <c r="BW650" s="10"/>
    </row>
    <row r="651">
      <c r="A651" s="10"/>
      <c r="B651" s="10"/>
      <c r="C651" s="10"/>
      <c r="D651" s="10"/>
      <c r="E651" s="10"/>
      <c r="F651" s="10"/>
      <c r="G651" s="10"/>
      <c r="H651" s="10"/>
      <c r="J651" s="10"/>
      <c r="K651" s="10"/>
      <c r="L651" s="10"/>
      <c r="P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W651" s="143"/>
      <c r="BA651" s="10"/>
      <c r="BD651" s="10"/>
      <c r="BE651" s="10"/>
      <c r="BF651" s="10"/>
      <c r="BG651" s="10"/>
      <c r="BH651" s="10"/>
      <c r="BI651" s="10"/>
      <c r="BJ651" s="10"/>
      <c r="BK651" s="10"/>
      <c r="BS651" s="10"/>
      <c r="BT651" s="10"/>
      <c r="BV651" s="10"/>
      <c r="BW651" s="10"/>
    </row>
    <row r="652">
      <c r="A652" s="10"/>
      <c r="B652" s="10"/>
      <c r="C652" s="10"/>
      <c r="D652" s="10"/>
      <c r="E652" s="10"/>
      <c r="F652" s="10"/>
      <c r="G652" s="10"/>
      <c r="H652" s="10"/>
      <c r="J652" s="10"/>
      <c r="K652" s="10"/>
      <c r="L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W652" s="143"/>
      <c r="BA652" s="10"/>
      <c r="BD652" s="10"/>
      <c r="BE652" s="10"/>
      <c r="BF652" s="10"/>
      <c r="BG652" s="10"/>
      <c r="BH652" s="10"/>
      <c r="BI652" s="10"/>
      <c r="BJ652" s="10"/>
      <c r="BK652" s="10"/>
      <c r="BL652" s="10"/>
      <c r="BO652" s="10"/>
      <c r="BR652" s="10"/>
      <c r="BS652" s="10"/>
      <c r="BT652" s="10"/>
      <c r="BV652" s="10"/>
      <c r="BW652" s="10"/>
    </row>
    <row r="653">
      <c r="A653" s="10"/>
      <c r="B653" s="10"/>
      <c r="C653" s="10"/>
      <c r="D653" s="10"/>
      <c r="E653" s="10"/>
      <c r="F653" s="10"/>
      <c r="G653" s="10"/>
      <c r="H653" s="10"/>
      <c r="K653" s="10"/>
      <c r="L653" s="10"/>
      <c r="O653" s="10"/>
      <c r="P653" s="10"/>
      <c r="T653" s="10"/>
      <c r="U653" s="10"/>
      <c r="V653" s="10"/>
      <c r="W653" s="10"/>
      <c r="Y653" s="10"/>
      <c r="Z653" s="10"/>
      <c r="AA653" s="10"/>
      <c r="AB653" s="10"/>
      <c r="AC653" s="10"/>
      <c r="AD653" s="10"/>
      <c r="AE653" s="10"/>
      <c r="AF653" s="10"/>
      <c r="AG653" s="10"/>
      <c r="AH653" s="10"/>
      <c r="AI653" s="10"/>
      <c r="AJ653" s="10"/>
      <c r="AK653" s="10"/>
      <c r="AL653" s="10"/>
      <c r="AM653" s="10"/>
      <c r="AN653" s="10"/>
      <c r="AO653" s="10"/>
      <c r="AW653" s="143"/>
      <c r="BA653" s="10"/>
      <c r="BD653" s="10"/>
      <c r="BE653" s="10"/>
      <c r="BF653" s="10"/>
      <c r="BG653" s="10"/>
      <c r="BH653" s="10"/>
      <c r="BI653" s="10"/>
      <c r="BJ653" s="10"/>
      <c r="BK653" s="10"/>
      <c r="BL653" s="10"/>
      <c r="BM653" s="10"/>
      <c r="BN653" s="10"/>
      <c r="BO653" s="10"/>
      <c r="BP653" s="10"/>
      <c r="BQ653" s="10"/>
      <c r="BR653" s="10"/>
      <c r="BS653" s="10"/>
      <c r="BT653" s="10"/>
      <c r="BV653" s="10"/>
      <c r="BW653" s="10"/>
    </row>
    <row r="654">
      <c r="A654" s="10"/>
      <c r="B654" s="10"/>
      <c r="C654" s="10"/>
      <c r="D654" s="10"/>
      <c r="E654" s="10"/>
      <c r="F654" s="10"/>
      <c r="G654" s="10"/>
      <c r="H654" s="10"/>
      <c r="K654" s="10"/>
      <c r="L654" s="10"/>
      <c r="O654" s="10"/>
      <c r="P654" s="10"/>
      <c r="T654" s="10"/>
      <c r="U654" s="10"/>
      <c r="V654" s="10"/>
      <c r="W654" s="10"/>
      <c r="Y654" s="10"/>
      <c r="Z654" s="10"/>
      <c r="AA654" s="10"/>
      <c r="AB654" s="10"/>
      <c r="AC654" s="10"/>
      <c r="AD654" s="10"/>
      <c r="AE654" s="10"/>
      <c r="AF654" s="10"/>
      <c r="AG654" s="10"/>
      <c r="AH654" s="10"/>
      <c r="AI654" s="10"/>
      <c r="AJ654" s="10"/>
      <c r="AK654" s="10"/>
      <c r="AL654" s="10"/>
      <c r="AM654" s="10"/>
      <c r="AN654" s="10"/>
      <c r="AO654" s="10"/>
      <c r="AW654" s="143"/>
      <c r="BA654" s="10"/>
      <c r="BD654" s="10"/>
      <c r="BE654" s="10"/>
      <c r="BF654" s="10"/>
      <c r="BG654" s="10"/>
      <c r="BH654" s="10"/>
      <c r="BI654" s="10"/>
      <c r="BJ654" s="10"/>
      <c r="BK654" s="10"/>
      <c r="BL654" s="10"/>
      <c r="BM654" s="10"/>
      <c r="BN654" s="10"/>
      <c r="BO654" s="10"/>
      <c r="BP654" s="10"/>
      <c r="BQ654" s="10"/>
      <c r="BR654" s="10"/>
      <c r="BS654" s="10"/>
      <c r="BT654" s="10"/>
      <c r="BV654" s="10"/>
      <c r="BW654" s="10"/>
    </row>
    <row r="655">
      <c r="A655" s="10"/>
      <c r="B655" s="10"/>
      <c r="C655" s="10"/>
      <c r="D655" s="10"/>
      <c r="E655" s="10"/>
      <c r="F655" s="10"/>
      <c r="G655" s="10"/>
      <c r="H655" s="10"/>
      <c r="J655" s="10"/>
      <c r="K655" s="10"/>
      <c r="L655" s="10"/>
      <c r="P655" s="10"/>
      <c r="Q655" s="10"/>
      <c r="R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W655" s="143"/>
      <c r="BA655" s="10"/>
      <c r="BD655" s="10"/>
      <c r="BE655" s="10"/>
      <c r="BF655" s="10"/>
      <c r="BG655" s="10"/>
      <c r="BH655" s="10"/>
      <c r="BI655" s="10"/>
      <c r="BJ655" s="10"/>
      <c r="BK655" s="10"/>
      <c r="BL655" s="10"/>
      <c r="BM655" s="10"/>
      <c r="BN655" s="10"/>
      <c r="BO655" s="10"/>
      <c r="BP655" s="10"/>
      <c r="BQ655" s="10"/>
      <c r="BR655" s="10"/>
      <c r="BS655" s="10"/>
      <c r="BT655" s="10"/>
      <c r="BV655" s="10"/>
      <c r="BW655" s="10"/>
    </row>
    <row r="656">
      <c r="A656" s="10"/>
      <c r="B656" s="10"/>
      <c r="C656" s="10"/>
      <c r="D656" s="10"/>
      <c r="E656" s="10"/>
      <c r="F656" s="10"/>
      <c r="G656" s="10"/>
      <c r="H656" s="10"/>
      <c r="K656" s="10"/>
      <c r="L656" s="10"/>
      <c r="N656" s="10"/>
      <c r="P656" s="10"/>
      <c r="T656" s="10"/>
      <c r="U656" s="10"/>
      <c r="V656" s="10"/>
      <c r="W656" s="10"/>
      <c r="Y656" s="10"/>
      <c r="Z656" s="10"/>
      <c r="AA656" s="10"/>
      <c r="AB656" s="10"/>
      <c r="AC656" s="10"/>
      <c r="AD656" s="10"/>
      <c r="AE656" s="10"/>
      <c r="AF656" s="10"/>
      <c r="AG656" s="10"/>
      <c r="AH656" s="10"/>
      <c r="AI656" s="10"/>
      <c r="AJ656" s="10"/>
      <c r="AK656" s="10"/>
      <c r="AL656" s="10"/>
      <c r="AM656" s="10"/>
      <c r="AN656" s="10"/>
      <c r="AO656" s="10"/>
      <c r="AW656" s="143"/>
      <c r="BA656" s="10"/>
      <c r="BD656" s="10"/>
      <c r="BE656" s="10"/>
      <c r="BF656" s="10"/>
      <c r="BG656" s="10"/>
      <c r="BH656" s="10"/>
      <c r="BI656" s="10"/>
      <c r="BJ656" s="10"/>
      <c r="BK656" s="10"/>
      <c r="BS656" s="10"/>
      <c r="BT656" s="10"/>
      <c r="BV656" s="10"/>
      <c r="BW656" s="10"/>
    </row>
    <row r="657">
      <c r="A657" s="10"/>
      <c r="B657" s="10"/>
      <c r="C657" s="10"/>
      <c r="D657" s="10"/>
      <c r="E657" s="10"/>
      <c r="F657" s="10"/>
      <c r="G657" s="10"/>
      <c r="H657" s="10"/>
      <c r="I657" s="10"/>
      <c r="K657" s="10"/>
      <c r="L657" s="10"/>
      <c r="N657" s="10"/>
      <c r="P657" s="10"/>
      <c r="T657" s="10"/>
      <c r="U657" s="10"/>
      <c r="V657" s="10"/>
      <c r="W657" s="10"/>
      <c r="Y657" s="10"/>
      <c r="Z657" s="10"/>
      <c r="AA657" s="10"/>
      <c r="AB657" s="10"/>
      <c r="AC657" s="10"/>
      <c r="AD657" s="10"/>
      <c r="AE657" s="10"/>
      <c r="AF657" s="10"/>
      <c r="AG657" s="10"/>
      <c r="AH657" s="10"/>
      <c r="AI657" s="10"/>
      <c r="AJ657" s="10"/>
      <c r="AK657" s="10"/>
      <c r="AL657" s="10"/>
      <c r="AM657" s="10"/>
      <c r="AN657" s="10"/>
      <c r="AO657" s="10"/>
      <c r="AS657" s="10"/>
      <c r="AT657" s="10"/>
      <c r="AW657" s="143"/>
      <c r="BA657" s="10"/>
      <c r="BD657" s="10"/>
      <c r="BE657" s="10"/>
      <c r="BF657" s="10"/>
      <c r="BG657" s="10"/>
      <c r="BH657" s="10"/>
      <c r="BI657" s="10"/>
      <c r="BJ657" s="10"/>
      <c r="BK657" s="10"/>
      <c r="BS657" s="10"/>
      <c r="BT657" s="10"/>
      <c r="BV657" s="10"/>
      <c r="BW657" s="10"/>
    </row>
    <row r="658">
      <c r="A658" s="10"/>
      <c r="B658" s="10"/>
      <c r="C658" s="10"/>
      <c r="D658" s="10"/>
      <c r="E658" s="10"/>
      <c r="F658" s="10"/>
      <c r="G658" s="10"/>
      <c r="H658" s="10"/>
      <c r="I658" s="10"/>
      <c r="K658" s="10"/>
      <c r="L658" s="10"/>
      <c r="N658" s="10"/>
      <c r="P658" s="10"/>
      <c r="T658" s="10"/>
      <c r="U658" s="10"/>
      <c r="V658" s="10"/>
      <c r="W658" s="10"/>
      <c r="Y658" s="10"/>
      <c r="Z658" s="10"/>
      <c r="AA658" s="10"/>
      <c r="AB658" s="10"/>
      <c r="AC658" s="10"/>
      <c r="AD658" s="10"/>
      <c r="AE658" s="10"/>
      <c r="AF658" s="10"/>
      <c r="AG658" s="10"/>
      <c r="AH658" s="10"/>
      <c r="AI658" s="10"/>
      <c r="AJ658" s="10"/>
      <c r="AK658" s="10"/>
      <c r="AL658" s="10"/>
      <c r="AM658" s="10"/>
      <c r="AN658" s="10"/>
      <c r="AO658" s="10"/>
      <c r="AS658" s="10"/>
      <c r="AT658" s="10"/>
      <c r="AW658" s="143"/>
      <c r="BA658" s="10"/>
      <c r="BD658" s="10"/>
      <c r="BE658" s="10"/>
      <c r="BF658" s="10"/>
      <c r="BG658" s="10"/>
      <c r="BH658" s="10"/>
      <c r="BI658" s="10"/>
      <c r="BJ658" s="10"/>
      <c r="BK658" s="10"/>
      <c r="BS658" s="10"/>
      <c r="BT658" s="10"/>
      <c r="BV658" s="10"/>
      <c r="BW658" s="10"/>
    </row>
    <row r="659">
      <c r="A659" s="10"/>
      <c r="B659" s="10"/>
      <c r="C659" s="10"/>
      <c r="D659" s="10"/>
      <c r="E659" s="10"/>
      <c r="F659" s="10"/>
      <c r="G659" s="10"/>
      <c r="H659" s="10"/>
      <c r="I659" s="10"/>
      <c r="J659" s="10"/>
      <c r="K659" s="10"/>
      <c r="L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R659" s="10"/>
      <c r="AS659" s="10"/>
      <c r="AU659" s="10"/>
      <c r="AV659" s="10"/>
      <c r="AW659" s="143"/>
      <c r="BA659" s="10"/>
      <c r="BD659" s="10"/>
      <c r="BE659" s="10"/>
      <c r="BF659" s="10"/>
      <c r="BG659" s="10"/>
      <c r="BH659" s="10"/>
      <c r="BI659" s="10"/>
      <c r="BJ659" s="10"/>
      <c r="BK659" s="10"/>
      <c r="BL659" s="10"/>
      <c r="BO659" s="10"/>
      <c r="BR659" s="10"/>
      <c r="BS659" s="10"/>
      <c r="BT659" s="10"/>
      <c r="BV659" s="10"/>
      <c r="BW659" s="10"/>
    </row>
    <row r="660">
      <c r="A660" s="10"/>
      <c r="B660" s="10"/>
      <c r="C660" s="10"/>
      <c r="D660" s="10"/>
      <c r="E660" s="10"/>
      <c r="F660" s="10"/>
      <c r="G660" s="10"/>
      <c r="H660" s="10"/>
      <c r="I660" s="10"/>
      <c r="J660" s="10"/>
      <c r="K660" s="10"/>
      <c r="L660" s="10"/>
      <c r="P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R660" s="10"/>
      <c r="AS660" s="10"/>
      <c r="AU660" s="10"/>
      <c r="AV660" s="10"/>
      <c r="AW660" s="143"/>
      <c r="BA660" s="10"/>
      <c r="BD660" s="10"/>
      <c r="BE660" s="10"/>
      <c r="BF660" s="10"/>
      <c r="BG660" s="10"/>
      <c r="BH660" s="10"/>
      <c r="BI660" s="10"/>
      <c r="BJ660" s="10"/>
      <c r="BK660" s="10"/>
      <c r="BS660" s="10"/>
      <c r="BT660" s="10"/>
      <c r="BV660" s="10"/>
      <c r="BW660" s="10"/>
    </row>
    <row r="661">
      <c r="A661" s="10"/>
      <c r="B661" s="10"/>
      <c r="C661" s="10"/>
      <c r="D661" s="10"/>
      <c r="E661" s="10"/>
      <c r="F661" s="10"/>
      <c r="G661" s="10"/>
      <c r="H661" s="10"/>
      <c r="I661" s="10"/>
      <c r="K661" s="10"/>
      <c r="L661" s="10"/>
      <c r="P661" s="10"/>
      <c r="Q661" s="10"/>
      <c r="R661" s="10"/>
      <c r="S661" s="10"/>
      <c r="T661" s="10"/>
      <c r="U661" s="10"/>
      <c r="V661" s="10"/>
      <c r="W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U661" s="10"/>
      <c r="AV661" s="10"/>
      <c r="AW661" s="143"/>
      <c r="BA661" s="10"/>
      <c r="BD661" s="10"/>
      <c r="BE661" s="10"/>
      <c r="BF661" s="10"/>
      <c r="BG661" s="10"/>
      <c r="BH661" s="10"/>
      <c r="BI661" s="10"/>
      <c r="BJ661" s="10"/>
      <c r="BK661" s="10"/>
      <c r="BL661" s="10"/>
      <c r="BO661" s="10"/>
      <c r="BR661" s="10"/>
      <c r="BS661" s="10"/>
      <c r="BT661" s="10"/>
      <c r="BV661" s="10"/>
      <c r="BW661" s="10"/>
    </row>
    <row r="662">
      <c r="A662" s="10"/>
      <c r="B662" s="10"/>
      <c r="C662" s="10"/>
      <c r="D662" s="10"/>
      <c r="E662" s="10"/>
      <c r="F662" s="10"/>
      <c r="G662" s="10"/>
      <c r="H662" s="10"/>
      <c r="I662" s="10"/>
      <c r="J662" s="10"/>
      <c r="K662" s="10"/>
      <c r="L662" s="10"/>
      <c r="N662" s="10"/>
      <c r="O662" s="10"/>
      <c r="P662" s="10"/>
      <c r="Q662" s="10"/>
      <c r="R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U662" s="10"/>
      <c r="AV662" s="10"/>
      <c r="AW662" s="143"/>
      <c r="BA662" s="10"/>
      <c r="BD662" s="10"/>
      <c r="BE662" s="10"/>
      <c r="BF662" s="10"/>
      <c r="BG662" s="10"/>
      <c r="BH662" s="10"/>
      <c r="BI662" s="10"/>
      <c r="BJ662" s="10"/>
      <c r="BK662" s="10"/>
      <c r="BL662" s="10"/>
      <c r="BO662" s="10"/>
      <c r="BR662" s="10"/>
      <c r="BS662" s="10"/>
      <c r="BT662" s="10"/>
      <c r="BV662" s="10"/>
      <c r="BW662" s="10"/>
    </row>
    <row r="663">
      <c r="A663" s="10"/>
      <c r="B663" s="10"/>
      <c r="C663" s="10"/>
      <c r="D663" s="10"/>
      <c r="E663" s="10"/>
      <c r="F663" s="10"/>
      <c r="G663" s="10"/>
      <c r="H663" s="10"/>
      <c r="I663" s="10"/>
      <c r="K663" s="10"/>
      <c r="L663" s="10"/>
      <c r="P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U663" s="10"/>
      <c r="AV663" s="10"/>
      <c r="AW663" s="143"/>
      <c r="BA663" s="10"/>
      <c r="BD663" s="10"/>
      <c r="BS663" s="10"/>
      <c r="BT663" s="10"/>
      <c r="BV663" s="10"/>
      <c r="BW663" s="10"/>
    </row>
    <row r="664">
      <c r="A664" s="10"/>
      <c r="B664" s="10"/>
      <c r="C664" s="10"/>
      <c r="D664" s="10"/>
      <c r="E664" s="10"/>
      <c r="F664" s="10"/>
      <c r="G664" s="10"/>
      <c r="H664" s="10"/>
      <c r="I664" s="10"/>
      <c r="K664" s="10"/>
      <c r="L664" s="10"/>
      <c r="P664" s="10"/>
      <c r="T664" s="10"/>
      <c r="U664" s="10"/>
      <c r="V664" s="10"/>
      <c r="W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U664" s="10"/>
      <c r="AV664" s="10"/>
      <c r="AW664" s="143"/>
      <c r="BA664" s="10"/>
      <c r="BD664" s="10"/>
      <c r="BE664" s="10"/>
      <c r="BF664" s="10"/>
      <c r="BG664" s="10"/>
      <c r="BH664" s="10"/>
      <c r="BI664" s="10"/>
      <c r="BJ664" s="10"/>
      <c r="BK664" s="10"/>
      <c r="BS664" s="10"/>
      <c r="BT664" s="10"/>
      <c r="BV664" s="10"/>
      <c r="BW664" s="10"/>
    </row>
    <row r="665">
      <c r="A665" s="10"/>
      <c r="B665" s="10"/>
      <c r="C665" s="10"/>
      <c r="D665" s="10"/>
      <c r="E665" s="10"/>
      <c r="F665" s="10"/>
      <c r="G665" s="10"/>
      <c r="H665" s="10"/>
      <c r="I665" s="10"/>
      <c r="K665" s="10"/>
      <c r="L665" s="10"/>
      <c r="O665" s="10"/>
      <c r="P665" s="10"/>
      <c r="T665" s="10"/>
      <c r="U665" s="10"/>
      <c r="V665" s="10"/>
      <c r="W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U665" s="10"/>
      <c r="AV665" s="10"/>
      <c r="AW665" s="143"/>
      <c r="BA665" s="10"/>
      <c r="BD665" s="10"/>
      <c r="BS665" s="10"/>
      <c r="BT665" s="10"/>
      <c r="BV665" s="10"/>
      <c r="BW665" s="10"/>
    </row>
    <row r="666">
      <c r="A666" s="10"/>
      <c r="B666" s="10"/>
      <c r="C666" s="10"/>
      <c r="D666" s="10"/>
      <c r="E666" s="10"/>
      <c r="F666" s="10"/>
      <c r="G666" s="10"/>
      <c r="H666" s="10"/>
      <c r="I666" s="10"/>
      <c r="K666" s="10"/>
      <c r="L666" s="10"/>
      <c r="O666" s="10"/>
      <c r="P666" s="10"/>
      <c r="Q666" s="10"/>
      <c r="R666" s="10"/>
      <c r="S666" s="10"/>
      <c r="T666" s="10"/>
      <c r="U666" s="10"/>
      <c r="V666" s="10"/>
      <c r="W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U666" s="10"/>
      <c r="AV666" s="10"/>
      <c r="AW666" s="143"/>
      <c r="AZ666" s="10"/>
      <c r="BA666" s="10"/>
      <c r="BD666" s="10"/>
      <c r="BE666" s="10"/>
      <c r="BF666" s="10"/>
      <c r="BG666" s="10"/>
      <c r="BH666" s="10"/>
      <c r="BI666" s="10"/>
      <c r="BJ666" s="10"/>
      <c r="BK666" s="10"/>
      <c r="BL666" s="10"/>
      <c r="BM666" s="10"/>
      <c r="BN666" s="10"/>
      <c r="BO666" s="10"/>
      <c r="BP666" s="10"/>
      <c r="BQ666" s="10"/>
      <c r="BR666" s="10"/>
      <c r="BS666" s="10"/>
      <c r="BT666" s="10"/>
      <c r="BV666" s="10"/>
      <c r="BW666" s="10"/>
    </row>
    <row r="667">
      <c r="A667" s="10"/>
      <c r="B667" s="10"/>
      <c r="C667" s="10"/>
      <c r="D667" s="10"/>
      <c r="E667" s="10"/>
      <c r="F667" s="10"/>
      <c r="G667" s="10"/>
      <c r="H667" s="10"/>
      <c r="I667" s="10"/>
      <c r="K667" s="10"/>
      <c r="L667" s="10"/>
      <c r="N667" s="10"/>
      <c r="P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U667" s="10"/>
      <c r="AV667" s="10"/>
      <c r="AW667" s="143"/>
      <c r="BA667" s="10"/>
      <c r="BD667" s="10"/>
      <c r="BS667" s="10"/>
      <c r="BT667" s="10"/>
      <c r="BV667" s="10"/>
      <c r="BW667" s="10"/>
    </row>
    <row r="668">
      <c r="A668" s="10"/>
      <c r="B668" s="10"/>
      <c r="C668" s="10"/>
      <c r="D668" s="10"/>
      <c r="E668" s="10"/>
      <c r="F668" s="10"/>
      <c r="G668" s="10"/>
      <c r="H668" s="10"/>
      <c r="K668" s="10"/>
      <c r="L668" s="10"/>
      <c r="O668" s="10"/>
      <c r="P668" s="10"/>
      <c r="Q668" s="10"/>
      <c r="R668" s="10"/>
      <c r="S668" s="10"/>
      <c r="T668" s="10"/>
      <c r="U668" s="10"/>
      <c r="V668" s="10"/>
      <c r="W668" s="10"/>
      <c r="Y668" s="10"/>
      <c r="Z668" s="10"/>
      <c r="AA668" s="10"/>
      <c r="AB668" s="10"/>
      <c r="AC668" s="10"/>
      <c r="AD668" s="10"/>
      <c r="AE668" s="10"/>
      <c r="AF668" s="10"/>
      <c r="AG668" s="10"/>
      <c r="AH668" s="10"/>
      <c r="AI668" s="10"/>
      <c r="AJ668" s="10"/>
      <c r="AK668" s="10"/>
      <c r="AL668" s="10"/>
      <c r="AM668" s="10"/>
      <c r="AN668" s="10"/>
      <c r="AO668" s="10"/>
      <c r="AW668" s="143"/>
      <c r="BA668" s="10"/>
      <c r="BD668" s="10"/>
      <c r="BE668" s="10"/>
      <c r="BF668" s="10"/>
      <c r="BG668" s="10"/>
      <c r="BH668" s="10"/>
      <c r="BI668" s="10"/>
      <c r="BJ668" s="10"/>
      <c r="BK668" s="10"/>
      <c r="BL668" s="10"/>
      <c r="BM668" s="10"/>
      <c r="BN668" s="10"/>
      <c r="BO668" s="10"/>
      <c r="BP668" s="10"/>
      <c r="BQ668" s="10"/>
      <c r="BR668" s="10"/>
      <c r="BS668" s="10"/>
      <c r="BT668" s="10"/>
      <c r="BV668" s="10"/>
      <c r="BW668" s="10"/>
    </row>
    <row r="669">
      <c r="A669" s="10"/>
      <c r="B669" s="10"/>
      <c r="C669" s="10"/>
      <c r="D669" s="10"/>
      <c r="E669" s="10"/>
      <c r="F669" s="10"/>
      <c r="G669" s="10"/>
      <c r="H669" s="10"/>
      <c r="K669" s="10"/>
      <c r="L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W669" s="143"/>
      <c r="AZ669" s="10"/>
      <c r="BA669" s="10"/>
      <c r="BD669" s="10"/>
      <c r="BE669" s="10"/>
      <c r="BF669" s="10"/>
      <c r="BG669" s="10"/>
      <c r="BH669" s="10"/>
      <c r="BI669" s="10"/>
      <c r="BJ669" s="10"/>
      <c r="BK669" s="10"/>
      <c r="BT669" s="10"/>
      <c r="BV669" s="10"/>
      <c r="BW669" s="10"/>
    </row>
    <row r="670">
      <c r="A670" s="10"/>
      <c r="B670" s="10"/>
      <c r="C670" s="10"/>
      <c r="D670" s="10"/>
      <c r="E670" s="10"/>
      <c r="F670" s="10"/>
      <c r="G670" s="10"/>
      <c r="H670" s="10"/>
      <c r="K670" s="10"/>
      <c r="L670" s="10"/>
      <c r="T670" s="10"/>
      <c r="U670" s="10"/>
      <c r="V670" s="10"/>
      <c r="W670" s="10"/>
      <c r="X670" s="10"/>
      <c r="Y670" s="10"/>
      <c r="Z670" s="10"/>
      <c r="AA670" s="10"/>
      <c r="AB670" s="10"/>
      <c r="AC670" s="10"/>
      <c r="AD670" s="10"/>
      <c r="AE670" s="10"/>
      <c r="AF670" s="10"/>
      <c r="AG670" s="10"/>
      <c r="AH670" s="10"/>
      <c r="AI670" s="10"/>
      <c r="AJ670" s="10"/>
      <c r="AL670" s="10"/>
      <c r="AM670" s="10"/>
      <c r="AO670" s="10"/>
      <c r="AW670" s="143"/>
      <c r="BA670" s="10"/>
      <c r="BD670" s="10"/>
      <c r="BE670" s="10"/>
      <c r="BF670" s="10"/>
      <c r="BG670" s="10"/>
      <c r="BH670" s="10"/>
      <c r="BI670" s="10"/>
      <c r="BJ670" s="10"/>
      <c r="BK670" s="10"/>
      <c r="BS670" s="10"/>
      <c r="BT670" s="10"/>
      <c r="BV670" s="10"/>
      <c r="BW670" s="10"/>
    </row>
    <row r="671">
      <c r="A671" s="10"/>
      <c r="B671" s="10"/>
      <c r="C671" s="10"/>
      <c r="D671" s="10"/>
      <c r="E671" s="10"/>
      <c r="F671" s="10"/>
      <c r="G671" s="10"/>
      <c r="H671" s="10"/>
      <c r="K671" s="10"/>
      <c r="L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W671" s="143"/>
      <c r="BA671" s="10"/>
      <c r="BD671" s="10"/>
      <c r="BE671" s="10"/>
      <c r="BF671" s="10"/>
      <c r="BG671" s="10"/>
      <c r="BH671" s="10"/>
      <c r="BI671" s="10"/>
      <c r="BJ671" s="10"/>
      <c r="BK671" s="10"/>
      <c r="BS671" s="10"/>
      <c r="BT671" s="10"/>
      <c r="BV671" s="10"/>
      <c r="BW671" s="10"/>
    </row>
    <row r="672">
      <c r="A672" s="10"/>
      <c r="B672" s="10"/>
      <c r="C672" s="10"/>
      <c r="D672" s="10"/>
      <c r="E672" s="10"/>
      <c r="F672" s="10"/>
      <c r="G672" s="10"/>
      <c r="H672" s="10"/>
      <c r="K672" s="10"/>
      <c r="L672" s="10"/>
      <c r="T672" s="10"/>
      <c r="U672" s="10"/>
      <c r="V672" s="10"/>
      <c r="W672" s="10"/>
      <c r="X672" s="10"/>
      <c r="Y672" s="10"/>
      <c r="Z672" s="10"/>
      <c r="AA672" s="10"/>
      <c r="AB672" s="10"/>
      <c r="AC672" s="10"/>
      <c r="AD672" s="10"/>
      <c r="AE672" s="10"/>
      <c r="AF672" s="10"/>
      <c r="AG672" s="10"/>
      <c r="AH672" s="10"/>
      <c r="AI672" s="10"/>
      <c r="AJ672" s="10"/>
      <c r="AK672" s="10"/>
      <c r="AL672" s="10"/>
      <c r="AM672" s="10"/>
      <c r="AO672" s="10"/>
      <c r="AW672" s="143"/>
      <c r="BA672" s="10"/>
      <c r="BD672" s="10"/>
      <c r="BE672" s="10"/>
      <c r="BF672" s="10"/>
      <c r="BG672" s="10"/>
      <c r="BH672" s="10"/>
      <c r="BI672" s="10"/>
      <c r="BJ672" s="10"/>
      <c r="BK672" s="10"/>
      <c r="BS672" s="10"/>
      <c r="BT672" s="10"/>
      <c r="BV672" s="10"/>
      <c r="BW672" s="10"/>
    </row>
    <row r="673">
      <c r="A673" s="10"/>
      <c r="B673" s="10"/>
      <c r="C673" s="10"/>
      <c r="D673" s="10"/>
      <c r="E673" s="10"/>
      <c r="F673" s="10"/>
      <c r="G673" s="10"/>
      <c r="H673" s="10"/>
      <c r="K673" s="10"/>
      <c r="L673" s="10"/>
      <c r="T673" s="10"/>
      <c r="U673" s="10"/>
      <c r="V673" s="10"/>
      <c r="W673" s="10"/>
      <c r="X673" s="10"/>
      <c r="Y673" s="10"/>
      <c r="Z673" s="10"/>
      <c r="AA673" s="10"/>
      <c r="AB673" s="10"/>
      <c r="AC673" s="10"/>
      <c r="AD673" s="10"/>
      <c r="AE673" s="10"/>
      <c r="AF673" s="10"/>
      <c r="AG673" s="10"/>
      <c r="AH673" s="10"/>
      <c r="AI673" s="10"/>
      <c r="AJ673" s="10"/>
      <c r="AK673" s="10"/>
      <c r="AL673" s="10"/>
      <c r="AM673" s="10"/>
      <c r="AO673" s="10"/>
      <c r="AW673" s="143"/>
      <c r="BA673" s="10"/>
      <c r="BD673" s="10"/>
      <c r="BE673" s="10"/>
      <c r="BF673" s="10"/>
      <c r="BG673" s="10"/>
      <c r="BH673" s="10"/>
      <c r="BI673" s="10"/>
      <c r="BJ673" s="10"/>
      <c r="BK673" s="10"/>
      <c r="BS673" s="10"/>
      <c r="BT673" s="10"/>
      <c r="BV673" s="10"/>
      <c r="BW673" s="10"/>
    </row>
    <row r="674">
      <c r="A674" s="10"/>
      <c r="B674" s="10"/>
      <c r="C674" s="10"/>
      <c r="D674" s="10"/>
      <c r="E674" s="10"/>
      <c r="F674" s="10"/>
      <c r="G674" s="10"/>
      <c r="H674" s="10"/>
      <c r="K674" s="10"/>
      <c r="L674" s="10"/>
      <c r="T674" s="10"/>
      <c r="U674" s="10"/>
      <c r="V674" s="10"/>
      <c r="W674" s="10"/>
      <c r="X674" s="10"/>
      <c r="Y674" s="10"/>
      <c r="Z674" s="10"/>
      <c r="AA674" s="10"/>
      <c r="AB674" s="10"/>
      <c r="AC674" s="10"/>
      <c r="AD674" s="10"/>
      <c r="AE674" s="10"/>
      <c r="AF674" s="10"/>
      <c r="AG674" s="10"/>
      <c r="AH674" s="10"/>
      <c r="AI674" s="10"/>
      <c r="AJ674" s="10"/>
      <c r="AK674" s="10"/>
      <c r="AL674" s="10"/>
      <c r="AN674" s="10"/>
      <c r="AO674" s="10"/>
      <c r="AW674" s="143"/>
      <c r="BA674" s="10"/>
      <c r="BD674" s="10"/>
      <c r="BE674" s="10"/>
      <c r="BF674" s="10"/>
      <c r="BG674" s="10"/>
      <c r="BH674" s="10"/>
      <c r="BI674" s="10"/>
      <c r="BJ674" s="10"/>
      <c r="BK674" s="10"/>
      <c r="BS674" s="10"/>
      <c r="BT674" s="10"/>
      <c r="BV674" s="10"/>
      <c r="BW674" s="10"/>
    </row>
    <row r="675">
      <c r="A675" s="10"/>
      <c r="B675" s="10"/>
      <c r="C675" s="10"/>
      <c r="D675" s="10"/>
      <c r="E675" s="10"/>
      <c r="F675" s="10"/>
      <c r="G675" s="10"/>
      <c r="H675" s="10"/>
      <c r="K675" s="10"/>
      <c r="L675" s="10"/>
      <c r="T675" s="10"/>
      <c r="U675" s="10"/>
      <c r="V675" s="10"/>
      <c r="W675" s="10"/>
      <c r="X675" s="10"/>
      <c r="Y675" s="10"/>
      <c r="Z675" s="10"/>
      <c r="AA675" s="10"/>
      <c r="AB675" s="10"/>
      <c r="AC675" s="10"/>
      <c r="AD675" s="10"/>
      <c r="AE675" s="10"/>
      <c r="AF675" s="10"/>
      <c r="AG675" s="10"/>
      <c r="AH675" s="10"/>
      <c r="AI675" s="10"/>
      <c r="AJ675" s="10"/>
      <c r="AK675" s="10"/>
      <c r="AL675" s="10"/>
      <c r="AM675" s="10"/>
      <c r="AO675" s="10"/>
      <c r="AW675" s="143"/>
      <c r="BA675" s="10"/>
      <c r="BD675" s="10"/>
      <c r="BE675" s="10"/>
      <c r="BF675" s="10"/>
      <c r="BG675" s="10"/>
      <c r="BH675" s="10"/>
      <c r="BI675" s="10"/>
      <c r="BJ675" s="10"/>
      <c r="BK675" s="10"/>
      <c r="BS675" s="10"/>
      <c r="BT675" s="10"/>
      <c r="BV675" s="10"/>
      <c r="BW675" s="10"/>
    </row>
    <row r="676">
      <c r="A676" s="10"/>
      <c r="B676" s="10"/>
      <c r="C676" s="10"/>
      <c r="D676" s="10"/>
      <c r="E676" s="10"/>
      <c r="F676" s="10"/>
      <c r="G676" s="10"/>
      <c r="H676" s="10"/>
      <c r="K676" s="10"/>
      <c r="L676" s="10"/>
      <c r="P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W676" s="143"/>
      <c r="BA676" s="10"/>
      <c r="BD676" s="10"/>
      <c r="BS676" s="10"/>
      <c r="BT676" s="10"/>
      <c r="BV676" s="10"/>
      <c r="BW676" s="10"/>
    </row>
    <row r="677">
      <c r="A677" s="10"/>
      <c r="B677" s="10"/>
      <c r="C677" s="10"/>
      <c r="D677" s="10"/>
      <c r="E677" s="10"/>
      <c r="F677" s="10"/>
      <c r="G677" s="10"/>
      <c r="H677" s="10"/>
      <c r="J677" s="10"/>
      <c r="K677" s="10"/>
      <c r="L677" s="10"/>
      <c r="T677" s="10"/>
      <c r="U677" s="10"/>
      <c r="V677" s="10"/>
      <c r="W677" s="10"/>
      <c r="X677" s="10"/>
      <c r="Y677" s="10"/>
      <c r="Z677" s="10"/>
      <c r="AA677" s="10"/>
      <c r="AB677" s="10"/>
      <c r="AC677" s="10"/>
      <c r="AD677" s="10"/>
      <c r="AE677" s="10"/>
      <c r="AF677" s="10"/>
      <c r="AG677" s="10"/>
      <c r="AH677" s="10"/>
      <c r="AI677" s="10"/>
      <c r="AJ677" s="10"/>
      <c r="AL677" s="10"/>
      <c r="AM677" s="10"/>
      <c r="AO677" s="10"/>
      <c r="AW677" s="143"/>
      <c r="BA677" s="10"/>
      <c r="BD677" s="10"/>
      <c r="BS677" s="10"/>
      <c r="BT677" s="10"/>
      <c r="BV677" s="10"/>
      <c r="BW677" s="10"/>
    </row>
    <row r="678">
      <c r="A678" s="10"/>
      <c r="B678" s="10"/>
      <c r="C678" s="10"/>
      <c r="D678" s="10"/>
      <c r="E678" s="10"/>
      <c r="F678" s="10"/>
      <c r="G678" s="10"/>
      <c r="H678" s="10"/>
      <c r="K678" s="10"/>
      <c r="L678" s="10"/>
      <c r="O678" s="10"/>
      <c r="P678" s="10"/>
      <c r="T678" s="10"/>
      <c r="U678" s="10"/>
      <c r="V678" s="10"/>
      <c r="W678" s="10"/>
      <c r="Y678" s="10"/>
      <c r="Z678" s="10"/>
      <c r="AA678" s="10"/>
      <c r="AB678" s="10"/>
      <c r="AC678" s="10"/>
      <c r="AD678" s="10"/>
      <c r="AE678" s="10"/>
      <c r="AF678" s="10"/>
      <c r="AG678" s="10"/>
      <c r="AH678" s="10"/>
      <c r="AI678" s="10"/>
      <c r="AJ678" s="10"/>
      <c r="AK678" s="10"/>
      <c r="AL678" s="10"/>
      <c r="AM678" s="10"/>
      <c r="AN678" s="10"/>
      <c r="AO678" s="10"/>
      <c r="AW678" s="143"/>
      <c r="BA678" s="10"/>
      <c r="BD678" s="10"/>
      <c r="BS678" s="10"/>
      <c r="BT678" s="10"/>
      <c r="BV678" s="10"/>
      <c r="BW678" s="10"/>
    </row>
    <row r="679">
      <c r="A679" s="10"/>
      <c r="B679" s="10"/>
      <c r="C679" s="10"/>
      <c r="D679" s="10"/>
      <c r="E679" s="10"/>
      <c r="F679" s="10"/>
      <c r="G679" s="10"/>
      <c r="H679" s="10"/>
      <c r="I679" s="10"/>
      <c r="K679" s="10"/>
      <c r="L679" s="10"/>
      <c r="P679" s="10"/>
      <c r="Q679" s="10"/>
      <c r="R679" s="10"/>
      <c r="T679" s="10"/>
      <c r="U679" s="10"/>
      <c r="V679" s="10"/>
      <c r="W679" s="10"/>
      <c r="Y679" s="10"/>
      <c r="Z679" s="10"/>
      <c r="AA679" s="10"/>
      <c r="AB679" s="10"/>
      <c r="AC679" s="10"/>
      <c r="AD679" s="10"/>
      <c r="AE679" s="10"/>
      <c r="AF679" s="10"/>
      <c r="AG679" s="10"/>
      <c r="AH679" s="10"/>
      <c r="AI679" s="10"/>
      <c r="AJ679" s="10"/>
      <c r="AK679" s="10"/>
      <c r="AL679" s="10"/>
      <c r="AM679" s="10"/>
      <c r="AN679" s="10"/>
      <c r="AO679" s="10"/>
      <c r="AR679" s="10"/>
      <c r="AS679" s="10"/>
      <c r="AU679" s="10"/>
      <c r="AV679" s="10"/>
      <c r="AW679" s="143"/>
      <c r="AZ679" s="10"/>
      <c r="BD679" s="10"/>
      <c r="BE679" s="10"/>
      <c r="BF679" s="10"/>
      <c r="BG679" s="10"/>
      <c r="BH679" s="10"/>
      <c r="BI679" s="10"/>
      <c r="BJ679" s="10"/>
      <c r="BK679" s="10"/>
      <c r="BL679" s="10"/>
      <c r="BM679" s="10"/>
      <c r="BN679" s="10"/>
      <c r="BO679" s="10"/>
      <c r="BP679" s="10"/>
      <c r="BQ679" s="10"/>
      <c r="BR679" s="10"/>
      <c r="BS679" s="10"/>
      <c r="BT679" s="10"/>
      <c r="BV679" s="10"/>
      <c r="BW679" s="10"/>
    </row>
    <row r="680">
      <c r="A680" s="10"/>
      <c r="B680" s="10"/>
      <c r="C680" s="10"/>
      <c r="D680" s="10"/>
      <c r="E680" s="10"/>
      <c r="F680" s="10"/>
      <c r="G680" s="10"/>
      <c r="H680" s="10"/>
      <c r="I680" s="10"/>
      <c r="K680" s="10"/>
      <c r="L680" s="10"/>
      <c r="P680" s="10"/>
      <c r="T680" s="10"/>
      <c r="U680" s="10"/>
      <c r="V680" s="10"/>
      <c r="W680" s="10"/>
      <c r="Y680" s="10"/>
      <c r="Z680" s="10"/>
      <c r="AA680" s="10"/>
      <c r="AB680" s="10"/>
      <c r="AC680" s="10"/>
      <c r="AD680" s="10"/>
      <c r="AE680" s="10"/>
      <c r="AF680" s="10"/>
      <c r="AG680" s="10"/>
      <c r="AH680" s="10"/>
      <c r="AI680" s="10"/>
      <c r="AJ680" s="10"/>
      <c r="AK680" s="10"/>
      <c r="AL680" s="10"/>
      <c r="AM680" s="10"/>
      <c r="AN680" s="10"/>
      <c r="AO680" s="10"/>
      <c r="AR680" s="10"/>
      <c r="AS680" s="10"/>
      <c r="AU680" s="10"/>
      <c r="AV680" s="10"/>
      <c r="AW680" s="143"/>
      <c r="AZ680" s="10"/>
      <c r="BD680" s="10"/>
      <c r="BE680" s="10"/>
      <c r="BF680" s="10"/>
      <c r="BG680" s="10"/>
      <c r="BH680" s="10"/>
      <c r="BI680" s="10"/>
      <c r="BJ680" s="10"/>
      <c r="BK680" s="10"/>
      <c r="BS680" s="10"/>
      <c r="BT680" s="10"/>
      <c r="BV680" s="10"/>
      <c r="BW680" s="10"/>
    </row>
    <row r="681">
      <c r="A681" s="10"/>
      <c r="B681" s="10"/>
      <c r="C681" s="10"/>
      <c r="D681" s="10"/>
      <c r="E681" s="10"/>
      <c r="F681" s="10"/>
      <c r="G681" s="10"/>
      <c r="H681" s="10"/>
      <c r="I681" s="10"/>
      <c r="K681" s="10"/>
      <c r="L681" s="10"/>
      <c r="O681" s="10"/>
      <c r="P681" s="10"/>
      <c r="T681" s="10"/>
      <c r="U681" s="10"/>
      <c r="V681" s="10"/>
      <c r="W681" s="10"/>
      <c r="Y681" s="10"/>
      <c r="Z681" s="10"/>
      <c r="AA681" s="10"/>
      <c r="AB681" s="10"/>
      <c r="AC681" s="10"/>
      <c r="AD681" s="10"/>
      <c r="AE681" s="10"/>
      <c r="AF681" s="10"/>
      <c r="AG681" s="10"/>
      <c r="AH681" s="10"/>
      <c r="AI681" s="10"/>
      <c r="AJ681" s="10"/>
      <c r="AK681" s="10"/>
      <c r="AL681" s="10"/>
      <c r="AM681" s="10"/>
      <c r="AN681" s="10"/>
      <c r="AO681" s="10"/>
      <c r="AR681" s="10"/>
      <c r="AS681" s="10"/>
      <c r="AU681" s="10"/>
      <c r="AV681" s="10"/>
      <c r="AW681" s="143"/>
      <c r="BD681" s="10"/>
      <c r="BE681" s="10"/>
      <c r="BF681" s="10"/>
      <c r="BG681" s="10"/>
      <c r="BH681" s="10"/>
      <c r="BI681" s="10"/>
      <c r="BJ681" s="10"/>
      <c r="BK681" s="10"/>
      <c r="BS681" s="10"/>
      <c r="BT681" s="10"/>
      <c r="BV681" s="10"/>
      <c r="BW681" s="10"/>
    </row>
    <row r="682">
      <c r="A682" s="10"/>
      <c r="B682" s="10"/>
      <c r="C682" s="10"/>
      <c r="D682" s="10"/>
      <c r="E682" s="10"/>
      <c r="F682" s="10"/>
      <c r="G682" s="10"/>
      <c r="H682" s="10"/>
      <c r="I682" s="10"/>
      <c r="K682" s="10"/>
      <c r="L682" s="10"/>
      <c r="P682" s="10"/>
      <c r="T682" s="10"/>
      <c r="U682" s="10"/>
      <c r="V682" s="10"/>
      <c r="W682" s="10"/>
      <c r="Y682" s="10"/>
      <c r="Z682" s="10"/>
      <c r="AA682" s="10"/>
      <c r="AB682" s="10"/>
      <c r="AC682" s="10"/>
      <c r="AD682" s="10"/>
      <c r="AE682" s="10"/>
      <c r="AF682" s="10"/>
      <c r="AG682" s="10"/>
      <c r="AH682" s="10"/>
      <c r="AI682" s="10"/>
      <c r="AJ682" s="10"/>
      <c r="AK682" s="10"/>
      <c r="AL682" s="10"/>
      <c r="AM682" s="10"/>
      <c r="AN682" s="10"/>
      <c r="AO682" s="10"/>
      <c r="AR682" s="10"/>
      <c r="AS682" s="10"/>
      <c r="AU682" s="10"/>
      <c r="AV682" s="10"/>
      <c r="AW682" s="143"/>
      <c r="BD682" s="10"/>
      <c r="BE682" s="10"/>
      <c r="BF682" s="10"/>
      <c r="BG682" s="10"/>
      <c r="BH682" s="10"/>
      <c r="BI682" s="10"/>
      <c r="BJ682" s="10"/>
      <c r="BK682" s="10"/>
      <c r="BS682" s="10"/>
      <c r="BT682" s="10"/>
      <c r="BV682" s="10"/>
      <c r="BW682" s="10"/>
    </row>
    <row r="683">
      <c r="A683" s="10"/>
      <c r="B683" s="10"/>
      <c r="C683" s="10"/>
      <c r="D683" s="10"/>
      <c r="E683" s="10"/>
      <c r="F683" s="10"/>
      <c r="G683" s="10"/>
      <c r="H683" s="10"/>
      <c r="I683" s="10"/>
      <c r="K683" s="10"/>
      <c r="L683" s="10"/>
      <c r="O683" s="10"/>
      <c r="P683" s="10"/>
      <c r="T683" s="10"/>
      <c r="U683" s="10"/>
      <c r="V683" s="10"/>
      <c r="W683" s="10"/>
      <c r="Y683" s="10"/>
      <c r="Z683" s="10"/>
      <c r="AA683" s="10"/>
      <c r="AB683" s="10"/>
      <c r="AC683" s="10"/>
      <c r="AD683" s="10"/>
      <c r="AE683" s="10"/>
      <c r="AF683" s="10"/>
      <c r="AG683" s="10"/>
      <c r="AH683" s="10"/>
      <c r="AI683" s="10"/>
      <c r="AJ683" s="10"/>
      <c r="AK683" s="10"/>
      <c r="AL683" s="10"/>
      <c r="AM683" s="10"/>
      <c r="AN683" s="10"/>
      <c r="AO683" s="10"/>
      <c r="AR683" s="10"/>
      <c r="AS683" s="10"/>
      <c r="AU683" s="10"/>
      <c r="AV683" s="10"/>
      <c r="AW683" s="143"/>
      <c r="BD683" s="10"/>
      <c r="BE683" s="10"/>
      <c r="BF683" s="10"/>
      <c r="BG683" s="10"/>
      <c r="BH683" s="10"/>
      <c r="BI683" s="10"/>
      <c r="BJ683" s="10"/>
      <c r="BK683" s="10"/>
      <c r="BS683" s="10"/>
      <c r="BT683" s="10"/>
      <c r="BV683" s="10"/>
      <c r="BW683" s="10"/>
    </row>
    <row r="684">
      <c r="A684" s="10"/>
      <c r="B684" s="10"/>
      <c r="C684" s="10"/>
      <c r="D684" s="10"/>
      <c r="E684" s="10"/>
      <c r="F684" s="10"/>
      <c r="G684" s="10"/>
      <c r="H684" s="10"/>
      <c r="I684" s="10"/>
      <c r="K684" s="10"/>
      <c r="L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R684" s="10"/>
      <c r="AS684" s="10"/>
      <c r="AU684" s="10"/>
      <c r="AV684" s="10"/>
      <c r="AW684" s="143"/>
      <c r="BD684" s="10"/>
      <c r="BE684" s="10"/>
      <c r="BF684" s="10"/>
      <c r="BG684" s="10"/>
      <c r="BH684" s="10"/>
      <c r="BI684" s="10"/>
      <c r="BJ684" s="10"/>
      <c r="BK684" s="10"/>
      <c r="BS684" s="10"/>
      <c r="BT684" s="10"/>
      <c r="BV684" s="10"/>
      <c r="BW684" s="10"/>
    </row>
    <row r="685">
      <c r="A685" s="10"/>
      <c r="B685" s="10"/>
      <c r="C685" s="10"/>
      <c r="D685" s="10"/>
      <c r="E685" s="10"/>
      <c r="F685" s="10"/>
      <c r="G685" s="10"/>
      <c r="H685" s="10"/>
      <c r="I685" s="10"/>
      <c r="K685" s="10"/>
      <c r="L685" s="10"/>
      <c r="P685" s="10"/>
      <c r="Q685" s="10"/>
      <c r="R685" s="10"/>
      <c r="S685" s="10"/>
      <c r="T685" s="10"/>
      <c r="U685" s="10"/>
      <c r="V685" s="10"/>
      <c r="W685" s="10"/>
      <c r="Y685" s="10"/>
      <c r="Z685" s="10"/>
      <c r="AA685" s="10"/>
      <c r="AB685" s="10"/>
      <c r="AC685" s="10"/>
      <c r="AD685" s="10"/>
      <c r="AE685" s="10"/>
      <c r="AF685" s="10"/>
      <c r="AG685" s="10"/>
      <c r="AH685" s="10"/>
      <c r="AI685" s="10"/>
      <c r="AJ685" s="10"/>
      <c r="AK685" s="10"/>
      <c r="AL685" s="10"/>
      <c r="AM685" s="10"/>
      <c r="AN685" s="10"/>
      <c r="AO685" s="10"/>
      <c r="AR685" s="10"/>
      <c r="AS685" s="10"/>
      <c r="AU685" s="10"/>
      <c r="AV685" s="10"/>
      <c r="AW685" s="143"/>
      <c r="BD685" s="10"/>
      <c r="BE685" s="10"/>
      <c r="BF685" s="10"/>
      <c r="BG685" s="10"/>
      <c r="BH685" s="10"/>
      <c r="BI685" s="10"/>
      <c r="BJ685" s="10"/>
      <c r="BK685" s="10"/>
      <c r="BL685" s="10"/>
      <c r="BO685" s="10"/>
      <c r="BR685" s="10"/>
      <c r="BS685" s="10"/>
      <c r="BT685" s="10"/>
      <c r="BV685" s="10"/>
      <c r="BW685" s="10"/>
    </row>
    <row r="686">
      <c r="A686" s="10"/>
      <c r="B686" s="10"/>
      <c r="C686" s="10"/>
      <c r="D686" s="10"/>
      <c r="E686" s="10"/>
      <c r="F686" s="10"/>
      <c r="G686" s="10"/>
      <c r="H686" s="10"/>
      <c r="I686" s="10"/>
      <c r="K686" s="10"/>
      <c r="L686" s="10"/>
      <c r="P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R686" s="10"/>
      <c r="AS686" s="10"/>
      <c r="AU686" s="10"/>
      <c r="AV686" s="10"/>
      <c r="AW686" s="143"/>
      <c r="BD686" s="10"/>
      <c r="BE686" s="10"/>
      <c r="BF686" s="10"/>
      <c r="BG686" s="10"/>
      <c r="BH686" s="10"/>
      <c r="BI686" s="10"/>
      <c r="BJ686" s="10"/>
      <c r="BK686" s="10"/>
      <c r="BS686" s="10"/>
      <c r="BT686" s="10"/>
      <c r="BV686" s="10"/>
      <c r="BW686" s="10"/>
    </row>
    <row r="687">
      <c r="A687" s="10"/>
      <c r="B687" s="10"/>
      <c r="C687" s="10"/>
      <c r="D687" s="10"/>
      <c r="E687" s="10"/>
      <c r="F687" s="10"/>
      <c r="G687" s="10"/>
      <c r="H687" s="10"/>
      <c r="I687" s="10"/>
      <c r="K687" s="10"/>
      <c r="L687" s="10"/>
      <c r="P687" s="10"/>
      <c r="T687" s="10"/>
      <c r="U687" s="10"/>
      <c r="V687" s="10"/>
      <c r="W687" s="10"/>
      <c r="Y687" s="10"/>
      <c r="Z687" s="10"/>
      <c r="AA687" s="10"/>
      <c r="AB687" s="10"/>
      <c r="AC687" s="10"/>
      <c r="AD687" s="10"/>
      <c r="AE687" s="10"/>
      <c r="AF687" s="10"/>
      <c r="AG687" s="10"/>
      <c r="AH687" s="10"/>
      <c r="AI687" s="10"/>
      <c r="AJ687" s="10"/>
      <c r="AK687" s="10"/>
      <c r="AL687" s="10"/>
      <c r="AM687" s="10"/>
      <c r="AN687" s="10"/>
      <c r="AO687" s="10"/>
      <c r="AR687" s="10"/>
      <c r="AS687" s="10"/>
      <c r="AU687" s="10"/>
      <c r="AV687" s="10"/>
      <c r="AW687" s="143"/>
      <c r="BD687" s="10"/>
      <c r="BE687" s="10"/>
      <c r="BF687" s="10"/>
      <c r="BG687" s="10"/>
      <c r="BH687" s="10"/>
      <c r="BI687" s="10"/>
      <c r="BJ687" s="10"/>
      <c r="BK687" s="10"/>
      <c r="BS687" s="10"/>
      <c r="BT687" s="10"/>
      <c r="BV687" s="10"/>
      <c r="BW687" s="10"/>
    </row>
    <row r="688">
      <c r="A688" s="10"/>
      <c r="B688" s="10"/>
      <c r="C688" s="10"/>
      <c r="D688" s="10"/>
      <c r="E688" s="10"/>
      <c r="F688" s="10"/>
      <c r="G688" s="10"/>
      <c r="H688" s="10"/>
      <c r="I688" s="10"/>
      <c r="K688" s="10"/>
      <c r="L688" s="10"/>
      <c r="O688" s="10"/>
      <c r="P688" s="10"/>
      <c r="T688" s="10"/>
      <c r="U688" s="10"/>
      <c r="V688" s="10"/>
      <c r="W688" s="10"/>
      <c r="Y688" s="10"/>
      <c r="Z688" s="10"/>
      <c r="AA688" s="10"/>
      <c r="AB688" s="10"/>
      <c r="AC688" s="10"/>
      <c r="AD688" s="10"/>
      <c r="AE688" s="10"/>
      <c r="AF688" s="10"/>
      <c r="AG688" s="10"/>
      <c r="AH688" s="10"/>
      <c r="AI688" s="10"/>
      <c r="AJ688" s="10"/>
      <c r="AK688" s="10"/>
      <c r="AL688" s="10"/>
      <c r="AM688" s="10"/>
      <c r="AN688" s="10"/>
      <c r="AO688" s="10"/>
      <c r="AR688" s="10"/>
      <c r="AS688" s="10"/>
      <c r="AU688" s="10"/>
      <c r="AV688" s="10"/>
      <c r="AW688" s="143"/>
      <c r="BD688" s="10"/>
      <c r="BE688" s="10"/>
      <c r="BF688" s="10"/>
      <c r="BG688" s="10"/>
      <c r="BH688" s="10"/>
      <c r="BI688" s="10"/>
      <c r="BJ688" s="10"/>
      <c r="BK688" s="10"/>
      <c r="BS688" s="10"/>
      <c r="BT688" s="10"/>
      <c r="BV688" s="10"/>
      <c r="BW688" s="10"/>
    </row>
    <row r="689">
      <c r="A689" s="10"/>
      <c r="B689" s="10"/>
      <c r="C689" s="10"/>
      <c r="D689" s="10"/>
      <c r="E689" s="10"/>
      <c r="F689" s="10"/>
      <c r="G689" s="10"/>
      <c r="H689" s="10"/>
      <c r="I689" s="10"/>
      <c r="K689" s="10"/>
      <c r="L689" s="10"/>
      <c r="P689" s="10"/>
      <c r="T689" s="10"/>
      <c r="U689" s="10"/>
      <c r="V689" s="10"/>
      <c r="W689" s="10"/>
      <c r="Y689" s="10"/>
      <c r="Z689" s="10"/>
      <c r="AA689" s="10"/>
      <c r="AB689" s="10"/>
      <c r="AC689" s="10"/>
      <c r="AD689" s="10"/>
      <c r="AE689" s="10"/>
      <c r="AF689" s="10"/>
      <c r="AG689" s="10"/>
      <c r="AH689" s="10"/>
      <c r="AI689" s="10"/>
      <c r="AJ689" s="10"/>
      <c r="AK689" s="10"/>
      <c r="AL689" s="10"/>
      <c r="AM689" s="10"/>
      <c r="AN689" s="10"/>
      <c r="AO689" s="10"/>
      <c r="AR689" s="10"/>
      <c r="AS689" s="10"/>
      <c r="AU689" s="10"/>
      <c r="AV689" s="10"/>
      <c r="AW689" s="143"/>
      <c r="AZ689" s="10"/>
      <c r="BD689" s="10"/>
      <c r="BE689" s="10"/>
      <c r="BF689" s="10"/>
      <c r="BG689" s="10"/>
      <c r="BH689" s="10"/>
      <c r="BI689" s="10"/>
      <c r="BJ689" s="10"/>
      <c r="BK689" s="10"/>
      <c r="BS689" s="10"/>
      <c r="BT689" s="10"/>
      <c r="BV689" s="10"/>
      <c r="BW689" s="10"/>
    </row>
    <row r="690">
      <c r="A690" s="10"/>
      <c r="B690" s="10"/>
      <c r="C690" s="10"/>
      <c r="D690" s="10"/>
      <c r="E690" s="10"/>
      <c r="F690" s="10"/>
      <c r="G690" s="10"/>
      <c r="H690" s="10"/>
      <c r="I690" s="10"/>
      <c r="K690" s="10"/>
      <c r="L690" s="10"/>
      <c r="P690" s="10"/>
      <c r="T690" s="10"/>
      <c r="U690" s="10"/>
      <c r="V690" s="10"/>
      <c r="W690" s="10"/>
      <c r="Y690" s="10"/>
      <c r="Z690" s="10"/>
      <c r="AA690" s="10"/>
      <c r="AB690" s="10"/>
      <c r="AC690" s="10"/>
      <c r="AD690" s="10"/>
      <c r="AE690" s="10"/>
      <c r="AF690" s="10"/>
      <c r="AG690" s="10"/>
      <c r="AH690" s="10"/>
      <c r="AI690" s="10"/>
      <c r="AJ690" s="10"/>
      <c r="AK690" s="10"/>
      <c r="AL690" s="10"/>
      <c r="AM690" s="10"/>
      <c r="AN690" s="10"/>
      <c r="AO690" s="10"/>
      <c r="AR690" s="10"/>
      <c r="AS690" s="10"/>
      <c r="AU690" s="10"/>
      <c r="AV690" s="10"/>
      <c r="AW690" s="143"/>
      <c r="AZ690" s="10"/>
      <c r="BD690" s="10"/>
      <c r="BE690" s="10"/>
      <c r="BF690" s="10"/>
      <c r="BG690" s="10"/>
      <c r="BH690" s="10"/>
      <c r="BI690" s="10"/>
      <c r="BJ690" s="10"/>
      <c r="BK690" s="10"/>
      <c r="BS690" s="10"/>
      <c r="BT690" s="10"/>
      <c r="BV690" s="10"/>
      <c r="BW690" s="10"/>
    </row>
    <row r="691">
      <c r="A691" s="10"/>
      <c r="B691" s="10"/>
      <c r="C691" s="10"/>
      <c r="D691" s="10"/>
      <c r="E691" s="10"/>
      <c r="F691" s="10"/>
      <c r="G691" s="10"/>
      <c r="H691" s="10"/>
      <c r="I691" s="10"/>
      <c r="K691" s="10"/>
      <c r="L691" s="10"/>
      <c r="P691" s="10"/>
      <c r="T691" s="10"/>
      <c r="U691" s="10"/>
      <c r="V691" s="10"/>
      <c r="W691" s="10"/>
      <c r="Y691" s="10"/>
      <c r="Z691" s="10"/>
      <c r="AA691" s="10"/>
      <c r="AB691" s="10"/>
      <c r="AC691" s="10"/>
      <c r="AD691" s="10"/>
      <c r="AE691" s="10"/>
      <c r="AF691" s="10"/>
      <c r="AG691" s="10"/>
      <c r="AH691" s="10"/>
      <c r="AI691" s="10"/>
      <c r="AJ691" s="10"/>
      <c r="AK691" s="10"/>
      <c r="AL691" s="10"/>
      <c r="AM691" s="10"/>
      <c r="AN691" s="10"/>
      <c r="AO691" s="10"/>
      <c r="AR691" s="10"/>
      <c r="AS691" s="10"/>
      <c r="AU691" s="10"/>
      <c r="AV691" s="10"/>
      <c r="AW691" s="143"/>
      <c r="BD691" s="10"/>
      <c r="BE691" s="10"/>
      <c r="BF691" s="10"/>
      <c r="BG691" s="10"/>
      <c r="BH691" s="10"/>
      <c r="BI691" s="10"/>
      <c r="BJ691" s="10"/>
      <c r="BK691" s="10"/>
      <c r="BS691" s="10"/>
      <c r="BT691" s="10"/>
      <c r="BV691" s="10"/>
      <c r="BW691" s="10"/>
    </row>
    <row r="692">
      <c r="A692" s="10"/>
      <c r="B692" s="10"/>
      <c r="C692" s="10"/>
      <c r="D692" s="10"/>
      <c r="E692" s="10"/>
      <c r="F692" s="10"/>
      <c r="G692" s="10"/>
      <c r="H692" s="10"/>
      <c r="I692" s="10"/>
      <c r="K692" s="10"/>
      <c r="L692" s="10"/>
      <c r="O692" s="10"/>
      <c r="P692" s="10"/>
      <c r="T692" s="10"/>
      <c r="U692" s="10"/>
      <c r="V692" s="10"/>
      <c r="W692" s="10"/>
      <c r="Y692" s="10"/>
      <c r="Z692" s="10"/>
      <c r="AA692" s="10"/>
      <c r="AB692" s="10"/>
      <c r="AC692" s="10"/>
      <c r="AD692" s="10"/>
      <c r="AE692" s="10"/>
      <c r="AF692" s="10"/>
      <c r="AG692" s="10"/>
      <c r="AH692" s="10"/>
      <c r="AI692" s="10"/>
      <c r="AJ692" s="10"/>
      <c r="AK692" s="10"/>
      <c r="AL692" s="10"/>
      <c r="AM692" s="10"/>
      <c r="AN692" s="10"/>
      <c r="AO692" s="10"/>
      <c r="AR692" s="10"/>
      <c r="AS692" s="10"/>
      <c r="AU692" s="10"/>
      <c r="AV692" s="10"/>
      <c r="AW692" s="143"/>
      <c r="AZ692" s="10"/>
      <c r="BD692" s="10"/>
      <c r="BE692" s="10"/>
      <c r="BF692" s="10"/>
      <c r="BG692" s="10"/>
      <c r="BH692" s="10"/>
      <c r="BI692" s="10"/>
      <c r="BJ692" s="10"/>
      <c r="BK692" s="10"/>
      <c r="BS692" s="10"/>
      <c r="BT692" s="10"/>
      <c r="BV692" s="10"/>
      <c r="BW692" s="10"/>
    </row>
    <row r="693">
      <c r="A693" s="10"/>
      <c r="B693" s="10"/>
      <c r="C693" s="10"/>
      <c r="D693" s="10"/>
      <c r="E693" s="10"/>
      <c r="F693" s="10"/>
      <c r="G693" s="10"/>
      <c r="H693" s="10"/>
      <c r="I693" s="10"/>
      <c r="K693" s="10"/>
      <c r="L693" s="10"/>
      <c r="P693" s="10"/>
      <c r="T693" s="10"/>
      <c r="U693" s="10"/>
      <c r="V693" s="10"/>
      <c r="W693" s="10"/>
      <c r="Y693" s="10"/>
      <c r="Z693" s="10"/>
      <c r="AA693" s="10"/>
      <c r="AB693" s="10"/>
      <c r="AC693" s="10"/>
      <c r="AD693" s="10"/>
      <c r="AE693" s="10"/>
      <c r="AF693" s="10"/>
      <c r="AG693" s="10"/>
      <c r="AH693" s="10"/>
      <c r="AI693" s="10"/>
      <c r="AJ693" s="10"/>
      <c r="AK693" s="10"/>
      <c r="AL693" s="10"/>
      <c r="AM693" s="10"/>
      <c r="AN693" s="10"/>
      <c r="AO693" s="10"/>
      <c r="AR693" s="10"/>
      <c r="AS693" s="10"/>
      <c r="AU693" s="10"/>
      <c r="AV693" s="10"/>
      <c r="AW693" s="143"/>
      <c r="AZ693" s="10"/>
      <c r="BD693" s="10"/>
      <c r="BE693" s="10"/>
      <c r="BF693" s="10"/>
      <c r="BG693" s="10"/>
      <c r="BH693" s="10"/>
      <c r="BI693" s="10"/>
      <c r="BJ693" s="10"/>
      <c r="BK693" s="10"/>
      <c r="BS693" s="10"/>
      <c r="BT693" s="10"/>
      <c r="BV693" s="10"/>
      <c r="BW693" s="10"/>
    </row>
    <row r="694">
      <c r="A694" s="10"/>
      <c r="B694" s="10"/>
      <c r="C694" s="10"/>
      <c r="D694" s="10"/>
      <c r="E694" s="10"/>
      <c r="F694" s="10"/>
      <c r="G694" s="10"/>
      <c r="H694" s="10"/>
      <c r="I694" s="10"/>
      <c r="K694" s="10"/>
      <c r="L694" s="10"/>
      <c r="O694" s="10"/>
      <c r="P694" s="10"/>
      <c r="T694" s="10"/>
      <c r="U694" s="10"/>
      <c r="V694" s="10"/>
      <c r="W694" s="10"/>
      <c r="Y694" s="10"/>
      <c r="Z694" s="10"/>
      <c r="AA694" s="10"/>
      <c r="AB694" s="10"/>
      <c r="AC694" s="10"/>
      <c r="AD694" s="10"/>
      <c r="AE694" s="10"/>
      <c r="AF694" s="10"/>
      <c r="AG694" s="10"/>
      <c r="AH694" s="10"/>
      <c r="AI694" s="10"/>
      <c r="AJ694" s="10"/>
      <c r="AK694" s="10"/>
      <c r="AL694" s="10"/>
      <c r="AM694" s="10"/>
      <c r="AN694" s="10"/>
      <c r="AO694" s="10"/>
      <c r="AR694" s="10"/>
      <c r="AS694" s="10"/>
      <c r="AU694" s="10"/>
      <c r="AV694" s="10"/>
      <c r="AW694" s="143"/>
      <c r="BD694" s="10"/>
      <c r="BE694" s="10"/>
      <c r="BF694" s="10"/>
      <c r="BG694" s="10"/>
      <c r="BH694" s="10"/>
      <c r="BI694" s="10"/>
      <c r="BJ694" s="10"/>
      <c r="BK694" s="10"/>
      <c r="BS694" s="10"/>
      <c r="BT694" s="10"/>
      <c r="BV694" s="10"/>
      <c r="BW694" s="10"/>
    </row>
    <row r="695">
      <c r="A695" s="10"/>
      <c r="B695" s="10"/>
      <c r="C695" s="10"/>
      <c r="D695" s="10"/>
      <c r="E695" s="10"/>
      <c r="F695" s="10"/>
      <c r="G695" s="10"/>
      <c r="H695" s="10"/>
      <c r="I695" s="10"/>
      <c r="K695" s="10"/>
      <c r="L695" s="10"/>
      <c r="O695" s="10"/>
      <c r="P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R695" s="10"/>
      <c r="AS695" s="10"/>
      <c r="AU695" s="10"/>
      <c r="AV695" s="10"/>
      <c r="AW695" s="143"/>
      <c r="AZ695" s="10"/>
      <c r="BD695" s="10"/>
      <c r="BE695" s="10"/>
      <c r="BF695" s="10"/>
      <c r="BG695" s="10"/>
      <c r="BH695" s="10"/>
      <c r="BI695" s="10"/>
      <c r="BJ695" s="10"/>
      <c r="BK695" s="10"/>
      <c r="BT695" s="10"/>
      <c r="BV695" s="10"/>
      <c r="BW695" s="10"/>
    </row>
    <row r="696">
      <c r="A696" s="10"/>
      <c r="B696" s="10"/>
      <c r="C696" s="10"/>
      <c r="D696" s="10"/>
      <c r="E696" s="10"/>
      <c r="F696" s="10"/>
      <c r="G696" s="10"/>
      <c r="H696" s="10"/>
      <c r="I696" s="10"/>
      <c r="K696" s="10"/>
      <c r="L696" s="10"/>
      <c r="P696" s="10"/>
      <c r="T696" s="10"/>
      <c r="U696" s="10"/>
      <c r="V696" s="10"/>
      <c r="W696" s="10"/>
      <c r="Y696" s="10"/>
      <c r="Z696" s="10"/>
      <c r="AA696" s="10"/>
      <c r="AB696" s="10"/>
      <c r="AC696" s="10"/>
      <c r="AD696" s="10"/>
      <c r="AE696" s="10"/>
      <c r="AF696" s="10"/>
      <c r="AG696" s="10"/>
      <c r="AH696" s="10"/>
      <c r="AI696" s="10"/>
      <c r="AJ696" s="10"/>
      <c r="AK696" s="10"/>
      <c r="AL696" s="10"/>
      <c r="AM696" s="10"/>
      <c r="AN696" s="10"/>
      <c r="AO696" s="10"/>
      <c r="AR696" s="10"/>
      <c r="AS696" s="10"/>
      <c r="AU696" s="10"/>
      <c r="AV696" s="10"/>
      <c r="AW696" s="143"/>
      <c r="BD696" s="10"/>
      <c r="BE696" s="10"/>
      <c r="BF696" s="10"/>
      <c r="BG696" s="10"/>
      <c r="BH696" s="10"/>
      <c r="BI696" s="10"/>
      <c r="BJ696" s="10"/>
      <c r="BK696" s="10"/>
      <c r="BS696" s="10"/>
      <c r="BT696" s="10"/>
      <c r="BV696" s="10"/>
      <c r="BW696" s="10"/>
    </row>
    <row r="697">
      <c r="A697" s="10"/>
      <c r="B697" s="10"/>
      <c r="C697" s="10"/>
      <c r="D697" s="10"/>
      <c r="E697" s="10"/>
      <c r="F697" s="10"/>
      <c r="G697" s="10"/>
      <c r="H697" s="10"/>
      <c r="I697" s="10"/>
      <c r="K697" s="10"/>
      <c r="L697" s="10"/>
      <c r="O697" s="10"/>
      <c r="P697" s="10"/>
      <c r="T697" s="10"/>
      <c r="U697" s="10"/>
      <c r="V697" s="10"/>
      <c r="W697" s="10"/>
      <c r="Y697" s="10"/>
      <c r="Z697" s="10"/>
      <c r="AA697" s="10"/>
      <c r="AB697" s="10"/>
      <c r="AC697" s="10"/>
      <c r="AD697" s="10"/>
      <c r="AE697" s="10"/>
      <c r="AF697" s="10"/>
      <c r="AG697" s="10"/>
      <c r="AH697" s="10"/>
      <c r="AI697" s="10"/>
      <c r="AJ697" s="10"/>
      <c r="AK697" s="10"/>
      <c r="AL697" s="10"/>
      <c r="AM697" s="10"/>
      <c r="AN697" s="10"/>
      <c r="AO697" s="10"/>
      <c r="AR697" s="10"/>
      <c r="AS697" s="10"/>
      <c r="AU697" s="10"/>
      <c r="AV697" s="10"/>
      <c r="AW697" s="143"/>
      <c r="BD697" s="10"/>
      <c r="BE697" s="10"/>
      <c r="BF697" s="10"/>
      <c r="BG697" s="10"/>
      <c r="BH697" s="10"/>
      <c r="BI697" s="10"/>
      <c r="BJ697" s="10"/>
      <c r="BK697" s="10"/>
      <c r="BS697" s="10"/>
      <c r="BT697" s="10"/>
      <c r="BV697" s="10"/>
      <c r="BW697" s="10"/>
    </row>
    <row r="698">
      <c r="A698" s="10"/>
      <c r="B698" s="10"/>
      <c r="C698" s="10"/>
      <c r="D698" s="10"/>
      <c r="E698" s="10"/>
      <c r="F698" s="10"/>
      <c r="G698" s="10"/>
      <c r="H698" s="10"/>
      <c r="I698" s="10"/>
      <c r="K698" s="10"/>
      <c r="L698" s="10"/>
      <c r="P698" s="10"/>
      <c r="Q698" s="10"/>
      <c r="R698" s="10"/>
      <c r="S698" s="10"/>
      <c r="T698" s="10"/>
      <c r="U698" s="10"/>
      <c r="V698" s="10"/>
      <c r="W698" s="10"/>
      <c r="Y698" s="10"/>
      <c r="Z698" s="10"/>
      <c r="AA698" s="10"/>
      <c r="AB698" s="10"/>
      <c r="AC698" s="10"/>
      <c r="AD698" s="10"/>
      <c r="AE698" s="10"/>
      <c r="AF698" s="10"/>
      <c r="AG698" s="10"/>
      <c r="AH698" s="10"/>
      <c r="AI698" s="10"/>
      <c r="AJ698" s="10"/>
      <c r="AK698" s="10"/>
      <c r="AL698" s="10"/>
      <c r="AM698" s="10"/>
      <c r="AN698" s="10"/>
      <c r="AO698" s="10"/>
      <c r="AR698" s="10"/>
      <c r="AS698" s="10"/>
      <c r="AU698" s="10"/>
      <c r="AV698" s="10"/>
      <c r="AW698" s="143"/>
      <c r="BD698" s="10"/>
      <c r="BE698" s="10"/>
      <c r="BF698" s="10"/>
      <c r="BG698" s="10"/>
      <c r="BH698" s="10"/>
      <c r="BI698" s="10"/>
      <c r="BJ698" s="10"/>
      <c r="BK698" s="10"/>
      <c r="BL698" s="10"/>
      <c r="BN698" s="10"/>
      <c r="BO698" s="10"/>
      <c r="BQ698" s="10"/>
      <c r="BR698" s="10"/>
      <c r="BT698" s="10"/>
      <c r="BV698" s="10"/>
      <c r="BW698" s="10"/>
    </row>
    <row r="699">
      <c r="A699" s="10"/>
      <c r="B699" s="10"/>
      <c r="C699" s="10"/>
      <c r="D699" s="10"/>
      <c r="E699" s="10"/>
      <c r="F699" s="10"/>
      <c r="G699" s="10"/>
      <c r="H699" s="10"/>
      <c r="I699" s="10"/>
      <c r="J699" s="10"/>
      <c r="K699" s="10"/>
      <c r="L699" s="10"/>
      <c r="O699" s="10"/>
      <c r="P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43"/>
      <c r="AZ699" s="10"/>
      <c r="BD699" s="10"/>
      <c r="BE699" s="10"/>
      <c r="BF699" s="10"/>
      <c r="BG699" s="10"/>
      <c r="BH699" s="10"/>
      <c r="BI699" s="10"/>
      <c r="BJ699" s="10"/>
      <c r="BK699" s="10"/>
      <c r="BS699" s="10"/>
      <c r="BT699" s="10"/>
      <c r="BV699" s="10"/>
      <c r="BW699" s="10"/>
    </row>
    <row r="700">
      <c r="A700" s="10"/>
      <c r="B700" s="10"/>
      <c r="C700" s="10"/>
      <c r="D700" s="10"/>
      <c r="E700" s="10"/>
      <c r="F700" s="10"/>
      <c r="G700" s="10"/>
      <c r="H700" s="10"/>
      <c r="I700" s="10"/>
      <c r="K700" s="10"/>
      <c r="L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c r="AU700" s="10"/>
      <c r="AV700" s="10"/>
      <c r="AW700" s="143"/>
      <c r="AZ700" s="10"/>
      <c r="BD700" s="10"/>
      <c r="BE700" s="10"/>
      <c r="BF700" s="10"/>
      <c r="BG700" s="10"/>
      <c r="BH700" s="10"/>
      <c r="BI700" s="10"/>
      <c r="BJ700" s="10"/>
      <c r="BK700" s="10"/>
      <c r="BL700" s="10"/>
      <c r="BM700" s="10"/>
      <c r="BN700" s="10"/>
      <c r="BO700" s="10"/>
      <c r="BP700" s="10"/>
      <c r="BQ700" s="10"/>
      <c r="BR700" s="10"/>
      <c r="BS700" s="10"/>
      <c r="BT700" s="10"/>
      <c r="BV700" s="10"/>
      <c r="BW700" s="10"/>
    </row>
    <row r="701">
      <c r="A701" s="10"/>
      <c r="B701" s="10"/>
      <c r="C701" s="10"/>
      <c r="D701" s="10"/>
      <c r="E701" s="10"/>
      <c r="F701" s="10"/>
      <c r="G701" s="10"/>
      <c r="H701" s="10"/>
      <c r="I701" s="10"/>
      <c r="J701" s="10"/>
      <c r="K701" s="10"/>
      <c r="L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c r="AU701" s="10"/>
      <c r="AV701" s="10"/>
      <c r="AW701" s="143"/>
      <c r="BD701" s="10"/>
      <c r="BE701" s="10"/>
      <c r="BF701" s="10"/>
      <c r="BG701" s="10"/>
      <c r="BH701" s="10"/>
      <c r="BI701" s="10"/>
      <c r="BJ701" s="10"/>
      <c r="BK701" s="10"/>
      <c r="BS701" s="10"/>
      <c r="BT701" s="10"/>
      <c r="BV701" s="10"/>
      <c r="BW701" s="10"/>
    </row>
    <row r="702">
      <c r="A702" s="10"/>
      <c r="B702" s="10"/>
      <c r="C702" s="10"/>
      <c r="D702" s="10"/>
      <c r="E702" s="10"/>
      <c r="F702" s="10"/>
      <c r="G702" s="10"/>
      <c r="H702" s="10"/>
      <c r="I702" s="10"/>
      <c r="J702" s="10"/>
      <c r="K702" s="10"/>
      <c r="L702" s="10"/>
      <c r="P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43"/>
      <c r="AZ702" s="10"/>
      <c r="BD702" s="10"/>
      <c r="BE702" s="10"/>
      <c r="BF702" s="10"/>
      <c r="BG702" s="10"/>
      <c r="BH702" s="10"/>
      <c r="BI702" s="10"/>
      <c r="BJ702" s="10"/>
      <c r="BK702" s="10"/>
      <c r="BS702" s="10"/>
      <c r="BT702" s="10"/>
      <c r="BV702" s="10"/>
      <c r="BW702" s="10"/>
    </row>
    <row r="703">
      <c r="A703" s="10"/>
      <c r="B703" s="10"/>
      <c r="C703" s="10"/>
      <c r="D703" s="10"/>
      <c r="E703" s="10"/>
      <c r="F703" s="10"/>
      <c r="G703" s="10"/>
      <c r="H703" s="10"/>
      <c r="I703" s="10"/>
      <c r="J703" s="10"/>
      <c r="K703" s="10"/>
      <c r="L703" s="10"/>
      <c r="P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c r="AU703" s="10"/>
      <c r="AV703" s="10"/>
      <c r="AW703" s="143"/>
      <c r="AZ703" s="10"/>
      <c r="BD703" s="10"/>
      <c r="BE703" s="10"/>
      <c r="BF703" s="10"/>
      <c r="BG703" s="10"/>
      <c r="BH703" s="10"/>
      <c r="BI703" s="10"/>
      <c r="BJ703" s="10"/>
      <c r="BK703" s="10"/>
      <c r="BS703" s="10"/>
      <c r="BT703" s="10"/>
      <c r="BV703" s="10"/>
      <c r="BW703" s="10"/>
    </row>
    <row r="704">
      <c r="A704" s="10"/>
      <c r="B704" s="10"/>
      <c r="C704" s="10"/>
      <c r="D704" s="10"/>
      <c r="E704" s="10"/>
      <c r="F704" s="10"/>
      <c r="G704" s="10"/>
      <c r="H704" s="10"/>
      <c r="I704" s="10"/>
      <c r="J704" s="10"/>
      <c r="K704" s="10"/>
      <c r="L704" s="10"/>
      <c r="P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c r="AU704" s="10"/>
      <c r="AV704" s="10"/>
      <c r="AW704" s="143"/>
      <c r="BD704" s="10"/>
      <c r="BE704" s="10"/>
      <c r="BF704" s="10"/>
      <c r="BG704" s="10"/>
      <c r="BH704" s="10"/>
      <c r="BI704" s="10"/>
      <c r="BJ704" s="10"/>
      <c r="BK704" s="10"/>
      <c r="BS704" s="10"/>
      <c r="BT704" s="10"/>
      <c r="BV704" s="10"/>
      <c r="BW704" s="10"/>
    </row>
    <row r="705">
      <c r="A705" s="10"/>
      <c r="B705" s="10"/>
      <c r="C705" s="10"/>
      <c r="D705" s="10"/>
      <c r="E705" s="10"/>
      <c r="F705" s="10"/>
      <c r="G705" s="10"/>
      <c r="H705" s="10"/>
      <c r="I705" s="10"/>
      <c r="J705" s="10"/>
      <c r="K705" s="10"/>
      <c r="L705" s="10"/>
      <c r="P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43"/>
      <c r="BD705" s="10"/>
      <c r="BE705" s="10"/>
      <c r="BF705" s="10"/>
      <c r="BG705" s="10"/>
      <c r="BH705" s="10"/>
      <c r="BI705" s="10"/>
      <c r="BJ705" s="10"/>
      <c r="BK705" s="10"/>
      <c r="BS705" s="10"/>
      <c r="BT705" s="10"/>
      <c r="BV705" s="10"/>
      <c r="BW705" s="10"/>
    </row>
    <row r="706">
      <c r="A706" s="10"/>
      <c r="B706" s="10"/>
      <c r="C706" s="10"/>
      <c r="D706" s="10"/>
      <c r="E706" s="10"/>
      <c r="F706" s="10"/>
      <c r="G706" s="10"/>
      <c r="H706" s="10"/>
      <c r="I706" s="10"/>
      <c r="K706" s="10"/>
      <c r="L706" s="10"/>
      <c r="O706" s="10"/>
      <c r="P706" s="10"/>
      <c r="Q706" s="10"/>
      <c r="R706" s="10"/>
      <c r="S706" s="10"/>
      <c r="T706" s="10"/>
      <c r="U706" s="10"/>
      <c r="V706" s="10"/>
      <c r="W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U706" s="10"/>
      <c r="AV706" s="10"/>
      <c r="AW706" s="143"/>
      <c r="BD706" s="10"/>
      <c r="BE706" s="10"/>
      <c r="BF706" s="10"/>
      <c r="BG706" s="10"/>
      <c r="BH706" s="10"/>
      <c r="BI706" s="10"/>
      <c r="BJ706" s="10"/>
      <c r="BK706" s="10"/>
      <c r="BL706" s="10"/>
      <c r="BM706" s="10"/>
      <c r="BN706" s="10"/>
      <c r="BO706" s="10"/>
      <c r="BP706" s="10"/>
      <c r="BQ706" s="10"/>
      <c r="BR706" s="10"/>
      <c r="BS706" s="10"/>
      <c r="BT706" s="10"/>
      <c r="BV706" s="10"/>
      <c r="BW706" s="10"/>
    </row>
    <row r="707">
      <c r="A707" s="10"/>
      <c r="B707" s="10"/>
      <c r="C707" s="10"/>
      <c r="D707" s="10"/>
      <c r="E707" s="10"/>
      <c r="F707" s="10"/>
      <c r="G707" s="10"/>
      <c r="H707" s="10"/>
      <c r="I707" s="10"/>
      <c r="K707" s="10"/>
      <c r="L707" s="10"/>
      <c r="N707" s="10"/>
      <c r="T707" s="10"/>
      <c r="U707" s="10"/>
      <c r="V707" s="10"/>
      <c r="W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U707" s="10"/>
      <c r="AV707" s="10"/>
      <c r="AW707" s="143"/>
      <c r="AZ707" s="10"/>
      <c r="BD707" s="10"/>
      <c r="BE707" s="10"/>
      <c r="BF707" s="10"/>
      <c r="BG707" s="10"/>
      <c r="BH707" s="10"/>
      <c r="BI707" s="10"/>
      <c r="BJ707" s="10"/>
      <c r="BK707" s="10"/>
      <c r="BL707" s="10"/>
      <c r="BM707" s="10"/>
      <c r="BN707" s="10"/>
      <c r="BO707" s="10"/>
      <c r="BP707" s="10"/>
      <c r="BQ707" s="10"/>
      <c r="BR707" s="10"/>
      <c r="BS707" s="10"/>
      <c r="BT707" s="10"/>
      <c r="BV707" s="10"/>
      <c r="BW707" s="10"/>
    </row>
    <row r="708">
      <c r="A708" s="10"/>
      <c r="B708" s="10"/>
      <c r="C708" s="10"/>
      <c r="D708" s="10"/>
      <c r="E708" s="10"/>
      <c r="F708" s="10"/>
      <c r="G708" s="10"/>
      <c r="H708" s="10"/>
      <c r="I708" s="10"/>
      <c r="K708" s="10"/>
      <c r="L708" s="10"/>
      <c r="P708" s="10"/>
      <c r="Q708" s="10"/>
      <c r="R708" s="10"/>
      <c r="T708" s="10"/>
      <c r="U708" s="10"/>
      <c r="V708" s="10"/>
      <c r="W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U708" s="10"/>
      <c r="AV708" s="10"/>
      <c r="AW708" s="143"/>
      <c r="AZ708" s="10"/>
      <c r="BB708" s="10"/>
      <c r="BD708" s="10"/>
      <c r="BE708" s="10"/>
      <c r="BF708" s="10"/>
      <c r="BG708" s="10"/>
      <c r="BH708" s="10"/>
      <c r="BI708" s="10"/>
      <c r="BJ708" s="10"/>
      <c r="BK708" s="10"/>
      <c r="BL708" s="10"/>
      <c r="BM708" s="10"/>
      <c r="BN708" s="10"/>
      <c r="BO708" s="10"/>
      <c r="BP708" s="10"/>
      <c r="BQ708" s="10"/>
      <c r="BR708" s="10"/>
      <c r="BS708" s="10"/>
      <c r="BT708" s="10"/>
      <c r="BV708" s="10"/>
      <c r="BW708" s="10"/>
    </row>
    <row r="709">
      <c r="A709" s="10"/>
      <c r="B709" s="10"/>
      <c r="C709" s="10"/>
      <c r="D709" s="10"/>
      <c r="E709" s="10"/>
      <c r="F709" s="10"/>
      <c r="G709" s="10"/>
      <c r="H709" s="10"/>
      <c r="I709" s="10"/>
      <c r="K709" s="10"/>
      <c r="L709" s="10"/>
      <c r="P709" s="10"/>
      <c r="T709" s="10"/>
      <c r="U709" s="10"/>
      <c r="V709" s="10"/>
      <c r="W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U709" s="10"/>
      <c r="AV709" s="10"/>
      <c r="AW709" s="143"/>
      <c r="BD709" s="10"/>
      <c r="BS709" s="10"/>
      <c r="BT709" s="10"/>
      <c r="BV709" s="10"/>
      <c r="BW709" s="10"/>
    </row>
    <row r="710">
      <c r="A710" s="10"/>
      <c r="B710" s="10"/>
      <c r="C710" s="10"/>
      <c r="D710" s="10"/>
      <c r="E710" s="10"/>
      <c r="F710" s="10"/>
      <c r="G710" s="10"/>
      <c r="H710" s="10"/>
      <c r="I710" s="10"/>
      <c r="K710" s="10"/>
      <c r="L710" s="10"/>
      <c r="O710" s="10"/>
      <c r="P710" s="10"/>
      <c r="T710" s="10"/>
      <c r="U710" s="10"/>
      <c r="V710" s="10"/>
      <c r="W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U710" s="10"/>
      <c r="AV710" s="10"/>
      <c r="AW710" s="143"/>
      <c r="AZ710" s="10"/>
      <c r="BD710" s="10"/>
      <c r="BE710" s="10"/>
      <c r="BF710" s="10"/>
      <c r="BG710" s="10"/>
      <c r="BH710" s="10"/>
      <c r="BI710" s="10"/>
      <c r="BJ710" s="10"/>
      <c r="BK710" s="10"/>
      <c r="BL710" s="10"/>
      <c r="BO710" s="10"/>
      <c r="BR710" s="10"/>
      <c r="BS710" s="10"/>
      <c r="BT710" s="10"/>
      <c r="BV710" s="10"/>
      <c r="BW710" s="10"/>
    </row>
    <row r="711">
      <c r="A711" s="10"/>
      <c r="B711" s="10"/>
      <c r="C711" s="10"/>
      <c r="D711" s="10"/>
      <c r="E711" s="10"/>
      <c r="F711" s="10"/>
      <c r="G711" s="10"/>
      <c r="H711" s="10"/>
      <c r="I711" s="10"/>
      <c r="K711" s="10"/>
      <c r="L711" s="10"/>
      <c r="P711" s="10"/>
      <c r="T711" s="10"/>
      <c r="U711" s="10"/>
      <c r="V711" s="10"/>
      <c r="W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U711" s="10"/>
      <c r="AV711" s="10"/>
      <c r="AW711" s="143"/>
      <c r="BD711" s="10"/>
      <c r="BS711" s="10"/>
      <c r="BT711" s="10"/>
      <c r="BV711" s="10"/>
      <c r="BW711" s="10"/>
    </row>
    <row r="712">
      <c r="A712" s="10"/>
      <c r="B712" s="10"/>
      <c r="C712" s="10"/>
      <c r="D712" s="10"/>
      <c r="E712" s="10"/>
      <c r="F712" s="10"/>
      <c r="G712" s="10"/>
      <c r="H712" s="10"/>
      <c r="I712" s="10"/>
      <c r="K712" s="10"/>
      <c r="L712" s="10"/>
      <c r="P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U712" s="10"/>
      <c r="AV712" s="10"/>
      <c r="AW712" s="143"/>
      <c r="BD712" s="10"/>
      <c r="BT712" s="10"/>
      <c r="BV712" s="10"/>
      <c r="BW712" s="10"/>
    </row>
    <row r="713">
      <c r="A713" s="10"/>
      <c r="B713" s="10"/>
      <c r="C713" s="10"/>
      <c r="D713" s="10"/>
      <c r="E713" s="10"/>
      <c r="F713" s="10"/>
      <c r="G713" s="10"/>
      <c r="H713" s="10"/>
      <c r="I713" s="10"/>
      <c r="K713" s="10"/>
      <c r="L713" s="10"/>
      <c r="P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U713" s="10"/>
      <c r="AV713" s="10"/>
      <c r="AW713" s="143"/>
      <c r="BD713" s="10"/>
      <c r="BS713" s="10"/>
      <c r="BT713" s="10"/>
      <c r="BV713" s="10"/>
      <c r="BW713" s="10"/>
    </row>
    <row r="714">
      <c r="A714" s="10"/>
      <c r="B714" s="10"/>
      <c r="C714" s="10"/>
      <c r="D714" s="10"/>
      <c r="E714" s="10"/>
      <c r="F714" s="10"/>
      <c r="G714" s="10"/>
      <c r="H714" s="10"/>
      <c r="I714" s="10"/>
      <c r="K714" s="10"/>
      <c r="L714" s="10"/>
      <c r="P714" s="10"/>
      <c r="T714" s="10"/>
      <c r="U714" s="10"/>
      <c r="V714" s="10"/>
      <c r="W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U714" s="10"/>
      <c r="AV714" s="10"/>
      <c r="AW714" s="143"/>
      <c r="BD714" s="10"/>
      <c r="BS714" s="10"/>
      <c r="BT714" s="10"/>
      <c r="BV714" s="10"/>
      <c r="BW714" s="10"/>
    </row>
    <row r="715">
      <c r="A715" s="10"/>
      <c r="B715" s="10"/>
      <c r="C715" s="10"/>
      <c r="D715" s="10"/>
      <c r="E715" s="10"/>
      <c r="F715" s="10"/>
      <c r="G715" s="10"/>
      <c r="H715" s="10"/>
      <c r="I715" s="10"/>
      <c r="J715" s="10"/>
      <c r="K715" s="10"/>
      <c r="L715" s="10"/>
      <c r="P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U715" s="10"/>
      <c r="AV715" s="10"/>
      <c r="AW715" s="143"/>
      <c r="BD715" s="10"/>
      <c r="BE715" s="10"/>
      <c r="BF715" s="10"/>
      <c r="BG715" s="10"/>
      <c r="BH715" s="10"/>
      <c r="BI715" s="10"/>
      <c r="BJ715" s="10"/>
      <c r="BK715" s="10"/>
      <c r="BL715" s="10"/>
      <c r="BM715" s="10"/>
      <c r="BN715" s="10"/>
      <c r="BO715" s="10"/>
      <c r="BP715" s="10"/>
      <c r="BQ715" s="10"/>
      <c r="BR715" s="10"/>
      <c r="BS715" s="10"/>
      <c r="BT715" s="10"/>
      <c r="BV715" s="10"/>
      <c r="BW715" s="10"/>
    </row>
    <row r="716">
      <c r="A716" s="10"/>
      <c r="B716" s="10"/>
      <c r="C716" s="10"/>
      <c r="D716" s="10"/>
      <c r="E716" s="10"/>
      <c r="F716" s="10"/>
      <c r="G716" s="10"/>
      <c r="H716" s="10"/>
      <c r="I716" s="10"/>
      <c r="J716" s="10"/>
      <c r="K716" s="10"/>
      <c r="L716" s="10"/>
      <c r="P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U716" s="10"/>
      <c r="AV716" s="10"/>
      <c r="AW716" s="143"/>
      <c r="BD716" s="10"/>
      <c r="BS716" s="10"/>
      <c r="BT716" s="10"/>
      <c r="BV716" s="10"/>
      <c r="BW716" s="10"/>
    </row>
    <row r="717">
      <c r="A717" s="10"/>
      <c r="B717" s="10"/>
      <c r="C717" s="10"/>
      <c r="D717" s="10"/>
      <c r="E717" s="10"/>
      <c r="F717" s="10"/>
      <c r="G717" s="10"/>
      <c r="H717" s="10"/>
      <c r="I717" s="10"/>
      <c r="J717" s="10"/>
      <c r="K717" s="10"/>
      <c r="L717" s="10"/>
      <c r="P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U717" s="10"/>
      <c r="AV717" s="10"/>
      <c r="AW717" s="143"/>
      <c r="BD717" s="10"/>
      <c r="BS717" s="10"/>
      <c r="BT717" s="10"/>
      <c r="BV717" s="10"/>
      <c r="BW717" s="10"/>
    </row>
    <row r="718">
      <c r="A718" s="10"/>
      <c r="B718" s="10"/>
      <c r="C718" s="10"/>
      <c r="D718" s="10"/>
      <c r="E718" s="10"/>
      <c r="F718" s="10"/>
      <c r="G718" s="10"/>
      <c r="H718" s="10"/>
      <c r="I718" s="10"/>
      <c r="J718" s="10"/>
      <c r="K718" s="10"/>
      <c r="L718" s="10"/>
      <c r="P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U718" s="10"/>
      <c r="AV718" s="10"/>
      <c r="AW718" s="143"/>
      <c r="BD718" s="10"/>
      <c r="BS718" s="10"/>
      <c r="BT718" s="10"/>
      <c r="BV718" s="10"/>
      <c r="BW718" s="10"/>
    </row>
    <row r="719">
      <c r="A719" s="10"/>
      <c r="B719" s="10"/>
      <c r="C719" s="10"/>
      <c r="D719" s="10"/>
      <c r="E719" s="10"/>
      <c r="F719" s="10"/>
      <c r="G719" s="10"/>
      <c r="H719" s="10"/>
      <c r="I719" s="10"/>
      <c r="J719" s="10"/>
      <c r="K719" s="10"/>
      <c r="L719" s="10"/>
      <c r="P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U719" s="10"/>
      <c r="AV719" s="10"/>
      <c r="AW719" s="143"/>
      <c r="BD719" s="10"/>
      <c r="BS719" s="10"/>
      <c r="BT719" s="10"/>
      <c r="BV719" s="10"/>
      <c r="BW719" s="10"/>
    </row>
    <row r="720">
      <c r="A720" s="10"/>
      <c r="B720" s="10"/>
      <c r="C720" s="10"/>
      <c r="D720" s="10"/>
      <c r="E720" s="10"/>
      <c r="F720" s="10"/>
      <c r="G720" s="10"/>
      <c r="H720" s="10"/>
      <c r="I720" s="10"/>
      <c r="J720" s="10"/>
      <c r="K720" s="10"/>
      <c r="L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U720" s="10"/>
      <c r="AV720" s="10"/>
      <c r="AW720" s="143"/>
      <c r="BD720" s="10"/>
      <c r="BS720" s="10"/>
      <c r="BT720" s="10"/>
      <c r="BV720" s="10"/>
      <c r="BW720" s="10"/>
    </row>
    <row r="721">
      <c r="A721" s="10"/>
      <c r="B721" s="10"/>
      <c r="C721" s="10"/>
      <c r="D721" s="10"/>
      <c r="E721" s="10"/>
      <c r="F721" s="10"/>
      <c r="G721" s="10"/>
      <c r="H721" s="10"/>
      <c r="I721" s="10"/>
      <c r="J721" s="10"/>
      <c r="K721" s="10"/>
      <c r="L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U721" s="10"/>
      <c r="AV721" s="10"/>
      <c r="AW721" s="143"/>
      <c r="BD721" s="10"/>
      <c r="BS721" s="10"/>
      <c r="BT721" s="10"/>
      <c r="BV721" s="10"/>
      <c r="BW721" s="10"/>
    </row>
    <row r="722">
      <c r="A722" s="10"/>
      <c r="B722" s="10"/>
      <c r="C722" s="10"/>
      <c r="D722" s="10"/>
      <c r="E722" s="10"/>
      <c r="F722" s="10"/>
      <c r="G722" s="10"/>
      <c r="H722" s="10"/>
      <c r="K722" s="10"/>
      <c r="L722" s="10"/>
      <c r="N722" s="10"/>
      <c r="P722" s="10"/>
      <c r="T722" s="10"/>
      <c r="U722" s="10"/>
      <c r="V722" s="10"/>
      <c r="W722" s="10"/>
      <c r="Y722" s="10"/>
      <c r="Z722" s="10"/>
      <c r="AA722" s="10"/>
      <c r="AB722" s="10"/>
      <c r="AC722" s="10"/>
      <c r="AD722" s="10"/>
      <c r="AE722" s="10"/>
      <c r="AF722" s="10"/>
      <c r="AG722" s="10"/>
      <c r="AH722" s="10"/>
      <c r="AI722" s="10"/>
      <c r="AJ722" s="10"/>
      <c r="AK722" s="10"/>
      <c r="AL722" s="10"/>
      <c r="AM722" s="10"/>
      <c r="AN722" s="10"/>
      <c r="AO722" s="10"/>
      <c r="AV722" s="10"/>
      <c r="AW722" s="143"/>
      <c r="BD722" s="10"/>
      <c r="BE722" s="10"/>
      <c r="BF722" s="10"/>
      <c r="BG722" s="10"/>
      <c r="BH722" s="10"/>
      <c r="BI722" s="10"/>
      <c r="BJ722" s="10"/>
      <c r="BK722" s="10"/>
      <c r="BL722" s="10"/>
      <c r="BM722" s="10"/>
      <c r="BN722" s="10"/>
      <c r="BO722" s="10"/>
      <c r="BR722" s="10"/>
      <c r="BS722" s="10"/>
      <c r="BT722" s="10"/>
      <c r="BV722" s="10"/>
      <c r="BW722" s="10"/>
    </row>
    <row r="723">
      <c r="A723" s="10"/>
      <c r="B723" s="10"/>
      <c r="C723" s="10"/>
      <c r="D723" s="10"/>
      <c r="E723" s="10"/>
      <c r="F723" s="10"/>
      <c r="G723" s="10"/>
      <c r="H723" s="10"/>
      <c r="J723" s="10"/>
      <c r="K723" s="10"/>
      <c r="L723" s="10"/>
      <c r="N723" s="10"/>
      <c r="P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W723" s="143"/>
      <c r="AX723" s="10"/>
      <c r="AY723" s="10"/>
      <c r="BD723" s="10"/>
      <c r="BE723" s="10"/>
      <c r="BF723" s="10"/>
      <c r="BG723" s="10"/>
      <c r="BH723" s="10"/>
      <c r="BI723" s="10"/>
      <c r="BJ723" s="10"/>
      <c r="BK723" s="10"/>
      <c r="BS723" s="10"/>
      <c r="BT723" s="10"/>
      <c r="BV723" s="10"/>
      <c r="BW723" s="10"/>
    </row>
    <row r="724">
      <c r="A724" s="10"/>
      <c r="B724" s="10"/>
      <c r="C724" s="10"/>
      <c r="D724" s="10"/>
      <c r="E724" s="10"/>
      <c r="F724" s="10"/>
      <c r="G724" s="10"/>
      <c r="H724" s="10"/>
      <c r="J724" s="10"/>
      <c r="K724" s="10"/>
      <c r="L724" s="10"/>
      <c r="N724" s="10"/>
      <c r="P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S724" s="10"/>
      <c r="AU724" s="10"/>
      <c r="AW724" s="143"/>
      <c r="BD724" s="10"/>
      <c r="BE724" s="10"/>
      <c r="BF724" s="10"/>
      <c r="BG724" s="10"/>
      <c r="BH724" s="10"/>
      <c r="BI724" s="10"/>
      <c r="BJ724" s="10"/>
      <c r="BK724" s="10"/>
      <c r="BL724" s="10"/>
      <c r="BM724" s="10"/>
      <c r="BN724" s="10"/>
      <c r="BO724" s="10"/>
      <c r="BP724" s="10"/>
      <c r="BQ724" s="10"/>
      <c r="BR724" s="10"/>
      <c r="BS724" s="10"/>
      <c r="BT724" s="10"/>
      <c r="BV724" s="10"/>
      <c r="BW724" s="10"/>
    </row>
    <row r="725">
      <c r="A725" s="10"/>
      <c r="B725" s="10"/>
      <c r="C725" s="10"/>
      <c r="D725" s="10"/>
      <c r="E725" s="10"/>
      <c r="F725" s="10"/>
      <c r="G725" s="10"/>
      <c r="H725" s="10"/>
      <c r="K725" s="10"/>
      <c r="L725" s="10"/>
      <c r="T725" s="10"/>
      <c r="U725" s="10"/>
      <c r="V725" s="10"/>
      <c r="W725" s="10"/>
      <c r="Y725" s="10"/>
      <c r="Z725" s="10"/>
      <c r="AA725" s="10"/>
      <c r="AB725" s="10"/>
      <c r="AC725" s="10"/>
      <c r="AD725" s="10"/>
      <c r="AE725" s="10"/>
      <c r="AF725" s="10"/>
      <c r="AG725" s="10"/>
      <c r="AH725" s="10"/>
      <c r="AI725" s="10"/>
      <c r="AJ725" s="10"/>
      <c r="AL725" s="10"/>
      <c r="AM725" s="10"/>
      <c r="AO725" s="10"/>
      <c r="AW725" s="143"/>
      <c r="BD725" s="10"/>
      <c r="BE725" s="10"/>
      <c r="BF725" s="10"/>
      <c r="BG725" s="10"/>
      <c r="BH725" s="10"/>
      <c r="BI725" s="10"/>
      <c r="BJ725" s="10"/>
      <c r="BK725" s="10"/>
      <c r="BS725" s="10"/>
      <c r="BT725" s="10"/>
      <c r="BV725" s="10"/>
      <c r="BW725" s="10"/>
    </row>
    <row r="726">
      <c r="A726" s="10"/>
      <c r="B726" s="10"/>
      <c r="C726" s="10"/>
      <c r="D726" s="10"/>
      <c r="E726" s="10"/>
      <c r="F726" s="10"/>
      <c r="G726" s="10"/>
      <c r="H726" s="10"/>
      <c r="I726" s="10"/>
      <c r="K726" s="10"/>
      <c r="L726" s="10"/>
      <c r="N726" s="10"/>
      <c r="P726" s="10"/>
      <c r="T726" s="10"/>
      <c r="U726" s="10"/>
      <c r="V726" s="10"/>
      <c r="W726" s="10"/>
      <c r="Y726" s="10"/>
      <c r="Z726" s="10"/>
      <c r="AA726" s="10"/>
      <c r="AB726" s="10"/>
      <c r="AC726" s="10"/>
      <c r="AD726" s="10"/>
      <c r="AE726" s="10"/>
      <c r="AF726" s="10"/>
      <c r="AG726" s="10"/>
      <c r="AH726" s="10"/>
      <c r="AI726" s="10"/>
      <c r="AJ726" s="10"/>
      <c r="AL726" s="10"/>
      <c r="AM726" s="10"/>
      <c r="AN726" s="10"/>
      <c r="AO726" s="10"/>
      <c r="AW726" s="143"/>
      <c r="BD726" s="10"/>
      <c r="BE726" s="10"/>
      <c r="BF726" s="10"/>
      <c r="BG726" s="10"/>
      <c r="BH726" s="10"/>
      <c r="BI726" s="10"/>
      <c r="BJ726" s="10"/>
      <c r="BK726" s="10"/>
      <c r="BS726" s="10"/>
      <c r="BT726" s="10"/>
      <c r="BV726" s="10"/>
      <c r="BW726" s="10"/>
    </row>
    <row r="727">
      <c r="A727" s="10"/>
      <c r="B727" s="10"/>
      <c r="C727" s="10"/>
      <c r="D727" s="10"/>
      <c r="E727" s="10"/>
      <c r="F727" s="10"/>
      <c r="G727" s="10"/>
      <c r="H727" s="10"/>
      <c r="I727" s="10"/>
      <c r="J727" s="10"/>
      <c r="K727" s="10"/>
      <c r="L727" s="10"/>
      <c r="N727" s="10"/>
      <c r="P727" s="10"/>
      <c r="T727" s="10"/>
      <c r="U727" s="10"/>
      <c r="V727" s="10"/>
      <c r="W727" s="10"/>
      <c r="Y727" s="10"/>
      <c r="Z727" s="10"/>
      <c r="AA727" s="10"/>
      <c r="AB727" s="10"/>
      <c r="AC727" s="10"/>
      <c r="AD727" s="10"/>
      <c r="AE727" s="10"/>
      <c r="AF727" s="10"/>
      <c r="AG727" s="10"/>
      <c r="AH727" s="10"/>
      <c r="AI727" s="10"/>
      <c r="AJ727" s="10"/>
      <c r="AL727" s="10"/>
      <c r="AM727" s="10"/>
      <c r="AN727" s="10"/>
      <c r="AO727" s="10"/>
      <c r="AW727" s="143"/>
      <c r="BD727" s="10"/>
      <c r="BE727" s="10"/>
      <c r="BF727" s="10"/>
      <c r="BG727" s="10"/>
      <c r="BH727" s="10"/>
      <c r="BI727" s="10"/>
      <c r="BJ727" s="10"/>
      <c r="BK727" s="10"/>
      <c r="BS727" s="10"/>
      <c r="BT727" s="10"/>
      <c r="BV727" s="10"/>
      <c r="BW727" s="10"/>
    </row>
    <row r="728">
      <c r="A728" s="10"/>
      <c r="B728" s="10"/>
      <c r="C728" s="10"/>
      <c r="D728" s="10"/>
      <c r="E728" s="10"/>
      <c r="F728" s="10"/>
      <c r="G728" s="10"/>
      <c r="H728" s="10"/>
      <c r="I728" s="10"/>
      <c r="K728" s="10"/>
      <c r="L728" s="10"/>
      <c r="P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U728" s="10"/>
      <c r="AV728" s="10"/>
      <c r="AW728" s="143"/>
      <c r="BD728" s="10"/>
      <c r="BE728" s="10"/>
      <c r="BF728" s="10"/>
      <c r="BG728" s="10"/>
      <c r="BH728" s="10"/>
      <c r="BI728" s="10"/>
      <c r="BJ728" s="10"/>
      <c r="BK728" s="10"/>
      <c r="BS728" s="10"/>
      <c r="BT728" s="10"/>
      <c r="BV728" s="10"/>
      <c r="BW728" s="10"/>
    </row>
    <row r="729">
      <c r="A729" s="10"/>
      <c r="B729" s="10"/>
      <c r="C729" s="10"/>
      <c r="D729" s="10"/>
      <c r="E729" s="10"/>
      <c r="F729" s="10"/>
      <c r="G729" s="10"/>
      <c r="H729" s="10"/>
      <c r="I729" s="10"/>
      <c r="K729" s="10"/>
      <c r="L729" s="10"/>
      <c r="P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U729" s="10"/>
      <c r="AV729" s="10"/>
      <c r="AW729" s="143"/>
      <c r="BD729" s="10"/>
      <c r="BE729" s="10"/>
      <c r="BF729" s="10"/>
      <c r="BG729" s="10"/>
      <c r="BH729" s="10"/>
      <c r="BI729" s="10"/>
      <c r="BJ729" s="10"/>
      <c r="BK729" s="10"/>
      <c r="BL729" s="10"/>
      <c r="BO729" s="10"/>
      <c r="BR729" s="10"/>
      <c r="BS729" s="10"/>
      <c r="BT729" s="10"/>
      <c r="BV729" s="10"/>
      <c r="BW729" s="10"/>
    </row>
    <row r="730">
      <c r="A730" s="10"/>
      <c r="B730" s="10"/>
      <c r="C730" s="10"/>
      <c r="D730" s="10"/>
      <c r="E730" s="10"/>
      <c r="F730" s="10"/>
      <c r="G730" s="10"/>
      <c r="H730" s="10"/>
      <c r="I730" s="10"/>
      <c r="K730" s="10"/>
      <c r="L730" s="10"/>
      <c r="P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U730" s="10"/>
      <c r="AV730" s="10"/>
      <c r="AW730" s="143"/>
      <c r="AZ730" s="10"/>
      <c r="BD730" s="10"/>
      <c r="BE730" s="10"/>
      <c r="BF730" s="10"/>
      <c r="BG730" s="10"/>
      <c r="BH730" s="10"/>
      <c r="BI730" s="10"/>
      <c r="BJ730" s="10"/>
      <c r="BK730" s="10"/>
      <c r="BS730" s="10"/>
      <c r="BT730" s="10"/>
      <c r="BV730" s="10"/>
      <c r="BW730" s="10"/>
    </row>
    <row r="731">
      <c r="A731" s="10"/>
      <c r="B731" s="10"/>
      <c r="C731" s="10"/>
      <c r="D731" s="10"/>
      <c r="E731" s="10"/>
      <c r="F731" s="10"/>
      <c r="G731" s="10"/>
      <c r="H731" s="10"/>
      <c r="K731" s="10"/>
      <c r="L731" s="10"/>
      <c r="Q731" s="10"/>
      <c r="R731" s="10"/>
      <c r="T731" s="10"/>
      <c r="U731" s="10"/>
      <c r="V731" s="10"/>
      <c r="W731" s="10"/>
      <c r="Y731" s="10"/>
      <c r="Z731" s="10"/>
      <c r="AA731" s="10"/>
      <c r="AB731" s="10"/>
      <c r="AC731" s="10"/>
      <c r="AD731" s="10"/>
      <c r="AE731" s="10"/>
      <c r="AF731" s="10"/>
      <c r="AG731" s="10"/>
      <c r="AH731" s="10"/>
      <c r="AI731" s="10"/>
      <c r="AJ731" s="10"/>
      <c r="AK731" s="10"/>
      <c r="AL731" s="10"/>
      <c r="AM731" s="10"/>
      <c r="AN731" s="10"/>
      <c r="AO731" s="10"/>
      <c r="AW731" s="143"/>
      <c r="BD731" s="10"/>
      <c r="BE731" s="10"/>
      <c r="BF731" s="10"/>
      <c r="BG731" s="10"/>
      <c r="BH731" s="10"/>
      <c r="BI731" s="10"/>
      <c r="BJ731" s="10"/>
      <c r="BK731" s="10"/>
      <c r="BL731" s="10"/>
      <c r="BM731" s="10"/>
      <c r="BN731" s="10"/>
      <c r="BO731" s="10"/>
      <c r="BP731" s="10"/>
      <c r="BQ731" s="10"/>
      <c r="BR731" s="10"/>
      <c r="BS731" s="10"/>
      <c r="BT731" s="10"/>
      <c r="BV731" s="10"/>
      <c r="BW731" s="10"/>
    </row>
    <row r="732">
      <c r="A732" s="10"/>
      <c r="B732" s="10"/>
      <c r="C732" s="10"/>
      <c r="D732" s="10"/>
      <c r="E732" s="10"/>
      <c r="F732" s="10"/>
      <c r="G732" s="10"/>
      <c r="H732" s="10"/>
      <c r="K732" s="10"/>
      <c r="L732" s="10"/>
      <c r="T732" s="10"/>
      <c r="U732" s="10"/>
      <c r="V732" s="10"/>
      <c r="W732" s="10"/>
      <c r="Y732" s="10"/>
      <c r="Z732" s="10"/>
      <c r="AA732" s="10"/>
      <c r="AB732" s="10"/>
      <c r="AC732" s="10"/>
      <c r="AD732" s="10"/>
      <c r="AE732" s="10"/>
      <c r="AF732" s="10"/>
      <c r="AG732" s="10"/>
      <c r="AH732" s="10"/>
      <c r="AI732" s="10"/>
      <c r="AJ732" s="10"/>
      <c r="AK732" s="10"/>
      <c r="AL732" s="10"/>
      <c r="AM732" s="10"/>
      <c r="AN732" s="10"/>
      <c r="AO732" s="10"/>
      <c r="AW732" s="143"/>
      <c r="BD732" s="10"/>
      <c r="BE732" s="10"/>
      <c r="BF732" s="10"/>
      <c r="BG732" s="10"/>
      <c r="BH732" s="10"/>
      <c r="BI732" s="10"/>
      <c r="BJ732" s="10"/>
      <c r="BK732" s="10"/>
      <c r="BS732" s="10"/>
      <c r="BT732" s="10"/>
      <c r="BV732" s="10"/>
      <c r="BW732" s="10"/>
    </row>
    <row r="733">
      <c r="A733" s="10"/>
      <c r="B733" s="10"/>
      <c r="C733" s="10"/>
      <c r="D733" s="10"/>
      <c r="E733" s="10"/>
      <c r="F733" s="10"/>
      <c r="G733" s="10"/>
      <c r="H733" s="10"/>
      <c r="K733" s="10"/>
      <c r="L733" s="10"/>
      <c r="T733" s="10"/>
      <c r="U733" s="10"/>
      <c r="V733" s="10"/>
      <c r="W733" s="10"/>
      <c r="Y733" s="10"/>
      <c r="Z733" s="10"/>
      <c r="AA733" s="10"/>
      <c r="AB733" s="10"/>
      <c r="AC733" s="10"/>
      <c r="AD733" s="10"/>
      <c r="AE733" s="10"/>
      <c r="AF733" s="10"/>
      <c r="AG733" s="10"/>
      <c r="AH733" s="10"/>
      <c r="AI733" s="10"/>
      <c r="AJ733" s="10"/>
      <c r="AK733" s="10"/>
      <c r="AL733" s="10"/>
      <c r="AM733" s="10"/>
      <c r="AN733" s="10"/>
      <c r="AO733" s="10"/>
      <c r="AW733" s="143"/>
      <c r="BD733" s="10"/>
      <c r="BE733" s="10"/>
      <c r="BF733" s="10"/>
      <c r="BG733" s="10"/>
      <c r="BH733" s="10"/>
      <c r="BI733" s="10"/>
      <c r="BJ733" s="10"/>
      <c r="BK733" s="10"/>
      <c r="BS733" s="10"/>
      <c r="BT733" s="10"/>
      <c r="BV733" s="10"/>
      <c r="BW733" s="10"/>
    </row>
    <row r="734">
      <c r="A734" s="10"/>
      <c r="B734" s="10"/>
      <c r="C734" s="10"/>
      <c r="D734" s="10"/>
      <c r="E734" s="10"/>
      <c r="F734" s="10"/>
      <c r="G734" s="10"/>
      <c r="H734" s="10"/>
      <c r="K734" s="10"/>
      <c r="L734" s="10"/>
      <c r="T734" s="10"/>
      <c r="U734" s="10"/>
      <c r="V734" s="10"/>
      <c r="W734" s="10"/>
      <c r="Y734" s="10"/>
      <c r="Z734" s="10"/>
      <c r="AA734" s="10"/>
      <c r="AB734" s="10"/>
      <c r="AC734" s="10"/>
      <c r="AD734" s="10"/>
      <c r="AE734" s="10"/>
      <c r="AF734" s="10"/>
      <c r="AG734" s="10"/>
      <c r="AH734" s="10"/>
      <c r="AI734" s="10"/>
      <c r="AJ734" s="10"/>
      <c r="AK734" s="10"/>
      <c r="AL734" s="10"/>
      <c r="AM734" s="10"/>
      <c r="AN734" s="10"/>
      <c r="AO734" s="10"/>
      <c r="AW734" s="143"/>
      <c r="BD734" s="10"/>
      <c r="BE734" s="10"/>
      <c r="BF734" s="10"/>
      <c r="BG734" s="10"/>
      <c r="BH734" s="10"/>
      <c r="BI734" s="10"/>
      <c r="BJ734" s="10"/>
      <c r="BK734" s="10"/>
      <c r="BS734" s="10"/>
      <c r="BT734" s="10"/>
      <c r="BV734" s="10"/>
      <c r="BW734" s="10"/>
    </row>
    <row r="735">
      <c r="A735" s="10"/>
      <c r="B735" s="10"/>
      <c r="C735" s="10"/>
      <c r="D735" s="10"/>
      <c r="E735" s="10"/>
      <c r="F735" s="10"/>
      <c r="G735" s="10"/>
      <c r="H735" s="10"/>
      <c r="J735" s="10"/>
      <c r="K735" s="10"/>
      <c r="L735" s="10"/>
      <c r="P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W735" s="244"/>
      <c r="AZ735" s="10"/>
      <c r="BD735" s="10"/>
      <c r="BE735" s="10"/>
      <c r="BF735" s="10"/>
      <c r="BG735" s="10"/>
      <c r="BH735" s="10"/>
      <c r="BI735" s="10"/>
      <c r="BJ735" s="10"/>
      <c r="BK735" s="10"/>
      <c r="BS735" s="10"/>
      <c r="BT735" s="10"/>
      <c r="BV735" s="10"/>
      <c r="BW735" s="10"/>
    </row>
    <row r="736">
      <c r="A736" s="10"/>
      <c r="B736" s="10"/>
      <c r="C736" s="10"/>
      <c r="D736" s="10"/>
      <c r="E736" s="10"/>
      <c r="F736" s="10"/>
      <c r="G736" s="10"/>
      <c r="H736" s="10"/>
      <c r="K736" s="10"/>
      <c r="L736" s="10"/>
      <c r="P736" s="10"/>
      <c r="Q736" s="10"/>
      <c r="R736" s="10"/>
      <c r="T736" s="10"/>
      <c r="U736" s="10"/>
      <c r="V736" s="10"/>
      <c r="W736" s="10"/>
      <c r="Y736" s="10"/>
      <c r="Z736" s="10"/>
      <c r="AA736" s="10"/>
      <c r="AB736" s="10"/>
      <c r="AC736" s="10"/>
      <c r="AD736" s="10"/>
      <c r="AE736" s="10"/>
      <c r="AF736" s="10"/>
      <c r="AG736" s="10"/>
      <c r="AH736" s="10"/>
      <c r="AI736" s="10"/>
      <c r="AJ736" s="10"/>
      <c r="AK736" s="10"/>
      <c r="AL736" s="10"/>
      <c r="AM736" s="10"/>
      <c r="AN736" s="10"/>
      <c r="AO736" s="10"/>
      <c r="AW736" s="143"/>
      <c r="BD736" s="10"/>
      <c r="BE736" s="10"/>
      <c r="BF736" s="10"/>
      <c r="BG736" s="10"/>
      <c r="BH736" s="10"/>
      <c r="BI736" s="10"/>
      <c r="BJ736" s="10"/>
      <c r="BK736" s="10"/>
      <c r="BL736" s="10"/>
      <c r="BM736" s="10"/>
      <c r="BN736" s="10"/>
      <c r="BO736" s="10"/>
      <c r="BP736" s="10"/>
      <c r="BQ736" s="10"/>
      <c r="BR736" s="10"/>
      <c r="BS736" s="10"/>
      <c r="BT736" s="10"/>
      <c r="BV736" s="10"/>
      <c r="BW736" s="10"/>
    </row>
    <row r="737">
      <c r="A737" s="10"/>
      <c r="B737" s="10"/>
      <c r="C737" s="10"/>
      <c r="D737" s="10"/>
      <c r="E737" s="10"/>
      <c r="F737" s="10"/>
      <c r="G737" s="10"/>
      <c r="H737" s="10"/>
      <c r="K737" s="10"/>
      <c r="L737" s="10"/>
      <c r="N737" s="10"/>
      <c r="T737" s="10"/>
      <c r="U737" s="10"/>
      <c r="V737" s="10"/>
      <c r="W737" s="10"/>
      <c r="Y737" s="10"/>
      <c r="Z737" s="10"/>
      <c r="AA737" s="10"/>
      <c r="AB737" s="10"/>
      <c r="AC737" s="10"/>
      <c r="AD737" s="10"/>
      <c r="AE737" s="10"/>
      <c r="AF737" s="10"/>
      <c r="AG737" s="10"/>
      <c r="AH737" s="10"/>
      <c r="AI737" s="10"/>
      <c r="AJ737" s="10"/>
      <c r="AK737" s="10"/>
      <c r="AL737" s="10"/>
      <c r="AM737" s="10"/>
      <c r="AN737" s="10"/>
      <c r="AO737" s="10"/>
      <c r="AW737" s="143"/>
      <c r="BD737" s="10"/>
      <c r="BS737" s="10"/>
      <c r="BT737" s="10"/>
      <c r="BV737" s="10"/>
      <c r="BW737" s="10"/>
    </row>
    <row r="738">
      <c r="A738" s="10"/>
      <c r="B738" s="10"/>
      <c r="C738" s="10"/>
      <c r="D738" s="10"/>
      <c r="E738" s="10"/>
      <c r="F738" s="10"/>
      <c r="G738" s="10"/>
      <c r="H738" s="10"/>
      <c r="K738" s="10"/>
      <c r="L738" s="10"/>
      <c r="N738" s="10"/>
      <c r="P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W738" s="244"/>
      <c r="BD738" s="10"/>
      <c r="BS738" s="10"/>
      <c r="BT738" s="10"/>
      <c r="BV738" s="10"/>
      <c r="BW738" s="10"/>
    </row>
    <row r="739">
      <c r="A739" s="10"/>
      <c r="B739" s="10"/>
      <c r="C739" s="10"/>
      <c r="D739" s="10"/>
      <c r="E739" s="10"/>
      <c r="F739" s="10"/>
      <c r="G739" s="10"/>
      <c r="H739" s="10"/>
      <c r="J739" s="10"/>
      <c r="K739" s="10"/>
      <c r="L739" s="10"/>
      <c r="P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W739" s="143"/>
      <c r="BT739" s="10"/>
      <c r="BW739" s="10"/>
    </row>
    <row r="740">
      <c r="A740" s="10"/>
      <c r="B740" s="10"/>
      <c r="C740" s="10"/>
      <c r="D740" s="10"/>
      <c r="E740" s="10"/>
      <c r="F740" s="10"/>
      <c r="G740" s="10"/>
      <c r="H740" s="10"/>
      <c r="J740" s="10"/>
      <c r="K740" s="10"/>
      <c r="L740" s="10"/>
      <c r="P740" s="10"/>
      <c r="T740" s="10"/>
      <c r="U740" s="10"/>
      <c r="V740" s="10"/>
      <c r="W740" s="10"/>
      <c r="Y740" s="10"/>
      <c r="Z740" s="10"/>
      <c r="AA740" s="10"/>
      <c r="AB740" s="10"/>
      <c r="AC740" s="10"/>
      <c r="AD740" s="10"/>
      <c r="AE740" s="10"/>
      <c r="AF740" s="10"/>
      <c r="AG740" s="10"/>
      <c r="AH740" s="10"/>
      <c r="AI740" s="10"/>
      <c r="AJ740" s="10"/>
      <c r="AK740" s="10"/>
      <c r="AL740" s="10"/>
      <c r="AM740" s="10"/>
      <c r="AN740" s="10"/>
      <c r="AO740" s="10"/>
      <c r="AW740" s="143"/>
      <c r="BD740" s="10"/>
      <c r="BL740" s="10"/>
      <c r="BO740" s="10"/>
      <c r="BR740" s="10"/>
      <c r="BS740" s="10"/>
      <c r="BT740" s="10"/>
      <c r="BW740" s="10"/>
    </row>
    <row r="741">
      <c r="A741" s="10"/>
      <c r="B741" s="10"/>
      <c r="C741" s="10"/>
      <c r="D741" s="10"/>
      <c r="E741" s="10"/>
      <c r="F741" s="10"/>
      <c r="G741" s="10"/>
      <c r="H741" s="10"/>
      <c r="T741" s="10"/>
      <c r="U741" s="10"/>
      <c r="V741" s="10"/>
      <c r="W741" s="10"/>
      <c r="Y741" s="10"/>
      <c r="Z741" s="10"/>
      <c r="AA741" s="10"/>
      <c r="AB741" s="10"/>
      <c r="AC741" s="10"/>
      <c r="AD741" s="10"/>
      <c r="AE741" s="10"/>
      <c r="AF741" s="10"/>
      <c r="AG741" s="10"/>
      <c r="AH741" s="10"/>
      <c r="AI741" s="10"/>
      <c r="AJ741" s="10"/>
      <c r="AK741" s="10"/>
      <c r="AL741" s="10"/>
      <c r="AM741" s="10"/>
      <c r="AN741" s="10"/>
      <c r="AO741" s="10"/>
      <c r="AW741" s="143"/>
      <c r="BE741" s="10"/>
      <c r="BF741" s="10"/>
      <c r="BG741" s="10"/>
      <c r="BH741" s="10"/>
      <c r="BI741" s="10"/>
      <c r="BJ741" s="10"/>
      <c r="BK741" s="10"/>
      <c r="BS741" s="10"/>
      <c r="BT741" s="10"/>
      <c r="BW741" s="10"/>
    </row>
    <row r="742">
      <c r="A742" s="10"/>
      <c r="B742" s="10"/>
      <c r="C742" s="10"/>
      <c r="D742" s="10"/>
      <c r="E742" s="10"/>
      <c r="F742" s="10"/>
      <c r="G742" s="10"/>
      <c r="H742" s="10"/>
      <c r="J742" s="10"/>
      <c r="N742" s="10"/>
      <c r="P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W742" s="143"/>
      <c r="BE742" s="10"/>
      <c r="BF742" s="10"/>
      <c r="BG742" s="10"/>
      <c r="BH742" s="10"/>
      <c r="BI742" s="10"/>
      <c r="BJ742" s="10"/>
      <c r="BK742" s="10"/>
      <c r="BN742" s="10"/>
      <c r="BQ742" s="10"/>
      <c r="BT742" s="10"/>
      <c r="BW742" s="10"/>
    </row>
    <row r="743">
      <c r="A743" s="10"/>
      <c r="B743" s="10"/>
      <c r="C743" s="10"/>
      <c r="D743" s="10"/>
      <c r="E743" s="10"/>
      <c r="F743" s="10"/>
      <c r="G743" s="10"/>
      <c r="H743" s="10"/>
      <c r="J743" s="10"/>
      <c r="N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W743" s="143"/>
      <c r="AX743" s="10"/>
      <c r="AY743" s="10"/>
      <c r="BE743" s="10"/>
      <c r="BF743" s="10"/>
      <c r="BG743" s="10"/>
      <c r="BH743" s="10"/>
      <c r="BI743" s="10"/>
      <c r="BJ743" s="10"/>
      <c r="BK743" s="10"/>
      <c r="BS743" s="10"/>
      <c r="BT743" s="10"/>
      <c r="BW743" s="10"/>
    </row>
    <row r="744">
      <c r="A744" s="10"/>
      <c r="B744" s="10"/>
      <c r="C744" s="10"/>
      <c r="D744" s="10"/>
      <c r="E744" s="10"/>
      <c r="F744" s="10"/>
      <c r="G744" s="10"/>
      <c r="H744" s="10"/>
      <c r="J744" s="10"/>
      <c r="K744" s="10"/>
      <c r="L744" s="10"/>
      <c r="P744" s="10"/>
      <c r="Q744" s="10"/>
      <c r="R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W744" s="143"/>
      <c r="BD744" s="10"/>
      <c r="BE744" s="10"/>
      <c r="BF744" s="10"/>
      <c r="BG744" s="10"/>
      <c r="BH744" s="10"/>
      <c r="BI744" s="10"/>
      <c r="BJ744" s="10"/>
      <c r="BK744" s="10"/>
      <c r="BL744" s="10"/>
      <c r="BM744" s="10"/>
      <c r="BN744" s="10"/>
      <c r="BO744" s="10"/>
      <c r="BP744" s="10"/>
      <c r="BQ744" s="10"/>
      <c r="BR744" s="10"/>
      <c r="BS744" s="10"/>
      <c r="BT744" s="10"/>
      <c r="BV744" s="10"/>
      <c r="BW744" s="10"/>
    </row>
    <row r="745">
      <c r="A745" s="10"/>
      <c r="B745" s="10"/>
      <c r="C745" s="10"/>
      <c r="D745" s="10"/>
      <c r="E745" s="10"/>
      <c r="F745" s="10"/>
      <c r="G745" s="10"/>
      <c r="H745" s="10"/>
      <c r="J745" s="10"/>
      <c r="K745" s="10"/>
      <c r="L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W745" s="143"/>
      <c r="BD745" s="10"/>
      <c r="BE745" s="10"/>
      <c r="BF745" s="10"/>
      <c r="BG745" s="10"/>
      <c r="BH745" s="10"/>
      <c r="BI745" s="10"/>
      <c r="BJ745" s="10"/>
      <c r="BK745" s="10"/>
      <c r="BS745" s="10"/>
      <c r="BT745" s="10"/>
      <c r="BV745" s="10"/>
      <c r="BW745" s="10"/>
    </row>
    <row r="746">
      <c r="A746" s="10"/>
      <c r="B746" s="10"/>
      <c r="C746" s="10"/>
      <c r="D746" s="10"/>
      <c r="E746" s="10"/>
      <c r="F746" s="10"/>
      <c r="G746" s="10"/>
      <c r="H746" s="10"/>
      <c r="J746" s="10"/>
      <c r="K746" s="10"/>
      <c r="L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W746" s="143"/>
      <c r="BD746" s="10"/>
      <c r="BE746" s="10"/>
      <c r="BF746" s="10"/>
      <c r="BG746" s="10"/>
      <c r="BH746" s="10"/>
      <c r="BI746" s="10"/>
      <c r="BJ746" s="10"/>
      <c r="BK746" s="10"/>
      <c r="BS746" s="10"/>
      <c r="BT746" s="10"/>
      <c r="BV746" s="10"/>
      <c r="BW746" s="10"/>
    </row>
    <row r="747">
      <c r="A747" s="10"/>
      <c r="B747" s="10"/>
      <c r="C747" s="10"/>
      <c r="D747" s="10"/>
      <c r="E747" s="10"/>
      <c r="F747" s="10"/>
      <c r="G747" s="10"/>
      <c r="H747" s="10"/>
      <c r="J747" s="10"/>
      <c r="K747" s="10"/>
      <c r="L747" s="10"/>
      <c r="N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W747" s="143"/>
      <c r="BD747" s="10"/>
      <c r="BE747" s="10"/>
      <c r="BF747" s="10"/>
      <c r="BG747" s="10"/>
      <c r="BH747" s="10"/>
      <c r="BI747" s="10"/>
      <c r="BJ747" s="10"/>
      <c r="BK747" s="10"/>
      <c r="BS747" s="10"/>
      <c r="BT747" s="10"/>
      <c r="BV747" s="10"/>
      <c r="BW747" s="10"/>
    </row>
    <row r="748">
      <c r="A748" s="10"/>
      <c r="B748" s="10"/>
      <c r="C748" s="10"/>
      <c r="D748" s="10"/>
      <c r="E748" s="10"/>
      <c r="F748" s="10"/>
      <c r="G748" s="10"/>
      <c r="H748" s="10"/>
      <c r="J748" s="10"/>
      <c r="K748" s="10"/>
      <c r="L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W748" s="143"/>
      <c r="AX748" s="10"/>
      <c r="AY748" s="10"/>
      <c r="BD748" s="10"/>
      <c r="BE748" s="10"/>
      <c r="BF748" s="10"/>
      <c r="BG748" s="10"/>
      <c r="BH748" s="10"/>
      <c r="BI748" s="10"/>
      <c r="BJ748" s="10"/>
      <c r="BK748" s="10"/>
      <c r="BS748" s="10"/>
      <c r="BT748" s="10"/>
      <c r="BV748" s="10"/>
      <c r="BW748" s="10"/>
    </row>
    <row r="749">
      <c r="A749" s="10"/>
      <c r="B749" s="10"/>
      <c r="C749" s="10"/>
      <c r="D749" s="10"/>
      <c r="E749" s="10"/>
      <c r="F749" s="10"/>
      <c r="G749" s="10"/>
      <c r="H749" s="10"/>
      <c r="I749" s="10"/>
      <c r="J749" s="10"/>
      <c r="N749" s="10"/>
      <c r="P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W749" s="143"/>
      <c r="BS749" s="10"/>
      <c r="BT749" s="10"/>
      <c r="BW749" s="10"/>
    </row>
    <row r="750">
      <c r="A750" s="10"/>
      <c r="B750" s="10"/>
      <c r="C750" s="10"/>
      <c r="D750" s="10"/>
      <c r="E750" s="10"/>
      <c r="F750" s="10"/>
      <c r="G750" s="10"/>
      <c r="H750" s="10"/>
      <c r="I750" s="10"/>
      <c r="J750" s="10"/>
      <c r="N750" s="10"/>
      <c r="P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W750" s="143"/>
      <c r="BS750" s="10"/>
      <c r="BT750" s="10"/>
      <c r="BW750" s="10"/>
    </row>
    <row r="751">
      <c r="A751" s="10"/>
      <c r="B751" s="10"/>
      <c r="C751" s="10"/>
      <c r="D751" s="10"/>
      <c r="E751" s="10"/>
      <c r="F751" s="10"/>
      <c r="G751" s="10"/>
      <c r="H751" s="10"/>
      <c r="I751" s="10"/>
      <c r="N751" s="10"/>
      <c r="P751" s="10"/>
      <c r="T751" s="10"/>
      <c r="U751" s="10"/>
      <c r="V751" s="10"/>
      <c r="W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U751" s="10"/>
      <c r="AW751" s="143"/>
      <c r="BS751" s="10"/>
      <c r="BT751" s="10"/>
      <c r="BW751" s="10"/>
    </row>
    <row r="752">
      <c r="A752" s="10"/>
      <c r="B752" s="10"/>
      <c r="C752" s="10"/>
      <c r="D752" s="10"/>
      <c r="E752" s="10"/>
      <c r="F752" s="10"/>
      <c r="G752" s="10"/>
      <c r="H752" s="10"/>
      <c r="I752" s="10"/>
      <c r="N752" s="10"/>
      <c r="P752" s="10"/>
      <c r="T752" s="10"/>
      <c r="U752" s="10"/>
      <c r="V752" s="10"/>
      <c r="W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U752" s="10"/>
      <c r="AW752" s="143"/>
      <c r="BS752" s="10"/>
      <c r="BT752" s="10"/>
      <c r="BW752" s="10"/>
    </row>
    <row r="753">
      <c r="A753" s="10"/>
      <c r="B753" s="10"/>
      <c r="C753" s="10"/>
      <c r="D753" s="10"/>
      <c r="E753" s="10"/>
      <c r="F753" s="10"/>
      <c r="G753" s="10"/>
      <c r="H753" s="10"/>
      <c r="I753" s="10"/>
      <c r="K753" s="10"/>
      <c r="L753" s="10"/>
      <c r="N753" s="10"/>
      <c r="P753" s="10"/>
      <c r="T753" s="10"/>
      <c r="U753" s="10"/>
      <c r="V753" s="10"/>
      <c r="W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W753" s="143"/>
      <c r="BD753" s="10"/>
      <c r="BL753" s="10"/>
      <c r="BO753" s="10"/>
      <c r="BR753" s="10"/>
      <c r="BS753" s="10"/>
      <c r="BT753" s="10"/>
      <c r="BW753" s="10"/>
    </row>
    <row r="754">
      <c r="A754" s="10"/>
      <c r="B754" s="10"/>
      <c r="C754" s="10"/>
      <c r="D754" s="10"/>
      <c r="E754" s="10"/>
      <c r="F754" s="10"/>
      <c r="G754" s="10"/>
      <c r="H754" s="10"/>
      <c r="I754" s="10"/>
      <c r="N754" s="10"/>
      <c r="O754" s="10"/>
      <c r="P754" s="10"/>
      <c r="T754" s="10"/>
      <c r="U754" s="10"/>
      <c r="V754" s="10"/>
      <c r="W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U754" s="10"/>
      <c r="AW754" s="143"/>
      <c r="BS754" s="10"/>
      <c r="BT754" s="10"/>
      <c r="BW754" s="10"/>
    </row>
    <row r="755">
      <c r="A755" s="10"/>
      <c r="B755" s="10"/>
      <c r="C755" s="10"/>
      <c r="D755" s="10"/>
      <c r="E755" s="10"/>
      <c r="F755" s="10"/>
      <c r="G755" s="10"/>
      <c r="H755" s="10"/>
      <c r="I755" s="10"/>
      <c r="N755" s="10"/>
      <c r="P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W755" s="143"/>
      <c r="BS755" s="10"/>
      <c r="BT755" s="10"/>
      <c r="BU755" s="10"/>
      <c r="BW755" s="10"/>
    </row>
    <row r="756">
      <c r="A756" s="10"/>
      <c r="B756" s="10"/>
      <c r="C756" s="10"/>
      <c r="D756" s="10"/>
      <c r="E756" s="10"/>
      <c r="F756" s="10"/>
      <c r="G756" s="10"/>
      <c r="H756" s="10"/>
      <c r="I756" s="10"/>
      <c r="N756" s="10"/>
      <c r="P756" s="10"/>
      <c r="T756" s="10"/>
      <c r="U756" s="10"/>
      <c r="V756" s="10"/>
      <c r="W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W756" s="143"/>
      <c r="BT756" s="10"/>
      <c r="BW756" s="10"/>
    </row>
    <row r="757">
      <c r="A757" s="10"/>
      <c r="B757" s="10"/>
      <c r="C757" s="10"/>
      <c r="D757" s="10"/>
      <c r="E757" s="10"/>
      <c r="F757" s="10"/>
      <c r="G757" s="10"/>
      <c r="H757" s="10"/>
      <c r="I757" s="10"/>
      <c r="N757" s="10"/>
      <c r="P757" s="10"/>
      <c r="T757" s="10"/>
      <c r="U757" s="10"/>
      <c r="V757" s="10"/>
      <c r="W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U757" s="10"/>
      <c r="AW757" s="143"/>
      <c r="AZ757" s="10"/>
      <c r="BS757" s="10"/>
      <c r="BT757" s="10"/>
      <c r="BW757" s="10"/>
    </row>
    <row r="758">
      <c r="A758" s="10"/>
      <c r="B758" s="10"/>
      <c r="C758" s="10"/>
      <c r="D758" s="10"/>
      <c r="E758" s="10"/>
      <c r="F758" s="10"/>
      <c r="G758" s="10"/>
      <c r="H758" s="10"/>
      <c r="J758" s="10"/>
      <c r="K758" s="10"/>
      <c r="L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W758" s="143"/>
      <c r="BD758" s="10"/>
      <c r="BE758" s="10"/>
      <c r="BF758" s="10"/>
      <c r="BG758" s="10"/>
      <c r="BH758" s="10"/>
      <c r="BI758" s="10"/>
      <c r="BJ758" s="10"/>
      <c r="BK758" s="10"/>
      <c r="BL758" s="10"/>
      <c r="BM758" s="10"/>
      <c r="BN758" s="10"/>
      <c r="BO758" s="10"/>
      <c r="BP758" s="10"/>
      <c r="BQ758" s="10"/>
      <c r="BR758" s="10"/>
      <c r="BS758" s="10"/>
      <c r="BT758" s="10"/>
      <c r="BV758" s="10"/>
      <c r="BW758" s="10"/>
    </row>
    <row r="759">
      <c r="A759" s="10"/>
      <c r="B759" s="10"/>
      <c r="C759" s="10"/>
      <c r="D759" s="10"/>
      <c r="E759" s="10"/>
      <c r="F759" s="10"/>
      <c r="G759" s="10"/>
      <c r="H759" s="10"/>
      <c r="J759" s="10"/>
      <c r="K759" s="10"/>
      <c r="L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W759" s="143"/>
      <c r="BD759" s="10"/>
      <c r="BE759" s="10"/>
      <c r="BF759" s="10"/>
      <c r="BG759" s="10"/>
      <c r="BH759" s="10"/>
      <c r="BI759" s="10"/>
      <c r="BJ759" s="10"/>
      <c r="BK759" s="10"/>
      <c r="BS759" s="10"/>
      <c r="BT759" s="10"/>
      <c r="BV759" s="10"/>
      <c r="BW759" s="10"/>
    </row>
    <row r="760">
      <c r="A760" s="10"/>
      <c r="B760" s="10"/>
      <c r="C760" s="10"/>
      <c r="D760" s="10"/>
      <c r="E760" s="10"/>
      <c r="F760" s="10"/>
      <c r="G760" s="10"/>
      <c r="H760" s="10"/>
      <c r="J760" s="10"/>
      <c r="K760" s="10"/>
      <c r="L760" s="10"/>
      <c r="N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W760" s="143"/>
      <c r="BD760" s="10"/>
      <c r="BE760" s="10"/>
      <c r="BF760" s="10"/>
      <c r="BG760" s="10"/>
      <c r="BH760" s="10"/>
      <c r="BI760" s="10"/>
      <c r="BJ760" s="10"/>
      <c r="BK760" s="10"/>
      <c r="BS760" s="10"/>
      <c r="BT760" s="10"/>
      <c r="BV760" s="10"/>
      <c r="BW760" s="10"/>
    </row>
    <row r="761">
      <c r="A761" s="10"/>
      <c r="B761" s="10"/>
      <c r="C761" s="10"/>
      <c r="D761" s="10"/>
      <c r="E761" s="10"/>
      <c r="F761" s="10"/>
      <c r="G761" s="10"/>
      <c r="H761" s="10"/>
      <c r="J761" s="10"/>
      <c r="K761" s="10"/>
      <c r="L761" s="10"/>
      <c r="N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W761" s="143"/>
      <c r="BD761" s="10"/>
      <c r="BS761" s="10"/>
      <c r="BT761" s="10"/>
      <c r="BV761" s="10"/>
      <c r="BW761" s="10"/>
    </row>
    <row r="762">
      <c r="A762" s="10"/>
      <c r="B762" s="10"/>
      <c r="C762" s="10"/>
      <c r="D762" s="10"/>
      <c r="E762" s="10"/>
      <c r="F762" s="10"/>
      <c r="G762" s="10"/>
      <c r="H762" s="10"/>
      <c r="J762" s="10"/>
      <c r="K762" s="10"/>
      <c r="L762" s="10"/>
      <c r="N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W762" s="143"/>
      <c r="BD762" s="10"/>
      <c r="BS762" s="10"/>
      <c r="BT762" s="10"/>
      <c r="BV762" s="10"/>
      <c r="BW762" s="10"/>
    </row>
    <row r="763">
      <c r="A763" s="10"/>
      <c r="B763" s="10"/>
      <c r="C763" s="10"/>
      <c r="D763" s="10"/>
      <c r="E763" s="10"/>
      <c r="F763" s="10"/>
      <c r="G763" s="10"/>
      <c r="H763" s="10"/>
      <c r="J763" s="10"/>
      <c r="K763" s="10"/>
      <c r="L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W763" s="143"/>
      <c r="BD763" s="10"/>
      <c r="BS763" s="10"/>
      <c r="BT763" s="10"/>
      <c r="BV763" s="10"/>
      <c r="BW763" s="10"/>
    </row>
    <row r="764">
      <c r="A764" s="10"/>
      <c r="B764" s="10"/>
      <c r="C764" s="10"/>
      <c r="D764" s="10"/>
      <c r="E764" s="10"/>
      <c r="F764" s="10"/>
      <c r="G764" s="10"/>
      <c r="H764" s="10"/>
      <c r="K764" s="10"/>
      <c r="L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W764" s="143"/>
      <c r="AZ764" s="10"/>
      <c r="BD764" s="10"/>
      <c r="BS764" s="10"/>
      <c r="BT764" s="10"/>
      <c r="BV764" s="10"/>
      <c r="BW764" s="10"/>
    </row>
    <row r="765">
      <c r="A765" s="10"/>
      <c r="B765" s="10"/>
      <c r="C765" s="10"/>
      <c r="D765" s="10"/>
      <c r="E765" s="10"/>
      <c r="F765" s="10"/>
      <c r="G765" s="10"/>
      <c r="H765" s="10"/>
      <c r="J765" s="10"/>
      <c r="K765" s="10"/>
      <c r="L765" s="10"/>
      <c r="P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W765" s="143"/>
      <c r="BD765" s="10"/>
      <c r="BL765" s="10"/>
      <c r="BM765" s="10"/>
      <c r="BO765" s="10"/>
      <c r="BP765" s="10"/>
      <c r="BR765" s="10"/>
      <c r="BS765" s="10"/>
      <c r="BT765" s="10"/>
      <c r="BV765" s="10"/>
      <c r="BW765" s="10"/>
    </row>
    <row r="766">
      <c r="A766" s="10"/>
      <c r="B766" s="10"/>
      <c r="C766" s="10"/>
      <c r="D766" s="10"/>
      <c r="E766" s="10"/>
      <c r="F766" s="10"/>
      <c r="G766" s="10"/>
      <c r="H766" s="10"/>
      <c r="J766" s="10"/>
      <c r="K766" s="10"/>
      <c r="L766" s="10"/>
      <c r="N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W766" s="143"/>
      <c r="BD766" s="10"/>
      <c r="BS766" s="10"/>
      <c r="BT766" s="10"/>
      <c r="BV766" s="10"/>
      <c r="BW766" s="10"/>
    </row>
    <row r="767">
      <c r="A767" s="10"/>
      <c r="B767" s="10"/>
      <c r="C767" s="10"/>
      <c r="D767" s="10"/>
      <c r="E767" s="10"/>
      <c r="F767" s="10"/>
      <c r="G767" s="10"/>
      <c r="H767" s="10"/>
      <c r="I767" s="10"/>
      <c r="J767" s="10"/>
      <c r="K767" s="10"/>
      <c r="L767" s="10"/>
      <c r="P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U767" s="10"/>
      <c r="AV767" s="10"/>
      <c r="AW767" s="143"/>
      <c r="AX767" s="10"/>
      <c r="AY767" s="10"/>
      <c r="BD767" s="10"/>
      <c r="BE767" s="10"/>
      <c r="BF767" s="10"/>
      <c r="BG767" s="10"/>
      <c r="BH767" s="10"/>
      <c r="BI767" s="10"/>
      <c r="BJ767" s="10"/>
      <c r="BK767" s="10"/>
      <c r="BL767" s="10"/>
      <c r="BM767" s="10"/>
      <c r="BN767" s="10"/>
      <c r="BO767" s="10"/>
      <c r="BP767" s="10"/>
      <c r="BQ767" s="10"/>
      <c r="BR767" s="10"/>
      <c r="BS767" s="10"/>
      <c r="BT767" s="10"/>
      <c r="BV767" s="10"/>
      <c r="BW767" s="10"/>
    </row>
    <row r="768">
      <c r="A768" s="10"/>
      <c r="B768" s="10"/>
      <c r="C768" s="10"/>
      <c r="D768" s="10"/>
      <c r="E768" s="10"/>
      <c r="F768" s="10"/>
      <c r="G768" s="10"/>
      <c r="H768" s="10"/>
      <c r="I768" s="10"/>
      <c r="J768" s="10"/>
      <c r="K768" s="10"/>
      <c r="L768" s="10"/>
      <c r="P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S768" s="10"/>
      <c r="AT768" s="10"/>
      <c r="AU768" s="10"/>
      <c r="AV768" s="10"/>
      <c r="AW768" s="143"/>
      <c r="BD768" s="10"/>
      <c r="BE768" s="10"/>
      <c r="BF768" s="10"/>
      <c r="BG768" s="10"/>
      <c r="BH768" s="10"/>
      <c r="BI768" s="10"/>
      <c r="BJ768" s="10"/>
      <c r="BK768" s="10"/>
      <c r="BL768" s="10"/>
      <c r="BM768" s="10"/>
      <c r="BN768" s="10"/>
      <c r="BO768" s="10"/>
      <c r="BP768" s="10"/>
      <c r="BQ768" s="10"/>
      <c r="BR768" s="10"/>
      <c r="BS768" s="10"/>
      <c r="BT768" s="10"/>
      <c r="BV768" s="10"/>
      <c r="BW768" s="10"/>
    </row>
    <row r="769">
      <c r="A769" s="10"/>
      <c r="B769" s="10"/>
      <c r="C769" s="10"/>
      <c r="D769" s="10"/>
      <c r="E769" s="10"/>
      <c r="F769" s="10"/>
      <c r="G769" s="10"/>
      <c r="H769" s="10"/>
      <c r="I769" s="10"/>
      <c r="J769" s="10"/>
      <c r="K769" s="10"/>
      <c r="L769" s="10"/>
      <c r="N769" s="10"/>
      <c r="P769" s="10"/>
      <c r="T769" s="10"/>
      <c r="U769" s="10"/>
      <c r="V769" s="10"/>
      <c r="W769" s="10"/>
      <c r="X769" s="10"/>
      <c r="Y769" s="10"/>
      <c r="Z769" s="10"/>
      <c r="AA769" s="10"/>
      <c r="AB769" s="10"/>
      <c r="AC769" s="10"/>
      <c r="AD769" s="10"/>
      <c r="AE769" s="10"/>
      <c r="AF769" s="10"/>
      <c r="AG769" s="10"/>
      <c r="AH769" s="10"/>
      <c r="AI769" s="10"/>
      <c r="AJ769" s="10"/>
      <c r="AL769" s="10"/>
      <c r="AM769" s="10"/>
      <c r="AO769" s="10"/>
      <c r="AU769" s="10"/>
      <c r="AV769" s="10"/>
      <c r="AW769" s="143"/>
      <c r="BD769" s="10"/>
      <c r="BE769" s="10"/>
      <c r="BF769" s="10"/>
      <c r="BG769" s="10"/>
      <c r="BH769" s="10"/>
      <c r="BI769" s="10"/>
      <c r="BJ769" s="10"/>
      <c r="BK769" s="10"/>
      <c r="BL769" s="10"/>
      <c r="BM769" s="10"/>
      <c r="BN769" s="10"/>
      <c r="BO769" s="10"/>
      <c r="BP769" s="10"/>
      <c r="BQ769" s="10"/>
      <c r="BR769" s="10"/>
      <c r="BS769" s="10"/>
      <c r="BT769" s="10"/>
      <c r="BV769" s="10"/>
      <c r="BW769" s="10"/>
    </row>
    <row r="770">
      <c r="A770" s="10"/>
      <c r="B770" s="10"/>
      <c r="C770" s="10"/>
      <c r="D770" s="10"/>
      <c r="E770" s="10"/>
      <c r="F770" s="10"/>
      <c r="G770" s="10"/>
      <c r="H770" s="10"/>
      <c r="I770" s="10"/>
      <c r="J770" s="10"/>
      <c r="K770" s="10"/>
      <c r="L770" s="10"/>
      <c r="N770" s="10"/>
      <c r="P770" s="10"/>
      <c r="T770" s="10"/>
      <c r="U770" s="10"/>
      <c r="V770" s="10"/>
      <c r="W770" s="10"/>
      <c r="X770" s="10"/>
      <c r="Y770" s="10"/>
      <c r="Z770" s="10"/>
      <c r="AA770" s="10"/>
      <c r="AB770" s="10"/>
      <c r="AC770" s="10"/>
      <c r="AD770" s="10"/>
      <c r="AE770" s="10"/>
      <c r="AF770" s="10"/>
      <c r="AG770" s="10"/>
      <c r="AH770" s="10"/>
      <c r="AI770" s="10"/>
      <c r="AJ770" s="10"/>
      <c r="AL770" s="10"/>
      <c r="AM770" s="10"/>
      <c r="AO770" s="10"/>
      <c r="AU770" s="10"/>
      <c r="AV770" s="10"/>
      <c r="AW770" s="143"/>
      <c r="BD770" s="10"/>
      <c r="BS770" s="10"/>
      <c r="BT770" s="10"/>
      <c r="BV770" s="10"/>
      <c r="BW770" s="10"/>
    </row>
    <row r="771">
      <c r="A771" s="10"/>
      <c r="B771" s="10"/>
      <c r="C771" s="10"/>
      <c r="D771" s="10"/>
      <c r="E771" s="10"/>
      <c r="F771" s="10"/>
      <c r="G771" s="10"/>
      <c r="H771" s="10"/>
      <c r="J771" s="10"/>
      <c r="K771" s="10"/>
      <c r="L771" s="10"/>
      <c r="U771" s="10"/>
      <c r="V771" s="10"/>
      <c r="W771" s="10"/>
      <c r="X771" s="10"/>
      <c r="Y771" s="10"/>
      <c r="Z771" s="10"/>
      <c r="AA771" s="10"/>
      <c r="AB771" s="10"/>
      <c r="AC771" s="10"/>
      <c r="AD771" s="10"/>
      <c r="AE771" s="10"/>
      <c r="AF771" s="10"/>
      <c r="AG771" s="10"/>
      <c r="AH771" s="10"/>
      <c r="AI771" s="10"/>
      <c r="AJ771" s="10"/>
      <c r="AK771" s="10"/>
      <c r="AL771" s="10"/>
      <c r="AM771" s="10"/>
      <c r="AN771" s="10"/>
      <c r="AO771" s="10"/>
      <c r="AS771" s="10"/>
      <c r="AV771" s="10"/>
      <c r="AW771" s="143"/>
      <c r="BD771" s="10"/>
      <c r="BE771" s="10"/>
      <c r="BF771" s="10"/>
      <c r="BG771" s="10"/>
      <c r="BH771" s="10"/>
      <c r="BI771" s="10"/>
      <c r="BJ771" s="10"/>
      <c r="BK771" s="10"/>
      <c r="BL771" s="10"/>
      <c r="BM771" s="10"/>
      <c r="BN771" s="10"/>
      <c r="BO771" s="10"/>
      <c r="BP771" s="10"/>
      <c r="BQ771" s="10"/>
      <c r="BR771" s="10"/>
      <c r="BS771" s="10"/>
      <c r="BT771" s="10"/>
      <c r="BV771" s="10"/>
      <c r="BW771" s="10"/>
    </row>
    <row r="772">
      <c r="A772" s="10"/>
      <c r="B772" s="10"/>
      <c r="C772" s="10"/>
      <c r="D772" s="10"/>
      <c r="E772" s="10"/>
      <c r="F772" s="10"/>
      <c r="G772" s="10"/>
      <c r="H772" s="10"/>
      <c r="K772" s="10"/>
      <c r="L772" s="10"/>
      <c r="V772" s="10"/>
      <c r="W772" s="10"/>
      <c r="Y772" s="10"/>
      <c r="Z772" s="10"/>
      <c r="AA772" s="10"/>
      <c r="AB772" s="10"/>
      <c r="AC772" s="10"/>
      <c r="AD772" s="10"/>
      <c r="AE772" s="10"/>
      <c r="AF772" s="10"/>
      <c r="AG772" s="10"/>
      <c r="AH772" s="10"/>
      <c r="AI772" s="10"/>
      <c r="AJ772" s="10"/>
      <c r="AK772" s="10"/>
      <c r="AL772" s="10"/>
      <c r="AM772" s="10"/>
      <c r="AN772" s="10"/>
      <c r="AO772" s="10"/>
      <c r="AW772" s="143"/>
      <c r="BD772" s="10"/>
      <c r="BE772" s="10"/>
      <c r="BF772" s="10"/>
      <c r="BG772" s="10"/>
      <c r="BH772" s="10"/>
      <c r="BI772" s="10"/>
      <c r="BJ772" s="10"/>
      <c r="BK772" s="10"/>
      <c r="BL772" s="10"/>
      <c r="BM772" s="10"/>
      <c r="BO772" s="10"/>
      <c r="BP772" s="10"/>
      <c r="BR772" s="10"/>
      <c r="BS772" s="10"/>
      <c r="BT772" s="10"/>
      <c r="BV772" s="10"/>
      <c r="BW772" s="10"/>
    </row>
    <row r="773">
      <c r="A773" s="10"/>
      <c r="B773" s="10"/>
      <c r="C773" s="10"/>
      <c r="D773" s="10"/>
      <c r="E773" s="10"/>
      <c r="F773" s="10"/>
      <c r="G773" s="10"/>
      <c r="H773" s="10"/>
      <c r="K773" s="10"/>
      <c r="L773" s="10"/>
      <c r="U773" s="10"/>
      <c r="V773" s="10"/>
      <c r="W773" s="10"/>
      <c r="X773" s="10"/>
      <c r="Y773" s="10"/>
      <c r="Z773" s="10"/>
      <c r="AA773" s="10"/>
      <c r="AB773" s="10"/>
      <c r="AC773" s="10"/>
      <c r="AD773" s="10"/>
      <c r="AE773" s="10"/>
      <c r="AF773" s="10"/>
      <c r="AG773" s="10"/>
      <c r="AH773" s="10"/>
      <c r="AI773" s="10"/>
      <c r="AJ773" s="10"/>
      <c r="AK773" s="10"/>
      <c r="AL773" s="10"/>
      <c r="AM773" s="10"/>
      <c r="AN773" s="10"/>
      <c r="AO773" s="10"/>
      <c r="AW773" s="143"/>
      <c r="BD773" s="10"/>
      <c r="BS773" s="10"/>
      <c r="BT773" s="10"/>
      <c r="BV773" s="10"/>
      <c r="BW773" s="10"/>
    </row>
    <row r="774">
      <c r="A774" s="10"/>
      <c r="B774" s="10"/>
      <c r="C774" s="10"/>
      <c r="D774" s="10"/>
      <c r="E774" s="10"/>
      <c r="F774" s="10"/>
      <c r="G774" s="10"/>
      <c r="H774" s="10"/>
      <c r="K774" s="10"/>
      <c r="L774" s="10"/>
      <c r="U774" s="10"/>
      <c r="V774" s="10"/>
      <c r="W774" s="10"/>
      <c r="X774" s="10"/>
      <c r="Y774" s="10"/>
      <c r="Z774" s="10"/>
      <c r="AA774" s="10"/>
      <c r="AB774" s="10"/>
      <c r="AC774" s="10"/>
      <c r="AD774" s="10"/>
      <c r="AE774" s="10"/>
      <c r="AF774" s="10"/>
      <c r="AG774" s="10"/>
      <c r="AH774" s="10"/>
      <c r="AI774" s="10"/>
      <c r="AJ774" s="10"/>
      <c r="AK774" s="10"/>
      <c r="AL774" s="10"/>
      <c r="AM774" s="10"/>
      <c r="AN774" s="10"/>
      <c r="AO774" s="10"/>
      <c r="AW774" s="143"/>
      <c r="AZ774" s="10"/>
      <c r="BD774" s="10"/>
      <c r="BL774" s="10"/>
      <c r="BO774" s="10"/>
      <c r="BR774" s="10"/>
      <c r="BS774" s="10"/>
      <c r="BT774" s="10"/>
      <c r="BV774" s="10"/>
      <c r="BW774" s="10"/>
    </row>
    <row r="775">
      <c r="A775" s="10"/>
      <c r="B775" s="10"/>
      <c r="C775" s="10"/>
      <c r="D775" s="10"/>
      <c r="E775" s="10"/>
      <c r="F775" s="10"/>
      <c r="G775" s="10"/>
      <c r="H775" s="10"/>
      <c r="K775" s="10"/>
      <c r="L775" s="10"/>
      <c r="V775" s="10"/>
      <c r="W775" s="10"/>
      <c r="X775" s="10"/>
      <c r="Y775" s="10"/>
      <c r="Z775" s="10"/>
      <c r="AA775" s="10"/>
      <c r="AB775" s="10"/>
      <c r="AC775" s="10"/>
      <c r="AD775" s="10"/>
      <c r="AE775" s="10"/>
      <c r="AF775" s="10"/>
      <c r="AG775" s="10"/>
      <c r="AH775" s="10"/>
      <c r="AI775" s="10"/>
      <c r="AJ775" s="10"/>
      <c r="AK775" s="10"/>
      <c r="AL775" s="10"/>
      <c r="AM775" s="10"/>
      <c r="AN775" s="10"/>
      <c r="AO775" s="10"/>
      <c r="AW775" s="143"/>
      <c r="AZ775" s="10"/>
      <c r="BD775" s="10"/>
      <c r="BL775" s="10"/>
      <c r="BO775" s="10"/>
      <c r="BR775" s="10"/>
      <c r="BS775" s="10"/>
      <c r="BT775" s="10"/>
      <c r="BV775" s="10"/>
      <c r="BW775" s="10"/>
    </row>
    <row r="776">
      <c r="A776" s="10"/>
      <c r="B776" s="10"/>
      <c r="C776" s="10"/>
      <c r="D776" s="10"/>
      <c r="E776" s="10"/>
      <c r="F776" s="10"/>
      <c r="G776" s="10"/>
      <c r="H776" s="10"/>
      <c r="J776" s="10"/>
      <c r="K776" s="10"/>
      <c r="L776" s="10"/>
      <c r="U776" s="10"/>
      <c r="V776" s="10"/>
      <c r="W776" s="10"/>
      <c r="X776" s="10"/>
      <c r="Y776" s="10"/>
      <c r="Z776" s="10"/>
      <c r="AA776" s="10"/>
      <c r="AB776" s="10"/>
      <c r="AC776" s="10"/>
      <c r="AD776" s="10"/>
      <c r="AE776" s="10"/>
      <c r="AF776" s="10"/>
      <c r="AG776" s="10"/>
      <c r="AH776" s="10"/>
      <c r="AI776" s="10"/>
      <c r="AJ776" s="10"/>
      <c r="AK776" s="10"/>
      <c r="AL776" s="10"/>
      <c r="AM776" s="10"/>
      <c r="AN776" s="10"/>
      <c r="AO776" s="10"/>
      <c r="AW776" s="143"/>
      <c r="AZ776" s="10"/>
      <c r="BD776" s="10"/>
      <c r="BE776" s="10"/>
      <c r="BF776" s="10"/>
      <c r="BG776" s="10"/>
      <c r="BH776" s="10"/>
      <c r="BI776" s="10"/>
      <c r="BJ776" s="10"/>
      <c r="BK776" s="10"/>
      <c r="BS776" s="10"/>
      <c r="BT776" s="10"/>
      <c r="BV776" s="10"/>
      <c r="BW776" s="10"/>
    </row>
    <row r="777">
      <c r="A777" s="10"/>
      <c r="B777" s="10"/>
      <c r="C777" s="10"/>
      <c r="D777" s="10"/>
      <c r="E777" s="10"/>
      <c r="F777" s="10"/>
      <c r="G777" s="10"/>
      <c r="H777" s="10"/>
      <c r="J777" s="10"/>
      <c r="K777" s="10"/>
      <c r="L777" s="10"/>
      <c r="P777" s="10"/>
      <c r="U777" s="10"/>
      <c r="V777" s="10"/>
      <c r="W777" s="10"/>
      <c r="X777" s="10"/>
      <c r="Y777" s="10"/>
      <c r="Z777" s="10"/>
      <c r="AA777" s="10"/>
      <c r="AB777" s="10"/>
      <c r="AC777" s="10"/>
      <c r="AD777" s="10"/>
      <c r="AE777" s="10"/>
      <c r="AF777" s="10"/>
      <c r="AG777" s="10"/>
      <c r="AH777" s="10"/>
      <c r="AI777" s="10"/>
      <c r="AJ777" s="10"/>
      <c r="AK777" s="10"/>
      <c r="AL777" s="10"/>
      <c r="AM777" s="10"/>
      <c r="AN777" s="10"/>
      <c r="AO777" s="10"/>
      <c r="AW777" s="143"/>
      <c r="BD777" s="10"/>
      <c r="BE777" s="10"/>
      <c r="BF777" s="10"/>
      <c r="BG777" s="10"/>
      <c r="BH777" s="10"/>
      <c r="BI777" s="10"/>
      <c r="BJ777" s="10"/>
      <c r="BK777" s="10"/>
      <c r="BL777" s="10"/>
      <c r="BO777" s="10"/>
      <c r="BR777" s="10"/>
      <c r="BS777" s="10"/>
      <c r="BT777" s="10"/>
      <c r="BV777" s="10"/>
      <c r="BW777" s="10"/>
    </row>
    <row r="778">
      <c r="A778" s="10"/>
      <c r="B778" s="10"/>
      <c r="C778" s="10"/>
      <c r="D778" s="10"/>
      <c r="E778" s="10"/>
      <c r="F778" s="10"/>
      <c r="G778" s="10"/>
      <c r="H778" s="10"/>
      <c r="J778" s="10"/>
      <c r="K778" s="10"/>
      <c r="L778" s="10"/>
      <c r="U778" s="10"/>
      <c r="V778" s="10"/>
      <c r="W778" s="10"/>
      <c r="X778" s="10"/>
      <c r="Y778" s="10"/>
      <c r="Z778" s="10"/>
      <c r="AA778" s="10"/>
      <c r="AB778" s="10"/>
      <c r="AC778" s="10"/>
      <c r="AD778" s="10"/>
      <c r="AE778" s="10"/>
      <c r="AF778" s="10"/>
      <c r="AG778" s="10"/>
      <c r="AH778" s="10"/>
      <c r="AI778" s="10"/>
      <c r="AJ778" s="10"/>
      <c r="AK778" s="10"/>
      <c r="AL778" s="10"/>
      <c r="AM778" s="10"/>
      <c r="AN778" s="10"/>
      <c r="AO778" s="10"/>
      <c r="AW778" s="143"/>
      <c r="BD778" s="10"/>
      <c r="BE778" s="10"/>
      <c r="BF778" s="10"/>
      <c r="BG778" s="10"/>
      <c r="BH778" s="10"/>
      <c r="BI778" s="10"/>
      <c r="BJ778" s="10"/>
      <c r="BK778" s="10"/>
      <c r="BS778" s="10"/>
      <c r="BT778" s="10"/>
      <c r="BV778" s="10"/>
      <c r="BW778" s="10"/>
    </row>
    <row r="779">
      <c r="A779" s="10"/>
      <c r="B779" s="10"/>
      <c r="C779" s="10"/>
      <c r="D779" s="10"/>
      <c r="E779" s="10"/>
      <c r="F779" s="10"/>
      <c r="G779" s="10"/>
      <c r="H779" s="10"/>
      <c r="J779" s="10"/>
      <c r="K779" s="10"/>
      <c r="L779" s="10"/>
      <c r="U779" s="10"/>
      <c r="V779" s="10"/>
      <c r="W779" s="10"/>
      <c r="X779" s="10"/>
      <c r="Y779" s="10"/>
      <c r="Z779" s="10"/>
      <c r="AA779" s="10"/>
      <c r="AB779" s="10"/>
      <c r="AC779" s="10"/>
      <c r="AD779" s="10"/>
      <c r="AE779" s="10"/>
      <c r="AF779" s="10"/>
      <c r="AG779" s="10"/>
      <c r="AH779" s="10"/>
      <c r="AI779" s="10"/>
      <c r="AJ779" s="10"/>
      <c r="AK779" s="10"/>
      <c r="AL779" s="10"/>
      <c r="AM779" s="10"/>
      <c r="AN779" s="10"/>
      <c r="AO779" s="10"/>
      <c r="AW779" s="143"/>
      <c r="BD779" s="10"/>
      <c r="BE779" s="10"/>
      <c r="BF779" s="10"/>
      <c r="BG779" s="10"/>
      <c r="BH779" s="10"/>
      <c r="BI779" s="10"/>
      <c r="BJ779" s="10"/>
      <c r="BK779" s="10"/>
      <c r="BS779" s="10"/>
      <c r="BT779" s="10"/>
      <c r="BV779" s="10"/>
      <c r="BW779" s="10"/>
    </row>
    <row r="780">
      <c r="A780" s="10"/>
      <c r="B780" s="10"/>
      <c r="C780" s="10"/>
      <c r="D780" s="10"/>
      <c r="E780" s="10"/>
      <c r="F780" s="10"/>
      <c r="G780" s="10"/>
      <c r="H780" s="10"/>
      <c r="J780" s="10"/>
      <c r="K780" s="10"/>
      <c r="L780" s="10"/>
      <c r="U780" s="10"/>
      <c r="V780" s="10"/>
      <c r="W780" s="10"/>
      <c r="X780" s="10"/>
      <c r="Y780" s="10"/>
      <c r="Z780" s="10"/>
      <c r="AA780" s="10"/>
      <c r="AB780" s="10"/>
      <c r="AC780" s="10"/>
      <c r="AD780" s="10"/>
      <c r="AE780" s="10"/>
      <c r="AF780" s="10"/>
      <c r="AG780" s="10"/>
      <c r="AH780" s="10"/>
      <c r="AI780" s="10"/>
      <c r="AJ780" s="10"/>
      <c r="AK780" s="10"/>
      <c r="AL780" s="10"/>
      <c r="AM780" s="10"/>
      <c r="AN780" s="10"/>
      <c r="AO780" s="10"/>
      <c r="AW780" s="143"/>
      <c r="BD780" s="10"/>
      <c r="BE780" s="10"/>
      <c r="BF780" s="10"/>
      <c r="BG780" s="10"/>
      <c r="BH780" s="10"/>
      <c r="BI780" s="10"/>
      <c r="BJ780" s="10"/>
      <c r="BK780" s="10"/>
      <c r="BS780" s="10"/>
      <c r="BT780" s="10"/>
      <c r="BV780" s="10"/>
      <c r="BW780" s="10"/>
    </row>
    <row r="781">
      <c r="A781" s="10"/>
      <c r="B781" s="10"/>
      <c r="C781" s="10"/>
      <c r="D781" s="10"/>
      <c r="E781" s="10"/>
      <c r="F781" s="10"/>
      <c r="G781" s="10"/>
      <c r="H781" s="10"/>
      <c r="J781" s="10"/>
      <c r="K781" s="10"/>
      <c r="L781" s="10"/>
      <c r="U781" s="10"/>
      <c r="V781" s="10"/>
      <c r="W781" s="10"/>
      <c r="X781" s="10"/>
      <c r="Y781" s="10"/>
      <c r="Z781" s="10"/>
      <c r="AA781" s="10"/>
      <c r="AB781" s="10"/>
      <c r="AC781" s="10"/>
      <c r="AD781" s="10"/>
      <c r="AE781" s="10"/>
      <c r="AF781" s="10"/>
      <c r="AG781" s="10"/>
      <c r="AH781" s="10"/>
      <c r="AI781" s="10"/>
      <c r="AJ781" s="10"/>
      <c r="AK781" s="10"/>
      <c r="AL781" s="10"/>
      <c r="AM781" s="10"/>
      <c r="AN781" s="10"/>
      <c r="AO781" s="10"/>
      <c r="AW781" s="143"/>
      <c r="BD781" s="10"/>
      <c r="BE781" s="10"/>
      <c r="BF781" s="10"/>
      <c r="BG781" s="10"/>
      <c r="BH781" s="10"/>
      <c r="BI781" s="10"/>
      <c r="BJ781" s="10"/>
      <c r="BK781" s="10"/>
      <c r="BS781" s="10"/>
      <c r="BT781" s="10"/>
      <c r="BV781" s="10"/>
      <c r="BW781" s="10"/>
    </row>
    <row r="782">
      <c r="A782" s="10"/>
      <c r="B782" s="10"/>
      <c r="C782" s="10"/>
      <c r="D782" s="10"/>
      <c r="E782" s="10"/>
      <c r="F782" s="10"/>
      <c r="G782" s="10"/>
      <c r="H782" s="10"/>
      <c r="J782" s="10"/>
      <c r="K782" s="10"/>
      <c r="L782" s="10"/>
      <c r="U782" s="10"/>
      <c r="V782" s="10"/>
      <c r="W782" s="10"/>
      <c r="X782" s="10"/>
      <c r="Y782" s="10"/>
      <c r="Z782" s="10"/>
      <c r="AA782" s="10"/>
      <c r="AB782" s="10"/>
      <c r="AC782" s="10"/>
      <c r="AD782" s="10"/>
      <c r="AE782" s="10"/>
      <c r="AF782" s="10"/>
      <c r="AG782" s="10"/>
      <c r="AH782" s="10"/>
      <c r="AI782" s="10"/>
      <c r="AJ782" s="10"/>
      <c r="AK782" s="10"/>
      <c r="AL782" s="10"/>
      <c r="AM782" s="10"/>
      <c r="AN782" s="10"/>
      <c r="AO782" s="10"/>
      <c r="AW782" s="143"/>
      <c r="BD782" s="10"/>
      <c r="BE782" s="10"/>
      <c r="BF782" s="10"/>
      <c r="BG782" s="10"/>
      <c r="BH782" s="10"/>
      <c r="BI782" s="10"/>
      <c r="BJ782" s="10"/>
      <c r="BK782" s="10"/>
      <c r="BS782" s="10"/>
      <c r="BT782" s="10"/>
      <c r="BV782" s="10"/>
      <c r="BW782" s="10"/>
    </row>
    <row r="783">
      <c r="A783" s="10"/>
      <c r="B783" s="10"/>
      <c r="C783" s="10"/>
      <c r="D783" s="10"/>
      <c r="E783" s="10"/>
      <c r="F783" s="10"/>
      <c r="G783" s="10"/>
      <c r="H783" s="10"/>
      <c r="J783" s="10"/>
      <c r="K783" s="10"/>
      <c r="L783" s="10"/>
      <c r="V783" s="10"/>
      <c r="W783" s="10"/>
      <c r="X783" s="10"/>
      <c r="Y783" s="10"/>
      <c r="Z783" s="10"/>
      <c r="AA783" s="10"/>
      <c r="AB783" s="10"/>
      <c r="AC783" s="10"/>
      <c r="AD783" s="10"/>
      <c r="AE783" s="10"/>
      <c r="AF783" s="10"/>
      <c r="AG783" s="10"/>
      <c r="AH783" s="10"/>
      <c r="AI783" s="10"/>
      <c r="AJ783" s="10"/>
      <c r="AK783" s="10"/>
      <c r="AL783" s="10"/>
      <c r="AM783" s="10"/>
      <c r="AO783" s="10"/>
      <c r="AW783" s="143"/>
      <c r="BD783" s="10"/>
      <c r="BE783" s="10"/>
      <c r="BF783" s="10"/>
      <c r="BG783" s="10"/>
      <c r="BH783" s="10"/>
      <c r="BI783" s="10"/>
      <c r="BJ783" s="10"/>
      <c r="BK783" s="10"/>
      <c r="BL783" s="10"/>
      <c r="BM783" s="10"/>
      <c r="BN783" s="10"/>
      <c r="BO783" s="10"/>
      <c r="BP783" s="10"/>
      <c r="BQ783" s="10"/>
      <c r="BR783" s="10"/>
      <c r="BS783" s="10"/>
      <c r="BT783" s="10"/>
      <c r="BV783" s="10"/>
      <c r="BW783" s="10"/>
    </row>
    <row r="784">
      <c r="A784" s="10"/>
      <c r="B784" s="10"/>
      <c r="C784" s="10"/>
      <c r="D784" s="10"/>
      <c r="E784" s="10"/>
      <c r="F784" s="10"/>
      <c r="G784" s="10"/>
      <c r="H784" s="10"/>
      <c r="J784" s="10"/>
      <c r="K784" s="10"/>
      <c r="L784" s="10"/>
      <c r="V784" s="10"/>
      <c r="W784" s="10"/>
      <c r="X784" s="10"/>
      <c r="Y784" s="10"/>
      <c r="Z784" s="10"/>
      <c r="AA784" s="10"/>
      <c r="AB784" s="10"/>
      <c r="AC784" s="10"/>
      <c r="AD784" s="10"/>
      <c r="AE784" s="10"/>
      <c r="AF784" s="10"/>
      <c r="AG784" s="10"/>
      <c r="AH784" s="10"/>
      <c r="AI784" s="10"/>
      <c r="AJ784" s="10"/>
      <c r="AK784" s="10"/>
      <c r="AL784" s="10"/>
      <c r="AM784" s="10"/>
      <c r="AO784" s="10"/>
      <c r="AW784" s="143"/>
      <c r="BD784" s="10"/>
      <c r="BE784" s="10"/>
      <c r="BF784" s="10"/>
      <c r="BG784" s="10"/>
      <c r="BH784" s="10"/>
      <c r="BI784" s="10"/>
      <c r="BJ784" s="10"/>
      <c r="BK784" s="10"/>
      <c r="BL784" s="10"/>
      <c r="BO784" s="10"/>
      <c r="BR784" s="10"/>
      <c r="BS784" s="10"/>
      <c r="BT784" s="10"/>
      <c r="BV784" s="10"/>
      <c r="BW784" s="10"/>
    </row>
    <row r="785">
      <c r="A785" s="10"/>
      <c r="B785" s="10"/>
      <c r="C785" s="10"/>
      <c r="D785" s="10"/>
      <c r="E785" s="10"/>
      <c r="F785" s="10"/>
      <c r="G785" s="10"/>
      <c r="H785" s="10"/>
      <c r="J785" s="10"/>
      <c r="K785" s="10"/>
      <c r="L785" s="10"/>
      <c r="U785" s="10"/>
      <c r="V785" s="10"/>
      <c r="W785" s="10"/>
      <c r="X785" s="10"/>
      <c r="Y785" s="10"/>
      <c r="Z785" s="10"/>
      <c r="AA785" s="10"/>
      <c r="AB785" s="10"/>
      <c r="AC785" s="10"/>
      <c r="AD785" s="10"/>
      <c r="AE785" s="10"/>
      <c r="AF785" s="10"/>
      <c r="AG785" s="10"/>
      <c r="AH785" s="10"/>
      <c r="AI785" s="10"/>
      <c r="AJ785" s="10"/>
      <c r="AK785" s="10"/>
      <c r="AL785" s="10"/>
      <c r="AM785" s="10"/>
      <c r="AO785" s="10"/>
      <c r="AW785" s="143"/>
      <c r="BD785" s="10"/>
      <c r="BE785" s="10"/>
      <c r="BF785" s="10"/>
      <c r="BG785" s="10"/>
      <c r="BH785" s="10"/>
      <c r="BI785" s="10"/>
      <c r="BJ785" s="10"/>
      <c r="BK785" s="10"/>
      <c r="BS785" s="10"/>
      <c r="BT785" s="10"/>
      <c r="BV785" s="10"/>
      <c r="BW785" s="10"/>
    </row>
    <row r="786">
      <c r="A786" s="10"/>
      <c r="B786" s="10"/>
      <c r="C786" s="10"/>
      <c r="D786" s="10"/>
      <c r="E786" s="10"/>
      <c r="F786" s="10"/>
      <c r="G786" s="10"/>
      <c r="H786" s="10"/>
      <c r="J786" s="10"/>
      <c r="K786" s="10"/>
      <c r="L786" s="10"/>
      <c r="V786" s="10"/>
      <c r="W786" s="10"/>
      <c r="X786" s="10"/>
      <c r="Y786" s="10"/>
      <c r="Z786" s="10"/>
      <c r="AA786" s="10"/>
      <c r="AB786" s="10"/>
      <c r="AC786" s="10"/>
      <c r="AD786" s="10"/>
      <c r="AE786" s="10"/>
      <c r="AF786" s="10"/>
      <c r="AG786" s="10"/>
      <c r="AH786" s="10"/>
      <c r="AI786" s="10"/>
      <c r="AJ786" s="10"/>
      <c r="AK786" s="10"/>
      <c r="AL786" s="10"/>
      <c r="AM786" s="10"/>
      <c r="AN786" s="10"/>
      <c r="AO786" s="10"/>
      <c r="AW786" s="143"/>
      <c r="AZ786" s="10"/>
      <c r="BD786" s="10"/>
      <c r="BL786" s="10"/>
      <c r="BO786" s="10"/>
      <c r="BR786" s="10"/>
      <c r="BS786" s="10"/>
      <c r="BT786" s="10"/>
      <c r="BV786" s="10"/>
      <c r="BW786" s="10"/>
    </row>
    <row r="787">
      <c r="A787" s="10"/>
      <c r="B787" s="10"/>
      <c r="C787" s="10"/>
      <c r="D787" s="10"/>
      <c r="E787" s="10"/>
      <c r="F787" s="10"/>
      <c r="G787" s="10"/>
      <c r="H787" s="10"/>
      <c r="J787" s="10"/>
      <c r="K787" s="10"/>
      <c r="L787" s="10"/>
      <c r="V787" s="10"/>
      <c r="W787" s="10"/>
      <c r="X787" s="10"/>
      <c r="Y787" s="10"/>
      <c r="Z787" s="10"/>
      <c r="AA787" s="10"/>
      <c r="AB787" s="10"/>
      <c r="AC787" s="10"/>
      <c r="AD787" s="10"/>
      <c r="AE787" s="10"/>
      <c r="AF787" s="10"/>
      <c r="AG787" s="10"/>
      <c r="AH787" s="10"/>
      <c r="AI787" s="10"/>
      <c r="AJ787" s="10"/>
      <c r="AK787" s="10"/>
      <c r="AL787" s="10"/>
      <c r="AM787" s="10"/>
      <c r="AO787" s="10"/>
      <c r="AW787" s="143"/>
      <c r="AZ787" s="10"/>
      <c r="BD787" s="10"/>
      <c r="BL787" s="10"/>
      <c r="BO787" s="10"/>
      <c r="BR787" s="10"/>
      <c r="BS787" s="10"/>
      <c r="BT787" s="10"/>
      <c r="BV787" s="10"/>
      <c r="BW787" s="10"/>
    </row>
    <row r="788">
      <c r="A788" s="10"/>
      <c r="B788" s="10"/>
      <c r="C788" s="10"/>
      <c r="D788" s="10"/>
      <c r="E788" s="10"/>
      <c r="F788" s="10"/>
      <c r="G788" s="10"/>
      <c r="H788" s="10"/>
      <c r="J788" s="10"/>
      <c r="K788" s="10"/>
      <c r="L788" s="10"/>
      <c r="U788" s="10"/>
      <c r="V788" s="10"/>
      <c r="W788" s="10"/>
      <c r="X788" s="10"/>
      <c r="Y788" s="10"/>
      <c r="Z788" s="10"/>
      <c r="AA788" s="10"/>
      <c r="AB788" s="10"/>
      <c r="AC788" s="10"/>
      <c r="AD788" s="10"/>
      <c r="AE788" s="10"/>
      <c r="AF788" s="10"/>
      <c r="AG788" s="10"/>
      <c r="AH788" s="10"/>
      <c r="AI788" s="10"/>
      <c r="AJ788" s="10"/>
      <c r="AK788" s="10"/>
      <c r="AL788" s="10"/>
      <c r="AM788" s="10"/>
      <c r="AN788" s="10"/>
      <c r="AO788" s="10"/>
      <c r="AW788" s="143"/>
      <c r="AZ788" s="10"/>
      <c r="BD788" s="10"/>
      <c r="BE788" s="10"/>
      <c r="BF788" s="10"/>
      <c r="BG788" s="10"/>
      <c r="BH788" s="10"/>
      <c r="BI788" s="10"/>
      <c r="BJ788" s="10"/>
      <c r="BK788" s="10"/>
      <c r="BS788" s="10"/>
      <c r="BT788" s="10"/>
      <c r="BV788" s="10"/>
      <c r="BW788" s="10"/>
    </row>
    <row r="789">
      <c r="A789" s="10"/>
      <c r="B789" s="10"/>
      <c r="C789" s="10"/>
      <c r="D789" s="10"/>
      <c r="E789" s="10"/>
      <c r="F789" s="10"/>
      <c r="G789" s="10"/>
      <c r="H789" s="10"/>
      <c r="J789" s="10"/>
      <c r="K789" s="10"/>
      <c r="L789" s="10"/>
      <c r="P789" s="10"/>
      <c r="V789" s="10"/>
      <c r="W789" s="10"/>
      <c r="X789" s="10"/>
      <c r="Y789" s="10"/>
      <c r="Z789" s="10"/>
      <c r="AA789" s="10"/>
      <c r="AB789" s="10"/>
      <c r="AC789" s="10"/>
      <c r="AD789" s="10"/>
      <c r="AE789" s="10"/>
      <c r="AF789" s="10"/>
      <c r="AG789" s="10"/>
      <c r="AH789" s="10"/>
      <c r="AI789" s="10"/>
      <c r="AJ789" s="10"/>
      <c r="AK789" s="10"/>
      <c r="AL789" s="10"/>
      <c r="AM789" s="10"/>
      <c r="AO789" s="10"/>
      <c r="AW789" s="143"/>
      <c r="BD789" s="10"/>
      <c r="BE789" s="10"/>
      <c r="BF789" s="10"/>
      <c r="BG789" s="10"/>
      <c r="BH789" s="10"/>
      <c r="BI789" s="10"/>
      <c r="BJ789" s="10"/>
      <c r="BK789" s="10"/>
      <c r="BL789" s="10"/>
      <c r="BO789" s="10"/>
      <c r="BR789" s="10"/>
      <c r="BS789" s="10"/>
      <c r="BT789" s="10"/>
      <c r="BV789" s="10"/>
      <c r="BW789" s="10"/>
    </row>
    <row r="790">
      <c r="A790" s="10"/>
      <c r="B790" s="10"/>
      <c r="C790" s="10"/>
      <c r="D790" s="10"/>
      <c r="E790" s="10"/>
      <c r="F790" s="10"/>
      <c r="G790" s="10"/>
      <c r="H790" s="10"/>
      <c r="J790" s="10"/>
      <c r="K790" s="10"/>
      <c r="L790" s="10"/>
      <c r="U790" s="10"/>
      <c r="V790" s="10"/>
      <c r="W790" s="10"/>
      <c r="X790" s="10"/>
      <c r="Y790" s="10"/>
      <c r="Z790" s="10"/>
      <c r="AA790" s="10"/>
      <c r="AB790" s="10"/>
      <c r="AC790" s="10"/>
      <c r="AD790" s="10"/>
      <c r="AE790" s="10"/>
      <c r="AF790" s="10"/>
      <c r="AG790" s="10"/>
      <c r="AH790" s="10"/>
      <c r="AI790" s="10"/>
      <c r="AJ790" s="10"/>
      <c r="AK790" s="10"/>
      <c r="AL790" s="10"/>
      <c r="AM790" s="10"/>
      <c r="AO790" s="10"/>
      <c r="AW790" s="143"/>
      <c r="BD790" s="10"/>
      <c r="BE790" s="10"/>
      <c r="BF790" s="10"/>
      <c r="BG790" s="10"/>
      <c r="BH790" s="10"/>
      <c r="BI790" s="10"/>
      <c r="BJ790" s="10"/>
      <c r="BK790" s="10"/>
      <c r="BS790" s="10"/>
      <c r="BT790" s="10"/>
      <c r="BV790" s="10"/>
      <c r="BW790" s="10"/>
    </row>
    <row r="791">
      <c r="A791" s="10"/>
      <c r="B791" s="10"/>
      <c r="C791" s="10"/>
      <c r="D791" s="10"/>
      <c r="E791" s="10"/>
      <c r="F791" s="10"/>
      <c r="G791" s="10"/>
      <c r="H791" s="10"/>
      <c r="J791" s="10"/>
      <c r="K791" s="10"/>
      <c r="L791" s="10"/>
      <c r="U791" s="10"/>
      <c r="V791" s="10"/>
      <c r="W791" s="10"/>
      <c r="X791" s="10"/>
      <c r="Y791" s="10"/>
      <c r="Z791" s="10"/>
      <c r="AA791" s="10"/>
      <c r="AB791" s="10"/>
      <c r="AC791" s="10"/>
      <c r="AD791" s="10"/>
      <c r="AE791" s="10"/>
      <c r="AF791" s="10"/>
      <c r="AG791" s="10"/>
      <c r="AH791" s="10"/>
      <c r="AI791" s="10"/>
      <c r="AJ791" s="10"/>
      <c r="AK791" s="10"/>
      <c r="AL791" s="10"/>
      <c r="AM791" s="10"/>
      <c r="AO791" s="10"/>
      <c r="AW791" s="143"/>
      <c r="BD791" s="10"/>
      <c r="BE791" s="10"/>
      <c r="BF791" s="10"/>
      <c r="BG791" s="10"/>
      <c r="BH791" s="10"/>
      <c r="BI791" s="10"/>
      <c r="BJ791" s="10"/>
      <c r="BK791" s="10"/>
      <c r="BS791" s="10"/>
      <c r="BT791" s="10"/>
      <c r="BV791" s="10"/>
      <c r="BW791" s="10"/>
    </row>
    <row r="792">
      <c r="A792" s="10"/>
      <c r="B792" s="10"/>
      <c r="C792" s="10"/>
      <c r="D792" s="10"/>
      <c r="E792" s="10"/>
      <c r="F792" s="10"/>
      <c r="G792" s="10"/>
      <c r="H792" s="10"/>
      <c r="J792" s="10"/>
      <c r="K792" s="10"/>
      <c r="L792" s="10"/>
      <c r="U792" s="10"/>
      <c r="V792" s="10"/>
      <c r="W792" s="10"/>
      <c r="X792" s="10"/>
      <c r="Y792" s="10"/>
      <c r="Z792" s="10"/>
      <c r="AA792" s="10"/>
      <c r="AB792" s="10"/>
      <c r="AC792" s="10"/>
      <c r="AD792" s="10"/>
      <c r="AE792" s="10"/>
      <c r="AF792" s="10"/>
      <c r="AG792" s="10"/>
      <c r="AH792" s="10"/>
      <c r="AI792" s="10"/>
      <c r="AJ792" s="10"/>
      <c r="AK792" s="10"/>
      <c r="AL792" s="10"/>
      <c r="AM792" s="10"/>
      <c r="AO792" s="10"/>
      <c r="AW792" s="143"/>
      <c r="BD792" s="10"/>
      <c r="BE792" s="10"/>
      <c r="BF792" s="10"/>
      <c r="BG792" s="10"/>
      <c r="BH792" s="10"/>
      <c r="BI792" s="10"/>
      <c r="BJ792" s="10"/>
      <c r="BK792" s="10"/>
      <c r="BS792" s="10"/>
      <c r="BT792" s="10"/>
      <c r="BV792" s="10"/>
      <c r="BW792" s="10"/>
    </row>
    <row r="793">
      <c r="A793" s="10"/>
      <c r="B793" s="10"/>
      <c r="C793" s="10"/>
      <c r="D793" s="10"/>
      <c r="E793" s="10"/>
      <c r="F793" s="10"/>
      <c r="G793" s="10"/>
      <c r="H793" s="10"/>
      <c r="J793" s="10"/>
      <c r="K793" s="10"/>
      <c r="L793" s="10"/>
      <c r="U793" s="10"/>
      <c r="V793" s="10"/>
      <c r="W793" s="10"/>
      <c r="X793" s="10"/>
      <c r="Y793" s="10"/>
      <c r="Z793" s="10"/>
      <c r="AA793" s="10"/>
      <c r="AB793" s="10"/>
      <c r="AC793" s="10"/>
      <c r="AD793" s="10"/>
      <c r="AE793" s="10"/>
      <c r="AF793" s="10"/>
      <c r="AG793" s="10"/>
      <c r="AH793" s="10"/>
      <c r="AI793" s="10"/>
      <c r="AJ793" s="10"/>
      <c r="AK793" s="10"/>
      <c r="AL793" s="10"/>
      <c r="AM793" s="10"/>
      <c r="AO793" s="10"/>
      <c r="AW793" s="143"/>
      <c r="BD793" s="10"/>
      <c r="BE793" s="10"/>
      <c r="BF793" s="10"/>
      <c r="BG793" s="10"/>
      <c r="BH793" s="10"/>
      <c r="BI793" s="10"/>
      <c r="BJ793" s="10"/>
      <c r="BK793" s="10"/>
      <c r="BS793" s="10"/>
      <c r="BT793" s="10"/>
      <c r="BV793" s="10"/>
      <c r="BW793" s="10"/>
    </row>
    <row r="794">
      <c r="A794" s="10"/>
      <c r="B794" s="10"/>
      <c r="C794" s="10"/>
      <c r="D794" s="10"/>
      <c r="E794" s="10"/>
      <c r="F794" s="10"/>
      <c r="G794" s="10"/>
      <c r="H794" s="10"/>
      <c r="J794" s="10"/>
      <c r="K794" s="10"/>
      <c r="L794" s="10"/>
      <c r="U794" s="10"/>
      <c r="V794" s="10"/>
      <c r="W794" s="10"/>
      <c r="X794" s="10"/>
      <c r="Y794" s="10"/>
      <c r="Z794" s="10"/>
      <c r="AA794" s="10"/>
      <c r="AB794" s="10"/>
      <c r="AC794" s="10"/>
      <c r="AD794" s="10"/>
      <c r="AE794" s="10"/>
      <c r="AF794" s="10"/>
      <c r="AG794" s="10"/>
      <c r="AH794" s="10"/>
      <c r="AI794" s="10"/>
      <c r="AJ794" s="10"/>
      <c r="AK794" s="10"/>
      <c r="AL794" s="10"/>
      <c r="AM794" s="10"/>
      <c r="AO794" s="10"/>
      <c r="AW794" s="143"/>
      <c r="BD794" s="10"/>
      <c r="BE794" s="10"/>
      <c r="BF794" s="10"/>
      <c r="BG794" s="10"/>
      <c r="BH794" s="10"/>
      <c r="BI794" s="10"/>
      <c r="BJ794" s="10"/>
      <c r="BK794" s="10"/>
      <c r="BS794" s="10"/>
      <c r="BT794" s="10"/>
      <c r="BV794" s="10"/>
      <c r="BW794" s="10"/>
    </row>
    <row r="795">
      <c r="A795" s="10"/>
      <c r="B795" s="10"/>
      <c r="C795" s="10"/>
      <c r="D795" s="10"/>
      <c r="E795" s="10"/>
      <c r="F795" s="10"/>
      <c r="G795" s="10"/>
      <c r="H795" s="10"/>
      <c r="J795" s="10"/>
      <c r="K795" s="10"/>
      <c r="L795" s="10"/>
      <c r="O795" s="10"/>
      <c r="Q795" s="10"/>
      <c r="R795" s="10"/>
      <c r="V795" s="10"/>
      <c r="W795" s="10"/>
      <c r="X795" s="10"/>
      <c r="Y795" s="10"/>
      <c r="Z795" s="10"/>
      <c r="AA795" s="10"/>
      <c r="AB795" s="10"/>
      <c r="AC795" s="10"/>
      <c r="AD795" s="10"/>
      <c r="AE795" s="10"/>
      <c r="AF795" s="10"/>
      <c r="AG795" s="10"/>
      <c r="AH795" s="10"/>
      <c r="AI795" s="10"/>
      <c r="AJ795" s="10"/>
      <c r="AK795" s="10"/>
      <c r="AL795" s="10"/>
      <c r="AM795" s="10"/>
      <c r="AN795" s="10"/>
      <c r="AO795" s="10"/>
      <c r="AW795" s="143"/>
      <c r="BD795" s="10"/>
      <c r="BE795" s="10"/>
      <c r="BF795" s="10"/>
      <c r="BG795" s="10"/>
      <c r="BH795" s="10"/>
      <c r="BI795" s="10"/>
      <c r="BJ795" s="10"/>
      <c r="BK795" s="10"/>
      <c r="BL795" s="10"/>
      <c r="BO795" s="10"/>
      <c r="BR795" s="10"/>
      <c r="BS795" s="10"/>
      <c r="BT795" s="10"/>
      <c r="BV795" s="10"/>
      <c r="BW795" s="10"/>
    </row>
    <row r="796">
      <c r="A796" s="10"/>
      <c r="B796" s="10"/>
      <c r="C796" s="10"/>
      <c r="D796" s="10"/>
      <c r="E796" s="10"/>
      <c r="F796" s="10"/>
      <c r="G796" s="10"/>
      <c r="H796" s="10"/>
      <c r="K796" s="10"/>
      <c r="L796" s="10"/>
      <c r="V796" s="10"/>
      <c r="W796" s="10"/>
      <c r="Y796" s="10"/>
      <c r="Z796" s="10"/>
      <c r="AA796" s="10"/>
      <c r="AB796" s="10"/>
      <c r="AC796" s="10"/>
      <c r="AD796" s="10"/>
      <c r="AE796" s="10"/>
      <c r="AF796" s="10"/>
      <c r="AG796" s="10"/>
      <c r="AH796" s="10"/>
      <c r="AI796" s="10"/>
      <c r="AJ796" s="10"/>
      <c r="AK796" s="10"/>
      <c r="AL796" s="10"/>
      <c r="AM796" s="10"/>
      <c r="AN796" s="10"/>
      <c r="AO796" s="10"/>
      <c r="AW796" s="143"/>
      <c r="BD796" s="10"/>
      <c r="BE796" s="10"/>
      <c r="BF796" s="10"/>
      <c r="BG796" s="10"/>
      <c r="BH796" s="10"/>
      <c r="BI796" s="10"/>
      <c r="BJ796" s="10"/>
      <c r="BK796" s="10"/>
      <c r="BS796" s="10"/>
      <c r="BT796" s="10"/>
      <c r="BV796" s="10"/>
      <c r="BW796" s="10"/>
    </row>
    <row r="797">
      <c r="A797" s="10"/>
      <c r="B797" s="10"/>
      <c r="C797" s="10"/>
      <c r="D797" s="10"/>
      <c r="E797" s="10"/>
      <c r="F797" s="10"/>
      <c r="G797" s="10"/>
      <c r="H797" s="10"/>
      <c r="K797" s="10"/>
      <c r="L797" s="10"/>
      <c r="V797" s="10"/>
      <c r="W797" s="10"/>
      <c r="X797" s="10"/>
      <c r="Y797" s="10"/>
      <c r="Z797" s="10"/>
      <c r="AA797" s="10"/>
      <c r="AB797" s="10"/>
      <c r="AC797" s="10"/>
      <c r="AD797" s="10"/>
      <c r="AE797" s="10"/>
      <c r="AF797" s="10"/>
      <c r="AG797" s="10"/>
      <c r="AH797" s="10"/>
      <c r="AI797" s="10"/>
      <c r="AJ797" s="10"/>
      <c r="AK797" s="10"/>
      <c r="AL797" s="10"/>
      <c r="AM797" s="10"/>
      <c r="AN797" s="10"/>
      <c r="AO797" s="10"/>
      <c r="AW797" s="143"/>
      <c r="BD797" s="10"/>
      <c r="BE797" s="10"/>
      <c r="BF797" s="10"/>
      <c r="BG797" s="10"/>
      <c r="BH797" s="10"/>
      <c r="BI797" s="10"/>
      <c r="BJ797" s="10"/>
      <c r="BK797" s="10"/>
      <c r="BS797" s="10"/>
      <c r="BT797" s="10"/>
      <c r="BV797" s="10"/>
      <c r="BW797" s="10"/>
    </row>
    <row r="798">
      <c r="A798" s="10"/>
      <c r="B798" s="10"/>
      <c r="C798" s="10"/>
      <c r="D798" s="10"/>
      <c r="E798" s="10"/>
      <c r="F798" s="10"/>
      <c r="G798" s="10"/>
      <c r="H798" s="10"/>
      <c r="K798" s="10"/>
      <c r="L798" s="10"/>
      <c r="V798" s="10"/>
      <c r="W798" s="10"/>
      <c r="X798" s="10"/>
      <c r="Y798" s="10"/>
      <c r="Z798" s="10"/>
      <c r="AA798" s="10"/>
      <c r="AB798" s="10"/>
      <c r="AC798" s="10"/>
      <c r="AD798" s="10"/>
      <c r="AE798" s="10"/>
      <c r="AF798" s="10"/>
      <c r="AG798" s="10"/>
      <c r="AH798" s="10"/>
      <c r="AI798" s="10"/>
      <c r="AJ798" s="10"/>
      <c r="AK798" s="10"/>
      <c r="AL798" s="10"/>
      <c r="AM798" s="10"/>
      <c r="AN798" s="10"/>
      <c r="AO798" s="10"/>
      <c r="AW798" s="143"/>
      <c r="BD798" s="10"/>
      <c r="BE798" s="10"/>
      <c r="BF798" s="10"/>
      <c r="BG798" s="10"/>
      <c r="BH798" s="10"/>
      <c r="BI798" s="10"/>
      <c r="BJ798" s="10"/>
      <c r="BK798" s="10"/>
      <c r="BS798" s="10"/>
      <c r="BT798" s="10"/>
      <c r="BV798" s="10"/>
      <c r="BW798" s="10"/>
    </row>
    <row r="799">
      <c r="A799" s="10"/>
      <c r="B799" s="10"/>
      <c r="C799" s="10"/>
      <c r="D799" s="10"/>
      <c r="E799" s="10"/>
      <c r="F799" s="10"/>
      <c r="G799" s="10"/>
      <c r="H799" s="10"/>
      <c r="K799" s="10"/>
      <c r="L799" s="10"/>
      <c r="N799" s="10"/>
      <c r="V799" s="10"/>
      <c r="W799" s="10"/>
      <c r="X799" s="10"/>
      <c r="Y799" s="10"/>
      <c r="Z799" s="10"/>
      <c r="AA799" s="10"/>
      <c r="AB799" s="10"/>
      <c r="AC799" s="10"/>
      <c r="AD799" s="10"/>
      <c r="AE799" s="10"/>
      <c r="AF799" s="10"/>
      <c r="AG799" s="10"/>
      <c r="AH799" s="10"/>
      <c r="AI799" s="10"/>
      <c r="AJ799" s="10"/>
      <c r="AK799" s="10"/>
      <c r="AL799" s="10"/>
      <c r="AM799" s="10"/>
      <c r="AN799" s="10"/>
      <c r="AO799" s="10"/>
      <c r="AW799" s="143"/>
      <c r="BD799" s="10"/>
      <c r="BE799" s="10"/>
      <c r="BF799" s="10"/>
      <c r="BG799" s="10"/>
      <c r="BH799" s="10"/>
      <c r="BI799" s="10"/>
      <c r="BJ799" s="10"/>
      <c r="BK799" s="10"/>
      <c r="BS799" s="10"/>
      <c r="BT799" s="10"/>
      <c r="BV799" s="10"/>
      <c r="BW799" s="10"/>
    </row>
    <row r="800">
      <c r="A800" s="10"/>
      <c r="B800" s="10"/>
      <c r="C800" s="10"/>
      <c r="D800" s="10"/>
      <c r="E800" s="10"/>
      <c r="F800" s="10"/>
      <c r="G800" s="10"/>
      <c r="H800" s="10"/>
      <c r="K800" s="10"/>
      <c r="L800" s="10"/>
      <c r="N800" s="10"/>
      <c r="V800" s="10"/>
      <c r="W800" s="10"/>
      <c r="X800" s="10"/>
      <c r="Y800" s="10"/>
      <c r="Z800" s="10"/>
      <c r="AA800" s="10"/>
      <c r="AB800" s="10"/>
      <c r="AC800" s="10"/>
      <c r="AD800" s="10"/>
      <c r="AE800" s="10"/>
      <c r="AF800" s="10"/>
      <c r="AG800" s="10"/>
      <c r="AH800" s="10"/>
      <c r="AI800" s="10"/>
      <c r="AJ800" s="10"/>
      <c r="AK800" s="10"/>
      <c r="AL800" s="10"/>
      <c r="AM800" s="10"/>
      <c r="AN800" s="10"/>
      <c r="AO800" s="10"/>
      <c r="AW800" s="143"/>
      <c r="BD800" s="10"/>
      <c r="BE800" s="10"/>
      <c r="BF800" s="10"/>
      <c r="BG800" s="10"/>
      <c r="BH800" s="10"/>
      <c r="BI800" s="10"/>
      <c r="BJ800" s="10"/>
      <c r="BK800" s="10"/>
      <c r="BS800" s="10"/>
      <c r="BT800" s="10"/>
      <c r="BV800" s="10"/>
      <c r="BW800" s="10"/>
    </row>
    <row r="801">
      <c r="A801" s="10"/>
      <c r="B801" s="10"/>
      <c r="C801" s="10"/>
      <c r="D801" s="10"/>
      <c r="E801" s="10"/>
      <c r="F801" s="10"/>
      <c r="G801" s="10"/>
      <c r="H801" s="10"/>
      <c r="K801" s="10"/>
      <c r="L801" s="10"/>
      <c r="N801" s="10"/>
      <c r="V801" s="10"/>
      <c r="W801" s="10"/>
      <c r="X801" s="10"/>
      <c r="Y801" s="10"/>
      <c r="Z801" s="10"/>
      <c r="AA801" s="10"/>
      <c r="AB801" s="10"/>
      <c r="AC801" s="10"/>
      <c r="AD801" s="10"/>
      <c r="AE801" s="10"/>
      <c r="AF801" s="10"/>
      <c r="AG801" s="10"/>
      <c r="AH801" s="10"/>
      <c r="AI801" s="10"/>
      <c r="AJ801" s="10"/>
      <c r="AK801" s="10"/>
      <c r="AL801" s="10"/>
      <c r="AM801" s="10"/>
      <c r="AN801" s="10"/>
      <c r="AO801" s="10"/>
      <c r="AT801" s="10"/>
      <c r="AW801" s="143"/>
      <c r="BA801" s="10"/>
      <c r="BD801" s="10"/>
      <c r="BE801" s="10"/>
      <c r="BF801" s="10"/>
      <c r="BG801" s="10"/>
      <c r="BH801" s="10"/>
      <c r="BI801" s="10"/>
      <c r="BJ801" s="10"/>
      <c r="BK801" s="10"/>
      <c r="BS801" s="10"/>
      <c r="BT801" s="10"/>
      <c r="BV801" s="10"/>
      <c r="BW801" s="10"/>
    </row>
    <row r="802">
      <c r="A802" s="10"/>
      <c r="B802" s="10"/>
      <c r="C802" s="10"/>
      <c r="D802" s="10"/>
      <c r="E802" s="10"/>
      <c r="F802" s="10"/>
      <c r="G802" s="10"/>
      <c r="H802" s="10"/>
      <c r="K802" s="10"/>
      <c r="L802" s="10"/>
      <c r="N802" s="10"/>
      <c r="V802" s="10"/>
      <c r="W802" s="10"/>
      <c r="X802" s="10"/>
      <c r="Y802" s="10"/>
      <c r="Z802" s="10"/>
      <c r="AA802" s="10"/>
      <c r="AB802" s="10"/>
      <c r="AC802" s="10"/>
      <c r="AD802" s="10"/>
      <c r="AE802" s="10"/>
      <c r="AF802" s="10"/>
      <c r="AG802" s="10"/>
      <c r="AH802" s="10"/>
      <c r="AI802" s="10"/>
      <c r="AJ802" s="10"/>
      <c r="AK802" s="10"/>
      <c r="AL802" s="10"/>
      <c r="AM802" s="10"/>
      <c r="AN802" s="10"/>
      <c r="AO802" s="10"/>
      <c r="AW802" s="143"/>
      <c r="BD802" s="10"/>
      <c r="BE802" s="10"/>
      <c r="BF802" s="10"/>
      <c r="BG802" s="10"/>
      <c r="BH802" s="10"/>
      <c r="BI802" s="10"/>
      <c r="BJ802" s="10"/>
      <c r="BK802" s="10"/>
      <c r="BS802" s="10"/>
      <c r="BT802" s="10"/>
      <c r="BV802" s="10"/>
      <c r="BW802" s="10"/>
    </row>
    <row r="803">
      <c r="A803" s="10"/>
      <c r="B803" s="10"/>
      <c r="C803" s="10"/>
      <c r="D803" s="10"/>
      <c r="E803" s="10"/>
      <c r="F803" s="10"/>
      <c r="G803" s="10"/>
      <c r="H803" s="10"/>
      <c r="J803" s="10"/>
      <c r="K803" s="10"/>
      <c r="L803" s="10"/>
      <c r="N803" s="10"/>
      <c r="V803" s="10"/>
      <c r="W803" s="10"/>
      <c r="X803" s="10"/>
      <c r="Y803" s="10"/>
      <c r="Z803" s="10"/>
      <c r="AA803" s="10"/>
      <c r="AB803" s="10"/>
      <c r="AC803" s="10"/>
      <c r="AD803" s="10"/>
      <c r="AE803" s="10"/>
      <c r="AF803" s="10"/>
      <c r="AG803" s="10"/>
      <c r="AH803" s="10"/>
      <c r="AI803" s="10"/>
      <c r="AJ803" s="10"/>
      <c r="AK803" s="10"/>
      <c r="AL803" s="10"/>
      <c r="AM803" s="10"/>
      <c r="AN803" s="10"/>
      <c r="AO803" s="10"/>
      <c r="AW803" s="143"/>
      <c r="BD803" s="10"/>
      <c r="BE803" s="10"/>
      <c r="BF803" s="10"/>
      <c r="BG803" s="10"/>
      <c r="BH803" s="10"/>
      <c r="BI803" s="10"/>
      <c r="BJ803" s="10"/>
      <c r="BK803" s="10"/>
      <c r="BS803" s="10"/>
      <c r="BT803" s="10"/>
      <c r="BV803" s="10"/>
      <c r="BW803" s="10"/>
    </row>
    <row r="804">
      <c r="A804" s="10"/>
      <c r="B804" s="10"/>
      <c r="C804" s="10"/>
      <c r="D804" s="10"/>
      <c r="E804" s="10"/>
      <c r="F804" s="10"/>
      <c r="G804" s="10"/>
      <c r="H804" s="10"/>
      <c r="J804" s="10"/>
      <c r="K804" s="10"/>
      <c r="L804" s="10"/>
      <c r="N804" s="10"/>
      <c r="O804" s="10"/>
      <c r="P804" s="10"/>
      <c r="V804" s="10"/>
      <c r="W804" s="10"/>
      <c r="X804" s="10"/>
      <c r="Y804" s="10"/>
      <c r="Z804" s="10"/>
      <c r="AA804" s="10"/>
      <c r="AB804" s="10"/>
      <c r="AC804" s="10"/>
      <c r="AD804" s="10"/>
      <c r="AE804" s="10"/>
      <c r="AF804" s="10"/>
      <c r="AG804" s="10"/>
      <c r="AH804" s="10"/>
      <c r="AI804" s="10"/>
      <c r="AJ804" s="10"/>
      <c r="AL804" s="10"/>
      <c r="AM804" s="10"/>
      <c r="AO804" s="10"/>
      <c r="AW804" s="143"/>
      <c r="BD804" s="10"/>
      <c r="BE804" s="10"/>
      <c r="BF804" s="10"/>
      <c r="BG804" s="10"/>
      <c r="BH804" s="10"/>
      <c r="BI804" s="10"/>
      <c r="BJ804" s="10"/>
      <c r="BK804" s="10"/>
      <c r="BT804" s="10"/>
      <c r="BV804" s="10"/>
      <c r="BW804" s="10"/>
    </row>
    <row r="805">
      <c r="A805" s="10"/>
      <c r="B805" s="10"/>
      <c r="C805" s="10"/>
      <c r="D805" s="10"/>
      <c r="E805" s="10"/>
      <c r="F805" s="10"/>
      <c r="G805" s="10"/>
      <c r="H805" s="10"/>
      <c r="K805" s="10"/>
      <c r="L805" s="10"/>
      <c r="N805" s="10"/>
      <c r="P805" s="10"/>
      <c r="Q805" s="10"/>
      <c r="R805" s="10"/>
      <c r="T805" s="10"/>
      <c r="V805" s="10"/>
      <c r="W805" s="10"/>
      <c r="Y805" s="10"/>
      <c r="Z805" s="10"/>
      <c r="AA805" s="10"/>
      <c r="AB805" s="10"/>
      <c r="AC805" s="10"/>
      <c r="AD805" s="10"/>
      <c r="AE805" s="10"/>
      <c r="AF805" s="10"/>
      <c r="AG805" s="10"/>
      <c r="AH805" s="10"/>
      <c r="AI805" s="10"/>
      <c r="AJ805" s="10"/>
      <c r="AK805" s="10"/>
      <c r="AL805" s="10"/>
      <c r="AM805" s="10"/>
      <c r="AN805" s="10"/>
      <c r="AO805" s="10"/>
      <c r="AW805" s="143"/>
      <c r="BD805" s="10"/>
      <c r="BE805" s="10"/>
      <c r="BF805" s="10"/>
      <c r="BG805" s="10"/>
      <c r="BH805" s="10"/>
      <c r="BI805" s="10"/>
      <c r="BJ805" s="10"/>
      <c r="BK805" s="10"/>
      <c r="BL805" s="10"/>
      <c r="BN805" s="10"/>
      <c r="BO805" s="10"/>
      <c r="BQ805" s="10"/>
      <c r="BR805" s="10"/>
      <c r="BT805" s="10"/>
      <c r="BV805" s="10"/>
      <c r="BW805" s="10"/>
    </row>
    <row r="806">
      <c r="A806" s="10"/>
      <c r="B806" s="10"/>
      <c r="C806" s="10"/>
      <c r="D806" s="10"/>
      <c r="E806" s="10"/>
      <c r="F806" s="10"/>
      <c r="G806" s="10"/>
      <c r="H806" s="10"/>
      <c r="J806" s="10"/>
      <c r="K806" s="10"/>
      <c r="L806" s="10"/>
      <c r="N806" s="10"/>
      <c r="T806" s="10"/>
      <c r="V806" s="10"/>
      <c r="W806" s="10"/>
      <c r="X806" s="10"/>
      <c r="Y806" s="10"/>
      <c r="Z806" s="10"/>
      <c r="AA806" s="10"/>
      <c r="AB806" s="10"/>
      <c r="AC806" s="10"/>
      <c r="AD806" s="10"/>
      <c r="AE806" s="10"/>
      <c r="AF806" s="10"/>
      <c r="AG806" s="10"/>
      <c r="AH806" s="10"/>
      <c r="AI806" s="10"/>
      <c r="AJ806" s="10"/>
      <c r="AK806" s="10"/>
      <c r="AL806" s="10"/>
      <c r="AM806" s="10"/>
      <c r="AN806" s="10"/>
      <c r="AO806" s="10"/>
      <c r="AW806" s="143"/>
      <c r="BD806" s="10"/>
      <c r="BE806" s="10"/>
      <c r="BF806" s="10"/>
      <c r="BG806" s="10"/>
      <c r="BH806" s="10"/>
      <c r="BI806" s="10"/>
      <c r="BJ806" s="10"/>
      <c r="BK806" s="10"/>
      <c r="BT806" s="10"/>
      <c r="BV806" s="10"/>
      <c r="BW806" s="10"/>
    </row>
    <row r="807">
      <c r="A807" s="10"/>
      <c r="B807" s="10"/>
      <c r="C807" s="10"/>
      <c r="D807" s="10"/>
      <c r="E807" s="10"/>
      <c r="F807" s="10"/>
      <c r="G807" s="10"/>
      <c r="H807" s="10"/>
      <c r="K807" s="10"/>
      <c r="L807" s="10"/>
      <c r="N807" s="10"/>
      <c r="V807" s="10"/>
      <c r="W807" s="10"/>
      <c r="Y807" s="10"/>
      <c r="Z807" s="10"/>
      <c r="AA807" s="10"/>
      <c r="AB807" s="10"/>
      <c r="AC807" s="10"/>
      <c r="AD807" s="10"/>
      <c r="AE807" s="10"/>
      <c r="AF807" s="10"/>
      <c r="AG807" s="10"/>
      <c r="AH807" s="10"/>
      <c r="AI807" s="10"/>
      <c r="AJ807" s="10"/>
      <c r="AK807" s="10"/>
      <c r="AL807" s="10"/>
      <c r="AM807" s="10"/>
      <c r="AN807" s="10"/>
      <c r="AO807" s="10"/>
      <c r="AW807" s="143"/>
      <c r="AZ807" s="10"/>
      <c r="BD807" s="10"/>
      <c r="BE807" s="10"/>
      <c r="BF807" s="10"/>
      <c r="BG807" s="10"/>
      <c r="BH807" s="10"/>
      <c r="BI807" s="10"/>
      <c r="BJ807" s="10"/>
      <c r="BK807" s="10"/>
      <c r="BL807" s="10"/>
      <c r="BO807" s="10"/>
      <c r="BR807" s="10"/>
      <c r="BS807" s="10"/>
      <c r="BT807" s="10"/>
      <c r="BV807" s="10"/>
      <c r="BW807" s="10"/>
    </row>
    <row r="808">
      <c r="A808" s="10"/>
      <c r="B808" s="10"/>
      <c r="C808" s="10"/>
      <c r="D808" s="10"/>
      <c r="E808" s="10"/>
      <c r="F808" s="10"/>
      <c r="G808" s="10"/>
      <c r="H808" s="10"/>
      <c r="K808" s="10"/>
      <c r="L808" s="10"/>
      <c r="N808" s="10"/>
      <c r="P808" s="10"/>
      <c r="V808" s="10"/>
      <c r="W808" s="10"/>
      <c r="X808" s="10"/>
      <c r="Y808" s="10"/>
      <c r="Z808" s="10"/>
      <c r="AA808" s="10"/>
      <c r="AB808" s="10"/>
      <c r="AC808" s="10"/>
      <c r="AD808" s="10"/>
      <c r="AE808" s="10"/>
      <c r="AF808" s="10"/>
      <c r="AG808" s="10"/>
      <c r="AH808" s="10"/>
      <c r="AI808" s="10"/>
      <c r="AJ808" s="10"/>
      <c r="AK808" s="10"/>
      <c r="AL808" s="10"/>
      <c r="AM808" s="10"/>
      <c r="AN808" s="10"/>
      <c r="AO808" s="10"/>
      <c r="AW808" s="143"/>
      <c r="BD808" s="10"/>
      <c r="BE808" s="10"/>
      <c r="BF808" s="10"/>
      <c r="BG808" s="10"/>
      <c r="BH808" s="10"/>
      <c r="BI808" s="10"/>
      <c r="BJ808" s="10"/>
      <c r="BK808" s="10"/>
      <c r="BS808" s="10"/>
      <c r="BT808" s="10"/>
      <c r="BV808" s="10"/>
      <c r="BW808" s="10"/>
    </row>
    <row r="809">
      <c r="A809" s="10"/>
      <c r="B809" s="10"/>
      <c r="C809" s="10"/>
      <c r="D809" s="10"/>
      <c r="E809" s="10"/>
      <c r="F809" s="10"/>
      <c r="G809" s="10"/>
      <c r="H809" s="10"/>
      <c r="K809" s="10"/>
      <c r="L809" s="10"/>
      <c r="N809" s="10"/>
      <c r="P809" s="10"/>
      <c r="V809" s="10"/>
      <c r="W809" s="10"/>
      <c r="Y809" s="10"/>
      <c r="Z809" s="10"/>
      <c r="AA809" s="10"/>
      <c r="AB809" s="10"/>
      <c r="AC809" s="10"/>
      <c r="AD809" s="10"/>
      <c r="AE809" s="10"/>
      <c r="AF809" s="10"/>
      <c r="AG809" s="10"/>
      <c r="AH809" s="10"/>
      <c r="AI809" s="10"/>
      <c r="AJ809" s="10"/>
      <c r="AK809" s="10"/>
      <c r="AL809" s="10"/>
      <c r="AM809" s="10"/>
      <c r="AN809" s="10"/>
      <c r="AO809" s="10"/>
      <c r="AW809" s="143"/>
      <c r="BD809" s="10"/>
      <c r="BE809" s="10"/>
      <c r="BF809" s="10"/>
      <c r="BG809" s="10"/>
      <c r="BH809" s="10"/>
      <c r="BI809" s="10"/>
      <c r="BJ809" s="10"/>
      <c r="BK809" s="10"/>
      <c r="BL809" s="10"/>
      <c r="BM809" s="10"/>
      <c r="BN809" s="10"/>
      <c r="BO809" s="10"/>
      <c r="BP809" s="10"/>
      <c r="BQ809" s="10"/>
      <c r="BR809" s="10"/>
      <c r="BS809" s="10"/>
      <c r="BT809" s="10"/>
      <c r="BV809" s="10"/>
      <c r="BW809" s="10"/>
    </row>
    <row r="810">
      <c r="A810" s="10"/>
      <c r="B810" s="10"/>
      <c r="C810" s="10"/>
      <c r="D810" s="10"/>
      <c r="E810" s="10"/>
      <c r="F810" s="10"/>
      <c r="G810" s="10"/>
      <c r="H810" s="10"/>
      <c r="K810" s="10"/>
      <c r="L810" s="10"/>
      <c r="N810" s="10"/>
      <c r="V810" s="10"/>
      <c r="W810" s="10"/>
      <c r="Y810" s="10"/>
      <c r="Z810" s="10"/>
      <c r="AA810" s="10"/>
      <c r="AB810" s="10"/>
      <c r="AC810" s="10"/>
      <c r="AD810" s="10"/>
      <c r="AE810" s="10"/>
      <c r="AF810" s="10"/>
      <c r="AG810" s="10"/>
      <c r="AH810" s="10"/>
      <c r="AI810" s="10"/>
      <c r="AJ810" s="10"/>
      <c r="AK810" s="10"/>
      <c r="AL810" s="10"/>
      <c r="AM810" s="10"/>
      <c r="AN810" s="10"/>
      <c r="AO810" s="10"/>
      <c r="AW810" s="143"/>
      <c r="BD810" s="10"/>
      <c r="BE810" s="10"/>
      <c r="BF810" s="10"/>
      <c r="BG810" s="10"/>
      <c r="BH810" s="10"/>
      <c r="BI810" s="10"/>
      <c r="BJ810" s="10"/>
      <c r="BK810" s="10"/>
      <c r="BS810" s="10"/>
      <c r="BT810" s="10"/>
      <c r="BV810" s="10"/>
      <c r="BW810" s="10"/>
    </row>
    <row r="811">
      <c r="A811" s="10"/>
      <c r="B811" s="10"/>
      <c r="C811" s="10"/>
      <c r="D811" s="10"/>
      <c r="E811" s="10"/>
      <c r="F811" s="10"/>
      <c r="G811" s="10"/>
      <c r="H811" s="10"/>
      <c r="I811" s="10"/>
      <c r="K811" s="10"/>
      <c r="L811" s="10"/>
      <c r="T811" s="10"/>
      <c r="U811" s="10"/>
      <c r="V811" s="10"/>
      <c r="W811" s="10"/>
      <c r="Y811" s="10"/>
      <c r="Z811" s="10"/>
      <c r="AA811" s="10"/>
      <c r="AB811" s="10"/>
      <c r="AC811" s="10"/>
      <c r="AD811" s="10"/>
      <c r="AE811" s="10"/>
      <c r="AF811" s="10"/>
      <c r="AG811" s="10"/>
      <c r="AH811" s="10"/>
      <c r="AI811" s="10"/>
      <c r="AJ811" s="10"/>
      <c r="AK811" s="10"/>
      <c r="AL811" s="10"/>
      <c r="AM811" s="10"/>
      <c r="AN811" s="10"/>
      <c r="AO811" s="10"/>
      <c r="AW811" s="143"/>
      <c r="BD811" s="10"/>
      <c r="BE811" s="10"/>
      <c r="BF811" s="10"/>
      <c r="BG811" s="10"/>
      <c r="BH811" s="10"/>
      <c r="BI811" s="10"/>
      <c r="BJ811" s="10"/>
      <c r="BK811" s="10"/>
      <c r="BL811" s="10"/>
      <c r="BM811" s="10"/>
      <c r="BN811" s="10"/>
      <c r="BO811" s="10"/>
      <c r="BP811" s="10"/>
      <c r="BQ811" s="10"/>
      <c r="BR811" s="10"/>
      <c r="BS811" s="10"/>
      <c r="BT811" s="10"/>
      <c r="BV811" s="10"/>
      <c r="BW811" s="10"/>
    </row>
    <row r="812">
      <c r="A812" s="10"/>
      <c r="B812" s="10"/>
      <c r="C812" s="10"/>
      <c r="D812" s="10"/>
      <c r="E812" s="10"/>
      <c r="F812" s="10"/>
      <c r="G812" s="10"/>
      <c r="H812" s="10"/>
      <c r="I812" s="10"/>
      <c r="J812" s="10"/>
      <c r="K812" s="10"/>
      <c r="L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W812" s="143"/>
      <c r="BD812" s="10"/>
      <c r="BE812" s="10"/>
      <c r="BF812" s="10"/>
      <c r="BG812" s="10"/>
      <c r="BH812" s="10"/>
      <c r="BI812" s="10"/>
      <c r="BJ812" s="10"/>
      <c r="BK812" s="10"/>
      <c r="BL812" s="10"/>
      <c r="BM812" s="10"/>
      <c r="BN812" s="10"/>
      <c r="BO812" s="10"/>
      <c r="BP812" s="10"/>
      <c r="BQ812" s="10"/>
      <c r="BR812" s="10"/>
      <c r="BS812" s="10"/>
      <c r="BT812" s="10"/>
      <c r="BV812" s="10"/>
      <c r="BW812" s="10"/>
    </row>
    <row r="813">
      <c r="A813" s="10"/>
      <c r="B813" s="10"/>
      <c r="C813" s="10"/>
      <c r="D813" s="10"/>
      <c r="E813" s="10"/>
      <c r="F813" s="10"/>
      <c r="G813" s="10"/>
      <c r="H813" s="10"/>
      <c r="K813" s="10"/>
      <c r="L813" s="10"/>
      <c r="O813" s="10"/>
      <c r="P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W813" s="143"/>
      <c r="BD813" s="10"/>
      <c r="BE813" s="10"/>
      <c r="BF813" s="10"/>
      <c r="BG813" s="10"/>
      <c r="BH813" s="10"/>
      <c r="BI813" s="10"/>
      <c r="BJ813" s="10"/>
      <c r="BK813" s="10"/>
      <c r="BL813" s="10"/>
      <c r="BM813" s="10"/>
      <c r="BN813" s="10"/>
      <c r="BO813" s="10"/>
      <c r="BP813" s="10"/>
      <c r="BQ813" s="10"/>
      <c r="BR813" s="10"/>
      <c r="BS813" s="10"/>
      <c r="BT813" s="10"/>
      <c r="BV813" s="10"/>
      <c r="BW813" s="10"/>
    </row>
    <row r="814">
      <c r="A814" s="10"/>
      <c r="B814" s="10"/>
      <c r="C814" s="10"/>
      <c r="D814" s="10"/>
      <c r="E814" s="10"/>
      <c r="F814" s="10"/>
      <c r="G814" s="10"/>
      <c r="H814" s="10"/>
      <c r="K814" s="10"/>
      <c r="L814" s="10"/>
      <c r="N814" s="10"/>
      <c r="P814" s="10"/>
      <c r="U814" s="10"/>
      <c r="V814" s="10"/>
      <c r="W814" s="10"/>
      <c r="X814" s="10"/>
      <c r="Y814" s="10"/>
      <c r="Z814" s="10"/>
      <c r="AA814" s="10"/>
      <c r="AB814" s="10"/>
      <c r="AC814" s="10"/>
      <c r="AD814" s="10"/>
      <c r="AE814" s="10"/>
      <c r="AF814" s="10"/>
      <c r="AG814" s="10"/>
      <c r="AH814" s="10"/>
      <c r="AI814" s="10"/>
      <c r="AJ814" s="10"/>
      <c r="AK814" s="10"/>
      <c r="AL814" s="10"/>
      <c r="AM814" s="10"/>
      <c r="AN814" s="10"/>
      <c r="AO814" s="10"/>
      <c r="AW814" s="143"/>
      <c r="BD814" s="10"/>
      <c r="BE814" s="10"/>
      <c r="BF814" s="10"/>
      <c r="BG814" s="10"/>
      <c r="BH814" s="10"/>
      <c r="BI814" s="10"/>
      <c r="BJ814" s="10"/>
      <c r="BK814" s="10"/>
      <c r="BL814" s="10"/>
      <c r="BM814" s="10"/>
      <c r="BN814" s="10"/>
      <c r="BO814" s="10"/>
      <c r="BP814" s="10"/>
      <c r="BQ814" s="10"/>
      <c r="BR814" s="10"/>
      <c r="BS814" s="10"/>
      <c r="BT814" s="10"/>
      <c r="BV814" s="10"/>
      <c r="BW814" s="10"/>
    </row>
    <row r="815">
      <c r="A815" s="10"/>
      <c r="B815" s="10"/>
      <c r="C815" s="10"/>
      <c r="D815" s="10"/>
      <c r="E815" s="10"/>
      <c r="F815" s="10"/>
      <c r="G815" s="10"/>
      <c r="H815" s="10"/>
      <c r="I815" s="10"/>
      <c r="J815" s="10"/>
      <c r="K815" s="10"/>
      <c r="L815" s="10"/>
      <c r="N815" s="10"/>
      <c r="P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43"/>
      <c r="BD815" s="10"/>
      <c r="BL815" s="10"/>
      <c r="BO815" s="10"/>
      <c r="BR815" s="10"/>
      <c r="BS815" s="10"/>
      <c r="BT815" s="10"/>
      <c r="BV815" s="10"/>
      <c r="BW815" s="10"/>
    </row>
    <row r="816">
      <c r="A816" s="10"/>
      <c r="B816" s="10"/>
      <c r="C816" s="10"/>
      <c r="D816" s="10"/>
      <c r="E816" s="10"/>
      <c r="F816" s="10"/>
      <c r="G816" s="10"/>
      <c r="H816" s="10"/>
      <c r="N816" s="10"/>
      <c r="T816" s="10"/>
      <c r="U816" s="10"/>
      <c r="V816" s="10"/>
      <c r="W816" s="10"/>
      <c r="Y816" s="10"/>
      <c r="Z816" s="10"/>
      <c r="AA816" s="10"/>
      <c r="AB816" s="10"/>
      <c r="AC816" s="10"/>
      <c r="AD816" s="10"/>
      <c r="AE816" s="10"/>
      <c r="AF816" s="10"/>
      <c r="AG816" s="10"/>
      <c r="AH816" s="10"/>
      <c r="AI816" s="10"/>
      <c r="AJ816" s="10"/>
      <c r="AL816" s="10"/>
      <c r="AM816" s="10"/>
      <c r="AO816" s="10"/>
      <c r="AW816" s="143"/>
      <c r="BS816" s="10"/>
      <c r="BT816" s="10"/>
      <c r="BW816" s="10"/>
    </row>
    <row r="817">
      <c r="A817" s="10"/>
      <c r="B817" s="10"/>
      <c r="C817" s="10"/>
      <c r="D817" s="10"/>
      <c r="E817" s="10"/>
      <c r="F817" s="10"/>
      <c r="G817" s="10"/>
      <c r="H817" s="10"/>
      <c r="N817" s="10"/>
      <c r="T817" s="10"/>
      <c r="U817" s="10"/>
      <c r="V817" s="10"/>
      <c r="W817" s="10"/>
      <c r="Y817" s="10"/>
      <c r="Z817" s="10"/>
      <c r="AA817" s="10"/>
      <c r="AB817" s="10"/>
      <c r="AC817" s="10"/>
      <c r="AD817" s="10"/>
      <c r="AE817" s="10"/>
      <c r="AF817" s="10"/>
      <c r="AG817" s="10"/>
      <c r="AH817" s="10"/>
      <c r="AI817" s="10"/>
      <c r="AJ817" s="10"/>
      <c r="AL817" s="10"/>
      <c r="AM817" s="10"/>
      <c r="AO817" s="10"/>
      <c r="AW817" s="143"/>
      <c r="BS817" s="10"/>
      <c r="BT817" s="10"/>
      <c r="BW817" s="10"/>
    </row>
    <row r="818">
      <c r="A818" s="10"/>
      <c r="B818" s="10"/>
      <c r="C818" s="10"/>
      <c r="D818" s="10"/>
      <c r="E818" s="10"/>
      <c r="F818" s="10"/>
      <c r="G818" s="10"/>
      <c r="H818" s="10"/>
      <c r="T818" s="10"/>
      <c r="U818" s="10"/>
      <c r="V818" s="10"/>
      <c r="W818" s="10"/>
      <c r="Y818" s="10"/>
      <c r="Z818" s="10"/>
      <c r="AA818" s="10"/>
      <c r="AB818" s="10"/>
      <c r="AC818" s="10"/>
      <c r="AD818" s="10"/>
      <c r="AE818" s="10"/>
      <c r="AF818" s="10"/>
      <c r="AG818" s="10"/>
      <c r="AH818" s="10"/>
      <c r="AI818" s="10"/>
      <c r="AJ818" s="10"/>
      <c r="AL818" s="10"/>
      <c r="AM818" s="10"/>
      <c r="AO818" s="10"/>
      <c r="AW818" s="143"/>
      <c r="BS818" s="10"/>
      <c r="BT818" s="10"/>
      <c r="BW818" s="10"/>
    </row>
    <row r="819">
      <c r="A819" s="10"/>
      <c r="B819" s="10"/>
      <c r="C819" s="10"/>
      <c r="D819" s="10"/>
      <c r="E819" s="10"/>
      <c r="F819" s="10"/>
      <c r="G819" s="10"/>
      <c r="H819" s="10"/>
      <c r="N819" s="10"/>
      <c r="T819" s="10"/>
      <c r="U819" s="10"/>
      <c r="V819" s="10"/>
      <c r="W819" s="10"/>
      <c r="Y819" s="10"/>
      <c r="Z819" s="10"/>
      <c r="AA819" s="10"/>
      <c r="AB819" s="10"/>
      <c r="AC819" s="10"/>
      <c r="AD819" s="10"/>
      <c r="AE819" s="10"/>
      <c r="AF819" s="10"/>
      <c r="AG819" s="10"/>
      <c r="AH819" s="10"/>
      <c r="AI819" s="10"/>
      <c r="AJ819" s="10"/>
      <c r="AL819" s="10"/>
      <c r="AM819" s="10"/>
      <c r="AO819" s="10"/>
      <c r="AW819" s="143"/>
      <c r="BS819" s="10"/>
      <c r="BT819" s="10"/>
      <c r="BW819" s="10"/>
    </row>
    <row r="820">
      <c r="A820" s="10"/>
      <c r="B820" s="10"/>
      <c r="C820" s="10"/>
      <c r="D820" s="10"/>
      <c r="E820" s="10"/>
      <c r="F820" s="10"/>
      <c r="G820" s="10"/>
      <c r="H820" s="10"/>
      <c r="N820" s="10"/>
      <c r="T820" s="10"/>
      <c r="U820" s="10"/>
      <c r="V820" s="10"/>
      <c r="W820" s="10"/>
      <c r="Y820" s="10"/>
      <c r="Z820" s="10"/>
      <c r="AA820" s="10"/>
      <c r="AB820" s="10"/>
      <c r="AC820" s="10"/>
      <c r="AD820" s="10"/>
      <c r="AE820" s="10"/>
      <c r="AF820" s="10"/>
      <c r="AG820" s="10"/>
      <c r="AH820" s="10"/>
      <c r="AI820" s="10"/>
      <c r="AJ820" s="10"/>
      <c r="AL820" s="10"/>
      <c r="AM820" s="10"/>
      <c r="AO820" s="10"/>
      <c r="AW820" s="143"/>
      <c r="BS820" s="10"/>
      <c r="BT820" s="10"/>
      <c r="BW820" s="10"/>
    </row>
    <row r="821">
      <c r="A821" s="10"/>
      <c r="B821" s="10"/>
      <c r="C821" s="10"/>
      <c r="D821" s="10"/>
      <c r="E821" s="10"/>
      <c r="F821" s="10"/>
      <c r="G821" s="10"/>
      <c r="H821" s="10"/>
      <c r="N821" s="10"/>
      <c r="T821" s="10"/>
      <c r="U821" s="10"/>
      <c r="V821" s="10"/>
      <c r="W821" s="10"/>
      <c r="Y821" s="10"/>
      <c r="Z821" s="10"/>
      <c r="AA821" s="10"/>
      <c r="AB821" s="10"/>
      <c r="AC821" s="10"/>
      <c r="AD821" s="10"/>
      <c r="AE821" s="10"/>
      <c r="AF821" s="10"/>
      <c r="AG821" s="10"/>
      <c r="AH821" s="10"/>
      <c r="AI821" s="10"/>
      <c r="AJ821" s="10"/>
      <c r="AL821" s="10"/>
      <c r="AM821" s="10"/>
      <c r="AO821" s="10"/>
      <c r="AW821" s="143"/>
      <c r="BS821" s="10"/>
      <c r="BT821" s="10"/>
      <c r="BW821" s="10"/>
    </row>
    <row r="822">
      <c r="A822" s="10"/>
      <c r="B822" s="10"/>
      <c r="C822" s="10"/>
      <c r="D822" s="10"/>
      <c r="E822" s="10"/>
      <c r="F822" s="10"/>
      <c r="G822" s="10"/>
      <c r="H822" s="10"/>
      <c r="T822" s="10"/>
      <c r="U822" s="10"/>
      <c r="V822" s="10"/>
      <c r="W822" s="10"/>
      <c r="Y822" s="10"/>
      <c r="Z822" s="10"/>
      <c r="AA822" s="10"/>
      <c r="AB822" s="10"/>
      <c r="AC822" s="10"/>
      <c r="AD822" s="10"/>
      <c r="AE822" s="10"/>
      <c r="AF822" s="10"/>
      <c r="AG822" s="10"/>
      <c r="AH822" s="10"/>
      <c r="AI822" s="10"/>
      <c r="AJ822" s="10"/>
      <c r="AL822" s="10"/>
      <c r="AM822" s="10"/>
      <c r="AO822" s="10"/>
      <c r="AW822" s="143"/>
      <c r="BS822" s="10"/>
      <c r="BT822" s="10"/>
      <c r="BW822" s="10"/>
    </row>
    <row r="823">
      <c r="A823" s="10"/>
      <c r="B823" s="10"/>
      <c r="C823" s="10"/>
      <c r="D823" s="10"/>
      <c r="E823" s="10"/>
      <c r="F823" s="10"/>
      <c r="G823" s="10"/>
      <c r="H823" s="10"/>
      <c r="N823" s="10"/>
      <c r="T823" s="10"/>
      <c r="U823" s="10"/>
      <c r="V823" s="10"/>
      <c r="W823" s="10"/>
      <c r="Y823" s="10"/>
      <c r="Z823" s="10"/>
      <c r="AA823" s="10"/>
      <c r="AB823" s="10"/>
      <c r="AC823" s="10"/>
      <c r="AD823" s="10"/>
      <c r="AE823" s="10"/>
      <c r="AF823" s="10"/>
      <c r="AG823" s="10"/>
      <c r="AH823" s="10"/>
      <c r="AI823" s="10"/>
      <c r="AJ823" s="10"/>
      <c r="AL823" s="10"/>
      <c r="AM823" s="10"/>
      <c r="AO823" s="10"/>
      <c r="AW823" s="143"/>
      <c r="BS823" s="10"/>
      <c r="BT823" s="10"/>
      <c r="BW823" s="10"/>
    </row>
    <row r="824">
      <c r="A824" s="10"/>
      <c r="B824" s="10"/>
      <c r="C824" s="10"/>
      <c r="D824" s="10"/>
      <c r="E824" s="10"/>
      <c r="F824" s="10"/>
      <c r="G824" s="10"/>
      <c r="H824" s="10"/>
      <c r="I824" s="10"/>
      <c r="K824" s="10"/>
      <c r="L824" s="10"/>
      <c r="O824" s="10"/>
      <c r="P824" s="10"/>
      <c r="T824" s="10"/>
      <c r="U824" s="10"/>
      <c r="V824" s="10"/>
      <c r="W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43"/>
      <c r="BD824" s="10"/>
      <c r="BE824" s="10"/>
      <c r="BF824" s="10"/>
      <c r="BG824" s="10"/>
      <c r="BH824" s="10"/>
      <c r="BI824" s="10"/>
      <c r="BJ824" s="10"/>
      <c r="BK824" s="10"/>
      <c r="BL824" s="10"/>
      <c r="BM824" s="10"/>
      <c r="BN824" s="10"/>
      <c r="BO824" s="10"/>
      <c r="BP824" s="10"/>
      <c r="BQ824" s="10"/>
      <c r="BR824" s="10"/>
      <c r="BS824" s="10"/>
      <c r="BT824" s="10"/>
      <c r="BV824" s="10"/>
      <c r="BW824" s="10"/>
    </row>
    <row r="825">
      <c r="A825" s="10"/>
      <c r="B825" s="10"/>
      <c r="C825" s="10"/>
      <c r="D825" s="10"/>
      <c r="E825" s="10"/>
      <c r="F825" s="10"/>
      <c r="G825" s="10"/>
      <c r="H825" s="10"/>
      <c r="I825" s="10"/>
      <c r="K825" s="10"/>
      <c r="L825" s="10"/>
      <c r="N825" s="10"/>
      <c r="P825" s="10"/>
      <c r="T825" s="10"/>
      <c r="U825" s="10"/>
      <c r="V825" s="10"/>
      <c r="W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U825" s="10"/>
      <c r="AV825" s="10"/>
      <c r="AW825" s="143"/>
      <c r="BD825" s="10"/>
      <c r="BE825" s="10"/>
      <c r="BF825" s="10"/>
      <c r="BG825" s="10"/>
      <c r="BH825" s="10"/>
      <c r="BI825" s="10"/>
      <c r="BJ825" s="10"/>
      <c r="BK825" s="10"/>
      <c r="BL825" s="10"/>
      <c r="BM825" s="10"/>
      <c r="BN825" s="10"/>
      <c r="BO825" s="10"/>
      <c r="BP825" s="10"/>
      <c r="BQ825" s="10"/>
      <c r="BR825" s="10"/>
      <c r="BS825" s="10"/>
      <c r="BT825" s="10"/>
      <c r="BV825" s="10"/>
      <c r="BW825" s="10"/>
    </row>
    <row r="826">
      <c r="A826" s="10"/>
      <c r="B826" s="10"/>
      <c r="C826" s="10"/>
      <c r="D826" s="10"/>
      <c r="E826" s="10"/>
      <c r="F826" s="10"/>
      <c r="G826" s="10"/>
      <c r="H826" s="10"/>
      <c r="K826" s="10"/>
      <c r="L826" s="10"/>
      <c r="O826" s="10"/>
      <c r="P826" s="10"/>
      <c r="U826" s="10"/>
      <c r="V826" s="10"/>
      <c r="W826" s="10"/>
      <c r="Y826" s="10"/>
      <c r="Z826" s="10"/>
      <c r="AA826" s="10"/>
      <c r="AB826" s="10"/>
      <c r="AC826" s="10"/>
      <c r="AD826" s="10"/>
      <c r="AE826" s="10"/>
      <c r="AF826" s="10"/>
      <c r="AG826" s="10"/>
      <c r="AH826" s="10"/>
      <c r="AI826" s="10"/>
      <c r="AJ826" s="10"/>
      <c r="AK826" s="10"/>
      <c r="AL826" s="10"/>
      <c r="AM826" s="10"/>
      <c r="AN826" s="10"/>
      <c r="AO826" s="10"/>
      <c r="AW826" s="143"/>
      <c r="AZ826" s="10"/>
      <c r="BD826" s="10"/>
      <c r="BE826" s="10"/>
      <c r="BF826" s="10"/>
      <c r="BG826" s="10"/>
      <c r="BH826" s="10"/>
      <c r="BI826" s="10"/>
      <c r="BJ826" s="10"/>
      <c r="BK826" s="10"/>
      <c r="BL826" s="10"/>
      <c r="BM826" s="10"/>
      <c r="BN826" s="10"/>
      <c r="BO826" s="10"/>
      <c r="BP826" s="10"/>
      <c r="BQ826" s="10"/>
      <c r="BR826" s="10"/>
      <c r="BS826" s="10"/>
      <c r="BT826" s="10"/>
      <c r="BV826" s="10"/>
      <c r="BW826" s="10"/>
    </row>
    <row r="827">
      <c r="A827" s="10"/>
      <c r="B827" s="10"/>
      <c r="C827" s="10"/>
      <c r="D827" s="10"/>
      <c r="E827" s="10"/>
      <c r="F827" s="10"/>
      <c r="G827" s="10"/>
      <c r="H827" s="10"/>
      <c r="J827" s="10"/>
      <c r="K827" s="10"/>
      <c r="L827" s="10"/>
      <c r="O827" s="10"/>
      <c r="P827" s="10"/>
      <c r="U827" s="10"/>
      <c r="V827" s="10"/>
      <c r="W827" s="10"/>
      <c r="X827" s="10"/>
      <c r="Y827" s="10"/>
      <c r="Z827" s="10"/>
      <c r="AA827" s="10"/>
      <c r="AB827" s="10"/>
      <c r="AC827" s="10"/>
      <c r="AD827" s="10"/>
      <c r="AE827" s="10"/>
      <c r="AF827" s="10"/>
      <c r="AG827" s="10"/>
      <c r="AH827" s="10"/>
      <c r="AI827" s="10"/>
      <c r="AJ827" s="10"/>
      <c r="AK827" s="10"/>
      <c r="AL827" s="10"/>
      <c r="AM827" s="10"/>
      <c r="AN827" s="10"/>
      <c r="AO827" s="10"/>
      <c r="AW827" s="143"/>
      <c r="AZ827" s="10"/>
      <c r="BD827" s="10"/>
      <c r="BE827" s="10"/>
      <c r="BF827" s="10"/>
      <c r="BG827" s="10"/>
      <c r="BH827" s="10"/>
      <c r="BI827" s="10"/>
      <c r="BJ827" s="10"/>
      <c r="BK827" s="10"/>
      <c r="BS827" s="10"/>
      <c r="BT827" s="10"/>
      <c r="BV827" s="10"/>
      <c r="BW827" s="10"/>
    </row>
    <row r="828">
      <c r="A828" s="10"/>
      <c r="B828" s="10"/>
      <c r="C828" s="10"/>
      <c r="D828" s="10"/>
      <c r="E828" s="10"/>
      <c r="F828" s="10"/>
      <c r="G828" s="10"/>
      <c r="H828" s="10"/>
      <c r="J828" s="10"/>
      <c r="K828" s="10"/>
      <c r="L828" s="10"/>
      <c r="O828" s="10"/>
      <c r="P828" s="10"/>
      <c r="U828" s="10"/>
      <c r="V828" s="10"/>
      <c r="W828" s="10"/>
      <c r="X828" s="10"/>
      <c r="Y828" s="10"/>
      <c r="Z828" s="10"/>
      <c r="AA828" s="10"/>
      <c r="AB828" s="10"/>
      <c r="AC828" s="10"/>
      <c r="AD828" s="10"/>
      <c r="AE828" s="10"/>
      <c r="AF828" s="10"/>
      <c r="AG828" s="10"/>
      <c r="AH828" s="10"/>
      <c r="AI828" s="10"/>
      <c r="AJ828" s="10"/>
      <c r="AK828" s="10"/>
      <c r="AL828" s="10"/>
      <c r="AM828" s="10"/>
      <c r="AN828" s="10"/>
      <c r="AO828" s="10"/>
      <c r="AW828" s="143"/>
      <c r="AZ828" s="10"/>
      <c r="BD828" s="10"/>
      <c r="BE828" s="10"/>
      <c r="BF828" s="10"/>
      <c r="BG828" s="10"/>
      <c r="BH828" s="10"/>
      <c r="BI828" s="10"/>
      <c r="BJ828" s="10"/>
      <c r="BK828" s="10"/>
      <c r="BS828" s="10"/>
      <c r="BT828" s="10"/>
      <c r="BV828" s="10"/>
      <c r="BW828" s="10"/>
    </row>
    <row r="829">
      <c r="A829" s="10"/>
      <c r="B829" s="10"/>
      <c r="C829" s="10"/>
      <c r="D829" s="10"/>
      <c r="E829" s="10"/>
      <c r="F829" s="10"/>
      <c r="G829" s="10"/>
      <c r="H829" s="10"/>
      <c r="J829" s="10"/>
      <c r="K829" s="10"/>
      <c r="L829" s="10"/>
      <c r="O829" s="10"/>
      <c r="P829" s="10"/>
      <c r="U829" s="10"/>
      <c r="V829" s="10"/>
      <c r="W829" s="10"/>
      <c r="X829" s="10"/>
      <c r="Y829" s="10"/>
      <c r="Z829" s="10"/>
      <c r="AA829" s="10"/>
      <c r="AB829" s="10"/>
      <c r="AC829" s="10"/>
      <c r="AD829" s="10"/>
      <c r="AE829" s="10"/>
      <c r="AF829" s="10"/>
      <c r="AG829" s="10"/>
      <c r="AH829" s="10"/>
      <c r="AI829" s="10"/>
      <c r="AJ829" s="10"/>
      <c r="AK829" s="10"/>
      <c r="AL829" s="10"/>
      <c r="AM829" s="10"/>
      <c r="AN829" s="10"/>
      <c r="AO829" s="10"/>
      <c r="AW829" s="143"/>
      <c r="AZ829" s="10"/>
      <c r="BD829" s="10"/>
      <c r="BE829" s="10"/>
      <c r="BF829" s="10"/>
      <c r="BG829" s="10"/>
      <c r="BH829" s="10"/>
      <c r="BI829" s="10"/>
      <c r="BJ829" s="10"/>
      <c r="BK829" s="10"/>
      <c r="BS829" s="10"/>
      <c r="BT829" s="10"/>
      <c r="BV829" s="10"/>
      <c r="BW829" s="10"/>
    </row>
    <row r="830">
      <c r="A830" s="10"/>
      <c r="B830" s="10"/>
      <c r="C830" s="10"/>
      <c r="D830" s="10"/>
      <c r="E830" s="10"/>
      <c r="F830" s="10"/>
      <c r="G830" s="10"/>
      <c r="H830" s="10"/>
      <c r="J830" s="10"/>
      <c r="K830" s="10"/>
      <c r="L830" s="10"/>
      <c r="O830" s="10"/>
      <c r="P830" s="10"/>
      <c r="U830" s="10"/>
      <c r="V830" s="10"/>
      <c r="W830" s="10"/>
      <c r="X830" s="10"/>
      <c r="Y830" s="10"/>
      <c r="Z830" s="10"/>
      <c r="AA830" s="10"/>
      <c r="AB830" s="10"/>
      <c r="AC830" s="10"/>
      <c r="AD830" s="10"/>
      <c r="AE830" s="10"/>
      <c r="AF830" s="10"/>
      <c r="AG830" s="10"/>
      <c r="AH830" s="10"/>
      <c r="AI830" s="10"/>
      <c r="AJ830" s="10"/>
      <c r="AK830" s="10"/>
      <c r="AL830" s="10"/>
      <c r="AM830" s="10"/>
      <c r="AN830" s="10"/>
      <c r="AO830" s="10"/>
      <c r="AW830" s="143"/>
      <c r="AZ830" s="10"/>
      <c r="BD830" s="10"/>
      <c r="BE830" s="10"/>
      <c r="BF830" s="10"/>
      <c r="BG830" s="10"/>
      <c r="BH830" s="10"/>
      <c r="BI830" s="10"/>
      <c r="BJ830" s="10"/>
      <c r="BK830" s="10"/>
      <c r="BS830" s="10"/>
      <c r="BT830" s="10"/>
      <c r="BV830" s="10"/>
      <c r="BW830" s="10"/>
    </row>
    <row r="831">
      <c r="A831" s="10"/>
      <c r="B831" s="10"/>
      <c r="C831" s="10"/>
      <c r="D831" s="10"/>
      <c r="E831" s="10"/>
      <c r="F831" s="10"/>
      <c r="G831" s="10"/>
      <c r="H831" s="10"/>
      <c r="J831" s="10"/>
      <c r="K831" s="10"/>
      <c r="L831" s="10"/>
      <c r="O831" s="10"/>
      <c r="P831" s="10"/>
      <c r="U831" s="10"/>
      <c r="V831" s="10"/>
      <c r="W831" s="10"/>
      <c r="X831" s="10"/>
      <c r="Y831" s="10"/>
      <c r="Z831" s="10"/>
      <c r="AA831" s="10"/>
      <c r="AB831" s="10"/>
      <c r="AC831" s="10"/>
      <c r="AD831" s="10"/>
      <c r="AE831" s="10"/>
      <c r="AF831" s="10"/>
      <c r="AG831" s="10"/>
      <c r="AH831" s="10"/>
      <c r="AI831" s="10"/>
      <c r="AJ831" s="10"/>
      <c r="AK831" s="10"/>
      <c r="AL831" s="10"/>
      <c r="AM831" s="10"/>
      <c r="AN831" s="10"/>
      <c r="AO831" s="10"/>
      <c r="AW831" s="143"/>
      <c r="AZ831" s="10"/>
      <c r="BD831" s="10"/>
      <c r="BE831" s="10"/>
      <c r="BF831" s="10"/>
      <c r="BG831" s="10"/>
      <c r="BH831" s="10"/>
      <c r="BI831" s="10"/>
      <c r="BJ831" s="10"/>
      <c r="BK831" s="10"/>
      <c r="BS831" s="10"/>
      <c r="BT831" s="10"/>
      <c r="BV831" s="10"/>
      <c r="BW831" s="10"/>
    </row>
    <row r="832">
      <c r="A832" s="10"/>
      <c r="B832" s="10"/>
      <c r="C832" s="10"/>
      <c r="D832" s="10"/>
      <c r="E832" s="10"/>
      <c r="F832" s="10"/>
      <c r="G832" s="10"/>
      <c r="H832" s="10"/>
      <c r="I832" s="10"/>
      <c r="J832" s="10"/>
      <c r="K832" s="10"/>
      <c r="L832" s="10"/>
      <c r="N832" s="10"/>
      <c r="T832" s="10"/>
      <c r="U832" s="10"/>
      <c r="V832" s="10"/>
      <c r="W832" s="10"/>
      <c r="Y832" s="10"/>
      <c r="Z832" s="10"/>
      <c r="AA832" s="10"/>
      <c r="AB832" s="10"/>
      <c r="AC832" s="10"/>
      <c r="AD832" s="10"/>
      <c r="AE832" s="10"/>
      <c r="AF832" s="10"/>
      <c r="AG832" s="10"/>
      <c r="AH832" s="10"/>
      <c r="AI832" s="10"/>
      <c r="AJ832" s="10"/>
      <c r="AK832" s="10"/>
      <c r="AL832" s="10"/>
      <c r="AM832" s="10"/>
      <c r="AN832" s="10"/>
      <c r="AO832" s="10"/>
      <c r="AW832" s="143"/>
      <c r="BD832" s="10"/>
      <c r="BE832" s="10"/>
      <c r="BF832" s="10"/>
      <c r="BG832" s="10"/>
      <c r="BH832" s="10"/>
      <c r="BI832" s="10"/>
      <c r="BJ832" s="10"/>
      <c r="BK832" s="10"/>
      <c r="BL832" s="10"/>
      <c r="BM832" s="10"/>
      <c r="BN832" s="10"/>
      <c r="BO832" s="10"/>
      <c r="BP832" s="10"/>
      <c r="BQ832" s="10"/>
      <c r="BR832" s="10"/>
      <c r="BS832" s="10"/>
      <c r="BT832" s="10"/>
      <c r="BV832" s="10"/>
      <c r="BW832" s="10"/>
    </row>
    <row r="833">
      <c r="A833" s="10"/>
      <c r="B833" s="10"/>
      <c r="C833" s="10"/>
      <c r="D833" s="10"/>
      <c r="E833" s="10"/>
      <c r="F833" s="10"/>
      <c r="G833" s="10"/>
      <c r="H833" s="10"/>
      <c r="I833" s="10"/>
      <c r="J833" s="10"/>
      <c r="K833" s="10"/>
      <c r="L833" s="10"/>
      <c r="P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W833" s="143"/>
      <c r="BD833" s="10"/>
      <c r="BE833" s="10"/>
      <c r="BF833" s="10"/>
      <c r="BG833" s="10"/>
      <c r="BH833" s="10"/>
      <c r="BI833" s="10"/>
      <c r="BJ833" s="10"/>
      <c r="BK833" s="10"/>
      <c r="BL833" s="10"/>
      <c r="BM833" s="10"/>
      <c r="BN833" s="10"/>
      <c r="BO833" s="10"/>
      <c r="BP833" s="10"/>
      <c r="BQ833" s="10"/>
      <c r="BR833" s="10"/>
      <c r="BS833" s="10"/>
      <c r="BT833" s="10"/>
      <c r="BV833" s="10"/>
      <c r="BW833" s="10"/>
    </row>
    <row r="834">
      <c r="A834" s="10"/>
      <c r="B834" s="10"/>
      <c r="C834" s="10"/>
      <c r="D834" s="10"/>
      <c r="E834" s="10"/>
      <c r="F834" s="10"/>
      <c r="G834" s="10"/>
      <c r="H834" s="10"/>
      <c r="I834" s="10"/>
      <c r="J834" s="10"/>
      <c r="K834" s="10"/>
      <c r="L834" s="10"/>
      <c r="N834" s="10"/>
      <c r="P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W834" s="143"/>
      <c r="BD834" s="10"/>
      <c r="BS834" s="10"/>
      <c r="BT834" s="10"/>
      <c r="BV834" s="10"/>
      <c r="BW834" s="10"/>
    </row>
    <row r="835">
      <c r="A835" s="10"/>
      <c r="B835" s="10"/>
      <c r="C835" s="10"/>
      <c r="D835" s="10"/>
      <c r="E835" s="10"/>
      <c r="F835" s="10"/>
      <c r="G835" s="10"/>
      <c r="H835" s="10"/>
      <c r="I835" s="10"/>
      <c r="J835" s="10"/>
      <c r="K835" s="10"/>
      <c r="L835" s="10"/>
      <c r="N835" s="10"/>
      <c r="P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W835" s="143"/>
      <c r="BD835" s="10"/>
      <c r="BS835" s="10"/>
      <c r="BT835" s="10"/>
      <c r="BV835" s="10"/>
      <c r="BW835" s="10"/>
    </row>
    <row r="836">
      <c r="A836" s="10"/>
      <c r="B836" s="10"/>
      <c r="C836" s="10"/>
      <c r="D836" s="10"/>
      <c r="E836" s="10"/>
      <c r="F836" s="10"/>
      <c r="G836" s="10"/>
      <c r="H836" s="10"/>
      <c r="I836" s="10"/>
      <c r="K836" s="10"/>
      <c r="L836" s="10"/>
      <c r="N836" s="10"/>
      <c r="P836" s="10"/>
      <c r="T836" s="10"/>
      <c r="U836" s="10"/>
      <c r="V836" s="10"/>
      <c r="W836" s="10"/>
      <c r="Y836" s="10"/>
      <c r="Z836" s="10"/>
      <c r="AA836" s="10"/>
      <c r="AB836" s="10"/>
      <c r="AC836" s="10"/>
      <c r="AD836" s="10"/>
      <c r="AE836" s="10"/>
      <c r="AF836" s="10"/>
      <c r="AG836" s="10"/>
      <c r="AH836" s="10"/>
      <c r="AI836" s="10"/>
      <c r="AJ836" s="10"/>
      <c r="AK836" s="10"/>
      <c r="AL836" s="10"/>
      <c r="AM836" s="10"/>
      <c r="AN836" s="10"/>
      <c r="AO836" s="10"/>
      <c r="AW836" s="143"/>
      <c r="BD836" s="10"/>
      <c r="BS836" s="10"/>
      <c r="BT836" s="10"/>
      <c r="BV836" s="10"/>
      <c r="BW836" s="10"/>
    </row>
    <row r="837">
      <c r="A837" s="10"/>
      <c r="B837" s="10"/>
      <c r="C837" s="10"/>
      <c r="D837" s="10"/>
      <c r="E837" s="10"/>
      <c r="F837" s="10"/>
      <c r="G837" s="10"/>
      <c r="H837" s="10"/>
      <c r="I837" s="10"/>
      <c r="J837" s="10"/>
      <c r="K837" s="10"/>
      <c r="L837" s="10"/>
      <c r="N837" s="10"/>
      <c r="P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W837" s="143"/>
      <c r="BD837" s="10"/>
      <c r="BE837" s="10"/>
      <c r="BF837" s="10"/>
      <c r="BG837" s="10"/>
      <c r="BH837" s="10"/>
      <c r="BI837" s="10"/>
      <c r="BJ837" s="10"/>
      <c r="BK837" s="10"/>
      <c r="BL837" s="10"/>
      <c r="BM837" s="10"/>
      <c r="BN837" s="10"/>
      <c r="BO837" s="10"/>
      <c r="BP837" s="10"/>
      <c r="BQ837" s="10"/>
      <c r="BR837" s="10"/>
      <c r="BS837" s="10"/>
      <c r="BT837" s="10"/>
      <c r="BV837" s="10"/>
      <c r="BW837" s="10"/>
    </row>
    <row r="838">
      <c r="A838" s="10"/>
      <c r="B838" s="10"/>
      <c r="C838" s="10"/>
      <c r="D838" s="10"/>
      <c r="E838" s="10"/>
      <c r="F838" s="10"/>
      <c r="G838" s="10"/>
      <c r="H838" s="10"/>
      <c r="I838" s="10"/>
      <c r="K838" s="10"/>
      <c r="L838" s="10"/>
      <c r="N838" s="10"/>
      <c r="P838" s="10"/>
      <c r="T838" s="10"/>
      <c r="U838" s="10"/>
      <c r="V838" s="10"/>
      <c r="W838" s="10"/>
      <c r="Y838" s="10"/>
      <c r="Z838" s="10"/>
      <c r="AA838" s="10"/>
      <c r="AB838" s="10"/>
      <c r="AC838" s="10"/>
      <c r="AD838" s="10"/>
      <c r="AE838" s="10"/>
      <c r="AF838" s="10"/>
      <c r="AG838" s="10"/>
      <c r="AH838" s="10"/>
      <c r="AI838" s="10"/>
      <c r="AJ838" s="10"/>
      <c r="AK838" s="10"/>
      <c r="AL838" s="10"/>
      <c r="AM838" s="10"/>
      <c r="AN838" s="10"/>
      <c r="AO838" s="10"/>
      <c r="AW838" s="143"/>
      <c r="BD838" s="10"/>
      <c r="BE838" s="10"/>
      <c r="BF838" s="10"/>
      <c r="BG838" s="10"/>
      <c r="BH838" s="10"/>
      <c r="BI838" s="10"/>
      <c r="BJ838" s="10"/>
      <c r="BK838" s="10"/>
      <c r="BL838" s="10"/>
      <c r="BM838" s="10"/>
      <c r="BN838" s="10"/>
      <c r="BO838" s="10"/>
      <c r="BP838" s="10"/>
      <c r="BQ838" s="10"/>
      <c r="BR838" s="10"/>
      <c r="BS838" s="10"/>
      <c r="BT838" s="10"/>
      <c r="BV838" s="10"/>
      <c r="BW838" s="10"/>
    </row>
    <row r="839">
      <c r="A839" s="10"/>
      <c r="B839" s="10"/>
      <c r="C839" s="10"/>
      <c r="D839" s="10"/>
      <c r="E839" s="10"/>
      <c r="F839" s="10"/>
      <c r="G839" s="10"/>
      <c r="H839" s="10"/>
      <c r="I839" s="10"/>
      <c r="K839" s="10"/>
      <c r="L839" s="10"/>
      <c r="N839" s="10"/>
      <c r="P839" s="10"/>
      <c r="T839" s="10"/>
      <c r="U839" s="10"/>
      <c r="V839" s="10"/>
      <c r="W839" s="10"/>
      <c r="Y839" s="10"/>
      <c r="Z839" s="10"/>
      <c r="AA839" s="10"/>
      <c r="AB839" s="10"/>
      <c r="AC839" s="10"/>
      <c r="AD839" s="10"/>
      <c r="AE839" s="10"/>
      <c r="AF839" s="10"/>
      <c r="AG839" s="10"/>
      <c r="AH839" s="10"/>
      <c r="AI839" s="10"/>
      <c r="AJ839" s="10"/>
      <c r="AK839" s="10"/>
      <c r="AL839" s="10"/>
      <c r="AM839" s="10"/>
      <c r="AN839" s="10"/>
      <c r="AO839" s="10"/>
      <c r="AW839" s="143"/>
      <c r="BD839" s="10"/>
      <c r="BS839" s="10"/>
      <c r="BT839" s="10"/>
      <c r="BV839" s="10"/>
      <c r="BW839" s="10"/>
    </row>
    <row r="840">
      <c r="A840" s="10"/>
      <c r="B840" s="10"/>
      <c r="C840" s="10"/>
      <c r="D840" s="10"/>
      <c r="E840" s="10"/>
      <c r="F840" s="10"/>
      <c r="G840" s="10"/>
      <c r="H840" s="10"/>
      <c r="I840" s="10"/>
      <c r="K840" s="10"/>
      <c r="L840" s="10"/>
      <c r="N840" s="10"/>
      <c r="P840" s="10"/>
      <c r="T840" s="10"/>
      <c r="U840" s="10"/>
      <c r="V840" s="10"/>
      <c r="W840" s="10"/>
      <c r="Y840" s="10"/>
      <c r="Z840" s="10"/>
      <c r="AA840" s="10"/>
      <c r="AB840" s="10"/>
      <c r="AC840" s="10"/>
      <c r="AD840" s="10"/>
      <c r="AE840" s="10"/>
      <c r="AF840" s="10"/>
      <c r="AG840" s="10"/>
      <c r="AH840" s="10"/>
      <c r="AI840" s="10"/>
      <c r="AJ840" s="10"/>
      <c r="AK840" s="10"/>
      <c r="AL840" s="10"/>
      <c r="AM840" s="10"/>
      <c r="AN840" s="10"/>
      <c r="AO840" s="10"/>
      <c r="AW840" s="143"/>
      <c r="BD840" s="10"/>
      <c r="BS840" s="10"/>
      <c r="BT840" s="10"/>
      <c r="BV840" s="10"/>
      <c r="BW840" s="10"/>
    </row>
    <row r="841">
      <c r="A841" s="10"/>
      <c r="B841" s="10"/>
      <c r="C841" s="10"/>
      <c r="D841" s="10"/>
      <c r="E841" s="10"/>
      <c r="F841" s="10"/>
      <c r="G841" s="10"/>
      <c r="H841" s="10"/>
      <c r="I841" s="10"/>
      <c r="K841" s="10"/>
      <c r="L841" s="10"/>
      <c r="N841" s="10"/>
      <c r="P841" s="10"/>
      <c r="T841" s="10"/>
      <c r="U841" s="10"/>
      <c r="V841" s="10"/>
      <c r="W841" s="10"/>
      <c r="Y841" s="10"/>
      <c r="Z841" s="10"/>
      <c r="AA841" s="10"/>
      <c r="AB841" s="10"/>
      <c r="AC841" s="10"/>
      <c r="AD841" s="10"/>
      <c r="AE841" s="10"/>
      <c r="AF841" s="10"/>
      <c r="AG841" s="10"/>
      <c r="AH841" s="10"/>
      <c r="AI841" s="10"/>
      <c r="AJ841" s="10"/>
      <c r="AK841" s="10"/>
      <c r="AL841" s="10"/>
      <c r="AM841" s="10"/>
      <c r="AN841" s="10"/>
      <c r="AO841" s="10"/>
      <c r="AW841" s="143"/>
      <c r="BD841" s="10"/>
      <c r="BE841" s="10"/>
      <c r="BF841" s="10"/>
      <c r="BG841" s="10"/>
      <c r="BH841" s="10"/>
      <c r="BI841" s="10"/>
      <c r="BJ841" s="10"/>
      <c r="BK841" s="10"/>
      <c r="BL841" s="10"/>
      <c r="BM841" s="10"/>
      <c r="BN841" s="10"/>
      <c r="BO841" s="10"/>
      <c r="BP841" s="10"/>
      <c r="BQ841" s="10"/>
      <c r="BR841" s="10"/>
      <c r="BS841" s="10"/>
      <c r="BT841" s="10"/>
      <c r="BV841" s="10"/>
      <c r="BW841" s="10"/>
    </row>
    <row r="842">
      <c r="A842" s="10"/>
      <c r="B842" s="10"/>
      <c r="C842" s="10"/>
      <c r="D842" s="10"/>
      <c r="E842" s="10"/>
      <c r="F842" s="10"/>
      <c r="G842" s="10"/>
      <c r="H842" s="10"/>
      <c r="I842" s="10"/>
      <c r="K842" s="10"/>
      <c r="L842" s="10"/>
      <c r="O842" s="10"/>
      <c r="P842" s="10"/>
      <c r="T842" s="10"/>
      <c r="U842" s="10"/>
      <c r="V842" s="10"/>
      <c r="W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U842" s="10"/>
      <c r="AV842" s="10"/>
      <c r="AW842" s="143"/>
      <c r="BD842" s="10"/>
      <c r="BL842" s="10"/>
      <c r="BO842" s="10"/>
      <c r="BR842" s="10"/>
      <c r="BS842" s="10"/>
      <c r="BT842" s="10"/>
      <c r="BV842" s="10"/>
      <c r="BW842" s="10"/>
    </row>
    <row r="843">
      <c r="A843" s="10"/>
      <c r="B843" s="10"/>
      <c r="C843" s="10"/>
      <c r="D843" s="10"/>
      <c r="E843" s="10"/>
      <c r="F843" s="10"/>
      <c r="G843" s="10"/>
      <c r="H843" s="10"/>
      <c r="I843" s="10"/>
      <c r="J843" s="10"/>
      <c r="K843" s="10"/>
      <c r="L843" s="10"/>
      <c r="N843" s="10"/>
      <c r="P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U843" s="10"/>
      <c r="AV843" s="10"/>
      <c r="AW843" s="143"/>
      <c r="BD843" s="10"/>
      <c r="BT843" s="10"/>
      <c r="BV843" s="10"/>
      <c r="BW843" s="10"/>
    </row>
    <row r="844">
      <c r="A844" s="10"/>
      <c r="B844" s="10"/>
      <c r="C844" s="10"/>
      <c r="D844" s="10"/>
      <c r="E844" s="10"/>
      <c r="F844" s="10"/>
      <c r="G844" s="10"/>
      <c r="H844" s="10"/>
      <c r="I844" s="10"/>
      <c r="K844" s="10"/>
      <c r="L844" s="10"/>
      <c r="P844" s="10"/>
      <c r="T844" s="10"/>
      <c r="U844" s="10"/>
      <c r="V844" s="10"/>
      <c r="W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U844" s="10"/>
      <c r="AV844" s="10"/>
      <c r="AW844" s="143"/>
      <c r="BD844" s="10"/>
      <c r="BE844" s="10"/>
      <c r="BF844" s="10"/>
      <c r="BG844" s="10"/>
      <c r="BH844" s="10"/>
      <c r="BI844" s="10"/>
      <c r="BJ844" s="10"/>
      <c r="BK844" s="10"/>
      <c r="BR844" s="10"/>
      <c r="BS844" s="10"/>
      <c r="BT844" s="10"/>
      <c r="BV844" s="10"/>
      <c r="BW844" s="10"/>
    </row>
    <row r="845">
      <c r="A845" s="10"/>
      <c r="B845" s="10"/>
      <c r="C845" s="10"/>
      <c r="D845" s="10"/>
      <c r="E845" s="10"/>
      <c r="F845" s="10"/>
      <c r="G845" s="10"/>
      <c r="H845" s="10"/>
      <c r="I845" s="10"/>
      <c r="K845" s="10"/>
      <c r="L845" s="10"/>
      <c r="P845" s="10"/>
      <c r="T845" s="10"/>
      <c r="U845" s="10"/>
      <c r="V845" s="10"/>
      <c r="W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U845" s="10"/>
      <c r="AV845" s="10"/>
      <c r="AW845" s="143"/>
      <c r="BD845" s="10"/>
      <c r="BE845" s="10"/>
      <c r="BF845" s="10"/>
      <c r="BG845" s="10"/>
      <c r="BH845" s="10"/>
      <c r="BI845" s="10"/>
      <c r="BJ845" s="10"/>
      <c r="BK845" s="10"/>
      <c r="BS845" s="10"/>
      <c r="BT845" s="10"/>
      <c r="BV845" s="10"/>
      <c r="BW845" s="10"/>
    </row>
    <row r="846">
      <c r="A846" s="10"/>
      <c r="B846" s="10"/>
      <c r="C846" s="10"/>
      <c r="D846" s="10"/>
      <c r="E846" s="10"/>
      <c r="F846" s="10"/>
      <c r="G846" s="10"/>
      <c r="H846" s="10"/>
      <c r="I846" s="10"/>
      <c r="J846" s="10"/>
      <c r="K846" s="10"/>
      <c r="L846" s="10"/>
      <c r="P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U846" s="10"/>
      <c r="AV846" s="10"/>
      <c r="AW846" s="143"/>
      <c r="AZ846" s="10"/>
      <c r="BD846" s="10"/>
      <c r="BE846" s="10"/>
      <c r="BF846" s="10"/>
      <c r="BG846" s="10"/>
      <c r="BH846" s="10"/>
      <c r="BI846" s="10"/>
      <c r="BJ846" s="10"/>
      <c r="BK846" s="10"/>
      <c r="BL846" s="10"/>
      <c r="BM846" s="10"/>
      <c r="BN846" s="10"/>
      <c r="BO846" s="10"/>
      <c r="BP846" s="10"/>
      <c r="BQ846" s="10"/>
      <c r="BR846" s="10"/>
      <c r="BS846" s="10"/>
      <c r="BT846" s="10"/>
      <c r="BV846" s="10"/>
      <c r="BW846" s="10"/>
    </row>
    <row r="847">
      <c r="A847" s="10"/>
      <c r="B847" s="10"/>
      <c r="C847" s="10"/>
      <c r="D847" s="10"/>
      <c r="E847" s="10"/>
      <c r="F847" s="10"/>
      <c r="G847" s="10"/>
      <c r="H847" s="10"/>
      <c r="I847" s="10"/>
      <c r="J847" s="10"/>
      <c r="K847" s="10"/>
      <c r="L847" s="10"/>
      <c r="N847" s="10"/>
      <c r="O847" s="10"/>
      <c r="P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U847" s="10"/>
      <c r="AV847" s="10"/>
      <c r="AW847" s="143"/>
      <c r="AZ847" s="10"/>
      <c r="BD847" s="10"/>
      <c r="BE847" s="10"/>
      <c r="BF847" s="10"/>
      <c r="BG847" s="10"/>
      <c r="BH847" s="10"/>
      <c r="BI847" s="10"/>
      <c r="BJ847" s="10"/>
      <c r="BK847" s="10"/>
      <c r="BS847" s="10"/>
      <c r="BT847" s="10"/>
      <c r="BV847" s="10"/>
      <c r="BW847" s="10"/>
    </row>
    <row r="848">
      <c r="A848" s="10"/>
      <c r="B848" s="10"/>
      <c r="C848" s="10"/>
      <c r="D848" s="10"/>
      <c r="E848" s="10"/>
      <c r="F848" s="10"/>
      <c r="G848" s="10"/>
      <c r="H848" s="10"/>
      <c r="I848" s="10"/>
      <c r="J848" s="10"/>
      <c r="K848" s="10"/>
      <c r="L848" s="10"/>
      <c r="O848" s="10"/>
      <c r="P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U848" s="10"/>
      <c r="AV848" s="10"/>
      <c r="AW848" s="143"/>
      <c r="BD848" s="10"/>
      <c r="BE848" s="10"/>
      <c r="BF848" s="10"/>
      <c r="BG848" s="10"/>
      <c r="BH848" s="10"/>
      <c r="BI848" s="10"/>
      <c r="BJ848" s="10"/>
      <c r="BK848" s="10"/>
      <c r="BS848" s="10"/>
      <c r="BT848" s="10"/>
      <c r="BV848" s="10"/>
      <c r="BW848" s="10"/>
    </row>
    <row r="849">
      <c r="A849" s="10"/>
      <c r="B849" s="10"/>
      <c r="C849" s="10"/>
      <c r="D849" s="10"/>
      <c r="E849" s="10"/>
      <c r="F849" s="10"/>
      <c r="G849" s="10"/>
      <c r="H849" s="10"/>
      <c r="I849" s="10"/>
      <c r="J849" s="10"/>
      <c r="K849" s="10"/>
      <c r="L849" s="10"/>
      <c r="O849" s="10"/>
      <c r="P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U849" s="10"/>
      <c r="AV849" s="10"/>
      <c r="AW849" s="143"/>
      <c r="BD849" s="10"/>
      <c r="BE849" s="10"/>
      <c r="BF849" s="10"/>
      <c r="BG849" s="10"/>
      <c r="BH849" s="10"/>
      <c r="BI849" s="10"/>
      <c r="BJ849" s="10"/>
      <c r="BK849" s="10"/>
      <c r="BS849" s="10"/>
      <c r="BT849" s="10"/>
      <c r="BV849" s="10"/>
      <c r="BW849" s="10"/>
    </row>
    <row r="850">
      <c r="A850" s="10"/>
      <c r="B850" s="10"/>
      <c r="C850" s="10"/>
      <c r="D850" s="10"/>
      <c r="E850" s="10"/>
      <c r="F850" s="10"/>
      <c r="G850" s="10"/>
      <c r="H850" s="10"/>
      <c r="I850" s="10"/>
      <c r="K850" s="10"/>
      <c r="L850" s="10"/>
      <c r="N850" s="10"/>
      <c r="P850" s="10"/>
      <c r="T850" s="10"/>
      <c r="U850" s="10"/>
      <c r="V850" s="10"/>
      <c r="W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U850" s="10"/>
      <c r="AV850" s="10"/>
      <c r="AW850" s="143"/>
      <c r="BD850" s="10"/>
      <c r="BS850" s="10"/>
      <c r="BT850" s="10"/>
      <c r="BV850" s="10"/>
      <c r="BW850" s="10"/>
    </row>
    <row r="851">
      <c r="A851" s="10"/>
      <c r="B851" s="10"/>
      <c r="C851" s="10"/>
      <c r="D851" s="10"/>
      <c r="E851" s="10"/>
      <c r="F851" s="10"/>
      <c r="G851" s="10"/>
      <c r="H851" s="10"/>
      <c r="I851" s="10"/>
      <c r="J851" s="10"/>
      <c r="K851" s="10"/>
      <c r="L851" s="10"/>
      <c r="N851" s="10"/>
      <c r="O851" s="10"/>
      <c r="P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43"/>
      <c r="AX851" s="10"/>
      <c r="AY851" s="10"/>
      <c r="BD851" s="10"/>
      <c r="BE851" s="10"/>
      <c r="BF851" s="10"/>
      <c r="BG851" s="10"/>
      <c r="BH851" s="10"/>
      <c r="BI851" s="10"/>
      <c r="BJ851" s="10"/>
      <c r="BK851" s="10"/>
      <c r="BL851" s="10"/>
      <c r="BM851" s="10"/>
      <c r="BO851" s="10"/>
      <c r="BP851" s="10"/>
      <c r="BR851" s="10"/>
      <c r="BS851" s="10"/>
      <c r="BT851" s="10"/>
      <c r="BV851" s="10"/>
      <c r="BW851" s="10"/>
    </row>
    <row r="852">
      <c r="A852" s="10"/>
      <c r="B852" s="10"/>
      <c r="C852" s="10"/>
      <c r="D852" s="10"/>
      <c r="E852" s="10"/>
      <c r="F852" s="10"/>
      <c r="G852" s="10"/>
      <c r="H852" s="10"/>
      <c r="I852" s="10"/>
      <c r="K852" s="10"/>
      <c r="L852" s="10"/>
      <c r="N852" s="10"/>
      <c r="P852" s="10"/>
      <c r="T852" s="10"/>
      <c r="U852" s="10"/>
      <c r="V852" s="10"/>
      <c r="W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U852" s="10"/>
      <c r="AV852" s="10"/>
      <c r="AW852" s="143"/>
      <c r="BD852" s="10"/>
      <c r="BE852" s="10"/>
      <c r="BF852" s="10"/>
      <c r="BG852" s="10"/>
      <c r="BH852" s="10"/>
      <c r="BI852" s="10"/>
      <c r="BJ852" s="10"/>
      <c r="BK852" s="10"/>
      <c r="BS852" s="10"/>
      <c r="BT852" s="10"/>
      <c r="BV852" s="10"/>
      <c r="BW852" s="10"/>
    </row>
    <row r="853">
      <c r="A853" s="10"/>
      <c r="B853" s="10"/>
      <c r="C853" s="10"/>
      <c r="D853" s="10"/>
      <c r="E853" s="10"/>
      <c r="F853" s="10"/>
      <c r="G853" s="10"/>
      <c r="H853" s="10"/>
      <c r="I853" s="10"/>
      <c r="K853" s="10"/>
      <c r="L853" s="10"/>
      <c r="N853" s="10"/>
      <c r="P853" s="10"/>
      <c r="T853" s="10"/>
      <c r="U853" s="10"/>
      <c r="V853" s="10"/>
      <c r="W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U853" s="10"/>
      <c r="AV853" s="10"/>
      <c r="AW853" s="143"/>
      <c r="BD853" s="10"/>
      <c r="BE853" s="10"/>
      <c r="BF853" s="10"/>
      <c r="BG853" s="10"/>
      <c r="BH853" s="10"/>
      <c r="BI853" s="10"/>
      <c r="BJ853" s="10"/>
      <c r="BK853" s="10"/>
      <c r="BL853" s="10"/>
      <c r="BO853" s="10"/>
      <c r="BR853" s="10"/>
      <c r="BS853" s="10"/>
      <c r="BT853" s="10"/>
      <c r="BV853" s="10"/>
      <c r="BW853" s="10"/>
    </row>
    <row r="854">
      <c r="A854" s="10"/>
      <c r="B854" s="10"/>
      <c r="C854" s="10"/>
      <c r="D854" s="10"/>
      <c r="E854" s="10"/>
      <c r="F854" s="10"/>
      <c r="G854" s="10"/>
      <c r="H854" s="10"/>
      <c r="I854" s="10"/>
      <c r="K854" s="10"/>
      <c r="L854" s="10"/>
      <c r="T854" s="10"/>
      <c r="U854" s="10"/>
      <c r="V854" s="10"/>
      <c r="W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U854" s="10"/>
      <c r="AV854" s="10"/>
      <c r="AW854" s="143"/>
      <c r="BD854" s="10"/>
      <c r="BE854" s="10"/>
      <c r="BF854" s="10"/>
      <c r="BG854" s="10"/>
      <c r="BH854" s="10"/>
      <c r="BI854" s="10"/>
      <c r="BJ854" s="10"/>
      <c r="BK854" s="10"/>
      <c r="BL854" s="10"/>
      <c r="BM854" s="10"/>
      <c r="BN854" s="10"/>
      <c r="BO854" s="10"/>
      <c r="BP854" s="10"/>
      <c r="BQ854" s="10"/>
      <c r="BR854" s="10"/>
      <c r="BS854" s="10"/>
      <c r="BT854" s="10"/>
      <c r="BV854" s="10"/>
      <c r="BW854" s="10"/>
    </row>
    <row r="855">
      <c r="A855" s="10"/>
      <c r="B855" s="10"/>
      <c r="C855" s="10"/>
      <c r="D855" s="10"/>
      <c r="E855" s="10"/>
      <c r="F855" s="10"/>
      <c r="G855" s="10"/>
      <c r="H855" s="10"/>
      <c r="I855" s="10"/>
      <c r="K855" s="10"/>
      <c r="L855" s="10"/>
      <c r="P855" s="10"/>
      <c r="T855" s="10"/>
      <c r="U855" s="10"/>
      <c r="V855" s="10"/>
      <c r="W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U855" s="10"/>
      <c r="AV855" s="10"/>
      <c r="AW855" s="143"/>
      <c r="BD855" s="10"/>
      <c r="BE855" s="10"/>
      <c r="BF855" s="10"/>
      <c r="BG855" s="10"/>
      <c r="BH855" s="10"/>
      <c r="BI855" s="10"/>
      <c r="BJ855" s="10"/>
      <c r="BK855" s="10"/>
      <c r="BS855" s="10"/>
      <c r="BT855" s="10"/>
      <c r="BV855" s="10"/>
      <c r="BW855" s="10"/>
    </row>
    <row r="856">
      <c r="A856" s="10"/>
      <c r="B856" s="10"/>
      <c r="C856" s="10"/>
      <c r="D856" s="10"/>
      <c r="E856" s="10"/>
      <c r="F856" s="10"/>
      <c r="G856" s="10"/>
      <c r="H856" s="10"/>
      <c r="I856" s="10"/>
      <c r="J856" s="10"/>
      <c r="K856" s="10"/>
      <c r="L856" s="10"/>
      <c r="P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U856" s="10"/>
      <c r="AV856" s="10"/>
      <c r="AW856" s="143"/>
      <c r="BD856" s="10"/>
      <c r="BE856" s="10"/>
      <c r="BF856" s="10"/>
      <c r="BG856" s="10"/>
      <c r="BH856" s="10"/>
      <c r="BI856" s="10"/>
      <c r="BJ856" s="10"/>
      <c r="BK856" s="10"/>
      <c r="BS856" s="10"/>
      <c r="BT856" s="10"/>
      <c r="BV856" s="10"/>
      <c r="BW856" s="10"/>
    </row>
    <row r="857">
      <c r="A857" s="10"/>
      <c r="B857" s="10"/>
      <c r="C857" s="10"/>
      <c r="D857" s="10"/>
      <c r="E857" s="10"/>
      <c r="F857" s="10"/>
      <c r="G857" s="10"/>
      <c r="H857" s="10"/>
      <c r="I857" s="10"/>
      <c r="K857" s="10"/>
      <c r="L857" s="10"/>
      <c r="P857" s="10"/>
      <c r="T857" s="10"/>
      <c r="U857" s="10"/>
      <c r="V857" s="10"/>
      <c r="W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U857" s="10"/>
      <c r="AV857" s="10"/>
      <c r="AW857" s="143"/>
      <c r="BD857" s="10"/>
      <c r="BE857" s="10"/>
      <c r="BF857" s="10"/>
      <c r="BG857" s="10"/>
      <c r="BH857" s="10"/>
      <c r="BI857" s="10"/>
      <c r="BJ857" s="10"/>
      <c r="BK857" s="10"/>
      <c r="BS857" s="10"/>
      <c r="BT857" s="10"/>
      <c r="BV857" s="10"/>
      <c r="BW857" s="10"/>
    </row>
    <row r="858">
      <c r="A858" s="10"/>
      <c r="B858" s="10"/>
      <c r="C858" s="10"/>
      <c r="D858" s="10"/>
      <c r="E858" s="10"/>
      <c r="F858" s="10"/>
      <c r="G858" s="10"/>
      <c r="H858" s="10"/>
      <c r="I858" s="10"/>
      <c r="K858" s="10"/>
      <c r="L858" s="10"/>
      <c r="N858" s="10"/>
      <c r="P858" s="10"/>
      <c r="T858" s="10"/>
      <c r="U858" s="10"/>
      <c r="V858" s="10"/>
      <c r="W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U858" s="10"/>
      <c r="AV858" s="10"/>
      <c r="AW858" s="143"/>
      <c r="BD858" s="10"/>
      <c r="BE858" s="10"/>
      <c r="BF858" s="10"/>
      <c r="BG858" s="10"/>
      <c r="BH858" s="10"/>
      <c r="BI858" s="10"/>
      <c r="BJ858" s="10"/>
      <c r="BK858" s="10"/>
      <c r="BS858" s="10"/>
      <c r="BT858" s="10"/>
      <c r="BV858" s="10"/>
      <c r="BW858" s="10"/>
    </row>
    <row r="859">
      <c r="A859" s="10"/>
      <c r="B859" s="10"/>
      <c r="C859" s="10"/>
      <c r="D859" s="10"/>
      <c r="E859" s="10"/>
      <c r="F859" s="10"/>
      <c r="G859" s="10"/>
      <c r="H859" s="10"/>
      <c r="I859" s="10"/>
      <c r="K859" s="10"/>
      <c r="L859" s="10"/>
      <c r="N859" s="10"/>
      <c r="P859" s="10"/>
      <c r="T859" s="10"/>
      <c r="U859" s="10"/>
      <c r="V859" s="10"/>
      <c r="W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U859" s="10"/>
      <c r="AV859" s="10"/>
      <c r="AW859" s="143"/>
      <c r="BD859" s="10"/>
      <c r="BE859" s="10"/>
      <c r="BF859" s="10"/>
      <c r="BG859" s="10"/>
      <c r="BH859" s="10"/>
      <c r="BI859" s="10"/>
      <c r="BJ859" s="10"/>
      <c r="BK859" s="10"/>
      <c r="BL859" s="10"/>
      <c r="BM859" s="10"/>
      <c r="BN859" s="10"/>
      <c r="BO859" s="10"/>
      <c r="BP859" s="10"/>
      <c r="BQ859" s="10"/>
      <c r="BR859" s="10"/>
      <c r="BS859" s="10"/>
      <c r="BT859" s="10"/>
      <c r="BV859" s="10"/>
      <c r="BW859" s="10"/>
    </row>
    <row r="860">
      <c r="A860" s="10"/>
      <c r="B860" s="10"/>
      <c r="C860" s="10"/>
      <c r="D860" s="10"/>
      <c r="E860" s="10"/>
      <c r="F860" s="10"/>
      <c r="G860" s="10"/>
      <c r="H860" s="10"/>
      <c r="I860" s="10"/>
      <c r="K860" s="10"/>
      <c r="L860" s="10"/>
      <c r="N860" s="10"/>
      <c r="P860" s="10"/>
      <c r="T860" s="10"/>
      <c r="U860" s="10"/>
      <c r="V860" s="10"/>
      <c r="W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U860" s="10"/>
      <c r="AV860" s="10"/>
      <c r="AW860" s="143"/>
      <c r="BD860" s="10"/>
      <c r="BE860" s="10"/>
      <c r="BF860" s="10"/>
      <c r="BG860" s="10"/>
      <c r="BH860" s="10"/>
      <c r="BI860" s="10"/>
      <c r="BJ860" s="10"/>
      <c r="BK860" s="10"/>
      <c r="BS860" s="10"/>
      <c r="BT860" s="10"/>
      <c r="BV860" s="10"/>
      <c r="BW860" s="10"/>
    </row>
    <row r="861">
      <c r="A861" s="10"/>
      <c r="B861" s="10"/>
      <c r="C861" s="10"/>
      <c r="D861" s="10"/>
      <c r="E861" s="10"/>
      <c r="F861" s="10"/>
      <c r="G861" s="10"/>
      <c r="H861" s="10"/>
      <c r="I861" s="10"/>
      <c r="J861" s="10"/>
      <c r="K861" s="10"/>
      <c r="L861" s="10"/>
      <c r="P861" s="10"/>
      <c r="T861" s="10"/>
      <c r="U861" s="10"/>
      <c r="V861" s="10"/>
      <c r="W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U861" s="10"/>
      <c r="AV861" s="10"/>
      <c r="AW861" s="143"/>
      <c r="BD861" s="10"/>
      <c r="BE861" s="10"/>
      <c r="BF861" s="10"/>
      <c r="BG861" s="10"/>
      <c r="BH861" s="10"/>
      <c r="BI861" s="10"/>
      <c r="BJ861" s="10"/>
      <c r="BK861" s="10"/>
      <c r="BS861" s="10"/>
      <c r="BT861" s="10"/>
      <c r="BU861" s="10"/>
      <c r="BV861" s="10"/>
      <c r="BW861" s="10"/>
    </row>
    <row r="862">
      <c r="A862" s="10"/>
      <c r="B862" s="10"/>
      <c r="C862" s="10"/>
      <c r="D862" s="10"/>
      <c r="E862" s="10"/>
      <c r="F862" s="10"/>
      <c r="G862" s="10"/>
      <c r="H862" s="10"/>
      <c r="K862" s="10"/>
      <c r="L862" s="10"/>
      <c r="P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W862" s="143"/>
      <c r="BD862" s="10"/>
      <c r="BS862" s="10"/>
      <c r="BT862" s="10"/>
      <c r="BV862" s="10"/>
      <c r="BW862" s="10"/>
    </row>
    <row r="863">
      <c r="A863" s="10"/>
      <c r="B863" s="10"/>
      <c r="C863" s="10"/>
      <c r="D863" s="10"/>
      <c r="E863" s="10"/>
      <c r="F863" s="10"/>
      <c r="G863" s="10"/>
      <c r="H863" s="10"/>
      <c r="K863" s="10"/>
      <c r="L863" s="10"/>
      <c r="P863" s="10"/>
      <c r="T863" s="10"/>
      <c r="U863" s="10"/>
      <c r="V863" s="10"/>
      <c r="W863" s="10"/>
      <c r="Y863" s="10"/>
      <c r="Z863" s="10"/>
      <c r="AA863" s="10"/>
      <c r="AB863" s="10"/>
      <c r="AC863" s="10"/>
      <c r="AD863" s="10"/>
      <c r="AE863" s="10"/>
      <c r="AF863" s="10"/>
      <c r="AG863" s="10"/>
      <c r="AH863" s="10"/>
      <c r="AI863" s="10"/>
      <c r="AJ863" s="10"/>
      <c r="AK863" s="10"/>
      <c r="AL863" s="10"/>
      <c r="AM863" s="10"/>
      <c r="AN863" s="10"/>
      <c r="AO863" s="10"/>
      <c r="AW863" s="143"/>
      <c r="AZ863" s="10"/>
      <c r="BD863" s="10"/>
      <c r="BE863" s="10"/>
      <c r="BF863" s="10"/>
      <c r="BG863" s="10"/>
      <c r="BH863" s="10"/>
      <c r="BI863" s="10"/>
      <c r="BJ863" s="10"/>
      <c r="BK863" s="10"/>
      <c r="BL863" s="10"/>
      <c r="BO863" s="10"/>
      <c r="BR863" s="10"/>
      <c r="BS863" s="10"/>
      <c r="BT863" s="10"/>
      <c r="BV863" s="10"/>
      <c r="BW863" s="10"/>
    </row>
    <row r="864">
      <c r="A864" s="10"/>
      <c r="B864" s="10"/>
      <c r="C864" s="10"/>
      <c r="D864" s="10"/>
      <c r="E864" s="10"/>
      <c r="F864" s="10"/>
      <c r="G864" s="10"/>
      <c r="H864" s="10"/>
      <c r="K864" s="10"/>
      <c r="L864" s="10"/>
      <c r="P864" s="10"/>
      <c r="T864" s="10"/>
      <c r="U864" s="10"/>
      <c r="V864" s="10"/>
      <c r="W864" s="10"/>
      <c r="Y864" s="10"/>
      <c r="Z864" s="10"/>
      <c r="AA864" s="10"/>
      <c r="AB864" s="10"/>
      <c r="AC864" s="10"/>
      <c r="AD864" s="10"/>
      <c r="AE864" s="10"/>
      <c r="AF864" s="10"/>
      <c r="AG864" s="10"/>
      <c r="AH864" s="10"/>
      <c r="AI864" s="10"/>
      <c r="AJ864" s="10"/>
      <c r="AK864" s="10"/>
      <c r="AL864" s="10"/>
      <c r="AM864" s="10"/>
      <c r="AO864" s="10"/>
      <c r="AW864" s="143"/>
      <c r="AZ864" s="10"/>
      <c r="BD864" s="10"/>
      <c r="BE864" s="10"/>
      <c r="BF864" s="10"/>
      <c r="BG864" s="10"/>
      <c r="BH864" s="10"/>
      <c r="BI864" s="10"/>
      <c r="BJ864" s="10"/>
      <c r="BK864" s="10"/>
      <c r="BS864" s="10"/>
      <c r="BT864" s="10"/>
      <c r="BV864" s="10"/>
      <c r="BW864" s="10"/>
    </row>
    <row r="865">
      <c r="A865" s="10"/>
      <c r="B865" s="10"/>
      <c r="C865" s="10"/>
      <c r="D865" s="10"/>
      <c r="E865" s="10"/>
      <c r="F865" s="10"/>
      <c r="G865" s="10"/>
      <c r="H865" s="10"/>
      <c r="K865" s="10"/>
      <c r="L865" s="10"/>
      <c r="P865" s="10"/>
      <c r="T865" s="10"/>
      <c r="U865" s="10"/>
      <c r="V865" s="10"/>
      <c r="W865" s="10"/>
      <c r="X865" s="10"/>
      <c r="Y865" s="10"/>
      <c r="Z865" s="10"/>
      <c r="AA865" s="10"/>
      <c r="AB865" s="10"/>
      <c r="AC865" s="10"/>
      <c r="AD865" s="10"/>
      <c r="AE865" s="10"/>
      <c r="AF865" s="10"/>
      <c r="AG865" s="10"/>
      <c r="AH865" s="10"/>
      <c r="AI865" s="10"/>
      <c r="AJ865" s="10"/>
      <c r="AK865" s="10"/>
      <c r="AL865" s="10"/>
      <c r="AM865" s="10"/>
      <c r="AO865" s="10"/>
      <c r="AW865" s="143"/>
      <c r="AZ865" s="10"/>
      <c r="BD865" s="10"/>
      <c r="BS865" s="10"/>
      <c r="BT865" s="10"/>
      <c r="BV865" s="10"/>
      <c r="BW865" s="10"/>
    </row>
    <row r="866">
      <c r="A866" s="10"/>
      <c r="B866" s="10"/>
      <c r="C866" s="10"/>
      <c r="D866" s="10"/>
      <c r="E866" s="10"/>
      <c r="F866" s="10"/>
      <c r="G866" s="10"/>
      <c r="H866" s="10"/>
      <c r="K866" s="10"/>
      <c r="L866" s="10"/>
      <c r="P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W866" s="143"/>
      <c r="BD866" s="10"/>
      <c r="BS866" s="10"/>
      <c r="BT866" s="10"/>
      <c r="BV866" s="10"/>
      <c r="BW866" s="10"/>
    </row>
    <row r="867">
      <c r="A867" s="10"/>
      <c r="B867" s="10"/>
      <c r="C867" s="10"/>
      <c r="D867" s="10"/>
      <c r="E867" s="10"/>
      <c r="F867" s="10"/>
      <c r="G867" s="10"/>
      <c r="H867" s="10"/>
      <c r="K867" s="10"/>
      <c r="L867" s="10"/>
      <c r="O867" s="10"/>
      <c r="P867" s="10"/>
      <c r="T867" s="10"/>
      <c r="U867" s="10"/>
      <c r="V867" s="10"/>
      <c r="W867" s="10"/>
      <c r="Y867" s="10"/>
      <c r="Z867" s="10"/>
      <c r="AA867" s="10"/>
      <c r="AB867" s="10"/>
      <c r="AC867" s="10"/>
      <c r="AD867" s="10"/>
      <c r="AE867" s="10"/>
      <c r="AF867" s="10"/>
      <c r="AG867" s="10"/>
      <c r="AH867" s="10"/>
      <c r="AI867" s="10"/>
      <c r="AJ867" s="10"/>
      <c r="AK867" s="10"/>
      <c r="AL867" s="10"/>
      <c r="AM867" s="10"/>
      <c r="AN867" s="10"/>
      <c r="AO867" s="10"/>
      <c r="AW867" s="143"/>
      <c r="BD867" s="10"/>
      <c r="BE867" s="10"/>
      <c r="BF867" s="10"/>
      <c r="BG867" s="10"/>
      <c r="BH867" s="10"/>
      <c r="BI867" s="10"/>
      <c r="BJ867" s="10"/>
      <c r="BK867" s="10"/>
      <c r="BL867" s="10"/>
      <c r="BO867" s="10"/>
      <c r="BR867" s="10"/>
      <c r="BT867" s="10"/>
      <c r="BV867" s="10"/>
      <c r="BW867" s="10"/>
    </row>
    <row r="868">
      <c r="A868" s="10"/>
      <c r="B868" s="10"/>
      <c r="C868" s="10"/>
      <c r="D868" s="10"/>
      <c r="E868" s="10"/>
      <c r="F868" s="10"/>
      <c r="G868" s="10"/>
      <c r="H868" s="10"/>
      <c r="K868" s="10"/>
      <c r="L868" s="10"/>
      <c r="P868" s="10"/>
      <c r="Q868" s="10"/>
      <c r="R868" s="10"/>
      <c r="S868" s="10"/>
      <c r="T868" s="10"/>
      <c r="U868" s="10"/>
      <c r="V868" s="10"/>
      <c r="W868" s="10"/>
      <c r="Y868" s="10"/>
      <c r="Z868" s="10"/>
      <c r="AA868" s="10"/>
      <c r="AB868" s="10"/>
      <c r="AC868" s="10"/>
      <c r="AD868" s="10"/>
      <c r="AE868" s="10"/>
      <c r="AF868" s="10"/>
      <c r="AG868" s="10"/>
      <c r="AH868" s="10"/>
      <c r="AI868" s="10"/>
      <c r="AJ868" s="10"/>
      <c r="AK868" s="10"/>
      <c r="AL868" s="10"/>
      <c r="AM868" s="10"/>
      <c r="AN868" s="10"/>
      <c r="AO868" s="10"/>
      <c r="AW868" s="143"/>
      <c r="BD868" s="10"/>
      <c r="BE868" s="10"/>
      <c r="BF868" s="10"/>
      <c r="BG868" s="10"/>
      <c r="BH868" s="10"/>
      <c r="BI868" s="10"/>
      <c r="BJ868" s="10"/>
      <c r="BK868" s="10"/>
      <c r="BL868" s="10"/>
      <c r="BM868" s="10"/>
      <c r="BN868" s="10"/>
      <c r="BO868" s="10"/>
      <c r="BP868" s="10"/>
      <c r="BQ868" s="10"/>
      <c r="BR868" s="10"/>
      <c r="BS868" s="10"/>
      <c r="BT868" s="10"/>
      <c r="BV868" s="10"/>
      <c r="BW868" s="10"/>
    </row>
    <row r="869">
      <c r="A869" s="10"/>
      <c r="B869" s="10"/>
      <c r="C869" s="10"/>
      <c r="D869" s="10"/>
      <c r="E869" s="10"/>
      <c r="F869" s="10"/>
      <c r="G869" s="10"/>
      <c r="H869" s="10"/>
      <c r="K869" s="10"/>
      <c r="L869" s="10"/>
      <c r="Q869" s="10"/>
      <c r="R869" s="10"/>
      <c r="S869" s="10"/>
      <c r="V869" s="10"/>
      <c r="W869" s="10"/>
      <c r="Y869" s="10"/>
      <c r="Z869" s="10"/>
      <c r="AA869" s="10"/>
      <c r="AB869" s="10"/>
      <c r="AC869" s="10"/>
      <c r="AD869" s="10"/>
      <c r="AE869" s="10"/>
      <c r="AF869" s="10"/>
      <c r="AG869" s="10"/>
      <c r="AH869" s="10"/>
      <c r="AI869" s="10"/>
      <c r="AJ869" s="10"/>
      <c r="AK869" s="10"/>
      <c r="AL869" s="10"/>
      <c r="AM869" s="10"/>
      <c r="AN869" s="10"/>
      <c r="AO869" s="10"/>
      <c r="AW869" s="143"/>
      <c r="BD869" s="10"/>
      <c r="BE869" s="10"/>
      <c r="BF869" s="10"/>
      <c r="BG869" s="10"/>
      <c r="BH869" s="10"/>
      <c r="BI869" s="10"/>
      <c r="BJ869" s="10"/>
      <c r="BK869" s="10"/>
      <c r="BL869" s="10"/>
      <c r="BM869" s="10"/>
      <c r="BN869" s="10"/>
      <c r="BO869" s="10"/>
      <c r="BP869" s="10"/>
      <c r="BQ869" s="10"/>
      <c r="BR869" s="10"/>
      <c r="BS869" s="10"/>
      <c r="BT869" s="10"/>
      <c r="BV869" s="10"/>
      <c r="BW869" s="10"/>
    </row>
    <row r="870">
      <c r="A870" s="10"/>
      <c r="B870" s="10"/>
      <c r="C870" s="10"/>
      <c r="D870" s="10"/>
      <c r="E870" s="10"/>
      <c r="F870" s="10"/>
      <c r="G870" s="10"/>
      <c r="H870" s="10"/>
      <c r="K870" s="10"/>
      <c r="L870" s="10"/>
      <c r="V870" s="10"/>
      <c r="W870" s="10"/>
      <c r="Y870" s="10"/>
      <c r="Z870" s="10"/>
      <c r="AA870" s="10"/>
      <c r="AB870" s="10"/>
      <c r="AC870" s="10"/>
      <c r="AD870" s="10"/>
      <c r="AE870" s="10"/>
      <c r="AF870" s="10"/>
      <c r="AG870" s="10"/>
      <c r="AH870" s="10"/>
      <c r="AI870" s="10"/>
      <c r="AJ870" s="10"/>
      <c r="AK870" s="10"/>
      <c r="AL870" s="10"/>
      <c r="AM870" s="10"/>
      <c r="AN870" s="10"/>
      <c r="AO870" s="10"/>
      <c r="AW870" s="143"/>
      <c r="BD870" s="10"/>
      <c r="BE870" s="10"/>
      <c r="BF870" s="10"/>
      <c r="BG870" s="10"/>
      <c r="BH870" s="10"/>
      <c r="BI870" s="10"/>
      <c r="BJ870" s="10"/>
      <c r="BK870" s="10"/>
      <c r="BS870" s="10"/>
      <c r="BT870" s="10"/>
      <c r="BV870" s="10"/>
      <c r="BW870" s="10"/>
    </row>
    <row r="871">
      <c r="A871" s="10"/>
      <c r="B871" s="10"/>
      <c r="C871" s="10"/>
      <c r="D871" s="10"/>
      <c r="E871" s="10"/>
      <c r="F871" s="10"/>
      <c r="G871" s="10"/>
      <c r="H871" s="10"/>
      <c r="K871" s="10"/>
      <c r="L871" s="10"/>
      <c r="N871" s="10"/>
      <c r="V871" s="10"/>
      <c r="W871" s="10"/>
      <c r="Y871" s="10"/>
      <c r="Z871" s="10"/>
      <c r="AA871" s="10"/>
      <c r="AB871" s="10"/>
      <c r="AC871" s="10"/>
      <c r="AD871" s="10"/>
      <c r="AE871" s="10"/>
      <c r="AF871" s="10"/>
      <c r="AG871" s="10"/>
      <c r="AH871" s="10"/>
      <c r="AI871" s="10"/>
      <c r="AJ871" s="10"/>
      <c r="AK871" s="10"/>
      <c r="AL871" s="10"/>
      <c r="AM871" s="10"/>
      <c r="AN871" s="10"/>
      <c r="AO871" s="10"/>
      <c r="AW871" s="143"/>
      <c r="BD871" s="10"/>
      <c r="BE871" s="10"/>
      <c r="BF871" s="10"/>
      <c r="BG871" s="10"/>
      <c r="BH871" s="10"/>
      <c r="BI871" s="10"/>
      <c r="BJ871" s="10"/>
      <c r="BK871" s="10"/>
      <c r="BS871" s="10"/>
      <c r="BT871" s="10"/>
      <c r="BV871" s="10"/>
      <c r="BW871" s="10"/>
    </row>
    <row r="872">
      <c r="A872" s="10"/>
      <c r="B872" s="10"/>
      <c r="C872" s="10"/>
      <c r="D872" s="10"/>
      <c r="E872" s="10"/>
      <c r="F872" s="10"/>
      <c r="G872" s="10"/>
      <c r="H872" s="10"/>
      <c r="K872" s="10"/>
      <c r="L872" s="10"/>
      <c r="N872" s="10"/>
      <c r="V872" s="10"/>
      <c r="W872" s="10"/>
      <c r="Y872" s="10"/>
      <c r="Z872" s="10"/>
      <c r="AA872" s="10"/>
      <c r="AB872" s="10"/>
      <c r="AC872" s="10"/>
      <c r="AD872" s="10"/>
      <c r="AE872" s="10"/>
      <c r="AF872" s="10"/>
      <c r="AG872" s="10"/>
      <c r="AH872" s="10"/>
      <c r="AI872" s="10"/>
      <c r="AJ872" s="10"/>
      <c r="AK872" s="10"/>
      <c r="AL872" s="10"/>
      <c r="AM872" s="10"/>
      <c r="AN872" s="10"/>
      <c r="AO872" s="10"/>
      <c r="AW872" s="143"/>
      <c r="BD872" s="10"/>
      <c r="BE872" s="10"/>
      <c r="BF872" s="10"/>
      <c r="BG872" s="10"/>
      <c r="BH872" s="10"/>
      <c r="BI872" s="10"/>
      <c r="BJ872" s="10"/>
      <c r="BK872" s="10"/>
      <c r="BS872" s="10"/>
      <c r="BT872" s="10"/>
      <c r="BV872" s="10"/>
      <c r="BW872" s="10"/>
    </row>
    <row r="873">
      <c r="A873" s="10"/>
      <c r="B873" s="10"/>
      <c r="C873" s="10"/>
      <c r="D873" s="10"/>
      <c r="E873" s="10"/>
      <c r="F873" s="10"/>
      <c r="G873" s="10"/>
      <c r="H873" s="10"/>
      <c r="K873" s="10"/>
      <c r="L873" s="10"/>
      <c r="N873" s="10"/>
      <c r="V873" s="10"/>
      <c r="W873" s="10"/>
      <c r="Y873" s="10"/>
      <c r="Z873" s="10"/>
      <c r="AA873" s="10"/>
      <c r="AB873" s="10"/>
      <c r="AC873" s="10"/>
      <c r="AD873" s="10"/>
      <c r="AE873" s="10"/>
      <c r="AF873" s="10"/>
      <c r="AG873" s="10"/>
      <c r="AH873" s="10"/>
      <c r="AI873" s="10"/>
      <c r="AJ873" s="10"/>
      <c r="AK873" s="10"/>
      <c r="AL873" s="10"/>
      <c r="AM873" s="10"/>
      <c r="AN873" s="10"/>
      <c r="AO873" s="10"/>
      <c r="AW873" s="143"/>
      <c r="BD873" s="10"/>
      <c r="BE873" s="10"/>
      <c r="BF873" s="10"/>
      <c r="BG873" s="10"/>
      <c r="BH873" s="10"/>
      <c r="BI873" s="10"/>
      <c r="BJ873" s="10"/>
      <c r="BK873" s="10"/>
      <c r="BS873" s="10"/>
      <c r="BT873" s="10"/>
      <c r="BV873" s="10"/>
      <c r="BW873" s="10"/>
    </row>
    <row r="874">
      <c r="A874" s="10"/>
      <c r="B874" s="10"/>
      <c r="C874" s="10"/>
      <c r="D874" s="10"/>
      <c r="E874" s="10"/>
      <c r="F874" s="10"/>
      <c r="G874" s="10"/>
      <c r="H874" s="10"/>
      <c r="K874" s="10"/>
      <c r="L874" s="10"/>
      <c r="V874" s="10"/>
      <c r="W874" s="10"/>
      <c r="Y874" s="10"/>
      <c r="Z874" s="10"/>
      <c r="AA874" s="10"/>
      <c r="AB874" s="10"/>
      <c r="AC874" s="10"/>
      <c r="AD874" s="10"/>
      <c r="AE874" s="10"/>
      <c r="AF874" s="10"/>
      <c r="AG874" s="10"/>
      <c r="AH874" s="10"/>
      <c r="AI874" s="10"/>
      <c r="AJ874" s="10"/>
      <c r="AK874" s="10"/>
      <c r="AL874" s="10"/>
      <c r="AM874" s="10"/>
      <c r="AN874" s="10"/>
      <c r="AO874" s="10"/>
      <c r="AW874" s="143"/>
      <c r="BD874" s="10"/>
      <c r="BE874" s="10"/>
      <c r="BF874" s="10"/>
      <c r="BG874" s="10"/>
      <c r="BH874" s="10"/>
      <c r="BI874" s="10"/>
      <c r="BJ874" s="10"/>
      <c r="BK874" s="10"/>
      <c r="BS874" s="10"/>
      <c r="BT874" s="10"/>
      <c r="BV874" s="10"/>
      <c r="BW874" s="10"/>
    </row>
    <row r="875">
      <c r="A875" s="10"/>
      <c r="B875" s="10"/>
      <c r="C875" s="10"/>
      <c r="D875" s="10"/>
      <c r="E875" s="10"/>
      <c r="F875" s="10"/>
      <c r="G875" s="10"/>
      <c r="H875" s="10"/>
      <c r="K875" s="10"/>
      <c r="L875" s="10"/>
      <c r="P875" s="10"/>
      <c r="V875" s="10"/>
      <c r="W875" s="10"/>
      <c r="Y875" s="10"/>
      <c r="Z875" s="10"/>
      <c r="AA875" s="10"/>
      <c r="AB875" s="10"/>
      <c r="AC875" s="10"/>
      <c r="AD875" s="10"/>
      <c r="AE875" s="10"/>
      <c r="AF875" s="10"/>
      <c r="AG875" s="10"/>
      <c r="AH875" s="10"/>
      <c r="AI875" s="10"/>
      <c r="AJ875" s="10"/>
      <c r="AK875" s="10"/>
      <c r="AL875" s="10"/>
      <c r="AM875" s="10"/>
      <c r="AN875" s="10"/>
      <c r="AO875" s="10"/>
      <c r="AW875" s="143"/>
      <c r="BD875" s="10"/>
      <c r="BE875" s="10"/>
      <c r="BF875" s="10"/>
      <c r="BG875" s="10"/>
      <c r="BH875" s="10"/>
      <c r="BI875" s="10"/>
      <c r="BJ875" s="10"/>
      <c r="BK875" s="10"/>
      <c r="BS875" s="10"/>
      <c r="BT875" s="10"/>
      <c r="BV875" s="10"/>
      <c r="BW875" s="10"/>
    </row>
    <row r="876">
      <c r="A876" s="10"/>
      <c r="B876" s="10"/>
      <c r="C876" s="10"/>
      <c r="D876" s="10"/>
      <c r="E876" s="10"/>
      <c r="F876" s="10"/>
      <c r="G876" s="10"/>
      <c r="H876" s="10"/>
      <c r="K876" s="10"/>
      <c r="L876" s="10"/>
      <c r="P876" s="10"/>
      <c r="V876" s="10"/>
      <c r="W876" s="10"/>
      <c r="Y876" s="10"/>
      <c r="Z876" s="10"/>
      <c r="AA876" s="10"/>
      <c r="AB876" s="10"/>
      <c r="AC876" s="10"/>
      <c r="AD876" s="10"/>
      <c r="AE876" s="10"/>
      <c r="AF876" s="10"/>
      <c r="AG876" s="10"/>
      <c r="AH876" s="10"/>
      <c r="AI876" s="10"/>
      <c r="AJ876" s="10"/>
      <c r="AK876" s="10"/>
      <c r="AL876" s="10"/>
      <c r="AM876" s="10"/>
      <c r="AN876" s="10"/>
      <c r="AO876" s="10"/>
      <c r="AW876" s="143"/>
      <c r="BD876" s="10"/>
      <c r="BE876" s="10"/>
      <c r="BF876" s="10"/>
      <c r="BG876" s="10"/>
      <c r="BH876" s="10"/>
      <c r="BI876" s="10"/>
      <c r="BJ876" s="10"/>
      <c r="BK876" s="10"/>
      <c r="BS876" s="10"/>
      <c r="BT876" s="10"/>
      <c r="BV876" s="10"/>
      <c r="BW876" s="10"/>
    </row>
    <row r="877">
      <c r="A877" s="10"/>
      <c r="B877" s="10"/>
      <c r="C877" s="10"/>
      <c r="D877" s="10"/>
      <c r="E877" s="10"/>
      <c r="F877" s="10"/>
      <c r="G877" s="10"/>
      <c r="H877" s="10"/>
      <c r="J877" s="10"/>
      <c r="K877" s="10"/>
      <c r="L877" s="10"/>
      <c r="V877" s="10"/>
      <c r="W877" s="10"/>
      <c r="Y877" s="10"/>
      <c r="Z877" s="10"/>
      <c r="AA877" s="10"/>
      <c r="AB877" s="10"/>
      <c r="AC877" s="10"/>
      <c r="AD877" s="10"/>
      <c r="AE877" s="10"/>
      <c r="AF877" s="10"/>
      <c r="AG877" s="10"/>
      <c r="AH877" s="10"/>
      <c r="AI877" s="10"/>
      <c r="AJ877" s="10"/>
      <c r="AK877" s="10"/>
      <c r="AL877" s="10"/>
      <c r="AM877" s="10"/>
      <c r="AN877" s="10"/>
      <c r="AO877" s="10"/>
      <c r="AW877" s="143"/>
      <c r="BD877" s="10"/>
      <c r="BE877" s="10"/>
      <c r="BF877" s="10"/>
      <c r="BG877" s="10"/>
      <c r="BH877" s="10"/>
      <c r="BI877" s="10"/>
      <c r="BJ877" s="10"/>
      <c r="BK877" s="10"/>
      <c r="BS877" s="10"/>
      <c r="BT877" s="10"/>
      <c r="BV877" s="10"/>
      <c r="BW877" s="10"/>
    </row>
    <row r="878">
      <c r="A878" s="10"/>
      <c r="B878" s="10"/>
      <c r="C878" s="10"/>
      <c r="D878" s="10"/>
      <c r="E878" s="10"/>
      <c r="F878" s="10"/>
      <c r="G878" s="10"/>
      <c r="H878" s="10"/>
      <c r="K878" s="10"/>
      <c r="L878" s="10"/>
      <c r="N878" s="10"/>
      <c r="P878" s="10"/>
      <c r="Q878" s="10"/>
      <c r="R878" s="10"/>
      <c r="S878" s="10"/>
      <c r="V878" s="10"/>
      <c r="W878" s="10"/>
      <c r="Y878" s="10"/>
      <c r="Z878" s="10"/>
      <c r="AA878" s="10"/>
      <c r="AB878" s="10"/>
      <c r="AC878" s="10"/>
      <c r="AD878" s="10"/>
      <c r="AE878" s="10"/>
      <c r="AF878" s="10"/>
      <c r="AG878" s="10"/>
      <c r="AH878" s="10"/>
      <c r="AI878" s="10"/>
      <c r="AJ878" s="10"/>
      <c r="AK878" s="10"/>
      <c r="AL878" s="10"/>
      <c r="AM878" s="10"/>
      <c r="AN878" s="10"/>
      <c r="AO878" s="10"/>
      <c r="AW878" s="143"/>
      <c r="BD878" s="10"/>
      <c r="BE878" s="10"/>
      <c r="BF878" s="10"/>
      <c r="BG878" s="10"/>
      <c r="BH878" s="10"/>
      <c r="BI878" s="10"/>
      <c r="BJ878" s="10"/>
      <c r="BK878" s="10"/>
      <c r="BL878" s="10"/>
      <c r="BO878" s="10"/>
      <c r="BR878" s="10"/>
      <c r="BS878" s="10"/>
      <c r="BT878" s="10"/>
      <c r="BV878" s="10"/>
      <c r="BW878" s="10"/>
    </row>
    <row r="879">
      <c r="A879" s="10"/>
      <c r="B879" s="10"/>
      <c r="C879" s="10"/>
      <c r="D879" s="10"/>
      <c r="E879" s="10"/>
      <c r="F879" s="10"/>
      <c r="G879" s="10"/>
      <c r="H879" s="10"/>
      <c r="K879" s="10"/>
      <c r="L879" s="10"/>
      <c r="U879" s="10"/>
      <c r="V879" s="10"/>
      <c r="W879" s="10"/>
      <c r="Y879" s="10"/>
      <c r="Z879" s="10"/>
      <c r="AA879" s="10"/>
      <c r="AB879" s="10"/>
      <c r="AC879" s="10"/>
      <c r="AD879" s="10"/>
      <c r="AE879" s="10"/>
      <c r="AF879" s="10"/>
      <c r="AG879" s="10"/>
      <c r="AH879" s="10"/>
      <c r="AI879" s="10"/>
      <c r="AJ879" s="10"/>
      <c r="AK879" s="10"/>
      <c r="AL879" s="10"/>
      <c r="AM879" s="10"/>
      <c r="AN879" s="10"/>
      <c r="AO879" s="10"/>
      <c r="AW879" s="143"/>
      <c r="BD879" s="10"/>
      <c r="BE879" s="10"/>
      <c r="BF879" s="10"/>
      <c r="BG879" s="10"/>
      <c r="BH879" s="10"/>
      <c r="BI879" s="10"/>
      <c r="BJ879" s="10"/>
      <c r="BK879" s="10"/>
      <c r="BL879" s="10"/>
      <c r="BM879" s="10"/>
      <c r="BN879" s="10"/>
      <c r="BO879" s="10"/>
      <c r="BR879" s="10"/>
      <c r="BS879" s="10"/>
      <c r="BT879" s="10"/>
      <c r="BV879" s="10"/>
      <c r="BW879" s="10"/>
    </row>
    <row r="880">
      <c r="A880" s="10"/>
      <c r="B880" s="10"/>
      <c r="C880" s="10"/>
      <c r="D880" s="10"/>
      <c r="E880" s="10"/>
      <c r="F880" s="10"/>
      <c r="G880" s="10"/>
      <c r="H880" s="10"/>
      <c r="K880" s="10"/>
      <c r="L880" s="10"/>
      <c r="P880" s="10"/>
      <c r="U880" s="10"/>
      <c r="V880" s="10"/>
      <c r="W880" s="10"/>
      <c r="Y880" s="10"/>
      <c r="Z880" s="10"/>
      <c r="AA880" s="10"/>
      <c r="AB880" s="10"/>
      <c r="AC880" s="10"/>
      <c r="AD880" s="10"/>
      <c r="AE880" s="10"/>
      <c r="AF880" s="10"/>
      <c r="AG880" s="10"/>
      <c r="AH880" s="10"/>
      <c r="AI880" s="10"/>
      <c r="AJ880" s="10"/>
      <c r="AK880" s="10"/>
      <c r="AL880" s="10"/>
      <c r="AM880" s="10"/>
      <c r="AN880" s="10"/>
      <c r="AO880" s="10"/>
      <c r="AW880" s="143"/>
      <c r="BD880" s="10"/>
      <c r="BE880" s="10"/>
      <c r="BF880" s="10"/>
      <c r="BG880" s="10"/>
      <c r="BH880" s="10"/>
      <c r="BI880" s="10"/>
      <c r="BJ880" s="10"/>
      <c r="BK880" s="10"/>
      <c r="BL880" s="10"/>
      <c r="BM880" s="10"/>
      <c r="BN880" s="10"/>
      <c r="BO880" s="10"/>
      <c r="BP880" s="10"/>
      <c r="BQ880" s="10"/>
      <c r="BR880" s="10"/>
      <c r="BS880" s="10"/>
      <c r="BT880" s="10"/>
      <c r="BV880" s="10"/>
      <c r="BW880" s="10"/>
    </row>
    <row r="881">
      <c r="A881" s="10"/>
      <c r="B881" s="10"/>
      <c r="C881" s="10"/>
      <c r="D881" s="10"/>
      <c r="E881" s="10"/>
      <c r="F881" s="10"/>
      <c r="G881" s="10"/>
      <c r="H881" s="10"/>
      <c r="K881" s="10"/>
      <c r="L881" s="10"/>
      <c r="N881" s="10"/>
      <c r="U881" s="10"/>
      <c r="V881" s="10"/>
      <c r="W881" s="10"/>
      <c r="Y881" s="10"/>
      <c r="Z881" s="10"/>
      <c r="AA881" s="10"/>
      <c r="AB881" s="10"/>
      <c r="AC881" s="10"/>
      <c r="AD881" s="10"/>
      <c r="AE881" s="10"/>
      <c r="AF881" s="10"/>
      <c r="AG881" s="10"/>
      <c r="AH881" s="10"/>
      <c r="AI881" s="10"/>
      <c r="AJ881" s="10"/>
      <c r="AL881" s="10"/>
      <c r="AM881" s="10"/>
      <c r="AO881" s="10"/>
      <c r="AW881" s="143"/>
      <c r="BD881" s="10"/>
      <c r="BE881" s="10"/>
      <c r="BF881" s="10"/>
      <c r="BG881" s="10"/>
      <c r="BH881" s="10"/>
      <c r="BI881" s="10"/>
      <c r="BJ881" s="10"/>
      <c r="BK881" s="10"/>
      <c r="BS881" s="10"/>
      <c r="BT881" s="10"/>
      <c r="BV881" s="10"/>
      <c r="BW881" s="10"/>
    </row>
    <row r="882">
      <c r="A882" s="10"/>
      <c r="B882" s="10"/>
      <c r="C882" s="10"/>
      <c r="D882" s="10"/>
      <c r="E882" s="10"/>
      <c r="F882" s="10"/>
      <c r="G882" s="10"/>
      <c r="H882" s="10"/>
      <c r="K882" s="10"/>
      <c r="L882" s="10"/>
      <c r="N882" s="10"/>
      <c r="U882" s="10"/>
      <c r="V882" s="10"/>
      <c r="W882" s="10"/>
      <c r="Y882" s="10"/>
      <c r="Z882" s="10"/>
      <c r="AA882" s="10"/>
      <c r="AB882" s="10"/>
      <c r="AC882" s="10"/>
      <c r="AD882" s="10"/>
      <c r="AE882" s="10"/>
      <c r="AF882" s="10"/>
      <c r="AG882" s="10"/>
      <c r="AH882" s="10"/>
      <c r="AI882" s="10"/>
      <c r="AJ882" s="10"/>
      <c r="AK882" s="10"/>
      <c r="AL882" s="10"/>
      <c r="AM882" s="10"/>
      <c r="AN882" s="10"/>
      <c r="AO882" s="10"/>
      <c r="AW882" s="143"/>
      <c r="BD882" s="10"/>
      <c r="BE882" s="10"/>
      <c r="BF882" s="10"/>
      <c r="BG882" s="10"/>
      <c r="BH882" s="10"/>
      <c r="BI882" s="10"/>
      <c r="BJ882" s="10"/>
      <c r="BK882" s="10"/>
      <c r="BS882" s="10"/>
      <c r="BT882" s="10"/>
      <c r="BV882" s="10"/>
      <c r="BW882" s="10"/>
    </row>
    <row r="883">
      <c r="A883" s="10"/>
      <c r="B883" s="10"/>
      <c r="C883" s="10"/>
      <c r="D883" s="10"/>
      <c r="E883" s="10"/>
      <c r="F883" s="10"/>
      <c r="G883" s="10"/>
      <c r="H883" s="10"/>
      <c r="K883" s="10"/>
      <c r="L883" s="10"/>
      <c r="N883" s="10"/>
      <c r="U883" s="10"/>
      <c r="V883" s="10"/>
      <c r="W883" s="10"/>
      <c r="Y883" s="10"/>
      <c r="Z883" s="10"/>
      <c r="AA883" s="10"/>
      <c r="AB883" s="10"/>
      <c r="AC883" s="10"/>
      <c r="AD883" s="10"/>
      <c r="AE883" s="10"/>
      <c r="AF883" s="10"/>
      <c r="AG883" s="10"/>
      <c r="AH883" s="10"/>
      <c r="AI883" s="10"/>
      <c r="AJ883" s="10"/>
      <c r="AK883" s="10"/>
      <c r="AL883" s="10"/>
      <c r="AM883" s="10"/>
      <c r="AN883" s="10"/>
      <c r="AO883" s="10"/>
      <c r="AW883" s="143"/>
      <c r="BD883" s="10"/>
      <c r="BE883" s="10"/>
      <c r="BF883" s="10"/>
      <c r="BG883" s="10"/>
      <c r="BH883" s="10"/>
      <c r="BI883" s="10"/>
      <c r="BJ883" s="10"/>
      <c r="BK883" s="10"/>
      <c r="BS883" s="10"/>
      <c r="BT883" s="10"/>
      <c r="BV883" s="10"/>
      <c r="BW883" s="10"/>
    </row>
    <row r="884">
      <c r="A884" s="10"/>
      <c r="B884" s="10"/>
      <c r="C884" s="10"/>
      <c r="D884" s="10"/>
      <c r="E884" s="10"/>
      <c r="F884" s="10"/>
      <c r="G884" s="10"/>
      <c r="H884" s="10"/>
      <c r="K884" s="10"/>
      <c r="L884" s="10"/>
      <c r="U884" s="10"/>
      <c r="V884" s="10"/>
      <c r="W884" s="10"/>
      <c r="Y884" s="10"/>
      <c r="Z884" s="10"/>
      <c r="AA884" s="10"/>
      <c r="AB884" s="10"/>
      <c r="AC884" s="10"/>
      <c r="AD884" s="10"/>
      <c r="AE884" s="10"/>
      <c r="AF884" s="10"/>
      <c r="AG884" s="10"/>
      <c r="AH884" s="10"/>
      <c r="AI884" s="10"/>
      <c r="AJ884" s="10"/>
      <c r="AK884" s="10"/>
      <c r="AL884" s="10"/>
      <c r="AN884" s="10"/>
      <c r="AO884" s="10"/>
      <c r="AW884" s="143"/>
      <c r="BD884" s="10"/>
      <c r="BE884" s="10"/>
      <c r="BF884" s="10"/>
      <c r="BG884" s="10"/>
      <c r="BH884" s="10"/>
      <c r="BI884" s="10"/>
      <c r="BJ884" s="10"/>
      <c r="BK884" s="10"/>
      <c r="BS884" s="10"/>
      <c r="BT884" s="10"/>
      <c r="BV884" s="10"/>
      <c r="BW884" s="10"/>
    </row>
    <row r="885">
      <c r="A885" s="10"/>
      <c r="B885" s="10"/>
      <c r="C885" s="10"/>
      <c r="D885" s="10"/>
      <c r="E885" s="10"/>
      <c r="F885" s="10"/>
      <c r="G885" s="10"/>
      <c r="H885" s="10"/>
      <c r="K885" s="10"/>
      <c r="L885" s="10"/>
      <c r="P885" s="10"/>
      <c r="U885" s="10"/>
      <c r="V885" s="10"/>
      <c r="W885" s="10"/>
      <c r="Y885" s="10"/>
      <c r="Z885" s="10"/>
      <c r="AA885" s="10"/>
      <c r="AB885" s="10"/>
      <c r="AC885" s="10"/>
      <c r="AD885" s="10"/>
      <c r="AE885" s="10"/>
      <c r="AF885" s="10"/>
      <c r="AG885" s="10"/>
      <c r="AH885" s="10"/>
      <c r="AI885" s="10"/>
      <c r="AJ885" s="10"/>
      <c r="AK885" s="10"/>
      <c r="AL885" s="10"/>
      <c r="AM885" s="10"/>
      <c r="AN885" s="10"/>
      <c r="AO885" s="10"/>
      <c r="AW885" s="143"/>
      <c r="BD885" s="10"/>
      <c r="BE885" s="10"/>
      <c r="BF885" s="10"/>
      <c r="BG885" s="10"/>
      <c r="BH885" s="10"/>
      <c r="BI885" s="10"/>
      <c r="BJ885" s="10"/>
      <c r="BK885" s="10"/>
      <c r="BS885" s="10"/>
      <c r="BT885" s="10"/>
      <c r="BV885" s="10"/>
      <c r="BW885" s="10"/>
    </row>
    <row r="886">
      <c r="A886" s="10"/>
      <c r="B886" s="10"/>
      <c r="C886" s="10"/>
      <c r="D886" s="10"/>
      <c r="E886" s="10"/>
      <c r="F886" s="10"/>
      <c r="G886" s="10"/>
      <c r="H886" s="10"/>
      <c r="J886" s="10"/>
      <c r="K886" s="10"/>
      <c r="L886" s="10"/>
      <c r="U886" s="10"/>
      <c r="V886" s="10"/>
      <c r="W886" s="10"/>
      <c r="X886" s="10"/>
      <c r="Y886" s="10"/>
      <c r="Z886" s="10"/>
      <c r="AA886" s="10"/>
      <c r="AB886" s="10"/>
      <c r="AC886" s="10"/>
      <c r="AD886" s="10"/>
      <c r="AE886" s="10"/>
      <c r="AF886" s="10"/>
      <c r="AG886" s="10"/>
      <c r="AH886" s="10"/>
      <c r="AI886" s="10"/>
      <c r="AJ886" s="10"/>
      <c r="AK886" s="10"/>
      <c r="AL886" s="10"/>
      <c r="AN886" s="10"/>
      <c r="AO886" s="10"/>
      <c r="AP886" s="10"/>
      <c r="AQ886" s="10"/>
      <c r="AR886" s="10"/>
      <c r="AV886" s="10"/>
      <c r="AW886" s="143"/>
      <c r="BD886" s="10"/>
      <c r="BE886" s="10"/>
      <c r="BF886" s="10"/>
      <c r="BG886" s="10"/>
      <c r="BH886" s="10"/>
      <c r="BI886" s="10"/>
      <c r="BJ886" s="10"/>
      <c r="BK886" s="10"/>
      <c r="BS886" s="10"/>
      <c r="BT886" s="10"/>
      <c r="BV886" s="10"/>
      <c r="BW886" s="10"/>
    </row>
    <row r="887">
      <c r="A887" s="10"/>
      <c r="B887" s="10"/>
      <c r="C887" s="10"/>
      <c r="D887" s="10"/>
      <c r="E887" s="10"/>
      <c r="F887" s="10"/>
      <c r="G887" s="10"/>
      <c r="H887" s="10"/>
      <c r="K887" s="10"/>
      <c r="L887" s="10"/>
      <c r="P887" s="10"/>
      <c r="U887" s="10"/>
      <c r="V887" s="10"/>
      <c r="W887" s="10"/>
      <c r="X887" s="10"/>
      <c r="Y887" s="10"/>
      <c r="Z887" s="10"/>
      <c r="AA887" s="10"/>
      <c r="AB887" s="10"/>
      <c r="AC887" s="10"/>
      <c r="AD887" s="10"/>
      <c r="AE887" s="10"/>
      <c r="AF887" s="10"/>
      <c r="AG887" s="10"/>
      <c r="AH887" s="10"/>
      <c r="AI887" s="10"/>
      <c r="AJ887" s="10"/>
      <c r="AK887" s="10"/>
      <c r="AL887" s="10"/>
      <c r="AM887" s="10"/>
      <c r="AN887" s="10"/>
      <c r="AO887" s="10"/>
      <c r="AW887" s="143"/>
      <c r="BD887" s="10"/>
      <c r="BE887" s="10"/>
      <c r="BF887" s="10"/>
      <c r="BG887" s="10"/>
      <c r="BH887" s="10"/>
      <c r="BI887" s="10"/>
      <c r="BJ887" s="10"/>
      <c r="BK887" s="10"/>
      <c r="BS887" s="10"/>
      <c r="BT887" s="10"/>
      <c r="BV887" s="10"/>
      <c r="BW887" s="10"/>
    </row>
    <row r="888">
      <c r="A888" s="10"/>
      <c r="B888" s="10"/>
      <c r="C888" s="10"/>
      <c r="D888" s="10"/>
      <c r="E888" s="10"/>
      <c r="F888" s="10"/>
      <c r="G888" s="10"/>
      <c r="H888" s="10"/>
      <c r="K888" s="10"/>
      <c r="L888" s="10"/>
      <c r="U888" s="10"/>
      <c r="V888" s="10"/>
      <c r="W888" s="10"/>
      <c r="Y888" s="10"/>
      <c r="Z888" s="10"/>
      <c r="AA888" s="10"/>
      <c r="AB888" s="10"/>
      <c r="AC888" s="10"/>
      <c r="AD888" s="10"/>
      <c r="AE888" s="10"/>
      <c r="AF888" s="10"/>
      <c r="AG888" s="10"/>
      <c r="AH888" s="10"/>
      <c r="AI888" s="10"/>
      <c r="AJ888" s="10"/>
      <c r="AK888" s="10"/>
      <c r="AL888" s="10"/>
      <c r="AM888" s="10"/>
      <c r="AN888" s="10"/>
      <c r="AO888" s="10"/>
      <c r="AW888" s="143"/>
      <c r="BD888" s="10"/>
      <c r="BE888" s="10"/>
      <c r="BF888" s="10"/>
      <c r="BG888" s="10"/>
      <c r="BH888" s="10"/>
      <c r="BI888" s="10"/>
      <c r="BJ888" s="10"/>
      <c r="BK888" s="10"/>
      <c r="BS888" s="10"/>
      <c r="BT888" s="10"/>
      <c r="BV888" s="10"/>
      <c r="BW888" s="10"/>
    </row>
    <row r="889">
      <c r="A889" s="10"/>
      <c r="B889" s="10"/>
      <c r="C889" s="10"/>
      <c r="D889" s="10"/>
      <c r="E889" s="10"/>
      <c r="F889" s="10"/>
      <c r="G889" s="10"/>
      <c r="H889" s="10"/>
      <c r="I889" s="10"/>
      <c r="J889" s="10"/>
      <c r="K889" s="10"/>
      <c r="L889" s="10"/>
      <c r="N889" s="10"/>
      <c r="P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R889" s="10"/>
      <c r="AS889" s="10"/>
      <c r="AU889" s="10"/>
      <c r="AV889" s="10"/>
      <c r="AW889" s="143"/>
      <c r="BD889" s="10"/>
      <c r="BL889" s="10"/>
      <c r="BO889" s="10"/>
      <c r="BR889" s="10"/>
      <c r="BS889" s="10"/>
      <c r="BT889" s="10"/>
      <c r="BV889" s="10"/>
      <c r="BW889" s="10"/>
    </row>
    <row r="890">
      <c r="A890" s="10"/>
      <c r="B890" s="10"/>
      <c r="C890" s="10"/>
      <c r="D890" s="10"/>
      <c r="E890" s="10"/>
      <c r="F890" s="10"/>
      <c r="G890" s="10"/>
      <c r="H890" s="10"/>
      <c r="I890" s="10"/>
      <c r="J890" s="10"/>
      <c r="K890" s="10"/>
      <c r="L890" s="10"/>
      <c r="N890" s="10"/>
      <c r="P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R890" s="10"/>
      <c r="AS890" s="10"/>
      <c r="AU890" s="10"/>
      <c r="AV890" s="10"/>
      <c r="AW890" s="143"/>
      <c r="BD890" s="10"/>
      <c r="BS890" s="10"/>
      <c r="BT890" s="10"/>
      <c r="BV890" s="10"/>
      <c r="BW890" s="10"/>
    </row>
    <row r="891">
      <c r="A891" s="10"/>
      <c r="B891" s="10"/>
      <c r="C891" s="10"/>
      <c r="D891" s="10"/>
      <c r="E891" s="10"/>
      <c r="F891" s="10"/>
      <c r="G891" s="10"/>
      <c r="H891" s="10"/>
      <c r="I891" s="10"/>
      <c r="J891" s="10"/>
      <c r="K891" s="10"/>
      <c r="L891" s="10"/>
      <c r="N891" s="10"/>
      <c r="T891" s="10"/>
      <c r="U891" s="10"/>
      <c r="V891" s="10"/>
      <c r="W891" s="10"/>
      <c r="X891" s="10"/>
      <c r="Y891" s="10"/>
      <c r="Z891" s="10"/>
      <c r="AA891" s="10"/>
      <c r="AB891" s="10"/>
      <c r="AC891" s="10"/>
      <c r="AD891" s="10"/>
      <c r="AE891" s="10"/>
      <c r="AF891" s="10"/>
      <c r="AG891" s="10"/>
      <c r="AH891" s="10"/>
      <c r="AI891" s="10"/>
      <c r="AJ891" s="10"/>
      <c r="AL891" s="10"/>
      <c r="AM891" s="10"/>
      <c r="AO891" s="10"/>
      <c r="AR891" s="10"/>
      <c r="AS891" s="10"/>
      <c r="AU891" s="10"/>
      <c r="AV891" s="10"/>
      <c r="AW891" s="143"/>
      <c r="BD891" s="10"/>
      <c r="BT891" s="10"/>
      <c r="BV891" s="10"/>
      <c r="BW891" s="10"/>
    </row>
    <row r="892">
      <c r="A892" s="10"/>
      <c r="B892" s="10"/>
      <c r="C892" s="10"/>
      <c r="D892" s="10"/>
      <c r="E892" s="10"/>
      <c r="F892" s="10"/>
      <c r="G892" s="10"/>
      <c r="H892" s="10"/>
      <c r="I892" s="10"/>
      <c r="J892" s="10"/>
      <c r="K892" s="10"/>
      <c r="L892" s="10"/>
      <c r="N892" s="10"/>
      <c r="O892" s="10"/>
      <c r="P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R892" s="10"/>
      <c r="AS892" s="10"/>
      <c r="AU892" s="10"/>
      <c r="AV892" s="10"/>
      <c r="AW892" s="143"/>
      <c r="BD892" s="10"/>
      <c r="BS892" s="10"/>
      <c r="BT892" s="10"/>
      <c r="BV892" s="10"/>
      <c r="BW892" s="10"/>
    </row>
    <row r="893">
      <c r="A893" s="10"/>
      <c r="B893" s="10"/>
      <c r="C893" s="10"/>
      <c r="D893" s="10"/>
      <c r="E893" s="10"/>
      <c r="F893" s="10"/>
      <c r="G893" s="10"/>
      <c r="H893" s="10"/>
      <c r="I893" s="10"/>
      <c r="J893" s="10"/>
      <c r="K893" s="10"/>
      <c r="L893" s="10"/>
      <c r="N893" s="10"/>
      <c r="O893" s="10"/>
      <c r="P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R893" s="10"/>
      <c r="AS893" s="10"/>
      <c r="AU893" s="10"/>
      <c r="AV893" s="10"/>
      <c r="AW893" s="143"/>
      <c r="BD893" s="10"/>
      <c r="BS893" s="10"/>
      <c r="BT893" s="10"/>
      <c r="BV893" s="10"/>
      <c r="BW893" s="10"/>
    </row>
    <row r="894">
      <c r="A894" s="10"/>
      <c r="B894" s="10"/>
      <c r="C894" s="10"/>
      <c r="D894" s="10"/>
      <c r="E894" s="10"/>
      <c r="F894" s="10"/>
      <c r="G894" s="10"/>
      <c r="H894" s="10"/>
      <c r="I894" s="10"/>
      <c r="J894" s="10"/>
      <c r="K894" s="10"/>
      <c r="L894" s="10"/>
      <c r="N894" s="10"/>
      <c r="P894" s="10"/>
      <c r="T894" s="10"/>
      <c r="U894" s="10"/>
      <c r="V894" s="10"/>
      <c r="W894" s="10"/>
      <c r="X894" s="10"/>
      <c r="Y894" s="10"/>
      <c r="Z894" s="10"/>
      <c r="AA894" s="10"/>
      <c r="AB894" s="10"/>
      <c r="AC894" s="10"/>
      <c r="AD894" s="10"/>
      <c r="AE894" s="10"/>
      <c r="AF894" s="10"/>
      <c r="AG894" s="10"/>
      <c r="AH894" s="10"/>
      <c r="AI894" s="10"/>
      <c r="AJ894" s="10"/>
      <c r="AL894" s="10"/>
      <c r="AM894" s="10"/>
      <c r="AO894" s="10"/>
      <c r="AR894" s="10"/>
      <c r="AS894" s="10"/>
      <c r="AU894" s="10"/>
      <c r="AV894" s="10"/>
      <c r="AW894" s="143"/>
      <c r="BD894" s="10"/>
      <c r="BS894" s="10"/>
      <c r="BT894" s="10"/>
      <c r="BV894" s="10"/>
      <c r="BW894" s="10"/>
    </row>
    <row r="895">
      <c r="A895" s="10"/>
      <c r="B895" s="10"/>
      <c r="C895" s="10"/>
      <c r="D895" s="10"/>
      <c r="E895" s="10"/>
      <c r="F895" s="10"/>
      <c r="G895" s="10"/>
      <c r="H895" s="10"/>
      <c r="I895" s="10"/>
      <c r="J895" s="10"/>
      <c r="K895" s="10"/>
      <c r="L895" s="10"/>
      <c r="N895" s="10"/>
      <c r="P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R895" s="10"/>
      <c r="AS895" s="10"/>
      <c r="AU895" s="10"/>
      <c r="AV895" s="10"/>
      <c r="AW895" s="143"/>
      <c r="BD895" s="10"/>
      <c r="BS895" s="10"/>
      <c r="BT895" s="10"/>
      <c r="BV895" s="10"/>
      <c r="BW895" s="10"/>
    </row>
    <row r="896">
      <c r="A896" s="10"/>
      <c r="B896" s="10"/>
      <c r="C896" s="10"/>
      <c r="D896" s="10"/>
      <c r="E896" s="10"/>
      <c r="F896" s="10"/>
      <c r="G896" s="10"/>
      <c r="H896" s="10"/>
      <c r="I896" s="10"/>
      <c r="J896" s="10"/>
      <c r="K896" s="10"/>
      <c r="L896" s="10"/>
      <c r="N896" s="10"/>
      <c r="P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R896" s="10"/>
      <c r="AS896" s="10"/>
      <c r="AU896" s="10"/>
      <c r="AV896" s="10"/>
      <c r="AW896" s="143"/>
      <c r="BD896" s="10"/>
      <c r="BS896" s="10"/>
      <c r="BT896" s="10"/>
      <c r="BV896" s="10"/>
      <c r="BW896" s="10"/>
    </row>
    <row r="897">
      <c r="A897" s="10"/>
      <c r="B897" s="10"/>
      <c r="C897" s="10"/>
      <c r="D897" s="10"/>
      <c r="E897" s="10"/>
      <c r="F897" s="10"/>
      <c r="G897" s="10"/>
      <c r="H897" s="10"/>
      <c r="I897" s="10"/>
      <c r="J897" s="10"/>
      <c r="K897" s="10"/>
      <c r="L897" s="10"/>
      <c r="P897" s="10"/>
      <c r="Q897" s="10"/>
      <c r="R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R897" s="10"/>
      <c r="AS897" s="10"/>
      <c r="AT897" s="10"/>
      <c r="AU897" s="10"/>
      <c r="AV897" s="10"/>
      <c r="AW897" s="143"/>
      <c r="BD897" s="10"/>
      <c r="BE897" s="10"/>
      <c r="BF897" s="10"/>
      <c r="BG897" s="10"/>
      <c r="BH897" s="10"/>
      <c r="BI897" s="10"/>
      <c r="BJ897" s="10"/>
      <c r="BK897" s="10"/>
      <c r="BL897" s="10"/>
      <c r="BO897" s="10"/>
      <c r="BR897" s="10"/>
      <c r="BS897" s="10"/>
      <c r="BT897" s="10"/>
      <c r="BV897" s="10"/>
      <c r="BW897" s="10"/>
    </row>
    <row r="898">
      <c r="A898" s="10"/>
      <c r="B898" s="10"/>
      <c r="C898" s="10"/>
      <c r="D898" s="10"/>
      <c r="E898" s="10"/>
      <c r="F898" s="10"/>
      <c r="G898" s="10"/>
      <c r="H898" s="10"/>
      <c r="I898" s="10"/>
      <c r="J898" s="10"/>
      <c r="K898" s="10"/>
      <c r="L898" s="10"/>
      <c r="P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R898" s="10"/>
      <c r="AS898" s="10"/>
      <c r="AT898" s="10"/>
      <c r="AU898" s="10"/>
      <c r="AV898" s="10"/>
      <c r="AW898" s="143"/>
      <c r="AX898" s="10"/>
      <c r="AY898" s="10"/>
      <c r="BD898" s="10"/>
      <c r="BE898" s="10"/>
      <c r="BF898" s="10"/>
      <c r="BG898" s="10"/>
      <c r="BH898" s="10"/>
      <c r="BI898" s="10"/>
      <c r="BJ898" s="10"/>
      <c r="BK898" s="10"/>
      <c r="BL898" s="10"/>
      <c r="BO898" s="10"/>
      <c r="BR898" s="10"/>
      <c r="BT898" s="10"/>
      <c r="BV898" s="10"/>
      <c r="BW898" s="10"/>
    </row>
    <row r="899">
      <c r="A899" s="10"/>
      <c r="B899" s="10"/>
      <c r="C899" s="10"/>
      <c r="D899" s="10"/>
      <c r="E899" s="10"/>
      <c r="F899" s="10"/>
      <c r="G899" s="10"/>
      <c r="H899" s="10"/>
      <c r="I899" s="10"/>
      <c r="J899" s="10"/>
      <c r="K899" s="10"/>
      <c r="L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R899" s="10"/>
      <c r="AS899" s="10"/>
      <c r="AT899" s="10"/>
      <c r="AU899" s="10"/>
      <c r="AV899" s="10"/>
      <c r="AW899" s="143"/>
      <c r="AX899" s="10"/>
      <c r="AY899" s="10"/>
      <c r="BD899" s="10"/>
      <c r="BE899" s="10"/>
      <c r="BF899" s="10"/>
      <c r="BG899" s="10"/>
      <c r="BH899" s="10"/>
      <c r="BI899" s="10"/>
      <c r="BJ899" s="10"/>
      <c r="BK899" s="10"/>
      <c r="BL899" s="10"/>
      <c r="BN899" s="10"/>
      <c r="BO899" s="10"/>
      <c r="BQ899" s="10"/>
      <c r="BT899" s="10"/>
      <c r="BV899" s="10"/>
      <c r="BW899" s="10"/>
    </row>
    <row r="900">
      <c r="A900" s="10"/>
      <c r="B900" s="10"/>
      <c r="C900" s="10"/>
      <c r="D900" s="10"/>
      <c r="E900" s="10"/>
      <c r="F900" s="10"/>
      <c r="G900" s="10"/>
      <c r="H900" s="10"/>
      <c r="I900" s="10"/>
      <c r="J900" s="10"/>
      <c r="K900" s="10"/>
      <c r="L900" s="10"/>
      <c r="N900" s="10"/>
      <c r="P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R900" s="10"/>
      <c r="AS900" s="10"/>
      <c r="AT900" s="10"/>
      <c r="AU900" s="10"/>
      <c r="AV900" s="10"/>
      <c r="AW900" s="143"/>
      <c r="AX900" s="10"/>
      <c r="AY900" s="10"/>
      <c r="BD900" s="10"/>
      <c r="BE900" s="10"/>
      <c r="BF900" s="10"/>
      <c r="BG900" s="10"/>
      <c r="BH900" s="10"/>
      <c r="BI900" s="10"/>
      <c r="BJ900" s="10"/>
      <c r="BK900" s="10"/>
      <c r="BS900" s="10"/>
      <c r="BT900" s="10"/>
      <c r="BV900" s="10"/>
      <c r="BW900" s="10"/>
    </row>
    <row r="901">
      <c r="A901" s="10"/>
      <c r="B901" s="10"/>
      <c r="C901" s="10"/>
      <c r="D901" s="10"/>
      <c r="E901" s="10"/>
      <c r="F901" s="10"/>
      <c r="G901" s="10"/>
      <c r="H901" s="10"/>
      <c r="I901" s="10"/>
      <c r="J901" s="10"/>
      <c r="K901" s="10"/>
      <c r="L901" s="10"/>
      <c r="N901" s="10"/>
      <c r="P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R901" s="10"/>
      <c r="AS901" s="10"/>
      <c r="AT901" s="10"/>
      <c r="AU901" s="10"/>
      <c r="AV901" s="10"/>
      <c r="AW901" s="143"/>
      <c r="AX901" s="10"/>
      <c r="AY901" s="10"/>
      <c r="AZ901" s="10"/>
      <c r="BD901" s="10"/>
      <c r="BE901" s="10"/>
      <c r="BF901" s="10"/>
      <c r="BG901" s="10"/>
      <c r="BH901" s="10"/>
      <c r="BI901" s="10"/>
      <c r="BJ901" s="10"/>
      <c r="BK901" s="10"/>
      <c r="BS901" s="10"/>
      <c r="BT901" s="10"/>
      <c r="BV901" s="10"/>
      <c r="BW901" s="10"/>
    </row>
    <row r="902">
      <c r="A902" s="10"/>
      <c r="B902" s="10"/>
      <c r="C902" s="10"/>
      <c r="D902" s="10"/>
      <c r="E902" s="10"/>
      <c r="F902" s="10"/>
      <c r="G902" s="10"/>
      <c r="H902" s="10"/>
      <c r="I902" s="10"/>
      <c r="K902" s="10"/>
      <c r="L902" s="10"/>
      <c r="N902" s="10"/>
      <c r="P902" s="10"/>
      <c r="T902" s="10"/>
      <c r="U902" s="10"/>
      <c r="V902" s="10"/>
      <c r="W902" s="10"/>
      <c r="Y902" s="10"/>
      <c r="Z902" s="10"/>
      <c r="AA902" s="10"/>
      <c r="AB902" s="10"/>
      <c r="AC902" s="10"/>
      <c r="AD902" s="10"/>
      <c r="AE902" s="10"/>
      <c r="AF902" s="10"/>
      <c r="AG902" s="10"/>
      <c r="AH902" s="10"/>
      <c r="AI902" s="10"/>
      <c r="AJ902" s="10"/>
      <c r="AK902" s="10"/>
      <c r="AL902" s="10"/>
      <c r="AM902" s="10"/>
      <c r="AN902" s="10"/>
      <c r="AO902" s="10"/>
      <c r="AR902" s="10"/>
      <c r="AS902" s="10"/>
      <c r="AU902" s="10"/>
      <c r="AV902" s="10"/>
      <c r="AW902" s="143"/>
      <c r="BD902" s="10"/>
      <c r="BE902" s="10"/>
      <c r="BF902" s="10"/>
      <c r="BG902" s="10"/>
      <c r="BH902" s="10"/>
      <c r="BI902" s="10"/>
      <c r="BJ902" s="10"/>
      <c r="BK902" s="10"/>
      <c r="BL902" s="10"/>
      <c r="BS902" s="10"/>
      <c r="BT902" s="10"/>
      <c r="BV902" s="10"/>
      <c r="BW902" s="10"/>
    </row>
    <row r="903">
      <c r="A903" s="10"/>
      <c r="B903" s="10"/>
      <c r="C903" s="10"/>
      <c r="D903" s="10"/>
      <c r="E903" s="10"/>
      <c r="F903" s="10"/>
      <c r="G903" s="10"/>
      <c r="H903" s="10"/>
      <c r="I903" s="10"/>
      <c r="J903" s="10"/>
      <c r="K903" s="10"/>
      <c r="L903" s="10"/>
      <c r="N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R903" s="10"/>
      <c r="AS903" s="10"/>
      <c r="AU903" s="10"/>
      <c r="AV903" s="10"/>
      <c r="AW903" s="143"/>
      <c r="BD903" s="10"/>
      <c r="BE903" s="10"/>
      <c r="BF903" s="10"/>
      <c r="BG903" s="10"/>
      <c r="BH903" s="10"/>
      <c r="BI903" s="10"/>
      <c r="BJ903" s="10"/>
      <c r="BK903" s="10"/>
      <c r="BL903" s="10"/>
      <c r="BO903" s="10"/>
      <c r="BR903" s="10"/>
      <c r="BS903" s="10"/>
      <c r="BT903" s="10"/>
      <c r="BV903" s="10"/>
      <c r="BW903" s="10"/>
    </row>
    <row r="904">
      <c r="A904" s="10"/>
      <c r="B904" s="10"/>
      <c r="C904" s="10"/>
      <c r="D904" s="10"/>
      <c r="E904" s="10"/>
      <c r="F904" s="10"/>
      <c r="G904" s="10"/>
      <c r="H904" s="10"/>
      <c r="I904" s="10"/>
      <c r="J904" s="10"/>
      <c r="K904" s="10"/>
      <c r="L904" s="10"/>
      <c r="N904" s="10"/>
      <c r="P904" s="10"/>
      <c r="T904" s="10"/>
      <c r="U904" s="10"/>
      <c r="V904" s="10"/>
      <c r="W904" s="10"/>
      <c r="X904" s="10"/>
      <c r="Y904" s="10"/>
      <c r="Z904" s="10"/>
      <c r="AA904" s="10"/>
      <c r="AB904" s="10"/>
      <c r="AC904" s="10"/>
      <c r="AD904" s="10"/>
      <c r="AE904" s="10"/>
      <c r="AF904" s="10"/>
      <c r="AG904" s="10"/>
      <c r="AH904" s="10"/>
      <c r="AI904" s="10"/>
      <c r="AJ904" s="10"/>
      <c r="AL904" s="10"/>
      <c r="AM904" s="10"/>
      <c r="AO904" s="10"/>
      <c r="AR904" s="10"/>
      <c r="AS904" s="10"/>
      <c r="AU904" s="10"/>
      <c r="AV904" s="10"/>
      <c r="AW904" s="143"/>
      <c r="BD904" s="10"/>
      <c r="BS904" s="10"/>
      <c r="BT904" s="10"/>
      <c r="BV904" s="10"/>
      <c r="BW904" s="10"/>
    </row>
    <row r="905">
      <c r="A905" s="10"/>
      <c r="B905" s="10"/>
      <c r="C905" s="10"/>
      <c r="D905" s="10"/>
      <c r="E905" s="10"/>
      <c r="F905" s="10"/>
      <c r="G905" s="10"/>
      <c r="H905" s="10"/>
      <c r="I905" s="10"/>
      <c r="J905" s="10"/>
      <c r="K905" s="10"/>
      <c r="L905" s="10"/>
      <c r="N905" s="10"/>
      <c r="P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R905" s="10"/>
      <c r="AS905" s="10"/>
      <c r="AU905" s="10"/>
      <c r="AV905" s="10"/>
      <c r="AW905" s="143"/>
      <c r="BD905" s="10"/>
      <c r="BS905" s="10"/>
      <c r="BT905" s="10"/>
      <c r="BV905" s="10"/>
      <c r="BW905" s="10"/>
    </row>
    <row r="906">
      <c r="A906" s="10"/>
      <c r="B906" s="10"/>
      <c r="C906" s="10"/>
      <c r="D906" s="10"/>
      <c r="E906" s="10"/>
      <c r="F906" s="10"/>
      <c r="G906" s="10"/>
      <c r="H906" s="10"/>
      <c r="I906" s="10"/>
      <c r="J906" s="10"/>
      <c r="K906" s="10"/>
      <c r="L906" s="10"/>
      <c r="N906" s="10"/>
      <c r="P906" s="10"/>
      <c r="T906" s="10"/>
      <c r="U906" s="10"/>
      <c r="V906" s="10"/>
      <c r="W906" s="10"/>
      <c r="X906" s="10"/>
      <c r="Y906" s="10"/>
      <c r="Z906" s="10"/>
      <c r="AA906" s="10"/>
      <c r="AB906" s="10"/>
      <c r="AC906" s="10"/>
      <c r="AD906" s="10"/>
      <c r="AE906" s="10"/>
      <c r="AF906" s="10"/>
      <c r="AG906" s="10"/>
      <c r="AH906" s="10"/>
      <c r="AI906" s="10"/>
      <c r="AJ906" s="10"/>
      <c r="AL906" s="10"/>
      <c r="AM906" s="10"/>
      <c r="AO906" s="10"/>
      <c r="AR906" s="10"/>
      <c r="AS906" s="10"/>
      <c r="AU906" s="10"/>
      <c r="AV906" s="10"/>
      <c r="AW906" s="143"/>
      <c r="BD906" s="10"/>
      <c r="BS906" s="10"/>
      <c r="BT906" s="10"/>
      <c r="BV906" s="10"/>
      <c r="BW906" s="10"/>
    </row>
    <row r="907">
      <c r="A907" s="10"/>
      <c r="B907" s="10"/>
      <c r="C907" s="10"/>
      <c r="D907" s="10"/>
      <c r="E907" s="10"/>
      <c r="F907" s="10"/>
      <c r="G907" s="10"/>
      <c r="H907" s="10"/>
      <c r="I907" s="10"/>
      <c r="K907" s="10"/>
      <c r="L907" s="10"/>
      <c r="N907" s="10"/>
      <c r="P907" s="10"/>
      <c r="T907" s="10"/>
      <c r="U907" s="10"/>
      <c r="V907" s="10"/>
      <c r="W907" s="10"/>
      <c r="X907" s="10"/>
      <c r="Y907" s="10"/>
      <c r="Z907" s="10"/>
      <c r="AA907" s="10"/>
      <c r="AB907" s="10"/>
      <c r="AC907" s="10"/>
      <c r="AD907" s="10"/>
      <c r="AE907" s="10"/>
      <c r="AF907" s="10"/>
      <c r="AG907" s="10"/>
      <c r="AH907" s="10"/>
      <c r="AI907" s="10"/>
      <c r="AJ907" s="10"/>
      <c r="AK907" s="10"/>
      <c r="AL907" s="10"/>
      <c r="AM907" s="10"/>
      <c r="AO907" s="10"/>
      <c r="AR907" s="10"/>
      <c r="AS907" s="10"/>
      <c r="AU907" s="10"/>
      <c r="AV907" s="10"/>
      <c r="AW907" s="143"/>
      <c r="BD907" s="10"/>
      <c r="BS907" s="10"/>
      <c r="BT907" s="10"/>
      <c r="BV907" s="10"/>
      <c r="BW907" s="10"/>
    </row>
    <row r="908">
      <c r="A908" s="10"/>
      <c r="B908" s="10"/>
      <c r="C908" s="10"/>
      <c r="D908" s="10"/>
      <c r="E908" s="10"/>
      <c r="F908" s="10"/>
      <c r="G908" s="10"/>
      <c r="H908" s="10"/>
      <c r="I908" s="10"/>
      <c r="K908" s="10"/>
      <c r="L908" s="10"/>
      <c r="N908" s="10"/>
      <c r="P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R908" s="10"/>
      <c r="AS908" s="10"/>
      <c r="AU908" s="10"/>
      <c r="AV908" s="10"/>
      <c r="AW908" s="143"/>
      <c r="BD908" s="10"/>
      <c r="BK908" s="10"/>
      <c r="BL908" s="10"/>
      <c r="BN908" s="10"/>
      <c r="BO908" s="10"/>
      <c r="BQ908" s="10"/>
      <c r="BR908" s="10"/>
      <c r="BS908" s="10"/>
      <c r="BT908" s="10"/>
      <c r="BV908" s="10"/>
      <c r="BW908" s="10"/>
    </row>
    <row r="909">
      <c r="A909" s="10"/>
      <c r="B909" s="10"/>
      <c r="C909" s="10"/>
      <c r="D909" s="10"/>
      <c r="E909" s="10"/>
      <c r="F909" s="10"/>
      <c r="G909" s="10"/>
      <c r="H909" s="10"/>
      <c r="I909" s="10"/>
      <c r="J909" s="10"/>
      <c r="K909" s="10"/>
      <c r="L909" s="10"/>
      <c r="N909" s="10"/>
      <c r="P909" s="10"/>
      <c r="T909" s="10"/>
      <c r="U909" s="10"/>
      <c r="V909" s="10"/>
      <c r="Y909" s="10"/>
      <c r="Z909" s="10"/>
      <c r="AA909" s="10"/>
      <c r="AB909" s="10"/>
      <c r="AC909" s="10"/>
      <c r="AD909" s="10"/>
      <c r="AE909" s="10"/>
      <c r="AF909" s="10"/>
      <c r="AG909" s="10"/>
      <c r="AH909" s="10"/>
      <c r="AI909" s="10"/>
      <c r="AJ909" s="10"/>
      <c r="AK909" s="10"/>
      <c r="AL909" s="10"/>
      <c r="AM909" s="10"/>
      <c r="AN909" s="10"/>
      <c r="AO909" s="10"/>
      <c r="AR909" s="10"/>
      <c r="AS909" s="10"/>
      <c r="AU909" s="10"/>
      <c r="AV909" s="10"/>
      <c r="AW909" s="143"/>
      <c r="BD909" s="10"/>
      <c r="BS909" s="10"/>
      <c r="BT909" s="10"/>
      <c r="BV909" s="10"/>
      <c r="BW909" s="10"/>
    </row>
    <row r="910">
      <c r="A910" s="10"/>
      <c r="B910" s="10"/>
      <c r="C910" s="10"/>
      <c r="D910" s="10"/>
      <c r="E910" s="10"/>
      <c r="F910" s="10"/>
      <c r="G910" s="10"/>
      <c r="H910" s="10"/>
      <c r="I910" s="10"/>
      <c r="J910" s="10"/>
      <c r="K910" s="10"/>
      <c r="L910" s="10"/>
      <c r="N910" s="10"/>
      <c r="P910" s="10"/>
      <c r="T910" s="10"/>
      <c r="U910" s="10"/>
      <c r="V910" s="10"/>
      <c r="W910" s="10"/>
      <c r="X910" s="10"/>
      <c r="Y910" s="10"/>
      <c r="Z910" s="10"/>
      <c r="AA910" s="10"/>
      <c r="AB910" s="10"/>
      <c r="AC910" s="10"/>
      <c r="AD910" s="10"/>
      <c r="AE910" s="10"/>
      <c r="AF910" s="10"/>
      <c r="AG910" s="10"/>
      <c r="AH910" s="10"/>
      <c r="AI910" s="10"/>
      <c r="AJ910" s="10"/>
      <c r="AL910" s="10"/>
      <c r="AM910" s="10"/>
      <c r="AO910" s="10"/>
      <c r="AR910" s="10"/>
      <c r="AS910" s="10"/>
      <c r="AU910" s="10"/>
      <c r="AV910" s="10"/>
      <c r="AW910" s="143"/>
      <c r="BD910" s="10"/>
      <c r="BS910" s="10"/>
      <c r="BT910" s="10"/>
      <c r="BV910" s="10"/>
      <c r="BW910" s="10"/>
    </row>
    <row r="911">
      <c r="A911" s="10"/>
      <c r="B911" s="10"/>
      <c r="C911" s="10"/>
      <c r="D911" s="10"/>
      <c r="E911" s="10"/>
      <c r="F911" s="10"/>
      <c r="G911" s="10"/>
      <c r="H911" s="10"/>
      <c r="I911" s="10"/>
      <c r="J911" s="10"/>
      <c r="K911" s="10"/>
      <c r="L911" s="10"/>
      <c r="N911" s="10"/>
      <c r="P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R911" s="10"/>
      <c r="AS911" s="10"/>
      <c r="AU911" s="10"/>
      <c r="AV911" s="10"/>
      <c r="AW911" s="143"/>
      <c r="BD911" s="10"/>
      <c r="BM911" s="10"/>
      <c r="BP911" s="10"/>
      <c r="BS911" s="10"/>
      <c r="BT911" s="10"/>
      <c r="BV911" s="10"/>
      <c r="BW911" s="10"/>
    </row>
    <row r="912">
      <c r="A912" s="10"/>
      <c r="B912" s="10"/>
      <c r="C912" s="10"/>
      <c r="D912" s="10"/>
      <c r="E912" s="10"/>
      <c r="F912" s="10"/>
      <c r="G912" s="10"/>
      <c r="H912" s="10"/>
      <c r="I912" s="10"/>
      <c r="J912" s="10"/>
      <c r="K912" s="10"/>
      <c r="L912" s="10"/>
      <c r="N912" s="10"/>
      <c r="P912" s="10"/>
      <c r="T912" s="10"/>
      <c r="U912" s="10"/>
      <c r="V912" s="10"/>
      <c r="W912" s="10"/>
      <c r="X912" s="10"/>
      <c r="Y912" s="10"/>
      <c r="Z912" s="10"/>
      <c r="AA912" s="10"/>
      <c r="AB912" s="10"/>
      <c r="AC912" s="10"/>
      <c r="AD912" s="10"/>
      <c r="AE912" s="10"/>
      <c r="AF912" s="10"/>
      <c r="AG912" s="10"/>
      <c r="AH912" s="10"/>
      <c r="AI912" s="10"/>
      <c r="AJ912" s="10"/>
      <c r="AL912" s="10"/>
      <c r="AM912" s="10"/>
      <c r="AO912" s="10"/>
      <c r="AR912" s="10"/>
      <c r="AS912" s="10"/>
      <c r="AU912" s="10"/>
      <c r="AV912" s="10"/>
      <c r="AW912" s="143"/>
      <c r="BD912" s="10"/>
      <c r="BS912" s="10"/>
      <c r="BT912" s="10"/>
      <c r="BV912" s="10"/>
      <c r="BW912" s="10"/>
    </row>
    <row r="913">
      <c r="A913" s="10"/>
      <c r="B913" s="10"/>
      <c r="C913" s="10"/>
      <c r="D913" s="10"/>
      <c r="E913" s="10"/>
      <c r="F913" s="10"/>
      <c r="G913" s="10"/>
      <c r="H913" s="10"/>
      <c r="I913" s="10"/>
      <c r="J913" s="10"/>
      <c r="K913" s="10"/>
      <c r="L913" s="10"/>
      <c r="N913" s="10"/>
      <c r="P913" s="10"/>
      <c r="T913" s="10"/>
      <c r="U913" s="10"/>
      <c r="V913" s="10"/>
      <c r="W913" s="10"/>
      <c r="X913" s="10"/>
      <c r="Y913" s="10"/>
      <c r="Z913" s="10"/>
      <c r="AA913" s="10"/>
      <c r="AB913" s="10"/>
      <c r="AC913" s="10"/>
      <c r="AD913" s="10"/>
      <c r="AE913" s="10"/>
      <c r="AF913" s="10"/>
      <c r="AG913" s="10"/>
      <c r="AH913" s="10"/>
      <c r="AI913" s="10"/>
      <c r="AJ913" s="10"/>
      <c r="AL913" s="10"/>
      <c r="AM913" s="10"/>
      <c r="AO913" s="10"/>
      <c r="AR913" s="10"/>
      <c r="AS913" s="10"/>
      <c r="AU913" s="10"/>
      <c r="AV913" s="10"/>
      <c r="AW913" s="143"/>
      <c r="BD913" s="10"/>
      <c r="BS913" s="10"/>
      <c r="BT913" s="10"/>
      <c r="BV913" s="10"/>
      <c r="BW913" s="10"/>
    </row>
    <row r="914">
      <c r="A914" s="10"/>
      <c r="B914" s="10"/>
      <c r="C914" s="10"/>
      <c r="D914" s="10"/>
      <c r="E914" s="10"/>
      <c r="F914" s="10"/>
      <c r="G914" s="10"/>
      <c r="H914" s="10"/>
      <c r="I914" s="10"/>
      <c r="J914" s="10"/>
      <c r="K914" s="10"/>
      <c r="L914" s="10"/>
      <c r="N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R914" s="10"/>
      <c r="AS914" s="10"/>
      <c r="AT914" s="10"/>
      <c r="AU914" s="10"/>
      <c r="AV914" s="10"/>
      <c r="AW914" s="143"/>
      <c r="BD914" s="10"/>
      <c r="BL914" s="10"/>
      <c r="BO914" s="10"/>
      <c r="BR914" s="10"/>
      <c r="BS914" s="10"/>
      <c r="BT914" s="10"/>
      <c r="BV914" s="10"/>
      <c r="BW914" s="10"/>
    </row>
    <row r="915">
      <c r="B915" s="10"/>
      <c r="C915" s="10"/>
      <c r="D915" s="10"/>
      <c r="E915" s="10"/>
      <c r="F915" s="10"/>
      <c r="G915" s="10"/>
      <c r="H915" s="10"/>
      <c r="I915" s="10"/>
      <c r="J915" s="10"/>
      <c r="K915" s="10"/>
      <c r="L915" s="10"/>
      <c r="O915" s="10"/>
      <c r="P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R915" s="10"/>
      <c r="AS915" s="10"/>
      <c r="AU915" s="10"/>
      <c r="AV915" s="10"/>
      <c r="AW915" s="143"/>
      <c r="AZ915" s="10"/>
      <c r="BD915" s="10"/>
      <c r="BE915" s="10"/>
      <c r="BG915" s="10"/>
      <c r="BI915" s="10"/>
      <c r="BS915" s="10"/>
      <c r="BT915" s="10"/>
      <c r="BV915" s="10"/>
      <c r="BW915" s="10"/>
    </row>
    <row r="916">
      <c r="B916" s="10"/>
      <c r="C916" s="10"/>
      <c r="D916" s="10"/>
      <c r="E916" s="10"/>
      <c r="F916" s="10"/>
      <c r="G916" s="10"/>
      <c r="H916" s="10"/>
      <c r="I916" s="10"/>
      <c r="J916" s="10"/>
      <c r="K916" s="10"/>
      <c r="L916" s="10"/>
      <c r="N916" s="10"/>
      <c r="P916" s="10"/>
      <c r="T916" s="10"/>
      <c r="U916" s="10"/>
      <c r="V916" s="10"/>
      <c r="W916" s="10"/>
      <c r="X916" s="10"/>
      <c r="Y916" s="10"/>
      <c r="Z916" s="10"/>
      <c r="AA916" s="10"/>
      <c r="AB916" s="10"/>
      <c r="AC916" s="10"/>
      <c r="AD916" s="10"/>
      <c r="AE916" s="10"/>
      <c r="AF916" s="10"/>
      <c r="AG916" s="10"/>
      <c r="AH916" s="10"/>
      <c r="AI916" s="10"/>
      <c r="AJ916" s="10"/>
      <c r="AL916" s="10"/>
      <c r="AM916" s="10"/>
      <c r="AO916" s="10"/>
      <c r="AR916" s="10"/>
      <c r="AS916" s="10"/>
      <c r="AU916" s="10"/>
      <c r="AV916" s="10"/>
      <c r="AW916" s="143"/>
      <c r="BD916" s="10"/>
      <c r="BS916" s="10"/>
      <c r="BT916" s="10"/>
      <c r="BV916" s="10"/>
      <c r="BW916" s="10"/>
    </row>
    <row r="917">
      <c r="A917" s="10"/>
      <c r="B917" s="10"/>
      <c r="C917" s="10"/>
      <c r="D917" s="10"/>
      <c r="E917" s="10"/>
      <c r="F917" s="10"/>
      <c r="G917" s="10"/>
      <c r="H917" s="10"/>
      <c r="K917" s="10"/>
      <c r="L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W917" s="143"/>
      <c r="BD917" s="10"/>
      <c r="BE917" s="10"/>
      <c r="BF917" s="10"/>
      <c r="BG917" s="10"/>
      <c r="BH917" s="10"/>
      <c r="BI917" s="10"/>
      <c r="BJ917" s="10"/>
      <c r="BK917" s="10"/>
      <c r="BL917" s="10"/>
      <c r="BO917" s="10"/>
      <c r="BR917" s="10"/>
      <c r="BS917" s="10"/>
      <c r="BT917" s="10"/>
      <c r="BV917" s="10"/>
      <c r="BW917" s="10"/>
    </row>
    <row r="918">
      <c r="A918" s="10"/>
      <c r="B918" s="10"/>
      <c r="C918" s="10"/>
      <c r="D918" s="10"/>
      <c r="E918" s="10"/>
      <c r="F918" s="10"/>
      <c r="G918" s="10"/>
      <c r="H918" s="10"/>
      <c r="K918" s="10"/>
      <c r="L918" s="10"/>
      <c r="T918" s="10"/>
      <c r="U918" s="10"/>
      <c r="V918" s="10"/>
      <c r="W918" s="10"/>
      <c r="X918" s="10"/>
      <c r="Y918" s="10"/>
      <c r="Z918" s="10"/>
      <c r="AA918" s="10"/>
      <c r="AB918" s="10"/>
      <c r="AC918" s="10"/>
      <c r="AD918" s="10"/>
      <c r="AE918" s="10"/>
      <c r="AF918" s="10"/>
      <c r="AG918" s="10"/>
      <c r="AH918" s="10"/>
      <c r="AI918" s="10"/>
      <c r="AJ918" s="10"/>
      <c r="AL918" s="10"/>
      <c r="AM918" s="10"/>
      <c r="AO918" s="10"/>
      <c r="AW918" s="143"/>
      <c r="BD918" s="10"/>
      <c r="BE918" s="10"/>
      <c r="BF918" s="10"/>
      <c r="BG918" s="10"/>
      <c r="BH918" s="10"/>
      <c r="BI918" s="10"/>
      <c r="BJ918" s="10"/>
      <c r="BK918" s="10"/>
      <c r="BS918" s="10"/>
      <c r="BT918" s="10"/>
      <c r="BV918" s="10"/>
      <c r="BW918" s="10"/>
    </row>
    <row r="919">
      <c r="A919" s="10"/>
      <c r="B919" s="10"/>
      <c r="C919" s="10"/>
      <c r="D919" s="10"/>
      <c r="E919" s="10"/>
      <c r="F919" s="10"/>
      <c r="G919" s="10"/>
      <c r="H919" s="10"/>
      <c r="K919" s="10"/>
      <c r="L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W919" s="143"/>
      <c r="BD919" s="10"/>
      <c r="BE919" s="10"/>
      <c r="BF919" s="10"/>
      <c r="BG919" s="10"/>
      <c r="BH919" s="10"/>
      <c r="BI919" s="10"/>
      <c r="BJ919" s="10"/>
      <c r="BK919" s="10"/>
      <c r="BS919" s="10"/>
      <c r="BT919" s="10"/>
      <c r="BV919" s="10"/>
      <c r="BW919" s="10"/>
    </row>
    <row r="920">
      <c r="A920" s="10"/>
      <c r="B920" s="10"/>
      <c r="C920" s="10"/>
      <c r="D920" s="10"/>
      <c r="E920" s="10"/>
      <c r="F920" s="10"/>
      <c r="G920" s="10"/>
      <c r="H920" s="10"/>
      <c r="K920" s="10"/>
      <c r="L920" s="10"/>
      <c r="T920" s="10"/>
      <c r="U920" s="10"/>
      <c r="V920" s="10"/>
      <c r="W920" s="10"/>
      <c r="Y920" s="10"/>
      <c r="Z920" s="10"/>
      <c r="AA920" s="10"/>
      <c r="AB920" s="10"/>
      <c r="AC920" s="10"/>
      <c r="AD920" s="10"/>
      <c r="AE920" s="10"/>
      <c r="AF920" s="10"/>
      <c r="AG920" s="10"/>
      <c r="AH920" s="10"/>
      <c r="AI920" s="10"/>
      <c r="AJ920" s="10"/>
      <c r="AK920" s="10"/>
      <c r="AL920" s="10"/>
      <c r="AM920" s="10"/>
      <c r="AN920" s="10"/>
      <c r="AO920" s="10"/>
      <c r="AW920" s="143"/>
      <c r="BD920" s="10"/>
      <c r="BE920" s="10"/>
      <c r="BF920" s="10"/>
      <c r="BG920" s="10"/>
      <c r="BH920" s="10"/>
      <c r="BI920" s="10"/>
      <c r="BJ920" s="10"/>
      <c r="BK920" s="10"/>
      <c r="BS920" s="10"/>
      <c r="BT920" s="10"/>
      <c r="BV920" s="10"/>
      <c r="BW920" s="10"/>
    </row>
    <row r="921">
      <c r="A921" s="10"/>
      <c r="B921" s="10"/>
      <c r="C921" s="10"/>
      <c r="D921" s="10"/>
      <c r="E921" s="10"/>
      <c r="F921" s="10"/>
      <c r="G921" s="10"/>
      <c r="H921" s="10"/>
      <c r="K921" s="10"/>
      <c r="L921" s="10"/>
      <c r="N921" s="10"/>
      <c r="O921" s="10"/>
      <c r="P921" s="10"/>
      <c r="T921" s="10"/>
      <c r="U921" s="10"/>
      <c r="V921" s="10"/>
      <c r="W921" s="10"/>
      <c r="Y921" s="10"/>
      <c r="Z921" s="10"/>
      <c r="AA921" s="10"/>
      <c r="AB921" s="10"/>
      <c r="AC921" s="10"/>
      <c r="AD921" s="10"/>
      <c r="AE921" s="10"/>
      <c r="AF921" s="10"/>
      <c r="AG921" s="10"/>
      <c r="AH921" s="10"/>
      <c r="AI921" s="10"/>
      <c r="AJ921" s="10"/>
      <c r="AK921" s="10"/>
      <c r="AL921" s="10"/>
      <c r="AM921" s="10"/>
      <c r="AN921" s="10"/>
      <c r="AO921" s="10"/>
      <c r="AW921" s="143"/>
      <c r="AZ921" s="10"/>
      <c r="BD921" s="10"/>
      <c r="BE921" s="10"/>
      <c r="BF921" s="10"/>
      <c r="BG921" s="10"/>
      <c r="BH921" s="10"/>
      <c r="BI921" s="10"/>
      <c r="BJ921" s="10"/>
      <c r="BK921" s="10"/>
      <c r="BS921" s="10"/>
      <c r="BT921" s="10"/>
      <c r="BV921" s="10"/>
      <c r="BW921" s="10"/>
    </row>
    <row r="922">
      <c r="A922" s="10"/>
      <c r="B922" s="10"/>
      <c r="C922" s="10"/>
      <c r="D922" s="10"/>
      <c r="E922" s="10"/>
      <c r="F922" s="10"/>
      <c r="G922" s="10"/>
      <c r="H922" s="10"/>
      <c r="K922" s="10"/>
      <c r="L922" s="10"/>
      <c r="N922" s="10"/>
      <c r="P922" s="10"/>
      <c r="T922" s="10"/>
      <c r="U922" s="10"/>
      <c r="V922" s="10"/>
      <c r="W922" s="10"/>
      <c r="X922" s="10"/>
      <c r="Y922" s="10"/>
      <c r="Z922" s="10"/>
      <c r="AA922" s="10"/>
      <c r="AB922" s="10"/>
      <c r="AC922" s="10"/>
      <c r="AD922" s="10"/>
      <c r="AE922" s="10"/>
      <c r="AF922" s="10"/>
      <c r="AG922" s="10"/>
      <c r="AH922" s="10"/>
      <c r="AI922" s="10"/>
      <c r="AJ922" s="10"/>
      <c r="AL922" s="10"/>
      <c r="AM922" s="10"/>
      <c r="AO922" s="10"/>
      <c r="AW922" s="143"/>
      <c r="BD922" s="10"/>
      <c r="BE922" s="10"/>
      <c r="BF922" s="10"/>
      <c r="BG922" s="10"/>
      <c r="BH922" s="10"/>
      <c r="BI922" s="10"/>
      <c r="BJ922" s="10"/>
      <c r="BK922" s="10"/>
      <c r="BS922" s="10"/>
      <c r="BT922" s="10"/>
      <c r="BV922" s="10"/>
      <c r="BW922" s="10"/>
    </row>
    <row r="923">
      <c r="A923" s="10"/>
      <c r="B923" s="10"/>
      <c r="C923" s="10"/>
      <c r="D923" s="10"/>
      <c r="E923" s="10"/>
      <c r="F923" s="10"/>
      <c r="G923" s="10"/>
      <c r="H923" s="10"/>
      <c r="J923" s="10"/>
      <c r="K923" s="10"/>
      <c r="L923" s="10"/>
      <c r="N923" s="10"/>
      <c r="O923" s="10"/>
      <c r="P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W923" s="143"/>
      <c r="BD923" s="10"/>
      <c r="BE923" s="10"/>
      <c r="BF923" s="10"/>
      <c r="BG923" s="10"/>
      <c r="BH923" s="10"/>
      <c r="BI923" s="10"/>
      <c r="BJ923" s="10"/>
      <c r="BS923" s="10"/>
      <c r="BT923" s="10"/>
      <c r="BV923" s="10"/>
      <c r="BW923" s="10"/>
    </row>
    <row r="924">
      <c r="A924" s="10"/>
      <c r="B924" s="10"/>
      <c r="C924" s="10"/>
      <c r="D924" s="10"/>
      <c r="E924" s="10"/>
      <c r="F924" s="10"/>
      <c r="G924" s="10"/>
      <c r="H924" s="10"/>
      <c r="I924" s="10"/>
      <c r="K924" s="10"/>
      <c r="L924" s="10"/>
      <c r="N924" s="10"/>
      <c r="O924" s="10"/>
      <c r="P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R924" s="10"/>
      <c r="AS924" s="10"/>
      <c r="AU924" s="10"/>
      <c r="AV924" s="10"/>
      <c r="AW924" s="143"/>
      <c r="AZ924" s="10"/>
      <c r="BD924" s="10"/>
      <c r="BT924" s="10"/>
      <c r="BV924" s="10"/>
      <c r="BW924" s="10"/>
    </row>
    <row r="925">
      <c r="A925" s="10"/>
      <c r="B925" s="10"/>
      <c r="C925" s="10"/>
      <c r="D925" s="10"/>
      <c r="E925" s="10"/>
      <c r="F925" s="10"/>
      <c r="G925" s="10"/>
      <c r="H925" s="10"/>
      <c r="I925" s="10"/>
      <c r="K925" s="10"/>
      <c r="L925" s="10"/>
      <c r="N925" s="10"/>
      <c r="P925" s="10"/>
      <c r="T925" s="10"/>
      <c r="U925" s="10"/>
      <c r="V925" s="10"/>
      <c r="W925" s="10"/>
      <c r="Y925" s="10"/>
      <c r="Z925" s="10"/>
      <c r="AA925" s="10"/>
      <c r="AB925" s="10"/>
      <c r="AC925" s="10"/>
      <c r="AD925" s="10"/>
      <c r="AE925" s="10"/>
      <c r="AF925" s="10"/>
      <c r="AG925" s="10"/>
      <c r="AH925" s="10"/>
      <c r="AI925" s="10"/>
      <c r="AJ925" s="10"/>
      <c r="AL925" s="10"/>
      <c r="AM925" s="10"/>
      <c r="AO925" s="10"/>
      <c r="AR925" s="10"/>
      <c r="AS925" s="10"/>
      <c r="AU925" s="10"/>
      <c r="AV925" s="10"/>
      <c r="AW925" s="143"/>
      <c r="BD925" s="10"/>
      <c r="BE925" s="10"/>
      <c r="BF925" s="10"/>
      <c r="BG925" s="10"/>
      <c r="BH925" s="10"/>
      <c r="BI925" s="10"/>
      <c r="BJ925" s="10"/>
      <c r="BK925" s="10"/>
      <c r="BT925" s="10"/>
      <c r="BV925" s="10"/>
      <c r="BW925" s="10"/>
    </row>
    <row r="926">
      <c r="A926" s="10"/>
      <c r="B926" s="10"/>
      <c r="C926" s="10"/>
      <c r="D926" s="10"/>
      <c r="E926" s="10"/>
      <c r="F926" s="10"/>
      <c r="G926" s="10"/>
      <c r="H926" s="10"/>
      <c r="I926" s="10"/>
      <c r="K926" s="10"/>
      <c r="L926" s="10"/>
      <c r="N926" s="10"/>
      <c r="P926" s="10"/>
      <c r="T926" s="10"/>
      <c r="U926" s="10"/>
      <c r="V926" s="10"/>
      <c r="W926" s="10"/>
      <c r="Y926" s="10"/>
      <c r="Z926" s="10"/>
      <c r="AA926" s="10"/>
      <c r="AB926" s="10"/>
      <c r="AC926" s="10"/>
      <c r="AD926" s="10"/>
      <c r="AE926" s="10"/>
      <c r="AF926" s="10"/>
      <c r="AG926" s="10"/>
      <c r="AH926" s="10"/>
      <c r="AI926" s="10"/>
      <c r="AJ926" s="10"/>
      <c r="AL926" s="10"/>
      <c r="AM926" s="10"/>
      <c r="AO926" s="10"/>
      <c r="AR926" s="10"/>
      <c r="AS926" s="10"/>
      <c r="AU926" s="10"/>
      <c r="AV926" s="10"/>
      <c r="AW926" s="143"/>
      <c r="BD926" s="10"/>
      <c r="BE926" s="10"/>
      <c r="BF926" s="10"/>
      <c r="BG926" s="10"/>
      <c r="BH926" s="10"/>
      <c r="BI926" s="10"/>
      <c r="BJ926" s="10"/>
      <c r="BK926" s="10"/>
      <c r="BS926" s="10"/>
      <c r="BT926" s="10"/>
      <c r="BV926" s="10"/>
      <c r="BW926" s="10"/>
    </row>
    <row r="927">
      <c r="A927" s="10"/>
      <c r="B927" s="10"/>
      <c r="C927" s="10"/>
      <c r="D927" s="10"/>
      <c r="E927" s="10"/>
      <c r="F927" s="10"/>
      <c r="G927" s="10"/>
      <c r="H927" s="10"/>
      <c r="I927" s="10"/>
      <c r="K927" s="10"/>
      <c r="L927" s="10"/>
      <c r="N927" s="10"/>
      <c r="T927" s="10"/>
      <c r="U927" s="10"/>
      <c r="V927" s="10"/>
      <c r="W927" s="10"/>
      <c r="X927" s="10"/>
      <c r="Y927" s="10"/>
      <c r="Z927" s="10"/>
      <c r="AA927" s="10"/>
      <c r="AB927" s="10"/>
      <c r="AC927" s="10"/>
      <c r="AD927" s="10"/>
      <c r="AE927" s="10"/>
      <c r="AF927" s="10"/>
      <c r="AG927" s="10"/>
      <c r="AH927" s="10"/>
      <c r="AI927" s="10"/>
      <c r="AJ927" s="10"/>
      <c r="AL927" s="10"/>
      <c r="AM927" s="10"/>
      <c r="AO927" s="10"/>
      <c r="AR927" s="10"/>
      <c r="AS927" s="10"/>
      <c r="AU927" s="10"/>
      <c r="AV927" s="10"/>
      <c r="AW927" s="143"/>
      <c r="BD927" s="10"/>
      <c r="BL927" s="10"/>
      <c r="BO927" s="10"/>
      <c r="BR927" s="10"/>
      <c r="BS927" s="10"/>
      <c r="BT927" s="10"/>
      <c r="BV927" s="10"/>
      <c r="BW927" s="10"/>
    </row>
    <row r="928">
      <c r="A928" s="10"/>
      <c r="B928" s="10"/>
      <c r="C928" s="10"/>
      <c r="D928" s="10"/>
      <c r="E928" s="10"/>
      <c r="F928" s="10"/>
      <c r="G928" s="10"/>
      <c r="H928" s="10"/>
      <c r="I928" s="10"/>
      <c r="J928" s="10"/>
      <c r="K928" s="10"/>
      <c r="L928" s="10"/>
      <c r="N928" s="10"/>
      <c r="O928" s="10"/>
      <c r="P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R928" s="10"/>
      <c r="AS928" s="10"/>
      <c r="AU928" s="10"/>
      <c r="AV928" s="10"/>
      <c r="AW928" s="143"/>
      <c r="BD928" s="10"/>
      <c r="BS928" s="10"/>
      <c r="BT928" s="10"/>
      <c r="BV928" s="10"/>
      <c r="BW928" s="10"/>
    </row>
    <row r="929">
      <c r="A929" s="10"/>
      <c r="B929" s="10"/>
      <c r="C929" s="10"/>
      <c r="D929" s="10"/>
      <c r="E929" s="10"/>
      <c r="F929" s="10"/>
      <c r="G929" s="10"/>
      <c r="H929" s="10"/>
      <c r="I929" s="10"/>
      <c r="K929" s="10"/>
      <c r="L929" s="10"/>
      <c r="N929" s="10"/>
      <c r="P929" s="10"/>
      <c r="T929" s="10"/>
      <c r="U929" s="10"/>
      <c r="V929" s="10"/>
      <c r="W929" s="10"/>
      <c r="Y929" s="10"/>
      <c r="Z929" s="10"/>
      <c r="AA929" s="10"/>
      <c r="AB929" s="10"/>
      <c r="AC929" s="10"/>
      <c r="AD929" s="10"/>
      <c r="AE929" s="10"/>
      <c r="AF929" s="10"/>
      <c r="AG929" s="10"/>
      <c r="AH929" s="10"/>
      <c r="AI929" s="10"/>
      <c r="AJ929" s="10"/>
      <c r="AK929" s="10"/>
      <c r="AL929" s="10"/>
      <c r="AM929" s="10"/>
      <c r="AN929" s="10"/>
      <c r="AO929" s="10"/>
      <c r="AR929" s="10"/>
      <c r="AS929" s="10"/>
      <c r="AU929" s="10"/>
      <c r="AV929" s="10"/>
      <c r="AW929" s="143"/>
      <c r="BD929" s="10"/>
      <c r="BT929" s="10"/>
      <c r="BV929" s="10"/>
      <c r="BW929" s="10"/>
    </row>
    <row r="930">
      <c r="A930" s="10"/>
      <c r="B930" s="10"/>
      <c r="C930" s="10"/>
      <c r="D930" s="10"/>
      <c r="E930" s="10"/>
      <c r="F930" s="10"/>
      <c r="G930" s="10"/>
      <c r="H930" s="10"/>
      <c r="K930" s="10"/>
      <c r="L930" s="10"/>
      <c r="P930" s="10"/>
      <c r="T930" s="10"/>
      <c r="U930" s="10"/>
      <c r="V930" s="10"/>
      <c r="W930" s="10"/>
      <c r="Y930" s="10"/>
      <c r="Z930" s="10"/>
      <c r="AA930" s="10"/>
      <c r="AB930" s="10"/>
      <c r="AC930" s="10"/>
      <c r="AD930" s="10"/>
      <c r="AE930" s="10"/>
      <c r="AF930" s="10"/>
      <c r="AG930" s="10"/>
      <c r="AH930" s="10"/>
      <c r="AI930" s="10"/>
      <c r="AJ930" s="10"/>
      <c r="AL930" s="10"/>
      <c r="AM930" s="10"/>
      <c r="AO930" s="10"/>
      <c r="AW930" s="143"/>
      <c r="BD930" s="10"/>
      <c r="BE930" s="10"/>
      <c r="BF930" s="10"/>
      <c r="BG930" s="10"/>
      <c r="BH930" s="10"/>
      <c r="BI930" s="10"/>
      <c r="BJ930" s="10"/>
      <c r="BK930" s="10"/>
      <c r="BS930" s="10"/>
      <c r="BT930" s="10"/>
      <c r="BV930" s="10"/>
      <c r="BW930" s="10"/>
    </row>
    <row r="931">
      <c r="A931" s="10"/>
      <c r="B931" s="10"/>
      <c r="C931" s="10"/>
      <c r="D931" s="10"/>
      <c r="E931" s="10"/>
      <c r="F931" s="10"/>
      <c r="G931" s="10"/>
      <c r="H931" s="10"/>
      <c r="K931" s="10"/>
      <c r="L931" s="10"/>
      <c r="P931" s="10"/>
      <c r="T931" s="10"/>
      <c r="U931" s="10"/>
      <c r="V931" s="10"/>
      <c r="W931" s="10"/>
      <c r="Y931" s="10"/>
      <c r="Z931" s="10"/>
      <c r="AA931" s="10"/>
      <c r="AB931" s="10"/>
      <c r="AC931" s="10"/>
      <c r="AD931" s="10"/>
      <c r="AE931" s="10"/>
      <c r="AF931" s="10"/>
      <c r="AG931" s="10"/>
      <c r="AH931" s="10"/>
      <c r="AI931" s="10"/>
      <c r="AJ931" s="10"/>
      <c r="AL931" s="10"/>
      <c r="AM931" s="10"/>
      <c r="AO931" s="10"/>
      <c r="AW931" s="143"/>
      <c r="BD931" s="10"/>
      <c r="BE931" s="10"/>
      <c r="BF931" s="10"/>
      <c r="BG931" s="10"/>
      <c r="BH931" s="10"/>
      <c r="BI931" s="10"/>
      <c r="BJ931" s="10"/>
      <c r="BK931" s="10"/>
      <c r="BS931" s="10"/>
      <c r="BT931" s="10"/>
      <c r="BV931" s="10"/>
      <c r="BW931" s="10"/>
    </row>
    <row r="932">
      <c r="A932" s="10"/>
      <c r="B932" s="10"/>
      <c r="C932" s="10"/>
      <c r="D932" s="10"/>
      <c r="E932" s="10"/>
      <c r="F932" s="10"/>
      <c r="G932" s="10"/>
      <c r="H932" s="10"/>
      <c r="K932" s="10"/>
      <c r="L932" s="10"/>
      <c r="P932" s="10"/>
      <c r="T932" s="10"/>
      <c r="U932" s="10"/>
      <c r="V932" s="10"/>
      <c r="W932" s="10"/>
      <c r="Y932" s="10"/>
      <c r="Z932" s="10"/>
      <c r="AA932" s="10"/>
      <c r="AB932" s="10"/>
      <c r="AC932" s="10"/>
      <c r="AD932" s="10"/>
      <c r="AE932" s="10"/>
      <c r="AF932" s="10"/>
      <c r="AG932" s="10"/>
      <c r="AH932" s="10"/>
      <c r="AI932" s="10"/>
      <c r="AJ932" s="10"/>
      <c r="AL932" s="10"/>
      <c r="AM932" s="10"/>
      <c r="AO932" s="10"/>
      <c r="AW932" s="143"/>
      <c r="BD932" s="10"/>
      <c r="BE932" s="10"/>
      <c r="BF932" s="10"/>
      <c r="BG932" s="10"/>
      <c r="BH932" s="10"/>
      <c r="BI932" s="10"/>
      <c r="BJ932" s="10"/>
      <c r="BK932" s="10"/>
      <c r="BS932" s="10"/>
      <c r="BT932" s="10"/>
      <c r="BV932" s="10"/>
      <c r="BW932" s="10"/>
    </row>
    <row r="933">
      <c r="A933" s="10"/>
      <c r="B933" s="10"/>
      <c r="C933" s="10"/>
      <c r="D933" s="10"/>
      <c r="E933" s="10"/>
      <c r="F933" s="10"/>
      <c r="G933" s="10"/>
      <c r="H933" s="10"/>
      <c r="K933" s="10"/>
      <c r="L933" s="10"/>
      <c r="P933" s="10"/>
      <c r="T933" s="10"/>
      <c r="U933" s="10"/>
      <c r="V933" s="10"/>
      <c r="W933" s="10"/>
      <c r="Y933" s="10"/>
      <c r="Z933" s="10"/>
      <c r="AA933" s="10"/>
      <c r="AB933" s="10"/>
      <c r="AC933" s="10"/>
      <c r="AD933" s="10"/>
      <c r="AE933" s="10"/>
      <c r="AF933" s="10"/>
      <c r="AG933" s="10"/>
      <c r="AH933" s="10"/>
      <c r="AI933" s="10"/>
      <c r="AJ933" s="10"/>
      <c r="AL933" s="10"/>
      <c r="AM933" s="10"/>
      <c r="AO933" s="10"/>
      <c r="AW933" s="143"/>
      <c r="BD933" s="10"/>
      <c r="BE933" s="10"/>
      <c r="BF933" s="10"/>
      <c r="BG933" s="10"/>
      <c r="BH933" s="10"/>
      <c r="BI933" s="10"/>
      <c r="BJ933" s="10"/>
      <c r="BK933" s="10"/>
      <c r="BS933" s="10"/>
      <c r="BT933" s="10"/>
      <c r="BV933" s="10"/>
      <c r="BW933" s="10"/>
    </row>
    <row r="934">
      <c r="A934" s="10"/>
      <c r="B934" s="10"/>
      <c r="C934" s="10"/>
      <c r="D934" s="10"/>
      <c r="E934" s="10"/>
      <c r="F934" s="10"/>
      <c r="G934" s="10"/>
      <c r="H934" s="10"/>
      <c r="K934" s="10"/>
      <c r="L934" s="10"/>
      <c r="P934" s="10"/>
      <c r="T934" s="10"/>
      <c r="U934" s="10"/>
      <c r="V934" s="10"/>
      <c r="W934" s="10"/>
      <c r="X934" s="10"/>
      <c r="Y934" s="10"/>
      <c r="Z934" s="10"/>
      <c r="AA934" s="10"/>
      <c r="AB934" s="10"/>
      <c r="AC934" s="10"/>
      <c r="AD934" s="10"/>
      <c r="AE934" s="10"/>
      <c r="AF934" s="10"/>
      <c r="AG934" s="10"/>
      <c r="AH934" s="10"/>
      <c r="AI934" s="10"/>
      <c r="AJ934" s="10"/>
      <c r="AL934" s="10"/>
      <c r="AM934" s="10"/>
      <c r="AO934" s="10"/>
      <c r="AW934" s="143"/>
      <c r="BD934" s="10"/>
      <c r="BS934" s="10"/>
      <c r="BT934" s="10"/>
      <c r="BV934" s="10"/>
      <c r="BW934" s="10"/>
    </row>
    <row r="935">
      <c r="A935" s="10"/>
      <c r="B935" s="10"/>
      <c r="C935" s="10"/>
      <c r="D935" s="10"/>
      <c r="E935" s="10"/>
      <c r="F935" s="10"/>
      <c r="G935" s="10"/>
      <c r="H935" s="10"/>
      <c r="K935" s="10"/>
      <c r="L935" s="10"/>
      <c r="P935" s="10"/>
      <c r="T935" s="10"/>
      <c r="U935" s="10"/>
      <c r="V935" s="10"/>
      <c r="W935" s="10"/>
      <c r="Y935" s="10"/>
      <c r="Z935" s="10"/>
      <c r="AA935" s="10"/>
      <c r="AB935" s="10"/>
      <c r="AC935" s="10"/>
      <c r="AD935" s="10"/>
      <c r="AE935" s="10"/>
      <c r="AF935" s="10"/>
      <c r="AG935" s="10"/>
      <c r="AH935" s="10"/>
      <c r="AI935" s="10"/>
      <c r="AJ935" s="10"/>
      <c r="AL935" s="10"/>
      <c r="AM935" s="10"/>
      <c r="AO935" s="10"/>
      <c r="AW935" s="143"/>
      <c r="BD935" s="10"/>
      <c r="BE935" s="10"/>
      <c r="BF935" s="10"/>
      <c r="BG935" s="10"/>
      <c r="BH935" s="10"/>
      <c r="BI935" s="10"/>
      <c r="BJ935" s="10"/>
      <c r="BK935" s="10"/>
      <c r="BS935" s="10"/>
      <c r="BT935" s="10"/>
      <c r="BV935" s="10"/>
      <c r="BW935" s="10"/>
    </row>
    <row r="936">
      <c r="A936" s="10"/>
      <c r="B936" s="10"/>
      <c r="C936" s="10"/>
      <c r="D936" s="10"/>
      <c r="E936" s="10"/>
      <c r="F936" s="10"/>
      <c r="G936" s="10"/>
      <c r="H936" s="10"/>
      <c r="J936" s="10"/>
      <c r="K936" s="10"/>
      <c r="L936" s="10"/>
      <c r="P936" s="10"/>
      <c r="T936" s="10"/>
      <c r="U936" s="10"/>
      <c r="V936" s="10"/>
      <c r="W936" s="10"/>
      <c r="X936" s="10"/>
      <c r="Y936" s="10"/>
      <c r="Z936" s="10"/>
      <c r="AA936" s="10"/>
      <c r="AB936" s="10"/>
      <c r="AC936" s="10"/>
      <c r="AD936" s="10"/>
      <c r="AE936" s="10"/>
      <c r="AF936" s="10"/>
      <c r="AG936" s="10"/>
      <c r="AH936" s="10"/>
      <c r="AI936" s="10"/>
      <c r="AJ936" s="10"/>
      <c r="AL936" s="10"/>
      <c r="AM936" s="10"/>
      <c r="AO936" s="10"/>
      <c r="AW936" s="143"/>
      <c r="BD936" s="10"/>
      <c r="BS936" s="10"/>
      <c r="BT936" s="10"/>
      <c r="BV936" s="10"/>
      <c r="BW936" s="10"/>
    </row>
    <row r="937">
      <c r="A937" s="10"/>
      <c r="B937" s="10"/>
      <c r="C937" s="10"/>
      <c r="D937" s="10"/>
      <c r="E937" s="10"/>
      <c r="F937" s="10"/>
      <c r="G937" s="10"/>
      <c r="H937" s="10"/>
      <c r="K937" s="10"/>
      <c r="L937" s="10"/>
      <c r="P937" s="10"/>
      <c r="T937" s="10"/>
      <c r="U937" s="10"/>
      <c r="V937" s="10"/>
      <c r="W937" s="10"/>
      <c r="Y937" s="10"/>
      <c r="Z937" s="10"/>
      <c r="AA937" s="10"/>
      <c r="AB937" s="10"/>
      <c r="AC937" s="10"/>
      <c r="AD937" s="10"/>
      <c r="AE937" s="10"/>
      <c r="AF937" s="10"/>
      <c r="AG937" s="10"/>
      <c r="AH937" s="10"/>
      <c r="AI937" s="10"/>
      <c r="AJ937" s="10"/>
      <c r="AL937" s="10"/>
      <c r="AM937" s="10"/>
      <c r="AO937" s="10"/>
      <c r="AW937" s="143"/>
      <c r="BD937" s="10"/>
      <c r="BE937" s="10"/>
      <c r="BF937" s="10"/>
      <c r="BG937" s="10"/>
      <c r="BH937" s="10"/>
      <c r="BI937" s="10"/>
      <c r="BJ937" s="10"/>
      <c r="BK937" s="10"/>
      <c r="BS937" s="10"/>
      <c r="BT937" s="10"/>
      <c r="BV937" s="10"/>
      <c r="BW937" s="10"/>
    </row>
    <row r="938">
      <c r="A938" s="10"/>
      <c r="B938" s="10"/>
      <c r="C938" s="10"/>
      <c r="D938" s="10"/>
      <c r="E938" s="10"/>
      <c r="F938" s="10"/>
      <c r="G938" s="10"/>
      <c r="H938" s="10"/>
      <c r="K938" s="10"/>
      <c r="L938" s="10"/>
      <c r="P938" s="10"/>
      <c r="T938" s="10"/>
      <c r="U938" s="10"/>
      <c r="V938" s="10"/>
      <c r="W938" s="10"/>
      <c r="Y938" s="10"/>
      <c r="Z938" s="10"/>
      <c r="AA938" s="10"/>
      <c r="AB938" s="10"/>
      <c r="AC938" s="10"/>
      <c r="AD938" s="10"/>
      <c r="AE938" s="10"/>
      <c r="AF938" s="10"/>
      <c r="AG938" s="10"/>
      <c r="AH938" s="10"/>
      <c r="AI938" s="10"/>
      <c r="AJ938" s="10"/>
      <c r="AL938" s="10"/>
      <c r="AM938" s="10"/>
      <c r="AO938" s="10"/>
      <c r="AW938" s="143"/>
      <c r="BD938" s="10"/>
      <c r="BE938" s="10"/>
      <c r="BF938" s="10"/>
      <c r="BG938" s="10"/>
      <c r="BH938" s="10"/>
      <c r="BI938" s="10"/>
      <c r="BJ938" s="10"/>
      <c r="BK938" s="10"/>
      <c r="BS938" s="10"/>
      <c r="BT938" s="10"/>
      <c r="BV938" s="10"/>
      <c r="BW938" s="10"/>
    </row>
    <row r="939">
      <c r="A939" s="10"/>
      <c r="B939" s="10"/>
      <c r="C939" s="10"/>
      <c r="D939" s="10"/>
      <c r="E939" s="10"/>
      <c r="F939" s="10"/>
      <c r="G939" s="10"/>
      <c r="H939" s="10"/>
      <c r="K939" s="10"/>
      <c r="L939" s="10"/>
      <c r="P939" s="10"/>
      <c r="T939" s="10"/>
      <c r="U939" s="10"/>
      <c r="V939" s="10"/>
      <c r="W939" s="10"/>
      <c r="Y939" s="10"/>
      <c r="Z939" s="10"/>
      <c r="AA939" s="10"/>
      <c r="AB939" s="10"/>
      <c r="AC939" s="10"/>
      <c r="AD939" s="10"/>
      <c r="AE939" s="10"/>
      <c r="AF939" s="10"/>
      <c r="AG939" s="10"/>
      <c r="AH939" s="10"/>
      <c r="AI939" s="10"/>
      <c r="AJ939" s="10"/>
      <c r="AL939" s="10"/>
      <c r="AM939" s="10"/>
      <c r="AO939" s="10"/>
      <c r="AW939" s="143"/>
      <c r="BD939" s="10"/>
      <c r="BE939" s="10"/>
      <c r="BF939" s="10"/>
      <c r="BG939" s="10"/>
      <c r="BH939" s="10"/>
      <c r="BI939" s="10"/>
      <c r="BJ939" s="10"/>
      <c r="BK939" s="10"/>
      <c r="BS939" s="10"/>
      <c r="BT939" s="10"/>
      <c r="BV939" s="10"/>
      <c r="BW939" s="10"/>
    </row>
    <row r="940">
      <c r="A940" s="10"/>
      <c r="B940" s="10"/>
      <c r="C940" s="10"/>
      <c r="D940" s="10"/>
      <c r="E940" s="10"/>
      <c r="F940" s="10"/>
      <c r="G940" s="10"/>
      <c r="H940" s="10"/>
      <c r="K940" s="10"/>
      <c r="L940" s="10"/>
      <c r="P940" s="10"/>
      <c r="T940" s="10"/>
      <c r="U940" s="10"/>
      <c r="V940" s="10"/>
      <c r="W940" s="10"/>
      <c r="Y940" s="10"/>
      <c r="Z940" s="10"/>
      <c r="AA940" s="10"/>
      <c r="AB940" s="10"/>
      <c r="AC940" s="10"/>
      <c r="AD940" s="10"/>
      <c r="AE940" s="10"/>
      <c r="AF940" s="10"/>
      <c r="AG940" s="10"/>
      <c r="AH940" s="10"/>
      <c r="AI940" s="10"/>
      <c r="AJ940" s="10"/>
      <c r="AL940" s="10"/>
      <c r="AM940" s="10"/>
      <c r="AO940" s="10"/>
      <c r="AW940" s="143"/>
      <c r="BD940" s="10"/>
      <c r="BE940" s="10"/>
      <c r="BF940" s="10"/>
      <c r="BG940" s="10"/>
      <c r="BH940" s="10"/>
      <c r="BI940" s="10"/>
      <c r="BJ940" s="10"/>
      <c r="BK940" s="10"/>
      <c r="BS940" s="10"/>
      <c r="BT940" s="10"/>
      <c r="BV940" s="10"/>
      <c r="BW940" s="10"/>
    </row>
    <row r="941">
      <c r="A941" s="10"/>
      <c r="B941" s="10"/>
      <c r="C941" s="10"/>
      <c r="D941" s="10"/>
      <c r="E941" s="10"/>
      <c r="F941" s="10"/>
      <c r="G941" s="10"/>
      <c r="H941" s="10"/>
      <c r="K941" s="10"/>
      <c r="L941" s="10"/>
      <c r="P941" s="10"/>
      <c r="T941" s="10"/>
      <c r="U941" s="10"/>
      <c r="V941" s="10"/>
      <c r="W941" s="10"/>
      <c r="Y941" s="10"/>
      <c r="Z941" s="10"/>
      <c r="AA941" s="10"/>
      <c r="AB941" s="10"/>
      <c r="AC941" s="10"/>
      <c r="AD941" s="10"/>
      <c r="AE941" s="10"/>
      <c r="AF941" s="10"/>
      <c r="AG941" s="10"/>
      <c r="AH941" s="10"/>
      <c r="AI941" s="10"/>
      <c r="AJ941" s="10"/>
      <c r="AL941" s="10"/>
      <c r="AM941" s="10"/>
      <c r="AO941" s="10"/>
      <c r="AW941" s="143"/>
      <c r="BD941" s="10"/>
      <c r="BE941" s="10"/>
      <c r="BF941" s="10"/>
      <c r="BG941" s="10"/>
      <c r="BH941" s="10"/>
      <c r="BI941" s="10"/>
      <c r="BJ941" s="10"/>
      <c r="BK941" s="10"/>
      <c r="BS941" s="10"/>
      <c r="BT941" s="10"/>
      <c r="BV941" s="10"/>
      <c r="BW941" s="10"/>
    </row>
    <row r="942">
      <c r="A942" s="10"/>
      <c r="B942" s="10"/>
      <c r="C942" s="10"/>
      <c r="D942" s="10"/>
      <c r="E942" s="10"/>
      <c r="F942" s="10"/>
      <c r="G942" s="10"/>
      <c r="H942" s="10"/>
      <c r="K942" s="10"/>
      <c r="L942" s="10"/>
      <c r="P942" s="10"/>
      <c r="T942" s="10"/>
      <c r="U942" s="10"/>
      <c r="V942" s="10"/>
      <c r="W942" s="10"/>
      <c r="Y942" s="10"/>
      <c r="Z942" s="10"/>
      <c r="AA942" s="10"/>
      <c r="AB942" s="10"/>
      <c r="AC942" s="10"/>
      <c r="AD942" s="10"/>
      <c r="AE942" s="10"/>
      <c r="AF942" s="10"/>
      <c r="AG942" s="10"/>
      <c r="AH942" s="10"/>
      <c r="AI942" s="10"/>
      <c r="AJ942" s="10"/>
      <c r="AL942" s="10"/>
      <c r="AM942" s="10"/>
      <c r="AO942" s="10"/>
      <c r="AW942" s="143"/>
      <c r="BD942" s="10"/>
      <c r="BE942" s="10"/>
      <c r="BF942" s="10"/>
      <c r="BG942" s="10"/>
      <c r="BH942" s="10"/>
      <c r="BI942" s="10"/>
      <c r="BJ942" s="10"/>
      <c r="BK942" s="10"/>
      <c r="BS942" s="10"/>
      <c r="BT942" s="10"/>
      <c r="BV942" s="10"/>
      <c r="BW942" s="10"/>
    </row>
    <row r="943">
      <c r="A943" s="10"/>
      <c r="B943" s="10"/>
      <c r="C943" s="10"/>
      <c r="D943" s="10"/>
      <c r="E943" s="10"/>
      <c r="F943" s="10"/>
      <c r="G943" s="10"/>
      <c r="H943" s="10"/>
      <c r="K943" s="10"/>
      <c r="L943" s="10"/>
      <c r="T943" s="10"/>
      <c r="U943" s="10"/>
      <c r="V943" s="10"/>
      <c r="W943" s="10"/>
      <c r="Y943" s="10"/>
      <c r="Z943" s="10"/>
      <c r="AA943" s="10"/>
      <c r="AB943" s="10"/>
      <c r="AC943" s="10"/>
      <c r="AD943" s="10"/>
      <c r="AE943" s="10"/>
      <c r="AF943" s="10"/>
      <c r="AG943" s="10"/>
      <c r="AH943" s="10"/>
      <c r="AI943" s="10"/>
      <c r="AJ943" s="10"/>
      <c r="AL943" s="10"/>
      <c r="AM943" s="10"/>
      <c r="AO943" s="10"/>
      <c r="AW943" s="143"/>
      <c r="BD943" s="10"/>
      <c r="BE943" s="10"/>
      <c r="BF943" s="10"/>
      <c r="BG943" s="10"/>
      <c r="BH943" s="10"/>
      <c r="BI943" s="10"/>
      <c r="BJ943" s="10"/>
      <c r="BK943" s="10"/>
      <c r="BS943" s="10"/>
      <c r="BT943" s="10"/>
      <c r="BV943" s="10"/>
      <c r="BW943" s="10"/>
    </row>
    <row r="944">
      <c r="A944" s="10"/>
      <c r="B944" s="10"/>
      <c r="C944" s="10"/>
      <c r="D944" s="10"/>
      <c r="E944" s="10"/>
      <c r="F944" s="10"/>
      <c r="G944" s="10"/>
      <c r="H944" s="10"/>
      <c r="K944" s="10"/>
      <c r="L944" s="10"/>
      <c r="P944" s="10"/>
      <c r="T944" s="10"/>
      <c r="U944" s="10"/>
      <c r="V944" s="10"/>
      <c r="W944" s="10"/>
      <c r="X944" s="10"/>
      <c r="Y944" s="10"/>
      <c r="Z944" s="10"/>
      <c r="AA944" s="10"/>
      <c r="AB944" s="10"/>
      <c r="AC944" s="10"/>
      <c r="AD944" s="10"/>
      <c r="AE944" s="10"/>
      <c r="AF944" s="10"/>
      <c r="AG944" s="10"/>
      <c r="AH944" s="10"/>
      <c r="AI944" s="10"/>
      <c r="AJ944" s="10"/>
      <c r="AL944" s="10"/>
      <c r="AM944" s="10"/>
      <c r="AO944" s="10"/>
      <c r="AW944" s="143"/>
      <c r="BD944" s="10"/>
      <c r="BE944" s="10"/>
      <c r="BF944" s="10"/>
      <c r="BG944" s="10"/>
      <c r="BH944" s="10"/>
      <c r="BI944" s="10"/>
      <c r="BJ944" s="10"/>
      <c r="BK944" s="10"/>
      <c r="BS944" s="10"/>
      <c r="BT944" s="10"/>
      <c r="BV944" s="10"/>
      <c r="BW944" s="10"/>
    </row>
    <row r="945">
      <c r="A945" s="10"/>
      <c r="B945" s="10"/>
      <c r="C945" s="10"/>
      <c r="D945" s="10"/>
      <c r="E945" s="10"/>
      <c r="F945" s="10"/>
      <c r="G945" s="10"/>
      <c r="H945" s="10"/>
      <c r="K945" s="10"/>
      <c r="L945" s="10"/>
      <c r="P945" s="10"/>
      <c r="T945" s="10"/>
      <c r="U945" s="10"/>
      <c r="V945" s="10"/>
      <c r="W945" s="10"/>
      <c r="Y945" s="10"/>
      <c r="Z945" s="10"/>
      <c r="AA945" s="10"/>
      <c r="AB945" s="10"/>
      <c r="AC945" s="10"/>
      <c r="AD945" s="10"/>
      <c r="AE945" s="10"/>
      <c r="AF945" s="10"/>
      <c r="AG945" s="10"/>
      <c r="AH945" s="10"/>
      <c r="AI945" s="10"/>
      <c r="AJ945" s="10"/>
      <c r="AL945" s="10"/>
      <c r="AM945" s="10"/>
      <c r="AO945" s="10"/>
      <c r="AW945" s="143"/>
      <c r="BD945" s="10"/>
      <c r="BE945" s="10"/>
      <c r="BF945" s="10"/>
      <c r="BG945" s="10"/>
      <c r="BH945" s="10"/>
      <c r="BI945" s="10"/>
      <c r="BJ945" s="10"/>
      <c r="BK945" s="10"/>
      <c r="BS945" s="10"/>
      <c r="BT945" s="10"/>
      <c r="BV945" s="10"/>
      <c r="BW945" s="10"/>
    </row>
    <row r="946">
      <c r="A946" s="10"/>
      <c r="B946" s="10"/>
      <c r="C946" s="10"/>
      <c r="D946" s="10"/>
      <c r="E946" s="10"/>
      <c r="F946" s="10"/>
      <c r="G946" s="10"/>
      <c r="H946" s="10"/>
      <c r="K946" s="10"/>
      <c r="L946" s="10"/>
      <c r="P946" s="10"/>
      <c r="T946" s="10"/>
      <c r="U946" s="10"/>
      <c r="V946" s="10"/>
      <c r="W946" s="10"/>
      <c r="Y946" s="10"/>
      <c r="Z946" s="10"/>
      <c r="AA946" s="10"/>
      <c r="AB946" s="10"/>
      <c r="AC946" s="10"/>
      <c r="AD946" s="10"/>
      <c r="AE946" s="10"/>
      <c r="AF946" s="10"/>
      <c r="AG946" s="10"/>
      <c r="AH946" s="10"/>
      <c r="AI946" s="10"/>
      <c r="AJ946" s="10"/>
      <c r="AL946" s="10"/>
      <c r="AM946" s="10"/>
      <c r="AO946" s="10"/>
      <c r="AW946" s="143"/>
      <c r="BD946" s="10"/>
      <c r="BE946" s="10"/>
      <c r="BF946" s="10"/>
      <c r="BG946" s="10"/>
      <c r="BH946" s="10"/>
      <c r="BI946" s="10"/>
      <c r="BJ946" s="10"/>
      <c r="BK946" s="10"/>
      <c r="BS946" s="10"/>
      <c r="BT946" s="10"/>
      <c r="BV946" s="10"/>
      <c r="BW946" s="10"/>
    </row>
    <row r="947">
      <c r="A947" s="10"/>
      <c r="B947" s="10"/>
      <c r="C947" s="10"/>
      <c r="D947" s="10"/>
      <c r="E947" s="10"/>
      <c r="F947" s="10"/>
      <c r="G947" s="10"/>
      <c r="H947" s="10"/>
      <c r="K947" s="10"/>
      <c r="L947" s="10"/>
      <c r="T947" s="10"/>
      <c r="U947" s="10"/>
      <c r="V947" s="10"/>
      <c r="W947" s="10"/>
      <c r="X947" s="10"/>
      <c r="Y947" s="10"/>
      <c r="Z947" s="10"/>
      <c r="AA947" s="10"/>
      <c r="AB947" s="10"/>
      <c r="AC947" s="10"/>
      <c r="AD947" s="10"/>
      <c r="AE947" s="10"/>
      <c r="AF947" s="10"/>
      <c r="AG947" s="10"/>
      <c r="AH947" s="10"/>
      <c r="AI947" s="10"/>
      <c r="AJ947" s="10"/>
      <c r="AL947" s="10"/>
      <c r="AM947" s="10"/>
      <c r="AO947" s="10"/>
      <c r="AW947" s="143"/>
      <c r="BD947" s="10"/>
      <c r="BS947" s="10"/>
      <c r="BT947" s="10"/>
      <c r="BV947" s="10"/>
      <c r="BW947" s="10"/>
    </row>
    <row r="948">
      <c r="A948" s="10"/>
      <c r="B948" s="10"/>
      <c r="C948" s="10"/>
      <c r="D948" s="10"/>
      <c r="E948" s="10"/>
      <c r="F948" s="10"/>
      <c r="G948" s="10"/>
      <c r="H948" s="10"/>
      <c r="K948" s="10"/>
      <c r="L948" s="10"/>
      <c r="P948" s="10"/>
      <c r="T948" s="10"/>
      <c r="U948" s="10"/>
      <c r="V948" s="10"/>
      <c r="W948" s="10"/>
      <c r="X948" s="10"/>
      <c r="Y948" s="10"/>
      <c r="Z948" s="10"/>
      <c r="AA948" s="10"/>
      <c r="AB948" s="10"/>
      <c r="AC948" s="10"/>
      <c r="AD948" s="10"/>
      <c r="AE948" s="10"/>
      <c r="AF948" s="10"/>
      <c r="AG948" s="10"/>
      <c r="AH948" s="10"/>
      <c r="AI948" s="10"/>
      <c r="AJ948" s="10"/>
      <c r="AL948" s="10"/>
      <c r="AM948" s="10"/>
      <c r="AO948" s="10"/>
      <c r="AW948" s="143"/>
      <c r="BD948" s="10"/>
      <c r="BE948" s="10"/>
      <c r="BF948" s="10"/>
      <c r="BG948" s="10"/>
      <c r="BH948" s="10"/>
      <c r="BI948" s="10"/>
      <c r="BJ948" s="10"/>
      <c r="BK948" s="10"/>
      <c r="BS948" s="10"/>
      <c r="BT948" s="10"/>
      <c r="BV948" s="10"/>
      <c r="BW948" s="10"/>
    </row>
    <row r="949">
      <c r="A949" s="10"/>
      <c r="B949" s="10"/>
      <c r="C949" s="10"/>
      <c r="D949" s="10"/>
      <c r="E949" s="10"/>
      <c r="F949" s="10"/>
      <c r="G949" s="10"/>
      <c r="H949" s="10"/>
      <c r="K949" s="10"/>
      <c r="L949" s="10"/>
      <c r="P949" s="10"/>
      <c r="T949" s="10"/>
      <c r="U949" s="10"/>
      <c r="V949" s="10"/>
      <c r="W949" s="10"/>
      <c r="X949" s="10"/>
      <c r="Y949" s="10"/>
      <c r="Z949" s="10"/>
      <c r="AA949" s="10"/>
      <c r="AB949" s="10"/>
      <c r="AC949" s="10"/>
      <c r="AD949" s="10"/>
      <c r="AE949" s="10"/>
      <c r="AF949" s="10"/>
      <c r="AG949" s="10"/>
      <c r="AH949" s="10"/>
      <c r="AI949" s="10"/>
      <c r="AJ949" s="10"/>
      <c r="AL949" s="10"/>
      <c r="AM949" s="10"/>
      <c r="AO949" s="10"/>
      <c r="AW949" s="143"/>
      <c r="BD949" s="10"/>
      <c r="BE949" s="10"/>
      <c r="BF949" s="10"/>
      <c r="BG949" s="10"/>
      <c r="BH949" s="10"/>
      <c r="BI949" s="10"/>
      <c r="BJ949" s="10"/>
      <c r="BK949" s="10"/>
      <c r="BS949" s="10"/>
      <c r="BT949" s="10"/>
      <c r="BV949" s="10"/>
      <c r="BW949" s="10"/>
    </row>
    <row r="950">
      <c r="A950" s="10"/>
      <c r="B950" s="10"/>
      <c r="C950" s="10"/>
      <c r="D950" s="10"/>
      <c r="E950" s="10"/>
      <c r="F950" s="10"/>
      <c r="G950" s="10"/>
      <c r="H950" s="10"/>
      <c r="I950" s="10"/>
      <c r="N950" s="10"/>
      <c r="P950" s="10"/>
      <c r="T950" s="10"/>
      <c r="U950" s="10"/>
      <c r="V950" s="10"/>
      <c r="W950" s="10"/>
      <c r="Y950" s="10"/>
      <c r="Z950" s="10"/>
      <c r="AA950" s="10"/>
      <c r="AB950" s="10"/>
      <c r="AC950" s="10"/>
      <c r="AD950" s="10"/>
      <c r="AE950" s="10"/>
      <c r="AF950" s="10"/>
      <c r="AG950" s="10"/>
      <c r="AH950" s="10"/>
      <c r="AI950" s="10"/>
      <c r="AJ950" s="10"/>
      <c r="AK950" s="10"/>
      <c r="AL950" s="10"/>
      <c r="AM950" s="10"/>
      <c r="AN950" s="10"/>
      <c r="AO950" s="10"/>
      <c r="AR950" s="10"/>
      <c r="AS950" s="10"/>
      <c r="AU950" s="10"/>
      <c r="AV950" s="10"/>
      <c r="AW950" s="143"/>
      <c r="BE950" s="10"/>
      <c r="BF950" s="10"/>
      <c r="BG950" s="10"/>
      <c r="BH950" s="10"/>
      <c r="BI950" s="10"/>
      <c r="BJ950" s="10"/>
      <c r="BK950" s="10"/>
      <c r="BL950" s="10"/>
      <c r="BO950" s="10"/>
      <c r="BR950" s="10"/>
      <c r="BS950" s="10"/>
      <c r="BT950" s="10"/>
      <c r="BW950" s="10"/>
    </row>
    <row r="951">
      <c r="A951" s="10"/>
      <c r="B951" s="10"/>
      <c r="C951" s="10"/>
      <c r="D951" s="10"/>
      <c r="E951" s="10"/>
      <c r="F951" s="10"/>
      <c r="G951" s="10"/>
      <c r="H951" s="10"/>
      <c r="I951" s="10"/>
      <c r="N951" s="10"/>
      <c r="P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R951" s="10"/>
      <c r="AS951" s="10"/>
      <c r="AU951" s="10"/>
      <c r="AV951" s="10"/>
      <c r="AW951" s="143"/>
      <c r="BT951" s="10"/>
      <c r="BW951" s="10"/>
    </row>
    <row r="952">
      <c r="A952" s="10"/>
      <c r="B952" s="10"/>
      <c r="C952" s="10"/>
      <c r="D952" s="10"/>
      <c r="E952" s="10"/>
      <c r="F952" s="10"/>
      <c r="G952" s="10"/>
      <c r="H952" s="10"/>
      <c r="I952" s="10"/>
      <c r="N952" s="10"/>
      <c r="P952" s="10"/>
      <c r="T952" s="10"/>
      <c r="U952" s="10"/>
      <c r="V952" s="10"/>
      <c r="W952" s="10"/>
      <c r="Y952" s="10"/>
      <c r="Z952" s="10"/>
      <c r="AA952" s="10"/>
      <c r="AB952" s="10"/>
      <c r="AC952" s="10"/>
      <c r="AD952" s="10"/>
      <c r="AE952" s="10"/>
      <c r="AF952" s="10"/>
      <c r="AG952" s="10"/>
      <c r="AH952" s="10"/>
      <c r="AI952" s="10"/>
      <c r="AJ952" s="10"/>
      <c r="AK952" s="10"/>
      <c r="AL952" s="10"/>
      <c r="AM952" s="10"/>
      <c r="AN952" s="10"/>
      <c r="AO952" s="10"/>
      <c r="AR952" s="10"/>
      <c r="AS952" s="10"/>
      <c r="AU952" s="10"/>
      <c r="AV952" s="10"/>
      <c r="AW952" s="143"/>
      <c r="BE952" s="10"/>
      <c r="BF952" s="10"/>
      <c r="BG952" s="10"/>
      <c r="BH952" s="10"/>
      <c r="BI952" s="10"/>
      <c r="BJ952" s="10"/>
      <c r="BK952" s="10"/>
      <c r="BS952" s="10"/>
      <c r="BT952" s="10"/>
      <c r="BW952" s="10"/>
    </row>
    <row r="953">
      <c r="A953" s="10"/>
      <c r="B953" s="10"/>
      <c r="C953" s="10"/>
      <c r="D953" s="10"/>
      <c r="E953" s="10"/>
      <c r="F953" s="10"/>
      <c r="G953" s="10"/>
      <c r="H953" s="10"/>
      <c r="I953" s="10"/>
      <c r="N953" s="10"/>
      <c r="P953" s="10"/>
      <c r="T953" s="10"/>
      <c r="U953" s="10"/>
      <c r="V953" s="10"/>
      <c r="W953" s="10"/>
      <c r="Y953" s="10"/>
      <c r="Z953" s="10"/>
      <c r="AA953" s="10"/>
      <c r="AB953" s="10"/>
      <c r="AC953" s="10"/>
      <c r="AD953" s="10"/>
      <c r="AE953" s="10"/>
      <c r="AF953" s="10"/>
      <c r="AG953" s="10"/>
      <c r="AH953" s="10"/>
      <c r="AI953" s="10"/>
      <c r="AJ953" s="10"/>
      <c r="AK953" s="10"/>
      <c r="AL953" s="10"/>
      <c r="AM953" s="10"/>
      <c r="AN953" s="10"/>
      <c r="AO953" s="10"/>
      <c r="AR953" s="10"/>
      <c r="AS953" s="10"/>
      <c r="AU953" s="10"/>
      <c r="AV953" s="10"/>
      <c r="AW953" s="143"/>
      <c r="BE953" s="10"/>
      <c r="BF953" s="10"/>
      <c r="BG953" s="10"/>
      <c r="BH953" s="10"/>
      <c r="BI953" s="10"/>
      <c r="BJ953" s="10"/>
      <c r="BK953" s="10"/>
      <c r="BS953" s="10"/>
      <c r="BT953" s="10"/>
      <c r="BW953" s="10"/>
    </row>
    <row r="954">
      <c r="A954" s="10"/>
      <c r="B954" s="10"/>
      <c r="C954" s="10"/>
      <c r="D954" s="10"/>
      <c r="E954" s="10"/>
      <c r="F954" s="10"/>
      <c r="G954" s="10"/>
      <c r="H954" s="10"/>
      <c r="I954" s="10"/>
      <c r="N954" s="10"/>
      <c r="P954" s="10"/>
      <c r="T954" s="10"/>
      <c r="U954" s="10"/>
      <c r="V954" s="10"/>
      <c r="W954" s="10"/>
      <c r="Y954" s="10"/>
      <c r="Z954" s="10"/>
      <c r="AA954" s="10"/>
      <c r="AB954" s="10"/>
      <c r="AC954" s="10"/>
      <c r="AD954" s="10"/>
      <c r="AE954" s="10"/>
      <c r="AF954" s="10"/>
      <c r="AG954" s="10"/>
      <c r="AH954" s="10"/>
      <c r="AI954" s="10"/>
      <c r="AJ954" s="10"/>
      <c r="AK954" s="10"/>
      <c r="AL954" s="10"/>
      <c r="AM954" s="10"/>
      <c r="AN954" s="10"/>
      <c r="AO954" s="10"/>
      <c r="AR954" s="10"/>
      <c r="AS954" s="10"/>
      <c r="AU954" s="10"/>
      <c r="AV954" s="10"/>
      <c r="AW954" s="143"/>
      <c r="BE954" s="10"/>
      <c r="BF954" s="10"/>
      <c r="BG954" s="10"/>
      <c r="BH954" s="10"/>
      <c r="BI954" s="10"/>
      <c r="BJ954" s="10"/>
      <c r="BK954" s="10"/>
      <c r="BS954" s="10"/>
      <c r="BT954" s="10"/>
      <c r="BW954" s="10"/>
    </row>
    <row r="955">
      <c r="A955" s="10"/>
      <c r="B955" s="10"/>
      <c r="C955" s="10"/>
      <c r="D955" s="10"/>
      <c r="E955" s="10"/>
      <c r="F955" s="10"/>
      <c r="G955" s="10"/>
      <c r="H955" s="10"/>
      <c r="I955" s="10"/>
      <c r="N955" s="10"/>
      <c r="P955" s="10"/>
      <c r="T955" s="10"/>
      <c r="U955" s="10"/>
      <c r="V955" s="10"/>
      <c r="W955" s="10"/>
      <c r="Y955" s="10"/>
      <c r="Z955" s="10"/>
      <c r="AA955" s="10"/>
      <c r="AB955" s="10"/>
      <c r="AC955" s="10"/>
      <c r="AD955" s="10"/>
      <c r="AE955" s="10"/>
      <c r="AF955" s="10"/>
      <c r="AG955" s="10"/>
      <c r="AH955" s="10"/>
      <c r="AI955" s="10"/>
      <c r="AJ955" s="10"/>
      <c r="AK955" s="10"/>
      <c r="AL955" s="10"/>
      <c r="AM955" s="10"/>
      <c r="AN955" s="10"/>
      <c r="AO955" s="10"/>
      <c r="AR955" s="10"/>
      <c r="AS955" s="10"/>
      <c r="AU955" s="10"/>
      <c r="AV955" s="10"/>
      <c r="AW955" s="143"/>
      <c r="BE955" s="10"/>
      <c r="BF955" s="10"/>
      <c r="BG955" s="10"/>
      <c r="BH955" s="10"/>
      <c r="BI955" s="10"/>
      <c r="BJ955" s="10"/>
      <c r="BK955" s="10"/>
      <c r="BS955" s="10"/>
      <c r="BT955" s="10"/>
      <c r="BW955" s="10"/>
    </row>
    <row r="956">
      <c r="A956" s="10"/>
      <c r="B956" s="10"/>
      <c r="C956" s="10"/>
      <c r="D956" s="10"/>
      <c r="E956" s="10"/>
      <c r="F956" s="10"/>
      <c r="G956" s="10"/>
      <c r="H956" s="10"/>
      <c r="I956" s="10"/>
      <c r="N956" s="10"/>
      <c r="P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R956" s="10"/>
      <c r="AS956" s="10"/>
      <c r="AU956" s="10"/>
      <c r="AV956" s="10"/>
      <c r="AW956" s="143"/>
      <c r="BE956" s="10"/>
      <c r="BF956" s="10"/>
      <c r="BG956" s="10"/>
      <c r="BH956" s="10"/>
      <c r="BI956" s="10"/>
      <c r="BJ956" s="10"/>
      <c r="BK956" s="10"/>
      <c r="BS956" s="10"/>
      <c r="BT956" s="10"/>
      <c r="BW956" s="10"/>
    </row>
    <row r="957">
      <c r="A957" s="10"/>
      <c r="B957" s="10"/>
      <c r="C957" s="10"/>
      <c r="D957" s="10"/>
      <c r="E957" s="10"/>
      <c r="F957" s="10"/>
      <c r="G957" s="10"/>
      <c r="H957" s="10"/>
      <c r="I957" s="10"/>
      <c r="N957" s="10"/>
      <c r="P957" s="10"/>
      <c r="T957" s="10"/>
      <c r="U957" s="10"/>
      <c r="V957" s="10"/>
      <c r="W957" s="10"/>
      <c r="X957" s="10"/>
      <c r="Y957" s="10"/>
      <c r="Z957" s="10"/>
      <c r="AA957" s="10"/>
      <c r="AB957" s="10"/>
      <c r="AC957" s="10"/>
      <c r="AD957" s="10"/>
      <c r="AE957" s="10"/>
      <c r="AF957" s="10"/>
      <c r="AG957" s="10"/>
      <c r="AH957" s="10"/>
      <c r="AI957" s="10"/>
      <c r="AJ957" s="10"/>
      <c r="AL957" s="10"/>
      <c r="AM957" s="10"/>
      <c r="AO957" s="10"/>
      <c r="AR957" s="10"/>
      <c r="AS957" s="10"/>
      <c r="AU957" s="10"/>
      <c r="AV957" s="10"/>
      <c r="AW957" s="143"/>
      <c r="BE957" s="10"/>
      <c r="BF957" s="10"/>
      <c r="BG957" s="10"/>
      <c r="BH957" s="10"/>
      <c r="BI957" s="10"/>
      <c r="BJ957" s="10"/>
      <c r="BK957" s="10"/>
      <c r="BT957" s="10"/>
      <c r="BW957" s="10"/>
    </row>
    <row r="958">
      <c r="A958" s="10"/>
      <c r="B958" s="10"/>
      <c r="C958" s="10"/>
      <c r="D958" s="10"/>
      <c r="E958" s="10"/>
      <c r="F958" s="10"/>
      <c r="H958" s="10"/>
      <c r="I958" s="10"/>
      <c r="K958" s="10"/>
      <c r="L958" s="10"/>
      <c r="T958" s="10"/>
      <c r="U958" s="10"/>
      <c r="V958" s="10"/>
      <c r="W958" s="10"/>
      <c r="Y958" s="10"/>
      <c r="Z958" s="10"/>
      <c r="AA958" s="10"/>
      <c r="AB958" s="10"/>
      <c r="AC958" s="10"/>
      <c r="AD958" s="10"/>
      <c r="AE958" s="10"/>
      <c r="AF958" s="10"/>
      <c r="AG958" s="10"/>
      <c r="AH958" s="10"/>
      <c r="AI958" s="10"/>
      <c r="AJ958" s="10"/>
      <c r="AK958" s="10"/>
      <c r="AL958" s="10"/>
      <c r="AM958" s="10"/>
      <c r="AN958" s="10"/>
      <c r="AO958" s="10"/>
      <c r="AR958" s="10"/>
      <c r="AS958" s="10"/>
      <c r="AU958" s="10"/>
      <c r="AV958" s="10"/>
      <c r="AW958" s="143"/>
      <c r="BE958" s="10"/>
      <c r="BF958" s="10"/>
      <c r="BG958" s="10"/>
      <c r="BH958" s="10"/>
      <c r="BI958" s="10"/>
      <c r="BJ958" s="10"/>
      <c r="BK958" s="10"/>
      <c r="BL958" s="10"/>
      <c r="BO958" s="10"/>
      <c r="BR958" s="10"/>
      <c r="BS958" s="10"/>
      <c r="BT958" s="10"/>
      <c r="BW958" s="10"/>
    </row>
    <row r="959">
      <c r="A959" s="10"/>
      <c r="B959" s="10"/>
      <c r="C959" s="10"/>
      <c r="D959" s="10"/>
      <c r="E959" s="10"/>
      <c r="F959" s="10"/>
      <c r="H959" s="10"/>
      <c r="I959" s="10"/>
      <c r="K959" s="10"/>
      <c r="L959" s="10"/>
      <c r="T959" s="10"/>
      <c r="U959" s="10"/>
      <c r="V959" s="10"/>
      <c r="W959" s="10"/>
      <c r="Y959" s="10"/>
      <c r="Z959" s="10"/>
      <c r="AA959" s="10"/>
      <c r="AB959" s="10"/>
      <c r="AC959" s="10"/>
      <c r="AD959" s="10"/>
      <c r="AE959" s="10"/>
      <c r="AF959" s="10"/>
      <c r="AG959" s="10"/>
      <c r="AH959" s="10"/>
      <c r="AI959" s="10"/>
      <c r="AJ959" s="10"/>
      <c r="AK959" s="10"/>
      <c r="AL959" s="10"/>
      <c r="AM959" s="10"/>
      <c r="AN959" s="10"/>
      <c r="AO959" s="10"/>
      <c r="AR959" s="10"/>
      <c r="AS959" s="10"/>
      <c r="AU959" s="10"/>
      <c r="AV959" s="10"/>
      <c r="AW959" s="143"/>
      <c r="BE959" s="10"/>
      <c r="BF959" s="10"/>
      <c r="BG959" s="10"/>
      <c r="BH959" s="10"/>
      <c r="BI959" s="10"/>
      <c r="BJ959" s="10"/>
      <c r="BK959" s="10"/>
      <c r="BL959" s="10"/>
      <c r="BO959" s="10"/>
      <c r="BR959" s="10"/>
      <c r="BT959" s="10"/>
      <c r="BW959" s="10"/>
    </row>
    <row r="960">
      <c r="A960" s="10"/>
      <c r="B960" s="10"/>
      <c r="C960" s="10"/>
      <c r="D960" s="10"/>
      <c r="E960" s="10"/>
      <c r="F960" s="10"/>
      <c r="H960" s="10"/>
      <c r="I960" s="10"/>
      <c r="K960" s="10"/>
      <c r="L960" s="10"/>
      <c r="T960" s="10"/>
      <c r="U960" s="10"/>
      <c r="V960" s="10"/>
      <c r="W960" s="10"/>
      <c r="Y960" s="10"/>
      <c r="Z960" s="10"/>
      <c r="AA960" s="10"/>
      <c r="AB960" s="10"/>
      <c r="AC960" s="10"/>
      <c r="AD960" s="10"/>
      <c r="AE960" s="10"/>
      <c r="AF960" s="10"/>
      <c r="AG960" s="10"/>
      <c r="AH960" s="10"/>
      <c r="AI960" s="10"/>
      <c r="AJ960" s="10"/>
      <c r="AK960" s="10"/>
      <c r="AL960" s="10"/>
      <c r="AM960" s="10"/>
      <c r="AN960" s="10"/>
      <c r="AO960" s="10"/>
      <c r="AR960" s="10"/>
      <c r="AS960" s="10"/>
      <c r="AU960" s="10"/>
      <c r="AV960" s="10"/>
      <c r="AW960" s="143"/>
      <c r="BE960" s="10"/>
      <c r="BF960" s="10"/>
      <c r="BG960" s="10"/>
      <c r="BH960" s="10"/>
      <c r="BI960" s="10"/>
      <c r="BJ960" s="10"/>
      <c r="BK960" s="10"/>
      <c r="BS960" s="10"/>
      <c r="BT960" s="10"/>
      <c r="BW960" s="10"/>
    </row>
    <row r="961">
      <c r="A961" s="10"/>
      <c r="B961" s="10"/>
      <c r="C961" s="10"/>
      <c r="D961" s="10"/>
      <c r="E961" s="10"/>
      <c r="F961" s="10"/>
      <c r="G961" s="10"/>
      <c r="H961" s="10"/>
      <c r="I961" s="10"/>
      <c r="N961" s="10"/>
      <c r="T961" s="10"/>
      <c r="U961" s="10"/>
      <c r="V961" s="10"/>
      <c r="W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U961" s="10"/>
      <c r="AV961" s="10"/>
      <c r="AW961" s="143"/>
      <c r="BE961" s="10"/>
      <c r="BF961" s="10"/>
      <c r="BG961" s="10"/>
      <c r="BH961" s="10"/>
      <c r="BI961" s="10"/>
      <c r="BJ961" s="10"/>
      <c r="BK961" s="10"/>
      <c r="BL961" s="10"/>
      <c r="BO961" s="10"/>
      <c r="BR961" s="10"/>
      <c r="BS961" s="10"/>
      <c r="BT961" s="10"/>
      <c r="BW961" s="10"/>
    </row>
    <row r="962">
      <c r="A962" s="10"/>
      <c r="B962" s="10"/>
      <c r="C962" s="10"/>
      <c r="D962" s="10"/>
      <c r="E962" s="10"/>
      <c r="F962" s="10"/>
      <c r="G962" s="10"/>
      <c r="H962" s="10"/>
      <c r="I962" s="10"/>
      <c r="N962" s="10"/>
      <c r="T962" s="10"/>
      <c r="U962" s="10"/>
      <c r="V962" s="10"/>
      <c r="W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U962" s="10"/>
      <c r="AV962" s="10"/>
      <c r="AW962" s="143"/>
      <c r="BE962" s="10"/>
      <c r="BF962" s="10"/>
      <c r="BG962" s="10"/>
      <c r="BH962" s="10"/>
      <c r="BI962" s="10"/>
      <c r="BJ962" s="10"/>
      <c r="BK962" s="10"/>
      <c r="BS962" s="10"/>
      <c r="BT962" s="10"/>
      <c r="BW962" s="10"/>
    </row>
    <row r="963">
      <c r="A963" s="10"/>
      <c r="B963" s="10"/>
      <c r="C963" s="10"/>
      <c r="D963" s="10"/>
      <c r="E963" s="10"/>
      <c r="F963" s="10"/>
      <c r="G963" s="10"/>
      <c r="H963" s="10"/>
      <c r="I963" s="10"/>
      <c r="N963" s="10"/>
      <c r="T963" s="10"/>
      <c r="U963" s="10"/>
      <c r="V963" s="10"/>
      <c r="W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U963" s="10"/>
      <c r="AV963" s="10"/>
      <c r="AW963" s="143"/>
      <c r="BE963" s="10"/>
      <c r="BF963" s="10"/>
      <c r="BG963" s="10"/>
      <c r="BH963" s="10"/>
      <c r="BI963" s="10"/>
      <c r="BJ963" s="10"/>
      <c r="BK963" s="10"/>
      <c r="BS963" s="10"/>
      <c r="BT963" s="10"/>
      <c r="BW963" s="10"/>
    </row>
    <row r="964">
      <c r="A964" s="10"/>
      <c r="B964" s="10"/>
      <c r="C964" s="10"/>
      <c r="D964" s="10"/>
      <c r="E964" s="10"/>
      <c r="F964" s="10"/>
      <c r="G964" s="10"/>
      <c r="H964" s="10"/>
      <c r="I964" s="10"/>
      <c r="N964" s="10"/>
      <c r="T964" s="10"/>
      <c r="U964" s="10"/>
      <c r="V964" s="10"/>
      <c r="W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U964" s="10"/>
      <c r="AV964" s="10"/>
      <c r="AW964" s="143"/>
      <c r="BE964" s="10"/>
      <c r="BF964" s="10"/>
      <c r="BG964" s="10"/>
      <c r="BH964" s="10"/>
      <c r="BI964" s="10"/>
      <c r="BJ964" s="10"/>
      <c r="BK964" s="10"/>
      <c r="BS964" s="10"/>
      <c r="BT964" s="10"/>
      <c r="BW964" s="10"/>
    </row>
    <row r="965">
      <c r="A965" s="10"/>
      <c r="B965" s="10"/>
      <c r="C965" s="10"/>
      <c r="D965" s="10"/>
      <c r="E965" s="10"/>
      <c r="F965" s="10"/>
      <c r="G965" s="10"/>
      <c r="H965" s="10"/>
      <c r="I965" s="10"/>
      <c r="N965" s="10"/>
      <c r="P965" s="10"/>
      <c r="T965" s="10"/>
      <c r="U965" s="10"/>
      <c r="V965" s="10"/>
      <c r="W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U965" s="10"/>
      <c r="AV965" s="10"/>
      <c r="AW965" s="143"/>
      <c r="BE965" s="10"/>
      <c r="BF965" s="10"/>
      <c r="BG965" s="10"/>
      <c r="BH965" s="10"/>
      <c r="BI965" s="10"/>
      <c r="BJ965" s="10"/>
      <c r="BK965" s="10"/>
      <c r="BS965" s="10"/>
      <c r="BT965" s="10"/>
      <c r="BW965" s="10"/>
    </row>
    <row r="966">
      <c r="A966" s="10"/>
      <c r="B966" s="10"/>
      <c r="C966" s="10"/>
      <c r="D966" s="10"/>
      <c r="E966" s="10"/>
      <c r="F966" s="10"/>
      <c r="G966" s="10"/>
      <c r="H966" s="10"/>
      <c r="I966" s="10"/>
      <c r="N966" s="10"/>
      <c r="P966" s="10"/>
      <c r="T966" s="10"/>
      <c r="U966" s="10"/>
      <c r="V966" s="10"/>
      <c r="W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U966" s="10"/>
      <c r="AV966" s="10"/>
      <c r="AW966" s="143"/>
      <c r="BE966" s="10"/>
      <c r="BF966" s="10"/>
      <c r="BG966" s="10"/>
      <c r="BH966" s="10"/>
      <c r="BI966" s="10"/>
      <c r="BJ966" s="10"/>
      <c r="BK966" s="10"/>
      <c r="BS966" s="10"/>
      <c r="BT966" s="10"/>
      <c r="BW966" s="10"/>
    </row>
    <row r="967">
      <c r="A967" s="10"/>
      <c r="B967" s="10"/>
      <c r="C967" s="10"/>
      <c r="D967" s="10"/>
      <c r="E967" s="10"/>
      <c r="F967" s="10"/>
      <c r="G967" s="10"/>
      <c r="H967" s="10"/>
      <c r="I967" s="10"/>
      <c r="N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U967" s="10"/>
      <c r="AV967" s="10"/>
      <c r="AW967" s="143"/>
      <c r="BE967" s="10"/>
      <c r="BF967" s="10"/>
      <c r="BG967" s="10"/>
      <c r="BH967" s="10"/>
      <c r="BI967" s="10"/>
      <c r="BJ967" s="10"/>
      <c r="BK967" s="10"/>
      <c r="BS967" s="10"/>
      <c r="BT967" s="10"/>
      <c r="BW967" s="10"/>
    </row>
    <row r="968">
      <c r="A968" s="10"/>
      <c r="B968" s="10"/>
      <c r="C968" s="10"/>
      <c r="D968" s="10"/>
      <c r="E968" s="10"/>
      <c r="F968" s="10"/>
      <c r="G968" s="10"/>
      <c r="H968" s="10"/>
      <c r="I968" s="10"/>
      <c r="J968" s="10"/>
      <c r="N968" s="10"/>
      <c r="P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U968" s="10"/>
      <c r="AV968" s="10"/>
      <c r="AW968" s="143"/>
      <c r="BS968" s="10"/>
      <c r="BT968" s="10"/>
      <c r="BW968" s="10"/>
    </row>
    <row r="969">
      <c r="A969" s="10"/>
      <c r="B969" s="10"/>
      <c r="C969" s="10"/>
      <c r="D969" s="10"/>
      <c r="E969" s="10"/>
      <c r="F969" s="10"/>
      <c r="G969" s="10"/>
      <c r="H969" s="10"/>
      <c r="I969" s="10"/>
      <c r="N969" s="10"/>
      <c r="P969" s="10"/>
      <c r="T969" s="10"/>
      <c r="U969" s="10"/>
      <c r="V969" s="10"/>
      <c r="W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U969" s="10"/>
      <c r="AV969" s="10"/>
      <c r="AW969" s="143"/>
      <c r="BE969" s="10"/>
      <c r="BF969" s="10"/>
      <c r="BG969" s="10"/>
      <c r="BH969" s="10"/>
      <c r="BI969" s="10"/>
      <c r="BJ969" s="10"/>
      <c r="BK969" s="10"/>
      <c r="BL969" s="10"/>
      <c r="BO969" s="10"/>
      <c r="BR969" s="10"/>
      <c r="BT969" s="10"/>
      <c r="BW969" s="10"/>
    </row>
    <row r="970">
      <c r="A970" s="10"/>
      <c r="B970" s="10"/>
      <c r="C970" s="10"/>
      <c r="D970" s="10"/>
      <c r="E970" s="10"/>
      <c r="F970" s="10"/>
      <c r="G970" s="10"/>
      <c r="H970" s="10"/>
      <c r="I970" s="10"/>
      <c r="N970" s="10"/>
      <c r="P970" s="10"/>
      <c r="T970" s="10"/>
      <c r="U970" s="10"/>
      <c r="V970" s="10"/>
      <c r="W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U970" s="10"/>
      <c r="AV970" s="10"/>
      <c r="AW970" s="143"/>
      <c r="BE970" s="10"/>
      <c r="BF970" s="10"/>
      <c r="BG970" s="10"/>
      <c r="BH970" s="10"/>
      <c r="BI970" s="10"/>
      <c r="BJ970" s="10"/>
      <c r="BK970" s="10"/>
      <c r="BS970" s="10"/>
      <c r="BT970" s="10"/>
      <c r="BW970" s="10"/>
    </row>
    <row r="971">
      <c r="A971" s="10"/>
      <c r="B971" s="10"/>
      <c r="C971" s="10"/>
      <c r="D971" s="10"/>
      <c r="E971" s="10"/>
      <c r="F971" s="10"/>
      <c r="G971" s="10"/>
      <c r="H971" s="10"/>
      <c r="I971" s="10"/>
      <c r="K971" s="10"/>
      <c r="L971" s="10"/>
      <c r="N971" s="10"/>
      <c r="P971" s="10"/>
      <c r="U971" s="10"/>
      <c r="V971" s="10"/>
      <c r="W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U971" s="10"/>
      <c r="AV971" s="10"/>
      <c r="AW971" s="143"/>
      <c r="BE971" s="10"/>
      <c r="BF971" s="10"/>
      <c r="BG971" s="10"/>
      <c r="BH971" s="10"/>
      <c r="BI971" s="10"/>
      <c r="BJ971" s="10"/>
      <c r="BK971" s="10"/>
      <c r="BL971" s="10"/>
      <c r="BM971" s="10"/>
      <c r="BN971" s="10"/>
      <c r="BO971" s="10"/>
      <c r="BP971" s="10"/>
      <c r="BQ971" s="10"/>
      <c r="BR971" s="10"/>
      <c r="BS971" s="10"/>
      <c r="BT971" s="10"/>
      <c r="BW971" s="10"/>
    </row>
    <row r="972">
      <c r="A972" s="10"/>
      <c r="B972" s="10"/>
      <c r="C972" s="10"/>
      <c r="D972" s="10"/>
      <c r="E972" s="10"/>
      <c r="F972" s="10"/>
      <c r="G972" s="10"/>
      <c r="H972" s="10"/>
      <c r="I972" s="10"/>
      <c r="K972" s="10"/>
      <c r="L972" s="10"/>
      <c r="N972" s="10"/>
      <c r="P972" s="10"/>
      <c r="U972" s="10"/>
      <c r="V972" s="10"/>
      <c r="W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U972" s="10"/>
      <c r="AV972" s="10"/>
      <c r="AW972" s="143"/>
      <c r="BE972" s="10"/>
      <c r="BF972" s="10"/>
      <c r="BG972" s="10"/>
      <c r="BH972" s="10"/>
      <c r="BI972" s="10"/>
      <c r="BJ972" s="10"/>
      <c r="BK972" s="10"/>
      <c r="BL972" s="10"/>
      <c r="BM972" s="10"/>
      <c r="BO972" s="10"/>
      <c r="BP972" s="10"/>
      <c r="BR972" s="10"/>
      <c r="BS972" s="10"/>
      <c r="BT972" s="10"/>
      <c r="BW972" s="10"/>
    </row>
    <row r="973">
      <c r="A973" s="10"/>
      <c r="B973" s="10"/>
      <c r="C973" s="10"/>
      <c r="D973" s="10"/>
      <c r="E973" s="10"/>
      <c r="F973" s="10"/>
      <c r="G973" s="10"/>
      <c r="H973" s="10"/>
      <c r="I973" s="10"/>
      <c r="K973" s="10"/>
      <c r="L973" s="10"/>
      <c r="N973" s="10"/>
      <c r="U973" s="10"/>
      <c r="V973" s="10"/>
      <c r="W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U973" s="10"/>
      <c r="AV973" s="10"/>
      <c r="AW973" s="143"/>
      <c r="AX973" s="10"/>
      <c r="AY973" s="10"/>
      <c r="BE973" s="10"/>
      <c r="BF973" s="10"/>
      <c r="BG973" s="10"/>
      <c r="BH973" s="10"/>
      <c r="BI973" s="10"/>
      <c r="BJ973" s="10"/>
      <c r="BK973" s="10"/>
      <c r="BS973" s="10"/>
      <c r="BT973" s="10"/>
      <c r="BW973" s="10"/>
    </row>
    <row r="974">
      <c r="A974" s="10"/>
      <c r="B974" s="10"/>
      <c r="C974" s="10"/>
      <c r="D974" s="10"/>
      <c r="E974" s="10"/>
      <c r="F974" s="10"/>
      <c r="G974" s="10"/>
      <c r="H974" s="10"/>
      <c r="I974" s="10"/>
      <c r="N974" s="10"/>
      <c r="P974" s="10"/>
      <c r="T974" s="10"/>
      <c r="U974" s="10"/>
      <c r="V974" s="10"/>
      <c r="W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c r="AU974" s="10"/>
      <c r="AV974" s="10"/>
      <c r="AW974" s="143"/>
      <c r="BE974" s="10"/>
      <c r="BF974" s="10"/>
      <c r="BG974" s="10"/>
      <c r="BH974" s="10"/>
      <c r="BI974" s="10"/>
      <c r="BJ974" s="10"/>
      <c r="BK974" s="10"/>
      <c r="BL974" s="10"/>
      <c r="BO974" s="10"/>
      <c r="BR974" s="10"/>
      <c r="BS974" s="10"/>
      <c r="BT974" s="10"/>
      <c r="BW974" s="10"/>
    </row>
    <row r="975">
      <c r="A975" s="10"/>
      <c r="B975" s="10"/>
      <c r="C975" s="10"/>
      <c r="D975" s="10"/>
      <c r="E975" s="10"/>
      <c r="F975" s="10"/>
      <c r="G975" s="10"/>
      <c r="H975" s="10"/>
      <c r="I975" s="10"/>
      <c r="N975" s="10"/>
      <c r="P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43"/>
      <c r="BS975" s="10"/>
      <c r="BT975" s="10"/>
      <c r="BW975" s="10"/>
    </row>
    <row r="976">
      <c r="A976" s="10"/>
      <c r="B976" s="10"/>
      <c r="C976" s="10"/>
      <c r="D976" s="10"/>
      <c r="E976" s="10"/>
      <c r="F976" s="10"/>
      <c r="G976" s="10"/>
      <c r="H976" s="10"/>
      <c r="I976" s="10"/>
      <c r="N976" s="10"/>
      <c r="P976" s="10"/>
      <c r="T976" s="10"/>
      <c r="U976" s="10"/>
      <c r="V976" s="10"/>
      <c r="W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U976" s="10"/>
      <c r="AV976" s="10"/>
      <c r="AW976" s="143"/>
      <c r="BE976" s="10"/>
      <c r="BF976" s="10"/>
      <c r="BG976" s="10"/>
      <c r="BH976" s="10"/>
      <c r="BI976" s="10"/>
      <c r="BJ976" s="10"/>
      <c r="BK976" s="10"/>
      <c r="BS976" s="10"/>
      <c r="BT976" s="10"/>
      <c r="BW976" s="10"/>
    </row>
    <row r="977">
      <c r="A977" s="10"/>
      <c r="B977" s="10"/>
      <c r="C977" s="10"/>
      <c r="D977" s="10"/>
      <c r="E977" s="10"/>
      <c r="F977" s="10"/>
      <c r="G977" s="10"/>
      <c r="H977" s="10"/>
      <c r="I977" s="10"/>
      <c r="N977" s="10"/>
      <c r="P977" s="10"/>
      <c r="T977" s="10"/>
      <c r="U977" s="10"/>
      <c r="V977" s="10"/>
      <c r="W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U977" s="10"/>
      <c r="AV977" s="10"/>
      <c r="AW977" s="143"/>
      <c r="BE977" s="10"/>
      <c r="BF977" s="10"/>
      <c r="BG977" s="10"/>
      <c r="BH977" s="10"/>
      <c r="BI977" s="10"/>
      <c r="BJ977" s="10"/>
      <c r="BK977" s="10"/>
      <c r="BS977" s="10"/>
      <c r="BT977" s="10"/>
      <c r="BW977" s="10"/>
    </row>
    <row r="978">
      <c r="A978" s="10"/>
      <c r="B978" s="10"/>
      <c r="C978" s="10"/>
      <c r="D978" s="10"/>
      <c r="E978" s="10"/>
      <c r="F978" s="10"/>
      <c r="G978" s="10"/>
      <c r="H978" s="10"/>
      <c r="I978" s="10"/>
      <c r="N978" s="10"/>
      <c r="P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U978" s="10"/>
      <c r="AV978" s="10"/>
      <c r="AW978" s="143"/>
      <c r="BS978" s="10"/>
      <c r="BT978" s="10"/>
      <c r="BW978" s="10"/>
    </row>
    <row r="979">
      <c r="A979" s="10"/>
      <c r="B979" s="10"/>
      <c r="C979" s="10"/>
      <c r="D979" s="10"/>
      <c r="E979" s="10"/>
      <c r="F979" s="10"/>
      <c r="G979" s="10"/>
      <c r="H979" s="10"/>
      <c r="I979" s="10"/>
      <c r="N979" s="10"/>
      <c r="P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U979" s="10"/>
      <c r="AV979" s="10"/>
      <c r="AW979" s="143"/>
      <c r="BE979" s="10"/>
      <c r="BF979" s="10"/>
      <c r="BG979" s="10"/>
      <c r="BH979" s="10"/>
      <c r="BI979" s="10"/>
      <c r="BJ979" s="10"/>
      <c r="BK979" s="10"/>
      <c r="BS979" s="10"/>
      <c r="BT979" s="10"/>
      <c r="BW979" s="10"/>
    </row>
    <row r="980">
      <c r="A980" s="10"/>
      <c r="B980" s="10"/>
      <c r="C980" s="10"/>
      <c r="D980" s="10"/>
      <c r="E980" s="10"/>
      <c r="F980" s="10"/>
      <c r="G980" s="10"/>
      <c r="H980" s="10"/>
      <c r="I980" s="10"/>
      <c r="N980" s="10"/>
      <c r="P980" s="10"/>
      <c r="T980" s="10"/>
      <c r="U980" s="10"/>
      <c r="V980" s="10"/>
      <c r="W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U980" s="10"/>
      <c r="AV980" s="10"/>
      <c r="AW980" s="143"/>
      <c r="BE980" s="10"/>
      <c r="BF980" s="10"/>
      <c r="BG980" s="10"/>
      <c r="BH980" s="10"/>
      <c r="BI980" s="10"/>
      <c r="BJ980" s="10"/>
      <c r="BK980" s="10"/>
      <c r="BS980" s="10"/>
      <c r="BT980" s="10"/>
      <c r="BW980" s="10"/>
    </row>
    <row r="981">
      <c r="A981" s="10"/>
      <c r="B981" s="10"/>
      <c r="C981" s="10"/>
      <c r="D981" s="10"/>
      <c r="E981" s="10"/>
      <c r="F981" s="10"/>
      <c r="G981" s="10"/>
      <c r="H981" s="10"/>
      <c r="I981" s="10"/>
      <c r="J981" s="10"/>
      <c r="N981" s="10"/>
      <c r="O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c r="AU981" s="10"/>
      <c r="AV981" s="10"/>
      <c r="AW981" s="143"/>
      <c r="AX981" s="10"/>
      <c r="AY981" s="10"/>
      <c r="BE981" s="10"/>
      <c r="BF981" s="10"/>
      <c r="BG981" s="10"/>
      <c r="BH981" s="10"/>
      <c r="BI981" s="10"/>
      <c r="BJ981" s="10"/>
      <c r="BK981" s="10"/>
      <c r="BL981" s="10"/>
      <c r="BM981" s="10"/>
      <c r="BN981" s="10"/>
      <c r="BO981" s="10"/>
      <c r="BP981" s="10"/>
      <c r="BQ981" s="10"/>
      <c r="BR981" s="10"/>
      <c r="BS981" s="10"/>
      <c r="BT981" s="10"/>
      <c r="BW981" s="10"/>
    </row>
    <row r="982">
      <c r="A982" s="10"/>
      <c r="B982" s="10"/>
      <c r="C982" s="10"/>
      <c r="D982" s="10"/>
      <c r="E982" s="10"/>
      <c r="F982" s="10"/>
      <c r="G982" s="10"/>
      <c r="H982" s="10"/>
      <c r="I982" s="10"/>
      <c r="P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U982" s="10"/>
      <c r="AV982" s="10"/>
      <c r="AW982" s="143"/>
      <c r="BS982" s="10"/>
      <c r="BT982" s="10"/>
      <c r="BW982" s="10"/>
    </row>
    <row r="983">
      <c r="A983" s="10"/>
      <c r="B983" s="10"/>
      <c r="C983" s="10"/>
      <c r="D983" s="10"/>
      <c r="E983" s="10"/>
      <c r="F983" s="10"/>
      <c r="G983" s="10"/>
      <c r="H983" s="10"/>
      <c r="I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U983" s="10"/>
      <c r="AV983" s="10"/>
      <c r="AW983" s="143"/>
      <c r="BS983" s="10"/>
      <c r="BT983" s="10"/>
      <c r="BW983" s="10"/>
    </row>
    <row r="984">
      <c r="A984" s="10"/>
      <c r="B984" s="10"/>
      <c r="C984" s="10"/>
      <c r="D984" s="10"/>
      <c r="E984" s="10"/>
      <c r="F984" s="10"/>
      <c r="G984" s="10"/>
      <c r="H984" s="10"/>
      <c r="I984" s="10"/>
      <c r="N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U984" s="10"/>
      <c r="AV984" s="10"/>
      <c r="AW984" s="143"/>
      <c r="BS984" s="10"/>
      <c r="BT984" s="10"/>
      <c r="BW984" s="10"/>
    </row>
    <row r="985">
      <c r="A985" s="10"/>
      <c r="B985" s="10"/>
      <c r="C985" s="10"/>
      <c r="D985" s="10"/>
      <c r="E985" s="10"/>
      <c r="F985" s="10"/>
      <c r="G985" s="10"/>
      <c r="H985" s="10"/>
      <c r="I985" s="10"/>
      <c r="J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U985" s="10"/>
      <c r="AV985" s="10"/>
      <c r="AW985" s="143"/>
      <c r="BT985" s="10"/>
      <c r="BW985" s="10"/>
    </row>
    <row r="986">
      <c r="A986" s="10"/>
      <c r="B986" s="10"/>
      <c r="C986" s="10"/>
      <c r="D986" s="10"/>
      <c r="E986" s="10"/>
      <c r="F986" s="10"/>
      <c r="G986" s="10"/>
      <c r="H986" s="10"/>
      <c r="I986" s="10"/>
      <c r="J986" s="10"/>
      <c r="T986" s="10"/>
      <c r="U986" s="10"/>
      <c r="V986" s="10"/>
      <c r="W986" s="10"/>
      <c r="X986" s="10"/>
      <c r="Y986" s="10"/>
      <c r="Z986" s="10"/>
      <c r="AA986" s="10"/>
      <c r="AB986" s="10"/>
      <c r="AC986" s="10"/>
      <c r="AD986" s="10"/>
      <c r="AE986" s="10"/>
      <c r="AG986" s="10"/>
      <c r="AH986" s="10"/>
      <c r="AI986" s="10"/>
      <c r="AJ986" s="10"/>
      <c r="AK986" s="10"/>
      <c r="AL986" s="10"/>
      <c r="AM986" s="10"/>
      <c r="AN986" s="10"/>
      <c r="AO986" s="10"/>
      <c r="AP986" s="10"/>
      <c r="AQ986" s="10"/>
      <c r="AR986" s="10"/>
      <c r="AS986" s="10"/>
      <c r="AU986" s="10"/>
      <c r="AV986" s="10"/>
      <c r="AW986" s="143"/>
      <c r="BS986" s="10"/>
      <c r="BT986" s="10"/>
      <c r="BW986" s="10"/>
    </row>
    <row r="987">
      <c r="A987" s="10"/>
      <c r="B987" s="10"/>
      <c r="C987" s="10"/>
      <c r="D987" s="10"/>
      <c r="E987" s="10"/>
      <c r="F987" s="10"/>
      <c r="G987" s="10"/>
      <c r="H987" s="10"/>
      <c r="I987" s="10"/>
      <c r="J987" s="10"/>
      <c r="N987" s="10"/>
      <c r="P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U987" s="10"/>
      <c r="AV987" s="10"/>
      <c r="AW987" s="143"/>
      <c r="BL987" s="10"/>
      <c r="BO987" s="10"/>
      <c r="BR987" s="10"/>
      <c r="BS987" s="10"/>
      <c r="BT987" s="10"/>
      <c r="BW987" s="10"/>
    </row>
    <row r="988">
      <c r="A988" s="10"/>
      <c r="B988" s="10"/>
      <c r="C988" s="10"/>
      <c r="D988" s="10"/>
      <c r="E988" s="10"/>
      <c r="F988" s="10"/>
      <c r="G988" s="10"/>
      <c r="H988" s="10"/>
      <c r="I988" s="10"/>
      <c r="J988" s="10"/>
      <c r="P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U988" s="10"/>
      <c r="AV988" s="10"/>
      <c r="AW988" s="143"/>
      <c r="BT988" s="10"/>
      <c r="BW988" s="10"/>
    </row>
    <row r="989">
      <c r="A989" s="10"/>
      <c r="B989" s="10"/>
      <c r="C989" s="10"/>
      <c r="D989" s="10"/>
      <c r="E989" s="10"/>
      <c r="F989" s="10"/>
      <c r="G989" s="10"/>
      <c r="H989" s="10"/>
      <c r="I989" s="10"/>
      <c r="J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c r="AU989" s="10"/>
      <c r="AV989" s="10"/>
      <c r="AW989" s="143"/>
      <c r="AX989" s="10"/>
      <c r="AY989" s="10"/>
      <c r="BS989" s="10"/>
      <c r="BT989" s="10"/>
      <c r="BW989" s="10"/>
    </row>
    <row r="990">
      <c r="A990" s="10"/>
      <c r="B990" s="10"/>
      <c r="C990" s="10"/>
      <c r="D990" s="10"/>
      <c r="E990" s="10"/>
      <c r="F990" s="10"/>
      <c r="G990" s="10"/>
      <c r="H990" s="10"/>
      <c r="J990" s="10"/>
      <c r="K990" s="10"/>
      <c r="L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W990" s="143"/>
      <c r="AY990" s="10"/>
      <c r="BE990" s="10"/>
      <c r="BF990" s="10"/>
      <c r="BG990" s="10"/>
      <c r="BH990" s="10"/>
      <c r="BI990" s="10"/>
      <c r="BJ990" s="10"/>
      <c r="BK990" s="10"/>
      <c r="BL990" s="10"/>
      <c r="BM990" s="10"/>
      <c r="BN990" s="10"/>
      <c r="BO990" s="10"/>
      <c r="BP990" s="10"/>
      <c r="BQ990" s="10"/>
      <c r="BR990" s="10"/>
      <c r="BS990" s="10"/>
      <c r="BT990" s="10"/>
      <c r="BW990" s="10"/>
    </row>
    <row r="991">
      <c r="A991" s="10"/>
      <c r="B991" s="10"/>
      <c r="C991" s="10"/>
      <c r="D991" s="10"/>
      <c r="E991" s="10"/>
      <c r="F991" s="10"/>
      <c r="G991" s="10"/>
      <c r="H991" s="10"/>
      <c r="I991" s="10"/>
      <c r="P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U991" s="10"/>
      <c r="AV991" s="10"/>
      <c r="AW991" s="143"/>
      <c r="AZ991" s="10"/>
      <c r="BL991" s="10"/>
      <c r="BO991" s="10"/>
      <c r="BR991" s="10"/>
      <c r="BS991" s="10"/>
      <c r="BT991" s="10"/>
      <c r="BW991" s="10"/>
    </row>
    <row r="992">
      <c r="A992" s="10"/>
      <c r="B992" s="10"/>
      <c r="C992" s="10"/>
      <c r="D992" s="10"/>
      <c r="E992" s="10"/>
      <c r="F992" s="10"/>
      <c r="G992" s="10"/>
      <c r="H992" s="10"/>
      <c r="I992" s="10"/>
      <c r="P992" s="10"/>
      <c r="T992" s="10"/>
      <c r="U992" s="10"/>
      <c r="V992" s="10"/>
      <c r="W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U992" s="10"/>
      <c r="AV992" s="10"/>
      <c r="AW992" s="143"/>
      <c r="BT992" s="10"/>
      <c r="BW992" s="10"/>
    </row>
    <row r="993">
      <c r="A993" s="10"/>
      <c r="B993" s="10"/>
      <c r="C993" s="10"/>
      <c r="D993" s="10"/>
      <c r="E993" s="10"/>
      <c r="F993" s="10"/>
      <c r="G993" s="10"/>
      <c r="H993" s="10"/>
      <c r="I993" s="10"/>
      <c r="J993" s="10"/>
      <c r="N993" s="10"/>
      <c r="P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U993" s="10"/>
      <c r="AV993" s="10"/>
      <c r="AW993" s="143"/>
      <c r="AZ993" s="10"/>
      <c r="BL993" s="10"/>
      <c r="BO993" s="10"/>
      <c r="BR993" s="10"/>
      <c r="BS993" s="10"/>
      <c r="BT993" s="10"/>
      <c r="BW993" s="10"/>
    </row>
    <row r="994">
      <c r="A994" s="10"/>
      <c r="B994" s="10"/>
      <c r="C994" s="10"/>
      <c r="D994" s="10"/>
      <c r="E994" s="10"/>
      <c r="F994" s="10"/>
      <c r="G994" s="10"/>
      <c r="H994" s="10"/>
      <c r="I994" s="10"/>
      <c r="P994" s="10"/>
      <c r="T994" s="10"/>
      <c r="U994" s="10"/>
      <c r="V994" s="10"/>
      <c r="W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U994" s="10"/>
      <c r="AV994" s="10"/>
      <c r="AW994" s="143"/>
      <c r="BS994" s="10"/>
      <c r="BT994" s="10"/>
      <c r="BW994" s="10"/>
    </row>
    <row r="995">
      <c r="A995" s="10"/>
      <c r="B995" s="10"/>
      <c r="C995" s="10"/>
      <c r="D995" s="10"/>
      <c r="E995" s="10"/>
      <c r="F995" s="10"/>
      <c r="G995" s="10"/>
      <c r="H995" s="10"/>
      <c r="I995" s="10"/>
      <c r="N995" s="10"/>
      <c r="P995" s="10"/>
      <c r="T995" s="10"/>
      <c r="U995" s="10"/>
      <c r="V995" s="10"/>
      <c r="W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U995" s="10"/>
      <c r="AV995" s="10"/>
      <c r="AW995" s="143"/>
      <c r="BS995" s="10"/>
      <c r="BT995" s="10"/>
      <c r="BW995" s="10"/>
    </row>
    <row r="996">
      <c r="A996" s="10"/>
      <c r="B996" s="10"/>
      <c r="C996" s="10"/>
      <c r="D996" s="10"/>
      <c r="E996" s="10"/>
      <c r="F996" s="10"/>
      <c r="G996" s="10"/>
      <c r="H996" s="10"/>
      <c r="I996" s="10"/>
      <c r="P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U996" s="10"/>
      <c r="AV996" s="10"/>
      <c r="AW996" s="143"/>
      <c r="BS996" s="10"/>
      <c r="BT996" s="10"/>
      <c r="BW996" s="10"/>
    </row>
    <row r="997">
      <c r="A997" s="10"/>
      <c r="B997" s="10"/>
      <c r="C997" s="10"/>
      <c r="D997" s="10"/>
      <c r="E997" s="10"/>
      <c r="F997" s="10"/>
      <c r="G997" s="10"/>
      <c r="H997" s="10"/>
      <c r="I997" s="10"/>
      <c r="P997" s="10"/>
      <c r="T997" s="10"/>
      <c r="U997" s="10"/>
      <c r="V997" s="10"/>
      <c r="W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U997" s="10"/>
      <c r="AV997" s="10"/>
      <c r="AW997" s="143"/>
      <c r="BS997" s="10"/>
      <c r="BT997" s="10"/>
      <c r="BW997" s="10"/>
    </row>
    <row r="998">
      <c r="A998" s="10"/>
      <c r="B998" s="10"/>
      <c r="C998" s="10"/>
      <c r="D998" s="10"/>
      <c r="E998" s="10"/>
      <c r="F998" s="10"/>
      <c r="G998" s="10"/>
      <c r="H998" s="10"/>
      <c r="I998" s="10"/>
      <c r="N998" s="10"/>
      <c r="P998" s="10"/>
      <c r="T998" s="10"/>
      <c r="U998" s="10"/>
      <c r="V998" s="10"/>
      <c r="W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U998" s="10"/>
      <c r="AV998" s="10"/>
      <c r="AW998" s="143"/>
      <c r="BS998" s="10"/>
      <c r="BT998" s="10"/>
      <c r="BW998" s="10"/>
    </row>
    <row r="999">
      <c r="A999" s="10"/>
      <c r="B999" s="10"/>
      <c r="C999" s="10"/>
      <c r="D999" s="10"/>
      <c r="E999" s="10"/>
      <c r="F999" s="10"/>
      <c r="G999" s="10"/>
      <c r="H999" s="10"/>
      <c r="I999" s="10"/>
      <c r="N999" s="10"/>
      <c r="P999" s="10"/>
      <c r="T999" s="10"/>
      <c r="U999" s="10"/>
      <c r="V999" s="10"/>
      <c r="W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U999" s="10"/>
      <c r="AV999" s="10"/>
      <c r="AW999" s="143"/>
      <c r="BS999" s="10"/>
      <c r="BT999" s="10"/>
      <c r="BW999" s="10"/>
    </row>
    <row r="1000">
      <c r="A1000" s="10"/>
      <c r="B1000" s="10"/>
      <c r="C1000" s="10"/>
      <c r="D1000" s="10"/>
      <c r="E1000" s="10"/>
      <c r="F1000" s="10"/>
      <c r="G1000" s="10"/>
      <c r="H1000" s="10"/>
      <c r="I1000" s="10"/>
      <c r="N1000" s="10"/>
      <c r="P1000" s="10"/>
      <c r="T1000" s="10"/>
      <c r="U1000" s="10"/>
      <c r="V1000" s="10"/>
      <c r="W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U1000" s="10"/>
      <c r="AV1000" s="10"/>
      <c r="AW1000" s="143"/>
      <c r="BS1000" s="10"/>
      <c r="BT1000" s="10"/>
      <c r="BW1000" s="10"/>
    </row>
    <row r="1001">
      <c r="A1001" s="10"/>
      <c r="B1001" s="10"/>
      <c r="C1001" s="10"/>
      <c r="D1001" s="10"/>
      <c r="E1001" s="10"/>
      <c r="F1001" s="10"/>
      <c r="G1001" s="10"/>
      <c r="H1001" s="10"/>
      <c r="I1001" s="10"/>
      <c r="N1001" s="10"/>
      <c r="P1001" s="10"/>
      <c r="T1001" s="10"/>
      <c r="U1001" s="10"/>
      <c r="V1001" s="10"/>
      <c r="W1001" s="10"/>
      <c r="Y1001" s="10"/>
      <c r="Z1001" s="10"/>
      <c r="AA1001" s="10"/>
      <c r="AB1001" s="10"/>
      <c r="AC1001" s="10"/>
      <c r="AD1001" s="10"/>
      <c r="AE1001" s="10"/>
      <c r="AF1001" s="10"/>
      <c r="AG1001" s="10"/>
      <c r="AH1001" s="10"/>
      <c r="AI1001" s="10"/>
      <c r="AJ1001" s="10"/>
      <c r="AK1001" s="10"/>
      <c r="AL1001" s="10"/>
      <c r="AM1001" s="10"/>
      <c r="AN1001" s="10"/>
      <c r="AO1001" s="10"/>
      <c r="AP1001" s="10"/>
      <c r="AQ1001" s="10"/>
      <c r="AR1001" s="10"/>
      <c r="AS1001" s="10"/>
      <c r="AU1001" s="10"/>
      <c r="AV1001" s="10"/>
      <c r="AW1001" s="143"/>
      <c r="BS1001" s="10"/>
      <c r="BT1001" s="10"/>
      <c r="BW1001" s="10"/>
    </row>
    <row r="1002">
      <c r="A1002" s="10"/>
      <c r="B1002" s="10"/>
      <c r="C1002" s="10"/>
      <c r="D1002" s="10"/>
      <c r="E1002" s="10"/>
      <c r="F1002" s="10"/>
      <c r="G1002" s="10"/>
      <c r="H1002" s="10"/>
      <c r="I1002" s="10"/>
      <c r="N1002" s="10"/>
      <c r="P1002" s="10"/>
      <c r="T1002" s="10"/>
      <c r="U1002" s="10"/>
      <c r="V1002" s="10"/>
      <c r="W1002" s="10"/>
      <c r="Y1002" s="10"/>
      <c r="Z1002" s="10"/>
      <c r="AA1002" s="10"/>
      <c r="AB1002" s="10"/>
      <c r="AC1002" s="10"/>
      <c r="AD1002" s="10"/>
      <c r="AE1002" s="10"/>
      <c r="AF1002" s="10"/>
      <c r="AG1002" s="10"/>
      <c r="AH1002" s="10"/>
      <c r="AI1002" s="10"/>
      <c r="AJ1002" s="10"/>
      <c r="AK1002" s="10"/>
      <c r="AL1002" s="10"/>
      <c r="AM1002" s="10"/>
      <c r="AN1002" s="10"/>
      <c r="AO1002" s="10"/>
      <c r="AP1002" s="10"/>
      <c r="AQ1002" s="10"/>
      <c r="AR1002" s="10"/>
      <c r="AS1002" s="10"/>
      <c r="AU1002" s="10"/>
      <c r="AV1002" s="10"/>
      <c r="AW1002" s="143"/>
      <c r="BS1002" s="10"/>
      <c r="BT1002" s="10"/>
      <c r="BW1002" s="10"/>
    </row>
    <row r="1003">
      <c r="A1003" s="10"/>
      <c r="B1003" s="10"/>
      <c r="C1003" s="10"/>
      <c r="D1003" s="10"/>
      <c r="E1003" s="10"/>
      <c r="F1003" s="10"/>
      <c r="G1003" s="10"/>
      <c r="H1003" s="10"/>
      <c r="N1003" s="10"/>
      <c r="Q1003" s="10"/>
      <c r="R1003" s="10"/>
      <c r="S1003" s="10"/>
      <c r="U1003" s="10"/>
      <c r="V1003" s="10"/>
      <c r="W1003" s="10"/>
      <c r="Y1003" s="10"/>
      <c r="Z1003" s="10"/>
      <c r="AA1003" s="10"/>
      <c r="AB1003" s="10"/>
      <c r="AC1003" s="10"/>
      <c r="AD1003" s="10"/>
      <c r="AE1003" s="10"/>
      <c r="AF1003" s="10"/>
      <c r="AG1003" s="10"/>
      <c r="AH1003" s="10"/>
      <c r="AI1003" s="10"/>
      <c r="AJ1003" s="10"/>
      <c r="AK1003" s="10"/>
      <c r="AL1003" s="10"/>
      <c r="AM1003" s="10"/>
      <c r="AN1003" s="10"/>
      <c r="AO1003" s="10"/>
      <c r="AW1003" s="143"/>
      <c r="AZ1003" s="10"/>
      <c r="BE1003" s="10"/>
      <c r="BF1003" s="10"/>
      <c r="BG1003" s="10"/>
      <c r="BH1003" s="10"/>
      <c r="BI1003" s="10"/>
      <c r="BJ1003" s="10"/>
      <c r="BK1003" s="10"/>
      <c r="BL1003" s="10"/>
      <c r="BM1003" s="10"/>
      <c r="BN1003" s="10"/>
      <c r="BO1003" s="10"/>
      <c r="BP1003" s="10"/>
      <c r="BQ1003" s="10"/>
      <c r="BR1003" s="10"/>
      <c r="BS1003" s="10"/>
      <c r="BT1003" s="10"/>
      <c r="BW1003" s="10"/>
    </row>
    <row r="1004">
      <c r="A1004" s="10"/>
      <c r="B1004" s="10"/>
      <c r="C1004" s="10"/>
      <c r="D1004" s="10"/>
      <c r="E1004" s="10"/>
      <c r="F1004" s="10"/>
      <c r="G1004" s="10"/>
      <c r="H1004" s="10"/>
      <c r="N1004" s="10"/>
      <c r="U1004" s="10"/>
      <c r="V1004" s="10"/>
      <c r="W1004" s="10"/>
      <c r="Y1004" s="10"/>
      <c r="Z1004" s="10"/>
      <c r="AA1004" s="10"/>
      <c r="AB1004" s="10"/>
      <c r="AC1004" s="10"/>
      <c r="AD1004" s="10"/>
      <c r="AE1004" s="10"/>
      <c r="AF1004" s="10"/>
      <c r="AG1004" s="10"/>
      <c r="AH1004" s="10"/>
      <c r="AI1004" s="10"/>
      <c r="AJ1004" s="10"/>
      <c r="AK1004" s="10"/>
      <c r="AL1004" s="10"/>
      <c r="AM1004" s="10"/>
      <c r="AN1004" s="10"/>
      <c r="AO1004" s="10"/>
      <c r="AW1004" s="143"/>
      <c r="AZ1004" s="10"/>
      <c r="BE1004" s="10"/>
      <c r="BF1004" s="10"/>
      <c r="BG1004" s="10"/>
      <c r="BH1004" s="10"/>
      <c r="BI1004" s="10"/>
      <c r="BJ1004" s="10"/>
      <c r="BK1004" s="10"/>
      <c r="BS1004" s="10"/>
      <c r="BT1004" s="10"/>
      <c r="BW1004" s="10"/>
    </row>
    <row r="1005">
      <c r="A1005" s="10"/>
      <c r="B1005" s="10"/>
      <c r="C1005" s="10"/>
      <c r="D1005" s="10"/>
      <c r="E1005" s="10"/>
      <c r="F1005" s="10"/>
      <c r="G1005" s="10"/>
      <c r="H1005" s="10"/>
      <c r="N1005" s="10"/>
      <c r="U1005" s="10"/>
      <c r="V1005" s="10"/>
      <c r="W1005" s="10"/>
      <c r="Y1005" s="10"/>
      <c r="Z1005" s="10"/>
      <c r="AA1005" s="10"/>
      <c r="AB1005" s="10"/>
      <c r="AC1005" s="10"/>
      <c r="AD1005" s="10"/>
      <c r="AE1005" s="10"/>
      <c r="AF1005" s="10"/>
      <c r="AG1005" s="10"/>
      <c r="AH1005" s="10"/>
      <c r="AI1005" s="10"/>
      <c r="AJ1005" s="10"/>
      <c r="AL1005" s="10"/>
      <c r="AM1005" s="10"/>
      <c r="AO1005" s="10"/>
      <c r="AW1005" s="143"/>
      <c r="AZ1005" s="10"/>
      <c r="BE1005" s="10"/>
      <c r="BF1005" s="10"/>
      <c r="BG1005" s="10"/>
      <c r="BH1005" s="10"/>
      <c r="BI1005" s="10"/>
      <c r="BJ1005" s="10"/>
      <c r="BK1005" s="10"/>
      <c r="BS1005" s="10"/>
      <c r="BT1005" s="10"/>
      <c r="BW1005" s="10"/>
    </row>
    <row r="1006">
      <c r="A1006" s="10"/>
      <c r="B1006" s="10"/>
      <c r="C1006" s="10"/>
      <c r="D1006" s="10"/>
      <c r="E1006" s="10"/>
      <c r="F1006" s="10"/>
      <c r="G1006" s="10"/>
      <c r="H1006" s="10"/>
      <c r="I1006" s="10"/>
      <c r="J1006" s="10"/>
      <c r="Q1006" s="10"/>
      <c r="R1006" s="10"/>
      <c r="T1006" s="10"/>
      <c r="U1006" s="10"/>
      <c r="V1006" s="10"/>
      <c r="W1006" s="10"/>
      <c r="X1006" s="10"/>
      <c r="Y1006" s="10"/>
      <c r="Z1006" s="10"/>
      <c r="AA1006" s="10"/>
      <c r="AB1006" s="10"/>
      <c r="AC1006" s="10"/>
      <c r="AD1006" s="10"/>
      <c r="AE1006" s="10"/>
      <c r="AF1006" s="10"/>
      <c r="AG1006" s="10"/>
      <c r="AH1006" s="10"/>
      <c r="AI1006" s="10"/>
      <c r="AJ1006" s="10"/>
      <c r="AK1006" s="10"/>
      <c r="AL1006" s="10"/>
      <c r="AM1006" s="10"/>
      <c r="AN1006" s="10"/>
      <c r="AO1006" s="10"/>
      <c r="AP1006" s="10"/>
      <c r="AQ1006" s="10"/>
      <c r="AR1006" s="10"/>
      <c r="AS1006" s="10"/>
      <c r="AU1006" s="10"/>
      <c r="AV1006" s="10"/>
      <c r="AW1006" s="143"/>
      <c r="AZ1006" s="10"/>
      <c r="BE1006" s="10"/>
      <c r="BF1006" s="10"/>
      <c r="BG1006" s="10"/>
      <c r="BH1006" s="10"/>
      <c r="BI1006" s="10"/>
      <c r="BJ1006" s="10"/>
      <c r="BK1006" s="10"/>
      <c r="BL1006" s="10"/>
      <c r="BM1006" s="10"/>
      <c r="BN1006" s="10"/>
      <c r="BO1006" s="10"/>
      <c r="BP1006" s="10"/>
      <c r="BQ1006" s="10"/>
      <c r="BR1006" s="10"/>
      <c r="BS1006" s="10"/>
      <c r="BT1006" s="10"/>
      <c r="BW1006" s="10"/>
    </row>
    <row r="1007">
      <c r="A1007" s="10"/>
      <c r="B1007" s="10"/>
      <c r="C1007" s="10"/>
      <c r="D1007" s="10"/>
      <c r="E1007" s="10"/>
      <c r="F1007" s="10"/>
      <c r="G1007" s="10"/>
      <c r="H1007" s="10"/>
      <c r="I1007" s="10"/>
      <c r="J1007" s="10"/>
      <c r="Q1007" s="10"/>
      <c r="R1007" s="10"/>
      <c r="T1007" s="10"/>
      <c r="U1007" s="10"/>
      <c r="V1007" s="10"/>
      <c r="W1007" s="10"/>
      <c r="X1007" s="10"/>
      <c r="Y1007" s="10"/>
      <c r="Z1007" s="10"/>
      <c r="AA1007" s="10"/>
      <c r="AB1007" s="10"/>
      <c r="AC1007" s="10"/>
      <c r="AD1007" s="10"/>
      <c r="AE1007" s="10"/>
      <c r="AF1007" s="10"/>
      <c r="AG1007" s="10"/>
      <c r="AH1007" s="10"/>
      <c r="AI1007" s="10"/>
      <c r="AJ1007" s="10"/>
      <c r="AK1007" s="10"/>
      <c r="AL1007" s="10"/>
      <c r="AM1007" s="10"/>
      <c r="AN1007" s="10"/>
      <c r="AO1007" s="10"/>
      <c r="AP1007" s="10"/>
      <c r="AQ1007" s="10"/>
      <c r="AR1007" s="10"/>
      <c r="AS1007" s="10"/>
      <c r="AU1007" s="10"/>
      <c r="AV1007" s="10"/>
      <c r="AW1007" s="143"/>
      <c r="AZ1007" s="10"/>
      <c r="BE1007" s="10"/>
      <c r="BF1007" s="10"/>
      <c r="BG1007" s="10"/>
      <c r="BH1007" s="10"/>
      <c r="BI1007" s="10"/>
      <c r="BJ1007" s="10"/>
      <c r="BK1007" s="10"/>
      <c r="BS1007" s="10"/>
      <c r="BT1007" s="10"/>
      <c r="BW1007" s="10"/>
    </row>
    <row r="1008">
      <c r="A1008" s="10"/>
      <c r="B1008" s="10"/>
      <c r="C1008" s="10"/>
      <c r="D1008" s="10"/>
      <c r="E1008" s="10"/>
      <c r="F1008" s="10"/>
      <c r="G1008" s="10"/>
      <c r="H1008" s="10"/>
      <c r="I1008" s="10"/>
      <c r="L1008" s="10"/>
      <c r="P1008" s="10"/>
      <c r="Q1008" s="10"/>
      <c r="R1008" s="10"/>
      <c r="T1008" s="10"/>
      <c r="U1008" s="10"/>
      <c r="V1008" s="10"/>
      <c r="W1008" s="10"/>
      <c r="Y1008" s="10"/>
      <c r="Z1008" s="10"/>
      <c r="AA1008" s="10"/>
      <c r="AB1008" s="10"/>
      <c r="AC1008" s="10"/>
      <c r="AD1008" s="10"/>
      <c r="AE1008" s="10"/>
      <c r="AF1008" s="10"/>
      <c r="AG1008" s="10"/>
      <c r="AH1008" s="10"/>
      <c r="AI1008" s="10"/>
      <c r="AJ1008" s="10"/>
      <c r="AK1008" s="10"/>
      <c r="AL1008" s="10"/>
      <c r="AM1008" s="10"/>
      <c r="AN1008" s="10"/>
      <c r="AO1008" s="10"/>
      <c r="AP1008" s="10"/>
      <c r="AQ1008" s="10"/>
      <c r="AR1008" s="10"/>
      <c r="AS1008" s="10"/>
      <c r="AU1008" s="10"/>
      <c r="AV1008" s="10"/>
      <c r="AW1008" s="143"/>
      <c r="BE1008" s="10"/>
      <c r="BF1008" s="10"/>
      <c r="BG1008" s="10"/>
      <c r="BH1008" s="10"/>
      <c r="BI1008" s="10"/>
      <c r="BJ1008" s="10"/>
      <c r="BK1008" s="10"/>
      <c r="BL1008" s="10"/>
      <c r="BM1008" s="10"/>
      <c r="BN1008" s="10"/>
      <c r="BO1008" s="10"/>
      <c r="BP1008" s="10"/>
      <c r="BQ1008" s="10"/>
      <c r="BR1008" s="10"/>
      <c r="BS1008" s="10"/>
      <c r="BT1008" s="10"/>
      <c r="BW1008" s="10"/>
    </row>
    <row r="1009">
      <c r="A1009" s="10"/>
      <c r="B1009" s="10"/>
      <c r="C1009" s="10"/>
      <c r="D1009" s="10"/>
      <c r="E1009" s="10"/>
      <c r="F1009" s="10"/>
      <c r="G1009" s="10"/>
      <c r="H1009" s="10"/>
      <c r="I1009" s="10"/>
      <c r="J1009" s="10"/>
      <c r="N1009" s="10"/>
      <c r="P1009" s="10"/>
      <c r="T1009" s="10"/>
      <c r="U1009" s="10"/>
      <c r="V1009" s="10"/>
      <c r="W1009" s="10"/>
      <c r="X1009" s="10"/>
      <c r="Y1009" s="10"/>
      <c r="Z1009" s="10"/>
      <c r="AA1009" s="10"/>
      <c r="AB1009" s="10"/>
      <c r="AC1009" s="10"/>
      <c r="AD1009" s="10"/>
      <c r="AE1009" s="10"/>
      <c r="AF1009" s="10"/>
      <c r="AG1009" s="10"/>
      <c r="AH1009" s="10"/>
      <c r="AI1009" s="10"/>
      <c r="AJ1009" s="10"/>
      <c r="AK1009" s="10"/>
      <c r="AL1009" s="10"/>
      <c r="AM1009" s="10"/>
      <c r="AN1009" s="10"/>
      <c r="AO1009" s="10"/>
      <c r="AP1009" s="10"/>
      <c r="AQ1009" s="10"/>
      <c r="AR1009" s="10"/>
      <c r="AS1009" s="10"/>
      <c r="AU1009" s="10"/>
      <c r="AV1009" s="10"/>
      <c r="AW1009" s="143"/>
      <c r="AX1009" s="10"/>
      <c r="AY1009" s="10"/>
      <c r="AZ1009" s="10"/>
      <c r="BE1009" s="10"/>
      <c r="BF1009" s="10"/>
      <c r="BG1009" s="10"/>
      <c r="BH1009" s="10"/>
      <c r="BI1009" s="10"/>
      <c r="BJ1009" s="10"/>
      <c r="BK1009" s="10"/>
      <c r="BS1009" s="10"/>
      <c r="BT1009" s="10"/>
      <c r="BW1009" s="10"/>
    </row>
    <row r="1010">
      <c r="A1010" s="10"/>
      <c r="B1010" s="10"/>
      <c r="C1010" s="10"/>
      <c r="D1010" s="10"/>
      <c r="E1010" s="10"/>
      <c r="F1010" s="10"/>
      <c r="G1010" s="10"/>
      <c r="H1010" s="10"/>
      <c r="I1010" s="10"/>
      <c r="N1010" s="10"/>
      <c r="P1010" s="10"/>
      <c r="T1010" s="10"/>
      <c r="U1010" s="10"/>
      <c r="V1010" s="10"/>
      <c r="W1010" s="10"/>
      <c r="X1010" s="10"/>
      <c r="Y1010" s="10"/>
      <c r="Z1010" s="10"/>
      <c r="AA1010" s="10"/>
      <c r="AB1010" s="10"/>
      <c r="AC1010" s="10"/>
      <c r="AD1010" s="10"/>
      <c r="AE1010" s="10"/>
      <c r="AF1010" s="10"/>
      <c r="AG1010" s="10"/>
      <c r="AH1010" s="10"/>
      <c r="AI1010" s="10"/>
      <c r="AJ1010" s="10"/>
      <c r="AK1010" s="10"/>
      <c r="AL1010" s="10"/>
      <c r="AM1010" s="10"/>
      <c r="AN1010" s="10"/>
      <c r="AO1010" s="10"/>
      <c r="AP1010" s="10"/>
      <c r="AQ1010" s="10"/>
      <c r="AR1010" s="10"/>
      <c r="AS1010" s="10"/>
      <c r="AU1010" s="10"/>
      <c r="AV1010" s="10"/>
      <c r="AW1010" s="143"/>
      <c r="AX1010" s="10"/>
      <c r="AY1010" s="10"/>
      <c r="AZ1010" s="10"/>
      <c r="BS1010" s="10"/>
      <c r="BT1010" s="10"/>
      <c r="BW1010" s="10"/>
    </row>
    <row r="1011">
      <c r="A1011" s="10"/>
      <c r="B1011" s="10"/>
      <c r="C1011" s="10"/>
      <c r="D1011" s="10"/>
      <c r="E1011" s="10"/>
      <c r="F1011" s="10"/>
      <c r="G1011" s="10"/>
      <c r="H1011" s="10"/>
      <c r="I1011" s="10"/>
      <c r="N1011" s="10"/>
      <c r="O1011" s="10"/>
      <c r="P1011" s="10"/>
      <c r="T1011" s="10"/>
      <c r="U1011" s="10"/>
      <c r="V1011" s="10"/>
      <c r="W1011" s="10"/>
      <c r="Y1011" s="10"/>
      <c r="Z1011" s="10"/>
      <c r="AA1011" s="10"/>
      <c r="AB1011" s="10"/>
      <c r="AC1011" s="10"/>
      <c r="AD1011" s="10"/>
      <c r="AE1011" s="10"/>
      <c r="AF1011" s="10"/>
      <c r="AG1011" s="10"/>
      <c r="AH1011" s="10"/>
      <c r="AI1011" s="10"/>
      <c r="AJ1011" s="10"/>
      <c r="AK1011" s="10"/>
      <c r="AL1011" s="10"/>
      <c r="AM1011" s="10"/>
      <c r="AN1011" s="10"/>
      <c r="AO1011" s="10"/>
      <c r="AP1011" s="10"/>
      <c r="AQ1011" s="10"/>
      <c r="AR1011" s="10"/>
      <c r="AS1011" s="10"/>
      <c r="AU1011" s="10"/>
      <c r="AV1011" s="10"/>
      <c r="AW1011" s="143"/>
      <c r="AX1011" s="10"/>
      <c r="AY1011" s="10"/>
      <c r="AZ1011" s="10"/>
      <c r="BE1011" s="10"/>
      <c r="BF1011" s="10"/>
      <c r="BG1011" s="10"/>
      <c r="BH1011" s="10"/>
      <c r="BI1011" s="10"/>
      <c r="BJ1011" s="10"/>
      <c r="BK1011" s="10"/>
      <c r="BS1011" s="10"/>
      <c r="BT1011" s="10"/>
      <c r="BW1011" s="10"/>
    </row>
    <row r="1012">
      <c r="A1012" s="10"/>
      <c r="B1012" s="10"/>
      <c r="C1012" s="10"/>
      <c r="D1012" s="10"/>
      <c r="E1012" s="10"/>
      <c r="F1012" s="10"/>
      <c r="G1012" s="10"/>
      <c r="H1012" s="10"/>
      <c r="I1012" s="10"/>
      <c r="N1012" s="10"/>
      <c r="P1012" s="10"/>
      <c r="T1012" s="10"/>
      <c r="U1012" s="10"/>
      <c r="V1012" s="10"/>
      <c r="W1012" s="10"/>
      <c r="Y1012" s="10"/>
      <c r="Z1012" s="10"/>
      <c r="AA1012" s="10"/>
      <c r="AB1012" s="10"/>
      <c r="AC1012" s="10"/>
      <c r="AD1012" s="10"/>
      <c r="AE1012" s="10"/>
      <c r="AF1012" s="10"/>
      <c r="AG1012" s="10"/>
      <c r="AH1012" s="10"/>
      <c r="AI1012" s="10"/>
      <c r="AJ1012" s="10"/>
      <c r="AK1012" s="10"/>
      <c r="AL1012" s="10"/>
      <c r="AM1012" s="10"/>
      <c r="AN1012" s="10"/>
      <c r="AO1012" s="10"/>
      <c r="AP1012" s="10"/>
      <c r="AQ1012" s="10"/>
      <c r="AR1012" s="10"/>
      <c r="AS1012" s="10"/>
      <c r="AU1012" s="10"/>
      <c r="AV1012" s="10"/>
      <c r="AW1012" s="143"/>
      <c r="AX1012" s="10"/>
      <c r="AY1012" s="10"/>
      <c r="AZ1012" s="10"/>
      <c r="BE1012" s="10"/>
      <c r="BF1012" s="10"/>
      <c r="BG1012" s="10"/>
      <c r="BH1012" s="10"/>
      <c r="BI1012" s="10"/>
      <c r="BJ1012" s="10"/>
      <c r="BK1012" s="10"/>
      <c r="BS1012" s="10"/>
      <c r="BT1012" s="10"/>
      <c r="BW1012" s="10"/>
    </row>
    <row r="1013">
      <c r="A1013" s="10"/>
      <c r="B1013" s="10"/>
      <c r="C1013" s="10"/>
      <c r="D1013" s="10"/>
      <c r="E1013" s="10"/>
      <c r="F1013" s="10"/>
      <c r="G1013" s="10"/>
      <c r="H1013" s="10"/>
      <c r="I1013" s="10"/>
      <c r="N1013" s="10"/>
      <c r="P1013" s="10"/>
      <c r="T1013" s="10"/>
      <c r="U1013" s="10"/>
      <c r="V1013" s="10"/>
      <c r="W1013" s="10"/>
      <c r="Y1013" s="10"/>
      <c r="Z1013" s="10"/>
      <c r="AA1013" s="10"/>
      <c r="AB1013" s="10"/>
      <c r="AC1013" s="10"/>
      <c r="AD1013" s="10"/>
      <c r="AE1013" s="10"/>
      <c r="AF1013" s="10"/>
      <c r="AG1013" s="10"/>
      <c r="AH1013" s="10"/>
      <c r="AI1013" s="10"/>
      <c r="AJ1013" s="10"/>
      <c r="AK1013" s="10"/>
      <c r="AL1013" s="10"/>
      <c r="AM1013" s="10"/>
      <c r="AN1013" s="10"/>
      <c r="AO1013" s="10"/>
      <c r="AP1013" s="10"/>
      <c r="AQ1013" s="10"/>
      <c r="AR1013" s="10"/>
      <c r="AS1013" s="10"/>
      <c r="AU1013" s="10"/>
      <c r="AV1013" s="10"/>
      <c r="AW1013" s="143"/>
      <c r="AX1013" s="10"/>
      <c r="AY1013" s="10"/>
      <c r="AZ1013" s="10"/>
      <c r="BE1013" s="10"/>
      <c r="BF1013" s="10"/>
      <c r="BG1013" s="10"/>
      <c r="BH1013" s="10"/>
      <c r="BI1013" s="10"/>
      <c r="BJ1013" s="10"/>
      <c r="BK1013" s="10"/>
      <c r="BS1013" s="10"/>
      <c r="BT1013" s="10"/>
      <c r="BW1013" s="10"/>
    </row>
    <row r="1014">
      <c r="A1014" s="10"/>
      <c r="B1014" s="10"/>
      <c r="C1014" s="10"/>
      <c r="D1014" s="10"/>
      <c r="E1014" s="10"/>
      <c r="F1014" s="10"/>
      <c r="G1014" s="10"/>
      <c r="H1014" s="10"/>
      <c r="I1014" s="10"/>
      <c r="N1014" s="10"/>
      <c r="P1014" s="10"/>
      <c r="T1014" s="10"/>
      <c r="U1014" s="10"/>
      <c r="V1014" s="10"/>
      <c r="W1014" s="10"/>
      <c r="Y1014" s="10"/>
      <c r="Z1014" s="10"/>
      <c r="AA1014" s="10"/>
      <c r="AB1014" s="10"/>
      <c r="AC1014" s="10"/>
      <c r="AD1014" s="10"/>
      <c r="AE1014" s="10"/>
      <c r="AF1014" s="10"/>
      <c r="AG1014" s="10"/>
      <c r="AH1014" s="10"/>
      <c r="AI1014" s="10"/>
      <c r="AJ1014" s="10"/>
      <c r="AK1014" s="10"/>
      <c r="AL1014" s="10"/>
      <c r="AM1014" s="10"/>
      <c r="AN1014" s="10"/>
      <c r="AO1014" s="10"/>
      <c r="AP1014" s="10"/>
      <c r="AQ1014" s="10"/>
      <c r="AR1014" s="10"/>
      <c r="AS1014" s="10"/>
      <c r="AU1014" s="10"/>
      <c r="AV1014" s="10"/>
      <c r="AW1014" s="143"/>
      <c r="AX1014" s="10"/>
      <c r="AY1014" s="10"/>
      <c r="AZ1014" s="10"/>
      <c r="BE1014" s="10"/>
      <c r="BF1014" s="10"/>
      <c r="BG1014" s="10"/>
      <c r="BH1014" s="10"/>
      <c r="BI1014" s="10"/>
      <c r="BJ1014" s="10"/>
      <c r="BK1014" s="10"/>
      <c r="BS1014" s="10"/>
      <c r="BT1014" s="10"/>
      <c r="BW1014" s="10"/>
    </row>
    <row r="1015">
      <c r="A1015" s="10"/>
      <c r="B1015" s="10"/>
      <c r="C1015" s="10"/>
      <c r="D1015" s="10"/>
      <c r="E1015" s="10"/>
      <c r="F1015" s="10"/>
      <c r="G1015" s="10"/>
      <c r="H1015" s="10"/>
      <c r="I1015" s="10"/>
      <c r="N1015" s="10"/>
      <c r="O1015" s="10"/>
      <c r="P1015" s="10"/>
      <c r="T1015" s="10"/>
      <c r="U1015" s="10"/>
      <c r="V1015" s="10"/>
      <c r="W1015" s="10"/>
      <c r="Y1015" s="10"/>
      <c r="Z1015" s="10"/>
      <c r="AA1015" s="10"/>
      <c r="AB1015" s="10"/>
      <c r="AC1015" s="10"/>
      <c r="AD1015" s="10"/>
      <c r="AE1015" s="10"/>
      <c r="AF1015" s="10"/>
      <c r="AG1015" s="10"/>
      <c r="AH1015" s="10"/>
      <c r="AI1015" s="10"/>
      <c r="AJ1015" s="10"/>
      <c r="AK1015" s="10"/>
      <c r="AL1015" s="10"/>
      <c r="AM1015" s="10"/>
      <c r="AN1015" s="10"/>
      <c r="AO1015" s="10"/>
      <c r="AP1015" s="10"/>
      <c r="AQ1015" s="10"/>
      <c r="AR1015" s="10"/>
      <c r="AS1015" s="10"/>
      <c r="AU1015" s="10"/>
      <c r="AV1015" s="10"/>
      <c r="AW1015" s="143"/>
      <c r="AX1015" s="10"/>
      <c r="AY1015" s="10"/>
      <c r="AZ1015" s="10"/>
      <c r="BE1015" s="10"/>
      <c r="BF1015" s="10"/>
      <c r="BG1015" s="10"/>
      <c r="BH1015" s="10"/>
      <c r="BI1015" s="10"/>
      <c r="BJ1015" s="10"/>
      <c r="BK1015" s="10"/>
      <c r="BS1015" s="10"/>
      <c r="BT1015" s="10"/>
      <c r="BW1015" s="10"/>
    </row>
    <row r="1016">
      <c r="A1016" s="10"/>
      <c r="B1016" s="10"/>
      <c r="C1016" s="10"/>
      <c r="D1016" s="10"/>
      <c r="E1016" s="10"/>
      <c r="F1016" s="10"/>
      <c r="G1016" s="10"/>
      <c r="H1016" s="10"/>
      <c r="Q1016" s="10"/>
      <c r="R1016" s="10"/>
      <c r="U1016" s="10"/>
      <c r="V1016" s="10"/>
      <c r="W1016" s="10"/>
      <c r="Y1016" s="10"/>
      <c r="Z1016" s="10"/>
      <c r="AA1016" s="10"/>
      <c r="AB1016" s="10"/>
      <c r="AC1016" s="10"/>
      <c r="AD1016" s="10"/>
      <c r="AE1016" s="10"/>
      <c r="AF1016" s="10"/>
      <c r="AG1016" s="10"/>
      <c r="AH1016" s="10"/>
      <c r="AI1016" s="10"/>
      <c r="AJ1016" s="10"/>
      <c r="AK1016" s="10"/>
      <c r="AL1016" s="10"/>
      <c r="AM1016" s="10"/>
      <c r="AN1016" s="10"/>
      <c r="AO1016" s="10"/>
      <c r="AW1016" s="143"/>
      <c r="BE1016" s="10"/>
      <c r="BF1016" s="10"/>
      <c r="BG1016" s="10"/>
      <c r="BH1016" s="10"/>
      <c r="BI1016" s="10"/>
      <c r="BJ1016" s="10"/>
      <c r="BK1016" s="10"/>
      <c r="BL1016" s="10"/>
      <c r="BM1016" s="10"/>
      <c r="BN1016" s="10"/>
      <c r="BO1016" s="10"/>
      <c r="BP1016" s="10"/>
      <c r="BQ1016" s="10"/>
      <c r="BR1016" s="10"/>
      <c r="BS1016" s="10"/>
      <c r="BT1016" s="10"/>
      <c r="BW1016" s="10"/>
    </row>
    <row r="1017">
      <c r="A1017" s="10"/>
      <c r="B1017" s="10"/>
      <c r="C1017" s="10"/>
      <c r="D1017" s="10"/>
      <c r="E1017" s="10"/>
      <c r="F1017" s="10"/>
      <c r="G1017" s="10"/>
      <c r="H1017" s="10"/>
      <c r="U1017" s="10"/>
      <c r="V1017" s="10"/>
      <c r="W1017" s="10"/>
      <c r="Y1017" s="10"/>
      <c r="Z1017" s="10"/>
      <c r="AA1017" s="10"/>
      <c r="AB1017" s="10"/>
      <c r="AC1017" s="10"/>
      <c r="AD1017" s="10"/>
      <c r="AE1017" s="10"/>
      <c r="AF1017" s="10"/>
      <c r="AG1017" s="10"/>
      <c r="AH1017" s="10"/>
      <c r="AI1017" s="10"/>
      <c r="AJ1017" s="10"/>
      <c r="AK1017" s="10"/>
      <c r="AL1017" s="10"/>
      <c r="AM1017" s="10"/>
      <c r="AN1017" s="10"/>
      <c r="AO1017" s="10"/>
      <c r="AW1017" s="143"/>
      <c r="BE1017" s="10"/>
      <c r="BF1017" s="10"/>
      <c r="BG1017" s="10"/>
      <c r="BH1017" s="10"/>
      <c r="BI1017" s="10"/>
      <c r="BJ1017" s="10"/>
      <c r="BK1017" s="10"/>
      <c r="BS1017" s="10"/>
      <c r="BT1017" s="10"/>
      <c r="BW1017" s="10"/>
    </row>
    <row r="1018">
      <c r="A1018" s="10"/>
      <c r="B1018" s="10"/>
      <c r="C1018" s="10"/>
      <c r="D1018" s="10"/>
      <c r="E1018" s="10"/>
      <c r="F1018" s="10"/>
      <c r="G1018" s="10"/>
      <c r="H1018" s="10"/>
      <c r="U1018" s="10"/>
      <c r="V1018" s="10"/>
      <c r="W1018" s="10"/>
      <c r="Y1018" s="10"/>
      <c r="Z1018" s="10"/>
      <c r="AA1018" s="10"/>
      <c r="AB1018" s="10"/>
      <c r="AC1018" s="10"/>
      <c r="AD1018" s="10"/>
      <c r="AE1018" s="10"/>
      <c r="AF1018" s="10"/>
      <c r="AG1018" s="10"/>
      <c r="AH1018" s="10"/>
      <c r="AI1018" s="10"/>
      <c r="AJ1018" s="10"/>
      <c r="AK1018" s="10"/>
      <c r="AL1018" s="10"/>
      <c r="AM1018" s="10"/>
      <c r="AN1018" s="10"/>
      <c r="AO1018" s="10"/>
      <c r="AW1018" s="143"/>
      <c r="BE1018" s="10"/>
      <c r="BF1018" s="10"/>
      <c r="BG1018" s="10"/>
      <c r="BH1018" s="10"/>
      <c r="BI1018" s="10"/>
      <c r="BJ1018" s="10"/>
      <c r="BK1018" s="10"/>
      <c r="BS1018" s="10"/>
      <c r="BT1018" s="10"/>
      <c r="BW1018" s="10"/>
    </row>
    <row r="1019">
      <c r="A1019" s="10"/>
      <c r="B1019" s="10"/>
      <c r="C1019" s="10"/>
      <c r="D1019" s="10"/>
      <c r="E1019" s="10"/>
      <c r="F1019" s="10"/>
      <c r="G1019" s="10"/>
      <c r="H1019" s="10"/>
      <c r="J1019" s="10"/>
      <c r="K1019" s="10"/>
      <c r="L1019" s="10"/>
      <c r="Q1019" s="10"/>
      <c r="R1019" s="10"/>
      <c r="U1019" s="10"/>
      <c r="V1019" s="10"/>
      <c r="W1019" s="10"/>
      <c r="X1019" s="10"/>
      <c r="Y1019" s="10"/>
      <c r="Z1019" s="10"/>
      <c r="AA1019" s="10"/>
      <c r="AB1019" s="10"/>
      <c r="AC1019" s="10"/>
      <c r="AD1019" s="10"/>
      <c r="AE1019" s="10"/>
      <c r="AF1019" s="10"/>
      <c r="AG1019" s="10"/>
      <c r="AH1019" s="10"/>
      <c r="AI1019" s="10"/>
      <c r="AJ1019" s="10"/>
      <c r="AK1019" s="10"/>
      <c r="AL1019" s="10"/>
      <c r="AM1019" s="10"/>
      <c r="AN1019" s="10"/>
      <c r="AO1019" s="10"/>
      <c r="AW1019" s="143"/>
      <c r="BE1019" s="10"/>
      <c r="BF1019" s="10"/>
      <c r="BG1019" s="10"/>
      <c r="BH1019" s="10"/>
      <c r="BI1019" s="10"/>
      <c r="BJ1019" s="10"/>
      <c r="BK1019" s="10"/>
      <c r="BL1019" s="10"/>
      <c r="BM1019" s="10"/>
      <c r="BN1019" s="10"/>
      <c r="BO1019" s="10"/>
      <c r="BP1019" s="10"/>
      <c r="BQ1019" s="10"/>
      <c r="BR1019" s="10"/>
      <c r="BS1019" s="10"/>
      <c r="BT1019" s="10"/>
      <c r="BW1019" s="10"/>
    </row>
    <row r="1020">
      <c r="A1020" s="10"/>
      <c r="B1020" s="10"/>
      <c r="C1020" s="10"/>
      <c r="D1020" s="10"/>
      <c r="E1020" s="10"/>
      <c r="F1020" s="10"/>
      <c r="G1020" s="10"/>
      <c r="H1020" s="10"/>
      <c r="I1020" s="10"/>
      <c r="K1020" s="10"/>
      <c r="L1020" s="10"/>
      <c r="N1020" s="10"/>
      <c r="Q1020" s="10"/>
      <c r="R1020" s="10"/>
      <c r="T1020" s="10"/>
      <c r="U1020" s="10"/>
      <c r="V1020" s="10"/>
      <c r="W1020" s="10"/>
      <c r="X1020" s="10"/>
      <c r="Y1020" s="10"/>
      <c r="Z1020" s="10"/>
      <c r="AA1020" s="10"/>
      <c r="AB1020" s="10"/>
      <c r="AC1020" s="10"/>
      <c r="AD1020" s="10"/>
      <c r="AE1020" s="10"/>
      <c r="AF1020" s="10"/>
      <c r="AG1020" s="10"/>
      <c r="AH1020" s="10"/>
      <c r="AI1020" s="10"/>
      <c r="AJ1020" s="10"/>
      <c r="AK1020" s="10"/>
      <c r="AL1020" s="10"/>
      <c r="AM1020" s="10"/>
      <c r="AN1020" s="10"/>
      <c r="AO1020" s="10"/>
      <c r="AP1020" s="10"/>
      <c r="AQ1020" s="10"/>
      <c r="AR1020" s="10"/>
      <c r="AS1020" s="10"/>
      <c r="AU1020" s="10"/>
      <c r="AV1020" s="10"/>
      <c r="AW1020" s="143"/>
      <c r="BD1020" s="10"/>
      <c r="BE1020" s="10"/>
      <c r="BF1020" s="10"/>
      <c r="BG1020" s="10"/>
      <c r="BH1020" s="10"/>
      <c r="BI1020" s="10"/>
      <c r="BJ1020" s="10"/>
      <c r="BK1020" s="10"/>
      <c r="BL1020" s="10"/>
      <c r="BM1020" s="10"/>
      <c r="BN1020" s="10"/>
      <c r="BO1020" s="10"/>
      <c r="BP1020" s="10"/>
      <c r="BQ1020" s="10"/>
      <c r="BR1020" s="10"/>
      <c r="BS1020" s="10"/>
      <c r="BT1020" s="10"/>
      <c r="BW1020" s="10"/>
    </row>
    <row r="1021">
      <c r="A1021" s="10"/>
      <c r="B1021" s="10"/>
      <c r="C1021" s="10"/>
      <c r="D1021" s="10"/>
      <c r="E1021" s="10"/>
      <c r="F1021" s="10"/>
      <c r="G1021" s="10"/>
      <c r="H1021" s="10"/>
      <c r="I1021" s="10"/>
      <c r="J1021" s="10"/>
      <c r="N1021" s="10"/>
      <c r="P1021" s="10"/>
      <c r="T1021" s="10"/>
      <c r="U1021" s="10"/>
      <c r="V1021" s="10"/>
      <c r="W1021" s="10"/>
      <c r="X1021" s="10"/>
      <c r="Y1021" s="10"/>
      <c r="Z1021" s="10"/>
      <c r="AA1021" s="10"/>
      <c r="AB1021" s="10"/>
      <c r="AC1021" s="10"/>
      <c r="AD1021" s="10"/>
      <c r="AE1021" s="10"/>
      <c r="AF1021" s="10"/>
      <c r="AG1021" s="10"/>
      <c r="AH1021" s="10"/>
      <c r="AI1021" s="10"/>
      <c r="AJ1021" s="10"/>
      <c r="AK1021" s="10"/>
      <c r="AL1021" s="10"/>
      <c r="AM1021" s="10"/>
      <c r="AN1021" s="10"/>
      <c r="AO1021" s="10"/>
      <c r="AP1021" s="10"/>
      <c r="AQ1021" s="10"/>
      <c r="AR1021" s="10"/>
      <c r="AS1021" s="10"/>
      <c r="AT1021" s="10"/>
      <c r="AU1021" s="10"/>
      <c r="AV1021" s="10"/>
      <c r="AW1021" s="143"/>
      <c r="BE1021" s="10"/>
      <c r="BF1021" s="10"/>
      <c r="BG1021" s="10"/>
      <c r="BH1021" s="10"/>
      <c r="BI1021" s="10"/>
      <c r="BJ1021" s="10"/>
      <c r="BK1021" s="10"/>
      <c r="BS1021" s="10"/>
      <c r="BT1021" s="10"/>
      <c r="BW1021" s="10"/>
    </row>
    <row r="1022">
      <c r="A1022" s="10"/>
      <c r="B1022" s="10"/>
      <c r="C1022" s="10"/>
      <c r="D1022" s="10"/>
      <c r="E1022" s="10"/>
      <c r="F1022" s="10"/>
      <c r="G1022" s="10"/>
      <c r="H1022" s="10"/>
      <c r="I1022" s="10"/>
      <c r="J1022" s="10"/>
      <c r="N1022" s="10"/>
      <c r="P1022" s="10"/>
      <c r="T1022" s="10"/>
      <c r="U1022" s="10"/>
      <c r="V1022" s="10"/>
      <c r="W1022" s="10"/>
      <c r="X1022" s="10"/>
      <c r="Y1022" s="10"/>
      <c r="Z1022" s="10"/>
      <c r="AA1022" s="10"/>
      <c r="AB1022" s="10"/>
      <c r="AC1022" s="10"/>
      <c r="AD1022" s="10"/>
      <c r="AE1022" s="10"/>
      <c r="AF1022" s="10"/>
      <c r="AG1022" s="10"/>
      <c r="AH1022" s="10"/>
      <c r="AI1022" s="10"/>
      <c r="AJ1022" s="10"/>
      <c r="AK1022" s="10"/>
      <c r="AL1022" s="10"/>
      <c r="AM1022" s="10"/>
      <c r="AN1022" s="10"/>
      <c r="AO1022" s="10"/>
      <c r="AP1022" s="10"/>
      <c r="AQ1022" s="10"/>
      <c r="AR1022" s="10"/>
      <c r="AS1022" s="10"/>
      <c r="AT1022" s="10"/>
      <c r="AU1022" s="10"/>
      <c r="AV1022" s="10"/>
      <c r="AW1022" s="143"/>
      <c r="BS1022" s="10"/>
      <c r="BT1022" s="10"/>
      <c r="BW1022" s="10"/>
    </row>
    <row r="1023">
      <c r="A1023" s="10"/>
      <c r="B1023" s="10"/>
      <c r="C1023" s="10"/>
      <c r="D1023" s="10"/>
      <c r="E1023" s="10"/>
      <c r="F1023" s="10"/>
      <c r="G1023" s="10"/>
      <c r="H1023" s="10"/>
      <c r="I1023" s="10"/>
      <c r="J1023" s="10"/>
      <c r="N1023" s="10"/>
      <c r="P1023" s="10"/>
      <c r="T1023" s="10"/>
      <c r="U1023" s="10"/>
      <c r="V1023" s="10"/>
      <c r="W1023" s="10"/>
      <c r="X1023" s="10"/>
      <c r="Y1023" s="10"/>
      <c r="Z1023" s="10"/>
      <c r="AA1023" s="10"/>
      <c r="AB1023" s="10"/>
      <c r="AC1023" s="10"/>
      <c r="AD1023" s="10"/>
      <c r="AE1023" s="10"/>
      <c r="AF1023" s="10"/>
      <c r="AG1023" s="10"/>
      <c r="AH1023" s="10"/>
      <c r="AI1023" s="10"/>
      <c r="AJ1023" s="10"/>
      <c r="AK1023" s="10"/>
      <c r="AL1023" s="10"/>
      <c r="AM1023" s="10"/>
      <c r="AN1023" s="10"/>
      <c r="AO1023" s="10"/>
      <c r="AP1023" s="10"/>
      <c r="AQ1023" s="10"/>
      <c r="AR1023" s="10"/>
      <c r="AS1023" s="10"/>
      <c r="AT1023" s="10"/>
      <c r="AU1023" s="10"/>
      <c r="AV1023" s="10"/>
      <c r="AW1023" s="143"/>
      <c r="BS1023" s="10"/>
      <c r="BT1023" s="10"/>
      <c r="BW1023" s="10"/>
    </row>
    <row r="1024">
      <c r="A1024" s="10"/>
      <c r="B1024" s="10"/>
      <c r="C1024" s="10"/>
      <c r="D1024" s="10"/>
      <c r="E1024" s="10"/>
      <c r="F1024" s="10"/>
      <c r="G1024" s="10"/>
      <c r="H1024" s="10"/>
      <c r="I1024" s="10"/>
      <c r="N1024" s="10"/>
      <c r="P1024" s="10"/>
      <c r="T1024" s="10"/>
      <c r="U1024" s="10"/>
      <c r="V1024" s="10"/>
      <c r="W1024" s="10"/>
      <c r="X1024" s="10"/>
      <c r="Y1024" s="10"/>
      <c r="Z1024" s="10"/>
      <c r="AA1024" s="10"/>
      <c r="AB1024" s="10"/>
      <c r="AC1024" s="10"/>
      <c r="AD1024" s="10"/>
      <c r="AE1024" s="10"/>
      <c r="AF1024" s="10"/>
      <c r="AG1024" s="10"/>
      <c r="AH1024" s="10"/>
      <c r="AI1024" s="10"/>
      <c r="AJ1024" s="10"/>
      <c r="AK1024" s="10"/>
      <c r="AL1024" s="10"/>
      <c r="AM1024" s="10"/>
      <c r="AN1024" s="10"/>
      <c r="AO1024" s="10"/>
      <c r="AP1024" s="10"/>
      <c r="AQ1024" s="10"/>
      <c r="AR1024" s="10"/>
      <c r="AS1024" s="10"/>
      <c r="AT1024" s="10"/>
      <c r="AU1024" s="10"/>
      <c r="AV1024" s="10"/>
      <c r="AW1024" s="143"/>
      <c r="BS1024" s="10"/>
      <c r="BT1024" s="10"/>
      <c r="BW1024" s="10"/>
    </row>
    <row r="1025">
      <c r="A1025" s="10"/>
      <c r="B1025" s="10"/>
      <c r="C1025" s="10"/>
      <c r="D1025" s="10"/>
      <c r="E1025" s="10"/>
      <c r="F1025" s="10"/>
      <c r="G1025" s="10"/>
      <c r="H1025" s="10"/>
      <c r="I1025" s="10"/>
      <c r="N1025" s="10"/>
      <c r="P1025" s="10"/>
      <c r="Q1025" s="10"/>
      <c r="R1025" s="10"/>
      <c r="S1025" s="10"/>
      <c r="T1025" s="10"/>
      <c r="U1025" s="10"/>
      <c r="V1025" s="10"/>
      <c r="W1025" s="10"/>
      <c r="X1025" s="10"/>
      <c r="Y1025" s="10"/>
      <c r="Z1025" s="10"/>
      <c r="AA1025" s="10"/>
      <c r="AB1025" s="10"/>
      <c r="AC1025" s="10"/>
      <c r="AD1025" s="10"/>
      <c r="AE1025" s="10"/>
      <c r="AF1025" s="10"/>
      <c r="AG1025" s="10"/>
      <c r="AH1025" s="10"/>
      <c r="AI1025" s="10"/>
      <c r="AJ1025" s="10"/>
      <c r="AK1025" s="10"/>
      <c r="AL1025" s="10"/>
      <c r="AM1025" s="10"/>
      <c r="AN1025" s="10"/>
      <c r="AO1025" s="10"/>
      <c r="AP1025" s="10"/>
      <c r="AQ1025" s="10"/>
      <c r="AR1025" s="10"/>
      <c r="AS1025" s="10"/>
      <c r="AU1025" s="10"/>
      <c r="AV1025" s="10"/>
      <c r="AW1025" s="143"/>
      <c r="BL1025" s="10"/>
      <c r="BO1025" s="10"/>
      <c r="BR1025" s="10"/>
      <c r="BS1025" s="10"/>
      <c r="BT1025" s="10"/>
      <c r="BW1025" s="10"/>
    </row>
    <row r="1026">
      <c r="A1026" s="10"/>
      <c r="B1026" s="10"/>
      <c r="C1026" s="10"/>
      <c r="D1026" s="10"/>
      <c r="E1026" s="10"/>
      <c r="F1026" s="10"/>
      <c r="G1026" s="10"/>
      <c r="H1026" s="10"/>
      <c r="J1026" s="10"/>
      <c r="N1026" s="10"/>
      <c r="P1026" s="10"/>
      <c r="Q1026" s="10"/>
      <c r="R1026" s="10"/>
      <c r="S1026" s="10"/>
      <c r="U1026" s="10"/>
      <c r="V1026" s="10"/>
      <c r="W1026" s="10"/>
      <c r="X1026" s="10"/>
      <c r="Y1026" s="10"/>
      <c r="Z1026" s="10"/>
      <c r="AA1026" s="10"/>
      <c r="AB1026" s="10"/>
      <c r="AC1026" s="10"/>
      <c r="AD1026" s="10"/>
      <c r="AE1026" s="10"/>
      <c r="AF1026" s="10"/>
      <c r="AG1026" s="10"/>
      <c r="AH1026" s="10"/>
      <c r="AI1026" s="10"/>
      <c r="AJ1026" s="10"/>
      <c r="AK1026" s="10"/>
      <c r="AL1026" s="10"/>
      <c r="AM1026" s="10"/>
      <c r="AN1026" s="10"/>
      <c r="AO1026" s="10"/>
      <c r="AS1026" s="10"/>
      <c r="AT1026" s="10"/>
      <c r="AW1026" s="143"/>
      <c r="BE1026" s="10"/>
      <c r="BF1026" s="10"/>
      <c r="BG1026" s="10"/>
      <c r="BH1026" s="10"/>
      <c r="BI1026" s="10"/>
      <c r="BJ1026" s="10"/>
      <c r="BK1026" s="10"/>
      <c r="BL1026" s="10"/>
      <c r="BM1026" s="10"/>
      <c r="BN1026" s="10"/>
      <c r="BO1026" s="10"/>
      <c r="BP1026" s="10"/>
      <c r="BQ1026" s="10"/>
      <c r="BR1026" s="10"/>
      <c r="BS1026" s="10"/>
      <c r="BT1026" s="10"/>
      <c r="BW1026" s="10"/>
    </row>
    <row r="1027">
      <c r="A1027" s="10"/>
      <c r="B1027" s="10"/>
      <c r="C1027" s="10"/>
      <c r="D1027" s="10"/>
      <c r="E1027" s="10"/>
      <c r="F1027" s="10"/>
      <c r="G1027" s="10"/>
      <c r="H1027" s="10"/>
      <c r="K1027" s="10"/>
      <c r="L1027" s="10"/>
      <c r="P1027" s="10"/>
      <c r="T1027" s="10"/>
      <c r="U1027" s="10"/>
      <c r="V1027" s="10"/>
      <c r="W1027" s="10"/>
      <c r="X1027" s="10"/>
      <c r="Y1027" s="10"/>
      <c r="Z1027" s="10"/>
      <c r="AA1027" s="10"/>
      <c r="AB1027" s="10"/>
      <c r="AC1027" s="10"/>
      <c r="AD1027" s="10"/>
      <c r="AE1027" s="10"/>
      <c r="AF1027" s="10"/>
      <c r="AG1027" s="10"/>
      <c r="AH1027" s="10"/>
      <c r="AI1027" s="10"/>
      <c r="AJ1027" s="10"/>
      <c r="AK1027" s="10"/>
      <c r="AL1027" s="10"/>
      <c r="AM1027" s="10"/>
      <c r="AN1027" s="10"/>
      <c r="AO1027" s="10"/>
      <c r="AW1027" s="143"/>
      <c r="BL1027" s="10"/>
      <c r="BO1027" s="10"/>
      <c r="BR1027" s="10"/>
      <c r="BS1027" s="10"/>
      <c r="BT1027" s="10"/>
      <c r="BW1027" s="10"/>
    </row>
    <row r="1028">
      <c r="A1028" s="10"/>
      <c r="B1028" s="10"/>
      <c r="C1028" s="10"/>
      <c r="D1028" s="10"/>
      <c r="E1028" s="10"/>
      <c r="F1028" s="10"/>
      <c r="G1028" s="10"/>
      <c r="H1028" s="10"/>
      <c r="J1028" s="10"/>
      <c r="K1028" s="10"/>
      <c r="L1028" s="10"/>
      <c r="U1028" s="10"/>
      <c r="V1028" s="10"/>
      <c r="W1028" s="10"/>
      <c r="X1028" s="10"/>
      <c r="Y1028" s="10"/>
      <c r="Z1028" s="10"/>
      <c r="AA1028" s="10"/>
      <c r="AB1028" s="10"/>
      <c r="AC1028" s="10"/>
      <c r="AD1028" s="10"/>
      <c r="AE1028" s="10"/>
      <c r="AF1028" s="10"/>
      <c r="AG1028" s="10"/>
      <c r="AH1028" s="10"/>
      <c r="AI1028" s="10"/>
      <c r="AJ1028" s="10"/>
      <c r="AK1028" s="10"/>
      <c r="AL1028" s="10"/>
      <c r="AM1028" s="10"/>
      <c r="AN1028" s="10"/>
      <c r="AO1028" s="10"/>
      <c r="AT1028" s="10"/>
      <c r="AW1028" s="143"/>
      <c r="BS1028" s="10"/>
      <c r="BT1028" s="10"/>
      <c r="BW1028" s="10"/>
    </row>
    <row r="1029">
      <c r="A1029" s="10"/>
      <c r="B1029" s="10"/>
      <c r="C1029" s="10"/>
      <c r="D1029" s="10"/>
      <c r="E1029" s="10"/>
      <c r="F1029" s="10"/>
      <c r="G1029" s="10"/>
      <c r="H1029" s="10"/>
      <c r="P1029" s="10"/>
      <c r="U1029" s="10"/>
      <c r="V1029" s="10"/>
      <c r="W1029" s="10"/>
      <c r="Y1029" s="10"/>
      <c r="Z1029" s="10"/>
      <c r="AA1029" s="10"/>
      <c r="AB1029" s="10"/>
      <c r="AC1029" s="10"/>
      <c r="AD1029" s="10"/>
      <c r="AE1029" s="10"/>
      <c r="AF1029" s="10"/>
      <c r="AG1029" s="10"/>
      <c r="AH1029" s="10"/>
      <c r="AI1029" s="10"/>
      <c r="AJ1029" s="10"/>
      <c r="AK1029" s="10"/>
      <c r="AL1029" s="10"/>
      <c r="AM1029" s="10"/>
      <c r="AN1029" s="10"/>
      <c r="AO1029" s="10"/>
      <c r="AW1029" s="143"/>
      <c r="BE1029" s="10"/>
      <c r="BF1029" s="10"/>
      <c r="BG1029" s="10"/>
      <c r="BH1029" s="10"/>
      <c r="BI1029" s="10"/>
      <c r="BJ1029" s="10"/>
      <c r="BK1029" s="10"/>
      <c r="BL1029" s="10"/>
      <c r="BO1029" s="10"/>
      <c r="BR1029" s="10"/>
      <c r="BS1029" s="10"/>
      <c r="BT1029" s="10"/>
      <c r="BW1029" s="10"/>
    </row>
    <row r="1030">
      <c r="A1030" s="10"/>
      <c r="B1030" s="10"/>
      <c r="C1030" s="10"/>
      <c r="D1030" s="10"/>
      <c r="E1030" s="10"/>
      <c r="F1030" s="10"/>
      <c r="G1030" s="10"/>
      <c r="H1030" s="10"/>
      <c r="J1030" s="10"/>
      <c r="P1030" s="10"/>
      <c r="U1030" s="10"/>
      <c r="V1030" s="10"/>
      <c r="W1030" s="10"/>
      <c r="X1030" s="10"/>
      <c r="Y1030" s="10"/>
      <c r="Z1030" s="10"/>
      <c r="AA1030" s="10"/>
      <c r="AB1030" s="10"/>
      <c r="AC1030" s="10"/>
      <c r="AD1030" s="10"/>
      <c r="AE1030" s="10"/>
      <c r="AF1030" s="10"/>
      <c r="AG1030" s="10"/>
      <c r="AH1030" s="10"/>
      <c r="AI1030" s="10"/>
      <c r="AJ1030" s="10"/>
      <c r="AK1030" s="10"/>
      <c r="AL1030" s="10"/>
      <c r="AM1030" s="10"/>
      <c r="AN1030" s="10"/>
      <c r="AO1030" s="10"/>
      <c r="AW1030" s="143"/>
      <c r="BE1030" s="10"/>
      <c r="BF1030" s="10"/>
      <c r="BG1030" s="10"/>
      <c r="BH1030" s="10"/>
      <c r="BI1030" s="10"/>
      <c r="BJ1030" s="10"/>
      <c r="BK1030" s="10"/>
      <c r="BS1030" s="10"/>
      <c r="BT1030" s="10"/>
      <c r="BW1030" s="10"/>
    </row>
    <row r="1031">
      <c r="A1031" s="10"/>
      <c r="B1031" s="10"/>
      <c r="C1031" s="10"/>
      <c r="D1031" s="10"/>
      <c r="E1031" s="10"/>
      <c r="F1031" s="10"/>
      <c r="G1031" s="10"/>
      <c r="H1031" s="10"/>
      <c r="P1031" s="10"/>
      <c r="U1031" s="10"/>
      <c r="V1031" s="10"/>
      <c r="W1031" s="10"/>
      <c r="Y1031" s="10"/>
      <c r="Z1031" s="10"/>
      <c r="AA1031" s="10"/>
      <c r="AB1031" s="10"/>
      <c r="AC1031" s="10"/>
      <c r="AD1031" s="10"/>
      <c r="AE1031" s="10"/>
      <c r="AF1031" s="10"/>
      <c r="AG1031" s="10"/>
      <c r="AH1031" s="10"/>
      <c r="AI1031" s="10"/>
      <c r="AJ1031" s="10"/>
      <c r="AK1031" s="10"/>
      <c r="AL1031" s="10"/>
      <c r="AM1031" s="10"/>
      <c r="AN1031" s="10"/>
      <c r="AO1031" s="10"/>
      <c r="AW1031" s="143"/>
      <c r="BE1031" s="10"/>
      <c r="BF1031" s="10"/>
      <c r="BG1031" s="10"/>
      <c r="BH1031" s="10"/>
      <c r="BI1031" s="10"/>
      <c r="BJ1031" s="10"/>
      <c r="BK1031" s="10"/>
      <c r="BS1031" s="10"/>
      <c r="BT1031" s="10"/>
      <c r="BW1031" s="10"/>
    </row>
    <row r="1032">
      <c r="A1032" s="10"/>
      <c r="B1032" s="10"/>
      <c r="C1032" s="10"/>
      <c r="D1032" s="10"/>
      <c r="E1032" s="10"/>
      <c r="F1032" s="10"/>
      <c r="G1032" s="10"/>
      <c r="H1032" s="10"/>
      <c r="U1032" s="10"/>
      <c r="V1032" s="10"/>
      <c r="W1032" s="10"/>
      <c r="Y1032" s="10"/>
      <c r="Z1032" s="10"/>
      <c r="AA1032" s="10"/>
      <c r="AB1032" s="10"/>
      <c r="AC1032" s="10"/>
      <c r="AD1032" s="10"/>
      <c r="AE1032" s="10"/>
      <c r="AF1032" s="10"/>
      <c r="AG1032" s="10"/>
      <c r="AH1032" s="10"/>
      <c r="AI1032" s="10"/>
      <c r="AJ1032" s="10"/>
      <c r="AK1032" s="10"/>
      <c r="AL1032" s="10"/>
      <c r="AM1032" s="10"/>
      <c r="AN1032" s="10"/>
      <c r="AO1032" s="10"/>
      <c r="AW1032" s="143"/>
      <c r="BE1032" s="10"/>
      <c r="BF1032" s="10"/>
      <c r="BG1032" s="10"/>
      <c r="BH1032" s="10"/>
      <c r="BI1032" s="10"/>
      <c r="BJ1032" s="10"/>
      <c r="BK1032" s="10"/>
      <c r="BS1032" s="10"/>
      <c r="BT1032" s="10"/>
      <c r="BW1032" s="10"/>
    </row>
    <row r="1033">
      <c r="A1033" s="10"/>
      <c r="B1033" s="10"/>
      <c r="C1033" s="10"/>
      <c r="D1033" s="10"/>
      <c r="E1033" s="10"/>
      <c r="F1033" s="10"/>
      <c r="G1033" s="10"/>
      <c r="H1033" s="10"/>
      <c r="K1033" s="10"/>
      <c r="L1033" s="10"/>
      <c r="O1033" s="10"/>
      <c r="Q1033" s="10"/>
      <c r="R1033" s="10"/>
      <c r="S1033" s="10"/>
      <c r="U1033" s="10"/>
      <c r="V1033" s="10"/>
      <c r="W1033" s="10"/>
      <c r="X1033" s="10"/>
      <c r="Y1033" s="10"/>
      <c r="Z1033" s="10"/>
      <c r="AA1033" s="10"/>
      <c r="AB1033" s="10"/>
      <c r="AC1033" s="10"/>
      <c r="AD1033" s="10"/>
      <c r="AE1033" s="10"/>
      <c r="AF1033" s="10"/>
      <c r="AG1033" s="10"/>
      <c r="AH1033" s="10"/>
      <c r="AI1033" s="10"/>
      <c r="AJ1033" s="10"/>
      <c r="AK1033" s="10"/>
      <c r="AL1033" s="10"/>
      <c r="AM1033" s="10"/>
      <c r="AN1033" s="10"/>
      <c r="AO1033" s="10"/>
      <c r="AP1033" s="10"/>
      <c r="AQ1033" s="10"/>
      <c r="AR1033" s="10"/>
      <c r="AS1033" s="10"/>
      <c r="AW1033" s="143"/>
      <c r="BD1033" s="10"/>
      <c r="BL1033" s="10"/>
      <c r="BO1033" s="10"/>
      <c r="BR1033" s="10"/>
      <c r="BS1033" s="10"/>
      <c r="BT1033" s="10"/>
      <c r="BW1033" s="10"/>
    </row>
    <row r="1034">
      <c r="A1034" s="10"/>
      <c r="B1034" s="10"/>
      <c r="C1034" s="10"/>
      <c r="D1034" s="10"/>
      <c r="E1034" s="10"/>
      <c r="F1034" s="10"/>
      <c r="G1034" s="10"/>
      <c r="H1034" s="10"/>
      <c r="P1034" s="10"/>
      <c r="Q1034" s="10"/>
      <c r="R1034" s="10"/>
      <c r="S1034" s="10"/>
      <c r="U1034" s="10"/>
      <c r="V1034" s="10"/>
      <c r="W1034" s="10"/>
      <c r="X1034" s="10"/>
      <c r="Y1034" s="10"/>
      <c r="Z1034" s="10"/>
      <c r="AA1034" s="10"/>
      <c r="AB1034" s="10"/>
      <c r="AC1034" s="10"/>
      <c r="AD1034" s="10"/>
      <c r="AE1034" s="10"/>
      <c r="AF1034" s="10"/>
      <c r="AG1034" s="10"/>
      <c r="AH1034" s="10"/>
      <c r="AI1034" s="10"/>
      <c r="AJ1034" s="10"/>
      <c r="AK1034" s="10"/>
      <c r="AL1034" s="10"/>
      <c r="AM1034" s="10"/>
      <c r="AN1034" s="10"/>
      <c r="AO1034" s="10"/>
      <c r="AW1034" s="143"/>
      <c r="BT1034" s="10"/>
      <c r="BW1034" s="10"/>
    </row>
    <row r="1035">
      <c r="A1035" s="10"/>
      <c r="B1035" s="10"/>
      <c r="C1035" s="10"/>
      <c r="D1035" s="10"/>
      <c r="E1035" s="10"/>
      <c r="F1035" s="10"/>
      <c r="G1035" s="10"/>
      <c r="H1035" s="10"/>
      <c r="U1035" s="10"/>
      <c r="V1035" s="10"/>
      <c r="W1035" s="10"/>
      <c r="X1035" s="10"/>
      <c r="Y1035" s="10"/>
      <c r="Z1035" s="10"/>
      <c r="AA1035" s="10"/>
      <c r="AB1035" s="10"/>
      <c r="AC1035" s="10"/>
      <c r="AD1035" s="10"/>
      <c r="AE1035" s="10"/>
      <c r="AF1035" s="10"/>
      <c r="AG1035" s="10"/>
      <c r="AH1035" s="10"/>
      <c r="AI1035" s="10"/>
      <c r="AJ1035" s="10"/>
      <c r="AK1035" s="10"/>
      <c r="AL1035" s="10"/>
      <c r="AM1035" s="10"/>
      <c r="AN1035" s="10"/>
      <c r="AO1035" s="10"/>
      <c r="AW1035" s="143"/>
      <c r="BS1035" s="10"/>
      <c r="BT1035" s="10"/>
      <c r="BW1035" s="10"/>
    </row>
    <row r="1036">
      <c r="A1036" s="10"/>
      <c r="B1036" s="10"/>
      <c r="C1036" s="10"/>
      <c r="D1036" s="10"/>
      <c r="E1036" s="10"/>
      <c r="F1036" s="10"/>
      <c r="G1036" s="10"/>
      <c r="H1036" s="10"/>
      <c r="J1036" s="10"/>
      <c r="U1036" s="10"/>
      <c r="V1036" s="10"/>
      <c r="W1036" s="10"/>
      <c r="X1036" s="10"/>
      <c r="Y1036" s="10"/>
      <c r="Z1036" s="10"/>
      <c r="AA1036" s="10"/>
      <c r="AB1036" s="10"/>
      <c r="AC1036" s="10"/>
      <c r="AD1036" s="10"/>
      <c r="AE1036" s="10"/>
      <c r="AF1036" s="10"/>
      <c r="AG1036" s="10"/>
      <c r="AH1036" s="10"/>
      <c r="AI1036" s="10"/>
      <c r="AJ1036" s="10"/>
      <c r="AK1036" s="10"/>
      <c r="AL1036" s="10"/>
      <c r="AM1036" s="10"/>
      <c r="AN1036" s="10"/>
      <c r="AO1036" s="10"/>
      <c r="AW1036" s="143"/>
      <c r="BS1036" s="10"/>
      <c r="BT1036" s="10"/>
      <c r="BW1036" s="10"/>
    </row>
    <row r="1037">
      <c r="A1037" s="10"/>
      <c r="B1037" s="10"/>
      <c r="C1037" s="10"/>
      <c r="D1037" s="10"/>
      <c r="E1037" s="10"/>
      <c r="F1037" s="10"/>
      <c r="G1037" s="10"/>
      <c r="H1037" s="10"/>
      <c r="J1037" s="10"/>
      <c r="P1037" s="10"/>
      <c r="U1037" s="10"/>
      <c r="V1037" s="10"/>
      <c r="W1037" s="10"/>
      <c r="X1037" s="10"/>
      <c r="Y1037" s="10"/>
      <c r="Z1037" s="10"/>
      <c r="AA1037" s="10"/>
      <c r="AB1037" s="10"/>
      <c r="AC1037" s="10"/>
      <c r="AD1037" s="10"/>
      <c r="AE1037" s="10"/>
      <c r="AF1037" s="10"/>
      <c r="AG1037" s="10"/>
      <c r="AH1037" s="10"/>
      <c r="AI1037" s="10"/>
      <c r="AJ1037" s="10"/>
      <c r="AK1037" s="10"/>
      <c r="AL1037" s="10"/>
      <c r="AM1037" s="10"/>
      <c r="AN1037" s="10"/>
      <c r="AO1037" s="10"/>
      <c r="AW1037" s="143"/>
      <c r="BS1037" s="10"/>
      <c r="BT1037" s="10"/>
      <c r="BW1037" s="10"/>
    </row>
    <row r="1038">
      <c r="A1038" s="10"/>
      <c r="B1038" s="10"/>
      <c r="C1038" s="10"/>
      <c r="D1038" s="10"/>
      <c r="E1038" s="10"/>
      <c r="F1038" s="10"/>
      <c r="G1038" s="10"/>
      <c r="H1038" s="10"/>
      <c r="J1038" s="10"/>
      <c r="U1038" s="10"/>
      <c r="V1038" s="10"/>
      <c r="W1038" s="10"/>
      <c r="X1038" s="10"/>
      <c r="Y1038" s="10"/>
      <c r="Z1038" s="10"/>
      <c r="AA1038" s="10"/>
      <c r="AB1038" s="10"/>
      <c r="AC1038" s="10"/>
      <c r="AD1038" s="10"/>
      <c r="AE1038" s="10"/>
      <c r="AF1038" s="10"/>
      <c r="AG1038" s="10"/>
      <c r="AH1038" s="10"/>
      <c r="AI1038" s="10"/>
      <c r="AJ1038" s="10"/>
      <c r="AK1038" s="10"/>
      <c r="AL1038" s="10"/>
      <c r="AM1038" s="10"/>
      <c r="AN1038" s="10"/>
      <c r="AO1038" s="10"/>
      <c r="AW1038" s="143"/>
      <c r="BS1038" s="10"/>
      <c r="BT1038" s="10"/>
      <c r="BW1038" s="10"/>
    </row>
    <row r="1039">
      <c r="A1039" s="10"/>
      <c r="B1039" s="10"/>
      <c r="C1039" s="10"/>
      <c r="D1039" s="10"/>
      <c r="E1039" s="10"/>
      <c r="F1039" s="10"/>
      <c r="G1039" s="10"/>
      <c r="H1039" s="10"/>
      <c r="J1039" s="10"/>
      <c r="U1039" s="10"/>
      <c r="V1039" s="10"/>
      <c r="W1039" s="10"/>
      <c r="X1039" s="10"/>
      <c r="Y1039" s="10"/>
      <c r="Z1039" s="10"/>
      <c r="AA1039" s="10"/>
      <c r="AB1039" s="10"/>
      <c r="AC1039" s="10"/>
      <c r="AD1039" s="10"/>
      <c r="AE1039" s="10"/>
      <c r="AF1039" s="10"/>
      <c r="AG1039" s="10"/>
      <c r="AH1039" s="10"/>
      <c r="AI1039" s="10"/>
      <c r="AJ1039" s="10"/>
      <c r="AK1039" s="10"/>
      <c r="AL1039" s="10"/>
      <c r="AM1039" s="10"/>
      <c r="AN1039" s="10"/>
      <c r="AO1039" s="10"/>
      <c r="AW1039" s="143"/>
      <c r="BS1039" s="10"/>
      <c r="BT1039" s="10"/>
      <c r="BW1039" s="10"/>
    </row>
    <row r="1040">
      <c r="A1040" s="10"/>
      <c r="B1040" s="10"/>
      <c r="C1040" s="10"/>
      <c r="D1040" s="10"/>
      <c r="E1040" s="10"/>
      <c r="F1040" s="10"/>
      <c r="G1040" s="10"/>
      <c r="H1040" s="10"/>
      <c r="I1040" s="10"/>
      <c r="J1040" s="10"/>
      <c r="N1040" s="10"/>
      <c r="O1040" s="10"/>
      <c r="P1040" s="10"/>
      <c r="T1040" s="10"/>
      <c r="U1040" s="10"/>
      <c r="V1040" s="10"/>
      <c r="W1040" s="10"/>
      <c r="X1040" s="10"/>
      <c r="Y1040" s="10"/>
      <c r="Z1040" s="10"/>
      <c r="AA1040" s="10"/>
      <c r="AB1040" s="10"/>
      <c r="AC1040" s="10"/>
      <c r="AD1040" s="10"/>
      <c r="AE1040" s="10"/>
      <c r="AF1040" s="10"/>
      <c r="AG1040" s="10"/>
      <c r="AH1040" s="10"/>
      <c r="AI1040" s="10"/>
      <c r="AJ1040" s="10"/>
      <c r="AK1040" s="10"/>
      <c r="AL1040" s="10"/>
      <c r="AM1040" s="10"/>
      <c r="AN1040" s="10"/>
      <c r="AO1040" s="10"/>
      <c r="AP1040" s="10"/>
      <c r="AQ1040" s="10"/>
      <c r="AR1040" s="10"/>
      <c r="AS1040" s="10"/>
      <c r="AT1040" s="10"/>
      <c r="AU1040" s="10"/>
      <c r="AV1040" s="10"/>
      <c r="AW1040" s="143"/>
      <c r="AX1040" s="10"/>
      <c r="AY1040" s="10"/>
      <c r="AZ1040" s="10"/>
      <c r="BE1040" s="10"/>
      <c r="BF1040" s="10"/>
      <c r="BG1040" s="10"/>
      <c r="BH1040" s="10"/>
      <c r="BI1040" s="10"/>
      <c r="BJ1040" s="10"/>
      <c r="BK1040" s="10"/>
      <c r="BS1040" s="10"/>
      <c r="BT1040" s="10"/>
      <c r="BW1040" s="10"/>
    </row>
    <row r="1041">
      <c r="A1041" s="10"/>
      <c r="B1041" s="10"/>
      <c r="C1041" s="10"/>
      <c r="D1041" s="10"/>
      <c r="E1041" s="10"/>
      <c r="F1041" s="10"/>
      <c r="G1041" s="10"/>
      <c r="H1041" s="10"/>
      <c r="I1041" s="10"/>
      <c r="J1041" s="10"/>
      <c r="N1041" s="10"/>
      <c r="O1041" s="10"/>
      <c r="P1041" s="10"/>
      <c r="T1041" s="10"/>
      <c r="U1041" s="10"/>
      <c r="V1041" s="10"/>
      <c r="W1041" s="10"/>
      <c r="X1041" s="10"/>
      <c r="Y1041" s="10"/>
      <c r="Z1041" s="10"/>
      <c r="AA1041" s="10"/>
      <c r="AB1041" s="10"/>
      <c r="AC1041" s="10"/>
      <c r="AD1041" s="10"/>
      <c r="AE1041" s="10"/>
      <c r="AF1041" s="10"/>
      <c r="AG1041" s="10"/>
      <c r="AH1041" s="10"/>
      <c r="AI1041" s="10"/>
      <c r="AJ1041" s="10"/>
      <c r="AK1041" s="10"/>
      <c r="AL1041" s="10"/>
      <c r="AM1041" s="10"/>
      <c r="AN1041" s="10"/>
      <c r="AO1041" s="10"/>
      <c r="AP1041" s="10"/>
      <c r="AQ1041" s="10"/>
      <c r="AR1041" s="10"/>
      <c r="AS1041" s="10"/>
      <c r="AT1041" s="10"/>
      <c r="AU1041" s="10"/>
      <c r="AV1041" s="10"/>
      <c r="AW1041" s="143"/>
      <c r="AX1041" s="10"/>
      <c r="AY1041" s="10"/>
      <c r="AZ1041" s="10"/>
      <c r="BE1041" s="10"/>
      <c r="BF1041" s="10"/>
      <c r="BG1041" s="10"/>
      <c r="BH1041" s="10"/>
      <c r="BI1041" s="10"/>
      <c r="BJ1041" s="10"/>
      <c r="BK1041" s="10"/>
      <c r="BS1041" s="10"/>
      <c r="BT1041" s="10"/>
      <c r="BW1041" s="10"/>
    </row>
    <row r="1042">
      <c r="A1042" s="10"/>
      <c r="B1042" s="10"/>
      <c r="C1042" s="10"/>
      <c r="D1042" s="10"/>
      <c r="E1042" s="10"/>
      <c r="F1042" s="10"/>
      <c r="G1042" s="10"/>
      <c r="H1042" s="10"/>
      <c r="I1042" s="10"/>
      <c r="J1042" s="10"/>
      <c r="N1042" s="10"/>
      <c r="O1042" s="10"/>
      <c r="P1042" s="10"/>
      <c r="T1042" s="10"/>
      <c r="U1042" s="10"/>
      <c r="V1042" s="10"/>
      <c r="W1042" s="10"/>
      <c r="X1042" s="10"/>
      <c r="Y1042" s="10"/>
      <c r="Z1042" s="10"/>
      <c r="AA1042" s="10"/>
      <c r="AB1042" s="10"/>
      <c r="AC1042" s="10"/>
      <c r="AD1042" s="10"/>
      <c r="AE1042" s="10"/>
      <c r="AF1042" s="10"/>
      <c r="AG1042" s="10"/>
      <c r="AH1042" s="10"/>
      <c r="AI1042" s="10"/>
      <c r="AJ1042" s="10"/>
      <c r="AK1042" s="10"/>
      <c r="AL1042" s="10"/>
      <c r="AM1042" s="10"/>
      <c r="AN1042" s="10"/>
      <c r="AO1042" s="10"/>
      <c r="AP1042" s="10"/>
      <c r="AQ1042" s="10"/>
      <c r="AR1042" s="10"/>
      <c r="AS1042" s="10"/>
      <c r="AT1042" s="10"/>
      <c r="AU1042" s="10"/>
      <c r="AV1042" s="10"/>
      <c r="AW1042" s="143"/>
      <c r="AX1042" s="10"/>
      <c r="AY1042" s="10"/>
      <c r="BE1042" s="10"/>
      <c r="BF1042" s="10"/>
      <c r="BG1042" s="10"/>
      <c r="BH1042" s="10"/>
      <c r="BI1042" s="10"/>
      <c r="BJ1042" s="10"/>
      <c r="BK1042" s="10"/>
      <c r="BS1042" s="10"/>
      <c r="BT1042" s="10"/>
      <c r="BW1042" s="10"/>
    </row>
    <row r="1043">
      <c r="A1043" s="10"/>
      <c r="B1043" s="10"/>
      <c r="C1043" s="10"/>
      <c r="D1043" s="10"/>
      <c r="E1043" s="10"/>
      <c r="F1043" s="10"/>
      <c r="G1043" s="10"/>
      <c r="H1043" s="10"/>
      <c r="I1043" s="10"/>
      <c r="J1043" s="10"/>
      <c r="N1043" s="10"/>
      <c r="O1043" s="10"/>
      <c r="P1043" s="10"/>
      <c r="T1043" s="10"/>
      <c r="U1043" s="10"/>
      <c r="V1043" s="10"/>
      <c r="W1043" s="10"/>
      <c r="X1043" s="10"/>
      <c r="Y1043" s="10"/>
      <c r="Z1043" s="10"/>
      <c r="AA1043" s="10"/>
      <c r="AB1043" s="10"/>
      <c r="AC1043" s="10"/>
      <c r="AD1043" s="10"/>
      <c r="AE1043" s="10"/>
      <c r="AF1043" s="10"/>
      <c r="AG1043" s="10"/>
      <c r="AH1043" s="10"/>
      <c r="AI1043" s="10"/>
      <c r="AJ1043" s="10"/>
      <c r="AK1043" s="10"/>
      <c r="AL1043" s="10"/>
      <c r="AM1043" s="10"/>
      <c r="AN1043" s="10"/>
      <c r="AO1043" s="10"/>
      <c r="AP1043" s="10"/>
      <c r="AQ1043" s="10"/>
      <c r="AR1043" s="10"/>
      <c r="AS1043" s="10"/>
      <c r="AT1043" s="10"/>
      <c r="AU1043" s="10"/>
      <c r="AV1043" s="10"/>
      <c r="AW1043" s="143"/>
      <c r="AX1043" s="10"/>
      <c r="AY1043" s="10"/>
      <c r="AZ1043" s="10"/>
      <c r="BE1043" s="10"/>
      <c r="BF1043" s="10"/>
      <c r="BG1043" s="10"/>
      <c r="BH1043" s="10"/>
      <c r="BI1043" s="10"/>
      <c r="BJ1043" s="10"/>
      <c r="BK1043" s="10"/>
      <c r="BL1043" s="10"/>
      <c r="BM1043" s="10"/>
      <c r="BN1043" s="10"/>
      <c r="BO1043" s="10"/>
      <c r="BP1043" s="10"/>
      <c r="BQ1043" s="10"/>
      <c r="BR1043" s="10"/>
      <c r="BS1043" s="10"/>
      <c r="BT1043" s="10"/>
      <c r="BW1043" s="10"/>
    </row>
    <row r="1044">
      <c r="A1044" s="10"/>
      <c r="B1044" s="10"/>
      <c r="C1044" s="10"/>
      <c r="D1044" s="10"/>
      <c r="E1044" s="10"/>
      <c r="F1044" s="10"/>
      <c r="G1044" s="10"/>
      <c r="H1044" s="10"/>
      <c r="I1044" s="10"/>
      <c r="J1044" s="10"/>
      <c r="N1044" s="10"/>
      <c r="O1044" s="10"/>
      <c r="P1044" s="10"/>
      <c r="T1044" s="10"/>
      <c r="U1044" s="10"/>
      <c r="V1044" s="10"/>
      <c r="W1044" s="10"/>
      <c r="X1044" s="10"/>
      <c r="Y1044" s="10"/>
      <c r="Z1044" s="10"/>
      <c r="AA1044" s="10"/>
      <c r="AB1044" s="10"/>
      <c r="AC1044" s="10"/>
      <c r="AD1044" s="10"/>
      <c r="AE1044" s="10"/>
      <c r="AF1044" s="10"/>
      <c r="AG1044" s="10"/>
      <c r="AH1044" s="10"/>
      <c r="AI1044" s="10"/>
      <c r="AJ1044" s="10"/>
      <c r="AK1044" s="10"/>
      <c r="AL1044" s="10"/>
      <c r="AM1044" s="10"/>
      <c r="AN1044" s="10"/>
      <c r="AO1044" s="10"/>
      <c r="AP1044" s="10"/>
      <c r="AQ1044" s="10"/>
      <c r="AR1044" s="10"/>
      <c r="AS1044" s="10"/>
      <c r="AT1044" s="10"/>
      <c r="AU1044" s="10"/>
      <c r="AV1044" s="10"/>
      <c r="AW1044" s="143"/>
      <c r="AX1044" s="10"/>
      <c r="AY1044" s="10"/>
      <c r="AZ1044" s="10"/>
      <c r="BE1044" s="10"/>
      <c r="BF1044" s="10"/>
      <c r="BG1044" s="10"/>
      <c r="BH1044" s="10"/>
      <c r="BI1044" s="10"/>
      <c r="BJ1044" s="10"/>
      <c r="BK1044" s="10"/>
      <c r="BS1044" s="10"/>
      <c r="BT1044" s="10"/>
      <c r="BW1044" s="10"/>
    </row>
    <row r="1045">
      <c r="A1045" s="10"/>
      <c r="B1045" s="10"/>
      <c r="C1045" s="10"/>
      <c r="D1045" s="10"/>
      <c r="E1045" s="10"/>
      <c r="F1045" s="10"/>
      <c r="G1045" s="10"/>
      <c r="H1045" s="10"/>
      <c r="I1045" s="10"/>
      <c r="J1045" s="10"/>
      <c r="N1045" s="10"/>
      <c r="O1045" s="10"/>
      <c r="P1045" s="10"/>
      <c r="T1045" s="10"/>
      <c r="U1045" s="10"/>
      <c r="V1045" s="10"/>
      <c r="W1045" s="10"/>
      <c r="X1045" s="10"/>
      <c r="Y1045" s="10"/>
      <c r="Z1045" s="10"/>
      <c r="AA1045" s="10"/>
      <c r="AB1045" s="10"/>
      <c r="AC1045" s="10"/>
      <c r="AD1045" s="10"/>
      <c r="AE1045" s="10"/>
      <c r="AF1045" s="10"/>
      <c r="AG1045" s="10"/>
      <c r="AH1045" s="10"/>
      <c r="AI1045" s="10"/>
      <c r="AJ1045" s="10"/>
      <c r="AK1045" s="10"/>
      <c r="AL1045" s="10"/>
      <c r="AM1045" s="10"/>
      <c r="AN1045" s="10"/>
      <c r="AO1045" s="10"/>
      <c r="AP1045" s="10"/>
      <c r="AQ1045" s="10"/>
      <c r="AR1045" s="10"/>
      <c r="AS1045" s="10"/>
      <c r="AT1045" s="10"/>
      <c r="AU1045" s="10"/>
      <c r="AV1045" s="10"/>
      <c r="AW1045" s="143"/>
      <c r="AX1045" s="10"/>
      <c r="AY1045" s="10"/>
      <c r="BE1045" s="10"/>
      <c r="BF1045" s="10"/>
      <c r="BG1045" s="10"/>
      <c r="BH1045" s="10"/>
      <c r="BI1045" s="10"/>
      <c r="BJ1045" s="10"/>
      <c r="BK1045" s="10"/>
      <c r="BS1045" s="10"/>
      <c r="BT1045" s="10"/>
      <c r="BW1045" s="10"/>
    </row>
    <row r="1046">
      <c r="A1046" s="10"/>
      <c r="B1046" s="10"/>
      <c r="C1046" s="10"/>
      <c r="D1046" s="10"/>
      <c r="E1046" s="10"/>
      <c r="F1046" s="10"/>
      <c r="G1046" s="10"/>
      <c r="H1046" s="10"/>
      <c r="I1046" s="10"/>
      <c r="J1046" s="10"/>
      <c r="N1046" s="10"/>
      <c r="O1046" s="10"/>
      <c r="P1046" s="10"/>
      <c r="T1046" s="10"/>
      <c r="U1046" s="10"/>
      <c r="V1046" s="10"/>
      <c r="W1046" s="10"/>
      <c r="X1046" s="10"/>
      <c r="Y1046" s="10"/>
      <c r="Z1046" s="10"/>
      <c r="AA1046" s="10"/>
      <c r="AB1046" s="10"/>
      <c r="AC1046" s="10"/>
      <c r="AD1046" s="10"/>
      <c r="AE1046" s="10"/>
      <c r="AF1046" s="10"/>
      <c r="AG1046" s="10"/>
      <c r="AH1046" s="10"/>
      <c r="AI1046" s="10"/>
      <c r="AJ1046" s="10"/>
      <c r="AK1046" s="10"/>
      <c r="AL1046" s="10"/>
      <c r="AM1046" s="10"/>
      <c r="AN1046" s="10"/>
      <c r="AO1046" s="10"/>
      <c r="AP1046" s="10"/>
      <c r="AQ1046" s="10"/>
      <c r="AR1046" s="10"/>
      <c r="AS1046" s="10"/>
      <c r="AT1046" s="10"/>
      <c r="AU1046" s="10"/>
      <c r="AV1046" s="10"/>
      <c r="AW1046" s="143"/>
      <c r="AX1046" s="10"/>
      <c r="AY1046" s="10"/>
      <c r="BE1046" s="10"/>
      <c r="BF1046" s="10"/>
      <c r="BG1046" s="10"/>
      <c r="BH1046" s="10"/>
      <c r="BI1046" s="10"/>
      <c r="BJ1046" s="10"/>
      <c r="BK1046" s="10"/>
      <c r="BS1046" s="10"/>
      <c r="BT1046" s="10"/>
      <c r="BW1046" s="10"/>
    </row>
    <row r="1047">
      <c r="A1047" s="10"/>
      <c r="B1047" s="10"/>
      <c r="C1047" s="10"/>
      <c r="D1047" s="10"/>
      <c r="E1047" s="10"/>
      <c r="F1047" s="10"/>
      <c r="G1047" s="10"/>
      <c r="H1047" s="10"/>
      <c r="I1047" s="10"/>
      <c r="J1047" s="10"/>
      <c r="N1047" s="10"/>
      <c r="O1047" s="10"/>
      <c r="P1047" s="10"/>
      <c r="T1047" s="10"/>
      <c r="U1047" s="10"/>
      <c r="V1047" s="10"/>
      <c r="W1047" s="10"/>
      <c r="X1047" s="10"/>
      <c r="Y1047" s="10"/>
      <c r="Z1047" s="10"/>
      <c r="AA1047" s="10"/>
      <c r="AB1047" s="10"/>
      <c r="AC1047" s="10"/>
      <c r="AD1047" s="10"/>
      <c r="AE1047" s="10"/>
      <c r="AF1047" s="10"/>
      <c r="AG1047" s="10"/>
      <c r="AH1047" s="10"/>
      <c r="AI1047" s="10"/>
      <c r="AJ1047" s="10"/>
      <c r="AK1047" s="10"/>
      <c r="AL1047" s="10"/>
      <c r="AM1047" s="10"/>
      <c r="AN1047" s="10"/>
      <c r="AO1047" s="10"/>
      <c r="AP1047" s="10"/>
      <c r="AQ1047" s="10"/>
      <c r="AR1047" s="10"/>
      <c r="AS1047" s="10"/>
      <c r="AT1047" s="10"/>
      <c r="AU1047" s="10"/>
      <c r="AV1047" s="10"/>
      <c r="AW1047" s="143"/>
      <c r="AX1047" s="10"/>
      <c r="AY1047" s="10"/>
      <c r="AZ1047" s="10"/>
      <c r="BE1047" s="10"/>
      <c r="BF1047" s="10"/>
      <c r="BG1047" s="10"/>
      <c r="BH1047" s="10"/>
      <c r="BI1047" s="10"/>
      <c r="BJ1047" s="10"/>
      <c r="BK1047" s="10"/>
      <c r="BS1047" s="10"/>
      <c r="BT1047" s="10"/>
      <c r="BW1047" s="10"/>
    </row>
    <row r="1048">
      <c r="A1048" s="10"/>
      <c r="B1048" s="10"/>
      <c r="C1048" s="10"/>
      <c r="D1048" s="10"/>
      <c r="E1048" s="10"/>
      <c r="F1048" s="10"/>
      <c r="G1048" s="10"/>
      <c r="H1048" s="10"/>
      <c r="I1048" s="10"/>
      <c r="J1048" s="10"/>
      <c r="N1048" s="10"/>
      <c r="O1048" s="10"/>
      <c r="P1048" s="10"/>
      <c r="T1048" s="10"/>
      <c r="U1048" s="10"/>
      <c r="V1048" s="10"/>
      <c r="W1048" s="10"/>
      <c r="X1048" s="10"/>
      <c r="Y1048" s="10"/>
      <c r="Z1048" s="10"/>
      <c r="AA1048" s="10"/>
      <c r="AB1048" s="10"/>
      <c r="AC1048" s="10"/>
      <c r="AD1048" s="10"/>
      <c r="AE1048" s="10"/>
      <c r="AF1048" s="10"/>
      <c r="AG1048" s="10"/>
      <c r="AH1048" s="10"/>
      <c r="AI1048" s="10"/>
      <c r="AJ1048" s="10"/>
      <c r="AK1048" s="10"/>
      <c r="AL1048" s="10"/>
      <c r="AM1048" s="10"/>
      <c r="AN1048" s="10"/>
      <c r="AO1048" s="10"/>
      <c r="AP1048" s="10"/>
      <c r="AQ1048" s="10"/>
      <c r="AR1048" s="10"/>
      <c r="AS1048" s="10"/>
      <c r="AT1048" s="10"/>
      <c r="AU1048" s="10"/>
      <c r="AV1048" s="10"/>
      <c r="AW1048" s="143"/>
      <c r="AX1048" s="10"/>
      <c r="AY1048" s="10"/>
      <c r="AZ1048" s="10"/>
      <c r="BE1048" s="10"/>
      <c r="BF1048" s="10"/>
      <c r="BG1048" s="10"/>
      <c r="BH1048" s="10"/>
      <c r="BI1048" s="10"/>
      <c r="BJ1048" s="10"/>
      <c r="BK1048" s="10"/>
      <c r="BL1048" s="10"/>
      <c r="BO1048" s="10"/>
      <c r="BR1048" s="10"/>
      <c r="BS1048" s="10"/>
      <c r="BT1048" s="10"/>
      <c r="BW1048" s="10"/>
    </row>
    <row r="1049">
      <c r="A1049" s="10"/>
      <c r="B1049" s="10"/>
      <c r="C1049" s="10"/>
      <c r="D1049" s="10"/>
      <c r="E1049" s="10"/>
      <c r="F1049" s="10"/>
      <c r="G1049" s="10"/>
      <c r="H1049" s="10"/>
      <c r="I1049" s="10"/>
      <c r="J1049" s="10"/>
      <c r="N1049" s="10"/>
      <c r="O1049" s="10"/>
      <c r="P1049" s="10"/>
      <c r="T1049" s="10"/>
      <c r="U1049" s="10"/>
      <c r="V1049" s="10"/>
      <c r="W1049" s="10"/>
      <c r="X1049" s="10"/>
      <c r="Y1049" s="10"/>
      <c r="Z1049" s="10"/>
      <c r="AA1049" s="10"/>
      <c r="AB1049" s="10"/>
      <c r="AC1049" s="10"/>
      <c r="AD1049" s="10"/>
      <c r="AE1049" s="10"/>
      <c r="AF1049" s="10"/>
      <c r="AG1049" s="10"/>
      <c r="AH1049" s="10"/>
      <c r="AI1049" s="10"/>
      <c r="AJ1049" s="10"/>
      <c r="AK1049" s="10"/>
      <c r="AL1049" s="10"/>
      <c r="AM1049" s="10"/>
      <c r="AN1049" s="10"/>
      <c r="AO1049" s="10"/>
      <c r="AP1049" s="10"/>
      <c r="AQ1049" s="10"/>
      <c r="AR1049" s="10"/>
      <c r="AS1049" s="10"/>
      <c r="AT1049" s="10"/>
      <c r="AU1049" s="10"/>
      <c r="AV1049" s="10"/>
      <c r="AW1049" s="143"/>
      <c r="AX1049" s="10"/>
      <c r="AY1049" s="10"/>
      <c r="AZ1049" s="10"/>
      <c r="BE1049" s="10"/>
      <c r="BF1049" s="10"/>
      <c r="BG1049" s="10"/>
      <c r="BH1049" s="10"/>
      <c r="BI1049" s="10"/>
      <c r="BJ1049" s="10"/>
      <c r="BK1049" s="10"/>
      <c r="BS1049" s="10"/>
      <c r="BT1049" s="10"/>
      <c r="BW1049" s="10"/>
    </row>
    <row r="1050">
      <c r="A1050" s="10"/>
      <c r="B1050" s="10"/>
      <c r="C1050" s="10"/>
      <c r="D1050" s="10"/>
      <c r="E1050" s="10"/>
      <c r="F1050" s="10"/>
      <c r="G1050" s="10"/>
      <c r="H1050" s="10"/>
      <c r="I1050" s="10"/>
      <c r="J1050" s="10"/>
      <c r="N1050" s="10"/>
      <c r="O1050" s="10"/>
      <c r="P1050" s="10"/>
      <c r="Q1050" s="10"/>
      <c r="R1050" s="10"/>
      <c r="S1050" s="10"/>
      <c r="T1050" s="10"/>
      <c r="U1050" s="10"/>
      <c r="V1050" s="10"/>
      <c r="W1050" s="10"/>
      <c r="X1050" s="10"/>
      <c r="Y1050" s="10"/>
      <c r="Z1050" s="10"/>
      <c r="AA1050" s="10"/>
      <c r="AB1050" s="10"/>
      <c r="AC1050" s="10"/>
      <c r="AD1050" s="10"/>
      <c r="AE1050" s="10"/>
      <c r="AF1050" s="10"/>
      <c r="AG1050" s="10"/>
      <c r="AH1050" s="10"/>
      <c r="AI1050" s="10"/>
      <c r="AJ1050" s="10"/>
      <c r="AK1050" s="10"/>
      <c r="AL1050" s="10"/>
      <c r="AM1050" s="10"/>
      <c r="AN1050" s="10"/>
      <c r="AO1050" s="10"/>
      <c r="AP1050" s="10"/>
      <c r="AQ1050" s="10"/>
      <c r="AR1050" s="10"/>
      <c r="AS1050" s="10"/>
      <c r="AT1050" s="10"/>
      <c r="AU1050" s="10"/>
      <c r="AV1050" s="10"/>
      <c r="AW1050" s="143"/>
      <c r="AX1050" s="10"/>
      <c r="AY1050" s="10"/>
      <c r="AZ1050" s="10"/>
      <c r="BE1050" s="10"/>
      <c r="BF1050" s="10"/>
      <c r="BG1050" s="10"/>
      <c r="BH1050" s="10"/>
      <c r="BI1050" s="10"/>
      <c r="BJ1050" s="10"/>
      <c r="BK1050" s="10"/>
      <c r="BL1050" s="10"/>
      <c r="BO1050" s="10"/>
      <c r="BR1050" s="10"/>
      <c r="BS1050" s="10"/>
      <c r="BT1050" s="10"/>
      <c r="BW1050" s="10"/>
    </row>
    <row r="1051">
      <c r="A1051" s="10"/>
      <c r="B1051" s="10"/>
      <c r="C1051" s="10"/>
      <c r="D1051" s="10"/>
      <c r="E1051" s="10"/>
      <c r="F1051" s="10"/>
      <c r="G1051" s="10"/>
      <c r="H1051" s="10"/>
      <c r="I1051" s="10"/>
      <c r="J1051" s="10"/>
      <c r="N1051" s="10"/>
      <c r="O1051" s="10"/>
      <c r="P1051" s="10"/>
      <c r="T1051" s="10"/>
      <c r="U1051" s="10"/>
      <c r="V1051" s="10"/>
      <c r="W1051" s="10"/>
      <c r="X1051" s="10"/>
      <c r="Y1051" s="10"/>
      <c r="Z1051" s="10"/>
      <c r="AA1051" s="10"/>
      <c r="AB1051" s="10"/>
      <c r="AC1051" s="10"/>
      <c r="AD1051" s="10"/>
      <c r="AE1051" s="10"/>
      <c r="AF1051" s="10"/>
      <c r="AG1051" s="10"/>
      <c r="AH1051" s="10"/>
      <c r="AI1051" s="10"/>
      <c r="AJ1051" s="10"/>
      <c r="AK1051" s="10"/>
      <c r="AL1051" s="10"/>
      <c r="AM1051" s="10"/>
      <c r="AN1051" s="10"/>
      <c r="AO1051" s="10"/>
      <c r="AP1051" s="10"/>
      <c r="AQ1051" s="10"/>
      <c r="AR1051" s="10"/>
      <c r="AS1051" s="10"/>
      <c r="AT1051" s="10"/>
      <c r="AU1051" s="10"/>
      <c r="AV1051" s="10"/>
      <c r="AW1051" s="143"/>
      <c r="AX1051" s="10"/>
      <c r="AY1051" s="10"/>
      <c r="AZ1051" s="10"/>
      <c r="BE1051" s="10"/>
      <c r="BF1051" s="10"/>
      <c r="BG1051" s="10"/>
      <c r="BH1051" s="10"/>
      <c r="BI1051" s="10"/>
      <c r="BJ1051" s="10"/>
      <c r="BK1051" s="10"/>
      <c r="BS1051" s="10"/>
      <c r="BT1051" s="10"/>
      <c r="BW1051" s="10"/>
    </row>
    <row r="1052">
      <c r="A1052" s="10"/>
      <c r="B1052" s="10"/>
      <c r="C1052" s="10"/>
      <c r="D1052" s="10"/>
      <c r="E1052" s="10"/>
      <c r="F1052" s="10"/>
      <c r="G1052" s="10"/>
      <c r="H1052" s="10"/>
      <c r="I1052" s="10"/>
      <c r="J1052" s="10"/>
      <c r="N1052" s="10"/>
      <c r="O1052" s="10"/>
      <c r="P1052" s="10"/>
      <c r="T1052" s="10"/>
      <c r="U1052" s="10"/>
      <c r="V1052" s="10"/>
      <c r="W1052" s="10"/>
      <c r="X1052" s="10"/>
      <c r="Y1052" s="10"/>
      <c r="Z1052" s="10"/>
      <c r="AA1052" s="10"/>
      <c r="AB1052" s="10"/>
      <c r="AC1052" s="10"/>
      <c r="AD1052" s="10"/>
      <c r="AE1052" s="10"/>
      <c r="AF1052" s="10"/>
      <c r="AG1052" s="10"/>
      <c r="AH1052" s="10"/>
      <c r="AI1052" s="10"/>
      <c r="AJ1052" s="10"/>
      <c r="AK1052" s="10"/>
      <c r="AL1052" s="10"/>
      <c r="AM1052" s="10"/>
      <c r="AN1052" s="10"/>
      <c r="AO1052" s="10"/>
      <c r="AP1052" s="10"/>
      <c r="AQ1052" s="10"/>
      <c r="AR1052" s="10"/>
      <c r="AS1052" s="10"/>
      <c r="AT1052" s="10"/>
      <c r="AU1052" s="10"/>
      <c r="AV1052" s="10"/>
      <c r="AW1052" s="143"/>
      <c r="AX1052" s="10"/>
      <c r="AY1052" s="10"/>
      <c r="AZ1052" s="10"/>
      <c r="BE1052" s="10"/>
      <c r="BF1052" s="10"/>
      <c r="BG1052" s="10"/>
      <c r="BH1052" s="10"/>
      <c r="BI1052" s="10"/>
      <c r="BJ1052" s="10"/>
      <c r="BK1052" s="10"/>
      <c r="BS1052" s="10"/>
      <c r="BT1052" s="10"/>
      <c r="BW1052" s="10"/>
    </row>
    <row r="1053">
      <c r="A1053" s="10"/>
      <c r="B1053" s="10"/>
      <c r="C1053" s="10"/>
      <c r="D1053" s="10"/>
      <c r="E1053" s="10"/>
      <c r="F1053" s="10"/>
      <c r="G1053" s="10"/>
      <c r="H1053" s="10"/>
      <c r="I1053" s="10"/>
      <c r="J1053" s="10"/>
      <c r="N1053" s="10"/>
      <c r="O1053" s="10"/>
      <c r="P1053" s="10"/>
      <c r="Q1053" s="10"/>
      <c r="R1053" s="10"/>
      <c r="S1053" s="10"/>
      <c r="T1053" s="10"/>
      <c r="U1053" s="10"/>
      <c r="V1053" s="10"/>
      <c r="W1053" s="10"/>
      <c r="X1053" s="10"/>
      <c r="Y1053" s="10"/>
      <c r="Z1053" s="10"/>
      <c r="AA1053" s="10"/>
      <c r="AB1053" s="10"/>
      <c r="AC1053" s="10"/>
      <c r="AD1053" s="10"/>
      <c r="AE1053" s="10"/>
      <c r="AF1053" s="10"/>
      <c r="AG1053" s="10"/>
      <c r="AH1053" s="10"/>
      <c r="AI1053" s="10"/>
      <c r="AJ1053" s="10"/>
      <c r="AK1053" s="10"/>
      <c r="AL1053" s="10"/>
      <c r="AM1053" s="10"/>
      <c r="AN1053" s="10"/>
      <c r="AO1053" s="10"/>
      <c r="AP1053" s="10"/>
      <c r="AQ1053" s="10"/>
      <c r="AR1053" s="10"/>
      <c r="AS1053" s="10"/>
      <c r="AT1053" s="10"/>
      <c r="AU1053" s="10"/>
      <c r="AV1053" s="10"/>
      <c r="AW1053" s="143"/>
      <c r="AX1053" s="10"/>
      <c r="AY1053" s="10"/>
      <c r="AZ1053" s="10"/>
      <c r="BE1053" s="10"/>
      <c r="BF1053" s="10"/>
      <c r="BG1053" s="10"/>
      <c r="BH1053" s="10"/>
      <c r="BI1053" s="10"/>
      <c r="BJ1053" s="10"/>
      <c r="BK1053" s="10"/>
      <c r="BL1053" s="10"/>
      <c r="BO1053" s="10"/>
      <c r="BR1053" s="10"/>
      <c r="BS1053" s="10"/>
      <c r="BT1053" s="10"/>
      <c r="BW1053" s="10"/>
    </row>
    <row r="1054">
      <c r="A1054" s="10"/>
      <c r="B1054" s="10"/>
      <c r="C1054" s="10"/>
      <c r="D1054" s="10"/>
      <c r="E1054" s="10"/>
      <c r="F1054" s="10"/>
      <c r="G1054" s="10"/>
      <c r="H1054" s="10"/>
      <c r="I1054" s="10"/>
      <c r="J1054" s="10"/>
      <c r="N1054" s="10"/>
      <c r="O1054" s="10"/>
      <c r="P1054" s="10"/>
      <c r="Q1054" s="10"/>
      <c r="R1054" s="10"/>
      <c r="S1054" s="10"/>
      <c r="T1054" s="10"/>
      <c r="U1054" s="10"/>
      <c r="V1054" s="10"/>
      <c r="W1054" s="10"/>
      <c r="X1054" s="10"/>
      <c r="Y1054" s="10"/>
      <c r="Z1054" s="10"/>
      <c r="AA1054" s="10"/>
      <c r="AB1054" s="10"/>
      <c r="AC1054" s="10"/>
      <c r="AD1054" s="10"/>
      <c r="AE1054" s="10"/>
      <c r="AF1054" s="10"/>
      <c r="AG1054" s="10"/>
      <c r="AH1054" s="10"/>
      <c r="AI1054" s="10"/>
      <c r="AJ1054" s="10"/>
      <c r="AK1054" s="10"/>
      <c r="AL1054" s="10"/>
      <c r="AM1054" s="10"/>
      <c r="AN1054" s="10"/>
      <c r="AO1054" s="10"/>
      <c r="AP1054" s="10"/>
      <c r="AQ1054" s="10"/>
      <c r="AR1054" s="10"/>
      <c r="AS1054" s="10"/>
      <c r="AT1054" s="10"/>
      <c r="AU1054" s="10"/>
      <c r="AV1054" s="10"/>
      <c r="AW1054" s="143"/>
      <c r="AX1054" s="10"/>
      <c r="AY1054" s="10"/>
      <c r="AZ1054" s="10"/>
      <c r="BE1054" s="10"/>
      <c r="BF1054" s="10"/>
      <c r="BG1054" s="10"/>
      <c r="BH1054" s="10"/>
      <c r="BI1054" s="10"/>
      <c r="BJ1054" s="10"/>
      <c r="BK1054" s="10"/>
      <c r="BL1054" s="10"/>
      <c r="BO1054" s="10"/>
      <c r="BR1054" s="10"/>
      <c r="BS1054" s="10"/>
      <c r="BT1054" s="10"/>
      <c r="BW1054" s="10"/>
    </row>
    <row r="1055">
      <c r="A1055" s="10"/>
      <c r="B1055" s="10"/>
      <c r="C1055" s="10"/>
      <c r="D1055" s="10"/>
      <c r="E1055" s="10"/>
      <c r="F1055" s="10"/>
      <c r="G1055" s="10"/>
      <c r="H1055" s="10"/>
      <c r="I1055" s="10"/>
      <c r="J1055" s="10"/>
      <c r="N1055" s="10"/>
      <c r="O1055" s="10"/>
      <c r="P1055" s="10"/>
      <c r="Q1055" s="10"/>
      <c r="R1055" s="10"/>
      <c r="S1055" s="10"/>
      <c r="T1055" s="10"/>
      <c r="U1055" s="10"/>
      <c r="V1055" s="10"/>
      <c r="W1055" s="10"/>
      <c r="X1055" s="10"/>
      <c r="Y1055" s="10"/>
      <c r="Z1055" s="10"/>
      <c r="AA1055" s="10"/>
      <c r="AB1055" s="10"/>
      <c r="AC1055" s="10"/>
      <c r="AD1055" s="10"/>
      <c r="AE1055" s="10"/>
      <c r="AF1055" s="10"/>
      <c r="AG1055" s="10"/>
      <c r="AH1055" s="10"/>
      <c r="AI1055" s="10"/>
      <c r="AJ1055" s="10"/>
      <c r="AK1055" s="10"/>
      <c r="AL1055" s="10"/>
      <c r="AM1055" s="10"/>
      <c r="AN1055" s="10"/>
      <c r="AO1055" s="10"/>
      <c r="AP1055" s="10"/>
      <c r="AQ1055" s="10"/>
      <c r="AR1055" s="10"/>
      <c r="AS1055" s="10"/>
      <c r="AT1055" s="10"/>
      <c r="AU1055" s="10"/>
      <c r="AV1055" s="10"/>
      <c r="AW1055" s="143"/>
      <c r="AX1055" s="10"/>
      <c r="AY1055" s="10"/>
      <c r="AZ1055" s="10"/>
      <c r="BE1055" s="10"/>
      <c r="BF1055" s="10"/>
      <c r="BG1055" s="10"/>
      <c r="BH1055" s="10"/>
      <c r="BI1055" s="10"/>
      <c r="BJ1055" s="10"/>
      <c r="BK1055" s="10"/>
      <c r="BL1055" s="10"/>
      <c r="BO1055" s="10"/>
      <c r="BR1055" s="10"/>
      <c r="BS1055" s="10"/>
      <c r="BT1055" s="10"/>
      <c r="BW1055" s="10"/>
    </row>
    <row r="1056">
      <c r="A1056" s="10"/>
      <c r="B1056" s="10"/>
      <c r="C1056" s="10"/>
      <c r="D1056" s="10"/>
      <c r="E1056" s="10"/>
      <c r="F1056" s="10"/>
      <c r="G1056" s="10"/>
      <c r="H1056" s="10"/>
      <c r="I1056" s="10"/>
      <c r="J1056" s="10"/>
      <c r="N1056" s="10"/>
      <c r="O1056" s="10"/>
      <c r="P1056" s="10"/>
      <c r="Q1056" s="10"/>
      <c r="R1056" s="10"/>
      <c r="S1056" s="10"/>
      <c r="T1056" s="10"/>
      <c r="U1056" s="10"/>
      <c r="V1056" s="10"/>
      <c r="W1056" s="10"/>
      <c r="X1056" s="10"/>
      <c r="Y1056" s="10"/>
      <c r="Z1056" s="10"/>
      <c r="AA1056" s="10"/>
      <c r="AB1056" s="10"/>
      <c r="AC1056" s="10"/>
      <c r="AD1056" s="10"/>
      <c r="AE1056" s="10"/>
      <c r="AF1056" s="10"/>
      <c r="AG1056" s="10"/>
      <c r="AH1056" s="10"/>
      <c r="AI1056" s="10"/>
      <c r="AJ1056" s="10"/>
      <c r="AK1056" s="10"/>
      <c r="AL1056" s="10"/>
      <c r="AM1056" s="10"/>
      <c r="AN1056" s="10"/>
      <c r="AO1056" s="10"/>
      <c r="AP1056" s="10"/>
      <c r="AQ1056" s="10"/>
      <c r="AR1056" s="10"/>
      <c r="AS1056" s="10"/>
      <c r="AT1056" s="10"/>
      <c r="AU1056" s="10"/>
      <c r="AV1056" s="10"/>
      <c r="AW1056" s="143"/>
      <c r="AX1056" s="10"/>
      <c r="AY1056" s="10"/>
      <c r="AZ1056" s="10"/>
      <c r="BE1056" s="10"/>
      <c r="BF1056" s="10"/>
      <c r="BG1056" s="10"/>
      <c r="BH1056" s="10"/>
      <c r="BI1056" s="10"/>
      <c r="BJ1056" s="10"/>
      <c r="BK1056" s="10"/>
      <c r="BL1056" s="10"/>
      <c r="BO1056" s="10"/>
      <c r="BR1056" s="10"/>
      <c r="BS1056" s="10"/>
      <c r="BT1056" s="10"/>
      <c r="BW1056" s="10"/>
    </row>
    <row r="1057">
      <c r="A1057" s="10"/>
      <c r="B1057" s="10"/>
      <c r="C1057" s="10"/>
      <c r="D1057" s="10"/>
      <c r="E1057" s="10"/>
      <c r="F1057" s="10"/>
      <c r="G1057" s="10"/>
      <c r="H1057" s="10"/>
      <c r="I1057" s="10"/>
      <c r="J1057" s="10"/>
      <c r="N1057" s="10"/>
      <c r="O1057" s="10"/>
      <c r="P1057" s="10"/>
      <c r="Q1057" s="10"/>
      <c r="R1057" s="10"/>
      <c r="S1057" s="10"/>
      <c r="T1057" s="10"/>
      <c r="U1057" s="10"/>
      <c r="V1057" s="10"/>
      <c r="W1057" s="10"/>
      <c r="X1057" s="10"/>
      <c r="Y1057" s="10"/>
      <c r="Z1057" s="10"/>
      <c r="AA1057" s="10"/>
      <c r="AB1057" s="10"/>
      <c r="AC1057" s="10"/>
      <c r="AD1057" s="10"/>
      <c r="AE1057" s="10"/>
      <c r="AF1057" s="10"/>
      <c r="AG1057" s="10"/>
      <c r="AH1057" s="10"/>
      <c r="AI1057" s="10"/>
      <c r="AJ1057" s="10"/>
      <c r="AK1057" s="10"/>
      <c r="AL1057" s="10"/>
      <c r="AM1057" s="10"/>
      <c r="AN1057" s="10"/>
      <c r="AO1057" s="10"/>
      <c r="AP1057" s="10"/>
      <c r="AQ1057" s="10"/>
      <c r="AR1057" s="10"/>
      <c r="AS1057" s="10"/>
      <c r="AT1057" s="10"/>
      <c r="AU1057" s="10"/>
      <c r="AV1057" s="10"/>
      <c r="AW1057" s="143"/>
      <c r="AX1057" s="10"/>
      <c r="AY1057" s="10"/>
      <c r="AZ1057" s="10"/>
      <c r="BE1057" s="10"/>
      <c r="BF1057" s="10"/>
      <c r="BG1057" s="10"/>
      <c r="BH1057" s="10"/>
      <c r="BI1057" s="10"/>
      <c r="BJ1057" s="10"/>
      <c r="BK1057" s="10"/>
      <c r="BL1057" s="10"/>
      <c r="BO1057" s="10"/>
      <c r="BR1057" s="10"/>
      <c r="BS1057" s="10"/>
      <c r="BT1057" s="10"/>
      <c r="BW1057" s="10"/>
    </row>
    <row r="1058">
      <c r="A1058" s="10"/>
      <c r="B1058" s="10"/>
      <c r="C1058" s="10"/>
      <c r="D1058" s="10"/>
      <c r="E1058" s="10"/>
      <c r="F1058" s="10"/>
      <c r="G1058" s="10"/>
      <c r="H1058" s="10"/>
      <c r="I1058" s="10"/>
      <c r="J1058" s="10"/>
      <c r="N1058" s="10"/>
      <c r="O1058" s="10"/>
      <c r="P1058" s="10"/>
      <c r="Q1058" s="10"/>
      <c r="R1058" s="10"/>
      <c r="S1058" s="10"/>
      <c r="T1058" s="10"/>
      <c r="U1058" s="10"/>
      <c r="V1058" s="10"/>
      <c r="W1058" s="10"/>
      <c r="X1058" s="10"/>
      <c r="Y1058" s="10"/>
      <c r="Z1058" s="10"/>
      <c r="AA1058" s="10"/>
      <c r="AB1058" s="10"/>
      <c r="AC1058" s="10"/>
      <c r="AD1058" s="10"/>
      <c r="AE1058" s="10"/>
      <c r="AF1058" s="10"/>
      <c r="AG1058" s="10"/>
      <c r="AH1058" s="10"/>
      <c r="AI1058" s="10"/>
      <c r="AJ1058" s="10"/>
      <c r="AK1058" s="10"/>
      <c r="AL1058" s="10"/>
      <c r="AM1058" s="10"/>
      <c r="AN1058" s="10"/>
      <c r="AO1058" s="10"/>
      <c r="AP1058" s="10"/>
      <c r="AQ1058" s="10"/>
      <c r="AR1058" s="10"/>
      <c r="AS1058" s="10"/>
      <c r="AT1058" s="10"/>
      <c r="AU1058" s="10"/>
      <c r="AV1058" s="10"/>
      <c r="AW1058" s="143"/>
      <c r="AX1058" s="10"/>
      <c r="AY1058" s="10"/>
      <c r="AZ1058" s="10"/>
      <c r="BE1058" s="10"/>
      <c r="BF1058" s="10"/>
      <c r="BG1058" s="10"/>
      <c r="BH1058" s="10"/>
      <c r="BI1058" s="10"/>
      <c r="BJ1058" s="10"/>
      <c r="BK1058" s="10"/>
      <c r="BL1058" s="10"/>
      <c r="BO1058" s="10"/>
      <c r="BR1058" s="10"/>
      <c r="BS1058" s="10"/>
      <c r="BT1058" s="10"/>
      <c r="BW1058" s="10"/>
    </row>
    <row r="1059">
      <c r="A1059" s="10"/>
      <c r="B1059" s="10"/>
      <c r="C1059" s="10"/>
      <c r="D1059" s="10"/>
      <c r="E1059" s="10"/>
      <c r="F1059" s="10"/>
      <c r="G1059" s="10"/>
      <c r="H1059" s="10"/>
      <c r="I1059" s="10"/>
      <c r="J1059" s="10"/>
      <c r="K1059" s="10"/>
      <c r="L1059" s="10"/>
      <c r="N1059" s="10"/>
      <c r="O1059" s="10"/>
      <c r="P1059" s="10"/>
      <c r="T1059" s="10"/>
      <c r="U1059" s="10"/>
      <c r="V1059" s="10"/>
      <c r="W1059" s="10"/>
      <c r="X1059" s="10"/>
      <c r="Y1059" s="10"/>
      <c r="Z1059" s="10"/>
      <c r="AA1059" s="10"/>
      <c r="AB1059" s="10"/>
      <c r="AC1059" s="10"/>
      <c r="AD1059" s="10"/>
      <c r="AE1059" s="10"/>
      <c r="AF1059" s="10"/>
      <c r="AG1059" s="10"/>
      <c r="AH1059" s="10"/>
      <c r="AI1059" s="10"/>
      <c r="AJ1059" s="10"/>
      <c r="AK1059" s="10"/>
      <c r="AL1059" s="10"/>
      <c r="AM1059" s="10"/>
      <c r="AN1059" s="10"/>
      <c r="AO1059" s="10"/>
      <c r="AP1059" s="10"/>
      <c r="AQ1059" s="10"/>
      <c r="AR1059" s="10"/>
      <c r="AS1059" s="10"/>
      <c r="AT1059" s="10"/>
      <c r="AU1059" s="10"/>
      <c r="AV1059" s="10"/>
      <c r="AW1059" s="143"/>
      <c r="AX1059" s="10"/>
      <c r="AY1059" s="10"/>
      <c r="BL1059" s="10"/>
      <c r="BO1059" s="10"/>
      <c r="BR1059" s="10"/>
      <c r="BS1059" s="10"/>
      <c r="BT1059" s="10"/>
      <c r="BW1059" s="10"/>
    </row>
    <row r="1060">
      <c r="A1060" s="10"/>
      <c r="B1060" s="10"/>
      <c r="C1060" s="10"/>
      <c r="D1060" s="10"/>
      <c r="E1060" s="10"/>
      <c r="F1060" s="10"/>
      <c r="G1060" s="10"/>
      <c r="H1060" s="10"/>
      <c r="I1060" s="10"/>
      <c r="J1060" s="10"/>
      <c r="K1060" s="10"/>
      <c r="L1060" s="10"/>
      <c r="N1060" s="10"/>
      <c r="O1060" s="10"/>
      <c r="P1060" s="10"/>
      <c r="T1060" s="10"/>
      <c r="U1060" s="10"/>
      <c r="V1060" s="10"/>
      <c r="W1060" s="10"/>
      <c r="X1060" s="10"/>
      <c r="Y1060" s="10"/>
      <c r="Z1060" s="10"/>
      <c r="AA1060" s="10"/>
      <c r="AB1060" s="10"/>
      <c r="AC1060" s="10"/>
      <c r="AD1060" s="10"/>
      <c r="AE1060" s="10"/>
      <c r="AF1060" s="10"/>
      <c r="AG1060" s="10"/>
      <c r="AH1060" s="10"/>
      <c r="AI1060" s="10"/>
      <c r="AJ1060" s="10"/>
      <c r="AK1060" s="10"/>
      <c r="AL1060" s="10"/>
      <c r="AM1060" s="10"/>
      <c r="AN1060" s="10"/>
      <c r="AO1060" s="10"/>
      <c r="AP1060" s="10"/>
      <c r="AQ1060" s="10"/>
      <c r="AR1060" s="10"/>
      <c r="AS1060" s="10"/>
      <c r="AT1060" s="10"/>
      <c r="AU1060" s="10"/>
      <c r="AV1060" s="10"/>
      <c r="AW1060" s="143"/>
      <c r="AX1060" s="10"/>
      <c r="AY1060" s="10"/>
      <c r="BL1060" s="10"/>
      <c r="BO1060" s="10"/>
      <c r="BR1060" s="10"/>
      <c r="BS1060" s="10"/>
      <c r="BT1060" s="10"/>
      <c r="BW1060" s="10"/>
    </row>
    <row r="1061">
      <c r="A1061" s="10"/>
      <c r="B1061" s="10"/>
      <c r="C1061" s="10"/>
      <c r="D1061" s="10"/>
      <c r="E1061" s="10"/>
      <c r="F1061" s="10"/>
      <c r="G1061" s="10"/>
      <c r="H1061" s="10"/>
      <c r="I1061" s="10"/>
      <c r="J1061" s="10"/>
      <c r="K1061" s="10"/>
      <c r="L1061" s="10"/>
      <c r="N1061" s="10"/>
      <c r="O1061" s="10"/>
      <c r="P1061" s="10"/>
      <c r="T1061" s="10"/>
      <c r="U1061" s="10"/>
      <c r="V1061" s="10"/>
      <c r="W1061" s="10"/>
      <c r="Y1061" s="10"/>
      <c r="Z1061" s="10"/>
      <c r="AA1061" s="10"/>
      <c r="AB1061" s="10"/>
      <c r="AC1061" s="10"/>
      <c r="AD1061" s="10"/>
      <c r="AE1061" s="10"/>
      <c r="AF1061" s="10"/>
      <c r="AG1061" s="10"/>
      <c r="AH1061" s="10"/>
      <c r="AI1061" s="10"/>
      <c r="AJ1061" s="10"/>
      <c r="AK1061" s="10"/>
      <c r="AL1061" s="10"/>
      <c r="AM1061" s="10"/>
      <c r="AN1061" s="10"/>
      <c r="AO1061" s="10"/>
      <c r="AP1061" s="10"/>
      <c r="AQ1061" s="10"/>
      <c r="AR1061" s="10"/>
      <c r="AS1061" s="10"/>
      <c r="AU1061" s="10"/>
      <c r="AV1061" s="10"/>
      <c r="AW1061" s="143"/>
      <c r="AX1061" s="10"/>
      <c r="AY1061" s="10"/>
      <c r="BS1061" s="10"/>
      <c r="BT1061" s="10"/>
      <c r="BW1061" s="10"/>
    </row>
    <row r="1062">
      <c r="A1062" s="10"/>
      <c r="B1062" s="10"/>
      <c r="C1062" s="10"/>
      <c r="D1062" s="10"/>
      <c r="E1062" s="10"/>
      <c r="F1062" s="10"/>
      <c r="G1062" s="10"/>
      <c r="H1062" s="10"/>
      <c r="I1062" s="10"/>
      <c r="J1062" s="10"/>
      <c r="K1062" s="10"/>
      <c r="L1062" s="10"/>
      <c r="N1062" s="10"/>
      <c r="O1062" s="10"/>
      <c r="P1062" s="10"/>
      <c r="T1062" s="10"/>
      <c r="U1062" s="10"/>
      <c r="V1062" s="10"/>
      <c r="W1062" s="10"/>
      <c r="Y1062" s="10"/>
      <c r="Z1062" s="10"/>
      <c r="AA1062" s="10"/>
      <c r="AB1062" s="10"/>
      <c r="AC1062" s="10"/>
      <c r="AD1062" s="10"/>
      <c r="AE1062" s="10"/>
      <c r="AF1062" s="10"/>
      <c r="AG1062" s="10"/>
      <c r="AH1062" s="10"/>
      <c r="AI1062" s="10"/>
      <c r="AJ1062" s="10"/>
      <c r="AK1062" s="10"/>
      <c r="AL1062" s="10"/>
      <c r="AM1062" s="10"/>
      <c r="AN1062" s="10"/>
      <c r="AO1062" s="10"/>
      <c r="AP1062" s="10"/>
      <c r="AQ1062" s="10"/>
      <c r="AR1062" s="10"/>
      <c r="AS1062" s="10"/>
      <c r="AU1062" s="10"/>
      <c r="AV1062" s="10"/>
      <c r="AW1062" s="143"/>
      <c r="AX1062" s="10"/>
      <c r="AY1062" s="10"/>
      <c r="BE1062" s="10"/>
      <c r="BF1062" s="10"/>
      <c r="BG1062" s="10"/>
      <c r="BH1062" s="10"/>
      <c r="BI1062" s="10"/>
      <c r="BJ1062" s="10"/>
      <c r="BK1062" s="10"/>
      <c r="BS1062" s="10"/>
      <c r="BT1062" s="10"/>
      <c r="BW1062" s="10"/>
    </row>
    <row r="1063">
      <c r="A1063" s="10"/>
      <c r="B1063" s="10"/>
      <c r="C1063" s="10"/>
      <c r="D1063" s="10"/>
      <c r="E1063" s="10"/>
      <c r="F1063" s="10"/>
      <c r="G1063" s="10"/>
      <c r="H1063" s="10"/>
      <c r="I1063" s="10"/>
      <c r="J1063" s="10"/>
      <c r="K1063" s="10"/>
      <c r="L1063" s="10"/>
      <c r="N1063" s="10"/>
      <c r="O1063" s="10"/>
      <c r="P1063" s="10"/>
      <c r="T1063" s="10"/>
      <c r="U1063" s="10"/>
      <c r="V1063" s="10"/>
      <c r="W1063" s="10"/>
      <c r="Y1063" s="10"/>
      <c r="Z1063" s="10"/>
      <c r="AA1063" s="10"/>
      <c r="AB1063" s="10"/>
      <c r="AC1063" s="10"/>
      <c r="AD1063" s="10"/>
      <c r="AE1063" s="10"/>
      <c r="AF1063" s="10"/>
      <c r="AG1063" s="10"/>
      <c r="AH1063" s="10"/>
      <c r="AI1063" s="10"/>
      <c r="AJ1063" s="10"/>
      <c r="AK1063" s="10"/>
      <c r="AL1063" s="10"/>
      <c r="AM1063" s="10"/>
      <c r="AN1063" s="10"/>
      <c r="AO1063" s="10"/>
      <c r="AP1063" s="10"/>
      <c r="AQ1063" s="10"/>
      <c r="AR1063" s="10"/>
      <c r="AS1063" s="10"/>
      <c r="AU1063" s="10"/>
      <c r="AV1063" s="10"/>
      <c r="AW1063" s="143"/>
      <c r="AX1063" s="10"/>
      <c r="AY1063" s="10"/>
      <c r="BE1063" s="10"/>
      <c r="BF1063" s="10"/>
      <c r="BG1063" s="10"/>
      <c r="BH1063" s="10"/>
      <c r="BI1063" s="10"/>
      <c r="BJ1063" s="10"/>
      <c r="BK1063" s="10"/>
      <c r="BS1063" s="10"/>
      <c r="BT1063" s="10"/>
      <c r="BW1063" s="10"/>
    </row>
    <row r="1064">
      <c r="A1064" s="10"/>
      <c r="B1064" s="10"/>
      <c r="C1064" s="10"/>
      <c r="D1064" s="10"/>
      <c r="E1064" s="10"/>
      <c r="F1064" s="10"/>
      <c r="G1064" s="10"/>
      <c r="H1064" s="10"/>
      <c r="I1064" s="10"/>
      <c r="J1064" s="10"/>
      <c r="K1064" s="10"/>
      <c r="L1064" s="10"/>
      <c r="N1064" s="10"/>
      <c r="O1064" s="10"/>
      <c r="P1064" s="10"/>
      <c r="T1064" s="10"/>
      <c r="U1064" s="10"/>
      <c r="V1064" s="10"/>
      <c r="W1064" s="10"/>
      <c r="Y1064" s="10"/>
      <c r="Z1064" s="10"/>
      <c r="AA1064" s="10"/>
      <c r="AB1064" s="10"/>
      <c r="AC1064" s="10"/>
      <c r="AD1064" s="10"/>
      <c r="AE1064" s="10"/>
      <c r="AF1064" s="10"/>
      <c r="AG1064" s="10"/>
      <c r="AH1064" s="10"/>
      <c r="AI1064" s="10"/>
      <c r="AJ1064" s="10"/>
      <c r="AK1064" s="10"/>
      <c r="AL1064" s="10"/>
      <c r="AM1064" s="10"/>
      <c r="AN1064" s="10"/>
      <c r="AO1064" s="10"/>
      <c r="AP1064" s="10"/>
      <c r="AQ1064" s="10"/>
      <c r="AR1064" s="10"/>
      <c r="AS1064" s="10"/>
      <c r="AU1064" s="10"/>
      <c r="AV1064" s="10"/>
      <c r="AW1064" s="143"/>
      <c r="AX1064" s="10"/>
      <c r="AY1064" s="10"/>
      <c r="BE1064" s="10"/>
      <c r="BF1064" s="10"/>
      <c r="BG1064" s="10"/>
      <c r="BH1064" s="10"/>
      <c r="BI1064" s="10"/>
      <c r="BJ1064" s="10"/>
      <c r="BK1064" s="10"/>
      <c r="BS1064" s="10"/>
      <c r="BT1064" s="10"/>
      <c r="BW1064" s="10"/>
    </row>
    <row r="1065">
      <c r="A1065" s="10"/>
      <c r="B1065" s="10"/>
      <c r="C1065" s="10"/>
      <c r="D1065" s="10"/>
      <c r="E1065" s="10"/>
      <c r="F1065" s="10"/>
      <c r="G1065" s="10"/>
      <c r="H1065" s="10"/>
      <c r="I1065" s="10"/>
      <c r="J1065" s="10"/>
      <c r="K1065" s="10"/>
      <c r="L1065" s="10"/>
      <c r="N1065" s="10"/>
      <c r="O1065" s="10"/>
      <c r="P1065" s="10"/>
      <c r="T1065" s="10"/>
      <c r="U1065" s="10"/>
      <c r="V1065" s="10"/>
      <c r="W1065" s="10"/>
      <c r="Y1065" s="10"/>
      <c r="Z1065" s="10"/>
      <c r="AA1065" s="10"/>
      <c r="AB1065" s="10"/>
      <c r="AC1065" s="10"/>
      <c r="AD1065" s="10"/>
      <c r="AE1065" s="10"/>
      <c r="AF1065" s="10"/>
      <c r="AG1065" s="10"/>
      <c r="AH1065" s="10"/>
      <c r="AI1065" s="10"/>
      <c r="AJ1065" s="10"/>
      <c r="AK1065" s="10"/>
      <c r="AL1065" s="10"/>
      <c r="AM1065" s="10"/>
      <c r="AN1065" s="10"/>
      <c r="AO1065" s="10"/>
      <c r="AP1065" s="10"/>
      <c r="AQ1065" s="10"/>
      <c r="AR1065" s="10"/>
      <c r="AS1065" s="10"/>
      <c r="AU1065" s="10"/>
      <c r="AV1065" s="10"/>
      <c r="AW1065" s="143"/>
      <c r="AX1065" s="10"/>
      <c r="AY1065" s="10"/>
      <c r="BE1065" s="10"/>
      <c r="BF1065" s="10"/>
      <c r="BG1065" s="10"/>
      <c r="BH1065" s="10"/>
      <c r="BI1065" s="10"/>
      <c r="BJ1065" s="10"/>
      <c r="BK1065" s="10"/>
      <c r="BS1065" s="10"/>
      <c r="BT1065" s="10"/>
      <c r="BW1065" s="10"/>
    </row>
    <row r="1066">
      <c r="A1066" s="10"/>
      <c r="B1066" s="10"/>
      <c r="C1066" s="10"/>
      <c r="D1066" s="10"/>
      <c r="E1066" s="10"/>
      <c r="F1066" s="10"/>
      <c r="G1066" s="10"/>
      <c r="H1066" s="10"/>
      <c r="I1066" s="10"/>
      <c r="J1066" s="10"/>
      <c r="K1066" s="10"/>
      <c r="L1066" s="10"/>
      <c r="N1066" s="10"/>
      <c r="O1066" s="10"/>
      <c r="P1066" s="10"/>
      <c r="T1066" s="10"/>
      <c r="U1066" s="10"/>
      <c r="V1066" s="10"/>
      <c r="W1066" s="10"/>
      <c r="Y1066" s="10"/>
      <c r="Z1066" s="10"/>
      <c r="AA1066" s="10"/>
      <c r="AB1066" s="10"/>
      <c r="AC1066" s="10"/>
      <c r="AD1066" s="10"/>
      <c r="AE1066" s="10"/>
      <c r="AF1066" s="10"/>
      <c r="AG1066" s="10"/>
      <c r="AH1066" s="10"/>
      <c r="AI1066" s="10"/>
      <c r="AJ1066" s="10"/>
      <c r="AK1066" s="10"/>
      <c r="AL1066" s="10"/>
      <c r="AM1066" s="10"/>
      <c r="AN1066" s="10"/>
      <c r="AO1066" s="10"/>
      <c r="AP1066" s="10"/>
      <c r="AQ1066" s="10"/>
      <c r="AR1066" s="10"/>
      <c r="AS1066" s="10"/>
      <c r="AU1066" s="10"/>
      <c r="AV1066" s="10"/>
      <c r="AW1066" s="143"/>
      <c r="AX1066" s="10"/>
      <c r="AY1066" s="10"/>
      <c r="BE1066" s="10"/>
      <c r="BF1066" s="10"/>
      <c r="BG1066" s="10"/>
      <c r="BH1066" s="10"/>
      <c r="BI1066" s="10"/>
      <c r="BJ1066" s="10"/>
      <c r="BK1066" s="10"/>
      <c r="BS1066" s="10"/>
      <c r="BT1066" s="10"/>
      <c r="BW1066" s="10"/>
    </row>
    <row r="1067">
      <c r="A1067" s="10"/>
      <c r="B1067" s="10"/>
      <c r="C1067" s="10"/>
      <c r="D1067" s="10"/>
      <c r="E1067" s="10"/>
      <c r="F1067" s="10"/>
      <c r="G1067" s="10"/>
      <c r="H1067" s="10"/>
      <c r="I1067" s="10"/>
      <c r="J1067" s="10"/>
      <c r="K1067" s="10"/>
      <c r="L1067" s="10"/>
      <c r="N1067" s="10"/>
      <c r="O1067" s="10"/>
      <c r="P1067" s="10"/>
      <c r="T1067" s="10"/>
      <c r="U1067" s="10"/>
      <c r="V1067" s="10"/>
      <c r="W1067" s="10"/>
      <c r="Y1067" s="10"/>
      <c r="Z1067" s="10"/>
      <c r="AA1067" s="10"/>
      <c r="AB1067" s="10"/>
      <c r="AC1067" s="10"/>
      <c r="AD1067" s="10"/>
      <c r="AE1067" s="10"/>
      <c r="AF1067" s="10"/>
      <c r="AG1067" s="10"/>
      <c r="AH1067" s="10"/>
      <c r="AI1067" s="10"/>
      <c r="AJ1067" s="10"/>
      <c r="AK1067" s="10"/>
      <c r="AL1067" s="10"/>
      <c r="AM1067" s="10"/>
      <c r="AN1067" s="10"/>
      <c r="AO1067" s="10"/>
      <c r="AP1067" s="10"/>
      <c r="AQ1067" s="10"/>
      <c r="AR1067" s="10"/>
      <c r="AS1067" s="10"/>
      <c r="AU1067" s="10"/>
      <c r="AV1067" s="10"/>
      <c r="AW1067" s="143"/>
      <c r="AX1067" s="10"/>
      <c r="AY1067" s="10"/>
      <c r="BE1067" s="10"/>
      <c r="BF1067" s="10"/>
      <c r="BG1067" s="10"/>
      <c r="BH1067" s="10"/>
      <c r="BI1067" s="10"/>
      <c r="BJ1067" s="10"/>
      <c r="BK1067" s="10"/>
      <c r="BS1067" s="10"/>
      <c r="BT1067" s="10"/>
      <c r="BW1067" s="10"/>
    </row>
    <row r="1068">
      <c r="A1068" s="10"/>
      <c r="B1068" s="10"/>
      <c r="C1068" s="10"/>
      <c r="D1068" s="10"/>
      <c r="E1068" s="10"/>
      <c r="F1068" s="10"/>
      <c r="G1068" s="10"/>
      <c r="H1068" s="10"/>
      <c r="I1068" s="10"/>
      <c r="J1068" s="10"/>
      <c r="K1068" s="10"/>
      <c r="L1068" s="10"/>
      <c r="N1068" s="10"/>
      <c r="O1068" s="10"/>
      <c r="P1068" s="10"/>
      <c r="T1068" s="10"/>
      <c r="U1068" s="10"/>
      <c r="V1068" s="10"/>
      <c r="W1068" s="10"/>
      <c r="Y1068" s="10"/>
      <c r="Z1068" s="10"/>
      <c r="AA1068" s="10"/>
      <c r="AB1068" s="10"/>
      <c r="AC1068" s="10"/>
      <c r="AD1068" s="10"/>
      <c r="AE1068" s="10"/>
      <c r="AF1068" s="10"/>
      <c r="AG1068" s="10"/>
      <c r="AH1068" s="10"/>
      <c r="AI1068" s="10"/>
      <c r="AJ1068" s="10"/>
      <c r="AK1068" s="10"/>
      <c r="AL1068" s="10"/>
      <c r="AM1068" s="10"/>
      <c r="AN1068" s="10"/>
      <c r="AO1068" s="10"/>
      <c r="AP1068" s="10"/>
      <c r="AQ1068" s="10"/>
      <c r="AR1068" s="10"/>
      <c r="AS1068" s="10"/>
      <c r="AU1068" s="10"/>
      <c r="AV1068" s="10"/>
      <c r="AW1068" s="143"/>
      <c r="AX1068" s="10"/>
      <c r="AY1068" s="10"/>
      <c r="BS1068" s="10"/>
      <c r="BT1068" s="10"/>
      <c r="BW1068" s="10"/>
    </row>
    <row r="1069">
      <c r="A1069" s="10"/>
      <c r="B1069" s="10"/>
      <c r="C1069" s="10"/>
      <c r="D1069" s="10"/>
      <c r="E1069" s="10"/>
      <c r="F1069" s="10"/>
      <c r="G1069" s="10"/>
      <c r="H1069" s="10"/>
      <c r="I1069" s="10"/>
      <c r="J1069" s="10"/>
      <c r="K1069" s="10"/>
      <c r="L1069" s="10"/>
      <c r="N1069" s="10"/>
      <c r="O1069" s="10"/>
      <c r="P1069" s="10"/>
      <c r="T1069" s="10"/>
      <c r="U1069" s="10"/>
      <c r="V1069" s="10"/>
      <c r="W1069" s="10"/>
      <c r="Y1069" s="10"/>
      <c r="Z1069" s="10"/>
      <c r="AA1069" s="10"/>
      <c r="AB1069" s="10"/>
      <c r="AC1069" s="10"/>
      <c r="AD1069" s="10"/>
      <c r="AE1069" s="10"/>
      <c r="AF1069" s="10"/>
      <c r="AG1069" s="10"/>
      <c r="AH1069" s="10"/>
      <c r="AI1069" s="10"/>
      <c r="AJ1069" s="10"/>
      <c r="AK1069" s="10"/>
      <c r="AL1069" s="10"/>
      <c r="AM1069" s="10"/>
      <c r="AN1069" s="10"/>
      <c r="AO1069" s="10"/>
      <c r="AP1069" s="10"/>
      <c r="AQ1069" s="10"/>
      <c r="AR1069" s="10"/>
      <c r="AS1069" s="10"/>
      <c r="AU1069" s="10"/>
      <c r="AV1069" s="10"/>
      <c r="AW1069" s="143"/>
      <c r="AX1069" s="10"/>
      <c r="AY1069" s="10"/>
      <c r="BS1069" s="10"/>
      <c r="BT1069" s="10"/>
      <c r="BW1069" s="10"/>
    </row>
    <row r="1070">
      <c r="A1070" s="10"/>
      <c r="B1070" s="10"/>
      <c r="C1070" s="10"/>
      <c r="D1070" s="10"/>
      <c r="E1070" s="10"/>
      <c r="F1070" s="10"/>
      <c r="G1070" s="10"/>
      <c r="H1070" s="10"/>
      <c r="I1070" s="10"/>
      <c r="J1070" s="10"/>
      <c r="K1070" s="10"/>
      <c r="L1070" s="10"/>
      <c r="N1070" s="10"/>
      <c r="O1070" s="10"/>
      <c r="P1070" s="10"/>
      <c r="T1070" s="10"/>
      <c r="U1070" s="10"/>
      <c r="V1070" s="10"/>
      <c r="W1070" s="10"/>
      <c r="X1070" s="10"/>
      <c r="Y1070" s="10"/>
      <c r="Z1070" s="10"/>
      <c r="AA1070" s="10"/>
      <c r="AB1070" s="10"/>
      <c r="AC1070" s="10"/>
      <c r="AD1070" s="10"/>
      <c r="AE1070" s="10"/>
      <c r="AF1070" s="10"/>
      <c r="AG1070" s="10"/>
      <c r="AH1070" s="10"/>
      <c r="AI1070" s="10"/>
      <c r="AJ1070" s="10"/>
      <c r="AK1070" s="10"/>
      <c r="AL1070" s="10"/>
      <c r="AM1070" s="10"/>
      <c r="AN1070" s="10"/>
      <c r="AO1070" s="10"/>
      <c r="AP1070" s="10"/>
      <c r="AQ1070" s="10"/>
      <c r="AR1070" s="10"/>
      <c r="AS1070" s="10"/>
      <c r="AT1070" s="10"/>
      <c r="AU1070" s="10"/>
      <c r="AV1070" s="10"/>
      <c r="AW1070" s="143"/>
      <c r="AX1070" s="10"/>
      <c r="AY1070" s="10"/>
      <c r="BS1070" s="10"/>
      <c r="BT1070" s="10"/>
      <c r="BW1070" s="10"/>
    </row>
    <row r="1071">
      <c r="A1071" s="10"/>
      <c r="B1071" s="10"/>
      <c r="C1071" s="10"/>
      <c r="D1071" s="10"/>
      <c r="E1071" s="10"/>
      <c r="F1071" s="10"/>
      <c r="G1071" s="10"/>
      <c r="H1071" s="10"/>
      <c r="I1071" s="10"/>
      <c r="J1071" s="10"/>
      <c r="N1071" s="10"/>
      <c r="O1071" s="10"/>
      <c r="P1071" s="10"/>
      <c r="T1071" s="10"/>
      <c r="U1071" s="10"/>
      <c r="V1071" s="10"/>
      <c r="W1071" s="10"/>
      <c r="X1071" s="10"/>
      <c r="Y1071" s="10"/>
      <c r="Z1071" s="10"/>
      <c r="AA1071" s="10"/>
      <c r="AB1071" s="10"/>
      <c r="AC1071" s="10"/>
      <c r="AD1071" s="10"/>
      <c r="AE1071" s="10"/>
      <c r="AF1071" s="10"/>
      <c r="AG1071" s="10"/>
      <c r="AH1071" s="10"/>
      <c r="AI1071" s="10"/>
      <c r="AJ1071" s="10"/>
      <c r="AK1071" s="10"/>
      <c r="AL1071" s="10"/>
      <c r="AM1071" s="10"/>
      <c r="AN1071" s="10"/>
      <c r="AO1071" s="10"/>
      <c r="AP1071" s="10"/>
      <c r="AQ1071" s="10"/>
      <c r="AR1071" s="10"/>
      <c r="AS1071" s="10"/>
      <c r="AT1071" s="10"/>
      <c r="AU1071" s="10"/>
      <c r="AV1071" s="10"/>
      <c r="AW1071" s="143"/>
      <c r="AX1071" s="10"/>
      <c r="AY1071" s="10"/>
      <c r="AZ1071" s="10"/>
      <c r="BE1071" s="10"/>
      <c r="BF1071" s="10"/>
      <c r="BG1071" s="10"/>
      <c r="BH1071" s="10"/>
      <c r="BI1071" s="10"/>
      <c r="BJ1071" s="10"/>
      <c r="BK1071" s="10"/>
      <c r="BL1071" s="10"/>
      <c r="BM1071" s="10"/>
      <c r="BN1071" s="10"/>
      <c r="BO1071" s="10"/>
      <c r="BP1071" s="10"/>
      <c r="BQ1071" s="10"/>
      <c r="BR1071" s="10"/>
      <c r="BS1071" s="10"/>
      <c r="BT1071" s="10"/>
      <c r="BW1071" s="10"/>
    </row>
    <row r="1072">
      <c r="A1072" s="10"/>
      <c r="B1072" s="10"/>
      <c r="C1072" s="10"/>
      <c r="D1072" s="10"/>
      <c r="E1072" s="10"/>
      <c r="F1072" s="10"/>
      <c r="G1072" s="10"/>
      <c r="H1072" s="10"/>
      <c r="I1072" s="10"/>
      <c r="J1072" s="10"/>
      <c r="K1072" s="10"/>
      <c r="L1072" s="10"/>
      <c r="N1072" s="10"/>
      <c r="O1072" s="10"/>
      <c r="Q1072" s="10"/>
      <c r="R1072" s="10"/>
      <c r="T1072" s="10"/>
      <c r="U1072" s="10"/>
      <c r="V1072" s="10"/>
      <c r="W1072" s="10"/>
      <c r="X1072" s="10"/>
      <c r="Y1072" s="10"/>
      <c r="Z1072" s="10"/>
      <c r="AA1072" s="10"/>
      <c r="AB1072" s="10"/>
      <c r="AC1072" s="10"/>
      <c r="AD1072" s="10"/>
      <c r="AE1072" s="10"/>
      <c r="AF1072" s="10"/>
      <c r="AG1072" s="10"/>
      <c r="AH1072" s="10"/>
      <c r="AI1072" s="10"/>
      <c r="AJ1072" s="10"/>
      <c r="AK1072" s="10"/>
      <c r="AL1072" s="10"/>
      <c r="AM1072" s="10"/>
      <c r="AN1072" s="10"/>
      <c r="AO1072" s="10"/>
      <c r="AP1072" s="10"/>
      <c r="AQ1072" s="10"/>
      <c r="AR1072" s="10"/>
      <c r="AS1072" s="10"/>
      <c r="AT1072" s="10"/>
      <c r="AU1072" s="10"/>
      <c r="AV1072" s="10"/>
      <c r="AW1072" s="143"/>
      <c r="AX1072" s="10"/>
      <c r="AY1072" s="10"/>
      <c r="AZ1072" s="10"/>
      <c r="BE1072" s="10"/>
      <c r="BF1072" s="10"/>
      <c r="BG1072" s="10"/>
      <c r="BH1072" s="10"/>
      <c r="BI1072" s="10"/>
      <c r="BJ1072" s="10"/>
      <c r="BK1072" s="10"/>
      <c r="BL1072" s="10"/>
      <c r="BM1072" s="10"/>
      <c r="BN1072" s="10"/>
      <c r="BO1072" s="10"/>
      <c r="BP1072" s="10"/>
      <c r="BQ1072" s="10"/>
      <c r="BR1072" s="10"/>
      <c r="BS1072" s="10"/>
      <c r="BT1072" s="10"/>
      <c r="BW1072" s="10"/>
    </row>
    <row r="1073">
      <c r="A1073" s="10"/>
      <c r="B1073" s="10"/>
      <c r="C1073" s="10"/>
      <c r="D1073" s="10"/>
      <c r="E1073" s="10"/>
      <c r="F1073" s="10"/>
      <c r="G1073" s="10"/>
      <c r="H1073" s="10"/>
      <c r="I1073" s="10"/>
      <c r="J1073" s="10"/>
      <c r="K1073" s="10"/>
      <c r="L1073" s="10"/>
      <c r="N1073" s="10"/>
      <c r="O1073" s="10"/>
      <c r="T1073" s="10"/>
      <c r="U1073" s="10"/>
      <c r="V1073" s="10"/>
      <c r="W1073" s="10"/>
      <c r="X1073" s="10"/>
      <c r="Y1073" s="10"/>
      <c r="Z1073" s="10"/>
      <c r="AA1073" s="10"/>
      <c r="AB1073" s="10"/>
      <c r="AC1073" s="10"/>
      <c r="AD1073" s="10"/>
      <c r="AE1073" s="10"/>
      <c r="AF1073" s="10"/>
      <c r="AG1073" s="10"/>
      <c r="AH1073" s="10"/>
      <c r="AI1073" s="10"/>
      <c r="AJ1073" s="10"/>
      <c r="AK1073" s="10"/>
      <c r="AL1073" s="10"/>
      <c r="AM1073" s="10"/>
      <c r="AN1073" s="10"/>
      <c r="AO1073" s="10"/>
      <c r="AP1073" s="10"/>
      <c r="AQ1073" s="10"/>
      <c r="AR1073" s="10"/>
      <c r="AS1073" s="10"/>
      <c r="AT1073" s="10"/>
      <c r="AU1073" s="10"/>
      <c r="AV1073" s="10"/>
      <c r="AW1073" s="143"/>
      <c r="AX1073" s="10"/>
      <c r="AY1073" s="10"/>
      <c r="AZ1073" s="10"/>
      <c r="BE1073" s="10"/>
      <c r="BF1073" s="10"/>
      <c r="BG1073" s="10"/>
      <c r="BH1073" s="10"/>
      <c r="BI1073" s="10"/>
      <c r="BJ1073" s="10"/>
      <c r="BK1073" s="10"/>
      <c r="BL1073" s="10"/>
      <c r="BM1073" s="10"/>
      <c r="BN1073" s="10"/>
      <c r="BO1073" s="10"/>
      <c r="BP1073" s="10"/>
      <c r="BQ1073" s="10"/>
      <c r="BR1073" s="10"/>
      <c r="BS1073" s="10"/>
      <c r="BT1073" s="10"/>
      <c r="BW1073" s="10"/>
    </row>
    <row r="1074">
      <c r="A1074" s="10"/>
      <c r="B1074" s="10"/>
      <c r="C1074" s="10"/>
      <c r="D1074" s="10"/>
      <c r="E1074" s="10"/>
      <c r="F1074" s="10"/>
      <c r="G1074" s="10"/>
      <c r="H1074" s="10"/>
      <c r="I1074" s="10"/>
      <c r="J1074" s="10"/>
      <c r="K1074" s="10"/>
      <c r="L1074" s="10"/>
      <c r="N1074" s="10"/>
      <c r="O1074" s="10"/>
      <c r="P1074" s="10"/>
      <c r="Q1074" s="10"/>
      <c r="R1074" s="10"/>
      <c r="S1074" s="10"/>
      <c r="T1074" s="10"/>
      <c r="U1074" s="10"/>
      <c r="V1074" s="10"/>
      <c r="W1074" s="10"/>
      <c r="X1074" s="10"/>
      <c r="Y1074" s="10"/>
      <c r="Z1074" s="10"/>
      <c r="AA1074" s="10"/>
      <c r="AB1074" s="10"/>
      <c r="AC1074" s="10"/>
      <c r="AD1074" s="10"/>
      <c r="AE1074" s="10"/>
      <c r="AF1074" s="10"/>
      <c r="AG1074" s="10"/>
      <c r="AH1074" s="10"/>
      <c r="AI1074" s="10"/>
      <c r="AJ1074" s="10"/>
      <c r="AK1074" s="10"/>
      <c r="AL1074" s="10"/>
      <c r="AM1074" s="10"/>
      <c r="AN1074" s="10"/>
      <c r="AO1074" s="10"/>
      <c r="AP1074" s="10"/>
      <c r="AQ1074" s="10"/>
      <c r="AR1074" s="10"/>
      <c r="AS1074" s="10"/>
      <c r="AT1074" s="10"/>
      <c r="AU1074" s="10"/>
      <c r="AV1074" s="10"/>
      <c r="AW1074" s="143"/>
      <c r="AX1074" s="10"/>
      <c r="AY1074" s="10"/>
      <c r="BE1074" s="10"/>
      <c r="BF1074" s="10"/>
      <c r="BG1074" s="10"/>
      <c r="BH1074" s="10"/>
      <c r="BI1074" s="10"/>
      <c r="BJ1074" s="10"/>
      <c r="BK1074" s="10"/>
      <c r="BL1074" s="10"/>
      <c r="BM1074" s="10"/>
      <c r="BN1074" s="10"/>
      <c r="BO1074" s="10"/>
      <c r="BP1074" s="10"/>
      <c r="BQ1074" s="10"/>
      <c r="BR1074" s="10"/>
      <c r="BS1074" s="10"/>
      <c r="BT1074" s="10"/>
      <c r="BW1074" s="10"/>
    </row>
    <row r="1075">
      <c r="A1075" s="10"/>
      <c r="B1075" s="10"/>
      <c r="C1075" s="10"/>
      <c r="D1075" s="10"/>
      <c r="E1075" s="10"/>
      <c r="F1075" s="10"/>
      <c r="G1075" s="10"/>
      <c r="H1075" s="10"/>
      <c r="I1075" s="10"/>
      <c r="J1075" s="10"/>
      <c r="K1075" s="10"/>
      <c r="L1075" s="10"/>
      <c r="N1075" s="10"/>
      <c r="O1075" s="10"/>
      <c r="T1075" s="10"/>
      <c r="U1075" s="10"/>
      <c r="V1075" s="10"/>
      <c r="W1075" s="10"/>
      <c r="X1075" s="10"/>
      <c r="Y1075" s="10"/>
      <c r="Z1075" s="10"/>
      <c r="AA1075" s="10"/>
      <c r="AB1075" s="10"/>
      <c r="AC1075" s="10"/>
      <c r="AD1075" s="10"/>
      <c r="AE1075" s="10"/>
      <c r="AF1075" s="10"/>
      <c r="AG1075" s="10"/>
      <c r="AH1075" s="10"/>
      <c r="AI1075" s="10"/>
      <c r="AJ1075" s="10"/>
      <c r="AK1075" s="10"/>
      <c r="AL1075" s="10"/>
      <c r="AM1075" s="10"/>
      <c r="AN1075" s="10"/>
      <c r="AO1075" s="10"/>
      <c r="AP1075" s="10"/>
      <c r="AQ1075" s="10"/>
      <c r="AR1075" s="10"/>
      <c r="AS1075" s="10"/>
      <c r="AT1075" s="10"/>
      <c r="AU1075" s="10"/>
      <c r="AV1075" s="10"/>
      <c r="AW1075" s="143"/>
      <c r="AX1075" s="10"/>
      <c r="AY1075" s="10"/>
      <c r="AZ1075" s="10"/>
      <c r="BE1075" s="10"/>
      <c r="BF1075" s="10"/>
      <c r="BG1075" s="10"/>
      <c r="BH1075" s="10"/>
      <c r="BI1075" s="10"/>
      <c r="BJ1075" s="10"/>
      <c r="BK1075" s="10"/>
      <c r="BL1075" s="10"/>
      <c r="BS1075" s="10"/>
      <c r="BT1075" s="10"/>
      <c r="BW1075" s="10"/>
    </row>
    <row r="1076">
      <c r="A1076" s="10"/>
      <c r="B1076" s="10"/>
      <c r="C1076" s="10"/>
      <c r="D1076" s="10"/>
      <c r="E1076" s="10"/>
      <c r="F1076" s="10"/>
      <c r="G1076" s="10"/>
      <c r="H1076" s="10"/>
      <c r="I1076" s="10"/>
      <c r="J1076" s="10"/>
      <c r="K1076" s="10"/>
      <c r="L1076" s="10"/>
      <c r="N1076" s="10"/>
      <c r="O1076" s="10"/>
      <c r="T1076" s="10"/>
      <c r="U1076" s="10"/>
      <c r="V1076" s="10"/>
      <c r="W1076" s="10"/>
      <c r="X1076" s="10"/>
      <c r="Y1076" s="10"/>
      <c r="Z1076" s="10"/>
      <c r="AA1076" s="10"/>
      <c r="AB1076" s="10"/>
      <c r="AC1076" s="10"/>
      <c r="AD1076" s="10"/>
      <c r="AE1076" s="10"/>
      <c r="AF1076" s="10"/>
      <c r="AG1076" s="10"/>
      <c r="AH1076" s="10"/>
      <c r="AI1076" s="10"/>
      <c r="AJ1076" s="10"/>
      <c r="AK1076" s="10"/>
      <c r="AL1076" s="10"/>
      <c r="AM1076" s="10"/>
      <c r="AN1076" s="10"/>
      <c r="AO1076" s="10"/>
      <c r="AP1076" s="10"/>
      <c r="AQ1076" s="10"/>
      <c r="AR1076" s="10"/>
      <c r="AS1076" s="10"/>
      <c r="AT1076" s="10"/>
      <c r="AU1076" s="10"/>
      <c r="AV1076" s="10"/>
      <c r="AW1076" s="143"/>
      <c r="AX1076" s="10"/>
      <c r="AY1076" s="10"/>
      <c r="AZ1076" s="10"/>
      <c r="BE1076" s="10"/>
      <c r="BF1076" s="10"/>
      <c r="BG1076" s="10"/>
      <c r="BH1076" s="10"/>
      <c r="BI1076" s="10"/>
      <c r="BJ1076" s="10"/>
      <c r="BK1076" s="10"/>
      <c r="BS1076" s="10"/>
      <c r="BT1076" s="10"/>
      <c r="BW1076" s="10"/>
    </row>
    <row r="1077">
      <c r="A1077" s="10"/>
      <c r="B1077" s="10"/>
      <c r="C1077" s="10"/>
      <c r="D1077" s="10"/>
      <c r="E1077" s="10"/>
      <c r="F1077" s="10"/>
      <c r="G1077" s="10"/>
      <c r="H1077" s="10"/>
      <c r="I1077" s="10"/>
      <c r="J1077" s="10"/>
      <c r="K1077" s="10"/>
      <c r="L1077" s="10"/>
      <c r="N1077" s="10"/>
      <c r="O1077" s="10"/>
      <c r="P1077" s="10"/>
      <c r="T1077" s="10"/>
      <c r="U1077" s="10"/>
      <c r="V1077" s="10"/>
      <c r="W1077" s="10"/>
      <c r="X1077" s="10"/>
      <c r="Y1077" s="10"/>
      <c r="Z1077" s="10"/>
      <c r="AA1077" s="10"/>
      <c r="AB1077" s="10"/>
      <c r="AC1077" s="10"/>
      <c r="AD1077" s="10"/>
      <c r="AE1077" s="10"/>
      <c r="AF1077" s="10"/>
      <c r="AG1077" s="10"/>
      <c r="AH1077" s="10"/>
      <c r="AI1077" s="10"/>
      <c r="AJ1077" s="10"/>
      <c r="AK1077" s="10"/>
      <c r="AL1077" s="10"/>
      <c r="AM1077" s="10"/>
      <c r="AN1077" s="10"/>
      <c r="AO1077" s="10"/>
      <c r="AP1077" s="10"/>
      <c r="AQ1077" s="10"/>
      <c r="AR1077" s="10"/>
      <c r="AS1077" s="10"/>
      <c r="AT1077" s="10"/>
      <c r="AU1077" s="10"/>
      <c r="AV1077" s="10"/>
      <c r="AW1077" s="143"/>
      <c r="AX1077" s="10"/>
      <c r="AY1077" s="10"/>
      <c r="BE1077" s="10"/>
      <c r="BF1077" s="10"/>
      <c r="BG1077" s="10"/>
      <c r="BH1077" s="10"/>
      <c r="BI1077" s="10"/>
      <c r="BJ1077" s="10"/>
      <c r="BK1077" s="10"/>
      <c r="BS1077" s="10"/>
      <c r="BT1077" s="10"/>
      <c r="BW1077" s="10"/>
    </row>
    <row r="1078">
      <c r="A1078" s="10"/>
      <c r="B1078" s="10"/>
      <c r="C1078" s="10"/>
      <c r="D1078" s="10"/>
      <c r="E1078" s="10"/>
      <c r="F1078" s="10"/>
      <c r="G1078" s="10"/>
      <c r="H1078" s="10"/>
      <c r="I1078" s="10"/>
      <c r="J1078" s="10"/>
      <c r="K1078" s="10"/>
      <c r="L1078" s="10"/>
      <c r="N1078" s="10"/>
      <c r="O1078" s="10"/>
      <c r="Q1078" s="10"/>
      <c r="R1078" s="10"/>
      <c r="S1078" s="10"/>
      <c r="T1078" s="10"/>
      <c r="U1078" s="10"/>
      <c r="V1078" s="10"/>
      <c r="W1078" s="10"/>
      <c r="X1078" s="10"/>
      <c r="Y1078" s="10"/>
      <c r="Z1078" s="10"/>
      <c r="AA1078" s="10"/>
      <c r="AB1078" s="10"/>
      <c r="AC1078" s="10"/>
      <c r="AD1078" s="10"/>
      <c r="AE1078" s="10"/>
      <c r="AF1078" s="10"/>
      <c r="AG1078" s="10"/>
      <c r="AH1078" s="10"/>
      <c r="AI1078" s="10"/>
      <c r="AJ1078" s="10"/>
      <c r="AK1078" s="10"/>
      <c r="AL1078" s="10"/>
      <c r="AM1078" s="10"/>
      <c r="AN1078" s="10"/>
      <c r="AO1078" s="10"/>
      <c r="AP1078" s="10"/>
      <c r="AQ1078" s="10"/>
      <c r="AR1078" s="10"/>
      <c r="AS1078" s="10"/>
      <c r="AT1078" s="10"/>
      <c r="AU1078" s="10"/>
      <c r="AV1078" s="10"/>
      <c r="AW1078" s="143"/>
      <c r="AX1078" s="10"/>
      <c r="AY1078" s="10"/>
      <c r="BE1078" s="10"/>
      <c r="BF1078" s="10"/>
      <c r="BG1078" s="10"/>
      <c r="BH1078" s="10"/>
      <c r="BI1078" s="10"/>
      <c r="BJ1078" s="10"/>
      <c r="BK1078" s="10"/>
      <c r="BL1078" s="10"/>
      <c r="BM1078" s="10"/>
      <c r="BN1078" s="10"/>
      <c r="BO1078" s="10"/>
      <c r="BP1078" s="10"/>
      <c r="BQ1078" s="10"/>
      <c r="BR1078" s="10"/>
      <c r="BS1078" s="10"/>
      <c r="BT1078" s="10"/>
      <c r="BW1078" s="10"/>
    </row>
    <row r="1079">
      <c r="A1079" s="10"/>
      <c r="B1079" s="10"/>
      <c r="C1079" s="10"/>
      <c r="D1079" s="10"/>
      <c r="E1079" s="10"/>
      <c r="F1079" s="10"/>
      <c r="G1079" s="10"/>
      <c r="H1079" s="10"/>
      <c r="I1079" s="10"/>
      <c r="J1079" s="10"/>
      <c r="N1079" s="10"/>
      <c r="O1079" s="10"/>
      <c r="T1079" s="10"/>
      <c r="U1079" s="10"/>
      <c r="V1079" s="10"/>
      <c r="W1079" s="10"/>
      <c r="X1079" s="10"/>
      <c r="Y1079" s="10"/>
      <c r="Z1079" s="10"/>
      <c r="AA1079" s="10"/>
      <c r="AB1079" s="10"/>
      <c r="AC1079" s="10"/>
      <c r="AD1079" s="10"/>
      <c r="AE1079" s="10"/>
      <c r="AF1079" s="10"/>
      <c r="AG1079" s="10"/>
      <c r="AH1079" s="10"/>
      <c r="AI1079" s="10"/>
      <c r="AJ1079" s="10"/>
      <c r="AK1079" s="10"/>
      <c r="AL1079" s="10"/>
      <c r="AM1079" s="10"/>
      <c r="AN1079" s="10"/>
      <c r="AO1079" s="10"/>
      <c r="AP1079" s="10"/>
      <c r="AQ1079" s="10"/>
      <c r="AR1079" s="10"/>
      <c r="AS1079" s="10"/>
      <c r="AT1079" s="10"/>
      <c r="AU1079" s="10"/>
      <c r="AV1079" s="10"/>
      <c r="AW1079" s="143"/>
      <c r="AX1079" s="10"/>
      <c r="AY1079" s="10"/>
      <c r="BE1079" s="10"/>
      <c r="BF1079" s="10"/>
      <c r="BG1079" s="10"/>
      <c r="BH1079" s="10"/>
      <c r="BI1079" s="10"/>
      <c r="BJ1079" s="10"/>
      <c r="BK1079" s="10"/>
      <c r="BL1079" s="10"/>
      <c r="BM1079" s="10"/>
      <c r="BN1079" s="10"/>
      <c r="BO1079" s="10"/>
      <c r="BP1079" s="10"/>
      <c r="BQ1079" s="10"/>
      <c r="BR1079" s="10"/>
      <c r="BS1079" s="10"/>
      <c r="BT1079" s="10"/>
      <c r="BW1079" s="10"/>
    </row>
    <row r="1080">
      <c r="A1080" s="10"/>
      <c r="B1080" s="10"/>
      <c r="C1080" s="10"/>
      <c r="D1080" s="10"/>
      <c r="E1080" s="10"/>
      <c r="F1080" s="10"/>
      <c r="G1080" s="10"/>
      <c r="H1080" s="10"/>
      <c r="I1080" s="10"/>
      <c r="J1080" s="10"/>
      <c r="K1080" s="10"/>
      <c r="L1080" s="10"/>
      <c r="N1080" s="10"/>
      <c r="O1080" s="10"/>
      <c r="P1080" s="10"/>
      <c r="Q1080" s="10"/>
      <c r="R1080" s="10"/>
      <c r="S1080" s="10"/>
      <c r="T1080" s="10"/>
      <c r="U1080" s="10"/>
      <c r="V1080" s="10"/>
      <c r="W1080" s="10"/>
      <c r="X1080" s="10"/>
      <c r="Y1080" s="10"/>
      <c r="Z1080" s="10"/>
      <c r="AA1080" s="10"/>
      <c r="AB1080" s="10"/>
      <c r="AC1080" s="10"/>
      <c r="AD1080" s="10"/>
      <c r="AE1080" s="10"/>
      <c r="AF1080" s="10"/>
      <c r="AG1080" s="10"/>
      <c r="AH1080" s="10"/>
      <c r="AI1080" s="10"/>
      <c r="AJ1080" s="10"/>
      <c r="AK1080" s="10"/>
      <c r="AL1080" s="10"/>
      <c r="AM1080" s="10"/>
      <c r="AN1080" s="10"/>
      <c r="AO1080" s="10"/>
      <c r="AP1080" s="10"/>
      <c r="AQ1080" s="10"/>
      <c r="AR1080" s="10"/>
      <c r="AS1080" s="10"/>
      <c r="AT1080" s="10"/>
      <c r="AU1080" s="10"/>
      <c r="AV1080" s="10"/>
      <c r="AW1080" s="143"/>
      <c r="AX1080" s="10"/>
      <c r="AY1080" s="10"/>
      <c r="AZ1080" s="10"/>
      <c r="BE1080" s="10"/>
      <c r="BF1080" s="10"/>
      <c r="BG1080" s="10"/>
      <c r="BH1080" s="10"/>
      <c r="BI1080" s="10"/>
      <c r="BJ1080" s="10"/>
      <c r="BK1080" s="10"/>
      <c r="BL1080" s="10"/>
      <c r="BM1080" s="10"/>
      <c r="BN1080" s="10"/>
      <c r="BO1080" s="10"/>
      <c r="BP1080" s="10"/>
      <c r="BQ1080" s="10"/>
      <c r="BR1080" s="10"/>
      <c r="BS1080" s="10"/>
      <c r="BT1080" s="10"/>
      <c r="BW1080" s="10"/>
    </row>
    <row r="1081">
      <c r="A1081" s="10"/>
      <c r="B1081" s="10"/>
      <c r="C1081" s="10"/>
      <c r="D1081" s="10"/>
      <c r="E1081" s="10"/>
      <c r="F1081" s="10"/>
      <c r="G1081" s="10"/>
      <c r="H1081" s="10"/>
      <c r="I1081" s="10"/>
      <c r="J1081" s="10"/>
      <c r="K1081" s="10"/>
      <c r="L1081" s="10"/>
      <c r="N1081" s="10"/>
      <c r="O1081" s="10"/>
      <c r="P1081" s="10"/>
      <c r="T1081" s="10"/>
      <c r="U1081" s="10"/>
      <c r="V1081" s="10"/>
      <c r="W1081" s="10"/>
      <c r="X1081" s="10"/>
      <c r="Y1081" s="10"/>
      <c r="Z1081" s="10"/>
      <c r="AA1081" s="10"/>
      <c r="AB1081" s="10"/>
      <c r="AC1081" s="10"/>
      <c r="AD1081" s="10"/>
      <c r="AE1081" s="10"/>
      <c r="AF1081" s="10"/>
      <c r="AG1081" s="10"/>
      <c r="AH1081" s="10"/>
      <c r="AI1081" s="10"/>
      <c r="AJ1081" s="10"/>
      <c r="AK1081" s="10"/>
      <c r="AL1081" s="10"/>
      <c r="AM1081" s="10"/>
      <c r="AN1081" s="10"/>
      <c r="AO1081" s="10"/>
      <c r="AP1081" s="10"/>
      <c r="AQ1081" s="10"/>
      <c r="AR1081" s="10"/>
      <c r="AS1081" s="10"/>
      <c r="AT1081" s="10"/>
      <c r="AU1081" s="10"/>
      <c r="AV1081" s="10"/>
      <c r="AW1081" s="143"/>
      <c r="AX1081" s="10"/>
      <c r="AY1081" s="10"/>
      <c r="AZ1081" s="10"/>
      <c r="BE1081" s="10"/>
      <c r="BF1081" s="10"/>
      <c r="BG1081" s="10"/>
      <c r="BH1081" s="10"/>
      <c r="BI1081" s="10"/>
      <c r="BJ1081" s="10"/>
      <c r="BK1081" s="10"/>
      <c r="BS1081" s="10"/>
      <c r="BT1081" s="10"/>
      <c r="BW1081" s="10"/>
    </row>
    <row r="1082">
      <c r="A1082" s="10"/>
      <c r="B1082" s="10"/>
      <c r="C1082" s="10"/>
      <c r="D1082" s="10"/>
      <c r="E1082" s="10"/>
      <c r="F1082" s="10"/>
      <c r="G1082" s="10"/>
      <c r="H1082" s="10"/>
      <c r="I1082" s="10"/>
      <c r="J1082" s="10"/>
      <c r="K1082" s="10"/>
      <c r="L1082" s="10"/>
      <c r="N1082" s="10"/>
      <c r="O1082" s="10"/>
      <c r="P1082" s="10"/>
      <c r="T1082" s="10"/>
      <c r="U1082" s="10"/>
      <c r="V1082" s="10"/>
      <c r="W1082" s="10"/>
      <c r="X1082" s="10"/>
      <c r="Y1082" s="10"/>
      <c r="Z1082" s="10"/>
      <c r="AA1082" s="10"/>
      <c r="AB1082" s="10"/>
      <c r="AC1082" s="10"/>
      <c r="AD1082" s="10"/>
      <c r="AE1082" s="10"/>
      <c r="AF1082" s="10"/>
      <c r="AG1082" s="10"/>
      <c r="AH1082" s="10"/>
      <c r="AI1082" s="10"/>
      <c r="AJ1082" s="10"/>
      <c r="AK1082" s="10"/>
      <c r="AL1082" s="10"/>
      <c r="AM1082" s="10"/>
      <c r="AN1082" s="10"/>
      <c r="AO1082" s="10"/>
      <c r="AP1082" s="10"/>
      <c r="AQ1082" s="10"/>
      <c r="AR1082" s="10"/>
      <c r="AS1082" s="10"/>
      <c r="AT1082" s="10"/>
      <c r="AU1082" s="10"/>
      <c r="AV1082" s="10"/>
      <c r="AW1082" s="143"/>
      <c r="AX1082" s="10"/>
      <c r="AY1082" s="10"/>
      <c r="AZ1082" s="10"/>
      <c r="BE1082" s="10"/>
      <c r="BF1082" s="10"/>
      <c r="BG1082" s="10"/>
      <c r="BH1082" s="10"/>
      <c r="BI1082" s="10"/>
      <c r="BJ1082" s="10"/>
      <c r="BK1082" s="10"/>
      <c r="BS1082" s="10"/>
      <c r="BT1082" s="10"/>
      <c r="BW1082" s="10"/>
    </row>
    <row r="1083">
      <c r="A1083" s="10"/>
      <c r="B1083" s="10"/>
      <c r="C1083" s="10"/>
      <c r="D1083" s="10"/>
      <c r="E1083" s="10"/>
      <c r="F1083" s="10"/>
      <c r="G1083" s="10"/>
      <c r="H1083" s="10"/>
      <c r="I1083" s="10"/>
      <c r="J1083" s="10"/>
      <c r="K1083" s="10"/>
      <c r="L1083" s="10"/>
      <c r="N1083" s="10"/>
      <c r="O1083" s="10"/>
      <c r="P1083" s="10"/>
      <c r="T1083" s="10"/>
      <c r="U1083" s="10"/>
      <c r="V1083" s="10"/>
      <c r="W1083" s="10"/>
      <c r="X1083" s="10"/>
      <c r="Y1083" s="10"/>
      <c r="Z1083" s="10"/>
      <c r="AA1083" s="10"/>
      <c r="AB1083" s="10"/>
      <c r="AC1083" s="10"/>
      <c r="AD1083" s="10"/>
      <c r="AE1083" s="10"/>
      <c r="AF1083" s="10"/>
      <c r="AG1083" s="10"/>
      <c r="AH1083" s="10"/>
      <c r="AI1083" s="10"/>
      <c r="AJ1083" s="10"/>
      <c r="AK1083" s="10"/>
      <c r="AL1083" s="10"/>
      <c r="AM1083" s="10"/>
      <c r="AN1083" s="10"/>
      <c r="AO1083" s="10"/>
      <c r="AP1083" s="10"/>
      <c r="AQ1083" s="10"/>
      <c r="AR1083" s="10"/>
      <c r="AS1083" s="10"/>
      <c r="AT1083" s="10"/>
      <c r="AU1083" s="10"/>
      <c r="AV1083" s="10"/>
      <c r="AW1083" s="143"/>
      <c r="AX1083" s="10"/>
      <c r="AY1083" s="10"/>
      <c r="AZ1083" s="10"/>
      <c r="BE1083" s="10"/>
      <c r="BF1083" s="10"/>
      <c r="BG1083" s="10"/>
      <c r="BH1083" s="10"/>
      <c r="BI1083" s="10"/>
      <c r="BJ1083" s="10"/>
      <c r="BK1083" s="10"/>
      <c r="BS1083" s="10"/>
      <c r="BT1083" s="10"/>
      <c r="BW1083" s="10"/>
    </row>
    <row r="1084">
      <c r="A1084" s="10"/>
      <c r="B1084" s="10"/>
      <c r="C1084" s="10"/>
      <c r="D1084" s="10"/>
      <c r="E1084" s="10"/>
      <c r="F1084" s="10"/>
      <c r="G1084" s="10"/>
      <c r="H1084" s="10"/>
      <c r="I1084" s="10"/>
      <c r="J1084" s="10"/>
      <c r="K1084" s="10"/>
      <c r="L1084" s="10"/>
      <c r="N1084" s="10"/>
      <c r="O1084" s="10"/>
      <c r="P1084" s="10"/>
      <c r="T1084" s="10"/>
      <c r="U1084" s="10"/>
      <c r="V1084" s="10"/>
      <c r="W1084" s="10"/>
      <c r="X1084" s="10"/>
      <c r="Y1084" s="10"/>
      <c r="Z1084" s="10"/>
      <c r="AA1084" s="10"/>
      <c r="AB1084" s="10"/>
      <c r="AC1084" s="10"/>
      <c r="AD1084" s="10"/>
      <c r="AE1084" s="10"/>
      <c r="AF1084" s="10"/>
      <c r="AG1084" s="10"/>
      <c r="AH1084" s="10"/>
      <c r="AI1084" s="10"/>
      <c r="AJ1084" s="10"/>
      <c r="AK1084" s="10"/>
      <c r="AL1084" s="10"/>
      <c r="AM1084" s="10"/>
      <c r="AN1084" s="10"/>
      <c r="AO1084" s="10"/>
      <c r="AP1084" s="10"/>
      <c r="AQ1084" s="10"/>
      <c r="AR1084" s="10"/>
      <c r="AS1084" s="10"/>
      <c r="AT1084" s="10"/>
      <c r="AU1084" s="10"/>
      <c r="AV1084" s="10"/>
      <c r="AW1084" s="143"/>
      <c r="AX1084" s="10"/>
      <c r="AY1084" s="10"/>
      <c r="BE1084" s="10"/>
      <c r="BF1084" s="10"/>
      <c r="BG1084" s="10"/>
      <c r="BH1084" s="10"/>
      <c r="BI1084" s="10"/>
      <c r="BJ1084" s="10"/>
      <c r="BK1084" s="10"/>
      <c r="BS1084" s="10"/>
      <c r="BT1084" s="10"/>
      <c r="BW1084" s="10"/>
    </row>
    <row r="1085">
      <c r="A1085" s="10"/>
      <c r="B1085" s="10"/>
      <c r="C1085" s="10"/>
      <c r="D1085" s="10"/>
      <c r="E1085" s="10"/>
      <c r="F1085" s="10"/>
      <c r="G1085" s="10"/>
      <c r="H1085" s="10"/>
      <c r="I1085" s="10"/>
      <c r="J1085" s="10"/>
      <c r="K1085" s="10"/>
      <c r="L1085" s="10"/>
      <c r="N1085" s="10"/>
      <c r="O1085" s="10"/>
      <c r="Q1085" s="10"/>
      <c r="R1085" s="10"/>
      <c r="S1085" s="10"/>
      <c r="T1085" s="10"/>
      <c r="U1085" s="10"/>
      <c r="V1085" s="10"/>
      <c r="W1085" s="10"/>
      <c r="X1085" s="10"/>
      <c r="Y1085" s="10"/>
      <c r="Z1085" s="10"/>
      <c r="AA1085" s="10"/>
      <c r="AB1085" s="10"/>
      <c r="AC1085" s="10"/>
      <c r="AD1085" s="10"/>
      <c r="AE1085" s="10"/>
      <c r="AF1085" s="10"/>
      <c r="AG1085" s="10"/>
      <c r="AH1085" s="10"/>
      <c r="AI1085" s="10"/>
      <c r="AJ1085" s="10"/>
      <c r="AK1085" s="10"/>
      <c r="AL1085" s="10"/>
      <c r="AM1085" s="10"/>
      <c r="AN1085" s="10"/>
      <c r="AO1085" s="10"/>
      <c r="AP1085" s="10"/>
      <c r="AQ1085" s="10"/>
      <c r="AR1085" s="10"/>
      <c r="AS1085" s="10"/>
      <c r="AT1085" s="10"/>
      <c r="AU1085" s="10"/>
      <c r="AV1085" s="10"/>
      <c r="AW1085" s="143"/>
      <c r="AX1085" s="10"/>
      <c r="AY1085" s="10"/>
      <c r="BD1085" s="10"/>
      <c r="BE1085" s="10"/>
      <c r="BF1085" s="10"/>
      <c r="BG1085" s="10"/>
      <c r="BH1085" s="10"/>
      <c r="BI1085" s="10"/>
      <c r="BJ1085" s="10"/>
      <c r="BK1085" s="10"/>
      <c r="BL1085" s="10"/>
      <c r="BM1085" s="10"/>
      <c r="BN1085" s="10"/>
      <c r="BO1085" s="10"/>
      <c r="BP1085" s="10"/>
      <c r="BQ1085" s="10"/>
      <c r="BR1085" s="10"/>
      <c r="BS1085" s="10"/>
      <c r="BT1085" s="10"/>
      <c r="BW1085" s="10"/>
    </row>
    <row r="1086">
      <c r="A1086" s="10"/>
      <c r="B1086" s="10"/>
      <c r="C1086" s="10"/>
      <c r="D1086" s="10"/>
      <c r="E1086" s="10"/>
      <c r="F1086" s="10"/>
      <c r="G1086" s="10"/>
      <c r="H1086" s="10"/>
      <c r="I1086" s="10"/>
      <c r="J1086" s="10"/>
      <c r="K1086" s="10"/>
      <c r="L1086" s="10"/>
      <c r="N1086" s="10"/>
      <c r="O1086" s="10"/>
      <c r="Q1086" s="10"/>
      <c r="R1086" s="10"/>
      <c r="S1086" s="10"/>
      <c r="T1086" s="10"/>
      <c r="U1086" s="10"/>
      <c r="V1086" s="10"/>
      <c r="W1086" s="10"/>
      <c r="X1086" s="10"/>
      <c r="Y1086" s="10"/>
      <c r="Z1086" s="10"/>
      <c r="AA1086" s="10"/>
      <c r="AB1086" s="10"/>
      <c r="AC1086" s="10"/>
      <c r="AD1086" s="10"/>
      <c r="AE1086" s="10"/>
      <c r="AF1086" s="10"/>
      <c r="AG1086" s="10"/>
      <c r="AH1086" s="10"/>
      <c r="AI1086" s="10"/>
      <c r="AJ1086" s="10"/>
      <c r="AK1086" s="10"/>
      <c r="AL1086" s="10"/>
      <c r="AM1086" s="10"/>
      <c r="AN1086" s="10"/>
      <c r="AO1086" s="10"/>
      <c r="AP1086" s="10"/>
      <c r="AQ1086" s="10"/>
      <c r="AR1086" s="10"/>
      <c r="AS1086" s="10"/>
      <c r="AT1086" s="10"/>
      <c r="AU1086" s="10"/>
      <c r="AV1086" s="10"/>
      <c r="AW1086" s="143"/>
      <c r="AX1086" s="10"/>
      <c r="AY1086" s="10"/>
      <c r="BD1086" s="10"/>
      <c r="BE1086" s="10"/>
      <c r="BF1086" s="10"/>
      <c r="BG1086" s="10"/>
      <c r="BH1086" s="10"/>
      <c r="BI1086" s="10"/>
      <c r="BJ1086" s="10"/>
      <c r="BK1086" s="10"/>
      <c r="BL1086" s="10"/>
      <c r="BM1086" s="10"/>
      <c r="BN1086" s="10"/>
      <c r="BO1086" s="10"/>
      <c r="BP1086" s="10"/>
      <c r="BQ1086" s="10"/>
      <c r="BR1086" s="10"/>
      <c r="BS1086" s="10"/>
      <c r="BT1086" s="10"/>
      <c r="BW1086" s="10"/>
    </row>
    <row r="1087">
      <c r="A1087" s="10"/>
      <c r="B1087" s="10"/>
      <c r="C1087" s="10"/>
      <c r="D1087" s="10"/>
      <c r="E1087" s="10"/>
      <c r="F1087" s="10"/>
      <c r="G1087" s="10"/>
      <c r="H1087" s="10"/>
      <c r="I1087" s="10"/>
      <c r="J1087" s="10"/>
      <c r="N1087" s="10"/>
      <c r="O1087" s="10"/>
      <c r="T1087" s="10"/>
      <c r="U1087" s="10"/>
      <c r="V1087" s="10"/>
      <c r="W1087" s="10"/>
      <c r="X1087" s="10"/>
      <c r="Y1087" s="10"/>
      <c r="Z1087" s="10"/>
      <c r="AA1087" s="10"/>
      <c r="AB1087" s="10"/>
      <c r="AC1087" s="10"/>
      <c r="AD1087" s="10"/>
      <c r="AE1087" s="10"/>
      <c r="AF1087" s="10"/>
      <c r="AG1087" s="10"/>
      <c r="AH1087" s="10"/>
      <c r="AI1087" s="10"/>
      <c r="AJ1087" s="10"/>
      <c r="AK1087" s="10"/>
      <c r="AL1087" s="10"/>
      <c r="AM1087" s="10"/>
      <c r="AN1087" s="10"/>
      <c r="AO1087" s="10"/>
      <c r="AP1087" s="10"/>
      <c r="AQ1087" s="10"/>
      <c r="AR1087" s="10"/>
      <c r="AS1087" s="10"/>
      <c r="AT1087" s="10"/>
      <c r="AU1087" s="10"/>
      <c r="AV1087" s="10"/>
      <c r="AW1087" s="143"/>
      <c r="AX1087" s="10"/>
      <c r="AY1087" s="10"/>
      <c r="AZ1087" s="10"/>
      <c r="BE1087" s="10"/>
      <c r="BF1087" s="10"/>
      <c r="BG1087" s="10"/>
      <c r="BH1087" s="10"/>
      <c r="BI1087" s="10"/>
      <c r="BJ1087" s="10"/>
      <c r="BK1087" s="10"/>
      <c r="BL1087" s="10"/>
      <c r="BM1087" s="10"/>
      <c r="BN1087" s="10"/>
      <c r="BO1087" s="10"/>
      <c r="BP1087" s="10"/>
      <c r="BQ1087" s="10"/>
      <c r="BR1087" s="10"/>
      <c r="BS1087" s="10"/>
      <c r="BT1087" s="10"/>
      <c r="BW1087" s="10"/>
    </row>
    <row r="1088">
      <c r="A1088" s="10"/>
      <c r="B1088" s="10"/>
      <c r="C1088" s="10"/>
      <c r="D1088" s="10"/>
      <c r="E1088" s="10"/>
      <c r="F1088" s="10"/>
      <c r="G1088" s="10"/>
      <c r="H1088" s="10"/>
      <c r="I1088" s="10"/>
      <c r="J1088" s="10"/>
      <c r="K1088" s="10"/>
      <c r="L1088" s="10"/>
      <c r="N1088" s="10"/>
      <c r="O1088" s="10"/>
      <c r="T1088" s="10"/>
      <c r="U1088" s="10"/>
      <c r="V1088" s="10"/>
      <c r="W1088" s="10"/>
      <c r="X1088" s="10"/>
      <c r="Y1088" s="10"/>
      <c r="Z1088" s="10"/>
      <c r="AA1088" s="10"/>
      <c r="AB1088" s="10"/>
      <c r="AC1088" s="10"/>
      <c r="AD1088" s="10"/>
      <c r="AE1088" s="10"/>
      <c r="AF1088" s="10"/>
      <c r="AG1088" s="10"/>
      <c r="AH1088" s="10"/>
      <c r="AI1088" s="10"/>
      <c r="AJ1088" s="10"/>
      <c r="AK1088" s="10"/>
      <c r="AL1088" s="10"/>
      <c r="AM1088" s="10"/>
      <c r="AN1088" s="10"/>
      <c r="AO1088" s="10"/>
      <c r="AP1088" s="10"/>
      <c r="AQ1088" s="10"/>
      <c r="AR1088" s="10"/>
      <c r="AS1088" s="10"/>
      <c r="AT1088" s="10"/>
      <c r="AU1088" s="10"/>
      <c r="AV1088" s="10"/>
      <c r="AW1088" s="143"/>
      <c r="AX1088" s="10"/>
      <c r="AY1088" s="10"/>
      <c r="BE1088" s="10"/>
      <c r="BF1088" s="10"/>
      <c r="BG1088" s="10"/>
      <c r="BH1088" s="10"/>
      <c r="BI1088" s="10"/>
      <c r="BJ1088" s="10"/>
      <c r="BK1088" s="10"/>
      <c r="BS1088" s="10"/>
      <c r="BT1088" s="10"/>
      <c r="BW1088" s="10"/>
    </row>
    <row r="1089">
      <c r="A1089" s="10"/>
      <c r="B1089" s="10"/>
      <c r="C1089" s="10"/>
      <c r="D1089" s="10"/>
      <c r="E1089" s="10"/>
      <c r="F1089" s="10"/>
      <c r="G1089" s="10"/>
      <c r="H1089" s="10"/>
      <c r="I1089" s="10"/>
      <c r="J1089" s="10"/>
      <c r="K1089" s="10"/>
      <c r="L1089" s="10"/>
      <c r="N1089" s="10"/>
      <c r="O1089" s="10"/>
      <c r="T1089" s="10"/>
      <c r="U1089" s="10"/>
      <c r="V1089" s="10"/>
      <c r="W1089" s="10"/>
      <c r="X1089" s="10"/>
      <c r="Y1089" s="10"/>
      <c r="Z1089" s="10"/>
      <c r="AA1089" s="10"/>
      <c r="AB1089" s="10"/>
      <c r="AC1089" s="10"/>
      <c r="AD1089" s="10"/>
      <c r="AE1089" s="10"/>
      <c r="AF1089" s="10"/>
      <c r="AG1089" s="10"/>
      <c r="AH1089" s="10"/>
      <c r="AI1089" s="10"/>
      <c r="AJ1089" s="10"/>
      <c r="AK1089" s="10"/>
      <c r="AL1089" s="10"/>
      <c r="AM1089" s="10"/>
      <c r="AN1089" s="10"/>
      <c r="AO1089" s="10"/>
      <c r="AP1089" s="10"/>
      <c r="AQ1089" s="10"/>
      <c r="AR1089" s="10"/>
      <c r="AS1089" s="10"/>
      <c r="AT1089" s="10"/>
      <c r="AU1089" s="10"/>
      <c r="AV1089" s="10"/>
      <c r="AW1089" s="143"/>
      <c r="AX1089" s="10"/>
      <c r="AY1089" s="10"/>
      <c r="BE1089" s="10"/>
      <c r="BF1089" s="10"/>
      <c r="BG1089" s="10"/>
      <c r="BH1089" s="10"/>
      <c r="BI1089" s="10"/>
      <c r="BJ1089" s="10"/>
      <c r="BK1089" s="10"/>
      <c r="BS1089" s="10"/>
      <c r="BT1089" s="10"/>
      <c r="BW1089" s="10"/>
    </row>
    <row r="1090">
      <c r="A1090" s="10"/>
      <c r="B1090" s="10"/>
      <c r="C1090" s="10"/>
      <c r="D1090" s="10"/>
      <c r="E1090" s="10"/>
      <c r="F1090" s="10"/>
      <c r="G1090" s="10"/>
      <c r="H1090" s="10"/>
      <c r="I1090" s="10"/>
      <c r="J1090" s="10"/>
      <c r="K1090" s="10"/>
      <c r="L1090" s="10"/>
      <c r="N1090" s="10"/>
      <c r="O1090" s="10"/>
      <c r="T1090" s="10"/>
      <c r="U1090" s="10"/>
      <c r="V1090" s="10"/>
      <c r="W1090" s="10"/>
      <c r="X1090" s="10"/>
      <c r="Y1090" s="10"/>
      <c r="Z1090" s="10"/>
      <c r="AA1090" s="10"/>
      <c r="AB1090" s="10"/>
      <c r="AC1090" s="10"/>
      <c r="AD1090" s="10"/>
      <c r="AE1090" s="10"/>
      <c r="AF1090" s="10"/>
      <c r="AG1090" s="10"/>
      <c r="AH1090" s="10"/>
      <c r="AI1090" s="10"/>
      <c r="AJ1090" s="10"/>
      <c r="AK1090" s="10"/>
      <c r="AL1090" s="10"/>
      <c r="AM1090" s="10"/>
      <c r="AN1090" s="10"/>
      <c r="AO1090" s="10"/>
      <c r="AP1090" s="10"/>
      <c r="AQ1090" s="10"/>
      <c r="AR1090" s="10"/>
      <c r="AS1090" s="10"/>
      <c r="AT1090" s="10"/>
      <c r="AU1090" s="10"/>
      <c r="AV1090" s="10"/>
      <c r="AW1090" s="143"/>
      <c r="AX1090" s="10"/>
      <c r="AY1090" s="10"/>
      <c r="BE1090" s="10"/>
      <c r="BF1090" s="10"/>
      <c r="BG1090" s="10"/>
      <c r="BH1090" s="10"/>
      <c r="BI1090" s="10"/>
      <c r="BJ1090" s="10"/>
      <c r="BK1090" s="10"/>
      <c r="BS1090" s="10"/>
      <c r="BT1090" s="10"/>
      <c r="BW1090" s="10"/>
    </row>
    <row r="1091">
      <c r="A1091" s="10"/>
      <c r="B1091" s="10"/>
      <c r="C1091" s="10"/>
      <c r="D1091" s="10"/>
      <c r="E1091" s="10"/>
      <c r="F1091" s="10"/>
      <c r="G1091" s="10"/>
      <c r="H1091" s="10"/>
      <c r="I1091" s="10"/>
      <c r="J1091" s="10"/>
      <c r="K1091" s="10"/>
      <c r="L1091" s="10"/>
      <c r="N1091" s="10"/>
      <c r="O1091" s="10"/>
      <c r="T1091" s="10"/>
      <c r="U1091" s="10"/>
      <c r="V1091" s="10"/>
      <c r="W1091" s="10"/>
      <c r="X1091" s="10"/>
      <c r="Y1091" s="10"/>
      <c r="Z1091" s="10"/>
      <c r="AA1091" s="10"/>
      <c r="AB1091" s="10"/>
      <c r="AC1091" s="10"/>
      <c r="AD1091" s="10"/>
      <c r="AE1091" s="10"/>
      <c r="AF1091" s="10"/>
      <c r="AG1091" s="10"/>
      <c r="AH1091" s="10"/>
      <c r="AI1091" s="10"/>
      <c r="AJ1091" s="10"/>
      <c r="AK1091" s="10"/>
      <c r="AL1091" s="10"/>
      <c r="AM1091" s="10"/>
      <c r="AN1091" s="10"/>
      <c r="AO1091" s="10"/>
      <c r="AP1091" s="10"/>
      <c r="AQ1091" s="10"/>
      <c r="AR1091" s="10"/>
      <c r="AS1091" s="10"/>
      <c r="AT1091" s="10"/>
      <c r="AU1091" s="10"/>
      <c r="AV1091" s="10"/>
      <c r="AW1091" s="143"/>
      <c r="AX1091" s="10"/>
      <c r="AY1091" s="10"/>
      <c r="BE1091" s="10"/>
      <c r="BF1091" s="10"/>
      <c r="BG1091" s="10"/>
      <c r="BH1091" s="10"/>
      <c r="BI1091" s="10"/>
      <c r="BJ1091" s="10"/>
      <c r="BK1091" s="10"/>
      <c r="BS1091" s="10"/>
      <c r="BT1091" s="10"/>
      <c r="BW1091" s="10"/>
    </row>
    <row r="1092">
      <c r="A1092" s="10"/>
      <c r="B1092" s="10"/>
      <c r="C1092" s="10"/>
      <c r="D1092" s="10"/>
      <c r="E1092" s="10"/>
      <c r="F1092" s="10"/>
      <c r="G1092" s="10"/>
      <c r="H1092" s="10"/>
      <c r="I1092" s="10"/>
      <c r="J1092" s="10"/>
      <c r="K1092" s="10"/>
      <c r="L1092" s="10"/>
      <c r="N1092" s="10"/>
      <c r="O1092" s="10"/>
      <c r="T1092" s="10"/>
      <c r="U1092" s="10"/>
      <c r="V1092" s="10"/>
      <c r="W1092" s="10"/>
      <c r="X1092" s="10"/>
      <c r="Y1092" s="10"/>
      <c r="Z1092" s="10"/>
      <c r="AA1092" s="10"/>
      <c r="AB1092" s="10"/>
      <c r="AC1092" s="10"/>
      <c r="AD1092" s="10"/>
      <c r="AE1092" s="10"/>
      <c r="AF1092" s="10"/>
      <c r="AG1092" s="10"/>
      <c r="AH1092" s="10"/>
      <c r="AI1092" s="10"/>
      <c r="AJ1092" s="10"/>
      <c r="AK1092" s="10"/>
      <c r="AL1092" s="10"/>
      <c r="AM1092" s="10"/>
      <c r="AN1092" s="10"/>
      <c r="AO1092" s="10"/>
      <c r="AP1092" s="10"/>
      <c r="AQ1092" s="10"/>
      <c r="AR1092" s="10"/>
      <c r="AS1092" s="10"/>
      <c r="AT1092" s="10"/>
      <c r="AU1092" s="10"/>
      <c r="AV1092" s="10"/>
      <c r="AW1092" s="143"/>
      <c r="AX1092" s="10"/>
      <c r="AY1092" s="10"/>
      <c r="BE1092" s="10"/>
      <c r="BF1092" s="10"/>
      <c r="BG1092" s="10"/>
      <c r="BH1092" s="10"/>
      <c r="BI1092" s="10"/>
      <c r="BJ1092" s="10"/>
      <c r="BK1092" s="10"/>
      <c r="BS1092" s="10"/>
      <c r="BT1092" s="10"/>
      <c r="BW1092" s="10"/>
    </row>
    <row r="1093">
      <c r="A1093" s="10"/>
      <c r="B1093" s="10"/>
      <c r="C1093" s="10"/>
      <c r="D1093" s="10"/>
      <c r="E1093" s="10"/>
      <c r="F1093" s="10"/>
      <c r="G1093" s="10"/>
      <c r="H1093" s="10"/>
      <c r="I1093" s="10"/>
      <c r="J1093" s="10"/>
      <c r="K1093" s="10"/>
      <c r="L1093" s="10"/>
      <c r="N1093" s="10"/>
      <c r="O1093" s="10"/>
      <c r="T1093" s="10"/>
      <c r="U1093" s="10"/>
      <c r="V1093" s="10"/>
      <c r="W1093" s="10"/>
      <c r="X1093" s="10"/>
      <c r="Y1093" s="10"/>
      <c r="Z1093" s="10"/>
      <c r="AA1093" s="10"/>
      <c r="AB1093" s="10"/>
      <c r="AC1093" s="10"/>
      <c r="AD1093" s="10"/>
      <c r="AE1093" s="10"/>
      <c r="AF1093" s="10"/>
      <c r="AG1093" s="10"/>
      <c r="AH1093" s="10"/>
      <c r="AI1093" s="10"/>
      <c r="AJ1093" s="10"/>
      <c r="AK1093" s="10"/>
      <c r="AL1093" s="10"/>
      <c r="AM1093" s="10"/>
      <c r="AN1093" s="10"/>
      <c r="AO1093" s="10"/>
      <c r="AP1093" s="10"/>
      <c r="AQ1093" s="10"/>
      <c r="AR1093" s="10"/>
      <c r="AS1093" s="10"/>
      <c r="AT1093" s="10"/>
      <c r="AU1093" s="10"/>
      <c r="AV1093" s="10"/>
      <c r="AW1093" s="143"/>
      <c r="AX1093" s="10"/>
      <c r="AY1093" s="10"/>
      <c r="BE1093" s="10"/>
      <c r="BF1093" s="10"/>
      <c r="BG1093" s="10"/>
      <c r="BH1093" s="10"/>
      <c r="BI1093" s="10"/>
      <c r="BJ1093" s="10"/>
      <c r="BK1093" s="10"/>
      <c r="BS1093" s="10"/>
      <c r="BT1093" s="10"/>
      <c r="BW1093" s="10"/>
    </row>
    <row r="1094">
      <c r="A1094" s="10"/>
      <c r="B1094" s="10"/>
      <c r="C1094" s="10"/>
      <c r="D1094" s="10"/>
      <c r="E1094" s="10"/>
      <c r="F1094" s="10"/>
      <c r="G1094" s="10"/>
      <c r="H1094" s="10"/>
      <c r="I1094" s="10"/>
      <c r="J1094" s="10"/>
      <c r="K1094" s="10"/>
      <c r="L1094" s="10"/>
      <c r="N1094" s="10"/>
      <c r="O1094" s="10"/>
      <c r="T1094" s="10"/>
      <c r="U1094" s="10"/>
      <c r="V1094" s="10"/>
      <c r="W1094" s="10"/>
      <c r="X1094" s="10"/>
      <c r="Y1094" s="10"/>
      <c r="Z1094" s="10"/>
      <c r="AA1094" s="10"/>
      <c r="AB1094" s="10"/>
      <c r="AC1094" s="10"/>
      <c r="AD1094" s="10"/>
      <c r="AE1094" s="10"/>
      <c r="AF1094" s="10"/>
      <c r="AG1094" s="10"/>
      <c r="AH1094" s="10"/>
      <c r="AI1094" s="10"/>
      <c r="AJ1094" s="10"/>
      <c r="AK1094" s="10"/>
      <c r="AL1094" s="10"/>
      <c r="AM1094" s="10"/>
      <c r="AN1094" s="10"/>
      <c r="AO1094" s="10"/>
      <c r="AP1094" s="10"/>
      <c r="AQ1094" s="10"/>
      <c r="AR1094" s="10"/>
      <c r="AS1094" s="10"/>
      <c r="AT1094" s="10"/>
      <c r="AU1094" s="10"/>
      <c r="AV1094" s="10"/>
      <c r="AW1094" s="143"/>
      <c r="AX1094" s="10"/>
      <c r="AY1094" s="10"/>
      <c r="BE1094" s="10"/>
      <c r="BF1094" s="10"/>
      <c r="BG1094" s="10"/>
      <c r="BH1094" s="10"/>
      <c r="BI1094" s="10"/>
      <c r="BJ1094" s="10"/>
      <c r="BK1094" s="10"/>
      <c r="BS1094" s="10"/>
      <c r="BT1094" s="10"/>
      <c r="BW1094" s="10"/>
    </row>
    <row r="1095">
      <c r="A1095" s="10"/>
      <c r="B1095" s="10"/>
      <c r="C1095" s="10"/>
      <c r="D1095" s="10"/>
      <c r="E1095" s="10"/>
      <c r="F1095" s="10"/>
      <c r="G1095" s="10"/>
      <c r="H1095" s="10"/>
      <c r="I1095" s="10"/>
      <c r="J1095" s="10"/>
      <c r="K1095" s="10"/>
      <c r="L1095" s="10"/>
      <c r="N1095" s="10"/>
      <c r="O1095" s="10"/>
      <c r="T1095" s="10"/>
      <c r="U1095" s="10"/>
      <c r="V1095" s="10"/>
      <c r="W1095" s="10"/>
      <c r="X1095" s="10"/>
      <c r="Y1095" s="10"/>
      <c r="Z1095" s="10"/>
      <c r="AA1095" s="10"/>
      <c r="AB1095" s="10"/>
      <c r="AC1095" s="10"/>
      <c r="AD1095" s="10"/>
      <c r="AE1095" s="10"/>
      <c r="AF1095" s="10"/>
      <c r="AG1095" s="10"/>
      <c r="AH1095" s="10"/>
      <c r="AI1095" s="10"/>
      <c r="AJ1095" s="10"/>
      <c r="AK1095" s="10"/>
      <c r="AL1095" s="10"/>
      <c r="AM1095" s="10"/>
      <c r="AN1095" s="10"/>
      <c r="AO1095" s="10"/>
      <c r="AP1095" s="10"/>
      <c r="AQ1095" s="10"/>
      <c r="AR1095" s="10"/>
      <c r="AS1095" s="10"/>
      <c r="AT1095" s="10"/>
      <c r="AU1095" s="10"/>
      <c r="AV1095" s="10"/>
      <c r="AW1095" s="143"/>
      <c r="AX1095" s="10"/>
      <c r="AY1095" s="10"/>
      <c r="BE1095" s="10"/>
      <c r="BF1095" s="10"/>
      <c r="BG1095" s="10"/>
      <c r="BH1095" s="10"/>
      <c r="BI1095" s="10"/>
      <c r="BJ1095" s="10"/>
      <c r="BK1095" s="10"/>
      <c r="BS1095" s="10"/>
      <c r="BT1095" s="10"/>
      <c r="BW1095" s="10"/>
    </row>
    <row r="1096">
      <c r="A1096" s="10"/>
      <c r="B1096" s="10"/>
      <c r="C1096" s="10"/>
      <c r="D1096" s="10"/>
      <c r="E1096" s="10"/>
      <c r="F1096" s="10"/>
      <c r="G1096" s="10"/>
      <c r="H1096" s="10"/>
      <c r="I1096" s="10"/>
      <c r="J1096" s="10"/>
      <c r="N1096" s="10"/>
      <c r="O1096" s="10"/>
      <c r="T1096" s="10"/>
      <c r="U1096" s="10"/>
      <c r="V1096" s="10"/>
      <c r="W1096" s="10"/>
      <c r="X1096" s="10"/>
      <c r="Y1096" s="10"/>
      <c r="Z1096" s="10"/>
      <c r="AA1096" s="10"/>
      <c r="AB1096" s="10"/>
      <c r="AC1096" s="10"/>
      <c r="AD1096" s="10"/>
      <c r="AE1096" s="10"/>
      <c r="AF1096" s="10"/>
      <c r="AG1096" s="10"/>
      <c r="AH1096" s="10"/>
      <c r="AI1096" s="10"/>
      <c r="AJ1096" s="10"/>
      <c r="AK1096" s="10"/>
      <c r="AL1096" s="10"/>
      <c r="AM1096" s="10"/>
      <c r="AN1096" s="10"/>
      <c r="AO1096" s="10"/>
      <c r="AP1096" s="10"/>
      <c r="AQ1096" s="10"/>
      <c r="AR1096" s="10"/>
      <c r="AS1096" s="10"/>
      <c r="AT1096" s="10"/>
      <c r="AU1096" s="10"/>
      <c r="AV1096" s="10"/>
      <c r="AW1096" s="143"/>
      <c r="AX1096" s="10"/>
      <c r="AY1096" s="10"/>
      <c r="BL1096" s="10"/>
      <c r="BO1096" s="10"/>
      <c r="BR1096" s="10"/>
      <c r="BS1096" s="10"/>
      <c r="BT1096" s="10"/>
      <c r="BW1096" s="10"/>
    </row>
    <row r="1097">
      <c r="A1097" s="10"/>
      <c r="B1097" s="10"/>
      <c r="C1097" s="10"/>
      <c r="D1097" s="10"/>
      <c r="E1097" s="10"/>
      <c r="F1097" s="10"/>
      <c r="G1097" s="10"/>
      <c r="H1097" s="10"/>
      <c r="I1097" s="10"/>
      <c r="J1097" s="10"/>
      <c r="N1097" s="10"/>
      <c r="O1097" s="10"/>
      <c r="T1097" s="10"/>
      <c r="U1097" s="10"/>
      <c r="V1097" s="10"/>
      <c r="W1097" s="10"/>
      <c r="X1097" s="10"/>
      <c r="Y1097" s="10"/>
      <c r="Z1097" s="10"/>
      <c r="AA1097" s="10"/>
      <c r="AB1097" s="10"/>
      <c r="AC1097" s="10"/>
      <c r="AD1097" s="10"/>
      <c r="AE1097" s="10"/>
      <c r="AF1097" s="10"/>
      <c r="AG1097" s="10"/>
      <c r="AH1097" s="10"/>
      <c r="AI1097" s="10"/>
      <c r="AJ1097" s="10"/>
      <c r="AK1097" s="10"/>
      <c r="AL1097" s="10"/>
      <c r="AM1097" s="10"/>
      <c r="AN1097" s="10"/>
      <c r="AO1097" s="10"/>
      <c r="AP1097" s="10"/>
      <c r="AQ1097" s="10"/>
      <c r="AR1097" s="10"/>
      <c r="AS1097" s="10"/>
      <c r="AT1097" s="10"/>
      <c r="AU1097" s="10"/>
      <c r="AV1097" s="10"/>
      <c r="AW1097" s="143"/>
      <c r="AX1097" s="10"/>
      <c r="AY1097" s="10"/>
      <c r="BS1097" s="10"/>
      <c r="BT1097" s="10"/>
      <c r="BW1097" s="10"/>
    </row>
    <row r="1098">
      <c r="A1098" s="10"/>
      <c r="B1098" s="10"/>
      <c r="C1098" s="10"/>
      <c r="D1098" s="10"/>
      <c r="E1098" s="10"/>
      <c r="F1098" s="10"/>
      <c r="G1098" s="10"/>
      <c r="H1098" s="10"/>
      <c r="I1098" s="10"/>
      <c r="J1098" s="10"/>
      <c r="N1098" s="10"/>
      <c r="O1098" s="10"/>
      <c r="T1098" s="10"/>
      <c r="U1098" s="10"/>
      <c r="V1098" s="10"/>
      <c r="W1098" s="10"/>
      <c r="X1098" s="10"/>
      <c r="Y1098" s="10"/>
      <c r="Z1098" s="10"/>
      <c r="AA1098" s="10"/>
      <c r="AB1098" s="10"/>
      <c r="AC1098" s="10"/>
      <c r="AD1098" s="10"/>
      <c r="AE1098" s="10"/>
      <c r="AF1098" s="10"/>
      <c r="AG1098" s="10"/>
      <c r="AH1098" s="10"/>
      <c r="AI1098" s="10"/>
      <c r="AJ1098" s="10"/>
      <c r="AK1098" s="10"/>
      <c r="AL1098" s="10"/>
      <c r="AM1098" s="10"/>
      <c r="AN1098" s="10"/>
      <c r="AO1098" s="10"/>
      <c r="AP1098" s="10"/>
      <c r="AQ1098" s="10"/>
      <c r="AR1098" s="10"/>
      <c r="AS1098" s="10"/>
      <c r="AT1098" s="10"/>
      <c r="AU1098" s="10"/>
      <c r="AV1098" s="10"/>
      <c r="AW1098" s="143"/>
      <c r="AX1098" s="10"/>
      <c r="AY1098" s="10"/>
      <c r="BE1098" s="10"/>
      <c r="BF1098" s="10"/>
      <c r="BG1098" s="10"/>
      <c r="BH1098" s="10"/>
      <c r="BI1098" s="10"/>
      <c r="BJ1098" s="10"/>
      <c r="BK1098" s="10"/>
      <c r="BS1098" s="10"/>
      <c r="BT1098" s="10"/>
      <c r="BW1098" s="10"/>
    </row>
    <row r="1099">
      <c r="A1099" s="10"/>
      <c r="B1099" s="10"/>
      <c r="C1099" s="10"/>
      <c r="D1099" s="10"/>
      <c r="E1099" s="10"/>
      <c r="F1099" s="10"/>
      <c r="G1099" s="10"/>
      <c r="H1099" s="10"/>
      <c r="I1099" s="10"/>
      <c r="J1099" s="10"/>
      <c r="N1099" s="10"/>
      <c r="O1099" s="10"/>
      <c r="T1099" s="10"/>
      <c r="U1099" s="10"/>
      <c r="V1099" s="10"/>
      <c r="W1099" s="10"/>
      <c r="X1099" s="10"/>
      <c r="Y1099" s="10"/>
      <c r="Z1099" s="10"/>
      <c r="AA1099" s="10"/>
      <c r="AB1099" s="10"/>
      <c r="AC1099" s="10"/>
      <c r="AD1099" s="10"/>
      <c r="AE1099" s="10"/>
      <c r="AF1099" s="10"/>
      <c r="AG1099" s="10"/>
      <c r="AH1099" s="10"/>
      <c r="AI1099" s="10"/>
      <c r="AJ1099" s="10"/>
      <c r="AK1099" s="10"/>
      <c r="AL1099" s="10"/>
      <c r="AM1099" s="10"/>
      <c r="AN1099" s="10"/>
      <c r="AO1099" s="10"/>
      <c r="AP1099" s="10"/>
      <c r="AQ1099" s="10"/>
      <c r="AR1099" s="10"/>
      <c r="AS1099" s="10"/>
      <c r="AT1099" s="10"/>
      <c r="AU1099" s="10"/>
      <c r="AV1099" s="10"/>
      <c r="AW1099" s="143"/>
      <c r="AX1099" s="10"/>
      <c r="AY1099" s="10"/>
      <c r="BE1099" s="10"/>
      <c r="BF1099" s="10"/>
      <c r="BG1099" s="10"/>
      <c r="BH1099" s="10"/>
      <c r="BI1099" s="10"/>
      <c r="BJ1099" s="10"/>
      <c r="BK1099" s="10"/>
      <c r="BS1099" s="10"/>
      <c r="BT1099" s="10"/>
      <c r="BW1099" s="10"/>
    </row>
    <row r="1100">
      <c r="A1100" s="10"/>
      <c r="B1100" s="10"/>
      <c r="C1100" s="10"/>
      <c r="D1100" s="10"/>
      <c r="E1100" s="10"/>
      <c r="F1100" s="10"/>
      <c r="G1100" s="10"/>
      <c r="H1100" s="10"/>
      <c r="I1100" s="10"/>
      <c r="J1100" s="10"/>
      <c r="N1100" s="10"/>
      <c r="O1100" s="10"/>
      <c r="Q1100" s="10"/>
      <c r="R1100" s="10"/>
      <c r="S1100" s="10"/>
      <c r="T1100" s="10"/>
      <c r="U1100" s="10"/>
      <c r="V1100" s="10"/>
      <c r="W1100" s="10"/>
      <c r="X1100" s="10"/>
      <c r="Y1100" s="10"/>
      <c r="Z1100" s="10"/>
      <c r="AA1100" s="10"/>
      <c r="AB1100" s="10"/>
      <c r="AC1100" s="10"/>
      <c r="AD1100" s="10"/>
      <c r="AE1100" s="10"/>
      <c r="AF1100" s="10"/>
      <c r="AG1100" s="10"/>
      <c r="AH1100" s="10"/>
      <c r="AI1100" s="10"/>
      <c r="AJ1100" s="10"/>
      <c r="AK1100" s="10"/>
      <c r="AL1100" s="10"/>
      <c r="AM1100" s="10"/>
      <c r="AN1100" s="10"/>
      <c r="AO1100" s="10"/>
      <c r="AP1100" s="10"/>
      <c r="AQ1100" s="10"/>
      <c r="AR1100" s="10"/>
      <c r="AS1100" s="10"/>
      <c r="AT1100" s="10"/>
      <c r="AU1100" s="10"/>
      <c r="AV1100" s="10"/>
      <c r="AW1100" s="143"/>
      <c r="AX1100" s="10"/>
      <c r="AY1100" s="10"/>
      <c r="BE1100" s="10"/>
      <c r="BF1100" s="10"/>
      <c r="BG1100" s="10"/>
      <c r="BH1100" s="10"/>
      <c r="BI1100" s="10"/>
      <c r="BJ1100" s="10"/>
      <c r="BK1100" s="10"/>
      <c r="BL1100" s="10"/>
      <c r="BM1100" s="10"/>
      <c r="BN1100" s="10"/>
      <c r="BO1100" s="10"/>
      <c r="BP1100" s="10"/>
      <c r="BQ1100" s="10"/>
      <c r="BR1100" s="10"/>
      <c r="BS1100" s="10"/>
      <c r="BT1100" s="10"/>
      <c r="BW1100" s="10"/>
    </row>
    <row r="1101">
      <c r="A1101" s="10"/>
      <c r="B1101" s="10"/>
      <c r="C1101" s="10"/>
      <c r="D1101" s="10"/>
      <c r="E1101" s="10"/>
      <c r="F1101" s="10"/>
      <c r="G1101" s="10"/>
      <c r="H1101" s="10"/>
      <c r="I1101" s="10"/>
      <c r="J1101" s="10"/>
      <c r="N1101" s="10"/>
      <c r="O1101" s="10"/>
      <c r="T1101" s="10"/>
      <c r="U1101" s="10"/>
      <c r="V1101" s="10"/>
      <c r="W1101" s="10"/>
      <c r="X1101" s="10"/>
      <c r="Y1101" s="10"/>
      <c r="Z1101" s="10"/>
      <c r="AA1101" s="10"/>
      <c r="AB1101" s="10"/>
      <c r="AC1101" s="10"/>
      <c r="AD1101" s="10"/>
      <c r="AE1101" s="10"/>
      <c r="AF1101" s="10"/>
      <c r="AG1101" s="10"/>
      <c r="AH1101" s="10"/>
      <c r="AI1101" s="10"/>
      <c r="AJ1101" s="10"/>
      <c r="AK1101" s="10"/>
      <c r="AL1101" s="10"/>
      <c r="AM1101" s="10"/>
      <c r="AN1101" s="10"/>
      <c r="AO1101" s="10"/>
      <c r="AP1101" s="10"/>
      <c r="AQ1101" s="10"/>
      <c r="AR1101" s="10"/>
      <c r="AS1101" s="10"/>
      <c r="AT1101" s="10"/>
      <c r="AU1101" s="10"/>
      <c r="AV1101" s="10"/>
      <c r="AW1101" s="143"/>
      <c r="AX1101" s="10"/>
      <c r="AY1101" s="10"/>
      <c r="BE1101" s="10"/>
      <c r="BF1101" s="10"/>
      <c r="BG1101" s="10"/>
      <c r="BH1101" s="10"/>
      <c r="BI1101" s="10"/>
      <c r="BJ1101" s="10"/>
      <c r="BK1101" s="10"/>
      <c r="BS1101" s="10"/>
      <c r="BT1101" s="10"/>
      <c r="BW1101" s="10"/>
    </row>
    <row r="1102">
      <c r="A1102" s="10"/>
      <c r="B1102" s="10"/>
      <c r="C1102" s="10"/>
      <c r="D1102" s="10"/>
      <c r="E1102" s="10"/>
      <c r="F1102" s="10"/>
      <c r="G1102" s="10"/>
      <c r="H1102" s="10"/>
      <c r="I1102" s="10"/>
      <c r="J1102" s="10"/>
      <c r="N1102" s="10"/>
      <c r="O1102" s="10"/>
      <c r="P1102" s="10"/>
      <c r="T1102" s="10"/>
      <c r="U1102" s="10"/>
      <c r="V1102" s="10"/>
      <c r="W1102" s="10"/>
      <c r="X1102" s="10"/>
      <c r="Y1102" s="10"/>
      <c r="Z1102" s="10"/>
      <c r="AA1102" s="10"/>
      <c r="AB1102" s="10"/>
      <c r="AC1102" s="10"/>
      <c r="AD1102" s="10"/>
      <c r="AE1102" s="10"/>
      <c r="AF1102" s="10"/>
      <c r="AG1102" s="10"/>
      <c r="AH1102" s="10"/>
      <c r="AI1102" s="10"/>
      <c r="AJ1102" s="10"/>
      <c r="AK1102" s="10"/>
      <c r="AL1102" s="10"/>
      <c r="AM1102" s="10"/>
      <c r="AN1102" s="10"/>
      <c r="AO1102" s="10"/>
      <c r="AP1102" s="10"/>
      <c r="AQ1102" s="10"/>
      <c r="AR1102" s="10"/>
      <c r="AS1102" s="10"/>
      <c r="AT1102" s="10"/>
      <c r="AU1102" s="10"/>
      <c r="AV1102" s="10"/>
      <c r="AW1102" s="143"/>
      <c r="AX1102" s="10"/>
      <c r="AY1102" s="10"/>
      <c r="AZ1102" s="10"/>
      <c r="BE1102" s="10"/>
      <c r="BF1102" s="10"/>
      <c r="BG1102" s="10"/>
      <c r="BH1102" s="10"/>
      <c r="BI1102" s="10"/>
      <c r="BJ1102" s="10"/>
      <c r="BK1102" s="10"/>
      <c r="BS1102" s="10"/>
      <c r="BT1102" s="10"/>
      <c r="BW1102" s="10"/>
    </row>
    <row r="1103">
      <c r="A1103" s="10"/>
      <c r="B1103" s="10"/>
      <c r="C1103" s="10"/>
      <c r="D1103" s="10"/>
      <c r="E1103" s="10"/>
      <c r="F1103" s="10"/>
      <c r="G1103" s="10"/>
      <c r="H1103" s="10"/>
      <c r="I1103" s="10"/>
      <c r="J1103" s="10"/>
      <c r="N1103" s="10"/>
      <c r="O1103" s="10"/>
      <c r="P1103" s="10"/>
      <c r="T1103" s="10"/>
      <c r="U1103" s="10"/>
      <c r="V1103" s="10"/>
      <c r="W1103" s="10"/>
      <c r="X1103" s="10"/>
      <c r="Y1103" s="10"/>
      <c r="Z1103" s="10"/>
      <c r="AA1103" s="10"/>
      <c r="AB1103" s="10"/>
      <c r="AC1103" s="10"/>
      <c r="AD1103" s="10"/>
      <c r="AE1103" s="10"/>
      <c r="AF1103" s="10"/>
      <c r="AG1103" s="10"/>
      <c r="AH1103" s="10"/>
      <c r="AI1103" s="10"/>
      <c r="AJ1103" s="10"/>
      <c r="AK1103" s="10"/>
      <c r="AL1103" s="10"/>
      <c r="AM1103" s="10"/>
      <c r="AN1103" s="10"/>
      <c r="AO1103" s="10"/>
      <c r="AP1103" s="10"/>
      <c r="AQ1103" s="10"/>
      <c r="AR1103" s="10"/>
      <c r="AS1103" s="10"/>
      <c r="AT1103" s="10"/>
      <c r="AU1103" s="10"/>
      <c r="AV1103" s="10"/>
      <c r="AW1103" s="143"/>
      <c r="AX1103" s="10"/>
      <c r="AY1103" s="10"/>
      <c r="AZ1103" s="10"/>
      <c r="BE1103" s="10"/>
      <c r="BF1103" s="10"/>
      <c r="BG1103" s="10"/>
      <c r="BH1103" s="10"/>
      <c r="BI1103" s="10"/>
      <c r="BJ1103" s="10"/>
      <c r="BK1103" s="10"/>
      <c r="BS1103" s="10"/>
      <c r="BT1103" s="10"/>
      <c r="BW1103" s="10"/>
    </row>
    <row r="1104">
      <c r="A1104" s="10"/>
      <c r="B1104" s="10"/>
      <c r="C1104" s="10"/>
      <c r="D1104" s="10"/>
      <c r="E1104" s="10"/>
      <c r="F1104" s="10"/>
      <c r="G1104" s="10"/>
      <c r="H1104" s="10"/>
      <c r="I1104" s="10"/>
      <c r="J1104" s="10"/>
      <c r="N1104" s="10"/>
      <c r="O1104" s="10"/>
      <c r="P1104" s="10"/>
      <c r="T1104" s="10"/>
      <c r="U1104" s="10"/>
      <c r="V1104" s="10"/>
      <c r="W1104" s="10"/>
      <c r="X1104" s="10"/>
      <c r="Y1104" s="10"/>
      <c r="Z1104" s="10"/>
      <c r="AA1104" s="10"/>
      <c r="AB1104" s="10"/>
      <c r="AC1104" s="10"/>
      <c r="AD1104" s="10"/>
      <c r="AE1104" s="10"/>
      <c r="AF1104" s="10"/>
      <c r="AG1104" s="10"/>
      <c r="AH1104" s="10"/>
      <c r="AI1104" s="10"/>
      <c r="AJ1104" s="10"/>
      <c r="AK1104" s="10"/>
      <c r="AL1104" s="10"/>
      <c r="AM1104" s="10"/>
      <c r="AN1104" s="10"/>
      <c r="AO1104" s="10"/>
      <c r="AP1104" s="10"/>
      <c r="AQ1104" s="10"/>
      <c r="AR1104" s="10"/>
      <c r="AS1104" s="10"/>
      <c r="AT1104" s="10"/>
      <c r="AU1104" s="10"/>
      <c r="AV1104" s="10"/>
      <c r="AW1104" s="143"/>
      <c r="AX1104" s="10"/>
      <c r="AY1104" s="10"/>
      <c r="AZ1104" s="10"/>
      <c r="BE1104" s="10"/>
      <c r="BF1104" s="10"/>
      <c r="BG1104" s="10"/>
      <c r="BH1104" s="10"/>
      <c r="BI1104" s="10"/>
      <c r="BJ1104" s="10"/>
      <c r="BK1104" s="10"/>
      <c r="BS1104" s="10"/>
      <c r="BT1104" s="10"/>
      <c r="BW1104" s="10"/>
    </row>
    <row r="1105">
      <c r="A1105" s="10"/>
      <c r="B1105" s="10"/>
      <c r="C1105" s="10"/>
      <c r="D1105" s="10"/>
      <c r="E1105" s="10"/>
      <c r="F1105" s="10"/>
      <c r="G1105" s="10"/>
      <c r="H1105" s="10"/>
      <c r="I1105" s="10"/>
      <c r="J1105" s="10"/>
      <c r="N1105" s="10"/>
      <c r="O1105" s="10"/>
      <c r="P1105" s="10"/>
      <c r="T1105" s="10"/>
      <c r="U1105" s="10"/>
      <c r="V1105" s="10"/>
      <c r="W1105" s="10"/>
      <c r="X1105" s="10"/>
      <c r="Y1105" s="10"/>
      <c r="Z1105" s="10"/>
      <c r="AA1105" s="10"/>
      <c r="AB1105" s="10"/>
      <c r="AC1105" s="10"/>
      <c r="AD1105" s="10"/>
      <c r="AE1105" s="10"/>
      <c r="AF1105" s="10"/>
      <c r="AG1105" s="10"/>
      <c r="AH1105" s="10"/>
      <c r="AI1105" s="10"/>
      <c r="AJ1105" s="10"/>
      <c r="AK1105" s="10"/>
      <c r="AL1105" s="10"/>
      <c r="AM1105" s="10"/>
      <c r="AN1105" s="10"/>
      <c r="AO1105" s="10"/>
      <c r="AP1105" s="10"/>
      <c r="AQ1105" s="10"/>
      <c r="AR1105" s="10"/>
      <c r="AS1105" s="10"/>
      <c r="AT1105" s="10"/>
      <c r="AU1105" s="10"/>
      <c r="AV1105" s="10"/>
      <c r="AW1105" s="143"/>
      <c r="AX1105" s="10"/>
      <c r="AY1105" s="10"/>
      <c r="BE1105" s="10"/>
      <c r="BF1105" s="10"/>
      <c r="BG1105" s="10"/>
      <c r="BH1105" s="10"/>
      <c r="BI1105" s="10"/>
      <c r="BJ1105" s="10"/>
      <c r="BK1105" s="10"/>
      <c r="BS1105" s="10"/>
      <c r="BT1105" s="10"/>
      <c r="BW1105" s="10"/>
    </row>
    <row r="1106">
      <c r="A1106" s="10"/>
      <c r="B1106" s="10"/>
      <c r="C1106" s="10"/>
      <c r="D1106" s="10"/>
      <c r="E1106" s="10"/>
      <c r="F1106" s="10"/>
      <c r="G1106" s="10"/>
      <c r="H1106" s="10"/>
      <c r="I1106" s="10"/>
      <c r="J1106" s="10"/>
      <c r="N1106" s="10"/>
      <c r="O1106" s="10"/>
      <c r="P1106" s="10"/>
      <c r="T1106" s="10"/>
      <c r="U1106" s="10"/>
      <c r="V1106" s="10"/>
      <c r="W1106" s="10"/>
      <c r="X1106" s="10"/>
      <c r="Y1106" s="10"/>
      <c r="Z1106" s="10"/>
      <c r="AA1106" s="10"/>
      <c r="AB1106" s="10"/>
      <c r="AC1106" s="10"/>
      <c r="AD1106" s="10"/>
      <c r="AE1106" s="10"/>
      <c r="AF1106" s="10"/>
      <c r="AG1106" s="10"/>
      <c r="AH1106" s="10"/>
      <c r="AI1106" s="10"/>
      <c r="AJ1106" s="10"/>
      <c r="AK1106" s="10"/>
      <c r="AL1106" s="10"/>
      <c r="AM1106" s="10"/>
      <c r="AN1106" s="10"/>
      <c r="AO1106" s="10"/>
      <c r="AP1106" s="10"/>
      <c r="AQ1106" s="10"/>
      <c r="AR1106" s="10"/>
      <c r="AS1106" s="10"/>
      <c r="AT1106" s="10"/>
      <c r="AU1106" s="10"/>
      <c r="AV1106" s="10"/>
      <c r="AW1106" s="143"/>
      <c r="AX1106" s="10"/>
      <c r="AY1106" s="10"/>
      <c r="BE1106" s="10"/>
      <c r="BF1106" s="10"/>
      <c r="BG1106" s="10"/>
      <c r="BH1106" s="10"/>
      <c r="BI1106" s="10"/>
      <c r="BJ1106" s="10"/>
      <c r="BK1106" s="10"/>
      <c r="BS1106" s="10"/>
      <c r="BT1106" s="10"/>
      <c r="BW1106" s="10"/>
    </row>
    <row r="1107">
      <c r="A1107" s="10"/>
      <c r="B1107" s="10"/>
      <c r="C1107" s="10"/>
      <c r="D1107" s="10"/>
      <c r="E1107" s="10"/>
      <c r="F1107" s="10"/>
      <c r="G1107" s="10"/>
      <c r="H1107" s="10"/>
      <c r="I1107" s="10"/>
      <c r="J1107" s="10"/>
      <c r="N1107" s="10"/>
      <c r="O1107" s="10"/>
      <c r="Q1107" s="10"/>
      <c r="R1107" s="10"/>
      <c r="S1107" s="10"/>
      <c r="T1107" s="10"/>
      <c r="U1107" s="10"/>
      <c r="V1107" s="10"/>
      <c r="W1107" s="10"/>
      <c r="X1107" s="10"/>
      <c r="Y1107" s="10"/>
      <c r="Z1107" s="10"/>
      <c r="AA1107" s="10"/>
      <c r="AB1107" s="10"/>
      <c r="AC1107" s="10"/>
      <c r="AD1107" s="10"/>
      <c r="AE1107" s="10"/>
      <c r="AF1107" s="10"/>
      <c r="AG1107" s="10"/>
      <c r="AH1107" s="10"/>
      <c r="AI1107" s="10"/>
      <c r="AJ1107" s="10"/>
      <c r="AK1107" s="10"/>
      <c r="AL1107" s="10"/>
      <c r="AM1107" s="10"/>
      <c r="AN1107" s="10"/>
      <c r="AO1107" s="10"/>
      <c r="AP1107" s="10"/>
      <c r="AQ1107" s="10"/>
      <c r="AR1107" s="10"/>
      <c r="AS1107" s="10"/>
      <c r="AT1107" s="10"/>
      <c r="AU1107" s="10"/>
      <c r="AV1107" s="10"/>
      <c r="AW1107" s="143"/>
      <c r="AX1107" s="10"/>
      <c r="AY1107" s="10"/>
      <c r="BE1107" s="10"/>
      <c r="BF1107" s="10"/>
      <c r="BG1107" s="10"/>
      <c r="BH1107" s="10"/>
      <c r="BI1107" s="10"/>
      <c r="BJ1107" s="10"/>
      <c r="BK1107" s="10"/>
      <c r="BL1107" s="10"/>
      <c r="BO1107" s="10"/>
      <c r="BR1107" s="10"/>
      <c r="BS1107" s="10"/>
      <c r="BT1107" s="10"/>
      <c r="BW1107" s="10"/>
    </row>
    <row r="1108">
      <c r="A1108" s="10"/>
      <c r="B1108" s="10"/>
      <c r="C1108" s="10"/>
      <c r="D1108" s="10"/>
      <c r="E1108" s="10"/>
      <c r="F1108" s="10"/>
      <c r="G1108" s="10"/>
      <c r="H1108" s="10"/>
      <c r="I1108" s="10"/>
      <c r="J1108" s="10"/>
      <c r="N1108" s="10"/>
      <c r="O1108" s="10"/>
      <c r="P1108" s="10"/>
      <c r="Q1108" s="10"/>
      <c r="R1108" s="10"/>
      <c r="S1108" s="10"/>
      <c r="T1108" s="10"/>
      <c r="U1108" s="10"/>
      <c r="V1108" s="10"/>
      <c r="W1108" s="10"/>
      <c r="X1108" s="10"/>
      <c r="Y1108" s="10"/>
      <c r="Z1108" s="10"/>
      <c r="AA1108" s="10"/>
      <c r="AB1108" s="10"/>
      <c r="AC1108" s="10"/>
      <c r="AD1108" s="10"/>
      <c r="AE1108" s="10"/>
      <c r="AF1108" s="10"/>
      <c r="AG1108" s="10"/>
      <c r="AH1108" s="10"/>
      <c r="AI1108" s="10"/>
      <c r="AJ1108" s="10"/>
      <c r="AK1108" s="10"/>
      <c r="AL1108" s="10"/>
      <c r="AM1108" s="10"/>
      <c r="AN1108" s="10"/>
      <c r="AO1108" s="10"/>
      <c r="AP1108" s="10"/>
      <c r="AQ1108" s="10"/>
      <c r="AR1108" s="10"/>
      <c r="AS1108" s="10"/>
      <c r="AT1108" s="10"/>
      <c r="AU1108" s="10"/>
      <c r="AV1108" s="10"/>
      <c r="AW1108" s="143"/>
      <c r="AX1108" s="10"/>
      <c r="AY1108" s="10"/>
      <c r="BE1108" s="10"/>
      <c r="BF1108" s="10"/>
      <c r="BG1108" s="10"/>
      <c r="BH1108" s="10"/>
      <c r="BI1108" s="10"/>
      <c r="BJ1108" s="10"/>
      <c r="BK1108" s="10"/>
      <c r="BL1108" s="10"/>
      <c r="BO1108" s="10"/>
      <c r="BQ1108" s="10"/>
      <c r="BR1108" s="10"/>
      <c r="BT1108" s="10"/>
      <c r="BW1108" s="10"/>
    </row>
    <row r="1109">
      <c r="A1109" s="10"/>
      <c r="B1109" s="10"/>
      <c r="C1109" s="10"/>
      <c r="D1109" s="10"/>
      <c r="E1109" s="10"/>
      <c r="F1109" s="10"/>
      <c r="G1109" s="10"/>
      <c r="H1109" s="10"/>
      <c r="I1109" s="10"/>
      <c r="J1109" s="10"/>
      <c r="N1109" s="10"/>
      <c r="O1109" s="10"/>
      <c r="P1109" s="10"/>
      <c r="T1109" s="10"/>
      <c r="U1109" s="10"/>
      <c r="V1109" s="10"/>
      <c r="W1109" s="10"/>
      <c r="X1109" s="10"/>
      <c r="Y1109" s="10"/>
      <c r="Z1109" s="10"/>
      <c r="AA1109" s="10"/>
      <c r="AB1109" s="10"/>
      <c r="AC1109" s="10"/>
      <c r="AD1109" s="10"/>
      <c r="AE1109" s="10"/>
      <c r="AF1109" s="10"/>
      <c r="AG1109" s="10"/>
      <c r="AH1109" s="10"/>
      <c r="AI1109" s="10"/>
      <c r="AJ1109" s="10"/>
      <c r="AK1109" s="10"/>
      <c r="AL1109" s="10"/>
      <c r="AM1109" s="10"/>
      <c r="AN1109" s="10"/>
      <c r="AO1109" s="10"/>
      <c r="AP1109" s="10"/>
      <c r="AQ1109" s="10"/>
      <c r="AR1109" s="10"/>
      <c r="AS1109" s="10"/>
      <c r="AT1109" s="10"/>
      <c r="AU1109" s="10"/>
      <c r="AV1109" s="10"/>
      <c r="AW1109" s="143"/>
      <c r="AX1109" s="10"/>
      <c r="AY1109" s="10"/>
      <c r="BE1109" s="10"/>
      <c r="BF1109" s="10"/>
      <c r="BG1109" s="10"/>
      <c r="BH1109" s="10"/>
      <c r="BI1109" s="10"/>
      <c r="BJ1109" s="10"/>
      <c r="BK1109" s="10"/>
      <c r="BS1109" s="10"/>
      <c r="BT1109" s="10"/>
      <c r="BW1109" s="10"/>
    </row>
    <row r="1110">
      <c r="A1110" s="10"/>
      <c r="B1110" s="10"/>
      <c r="C1110" s="10"/>
      <c r="D1110" s="10"/>
      <c r="E1110" s="10"/>
      <c r="F1110" s="10"/>
      <c r="G1110" s="10"/>
      <c r="H1110" s="10"/>
      <c r="I1110" s="10"/>
      <c r="J1110" s="10"/>
      <c r="N1110" s="10"/>
      <c r="O1110" s="10"/>
      <c r="P1110" s="10"/>
      <c r="T1110" s="10"/>
      <c r="U1110" s="10"/>
      <c r="V1110" s="10"/>
      <c r="W1110" s="10"/>
      <c r="X1110" s="10"/>
      <c r="Y1110" s="10"/>
      <c r="Z1110" s="10"/>
      <c r="AA1110" s="10"/>
      <c r="AB1110" s="10"/>
      <c r="AC1110" s="10"/>
      <c r="AD1110" s="10"/>
      <c r="AE1110" s="10"/>
      <c r="AF1110" s="10"/>
      <c r="AG1110" s="10"/>
      <c r="AH1110" s="10"/>
      <c r="AI1110" s="10"/>
      <c r="AJ1110" s="10"/>
      <c r="AK1110" s="10"/>
      <c r="AL1110" s="10"/>
      <c r="AM1110" s="10"/>
      <c r="AN1110" s="10"/>
      <c r="AO1110" s="10"/>
      <c r="AP1110" s="10"/>
      <c r="AQ1110" s="10"/>
      <c r="AR1110" s="10"/>
      <c r="AS1110" s="10"/>
      <c r="AT1110" s="10"/>
      <c r="AU1110" s="10"/>
      <c r="AV1110" s="10"/>
      <c r="AW1110" s="143"/>
      <c r="AX1110" s="10"/>
      <c r="AY1110" s="10"/>
      <c r="BE1110" s="10"/>
      <c r="BF1110" s="10"/>
      <c r="BG1110" s="10"/>
      <c r="BH1110" s="10"/>
      <c r="BI1110" s="10"/>
      <c r="BJ1110" s="10"/>
      <c r="BK1110" s="10"/>
      <c r="BS1110" s="10"/>
      <c r="BT1110" s="10"/>
      <c r="BW1110" s="10"/>
    </row>
    <row r="1111">
      <c r="A1111" s="10"/>
      <c r="B1111" s="10"/>
      <c r="C1111" s="10"/>
      <c r="D1111" s="10"/>
      <c r="E1111" s="10"/>
      <c r="F1111" s="10"/>
      <c r="G1111" s="10"/>
      <c r="H1111" s="10"/>
      <c r="I1111" s="10"/>
      <c r="J1111" s="10"/>
      <c r="N1111" s="10"/>
      <c r="O1111" s="10"/>
      <c r="Q1111" s="10"/>
      <c r="R1111" s="10"/>
      <c r="S1111" s="10"/>
      <c r="T1111" s="10"/>
      <c r="U1111" s="10"/>
      <c r="V1111" s="10"/>
      <c r="W1111" s="10"/>
      <c r="X1111" s="10"/>
      <c r="Y1111" s="10"/>
      <c r="Z1111" s="10"/>
      <c r="AA1111" s="10"/>
      <c r="AB1111" s="10"/>
      <c r="AC1111" s="10"/>
      <c r="AD1111" s="10"/>
      <c r="AE1111" s="10"/>
      <c r="AF1111" s="10"/>
      <c r="AG1111" s="10"/>
      <c r="AH1111" s="10"/>
      <c r="AI1111" s="10"/>
      <c r="AJ1111" s="10"/>
      <c r="AK1111" s="10"/>
      <c r="AL1111" s="10"/>
      <c r="AM1111" s="10"/>
      <c r="AN1111" s="10"/>
      <c r="AO1111" s="10"/>
      <c r="AP1111" s="10"/>
      <c r="AQ1111" s="10"/>
      <c r="AR1111" s="10"/>
      <c r="AS1111" s="10"/>
      <c r="AT1111" s="10"/>
      <c r="AU1111" s="10"/>
      <c r="AV1111" s="10"/>
      <c r="AW1111" s="143"/>
      <c r="AX1111" s="10"/>
      <c r="AY1111" s="10"/>
      <c r="BE1111" s="10"/>
      <c r="BF1111" s="10"/>
      <c r="BG1111" s="10"/>
      <c r="BH1111" s="10"/>
      <c r="BI1111" s="10"/>
      <c r="BJ1111" s="10"/>
      <c r="BK1111" s="10"/>
      <c r="BL1111" s="10"/>
      <c r="BO1111" s="10"/>
      <c r="BP1111" s="10"/>
      <c r="BQ1111" s="10"/>
      <c r="BR1111" s="10"/>
      <c r="BS1111" s="10"/>
      <c r="BT1111" s="10"/>
      <c r="BW1111" s="10"/>
    </row>
    <row r="1112">
      <c r="A1112" s="10"/>
      <c r="B1112" s="10"/>
      <c r="C1112" s="10"/>
      <c r="D1112" s="10"/>
      <c r="E1112" s="10"/>
      <c r="F1112" s="10"/>
      <c r="G1112" s="10"/>
      <c r="H1112" s="10"/>
      <c r="I1112" s="10"/>
      <c r="J1112" s="10"/>
      <c r="N1112" s="10"/>
      <c r="O1112" s="10"/>
      <c r="T1112" s="10"/>
      <c r="U1112" s="10"/>
      <c r="V1112" s="10"/>
      <c r="W1112" s="10"/>
      <c r="X1112" s="10"/>
      <c r="Y1112" s="10"/>
      <c r="Z1112" s="10"/>
      <c r="AA1112" s="10"/>
      <c r="AB1112" s="10"/>
      <c r="AC1112" s="10"/>
      <c r="AD1112" s="10"/>
      <c r="AE1112" s="10"/>
      <c r="AF1112" s="10"/>
      <c r="AG1112" s="10"/>
      <c r="AH1112" s="10"/>
      <c r="AI1112" s="10"/>
      <c r="AJ1112" s="10"/>
      <c r="AK1112" s="10"/>
      <c r="AL1112" s="10"/>
      <c r="AM1112" s="10"/>
      <c r="AN1112" s="10"/>
      <c r="AO1112" s="10"/>
      <c r="AP1112" s="10"/>
      <c r="AQ1112" s="10"/>
      <c r="AR1112" s="10"/>
      <c r="AS1112" s="10"/>
      <c r="AT1112" s="10"/>
      <c r="AU1112" s="10"/>
      <c r="AV1112" s="10"/>
      <c r="AW1112" s="143"/>
      <c r="AX1112" s="10"/>
      <c r="AY1112" s="10"/>
      <c r="BE1112" s="10"/>
      <c r="BF1112" s="10"/>
      <c r="BG1112" s="10"/>
      <c r="BH1112" s="10"/>
      <c r="BI1112" s="10"/>
      <c r="BJ1112" s="10"/>
      <c r="BK1112" s="10"/>
      <c r="BS1112" s="10"/>
      <c r="BT1112" s="10"/>
      <c r="BW1112" s="10"/>
    </row>
    <row r="1113">
      <c r="A1113" s="10"/>
      <c r="B1113" s="10"/>
      <c r="C1113" s="10"/>
      <c r="D1113" s="10"/>
      <c r="E1113" s="10"/>
      <c r="F1113" s="10"/>
      <c r="G1113" s="10"/>
      <c r="H1113" s="10"/>
      <c r="I1113" s="10"/>
      <c r="J1113" s="10"/>
      <c r="N1113" s="10"/>
      <c r="O1113" s="10"/>
      <c r="P1113" s="10"/>
      <c r="T1113" s="10"/>
      <c r="U1113" s="10"/>
      <c r="V1113" s="10"/>
      <c r="W1113" s="10"/>
      <c r="X1113" s="10"/>
      <c r="Y1113" s="10"/>
      <c r="Z1113" s="10"/>
      <c r="AA1113" s="10"/>
      <c r="AB1113" s="10"/>
      <c r="AC1113" s="10"/>
      <c r="AD1113" s="10"/>
      <c r="AE1113" s="10"/>
      <c r="AF1113" s="10"/>
      <c r="AG1113" s="10"/>
      <c r="AH1113" s="10"/>
      <c r="AI1113" s="10"/>
      <c r="AJ1113" s="10"/>
      <c r="AK1113" s="10"/>
      <c r="AL1113" s="10"/>
      <c r="AM1113" s="10"/>
      <c r="AN1113" s="10"/>
      <c r="AO1113" s="10"/>
      <c r="AP1113" s="10"/>
      <c r="AQ1113" s="10"/>
      <c r="AR1113" s="10"/>
      <c r="AS1113" s="10"/>
      <c r="AT1113" s="10"/>
      <c r="AU1113" s="10"/>
      <c r="AV1113" s="10"/>
      <c r="AW1113" s="143"/>
      <c r="AX1113" s="10"/>
      <c r="AY1113" s="10"/>
      <c r="BE1113" s="10"/>
      <c r="BF1113" s="10"/>
      <c r="BG1113" s="10"/>
      <c r="BH1113" s="10"/>
      <c r="BI1113" s="10"/>
      <c r="BJ1113" s="10"/>
      <c r="BK1113" s="10"/>
      <c r="BS1113" s="10"/>
      <c r="BT1113" s="10"/>
      <c r="BW1113" s="10"/>
    </row>
    <row r="1114">
      <c r="A1114" s="10"/>
      <c r="B1114" s="10"/>
      <c r="C1114" s="10"/>
      <c r="D1114" s="10"/>
      <c r="E1114" s="10"/>
      <c r="F1114" s="10"/>
      <c r="G1114" s="10"/>
      <c r="H1114" s="10"/>
      <c r="I1114" s="10"/>
      <c r="J1114" s="10"/>
      <c r="N1114" s="10"/>
      <c r="O1114" s="10"/>
      <c r="P1114" s="10"/>
      <c r="T1114" s="10"/>
      <c r="U1114" s="10"/>
      <c r="V1114" s="10"/>
      <c r="W1114" s="10"/>
      <c r="X1114" s="10"/>
      <c r="Y1114" s="10"/>
      <c r="Z1114" s="10"/>
      <c r="AA1114" s="10"/>
      <c r="AB1114" s="10"/>
      <c r="AC1114" s="10"/>
      <c r="AD1114" s="10"/>
      <c r="AE1114" s="10"/>
      <c r="AF1114" s="10"/>
      <c r="AG1114" s="10"/>
      <c r="AH1114" s="10"/>
      <c r="AI1114" s="10"/>
      <c r="AJ1114" s="10"/>
      <c r="AK1114" s="10"/>
      <c r="AL1114" s="10"/>
      <c r="AM1114" s="10"/>
      <c r="AN1114" s="10"/>
      <c r="AO1114" s="10"/>
      <c r="AP1114" s="10"/>
      <c r="AQ1114" s="10"/>
      <c r="AR1114" s="10"/>
      <c r="AS1114" s="10"/>
      <c r="AT1114" s="10"/>
      <c r="AU1114" s="10"/>
      <c r="AV1114" s="10"/>
      <c r="AW1114" s="143"/>
      <c r="AX1114" s="10"/>
      <c r="AY1114" s="10"/>
      <c r="BE1114" s="10"/>
      <c r="BF1114" s="10"/>
      <c r="BG1114" s="10"/>
      <c r="BH1114" s="10"/>
      <c r="BI1114" s="10"/>
      <c r="BJ1114" s="10"/>
      <c r="BK1114" s="10"/>
      <c r="BM1114" s="10"/>
      <c r="BN1114" s="10"/>
      <c r="BP1114" s="10"/>
      <c r="BQ1114" s="10"/>
      <c r="BS1114" s="10"/>
      <c r="BT1114" s="10"/>
      <c r="BW1114" s="10"/>
    </row>
    <row r="1115">
      <c r="A1115" s="10"/>
      <c r="B1115" s="10"/>
      <c r="C1115" s="10"/>
      <c r="D1115" s="10"/>
      <c r="E1115" s="10"/>
      <c r="F1115" s="10"/>
      <c r="G1115" s="10"/>
      <c r="H1115" s="10"/>
      <c r="I1115" s="10"/>
      <c r="J1115" s="10"/>
      <c r="K1115" s="10"/>
      <c r="L1115" s="10"/>
      <c r="N1115" s="10"/>
      <c r="O1115" s="10"/>
      <c r="T1115" s="10"/>
      <c r="U1115" s="10"/>
      <c r="V1115" s="10"/>
      <c r="W1115" s="10"/>
      <c r="X1115" s="10"/>
      <c r="Y1115" s="10"/>
      <c r="Z1115" s="10"/>
      <c r="AA1115" s="10"/>
      <c r="AB1115" s="10"/>
      <c r="AC1115" s="10"/>
      <c r="AD1115" s="10"/>
      <c r="AE1115" s="10"/>
      <c r="AF1115" s="10"/>
      <c r="AG1115" s="10"/>
      <c r="AH1115" s="10"/>
      <c r="AI1115" s="10"/>
      <c r="AJ1115" s="10"/>
      <c r="AK1115" s="10"/>
      <c r="AL1115" s="10"/>
      <c r="AM1115" s="10"/>
      <c r="AN1115" s="10"/>
      <c r="AO1115" s="10"/>
      <c r="AP1115" s="10"/>
      <c r="AQ1115" s="10"/>
      <c r="AR1115" s="10"/>
      <c r="AS1115" s="10"/>
      <c r="AT1115" s="10"/>
      <c r="AU1115" s="10"/>
      <c r="AV1115" s="10"/>
      <c r="AW1115" s="143"/>
      <c r="AX1115" s="10"/>
      <c r="AY1115" s="10"/>
      <c r="BE1115" s="10"/>
      <c r="BF1115" s="10"/>
      <c r="BG1115" s="10"/>
      <c r="BH1115" s="10"/>
      <c r="BI1115" s="10"/>
      <c r="BJ1115" s="10"/>
      <c r="BK1115" s="10"/>
      <c r="BS1115" s="10"/>
      <c r="BT1115" s="10"/>
      <c r="BW1115" s="10"/>
    </row>
    <row r="1116">
      <c r="A1116" s="10"/>
      <c r="B1116" s="10"/>
      <c r="C1116" s="10"/>
      <c r="D1116" s="10"/>
      <c r="E1116" s="10"/>
      <c r="F1116" s="10"/>
      <c r="G1116" s="10"/>
      <c r="H1116" s="10"/>
      <c r="I1116" s="10"/>
      <c r="J1116" s="10"/>
      <c r="N1116" s="10"/>
      <c r="O1116" s="10"/>
      <c r="T1116" s="10"/>
      <c r="U1116" s="10"/>
      <c r="V1116" s="10"/>
      <c r="W1116" s="10"/>
      <c r="X1116" s="10"/>
      <c r="Y1116" s="10"/>
      <c r="Z1116" s="10"/>
      <c r="AA1116" s="10"/>
      <c r="AB1116" s="10"/>
      <c r="AC1116" s="10"/>
      <c r="AD1116" s="10"/>
      <c r="AE1116" s="10"/>
      <c r="AF1116" s="10"/>
      <c r="AG1116" s="10"/>
      <c r="AH1116" s="10"/>
      <c r="AI1116" s="10"/>
      <c r="AJ1116" s="10"/>
      <c r="AK1116" s="10"/>
      <c r="AL1116" s="10"/>
      <c r="AM1116" s="10"/>
      <c r="AN1116" s="10"/>
      <c r="AO1116" s="10"/>
      <c r="AP1116" s="10"/>
      <c r="AQ1116" s="10"/>
      <c r="AR1116" s="10"/>
      <c r="AS1116" s="10"/>
      <c r="AT1116" s="10"/>
      <c r="AU1116" s="10"/>
      <c r="AV1116" s="10"/>
      <c r="AW1116" s="143"/>
      <c r="AX1116" s="10"/>
      <c r="AY1116" s="10"/>
      <c r="AZ1116" s="10"/>
      <c r="BE1116" s="10"/>
      <c r="BF1116" s="10"/>
      <c r="BG1116" s="10"/>
      <c r="BH1116" s="10"/>
      <c r="BI1116" s="10"/>
      <c r="BJ1116" s="10"/>
      <c r="BK1116" s="10"/>
      <c r="BL1116" s="10"/>
      <c r="BO1116" s="10"/>
      <c r="BR1116" s="10"/>
      <c r="BS1116" s="10"/>
      <c r="BT1116" s="10"/>
      <c r="BW1116" s="10"/>
    </row>
    <row r="1117">
      <c r="A1117" s="10"/>
      <c r="B1117" s="10"/>
      <c r="C1117" s="10"/>
      <c r="D1117" s="10"/>
      <c r="E1117" s="10"/>
      <c r="F1117" s="10"/>
      <c r="G1117" s="10"/>
      <c r="H1117" s="10"/>
      <c r="I1117" s="10"/>
      <c r="J1117" s="10"/>
      <c r="N1117" s="10"/>
      <c r="O1117" s="10"/>
      <c r="T1117" s="10"/>
      <c r="U1117" s="10"/>
      <c r="V1117" s="10"/>
      <c r="W1117" s="10"/>
      <c r="X1117" s="10"/>
      <c r="Y1117" s="10"/>
      <c r="Z1117" s="10"/>
      <c r="AA1117" s="10"/>
      <c r="AB1117" s="10"/>
      <c r="AC1117" s="10"/>
      <c r="AD1117" s="10"/>
      <c r="AE1117" s="10"/>
      <c r="AF1117" s="10"/>
      <c r="AG1117" s="10"/>
      <c r="AH1117" s="10"/>
      <c r="AI1117" s="10"/>
      <c r="AJ1117" s="10"/>
      <c r="AK1117" s="10"/>
      <c r="AL1117" s="10"/>
      <c r="AM1117" s="10"/>
      <c r="AN1117" s="10"/>
      <c r="AO1117" s="10"/>
      <c r="AP1117" s="10"/>
      <c r="AQ1117" s="10"/>
      <c r="AR1117" s="10"/>
      <c r="AS1117" s="10"/>
      <c r="AT1117" s="10"/>
      <c r="AU1117" s="10"/>
      <c r="AV1117" s="10"/>
      <c r="AW1117" s="143"/>
      <c r="AX1117" s="10"/>
      <c r="AY1117" s="10"/>
      <c r="AZ1117" s="10"/>
      <c r="BE1117" s="10"/>
      <c r="BF1117" s="10"/>
      <c r="BG1117" s="10"/>
      <c r="BH1117" s="10"/>
      <c r="BI1117" s="10"/>
      <c r="BJ1117" s="10"/>
      <c r="BK1117" s="10"/>
      <c r="BS1117" s="10"/>
      <c r="BT1117" s="10"/>
      <c r="BW1117" s="10"/>
    </row>
    <row r="1118">
      <c r="A1118" s="10"/>
      <c r="B1118" s="10"/>
      <c r="C1118" s="10"/>
      <c r="D1118" s="10"/>
      <c r="E1118" s="10"/>
      <c r="F1118" s="10"/>
      <c r="G1118" s="10"/>
      <c r="H1118" s="10"/>
      <c r="I1118" s="10"/>
      <c r="J1118" s="10"/>
      <c r="N1118" s="10"/>
      <c r="O1118" s="10"/>
      <c r="T1118" s="10"/>
      <c r="U1118" s="10"/>
      <c r="V1118" s="10"/>
      <c r="W1118" s="10"/>
      <c r="X1118" s="10"/>
      <c r="Y1118" s="10"/>
      <c r="Z1118" s="10"/>
      <c r="AA1118" s="10"/>
      <c r="AB1118" s="10"/>
      <c r="AC1118" s="10"/>
      <c r="AD1118" s="10"/>
      <c r="AE1118" s="10"/>
      <c r="AF1118" s="10"/>
      <c r="AG1118" s="10"/>
      <c r="AH1118" s="10"/>
      <c r="AI1118" s="10"/>
      <c r="AJ1118" s="10"/>
      <c r="AK1118" s="10"/>
      <c r="AL1118" s="10"/>
      <c r="AM1118" s="10"/>
      <c r="AN1118" s="10"/>
      <c r="AO1118" s="10"/>
      <c r="AP1118" s="10"/>
      <c r="AQ1118" s="10"/>
      <c r="AR1118" s="10"/>
      <c r="AS1118" s="10"/>
      <c r="AT1118" s="10"/>
      <c r="AU1118" s="10"/>
      <c r="AV1118" s="10"/>
      <c r="AW1118" s="143"/>
      <c r="AX1118" s="10"/>
      <c r="AY1118" s="10"/>
      <c r="AZ1118" s="10"/>
      <c r="BE1118" s="10"/>
      <c r="BF1118" s="10"/>
      <c r="BG1118" s="10"/>
      <c r="BH1118" s="10"/>
      <c r="BI1118" s="10"/>
      <c r="BJ1118" s="10"/>
      <c r="BK1118" s="10"/>
      <c r="BM1118" s="10"/>
      <c r="BP1118" s="10"/>
      <c r="BS1118" s="10"/>
      <c r="BT1118" s="10"/>
      <c r="BW1118" s="10"/>
    </row>
    <row r="1119">
      <c r="A1119" s="10"/>
      <c r="B1119" s="10"/>
      <c r="C1119" s="10"/>
      <c r="D1119" s="10"/>
      <c r="E1119" s="10"/>
      <c r="F1119" s="10"/>
      <c r="G1119" s="10"/>
      <c r="H1119" s="10"/>
      <c r="I1119" s="10"/>
      <c r="J1119" s="10"/>
      <c r="N1119" s="10"/>
      <c r="O1119" s="10"/>
      <c r="Q1119" s="10"/>
      <c r="R1119" s="10"/>
      <c r="S1119" s="10"/>
      <c r="T1119" s="10"/>
      <c r="U1119" s="10"/>
      <c r="V1119" s="10"/>
      <c r="W1119" s="10"/>
      <c r="X1119" s="10"/>
      <c r="Y1119" s="10"/>
      <c r="Z1119" s="10"/>
      <c r="AA1119" s="10"/>
      <c r="AB1119" s="10"/>
      <c r="AC1119" s="10"/>
      <c r="AD1119" s="10"/>
      <c r="AE1119" s="10"/>
      <c r="AF1119" s="10"/>
      <c r="AG1119" s="10"/>
      <c r="AH1119" s="10"/>
      <c r="AI1119" s="10"/>
      <c r="AJ1119" s="10"/>
      <c r="AK1119" s="10"/>
      <c r="AL1119" s="10"/>
      <c r="AM1119" s="10"/>
      <c r="AN1119" s="10"/>
      <c r="AO1119" s="10"/>
      <c r="AP1119" s="10"/>
      <c r="AQ1119" s="10"/>
      <c r="AR1119" s="10"/>
      <c r="AS1119" s="10"/>
      <c r="AT1119" s="10"/>
      <c r="AU1119" s="10"/>
      <c r="AV1119" s="10"/>
      <c r="AW1119" s="143"/>
      <c r="AX1119" s="10"/>
      <c r="AY1119" s="10"/>
      <c r="BE1119" s="10"/>
      <c r="BF1119" s="10"/>
      <c r="BG1119" s="10"/>
      <c r="BH1119" s="10"/>
      <c r="BI1119" s="10"/>
      <c r="BJ1119" s="10"/>
      <c r="BK1119" s="10"/>
      <c r="BL1119" s="10"/>
      <c r="BO1119" s="10"/>
      <c r="BR1119" s="10"/>
      <c r="BS1119" s="10"/>
      <c r="BT1119" s="10"/>
      <c r="BW1119" s="10"/>
    </row>
    <row r="1120">
      <c r="A1120" s="10"/>
      <c r="B1120" s="10"/>
      <c r="C1120" s="10"/>
      <c r="D1120" s="10"/>
      <c r="E1120" s="10"/>
      <c r="F1120" s="10"/>
      <c r="G1120" s="10"/>
      <c r="H1120" s="10"/>
      <c r="I1120" s="10"/>
      <c r="J1120" s="10"/>
      <c r="N1120" s="10"/>
      <c r="O1120" s="10"/>
      <c r="T1120" s="10"/>
      <c r="U1120" s="10"/>
      <c r="V1120" s="10"/>
      <c r="W1120" s="10"/>
      <c r="X1120" s="10"/>
      <c r="Y1120" s="10"/>
      <c r="Z1120" s="10"/>
      <c r="AA1120" s="10"/>
      <c r="AB1120" s="10"/>
      <c r="AC1120" s="10"/>
      <c r="AD1120" s="10"/>
      <c r="AE1120" s="10"/>
      <c r="AF1120" s="10"/>
      <c r="AG1120" s="10"/>
      <c r="AH1120" s="10"/>
      <c r="AI1120" s="10"/>
      <c r="AJ1120" s="10"/>
      <c r="AK1120" s="10"/>
      <c r="AL1120" s="10"/>
      <c r="AM1120" s="10"/>
      <c r="AN1120" s="10"/>
      <c r="AO1120" s="10"/>
      <c r="AP1120" s="10"/>
      <c r="AQ1120" s="10"/>
      <c r="AR1120" s="10"/>
      <c r="AS1120" s="10"/>
      <c r="AT1120" s="10"/>
      <c r="AU1120" s="10"/>
      <c r="AV1120" s="10"/>
      <c r="AW1120" s="143"/>
      <c r="AX1120" s="10"/>
      <c r="AY1120" s="10"/>
      <c r="BE1120" s="10"/>
      <c r="BF1120" s="10"/>
      <c r="BG1120" s="10"/>
      <c r="BH1120" s="10"/>
      <c r="BI1120" s="10"/>
      <c r="BJ1120" s="10"/>
      <c r="BK1120" s="10"/>
      <c r="BS1120" s="10"/>
      <c r="BT1120" s="10"/>
      <c r="BW1120" s="10"/>
    </row>
    <row r="1121">
      <c r="A1121" s="10"/>
      <c r="B1121" s="10"/>
      <c r="C1121" s="10"/>
      <c r="D1121" s="10"/>
      <c r="E1121" s="10"/>
      <c r="F1121" s="10"/>
      <c r="G1121" s="10"/>
      <c r="H1121" s="10"/>
      <c r="I1121" s="10"/>
      <c r="J1121" s="10"/>
      <c r="N1121" s="10"/>
      <c r="O1121" s="10"/>
      <c r="T1121" s="10"/>
      <c r="U1121" s="10"/>
      <c r="V1121" s="10"/>
      <c r="W1121" s="10"/>
      <c r="X1121" s="10"/>
      <c r="Y1121" s="10"/>
      <c r="Z1121" s="10"/>
      <c r="AA1121" s="10"/>
      <c r="AB1121" s="10"/>
      <c r="AC1121" s="10"/>
      <c r="AD1121" s="10"/>
      <c r="AE1121" s="10"/>
      <c r="AF1121" s="10"/>
      <c r="AG1121" s="10"/>
      <c r="AH1121" s="10"/>
      <c r="AI1121" s="10"/>
      <c r="AJ1121" s="10"/>
      <c r="AK1121" s="10"/>
      <c r="AL1121" s="10"/>
      <c r="AM1121" s="10"/>
      <c r="AN1121" s="10"/>
      <c r="AO1121" s="10"/>
      <c r="AP1121" s="10"/>
      <c r="AQ1121" s="10"/>
      <c r="AR1121" s="10"/>
      <c r="AS1121" s="10"/>
      <c r="AT1121" s="10"/>
      <c r="AU1121" s="10"/>
      <c r="AV1121" s="10"/>
      <c r="AW1121" s="143"/>
      <c r="AX1121" s="10"/>
      <c r="AY1121" s="10"/>
      <c r="BE1121" s="10"/>
      <c r="BF1121" s="10"/>
      <c r="BG1121" s="10"/>
      <c r="BH1121" s="10"/>
      <c r="BI1121" s="10"/>
      <c r="BJ1121" s="10"/>
      <c r="BK1121" s="10"/>
      <c r="BS1121" s="10"/>
      <c r="BT1121" s="10"/>
      <c r="BW1121" s="10"/>
    </row>
    <row r="1122">
      <c r="A1122" s="10"/>
      <c r="B1122" s="10"/>
      <c r="C1122" s="10"/>
      <c r="D1122" s="10"/>
      <c r="E1122" s="10"/>
      <c r="F1122" s="10"/>
      <c r="G1122" s="10"/>
      <c r="H1122" s="10"/>
      <c r="I1122" s="10"/>
      <c r="J1122" s="10"/>
      <c r="N1122" s="10"/>
      <c r="O1122" s="10"/>
      <c r="T1122" s="10"/>
      <c r="U1122" s="10"/>
      <c r="V1122" s="10"/>
      <c r="W1122" s="10"/>
      <c r="X1122" s="10"/>
      <c r="Y1122" s="10"/>
      <c r="Z1122" s="10"/>
      <c r="AA1122" s="10"/>
      <c r="AB1122" s="10"/>
      <c r="AC1122" s="10"/>
      <c r="AD1122" s="10"/>
      <c r="AE1122" s="10"/>
      <c r="AF1122" s="10"/>
      <c r="AG1122" s="10"/>
      <c r="AH1122" s="10"/>
      <c r="AI1122" s="10"/>
      <c r="AJ1122" s="10"/>
      <c r="AK1122" s="10"/>
      <c r="AL1122" s="10"/>
      <c r="AM1122" s="10"/>
      <c r="AN1122" s="10"/>
      <c r="AO1122" s="10"/>
      <c r="AP1122" s="10"/>
      <c r="AQ1122" s="10"/>
      <c r="AR1122" s="10"/>
      <c r="AS1122" s="10"/>
      <c r="AT1122" s="10"/>
      <c r="AU1122" s="10"/>
      <c r="AV1122" s="10"/>
      <c r="AW1122" s="143"/>
      <c r="AX1122" s="10"/>
      <c r="AY1122" s="10"/>
      <c r="BE1122" s="10"/>
      <c r="BF1122" s="10"/>
      <c r="BG1122" s="10"/>
      <c r="BH1122" s="10"/>
      <c r="BI1122" s="10"/>
      <c r="BJ1122" s="10"/>
      <c r="BK1122" s="10"/>
      <c r="BS1122" s="10"/>
      <c r="BT1122" s="10"/>
      <c r="BW1122" s="10"/>
    </row>
    <row r="1123">
      <c r="A1123" s="10"/>
      <c r="B1123" s="10"/>
      <c r="C1123" s="10"/>
      <c r="D1123" s="10"/>
      <c r="E1123" s="10"/>
      <c r="F1123" s="10"/>
      <c r="G1123" s="10"/>
      <c r="H1123" s="10"/>
      <c r="I1123" s="10"/>
      <c r="J1123" s="10"/>
      <c r="N1123" s="10"/>
      <c r="O1123" s="10"/>
      <c r="T1123" s="10"/>
      <c r="U1123" s="10"/>
      <c r="V1123" s="10"/>
      <c r="W1123" s="10"/>
      <c r="X1123" s="10"/>
      <c r="Y1123" s="10"/>
      <c r="Z1123" s="10"/>
      <c r="AA1123" s="10"/>
      <c r="AB1123" s="10"/>
      <c r="AC1123" s="10"/>
      <c r="AD1123" s="10"/>
      <c r="AE1123" s="10"/>
      <c r="AF1123" s="10"/>
      <c r="AG1123" s="10"/>
      <c r="AH1123" s="10"/>
      <c r="AI1123" s="10"/>
      <c r="AJ1123" s="10"/>
      <c r="AK1123" s="10"/>
      <c r="AL1123" s="10"/>
      <c r="AM1123" s="10"/>
      <c r="AN1123" s="10"/>
      <c r="AO1123" s="10"/>
      <c r="AP1123" s="10"/>
      <c r="AQ1123" s="10"/>
      <c r="AR1123" s="10"/>
      <c r="AS1123" s="10"/>
      <c r="AT1123" s="10"/>
      <c r="AU1123" s="10"/>
      <c r="AV1123" s="10"/>
      <c r="AW1123" s="143"/>
      <c r="AX1123" s="10"/>
      <c r="AY1123" s="10"/>
      <c r="BE1123" s="10"/>
      <c r="BF1123" s="10"/>
      <c r="BG1123" s="10"/>
      <c r="BH1123" s="10"/>
      <c r="BI1123" s="10"/>
      <c r="BJ1123" s="10"/>
      <c r="BK1123" s="10"/>
      <c r="BS1123" s="10"/>
      <c r="BT1123" s="10"/>
      <c r="BW1123" s="10"/>
    </row>
    <row r="1124">
      <c r="A1124" s="10"/>
      <c r="B1124" s="10"/>
      <c r="C1124" s="10"/>
      <c r="D1124" s="10"/>
      <c r="E1124" s="10"/>
      <c r="F1124" s="10"/>
      <c r="G1124" s="10"/>
      <c r="H1124" s="10"/>
      <c r="I1124" s="10"/>
      <c r="J1124" s="10"/>
      <c r="N1124" s="10"/>
      <c r="O1124" s="10"/>
      <c r="T1124" s="10"/>
      <c r="U1124" s="10"/>
      <c r="V1124" s="10"/>
      <c r="W1124" s="10"/>
      <c r="X1124" s="10"/>
      <c r="Y1124" s="10"/>
      <c r="Z1124" s="10"/>
      <c r="AA1124" s="10"/>
      <c r="AB1124" s="10"/>
      <c r="AC1124" s="10"/>
      <c r="AD1124" s="10"/>
      <c r="AE1124" s="10"/>
      <c r="AF1124" s="10"/>
      <c r="AG1124" s="10"/>
      <c r="AH1124" s="10"/>
      <c r="AI1124" s="10"/>
      <c r="AJ1124" s="10"/>
      <c r="AK1124" s="10"/>
      <c r="AL1124" s="10"/>
      <c r="AM1124" s="10"/>
      <c r="AN1124" s="10"/>
      <c r="AO1124" s="10"/>
      <c r="AP1124" s="10"/>
      <c r="AQ1124" s="10"/>
      <c r="AR1124" s="10"/>
      <c r="AS1124" s="10"/>
      <c r="AT1124" s="10"/>
      <c r="AU1124" s="10"/>
      <c r="AV1124" s="10"/>
      <c r="AW1124" s="143"/>
      <c r="AX1124" s="10"/>
      <c r="AY1124" s="10"/>
      <c r="BE1124" s="10"/>
      <c r="BF1124" s="10"/>
      <c r="BG1124" s="10"/>
      <c r="BH1124" s="10"/>
      <c r="BI1124" s="10"/>
      <c r="BJ1124" s="10"/>
      <c r="BK1124" s="10"/>
      <c r="BS1124" s="10"/>
      <c r="BT1124" s="10"/>
      <c r="BW1124" s="10"/>
    </row>
    <row r="1125">
      <c r="A1125" s="10"/>
      <c r="B1125" s="10"/>
      <c r="C1125" s="10"/>
      <c r="D1125" s="10"/>
      <c r="E1125" s="10"/>
      <c r="F1125" s="10"/>
      <c r="G1125" s="10"/>
      <c r="H1125" s="10"/>
      <c r="I1125" s="10"/>
      <c r="J1125" s="10"/>
      <c r="N1125" s="10"/>
      <c r="O1125" s="10"/>
      <c r="T1125" s="10"/>
      <c r="U1125" s="10"/>
      <c r="V1125" s="10"/>
      <c r="W1125" s="10"/>
      <c r="X1125" s="10"/>
      <c r="Y1125" s="10"/>
      <c r="Z1125" s="10"/>
      <c r="AA1125" s="10"/>
      <c r="AB1125" s="10"/>
      <c r="AC1125" s="10"/>
      <c r="AD1125" s="10"/>
      <c r="AE1125" s="10"/>
      <c r="AF1125" s="10"/>
      <c r="AG1125" s="10"/>
      <c r="AH1125" s="10"/>
      <c r="AI1125" s="10"/>
      <c r="AJ1125" s="10"/>
      <c r="AK1125" s="10"/>
      <c r="AL1125" s="10"/>
      <c r="AM1125" s="10"/>
      <c r="AN1125" s="10"/>
      <c r="AO1125" s="10"/>
      <c r="AP1125" s="10"/>
      <c r="AQ1125" s="10"/>
      <c r="AR1125" s="10"/>
      <c r="AS1125" s="10"/>
      <c r="AT1125" s="10"/>
      <c r="AU1125" s="10"/>
      <c r="AV1125" s="10"/>
      <c r="AW1125" s="143"/>
      <c r="AX1125" s="10"/>
      <c r="AY1125" s="10"/>
      <c r="BE1125" s="10"/>
      <c r="BF1125" s="10"/>
      <c r="BG1125" s="10"/>
      <c r="BH1125" s="10"/>
      <c r="BI1125" s="10"/>
      <c r="BJ1125" s="10"/>
      <c r="BK1125" s="10"/>
      <c r="BS1125" s="10"/>
      <c r="BT1125" s="10"/>
      <c r="BW1125" s="10"/>
    </row>
    <row r="1126">
      <c r="A1126" s="10"/>
      <c r="B1126" s="10"/>
      <c r="C1126" s="10"/>
      <c r="D1126" s="10"/>
      <c r="E1126" s="10"/>
      <c r="F1126" s="10"/>
      <c r="G1126" s="10"/>
      <c r="H1126" s="10"/>
      <c r="I1126" s="10"/>
      <c r="J1126" s="10"/>
      <c r="N1126" s="10"/>
      <c r="O1126" s="10"/>
      <c r="P1126" s="10"/>
      <c r="T1126" s="10"/>
      <c r="U1126" s="10"/>
      <c r="V1126" s="10"/>
      <c r="W1126" s="10"/>
      <c r="X1126" s="10"/>
      <c r="Y1126" s="10"/>
      <c r="Z1126" s="10"/>
      <c r="AA1126" s="10"/>
      <c r="AB1126" s="10"/>
      <c r="AC1126" s="10"/>
      <c r="AD1126" s="10"/>
      <c r="AE1126" s="10"/>
      <c r="AF1126" s="10"/>
      <c r="AG1126" s="10"/>
      <c r="AH1126" s="10"/>
      <c r="AI1126" s="10"/>
      <c r="AJ1126" s="10"/>
      <c r="AK1126" s="10"/>
      <c r="AL1126" s="10"/>
      <c r="AM1126" s="10"/>
      <c r="AN1126" s="10"/>
      <c r="AO1126" s="10"/>
      <c r="AP1126" s="10"/>
      <c r="AQ1126" s="10"/>
      <c r="AR1126" s="10"/>
      <c r="AS1126" s="10"/>
      <c r="AT1126" s="10"/>
      <c r="AU1126" s="10"/>
      <c r="AV1126" s="10"/>
      <c r="AW1126" s="143"/>
      <c r="AX1126" s="10"/>
      <c r="AY1126" s="10"/>
      <c r="AZ1126" s="10"/>
      <c r="BL1126" s="10"/>
      <c r="BO1126" s="10"/>
      <c r="BR1126" s="10"/>
      <c r="BS1126" s="10"/>
      <c r="BT1126" s="10"/>
      <c r="BW1126" s="10"/>
    </row>
    <row r="1127">
      <c r="A1127" s="10"/>
      <c r="B1127" s="10"/>
      <c r="C1127" s="10"/>
      <c r="D1127" s="10"/>
      <c r="E1127" s="10"/>
      <c r="F1127" s="10"/>
      <c r="G1127" s="10"/>
      <c r="H1127" s="10"/>
      <c r="I1127" s="10"/>
      <c r="J1127" s="10"/>
      <c r="N1127" s="10"/>
      <c r="O1127" s="10"/>
      <c r="Q1127" s="10"/>
      <c r="R1127" s="10"/>
      <c r="S1127" s="10"/>
      <c r="T1127" s="10"/>
      <c r="U1127" s="10"/>
      <c r="V1127" s="10"/>
      <c r="W1127" s="10"/>
      <c r="X1127" s="10"/>
      <c r="Y1127" s="10"/>
      <c r="Z1127" s="10"/>
      <c r="AA1127" s="10"/>
      <c r="AB1127" s="10"/>
      <c r="AC1127" s="10"/>
      <c r="AD1127" s="10"/>
      <c r="AE1127" s="10"/>
      <c r="AF1127" s="10"/>
      <c r="AG1127" s="10"/>
      <c r="AH1127" s="10"/>
      <c r="AI1127" s="10"/>
      <c r="AJ1127" s="10"/>
      <c r="AK1127" s="10"/>
      <c r="AL1127" s="10"/>
      <c r="AM1127" s="10"/>
      <c r="AN1127" s="10"/>
      <c r="AO1127" s="10"/>
      <c r="AP1127" s="10"/>
      <c r="AQ1127" s="10"/>
      <c r="AR1127" s="10"/>
      <c r="AS1127" s="10"/>
      <c r="AT1127" s="10"/>
      <c r="AU1127" s="10"/>
      <c r="AV1127" s="10"/>
      <c r="AW1127" s="143"/>
      <c r="AX1127" s="10"/>
      <c r="AY1127" s="10"/>
      <c r="BE1127" s="10"/>
      <c r="BF1127" s="10"/>
      <c r="BG1127" s="10"/>
      <c r="BH1127" s="10"/>
      <c r="BI1127" s="10"/>
      <c r="BJ1127" s="10"/>
      <c r="BK1127" s="10"/>
      <c r="BL1127" s="10"/>
      <c r="BM1127" s="10"/>
      <c r="BN1127" s="10"/>
      <c r="BO1127" s="10"/>
      <c r="BP1127" s="10"/>
      <c r="BQ1127" s="10"/>
      <c r="BR1127" s="10"/>
      <c r="BS1127" s="10"/>
      <c r="BT1127" s="10"/>
      <c r="BW1127" s="10"/>
    </row>
    <row r="1128">
      <c r="A1128" s="10"/>
      <c r="B1128" s="10"/>
      <c r="C1128" s="10"/>
      <c r="D1128" s="10"/>
      <c r="E1128" s="10"/>
      <c r="F1128" s="10"/>
      <c r="G1128" s="10"/>
      <c r="H1128" s="10"/>
      <c r="I1128" s="10"/>
      <c r="J1128" s="10"/>
      <c r="N1128" s="10"/>
      <c r="O1128" s="10"/>
      <c r="T1128" s="10"/>
      <c r="U1128" s="10"/>
      <c r="V1128" s="10"/>
      <c r="W1128" s="10"/>
      <c r="X1128" s="10"/>
      <c r="Y1128" s="10"/>
      <c r="Z1128" s="10"/>
      <c r="AA1128" s="10"/>
      <c r="AB1128" s="10"/>
      <c r="AC1128" s="10"/>
      <c r="AD1128" s="10"/>
      <c r="AE1128" s="10"/>
      <c r="AF1128" s="10"/>
      <c r="AG1128" s="10"/>
      <c r="AH1128" s="10"/>
      <c r="AI1128" s="10"/>
      <c r="AJ1128" s="10"/>
      <c r="AK1128" s="10"/>
      <c r="AL1128" s="10"/>
      <c r="AM1128" s="10"/>
      <c r="AN1128" s="10"/>
      <c r="AO1128" s="10"/>
      <c r="AP1128" s="10"/>
      <c r="AQ1128" s="10"/>
      <c r="AR1128" s="10"/>
      <c r="AS1128" s="10"/>
      <c r="AT1128" s="10"/>
      <c r="AU1128" s="10"/>
      <c r="AV1128" s="10"/>
      <c r="AW1128" s="143"/>
      <c r="AX1128" s="10"/>
      <c r="AY1128" s="10"/>
      <c r="BE1128" s="10"/>
      <c r="BF1128" s="10"/>
      <c r="BG1128" s="10"/>
      <c r="BH1128" s="10"/>
      <c r="BI1128" s="10"/>
      <c r="BJ1128" s="10"/>
      <c r="BK1128" s="10"/>
      <c r="BS1128" s="10"/>
      <c r="BT1128" s="10"/>
      <c r="BW1128" s="10"/>
    </row>
    <row r="1129">
      <c r="A1129" s="10"/>
      <c r="B1129" s="10"/>
      <c r="C1129" s="10"/>
      <c r="D1129" s="10"/>
      <c r="E1129" s="10"/>
      <c r="F1129" s="10"/>
      <c r="G1129" s="10"/>
      <c r="H1129" s="10"/>
      <c r="I1129" s="10"/>
      <c r="J1129" s="10"/>
      <c r="N1129" s="10"/>
      <c r="O1129" s="10"/>
      <c r="T1129" s="10"/>
      <c r="U1129" s="10"/>
      <c r="V1129" s="10"/>
      <c r="W1129" s="10"/>
      <c r="X1129" s="10"/>
      <c r="Y1129" s="10"/>
      <c r="Z1129" s="10"/>
      <c r="AA1129" s="10"/>
      <c r="AB1129" s="10"/>
      <c r="AC1129" s="10"/>
      <c r="AD1129" s="10"/>
      <c r="AE1129" s="10"/>
      <c r="AF1129" s="10"/>
      <c r="AG1129" s="10"/>
      <c r="AH1129" s="10"/>
      <c r="AI1129" s="10"/>
      <c r="AJ1129" s="10"/>
      <c r="AK1129" s="10"/>
      <c r="AL1129" s="10"/>
      <c r="AM1129" s="10"/>
      <c r="AN1129" s="10"/>
      <c r="AO1129" s="10"/>
      <c r="AP1129" s="10"/>
      <c r="AQ1129" s="10"/>
      <c r="AR1129" s="10"/>
      <c r="AS1129" s="10"/>
      <c r="AT1129" s="10"/>
      <c r="AU1129" s="10"/>
      <c r="AV1129" s="10"/>
      <c r="AW1129" s="143"/>
      <c r="AX1129" s="10"/>
      <c r="AY1129" s="10"/>
      <c r="BE1129" s="10"/>
      <c r="BF1129" s="10"/>
      <c r="BG1129" s="10"/>
      <c r="BH1129" s="10"/>
      <c r="BI1129" s="10"/>
      <c r="BJ1129" s="10"/>
      <c r="BK1129" s="10"/>
      <c r="BS1129" s="10"/>
      <c r="BT1129" s="10"/>
      <c r="BW1129" s="10"/>
    </row>
    <row r="1130">
      <c r="A1130" s="10"/>
      <c r="B1130" s="10"/>
      <c r="C1130" s="10"/>
      <c r="D1130" s="10"/>
      <c r="E1130" s="10"/>
      <c r="F1130" s="10"/>
      <c r="G1130" s="10"/>
      <c r="H1130" s="10"/>
      <c r="I1130" s="10"/>
      <c r="J1130" s="10"/>
      <c r="N1130" s="10"/>
      <c r="O1130" s="10"/>
      <c r="T1130" s="10"/>
      <c r="U1130" s="10"/>
      <c r="V1130" s="10"/>
      <c r="W1130" s="10"/>
      <c r="X1130" s="10"/>
      <c r="Y1130" s="10"/>
      <c r="Z1130" s="10"/>
      <c r="AA1130" s="10"/>
      <c r="AB1130" s="10"/>
      <c r="AC1130" s="10"/>
      <c r="AD1130" s="10"/>
      <c r="AE1130" s="10"/>
      <c r="AF1130" s="10"/>
      <c r="AG1130" s="10"/>
      <c r="AH1130" s="10"/>
      <c r="AI1130" s="10"/>
      <c r="AJ1130" s="10"/>
      <c r="AK1130" s="10"/>
      <c r="AL1130" s="10"/>
      <c r="AM1130" s="10"/>
      <c r="AN1130" s="10"/>
      <c r="AO1130" s="10"/>
      <c r="AP1130" s="10"/>
      <c r="AQ1130" s="10"/>
      <c r="AR1130" s="10"/>
      <c r="AS1130" s="10"/>
      <c r="AT1130" s="10"/>
      <c r="AU1130" s="10"/>
      <c r="AV1130" s="10"/>
      <c r="AW1130" s="143"/>
      <c r="AX1130" s="10"/>
      <c r="AY1130" s="10"/>
      <c r="BE1130" s="10"/>
      <c r="BF1130" s="10"/>
      <c r="BG1130" s="10"/>
      <c r="BH1130" s="10"/>
      <c r="BI1130" s="10"/>
      <c r="BJ1130" s="10"/>
      <c r="BK1130" s="10"/>
      <c r="BS1130" s="10"/>
      <c r="BT1130" s="10"/>
      <c r="BW1130" s="10"/>
    </row>
    <row r="1131">
      <c r="A1131" s="10"/>
      <c r="B1131" s="10"/>
      <c r="C1131" s="10"/>
      <c r="D1131" s="10"/>
      <c r="E1131" s="10"/>
      <c r="F1131" s="10"/>
      <c r="G1131" s="10"/>
      <c r="H1131" s="10"/>
      <c r="I1131" s="10"/>
      <c r="J1131" s="10"/>
      <c r="N1131" s="10"/>
      <c r="O1131" s="10"/>
      <c r="T1131" s="10"/>
      <c r="U1131" s="10"/>
      <c r="V1131" s="10"/>
      <c r="W1131" s="10"/>
      <c r="X1131" s="10"/>
      <c r="Y1131" s="10"/>
      <c r="Z1131" s="10"/>
      <c r="AA1131" s="10"/>
      <c r="AB1131" s="10"/>
      <c r="AC1131" s="10"/>
      <c r="AD1131" s="10"/>
      <c r="AE1131" s="10"/>
      <c r="AF1131" s="10"/>
      <c r="AG1131" s="10"/>
      <c r="AH1131" s="10"/>
      <c r="AI1131" s="10"/>
      <c r="AJ1131" s="10"/>
      <c r="AK1131" s="10"/>
      <c r="AL1131" s="10"/>
      <c r="AM1131" s="10"/>
      <c r="AN1131" s="10"/>
      <c r="AO1131" s="10"/>
      <c r="AP1131" s="10"/>
      <c r="AQ1131" s="10"/>
      <c r="AR1131" s="10"/>
      <c r="AS1131" s="10"/>
      <c r="AT1131" s="10"/>
      <c r="AU1131" s="10"/>
      <c r="AV1131" s="10"/>
      <c r="AW1131" s="143"/>
      <c r="AX1131" s="10"/>
      <c r="AY1131" s="10"/>
      <c r="BE1131" s="10"/>
      <c r="BF1131" s="10"/>
      <c r="BG1131" s="10"/>
      <c r="BH1131" s="10"/>
      <c r="BI1131" s="10"/>
      <c r="BJ1131" s="10"/>
      <c r="BK1131" s="10"/>
      <c r="BS1131" s="10"/>
      <c r="BT1131" s="10"/>
      <c r="BW1131" s="10"/>
    </row>
    <row r="1132">
      <c r="A1132" s="10"/>
      <c r="B1132" s="10"/>
      <c r="C1132" s="10"/>
      <c r="D1132" s="10"/>
      <c r="E1132" s="10"/>
      <c r="F1132" s="10"/>
      <c r="G1132" s="10"/>
      <c r="H1132" s="10"/>
      <c r="I1132" s="10"/>
      <c r="J1132" s="10"/>
      <c r="N1132" s="10"/>
      <c r="O1132" s="10"/>
      <c r="T1132" s="10"/>
      <c r="U1132" s="10"/>
      <c r="V1132" s="10"/>
      <c r="W1132" s="10"/>
      <c r="X1132" s="10"/>
      <c r="Y1132" s="10"/>
      <c r="Z1132" s="10"/>
      <c r="AA1132" s="10"/>
      <c r="AB1132" s="10"/>
      <c r="AC1132" s="10"/>
      <c r="AD1132" s="10"/>
      <c r="AE1132" s="10"/>
      <c r="AF1132" s="10"/>
      <c r="AG1132" s="10"/>
      <c r="AH1132" s="10"/>
      <c r="AI1132" s="10"/>
      <c r="AJ1132" s="10"/>
      <c r="AK1132" s="10"/>
      <c r="AL1132" s="10"/>
      <c r="AM1132" s="10"/>
      <c r="AN1132" s="10"/>
      <c r="AO1132" s="10"/>
      <c r="AP1132" s="10"/>
      <c r="AQ1132" s="10"/>
      <c r="AR1132" s="10"/>
      <c r="AS1132" s="10"/>
      <c r="AT1132" s="10"/>
      <c r="AU1132" s="10"/>
      <c r="AV1132" s="10"/>
      <c r="AW1132" s="143"/>
      <c r="AX1132" s="10"/>
      <c r="AY1132" s="10"/>
      <c r="BE1132" s="10"/>
      <c r="BF1132" s="10"/>
      <c r="BG1132" s="10"/>
      <c r="BH1132" s="10"/>
      <c r="BI1132" s="10"/>
      <c r="BJ1132" s="10"/>
      <c r="BK1132" s="10"/>
      <c r="BS1132" s="10"/>
      <c r="BT1132" s="10"/>
      <c r="BW1132" s="10"/>
    </row>
    <row r="1133">
      <c r="A1133" s="10"/>
      <c r="B1133" s="10"/>
      <c r="C1133" s="10"/>
      <c r="D1133" s="10"/>
      <c r="E1133" s="10"/>
      <c r="F1133" s="10"/>
      <c r="G1133" s="10"/>
      <c r="H1133" s="10"/>
      <c r="I1133" s="10"/>
      <c r="J1133" s="10"/>
      <c r="N1133" s="10"/>
      <c r="O1133" s="10"/>
      <c r="T1133" s="10"/>
      <c r="U1133" s="10"/>
      <c r="V1133" s="10"/>
      <c r="W1133" s="10"/>
      <c r="X1133" s="10"/>
      <c r="Y1133" s="10"/>
      <c r="Z1133" s="10"/>
      <c r="AA1133" s="10"/>
      <c r="AB1133" s="10"/>
      <c r="AC1133" s="10"/>
      <c r="AD1133" s="10"/>
      <c r="AE1133" s="10"/>
      <c r="AF1133" s="10"/>
      <c r="AG1133" s="10"/>
      <c r="AH1133" s="10"/>
      <c r="AI1133" s="10"/>
      <c r="AJ1133" s="10"/>
      <c r="AK1133" s="10"/>
      <c r="AL1133" s="10"/>
      <c r="AM1133" s="10"/>
      <c r="AN1133" s="10"/>
      <c r="AO1133" s="10"/>
      <c r="AP1133" s="10"/>
      <c r="AQ1133" s="10"/>
      <c r="AR1133" s="10"/>
      <c r="AS1133" s="10"/>
      <c r="AT1133" s="10"/>
      <c r="AU1133" s="10"/>
      <c r="AV1133" s="10"/>
      <c r="AW1133" s="143"/>
      <c r="AX1133" s="10"/>
      <c r="AY1133" s="10"/>
      <c r="BE1133" s="10"/>
      <c r="BF1133" s="10"/>
      <c r="BG1133" s="10"/>
      <c r="BH1133" s="10"/>
      <c r="BI1133" s="10"/>
      <c r="BJ1133" s="10"/>
      <c r="BK1133" s="10"/>
      <c r="BS1133" s="10"/>
      <c r="BT1133" s="10"/>
      <c r="BW1133" s="10"/>
    </row>
    <row r="1134">
      <c r="A1134" s="10"/>
      <c r="B1134" s="10"/>
      <c r="C1134" s="10"/>
      <c r="D1134" s="10"/>
      <c r="E1134" s="10"/>
      <c r="F1134" s="10"/>
      <c r="G1134" s="10"/>
      <c r="H1134" s="10"/>
      <c r="I1134" s="10"/>
      <c r="J1134" s="10"/>
      <c r="N1134" s="10"/>
      <c r="O1134" s="10"/>
      <c r="T1134" s="10"/>
      <c r="U1134" s="10"/>
      <c r="V1134" s="10"/>
      <c r="W1134" s="10"/>
      <c r="X1134" s="10"/>
      <c r="Y1134" s="10"/>
      <c r="Z1134" s="10"/>
      <c r="AA1134" s="10"/>
      <c r="AB1134" s="10"/>
      <c r="AC1134" s="10"/>
      <c r="AD1134" s="10"/>
      <c r="AE1134" s="10"/>
      <c r="AF1134" s="10"/>
      <c r="AG1134" s="10"/>
      <c r="AH1134" s="10"/>
      <c r="AI1134" s="10"/>
      <c r="AJ1134" s="10"/>
      <c r="AK1134" s="10"/>
      <c r="AL1134" s="10"/>
      <c r="AM1134" s="10"/>
      <c r="AN1134" s="10"/>
      <c r="AO1134" s="10"/>
      <c r="AP1134" s="10"/>
      <c r="AQ1134" s="10"/>
      <c r="AR1134" s="10"/>
      <c r="AS1134" s="10"/>
      <c r="AT1134" s="10"/>
      <c r="AU1134" s="10"/>
      <c r="AV1134" s="10"/>
      <c r="AW1134" s="143"/>
      <c r="AX1134" s="10"/>
      <c r="AY1134" s="10"/>
      <c r="BE1134" s="10"/>
      <c r="BF1134" s="10"/>
      <c r="BG1134" s="10"/>
      <c r="BH1134" s="10"/>
      <c r="BI1134" s="10"/>
      <c r="BJ1134" s="10"/>
      <c r="BK1134" s="10"/>
      <c r="BS1134" s="10"/>
      <c r="BT1134" s="10"/>
      <c r="BW1134" s="10"/>
    </row>
    <row r="1135">
      <c r="A1135" s="10"/>
      <c r="B1135" s="10"/>
      <c r="C1135" s="10"/>
      <c r="D1135" s="10"/>
      <c r="E1135" s="10"/>
      <c r="F1135" s="10"/>
      <c r="G1135" s="10"/>
      <c r="H1135" s="10"/>
      <c r="I1135" s="10"/>
      <c r="J1135" s="10"/>
      <c r="N1135" s="10"/>
      <c r="O1135" s="10"/>
      <c r="T1135" s="10"/>
      <c r="U1135" s="10"/>
      <c r="V1135" s="10"/>
      <c r="W1135" s="10"/>
      <c r="X1135" s="10"/>
      <c r="Y1135" s="10"/>
      <c r="Z1135" s="10"/>
      <c r="AA1135" s="10"/>
      <c r="AB1135" s="10"/>
      <c r="AC1135" s="10"/>
      <c r="AD1135" s="10"/>
      <c r="AE1135" s="10"/>
      <c r="AF1135" s="10"/>
      <c r="AG1135" s="10"/>
      <c r="AH1135" s="10"/>
      <c r="AI1135" s="10"/>
      <c r="AJ1135" s="10"/>
      <c r="AK1135" s="10"/>
      <c r="AL1135" s="10"/>
      <c r="AM1135" s="10"/>
      <c r="AN1135" s="10"/>
      <c r="AO1135" s="10"/>
      <c r="AP1135" s="10"/>
      <c r="AQ1135" s="10"/>
      <c r="AR1135" s="10"/>
      <c r="AS1135" s="10"/>
      <c r="AT1135" s="10"/>
      <c r="AU1135" s="10"/>
      <c r="AV1135" s="10"/>
      <c r="AW1135" s="143"/>
      <c r="AX1135" s="10"/>
      <c r="AY1135" s="10"/>
      <c r="BE1135" s="10"/>
      <c r="BF1135" s="10"/>
      <c r="BG1135" s="10"/>
      <c r="BH1135" s="10"/>
      <c r="BI1135" s="10"/>
      <c r="BJ1135" s="10"/>
      <c r="BK1135" s="10"/>
      <c r="BS1135" s="10"/>
      <c r="BT1135" s="10"/>
      <c r="BW1135" s="10"/>
    </row>
    <row r="1136">
      <c r="A1136" s="10"/>
      <c r="B1136" s="10"/>
      <c r="C1136" s="10"/>
      <c r="D1136" s="10"/>
      <c r="E1136" s="10"/>
      <c r="F1136" s="10"/>
      <c r="G1136" s="10"/>
      <c r="H1136" s="10"/>
      <c r="I1136" s="10"/>
      <c r="J1136" s="10"/>
      <c r="N1136" s="10"/>
      <c r="O1136" s="10"/>
      <c r="P1136" s="10"/>
      <c r="T1136" s="10"/>
      <c r="U1136" s="10"/>
      <c r="V1136" s="10"/>
      <c r="W1136" s="10"/>
      <c r="X1136" s="10"/>
      <c r="Y1136" s="10"/>
      <c r="Z1136" s="10"/>
      <c r="AA1136" s="10"/>
      <c r="AB1136" s="10"/>
      <c r="AC1136" s="10"/>
      <c r="AD1136" s="10"/>
      <c r="AE1136" s="10"/>
      <c r="AF1136" s="10"/>
      <c r="AG1136" s="10"/>
      <c r="AH1136" s="10"/>
      <c r="AI1136" s="10"/>
      <c r="AJ1136" s="10"/>
      <c r="AK1136" s="10"/>
      <c r="AL1136" s="10"/>
      <c r="AM1136" s="10"/>
      <c r="AN1136" s="10"/>
      <c r="AO1136" s="10"/>
      <c r="AP1136" s="10"/>
      <c r="AQ1136" s="10"/>
      <c r="AR1136" s="10"/>
      <c r="AS1136" s="10"/>
      <c r="AT1136" s="10"/>
      <c r="AU1136" s="10"/>
      <c r="AV1136" s="10"/>
      <c r="AW1136" s="143"/>
      <c r="AX1136" s="10"/>
      <c r="AY1136" s="10"/>
      <c r="BE1136" s="10"/>
      <c r="BF1136" s="10"/>
      <c r="BG1136" s="10"/>
      <c r="BH1136" s="10"/>
      <c r="BI1136" s="10"/>
      <c r="BJ1136" s="10"/>
      <c r="BK1136" s="10"/>
      <c r="BS1136" s="10"/>
      <c r="BT1136" s="10"/>
      <c r="BW1136" s="10"/>
    </row>
    <row r="1137">
      <c r="A1137" s="10"/>
      <c r="B1137" s="10"/>
      <c r="C1137" s="10"/>
      <c r="D1137" s="10"/>
      <c r="E1137" s="10"/>
      <c r="F1137" s="10"/>
      <c r="G1137" s="10"/>
      <c r="H1137" s="10"/>
      <c r="I1137" s="10"/>
      <c r="J1137" s="10"/>
      <c r="K1137" s="10"/>
      <c r="L1137" s="10"/>
      <c r="N1137" s="10"/>
      <c r="O1137" s="10"/>
      <c r="P1137" s="10"/>
      <c r="Q1137" s="10"/>
      <c r="R1137" s="10"/>
      <c r="S1137" s="10"/>
      <c r="T1137" s="10"/>
      <c r="U1137" s="10"/>
      <c r="V1137" s="10"/>
      <c r="W1137" s="10"/>
      <c r="X1137" s="10"/>
      <c r="Y1137" s="10"/>
      <c r="Z1137" s="10"/>
      <c r="AA1137" s="10"/>
      <c r="AB1137" s="10"/>
      <c r="AC1137" s="10"/>
      <c r="AD1137" s="10"/>
      <c r="AE1137" s="10"/>
      <c r="AF1137" s="10"/>
      <c r="AG1137" s="10"/>
      <c r="AH1137" s="10"/>
      <c r="AI1137" s="10"/>
      <c r="AJ1137" s="10"/>
      <c r="AK1137" s="10"/>
      <c r="AL1137" s="10"/>
      <c r="AM1137" s="10"/>
      <c r="AN1137" s="10"/>
      <c r="AO1137" s="10"/>
      <c r="AP1137" s="10"/>
      <c r="AQ1137" s="10"/>
      <c r="AR1137" s="10"/>
      <c r="AS1137" s="10"/>
      <c r="AT1137" s="10"/>
      <c r="AU1137" s="10"/>
      <c r="AV1137" s="10"/>
      <c r="AW1137" s="143"/>
      <c r="AX1137" s="10"/>
      <c r="AY1137" s="10"/>
      <c r="BE1137" s="10"/>
      <c r="BF1137" s="10"/>
      <c r="BG1137" s="10"/>
      <c r="BH1137" s="10"/>
      <c r="BI1137" s="10"/>
      <c r="BJ1137" s="10"/>
      <c r="BK1137" s="10"/>
      <c r="BL1137" s="10"/>
      <c r="BM1137" s="10"/>
      <c r="BN1137" s="10"/>
      <c r="BO1137" s="10"/>
      <c r="BP1137" s="10"/>
      <c r="BQ1137" s="10"/>
      <c r="BR1137" s="10"/>
      <c r="BS1137" s="10"/>
      <c r="BT1137" s="10"/>
      <c r="BW1137" s="10"/>
    </row>
    <row r="1138">
      <c r="C1138" s="10"/>
      <c r="D1138" s="10"/>
      <c r="E1138" s="10"/>
      <c r="F1138" s="10"/>
      <c r="G1138" s="10"/>
      <c r="V1138" s="10"/>
      <c r="Y1138" s="10"/>
      <c r="Z1138" s="10"/>
      <c r="AA1138" s="10"/>
      <c r="AB1138" s="10"/>
      <c r="AC1138" s="10"/>
      <c r="AD1138" s="10"/>
      <c r="AE1138" s="10"/>
      <c r="AF1138" s="10"/>
      <c r="AG1138" s="10"/>
      <c r="AH1138" s="10"/>
      <c r="AI1138" s="10"/>
      <c r="AL1138" s="10"/>
      <c r="AM1138" s="10"/>
      <c r="AO1138" s="10"/>
      <c r="AW1138" s="143"/>
      <c r="BE1138" s="10"/>
      <c r="BF1138" s="10"/>
      <c r="BG1138" s="10"/>
      <c r="BH1138" s="10"/>
      <c r="BI1138" s="10"/>
      <c r="BJ1138" s="10"/>
      <c r="BK1138" s="10"/>
      <c r="BW1138" s="10"/>
    </row>
    <row r="1139">
      <c r="C1139" s="10"/>
      <c r="D1139" s="10"/>
      <c r="E1139" s="10"/>
      <c r="F1139" s="10"/>
      <c r="V1139" s="10"/>
      <c r="AE1139" s="10"/>
      <c r="AO1139" s="10"/>
      <c r="AW1139" s="143"/>
    </row>
    <row r="1140">
      <c r="C1140" s="10"/>
      <c r="D1140" s="10"/>
      <c r="E1140" s="10"/>
      <c r="F1140" s="10"/>
      <c r="V1140" s="10"/>
      <c r="AE1140" s="10"/>
      <c r="AO1140" s="10"/>
      <c r="AW1140" s="143"/>
    </row>
    <row r="1141">
      <c r="C1141" s="10"/>
      <c r="D1141" s="10"/>
      <c r="E1141" s="10"/>
      <c r="F1141" s="10"/>
      <c r="V1141" s="10"/>
      <c r="AE1141" s="10"/>
      <c r="AO1141" s="10"/>
      <c r="AW1141" s="143"/>
    </row>
    <row r="1142">
      <c r="C1142" s="10"/>
      <c r="D1142" s="10"/>
      <c r="E1142" s="10"/>
      <c r="F1142" s="10"/>
      <c r="V1142" s="10"/>
      <c r="AE1142" s="10"/>
      <c r="AO1142" s="10"/>
      <c r="AW1142" s="143"/>
    </row>
    <row r="1143">
      <c r="C1143" s="10"/>
      <c r="D1143" s="10"/>
      <c r="E1143" s="10"/>
      <c r="F1143" s="10"/>
      <c r="V1143" s="10"/>
      <c r="AE1143" s="10"/>
      <c r="AO1143" s="10"/>
      <c r="AW1143" s="143"/>
    </row>
    <row r="1144">
      <c r="C1144" s="10"/>
      <c r="D1144" s="10"/>
      <c r="E1144" s="10"/>
      <c r="F1144" s="10"/>
      <c r="V1144" s="10"/>
      <c r="AE1144" s="10"/>
      <c r="AW1144" s="143"/>
    </row>
    <row r="1145">
      <c r="C1145" s="10"/>
      <c r="D1145" s="10"/>
      <c r="E1145" s="10"/>
      <c r="F1145" s="10"/>
      <c r="V1145" s="10"/>
      <c r="AE1145" s="10"/>
      <c r="AW1145" s="143"/>
    </row>
    <row r="1146">
      <c r="C1146" s="10"/>
      <c r="D1146" s="10"/>
      <c r="E1146" s="10"/>
      <c r="F1146" s="10"/>
      <c r="V1146" s="10"/>
      <c r="AE1146" s="10"/>
      <c r="AW1146" s="143"/>
    </row>
    <row r="1147">
      <c r="C1147" s="10"/>
      <c r="D1147" s="10"/>
      <c r="E1147" s="10"/>
      <c r="F1147" s="10"/>
      <c r="V1147" s="10"/>
      <c r="AE1147" s="10"/>
      <c r="AW1147" s="143"/>
    </row>
    <row r="1148">
      <c r="V1148" s="10"/>
      <c r="AE1148" s="10"/>
      <c r="AW1148" s="143"/>
    </row>
    <row r="1149">
      <c r="V1149" s="10"/>
      <c r="AE1149" s="10"/>
      <c r="AW1149" s="143"/>
    </row>
    <row r="1150">
      <c r="V1150" s="10"/>
      <c r="AE1150" s="10"/>
      <c r="AW1150" s="143"/>
    </row>
    <row r="1151">
      <c r="V1151" s="10"/>
      <c r="AE1151" s="10"/>
      <c r="AW1151" s="143"/>
    </row>
    <row r="1152">
      <c r="V1152" s="10"/>
      <c r="AE1152" s="10"/>
      <c r="AW1152" s="143"/>
    </row>
    <row r="1153">
      <c r="AE1153" s="10"/>
      <c r="AW1153" s="143"/>
    </row>
    <row r="1154">
      <c r="AE1154" s="10"/>
      <c r="AW1154" s="143"/>
    </row>
    <row r="1155">
      <c r="AE1155" s="10"/>
      <c r="AW1155" s="143"/>
    </row>
    <row r="1156">
      <c r="AW1156" s="143"/>
    </row>
    <row r="1157">
      <c r="AW1157" s="143"/>
    </row>
    <row r="1158">
      <c r="AW1158" s="143"/>
    </row>
    <row r="1159">
      <c r="AW1159" s="143"/>
    </row>
    <row r="1160">
      <c r="AW1160" s="143"/>
    </row>
    <row r="1161">
      <c r="AW1161" s="143"/>
    </row>
    <row r="1162">
      <c r="AW1162" s="143"/>
    </row>
    <row r="1163">
      <c r="AW1163" s="143"/>
    </row>
    <row r="1164">
      <c r="AW1164" s="143"/>
    </row>
    <row r="1165">
      <c r="AW1165" s="143"/>
    </row>
    <row r="1166">
      <c r="AW1166" s="143"/>
    </row>
    <row r="1167">
      <c r="AW1167" s="143"/>
    </row>
    <row r="1168">
      <c r="AW1168" s="143"/>
    </row>
    <row r="1169">
      <c r="AW1169" s="143"/>
    </row>
    <row r="1170">
      <c r="AW1170" s="143"/>
    </row>
    <row r="1171">
      <c r="AW1171" s="143"/>
    </row>
    <row r="1172">
      <c r="AW1172" s="143"/>
    </row>
    <row r="1173">
      <c r="AW1173" s="143"/>
    </row>
    <row r="1174">
      <c r="AW1174" s="143"/>
    </row>
    <row r="1175">
      <c r="AW1175" s="143"/>
    </row>
    <row r="1176">
      <c r="AW1176" s="143"/>
    </row>
    <row r="1177">
      <c r="AW1177" s="143"/>
    </row>
    <row r="1178">
      <c r="AW1178" s="143"/>
    </row>
    <row r="1179">
      <c r="AW1179" s="143"/>
    </row>
    <row r="1180">
      <c r="AW1180" s="143"/>
    </row>
    <row r="1181">
      <c r="AW1181" s="143"/>
    </row>
    <row r="1182">
      <c r="AW1182" s="143"/>
    </row>
    <row r="1183">
      <c r="AW1183" s="143"/>
    </row>
    <row r="1184">
      <c r="AW1184" s="143"/>
    </row>
    <row r="1185">
      <c r="AW1185" s="143"/>
    </row>
    <row r="1186">
      <c r="AW1186" s="143"/>
    </row>
    <row r="1187">
      <c r="AW1187" s="143"/>
    </row>
    <row r="1188">
      <c r="AW1188" s="143"/>
    </row>
    <row r="1189">
      <c r="AW1189" s="143"/>
    </row>
    <row r="1190">
      <c r="AW1190" s="143"/>
    </row>
    <row r="1191">
      <c r="AW1191" s="143"/>
    </row>
    <row r="1192">
      <c r="AW1192" s="143"/>
    </row>
    <row r="1193">
      <c r="AW1193" s="143"/>
    </row>
    <row r="1194">
      <c r="AW1194" s="143"/>
    </row>
    <row r="1195">
      <c r="AW1195" s="143"/>
    </row>
    <row r="1196">
      <c r="AW1196" s="143"/>
    </row>
    <row r="1197">
      <c r="AW1197" s="143"/>
    </row>
    <row r="1198">
      <c r="AW1198" s="143"/>
    </row>
    <row r="1199">
      <c r="AW1199" s="143"/>
    </row>
    <row r="1200">
      <c r="AW1200" s="143"/>
    </row>
    <row r="1201">
      <c r="AW1201" s="143"/>
    </row>
    <row r="1202">
      <c r="AW1202" s="143"/>
    </row>
    <row r="1203">
      <c r="AW1203" s="143"/>
    </row>
    <row r="1204">
      <c r="AW1204" s="143"/>
    </row>
    <row r="1205">
      <c r="AW1205" s="143"/>
    </row>
    <row r="1206">
      <c r="AW1206" s="143"/>
    </row>
    <row r="1207">
      <c r="AW1207" s="143"/>
    </row>
    <row r="1208">
      <c r="AW1208" s="143"/>
    </row>
    <row r="1209">
      <c r="AW1209" s="143"/>
    </row>
    <row r="1210">
      <c r="AW1210" s="143"/>
    </row>
    <row r="1211">
      <c r="AW1211" s="143"/>
    </row>
    <row r="1212">
      <c r="AW1212" s="143"/>
    </row>
    <row r="1213">
      <c r="AW1213" s="143"/>
    </row>
    <row r="1214">
      <c r="AW1214" s="143"/>
    </row>
    <row r="1215">
      <c r="AW1215" s="143"/>
    </row>
    <row r="1216">
      <c r="AW1216" s="143"/>
    </row>
    <row r="1217">
      <c r="AW1217" s="143"/>
    </row>
    <row r="1218">
      <c r="AW1218" s="143"/>
    </row>
    <row r="1219">
      <c r="AW1219" s="143"/>
    </row>
    <row r="1220">
      <c r="AW1220" s="143"/>
    </row>
    <row r="1221">
      <c r="AW1221" s="143"/>
    </row>
    <row r="1222">
      <c r="AW1222" s="143"/>
    </row>
    <row r="1223">
      <c r="AW1223" s="143"/>
    </row>
    <row r="1224">
      <c r="AW1224" s="143"/>
    </row>
    <row r="1225">
      <c r="AW1225" s="143"/>
    </row>
    <row r="1226">
      <c r="AW1226" s="143"/>
    </row>
    <row r="1227">
      <c r="AW1227" s="143"/>
    </row>
    <row r="1228">
      <c r="AW1228" s="143"/>
    </row>
    <row r="1229">
      <c r="AW1229" s="143"/>
    </row>
    <row r="1230">
      <c r="AW1230" s="143"/>
    </row>
    <row r="1231">
      <c r="AW1231" s="143"/>
    </row>
    <row r="1232">
      <c r="AW1232" s="143"/>
    </row>
    <row r="1233">
      <c r="AW1233" s="143"/>
    </row>
    <row r="1234">
      <c r="AW1234" s="143"/>
    </row>
    <row r="1235">
      <c r="AW1235" s="143"/>
    </row>
    <row r="1236">
      <c r="AW1236" s="143"/>
    </row>
    <row r="1237">
      <c r="AW1237" s="143"/>
    </row>
    <row r="1238">
      <c r="AW1238" s="143"/>
    </row>
    <row r="1239">
      <c r="AW1239" s="143"/>
    </row>
    <row r="1240">
      <c r="AW1240" s="143"/>
    </row>
    <row r="1241">
      <c r="AW1241" s="143"/>
    </row>
    <row r="1242">
      <c r="AW1242" s="143"/>
    </row>
    <row r="1243">
      <c r="AW1243" s="143"/>
    </row>
    <row r="1244">
      <c r="AW1244" s="143"/>
    </row>
    <row r="1245">
      <c r="AW1245" s="143"/>
    </row>
    <row r="1246">
      <c r="AW1246" s="143"/>
    </row>
    <row r="1247">
      <c r="AW1247" s="143"/>
    </row>
    <row r="1248">
      <c r="AW1248" s="143"/>
    </row>
    <row r="1249">
      <c r="AW1249" s="143"/>
    </row>
    <row r="1250">
      <c r="AW1250" s="143"/>
    </row>
    <row r="1251">
      <c r="AW1251" s="143"/>
    </row>
    <row r="1252">
      <c r="AW1252" s="143"/>
    </row>
    <row r="1253">
      <c r="AW1253" s="143"/>
    </row>
    <row r="1254">
      <c r="AW1254" s="143"/>
    </row>
    <row r="1255">
      <c r="AW1255" s="143"/>
    </row>
    <row r="1256">
      <c r="AW1256" s="143"/>
    </row>
    <row r="1257">
      <c r="AW1257" s="143"/>
    </row>
    <row r="1258">
      <c r="AW1258" s="143"/>
    </row>
    <row r="1259">
      <c r="AW1259" s="143"/>
    </row>
    <row r="1260">
      <c r="AW1260" s="143"/>
    </row>
    <row r="1261">
      <c r="AW1261" s="143"/>
    </row>
    <row r="1262">
      <c r="AW1262" s="143"/>
    </row>
    <row r="1263">
      <c r="AW1263" s="143"/>
    </row>
    <row r="1264">
      <c r="AW1264" s="143"/>
    </row>
    <row r="1265">
      <c r="AW1265" s="143"/>
    </row>
    <row r="1266">
      <c r="AW1266" s="143"/>
    </row>
    <row r="1267">
      <c r="AW1267" s="143"/>
    </row>
    <row r="1268">
      <c r="AW1268" s="143"/>
    </row>
    <row r="1269">
      <c r="AW1269" s="143"/>
    </row>
    <row r="1270">
      <c r="AW1270" s="143"/>
    </row>
    <row r="1271">
      <c r="AW1271" s="143"/>
    </row>
    <row r="1272">
      <c r="AW1272" s="143"/>
    </row>
    <row r="1273">
      <c r="AW1273" s="143"/>
    </row>
    <row r="1274">
      <c r="AW1274" s="143"/>
    </row>
    <row r="1275">
      <c r="AW1275" s="143"/>
    </row>
    <row r="1276">
      <c r="AW1276" s="143"/>
    </row>
    <row r="1277">
      <c r="AW1277" s="143"/>
    </row>
    <row r="1278">
      <c r="AW1278" s="143"/>
    </row>
    <row r="1279">
      <c r="AW1279" s="143"/>
    </row>
    <row r="1280">
      <c r="AW1280" s="143"/>
    </row>
    <row r="1281">
      <c r="AW1281" s="143"/>
    </row>
    <row r="1282">
      <c r="AW1282" s="143"/>
    </row>
    <row r="1283">
      <c r="AW1283" s="143"/>
    </row>
    <row r="1284">
      <c r="AW1284" s="143"/>
    </row>
    <row r="1285">
      <c r="AW1285" s="143"/>
    </row>
    <row r="1286">
      <c r="AW1286" s="143"/>
    </row>
    <row r="1287">
      <c r="AW1287" s="143"/>
    </row>
    <row r="1288">
      <c r="AW1288" s="143"/>
    </row>
    <row r="1289">
      <c r="AW1289" s="143"/>
    </row>
    <row r="1290">
      <c r="AW1290" s="143"/>
    </row>
    <row r="1291">
      <c r="AW1291" s="143"/>
    </row>
    <row r="1292">
      <c r="AW1292" s="143"/>
    </row>
    <row r="1293">
      <c r="AW1293" s="143"/>
    </row>
    <row r="1294">
      <c r="AW1294" s="143"/>
    </row>
    <row r="1295">
      <c r="AW1295" s="143"/>
    </row>
    <row r="1296">
      <c r="AW1296" s="143"/>
    </row>
    <row r="1297">
      <c r="AW1297" s="143"/>
    </row>
    <row r="1298">
      <c r="AW1298" s="143"/>
    </row>
    <row r="1299">
      <c r="AW1299" s="143"/>
    </row>
    <row r="1300">
      <c r="AW1300" s="143"/>
    </row>
    <row r="1301">
      <c r="AW1301" s="143"/>
    </row>
    <row r="1302">
      <c r="AW1302" s="143"/>
    </row>
    <row r="1303">
      <c r="AW1303" s="143"/>
    </row>
    <row r="1304">
      <c r="AW1304" s="143"/>
    </row>
    <row r="1305">
      <c r="AW1305" s="143"/>
    </row>
    <row r="1306">
      <c r="AW1306" s="143"/>
    </row>
    <row r="1307">
      <c r="AW1307" s="143"/>
    </row>
    <row r="1308">
      <c r="AW1308" s="143"/>
    </row>
    <row r="1309">
      <c r="AW1309" s="143"/>
    </row>
    <row r="1310">
      <c r="AW1310" s="143"/>
    </row>
    <row r="1311">
      <c r="AW1311" s="143"/>
    </row>
    <row r="1312">
      <c r="AW1312" s="143"/>
    </row>
    <row r="1313">
      <c r="AW1313" s="143"/>
    </row>
    <row r="1314">
      <c r="AW1314" s="143"/>
    </row>
    <row r="1315">
      <c r="AW1315" s="143"/>
    </row>
    <row r="1316">
      <c r="AW1316" s="143"/>
    </row>
    <row r="1317">
      <c r="AW1317" s="143"/>
    </row>
    <row r="1318">
      <c r="AW1318" s="143"/>
    </row>
    <row r="1319">
      <c r="AW1319" s="143"/>
    </row>
    <row r="1320">
      <c r="AW1320" s="143"/>
    </row>
    <row r="1321">
      <c r="AW1321" s="143"/>
    </row>
    <row r="1322">
      <c r="AW1322" s="143"/>
    </row>
    <row r="1323">
      <c r="AW1323" s="143"/>
    </row>
    <row r="1324">
      <c r="AW1324" s="143"/>
    </row>
    <row r="1325">
      <c r="AW1325" s="143"/>
    </row>
    <row r="1326">
      <c r="AW1326" s="143"/>
    </row>
    <row r="1327">
      <c r="AW1327" s="143"/>
    </row>
    <row r="1328">
      <c r="AW1328" s="143"/>
    </row>
    <row r="1329">
      <c r="AW1329" s="143"/>
    </row>
    <row r="1330">
      <c r="AW1330" s="143"/>
    </row>
    <row r="1331">
      <c r="AW1331" s="143"/>
    </row>
    <row r="1332">
      <c r="AW1332" s="143"/>
    </row>
    <row r="1333">
      <c r="AW1333" s="143"/>
    </row>
    <row r="1334">
      <c r="AW1334" s="143"/>
    </row>
    <row r="1335">
      <c r="AW1335" s="143"/>
    </row>
    <row r="1336">
      <c r="AW1336" s="143"/>
    </row>
    <row r="1337">
      <c r="AW1337" s="143"/>
    </row>
    <row r="1338">
      <c r="AW1338" s="143"/>
    </row>
    <row r="1339">
      <c r="AW1339" s="143"/>
    </row>
    <row r="1340">
      <c r="AW1340" s="143"/>
    </row>
    <row r="1341">
      <c r="AW1341" s="143"/>
    </row>
    <row r="1342">
      <c r="AW1342" s="143"/>
    </row>
    <row r="1343">
      <c r="AW1343" s="143"/>
    </row>
    <row r="1344">
      <c r="AW1344" s="143"/>
    </row>
    <row r="1345">
      <c r="AW1345" s="143"/>
    </row>
    <row r="1346">
      <c r="AW1346" s="143"/>
    </row>
    <row r="1347">
      <c r="AW1347" s="143"/>
    </row>
    <row r="1348">
      <c r="AW1348" s="143"/>
    </row>
    <row r="1349">
      <c r="AW1349" s="143"/>
    </row>
    <row r="1350">
      <c r="AW1350" s="143"/>
    </row>
    <row r="1351">
      <c r="AW1351" s="143"/>
    </row>
    <row r="1352">
      <c r="AW1352" s="143"/>
    </row>
    <row r="1353">
      <c r="AW1353" s="143"/>
    </row>
    <row r="1354">
      <c r="AW1354" s="143"/>
    </row>
    <row r="1355">
      <c r="AW1355" s="143"/>
    </row>
    <row r="1356">
      <c r="AW1356" s="143"/>
    </row>
    <row r="1357">
      <c r="AW1357" s="143"/>
    </row>
    <row r="1358">
      <c r="AW1358" s="143"/>
    </row>
    <row r="1359">
      <c r="AW1359" s="143"/>
    </row>
    <row r="1360">
      <c r="AW1360" s="143"/>
    </row>
    <row r="1361">
      <c r="AW1361" s="143"/>
    </row>
    <row r="1362">
      <c r="AW1362" s="143"/>
    </row>
    <row r="1363">
      <c r="AW1363" s="143"/>
    </row>
    <row r="1364">
      <c r="AW1364" s="143"/>
    </row>
    <row r="1365">
      <c r="AW1365" s="143"/>
    </row>
    <row r="1366">
      <c r="AW1366" s="143"/>
    </row>
    <row r="1367">
      <c r="AW1367" s="143"/>
    </row>
    <row r="1368">
      <c r="AW1368" s="143"/>
    </row>
    <row r="1369">
      <c r="AW1369" s="143"/>
    </row>
    <row r="1370">
      <c r="AW1370" s="143"/>
    </row>
    <row r="1371">
      <c r="AW1371" s="143"/>
    </row>
    <row r="1372">
      <c r="AW1372" s="143"/>
    </row>
    <row r="1373">
      <c r="AW1373" s="143"/>
    </row>
    <row r="1374">
      <c r="AW1374" s="143"/>
    </row>
    <row r="1375">
      <c r="AW1375" s="143"/>
    </row>
    <row r="1376">
      <c r="AW1376" s="143"/>
    </row>
    <row r="1377">
      <c r="AW1377" s="143"/>
    </row>
    <row r="1378">
      <c r="AW1378" s="143"/>
    </row>
    <row r="1379">
      <c r="AW1379" s="143"/>
    </row>
    <row r="1380">
      <c r="AW1380" s="143"/>
    </row>
    <row r="1381">
      <c r="AW1381" s="143"/>
    </row>
    <row r="1382">
      <c r="AW1382" s="143"/>
    </row>
  </sheetData>
  <customSheetViews>
    <customSheetView guid="{5B731686-55DD-4ECD-A5E9-94F946142004}" filter="1" showAutoFilter="1">
      <autoFilter ref="$A$1:$BW$1382">
        <filterColumn colId="1">
          <filters blank="1">
            <filter val="Network decomposition"/>
            <filter val="Matrix inversion"/>
            <filter val="Determination of fundamental cycles"/>
            <filter val="SSSP"/>
            <filter val="Graph strong connectivity"/>
            <filter val="Minimum of n values"/>
          </filters>
        </filterColumn>
        <filterColumn colId="2">
          <filters blank="1">
            <filter val="0"/>
          </filters>
        </filterColumn>
      </autoFilter>
    </customSheetView>
    <customSheetView guid="{1FCB2FF3-6EA7-4063-9F70-CDD88B2708F8}" filter="1" showAutoFilter="1">
      <autoFilter ref="$A$1:$BW$1382">
        <filterColumn colId="1">
          <filters>
            <filter val="Network decomposition"/>
            <filter val="Matrix inversion"/>
            <filter val="Determination of fundamental cycles"/>
            <filter val="SSSP"/>
            <filter val="Graph strong connectivity"/>
            <filter val="Minimum of n values"/>
          </filters>
        </filterColumn>
      </autoFilter>
    </customSheetView>
    <customSheetView guid="{BD78F700-EA15-4507-B85B-4F9520AF309C}" filter="1" showAutoFilter="1">
      <autoFilter ref="$C$1:$C$1382">
        <filterColumn colId="0">
          <filters blank="1">
            <filter val="0"/>
          </filters>
        </filterColumn>
      </autoFilter>
    </customSheetView>
    <customSheetView guid="{338F3E80-D509-4F22-9E68-3129878C81AC}" filter="1" showAutoFilter="1">
      <autoFilter ref="$A$1:$BW$1382">
        <filterColumn colId="7">
          <filters blank="1"/>
        </filterColumn>
        <filterColumn colId="8">
          <filters blank="1"/>
        </filterColumn>
        <filterColumn colId="49">
          <filters blank="1"/>
        </filterColumn>
        <filterColumn colId="47">
          <filters blank="1"/>
        </filterColumn>
        <filterColumn colId="44">
          <filters blank="1"/>
        </filterColumn>
      </autoFilter>
    </customSheetView>
    <customSheetView guid="{0092811B-0D96-4821-83DA-C39CFF1F7FF9}" filter="1" showAutoFilter="1">
      <autoFilter ref="$A$1:$BW$1382">
        <filterColumn colId="2">
          <filters>
            <filter val="0"/>
          </filters>
        </filterColumn>
        <filterColumn colId="7">
          <filters blank="1"/>
        </filterColumn>
        <filterColumn colId="37">
          <filters blank="1"/>
        </filterColumn>
      </autoFilter>
    </customSheetView>
  </customSheetViews>
  <conditionalFormatting sqref="C1:C1382">
    <cfRule type="cellIs" dxfId="0" priority="1" operator="equal">
      <formula>1</formula>
    </cfRule>
  </conditionalFormatting>
  <conditionalFormatting sqref="C1:C1382">
    <cfRule type="cellIs" dxfId="1" priority="2" operator="equal">
      <formula>0</formula>
    </cfRule>
  </conditionalFormatting>
  <conditionalFormatting sqref="C1:C1382">
    <cfRule type="cellIs" dxfId="2" priority="3" operator="equal">
      <formula>2</formula>
    </cfRule>
  </conditionalFormatting>
  <conditionalFormatting sqref="C1:C1382">
    <cfRule type="cellIs" dxfId="3" priority="4" operator="equal">
      <formula>0.001</formula>
    </cfRule>
  </conditionalFormatting>
  <hyperlinks>
    <hyperlink r:id="rId2" ref="P2"/>
    <hyperlink r:id="rId3" ref="P3"/>
    <hyperlink r:id="rId4" ref="P4"/>
    <hyperlink r:id="rId5" ref="P5"/>
    <hyperlink r:id="rId6" ref="P6"/>
    <hyperlink r:id="rId7" ref="P7"/>
  </hyperlinks>
  <drawing r:id="rId8"/>
  <legacyDrawing r:id="rId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9.25"/>
    <col customWidth="1" min="2" max="2" width="15.75"/>
    <col customWidth="1" min="3" max="3" width="6.63"/>
    <col customWidth="1" min="4" max="4" width="20.75"/>
    <col customWidth="1" min="6" max="6" width="17.38"/>
    <col hidden="1" min="7" max="11" width="12.63"/>
    <col customWidth="1" min="12" max="12" width="23.38"/>
    <col customWidth="1" min="13" max="13" width="38.63"/>
    <col customWidth="1" min="15" max="15" width="7.25"/>
    <col customWidth="1" min="16" max="16" width="18.13"/>
    <col hidden="1" min="20" max="23" width="12.63"/>
    <col customWidth="1" min="24" max="25" width="14.25"/>
    <col customWidth="1" min="27" max="27" width="14.75"/>
    <col customWidth="1" min="28" max="28" width="17.13"/>
    <col customWidth="1" min="31" max="31" width="17.25"/>
    <col hidden="1" min="48" max="64" width="12.63"/>
  </cols>
  <sheetData>
    <row r="1" ht="63.75" customHeight="1">
      <c r="A1" s="74" t="s">
        <v>2</v>
      </c>
      <c r="B1" s="75" t="s">
        <v>0</v>
      </c>
      <c r="C1" s="76" t="s">
        <v>1695</v>
      </c>
      <c r="D1" s="76" t="s">
        <v>3</v>
      </c>
      <c r="E1" s="74" t="s">
        <v>1696</v>
      </c>
      <c r="F1" s="76" t="s">
        <v>1697</v>
      </c>
      <c r="G1" s="74" t="s">
        <v>1698</v>
      </c>
      <c r="H1" s="74" t="s">
        <v>1699</v>
      </c>
      <c r="I1" s="75" t="s">
        <v>5749</v>
      </c>
      <c r="J1" s="75" t="s">
        <v>1701</v>
      </c>
      <c r="K1" s="77" t="s">
        <v>1702</v>
      </c>
      <c r="L1" s="254" t="s">
        <v>1703</v>
      </c>
      <c r="M1" s="75"/>
      <c r="N1" s="75" t="s">
        <v>1704</v>
      </c>
      <c r="O1" s="75" t="s">
        <v>1705</v>
      </c>
      <c r="P1" s="75" t="s">
        <v>1706</v>
      </c>
      <c r="Q1" s="75" t="s">
        <v>1707</v>
      </c>
      <c r="R1" s="75" t="s">
        <v>1708</v>
      </c>
      <c r="S1" s="74" t="s">
        <v>1709</v>
      </c>
      <c r="T1" s="75" t="s">
        <v>1710</v>
      </c>
      <c r="U1" s="78" t="s">
        <v>1711</v>
      </c>
      <c r="V1" s="76" t="s">
        <v>1712</v>
      </c>
      <c r="W1" s="79" t="s">
        <v>1713</v>
      </c>
      <c r="X1" s="76" t="s">
        <v>6444</v>
      </c>
      <c r="Y1" s="76" t="s">
        <v>6445</v>
      </c>
      <c r="Z1" s="76" t="s">
        <v>6446</v>
      </c>
      <c r="AA1" s="76" t="s">
        <v>6447</v>
      </c>
      <c r="AB1" s="76" t="s">
        <v>6448</v>
      </c>
      <c r="AC1" s="76" t="s">
        <v>6449</v>
      </c>
      <c r="AD1" s="76" t="s">
        <v>6450</v>
      </c>
      <c r="AE1" s="76" t="s">
        <v>1715</v>
      </c>
      <c r="AF1" s="76" t="s">
        <v>1716</v>
      </c>
      <c r="AG1" s="76" t="s">
        <v>1719</v>
      </c>
      <c r="AH1" s="74" t="s">
        <v>6451</v>
      </c>
      <c r="AI1" s="75" t="s">
        <v>1728</v>
      </c>
      <c r="AJ1" s="76" t="s">
        <v>1729</v>
      </c>
      <c r="AK1" s="75" t="s">
        <v>1730</v>
      </c>
      <c r="AL1" s="76" t="s">
        <v>1731</v>
      </c>
      <c r="AM1" s="74" t="s">
        <v>6452</v>
      </c>
      <c r="AN1" s="76" t="s">
        <v>16</v>
      </c>
      <c r="AO1" s="75" t="s">
        <v>1732</v>
      </c>
      <c r="AP1" s="75" t="s">
        <v>1735</v>
      </c>
      <c r="AQ1" s="75" t="s">
        <v>1736</v>
      </c>
      <c r="AR1" s="75" t="s">
        <v>1737</v>
      </c>
      <c r="AS1" s="75" t="s">
        <v>1739</v>
      </c>
      <c r="AT1" s="75" t="s">
        <v>1740</v>
      </c>
      <c r="AU1" s="74" t="s">
        <v>6453</v>
      </c>
      <c r="AV1" s="10" t="s">
        <v>1741</v>
      </c>
      <c r="AW1" s="76" t="s">
        <v>1742</v>
      </c>
      <c r="AX1" s="76" t="s">
        <v>1743</v>
      </c>
      <c r="AY1" s="76" t="s">
        <v>1744</v>
      </c>
      <c r="AZ1" s="76" t="s">
        <v>1745</v>
      </c>
      <c r="BA1" s="76" t="s">
        <v>1746</v>
      </c>
      <c r="BB1" s="76" t="s">
        <v>1747</v>
      </c>
      <c r="BC1" s="75" t="s">
        <v>1748</v>
      </c>
      <c r="BD1" s="75" t="s">
        <v>1749</v>
      </c>
      <c r="BE1" s="76" t="s">
        <v>1750</v>
      </c>
      <c r="BF1" s="75" t="s">
        <v>1751</v>
      </c>
      <c r="BG1" s="75" t="s">
        <v>1752</v>
      </c>
      <c r="BH1" s="76" t="s">
        <v>1753</v>
      </c>
      <c r="BI1" s="74" t="s">
        <v>1754</v>
      </c>
      <c r="BJ1" s="75" t="s">
        <v>1755</v>
      </c>
      <c r="BK1" s="76" t="s">
        <v>1756</v>
      </c>
      <c r="BL1" s="74" t="s">
        <v>1757</v>
      </c>
      <c r="BM1" s="75" t="s">
        <v>1758</v>
      </c>
      <c r="BN1" s="74" t="s">
        <v>1760</v>
      </c>
    </row>
    <row r="2">
      <c r="A2" s="44"/>
      <c r="B2" s="13"/>
      <c r="C2" s="13"/>
      <c r="D2" s="13"/>
      <c r="E2" s="13"/>
      <c r="F2" s="13"/>
      <c r="G2" s="13"/>
      <c r="H2" s="13"/>
      <c r="I2" s="13"/>
      <c r="J2" s="13"/>
      <c r="K2" s="13"/>
      <c r="L2" s="255"/>
      <c r="M2" s="69" t="str">
        <f t="shared" ref="M2:M15" si="1">CONCATENATE("[",P2," ",N2," (",O2,")","]")</f>
        <v>[  ()]</v>
      </c>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6"/>
      <c r="AV2" s="13"/>
      <c r="AW2" s="13"/>
      <c r="AX2" s="13"/>
      <c r="AY2" s="13"/>
      <c r="AZ2" s="13"/>
      <c r="BA2" s="13"/>
      <c r="BB2" s="13"/>
      <c r="BC2" s="13"/>
      <c r="BD2" s="13"/>
      <c r="BE2" s="13"/>
      <c r="BF2" s="13"/>
      <c r="BG2" s="13"/>
      <c r="BH2" s="13"/>
      <c r="BI2" s="13"/>
      <c r="BJ2" s="13"/>
      <c r="BK2" s="13"/>
      <c r="BL2" s="13"/>
      <c r="BM2" s="13"/>
      <c r="BN2" s="13"/>
    </row>
    <row r="3" ht="33.75" customHeight="1">
      <c r="A3" s="6">
        <v>30.0</v>
      </c>
      <c r="B3" s="6" t="s">
        <v>486</v>
      </c>
      <c r="C3" s="6">
        <v>0.001</v>
      </c>
      <c r="D3" s="256" t="s">
        <v>6454</v>
      </c>
      <c r="E3" s="13"/>
      <c r="F3" s="6" t="s">
        <v>6455</v>
      </c>
      <c r="G3" s="13"/>
      <c r="H3" s="13"/>
      <c r="I3" s="13"/>
      <c r="J3" s="13"/>
      <c r="K3" s="13"/>
      <c r="L3" s="257" t="s">
        <v>6456</v>
      </c>
      <c r="M3" s="69" t="str">
        <f t="shared" si="1"/>
        <v>[http://lamport.azurewebsites.net/pubs/bakery.pdf?from=https://research.microsoft.com/users/lamport/pubs/bakery.pdf&amp;type=path Lamport's bakery algorithm (1974)]</v>
      </c>
      <c r="N3" s="256" t="s">
        <v>3339</v>
      </c>
      <c r="O3" s="6">
        <v>1974.0</v>
      </c>
      <c r="P3" s="18" t="s">
        <v>6456</v>
      </c>
      <c r="Q3" s="6" t="s">
        <v>6457</v>
      </c>
      <c r="R3" s="13"/>
      <c r="S3" s="13"/>
      <c r="T3" s="13"/>
      <c r="U3" s="13"/>
      <c r="V3" s="13"/>
      <c r="W3" s="13"/>
      <c r="X3" s="13"/>
      <c r="Y3" s="13"/>
      <c r="Z3" s="13"/>
      <c r="AA3" s="69"/>
      <c r="AB3" s="69"/>
      <c r="AC3" s="198"/>
      <c r="AD3" s="198"/>
      <c r="AE3" s="34" t="s">
        <v>6458</v>
      </c>
      <c r="AF3" s="13"/>
      <c r="AG3" s="6"/>
      <c r="AH3" s="6"/>
      <c r="AI3" s="6"/>
      <c r="AJ3" s="6"/>
      <c r="AK3" s="6"/>
      <c r="AL3" s="13"/>
      <c r="AM3" s="13"/>
      <c r="AN3" s="13"/>
      <c r="AO3" s="6"/>
      <c r="AP3" s="13"/>
      <c r="AQ3" s="13"/>
      <c r="AR3" s="13"/>
      <c r="AS3" s="13"/>
      <c r="AT3" s="13"/>
      <c r="AU3" s="13"/>
      <c r="AV3" s="13"/>
      <c r="AW3" s="13"/>
      <c r="AX3" s="13"/>
      <c r="AY3" s="13"/>
      <c r="AZ3" s="13"/>
      <c r="BA3" s="13"/>
      <c r="BB3" s="13"/>
      <c r="BC3" s="13"/>
      <c r="BD3" s="13"/>
      <c r="BE3" s="13"/>
      <c r="BF3" s="13"/>
      <c r="BG3" s="13"/>
      <c r="BH3" s="13"/>
      <c r="BI3" s="13"/>
      <c r="BJ3" s="13"/>
      <c r="BK3" s="13"/>
      <c r="BL3" s="13"/>
      <c r="BM3" s="13"/>
      <c r="BN3" s="13"/>
    </row>
    <row r="4" ht="85.5" customHeight="1">
      <c r="A4" s="13"/>
      <c r="B4" s="6" t="s">
        <v>6459</v>
      </c>
      <c r="C4" s="6">
        <v>1.0</v>
      </c>
      <c r="D4" s="13"/>
      <c r="E4" s="13"/>
      <c r="F4" s="6" t="s">
        <v>6460</v>
      </c>
      <c r="G4" s="13"/>
      <c r="H4" s="13"/>
      <c r="I4" s="13"/>
      <c r="J4" s="13"/>
      <c r="K4" s="13"/>
      <c r="L4" s="256" t="s">
        <v>6461</v>
      </c>
      <c r="M4" s="69" t="str">
        <f t="shared" si="1"/>
        <v>[Proceedings of the twenty-fifth annual ACM symposium on Theory of computing, pages 201–207. ACM, 1993. 3-Coloring rooted trees (1993)]</v>
      </c>
      <c r="N4" s="6" t="s">
        <v>6462</v>
      </c>
      <c r="O4" s="6">
        <v>1993.0</v>
      </c>
      <c r="P4" s="6" t="s">
        <v>6463</v>
      </c>
      <c r="Q4" s="6" t="s">
        <v>6464</v>
      </c>
      <c r="R4" s="6" t="s">
        <v>5793</v>
      </c>
      <c r="S4" s="13"/>
      <c r="T4" s="13"/>
      <c r="U4" s="13"/>
      <c r="V4" s="13"/>
      <c r="W4" s="13"/>
      <c r="X4" s="13"/>
      <c r="Y4" s="13"/>
      <c r="Z4" s="13"/>
      <c r="AA4" s="69" t="s">
        <v>6465</v>
      </c>
      <c r="AB4" s="34" t="s">
        <v>6466</v>
      </c>
      <c r="AC4" s="13"/>
      <c r="AD4" s="13"/>
      <c r="AE4" s="6" t="s">
        <v>6467</v>
      </c>
      <c r="AF4" s="198"/>
      <c r="AG4" s="69" t="s">
        <v>6468</v>
      </c>
      <c r="AH4" s="69"/>
      <c r="AI4" s="69" t="s">
        <v>6469</v>
      </c>
      <c r="AJ4" s="69" t="s">
        <v>6470</v>
      </c>
      <c r="AK4" s="69" t="s">
        <v>6471</v>
      </c>
      <c r="AL4" s="198"/>
      <c r="AN4" s="198"/>
      <c r="AO4" s="69"/>
      <c r="AP4" s="13"/>
      <c r="AQ4" s="13"/>
      <c r="AR4" s="13"/>
      <c r="AS4" s="13"/>
      <c r="AT4" s="13"/>
      <c r="AU4" s="6"/>
      <c r="AV4" s="13"/>
      <c r="AW4" s="13"/>
      <c r="AX4" s="13"/>
      <c r="AY4" s="13"/>
      <c r="AZ4" s="13"/>
      <c r="BA4" s="13"/>
      <c r="BB4" s="13"/>
      <c r="BC4" s="13"/>
      <c r="BD4" s="13"/>
      <c r="BE4" s="13"/>
      <c r="BF4" s="13"/>
      <c r="BG4" s="13"/>
      <c r="BH4" s="13"/>
      <c r="BI4" s="13"/>
      <c r="BJ4" s="13"/>
      <c r="BK4" s="13"/>
      <c r="BL4" s="13"/>
      <c r="BM4" s="6"/>
      <c r="BN4" s="13"/>
    </row>
    <row r="5">
      <c r="A5" s="13"/>
      <c r="B5" s="6" t="s">
        <v>6472</v>
      </c>
      <c r="C5" s="6">
        <v>1.0</v>
      </c>
      <c r="D5" s="35" t="s">
        <v>6473</v>
      </c>
      <c r="E5" s="13"/>
      <c r="F5" s="6" t="s">
        <v>6474</v>
      </c>
      <c r="G5" s="13"/>
      <c r="H5" s="13"/>
      <c r="I5" s="13"/>
      <c r="J5" s="13"/>
      <c r="K5" s="13"/>
      <c r="L5" s="258" t="s">
        <v>6475</v>
      </c>
      <c r="M5" s="69" t="str">
        <f t="shared" si="1"/>
        <v>[Nathan Linial. Distributive graph algorithms global solutions
from local data. In Proc. of the Symp. on Found. of Comp. Sci.
(FOCS), pages 331–335. IEEE, 1987.
 Linial's coloring algorithm
 (1987)]</v>
      </c>
      <c r="N5" s="35" t="s">
        <v>6473</v>
      </c>
      <c r="O5" s="111">
        <v>1987.0</v>
      </c>
      <c r="P5" s="35" t="s">
        <v>6476</v>
      </c>
      <c r="Q5" s="35" t="s">
        <v>6477</v>
      </c>
      <c r="R5" s="6" t="s">
        <v>5793</v>
      </c>
      <c r="S5" s="13"/>
      <c r="T5" s="13"/>
      <c r="U5" s="13"/>
      <c r="V5" s="13"/>
      <c r="W5" s="13"/>
      <c r="X5" s="13"/>
      <c r="Y5" s="13"/>
      <c r="Z5" s="13"/>
      <c r="AA5" s="9" t="s">
        <v>6478</v>
      </c>
      <c r="AB5" s="35" t="s">
        <v>6476</v>
      </c>
      <c r="AC5" s="9" t="s">
        <v>6479</v>
      </c>
      <c r="AD5" s="13"/>
      <c r="AE5" s="6" t="s">
        <v>6480</v>
      </c>
      <c r="AF5" s="13"/>
      <c r="AG5" s="6" t="s">
        <v>6468</v>
      </c>
      <c r="AH5" s="13"/>
      <c r="AI5" s="13"/>
      <c r="AJ5" s="13"/>
      <c r="AK5" s="13"/>
      <c r="AL5" s="13"/>
      <c r="AM5" s="198" t="s">
        <v>6481</v>
      </c>
      <c r="AN5" s="13"/>
      <c r="AO5" s="13"/>
      <c r="AP5" s="13"/>
      <c r="AQ5" s="13"/>
      <c r="AR5" s="13"/>
      <c r="AS5" s="13"/>
      <c r="AT5" s="13"/>
      <c r="AU5" s="69" t="s">
        <v>6482</v>
      </c>
      <c r="AV5" s="13"/>
      <c r="AW5" s="13"/>
      <c r="AX5" s="13"/>
      <c r="AY5" s="13"/>
      <c r="AZ5" s="13"/>
      <c r="BA5" s="13"/>
      <c r="BB5" s="13"/>
      <c r="BC5" s="13"/>
      <c r="BD5" s="13"/>
      <c r="BE5" s="13"/>
      <c r="BF5" s="13"/>
      <c r="BG5" s="13"/>
      <c r="BH5" s="13"/>
      <c r="BI5" s="13"/>
      <c r="BJ5" s="13"/>
      <c r="BK5" s="13"/>
      <c r="BL5" s="13"/>
      <c r="BM5" s="13"/>
      <c r="BN5" s="13"/>
    </row>
    <row r="6" ht="125.25" customHeight="1">
      <c r="A6" s="13"/>
      <c r="B6" s="34" t="s">
        <v>6483</v>
      </c>
      <c r="C6" s="6">
        <v>1.0</v>
      </c>
      <c r="D6" s="6" t="s">
        <v>6484</v>
      </c>
      <c r="E6" s="13"/>
      <c r="F6" s="6" t="s">
        <v>6485</v>
      </c>
      <c r="G6" s="13"/>
      <c r="H6" s="13"/>
      <c r="I6" s="13"/>
      <c r="J6" s="13"/>
      <c r="K6" s="13"/>
      <c r="L6" s="256" t="s">
        <v>6486</v>
      </c>
      <c r="M6" s="69" t="str">
        <f t="shared" si="1"/>
        <v>[Fabian Kuhn and Rogert Wattenhofer. On the complexity of distributed graph coloring. In Proceedings of the twenty-fifth annual ACM symposium on Principles of distributed computing, pages 7–15. ACM, 2006. Kuhn-Wattenhofer Coloring Algorithm (2006)]</v>
      </c>
      <c r="N6" s="6" t="s">
        <v>6484</v>
      </c>
      <c r="O6" s="111">
        <v>2006.0</v>
      </c>
      <c r="P6" s="6" t="s">
        <v>6486</v>
      </c>
      <c r="Q6" s="35"/>
      <c r="R6" s="6"/>
      <c r="S6" s="13"/>
      <c r="T6" s="13"/>
      <c r="U6" s="13"/>
      <c r="V6" s="13"/>
      <c r="W6" s="13"/>
      <c r="X6" s="13"/>
      <c r="Y6" s="13"/>
      <c r="Z6" s="13"/>
      <c r="AA6" s="9" t="s">
        <v>6487</v>
      </c>
      <c r="AB6" s="6" t="s">
        <v>6486</v>
      </c>
      <c r="AC6" s="6" t="s">
        <v>6488</v>
      </c>
      <c r="AD6" s="13"/>
      <c r="AE6" s="259" t="s">
        <v>6489</v>
      </c>
      <c r="AF6" s="13"/>
      <c r="AG6" s="6" t="s">
        <v>6468</v>
      </c>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row>
    <row r="7" ht="125.25" customHeight="1">
      <c r="A7" s="13"/>
      <c r="B7" s="34" t="s">
        <v>6483</v>
      </c>
      <c r="C7" s="6">
        <v>1.0</v>
      </c>
      <c r="D7" s="6" t="s">
        <v>6490</v>
      </c>
      <c r="E7" s="13"/>
      <c r="F7" s="259" t="s">
        <v>6491</v>
      </c>
      <c r="G7" s="13"/>
      <c r="H7" s="13"/>
      <c r="I7" s="13"/>
      <c r="J7" s="13"/>
      <c r="K7" s="13"/>
      <c r="L7" s="6" t="s">
        <v>6492</v>
      </c>
      <c r="M7" s="69" t="str">
        <f t="shared" si="1"/>
        <v>[Fabian Kuhn. Weak graph colorings: distributed algorithms and applications. In Proceedings of the twenty-first annual symposium on Parallelism in algorithms and architectures, pages 138–144. ACM, 2009. Kuhn’s Algorithm via Defective Coloring (2009)]</v>
      </c>
      <c r="N7" s="9" t="s">
        <v>6490</v>
      </c>
      <c r="O7" s="111">
        <v>2009.0</v>
      </c>
      <c r="P7" s="6" t="s">
        <v>6492</v>
      </c>
      <c r="Q7" s="9" t="s">
        <v>6493</v>
      </c>
      <c r="R7" s="6"/>
      <c r="S7" s="13"/>
      <c r="T7" s="13"/>
      <c r="U7" s="13"/>
      <c r="V7" s="13"/>
      <c r="W7" s="13"/>
      <c r="X7" s="13"/>
      <c r="Y7" s="13"/>
      <c r="Z7" s="13"/>
      <c r="AA7" s="9" t="s">
        <v>6494</v>
      </c>
      <c r="AB7" s="6" t="s">
        <v>6492</v>
      </c>
      <c r="AC7" s="6" t="s">
        <v>6495</v>
      </c>
      <c r="AD7" s="6" t="s">
        <v>2687</v>
      </c>
      <c r="AE7" s="259" t="s">
        <v>6496</v>
      </c>
      <c r="AF7" s="13"/>
      <c r="AG7" s="6" t="s">
        <v>6468</v>
      </c>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6" t="s">
        <v>6497</v>
      </c>
      <c r="BN7" s="13"/>
    </row>
    <row r="8">
      <c r="A8" s="13"/>
      <c r="B8" s="34" t="s">
        <v>6483</v>
      </c>
      <c r="C8" s="6">
        <v>1.0</v>
      </c>
      <c r="D8" s="6" t="s">
        <v>6498</v>
      </c>
      <c r="E8" s="13"/>
      <c r="F8" s="6" t="s">
        <v>6499</v>
      </c>
      <c r="G8" s="13"/>
      <c r="H8" s="13"/>
      <c r="I8" s="13"/>
      <c r="J8" s="13"/>
      <c r="K8" s="13"/>
      <c r="L8" s="6" t="s">
        <v>6500</v>
      </c>
      <c r="M8" s="69" t="str">
        <f t="shared" si="1"/>
        <v>[] Leonid Barenboim. Deterministic (δ+ 1)-coloring in sublinear (in δ) time in static, dynamic and faulty networks. In Proceedings of the 2015 ACM Symposium on Principles of Distributed Computing, pages 345–354. ACM, 2015. Barenboim (2015)]</v>
      </c>
      <c r="N8" s="6" t="s">
        <v>6498</v>
      </c>
      <c r="O8" s="6">
        <v>2015.0</v>
      </c>
      <c r="P8" s="6" t="s">
        <v>6500</v>
      </c>
      <c r="Q8" s="13"/>
      <c r="R8" s="13"/>
      <c r="S8" s="13"/>
      <c r="T8" s="13"/>
      <c r="U8" s="13"/>
      <c r="V8" s="13"/>
      <c r="W8" s="13"/>
      <c r="X8" s="13"/>
      <c r="Y8" s="13"/>
      <c r="Z8" s="13"/>
      <c r="AA8" s="6" t="s">
        <v>6501</v>
      </c>
      <c r="AB8" s="6" t="s">
        <v>6500</v>
      </c>
      <c r="AC8" s="13"/>
      <c r="AD8" s="13"/>
      <c r="AE8" s="6"/>
      <c r="AF8" s="13"/>
      <c r="AG8" s="6" t="s">
        <v>6468</v>
      </c>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row>
    <row r="9">
      <c r="A9" s="13"/>
      <c r="B9" s="34" t="s">
        <v>6502</v>
      </c>
      <c r="C9" s="6">
        <v>0.001</v>
      </c>
      <c r="D9" s="13"/>
      <c r="E9" s="13"/>
      <c r="F9" s="260" t="s">
        <v>6503</v>
      </c>
      <c r="G9" s="13"/>
      <c r="H9" s="13"/>
      <c r="I9" s="13"/>
      <c r="J9" s="13"/>
      <c r="K9" s="13"/>
      <c r="L9" s="255"/>
      <c r="M9" s="69" t="str">
        <f t="shared" si="1"/>
        <v>[  ()]</v>
      </c>
      <c r="N9" s="13"/>
      <c r="O9" s="13"/>
      <c r="P9" s="13"/>
      <c r="Q9" s="13"/>
      <c r="R9" s="13"/>
      <c r="S9" s="13"/>
      <c r="T9" s="13"/>
      <c r="U9" s="13"/>
      <c r="V9" s="13"/>
      <c r="W9" s="13"/>
      <c r="X9" s="13"/>
      <c r="Y9" s="13"/>
      <c r="Z9" s="13"/>
      <c r="AA9" s="13"/>
      <c r="AB9" s="13"/>
      <c r="AC9" s="13"/>
      <c r="AD9" s="13"/>
      <c r="AE9" s="6"/>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row>
    <row r="10">
      <c r="A10" s="13"/>
      <c r="B10" s="34" t="s">
        <v>6504</v>
      </c>
      <c r="C10" s="6">
        <v>1.0</v>
      </c>
      <c r="D10" s="6" t="s">
        <v>6505</v>
      </c>
      <c r="E10" s="13"/>
      <c r="F10" s="6" t="s">
        <v>6506</v>
      </c>
      <c r="G10" s="13"/>
      <c r="H10" s="13"/>
      <c r="I10" s="13"/>
      <c r="J10" s="13"/>
      <c r="K10" s="13"/>
      <c r="L10" s="255"/>
      <c r="M10" s="69" t="str">
        <f t="shared" si="1"/>
        <v>[  ()]</v>
      </c>
      <c r="N10" s="13"/>
      <c r="O10" s="13"/>
      <c r="P10" s="13"/>
      <c r="Q10" s="13"/>
      <c r="R10" s="13"/>
      <c r="S10" s="13"/>
      <c r="T10" s="13"/>
      <c r="U10" s="13"/>
      <c r="V10" s="13"/>
      <c r="W10" s="13"/>
      <c r="X10" s="13"/>
      <c r="Y10" s="6"/>
      <c r="Z10" s="13"/>
      <c r="AA10" s="6" t="s">
        <v>2382</v>
      </c>
      <c r="AB10" s="13"/>
      <c r="AC10" s="13"/>
      <c r="AD10" s="13"/>
      <c r="AE10" s="6" t="s">
        <v>6507</v>
      </c>
      <c r="AF10" s="13"/>
      <c r="AG10" s="6" t="s">
        <v>6468</v>
      </c>
      <c r="AH10" s="6"/>
      <c r="AI10" s="6" t="s">
        <v>5793</v>
      </c>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row>
    <row r="11" ht="100.5" customHeight="1">
      <c r="A11" s="13"/>
      <c r="B11" s="35" t="s">
        <v>6504</v>
      </c>
      <c r="C11" s="6">
        <v>1.0</v>
      </c>
      <c r="D11" s="6" t="s">
        <v>6508</v>
      </c>
      <c r="E11" s="13"/>
      <c r="F11" s="6" t="s">
        <v>6509</v>
      </c>
      <c r="G11" s="13"/>
      <c r="H11" s="13"/>
      <c r="I11" s="13"/>
      <c r="J11" s="13"/>
      <c r="K11" s="13"/>
      <c r="L11" s="13"/>
      <c r="M11" s="69" t="str">
        <f t="shared" si="1"/>
        <v>[ Sublogarithmic-Time Randomized Coloring ()]</v>
      </c>
      <c r="N11" s="6" t="s">
        <v>6508</v>
      </c>
      <c r="O11" s="6"/>
      <c r="P11" s="13"/>
      <c r="Q11" s="6" t="s">
        <v>22</v>
      </c>
      <c r="R11" s="13"/>
      <c r="S11" s="13"/>
      <c r="T11" s="13"/>
      <c r="U11" s="13"/>
      <c r="V11" s="13"/>
      <c r="W11" s="13"/>
      <c r="X11" s="13"/>
      <c r="Y11" s="6"/>
      <c r="Z11" s="13"/>
      <c r="AA11" s="6" t="s">
        <v>6510</v>
      </c>
      <c r="AB11" s="13"/>
      <c r="AC11" s="13"/>
      <c r="AD11" s="13"/>
      <c r="AE11" s="6" t="s">
        <v>6507</v>
      </c>
      <c r="AF11" s="13"/>
      <c r="AG11" s="6" t="s">
        <v>6468</v>
      </c>
      <c r="AH11" s="6"/>
      <c r="AI11" s="6" t="s">
        <v>6471</v>
      </c>
      <c r="AJ11" s="6" t="s">
        <v>6511</v>
      </c>
      <c r="AK11" s="13"/>
      <c r="AL11" s="13"/>
      <c r="AM11" s="6" t="s">
        <v>6512</v>
      </c>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row>
    <row r="12" ht="100.5" customHeight="1">
      <c r="A12" s="13"/>
      <c r="B12" s="35" t="s">
        <v>6504</v>
      </c>
      <c r="C12" s="6">
        <v>1.0</v>
      </c>
      <c r="D12" s="6" t="s">
        <v>6513</v>
      </c>
      <c r="E12" s="13"/>
      <c r="F12" s="6" t="s">
        <v>6514</v>
      </c>
      <c r="G12" s="13"/>
      <c r="H12" s="13"/>
      <c r="I12" s="13"/>
      <c r="J12" s="13"/>
      <c r="K12" s="13"/>
      <c r="L12" s="6" t="s">
        <v>6515</v>
      </c>
      <c r="M12" s="69" t="str">
        <f t="shared" si="1"/>
        <v>[Michael Luby. A simple parallel algorithm for the maximal independent set problem. In Proc. of the Symp. on Theory of Comp. (STOC), pages 1–10, 1985. Luby's MIS Algorithm (1985)]</v>
      </c>
      <c r="N12" s="6" t="s">
        <v>6513</v>
      </c>
      <c r="O12" s="6">
        <v>1985.0</v>
      </c>
      <c r="P12" s="6" t="s">
        <v>6515</v>
      </c>
      <c r="Q12" s="6" t="s">
        <v>22</v>
      </c>
      <c r="R12" s="13"/>
      <c r="S12" s="13"/>
      <c r="T12" s="13"/>
      <c r="U12" s="13"/>
      <c r="V12" s="13"/>
      <c r="W12" s="13"/>
      <c r="X12" s="13"/>
      <c r="Y12" s="6"/>
      <c r="Z12" s="13"/>
      <c r="AA12" s="6" t="s">
        <v>2382</v>
      </c>
      <c r="AB12" s="13"/>
      <c r="AC12" s="13"/>
      <c r="AD12" s="13"/>
      <c r="AE12" s="6" t="s">
        <v>6507</v>
      </c>
      <c r="AF12" s="13"/>
      <c r="AG12" s="6" t="s">
        <v>6468</v>
      </c>
      <c r="AH12" s="6"/>
      <c r="AI12" s="6" t="s">
        <v>6471</v>
      </c>
      <c r="AJ12" s="6" t="s">
        <v>6511</v>
      </c>
      <c r="AK12" s="13"/>
      <c r="AL12" s="13"/>
      <c r="AM12" s="6" t="s">
        <v>6516</v>
      </c>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row>
    <row r="13">
      <c r="A13" s="13"/>
      <c r="B13" s="34" t="s">
        <v>6517</v>
      </c>
      <c r="C13" s="6">
        <v>1.0</v>
      </c>
      <c r="D13" s="6" t="s">
        <v>6518</v>
      </c>
      <c r="E13" s="13"/>
      <c r="F13" s="6" t="s">
        <v>6519</v>
      </c>
      <c r="G13" s="13"/>
      <c r="H13" s="13"/>
      <c r="I13" s="13"/>
      <c r="J13" s="13"/>
      <c r="K13" s="13"/>
      <c r="L13" s="261" t="s">
        <v>6520</v>
      </c>
      <c r="M13" s="69" t="str">
        <f t="shared" si="1"/>
        <v>[ NEEDED: https://people.csail.mit.edu/ghaffari/DA22/Notes/DGA.pdf#page=16&amp;zoom=100,134,470 - section 1.5.2\ Randomized Construction ()]</v>
      </c>
      <c r="N13" s="6" t="s">
        <v>6518</v>
      </c>
      <c r="O13" s="13"/>
      <c r="P13" s="261" t="s">
        <v>6520</v>
      </c>
      <c r="Q13" s="13"/>
      <c r="R13" s="6"/>
      <c r="S13" s="13"/>
      <c r="T13" s="13"/>
      <c r="U13" s="13"/>
      <c r="V13" s="13"/>
      <c r="W13" s="13"/>
      <c r="X13" s="13"/>
      <c r="Y13" s="13"/>
      <c r="Z13" s="13"/>
      <c r="AA13" s="6" t="s">
        <v>2933</v>
      </c>
      <c r="AB13" s="13"/>
      <c r="AC13" s="6" t="s">
        <v>6521</v>
      </c>
      <c r="AD13" s="13"/>
      <c r="AE13" s="6" t="s">
        <v>6522</v>
      </c>
      <c r="AF13" s="13"/>
      <c r="AG13" s="6" t="s">
        <v>6468</v>
      </c>
      <c r="AH13" s="6"/>
      <c r="AI13" s="6" t="s">
        <v>6471</v>
      </c>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6" t="s">
        <v>6523</v>
      </c>
      <c r="BN13" s="13"/>
    </row>
    <row r="14" ht="68.25" customHeight="1">
      <c r="A14" s="13"/>
      <c r="B14" s="34" t="s">
        <v>6517</v>
      </c>
      <c r="C14" s="6">
        <v>1.0</v>
      </c>
      <c r="D14" s="6" t="s">
        <v>6524</v>
      </c>
      <c r="E14" s="13"/>
      <c r="F14" s="6" t="s">
        <v>6525</v>
      </c>
      <c r="G14" s="13"/>
      <c r="H14" s="13"/>
      <c r="I14" s="13"/>
      <c r="J14" s="13"/>
      <c r="K14" s="13"/>
      <c r="L14" s="6" t="s">
        <v>6526</v>
      </c>
      <c r="M14" s="69" t="str">
        <f t="shared" si="1"/>
        <v>[Alessandro Panconesi and Aravind Srinivasan. Improved distributed algorithms for coloring and network decomposition problems. In Proc. of the Symp. on Theory of Comp. (STOC), pages 581–592. ACM, 1992. Deterministic Construction 1 (1992)]</v>
      </c>
      <c r="N14" s="6" t="s">
        <v>6527</v>
      </c>
      <c r="O14" s="6">
        <v>1992.0</v>
      </c>
      <c r="P14" s="6" t="s">
        <v>6526</v>
      </c>
      <c r="Q14" s="13"/>
      <c r="R14" s="6"/>
      <c r="S14" s="13"/>
      <c r="T14" s="13"/>
      <c r="U14" s="13"/>
      <c r="V14" s="13"/>
      <c r="W14" s="13"/>
      <c r="X14" s="9" t="s">
        <v>6528</v>
      </c>
      <c r="Y14" s="9"/>
      <c r="Z14" s="13"/>
      <c r="AA14" s="71" t="s">
        <v>6529</v>
      </c>
      <c r="AB14" s="6" t="s">
        <v>6526</v>
      </c>
      <c r="AC14" s="6"/>
      <c r="AD14" s="13"/>
      <c r="AE14" s="6"/>
      <c r="AF14" s="13"/>
      <c r="AG14" s="6" t="s">
        <v>6530</v>
      </c>
      <c r="AH14" s="6"/>
      <c r="AI14" s="6" t="s">
        <v>6531</v>
      </c>
      <c r="AJ14" s="13"/>
      <c r="AK14" s="13"/>
      <c r="AL14" s="13"/>
      <c r="AM14" s="13"/>
      <c r="AN14" s="13"/>
      <c r="AO14" s="13"/>
      <c r="AP14" s="13"/>
      <c r="AQ14" s="13"/>
      <c r="AR14" s="13"/>
      <c r="AS14" s="13"/>
      <c r="AT14" s="13"/>
      <c r="AV14" s="13"/>
      <c r="AW14" s="13"/>
      <c r="AX14" s="13"/>
      <c r="AY14" s="13"/>
      <c r="AZ14" s="13"/>
      <c r="BA14" s="13"/>
      <c r="BB14" s="13"/>
      <c r="BC14" s="13"/>
      <c r="BD14" s="13"/>
      <c r="BE14" s="13"/>
      <c r="BF14" s="13"/>
      <c r="BG14" s="13"/>
      <c r="BH14" s="13"/>
      <c r="BI14" s="13"/>
      <c r="BJ14" s="13"/>
      <c r="BK14" s="13"/>
      <c r="BL14" s="13"/>
      <c r="BM14" s="6"/>
      <c r="BN14" s="13"/>
    </row>
    <row r="15" ht="57.0" customHeight="1">
      <c r="A15" s="13"/>
      <c r="B15" s="34" t="s">
        <v>6517</v>
      </c>
      <c r="C15" s="6">
        <v>1.0</v>
      </c>
      <c r="D15" s="6" t="s">
        <v>6532</v>
      </c>
      <c r="E15" s="13"/>
      <c r="F15" s="6" t="s">
        <v>6533</v>
      </c>
      <c r="G15" s="13"/>
      <c r="H15" s="13"/>
      <c r="I15" s="13"/>
      <c r="J15" s="13"/>
      <c r="K15" s="13"/>
      <c r="L15" s="6" t="s">
        <v>6534</v>
      </c>
      <c r="M15" s="69" t="str">
        <f t="shared" si="1"/>
        <v>[Vaclav Rozhon and Mohsen Ghaffari. Polylogarithmic-time deterministic network decomposition and distributed derandomization. In STOC, page to appear, 2020. Deterministic Construction 2 (2020)]</v>
      </c>
      <c r="N15" s="6" t="s">
        <v>6535</v>
      </c>
      <c r="O15" s="6">
        <v>2020.0</v>
      </c>
      <c r="P15" s="6" t="s">
        <v>6534</v>
      </c>
      <c r="Q15" s="13"/>
      <c r="R15" s="6"/>
      <c r="S15" s="13"/>
      <c r="T15" s="13"/>
      <c r="U15" s="13"/>
      <c r="V15" s="13"/>
      <c r="W15" s="13"/>
      <c r="X15" s="13"/>
      <c r="Y15" s="13"/>
      <c r="Z15" s="13"/>
      <c r="AA15" s="6" t="s">
        <v>6536</v>
      </c>
      <c r="AB15" s="6" t="s">
        <v>6534</v>
      </c>
      <c r="AC15" s="6"/>
      <c r="AD15" s="13"/>
      <c r="AE15" s="6"/>
      <c r="AF15" s="13"/>
      <c r="AG15" s="6" t="s">
        <v>6530</v>
      </c>
      <c r="AH15" s="6"/>
      <c r="AI15" s="6" t="s">
        <v>6531</v>
      </c>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row>
    <row r="16" ht="57.0" customHeight="1">
      <c r="A16" s="13"/>
      <c r="B16" s="35" t="s">
        <v>6537</v>
      </c>
      <c r="C16" s="6">
        <v>1.0</v>
      </c>
      <c r="D16" s="35" t="s">
        <v>6537</v>
      </c>
      <c r="E16" s="13"/>
      <c r="F16" s="6" t="s">
        <v>6538</v>
      </c>
      <c r="G16" s="13"/>
      <c r="H16" s="13"/>
      <c r="I16" s="13"/>
      <c r="J16" s="13"/>
      <c r="K16" s="13"/>
      <c r="L16" s="6"/>
      <c r="M16" s="69"/>
      <c r="N16" s="6"/>
      <c r="O16" s="6"/>
      <c r="P16" s="6"/>
      <c r="Q16" s="13"/>
      <c r="R16" s="6"/>
      <c r="S16" s="13"/>
      <c r="T16" s="13"/>
      <c r="U16" s="13"/>
      <c r="V16" s="13"/>
      <c r="W16" s="13"/>
      <c r="X16" s="71" t="s">
        <v>6539</v>
      </c>
      <c r="Y16" s="13"/>
      <c r="Z16" s="13"/>
      <c r="AA16" s="9" t="s">
        <v>6540</v>
      </c>
      <c r="AB16" s="6"/>
      <c r="AD16" s="13"/>
      <c r="AE16" s="6"/>
      <c r="AF16" s="13"/>
      <c r="AG16" s="6" t="s">
        <v>6530</v>
      </c>
      <c r="AH16" s="6"/>
      <c r="AI16" s="6"/>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row>
    <row r="17">
      <c r="A17" s="13"/>
      <c r="B17" s="34" t="s">
        <v>6541</v>
      </c>
      <c r="C17" s="13"/>
      <c r="D17" s="13"/>
      <c r="E17" s="13"/>
      <c r="F17" s="6" t="s">
        <v>6542</v>
      </c>
      <c r="G17" s="13"/>
      <c r="H17" s="13"/>
      <c r="I17" s="13"/>
      <c r="J17" s="13"/>
      <c r="K17" s="13"/>
      <c r="L17" s="255"/>
      <c r="M17" s="69" t="str">
        <f t="shared" ref="M17:M35" si="2">CONCATENATE("[",P17," ",N17," (",O17,")","]")</f>
        <v>[  ()]</v>
      </c>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6"/>
      <c r="BN17" s="13"/>
    </row>
    <row r="18">
      <c r="A18" s="198"/>
      <c r="B18" s="34" t="s">
        <v>6541</v>
      </c>
      <c r="C18" s="222">
        <v>1.0</v>
      </c>
      <c r="D18" s="69"/>
      <c r="E18" s="69"/>
      <c r="F18" s="34" t="s">
        <v>6542</v>
      </c>
      <c r="G18" s="69"/>
      <c r="H18" s="69"/>
      <c r="I18" s="69"/>
      <c r="J18" s="69"/>
      <c r="K18" s="69"/>
      <c r="L18" s="262"/>
      <c r="M18" s="69" t="str">
        <f t="shared" si="2"/>
        <v>[https://dl.acm.org/doi/pdf/10.1145/357195.357200  (1983)]</v>
      </c>
      <c r="N18" s="69"/>
      <c r="O18" s="35">
        <v>1983.0</v>
      </c>
      <c r="P18" s="19" t="s">
        <v>6543</v>
      </c>
      <c r="Q18" s="35"/>
      <c r="R18" s="69"/>
      <c r="S18" s="6"/>
      <c r="T18" s="69"/>
      <c r="U18" s="69"/>
      <c r="V18" s="69"/>
      <c r="W18" s="69"/>
      <c r="X18" s="35" t="s">
        <v>6544</v>
      </c>
      <c r="Y18" s="35" t="s">
        <v>6545</v>
      </c>
      <c r="Z18" s="18" t="s">
        <v>6543</v>
      </c>
      <c r="AA18" s="35" t="s">
        <v>6546</v>
      </c>
      <c r="AB18" s="18" t="s">
        <v>6543</v>
      </c>
      <c r="AC18" s="69"/>
      <c r="AD18" s="69"/>
      <c r="AE18" s="6" t="s">
        <v>6547</v>
      </c>
      <c r="AF18" s="69"/>
      <c r="AG18" s="35" t="s">
        <v>6548</v>
      </c>
      <c r="AH18" s="35"/>
      <c r="AI18" s="35" t="s">
        <v>6531</v>
      </c>
      <c r="AJ18" s="69"/>
      <c r="AK18" s="35" t="s">
        <v>6531</v>
      </c>
      <c r="AL18" s="69"/>
      <c r="AM18" s="69"/>
      <c r="AN18" s="69"/>
      <c r="AO18" s="35"/>
      <c r="AP18" s="69"/>
      <c r="AQ18" s="69"/>
      <c r="AR18" s="69"/>
      <c r="AS18" s="69"/>
      <c r="AT18" s="69"/>
      <c r="AU18" s="69"/>
      <c r="AV18" s="69"/>
      <c r="AW18" s="69"/>
      <c r="AX18" s="69"/>
      <c r="AY18" s="69"/>
      <c r="AZ18" s="69"/>
      <c r="BA18" s="69"/>
      <c r="BB18" s="69"/>
      <c r="BC18" s="69"/>
      <c r="BD18" s="69"/>
      <c r="BE18" s="69"/>
      <c r="BF18" s="69"/>
      <c r="BG18" s="69"/>
      <c r="BH18" s="69"/>
      <c r="BI18" s="69"/>
      <c r="BJ18" s="69"/>
      <c r="BK18" s="69"/>
      <c r="BL18" s="69"/>
      <c r="BM18" s="69"/>
      <c r="BN18" s="69"/>
    </row>
    <row r="19">
      <c r="A19" s="13"/>
      <c r="B19" s="34" t="s">
        <v>6541</v>
      </c>
      <c r="C19" s="6">
        <v>0.001</v>
      </c>
      <c r="D19" s="13"/>
      <c r="E19" s="13"/>
      <c r="F19" s="6" t="s">
        <v>6542</v>
      </c>
      <c r="G19" s="13"/>
      <c r="H19" s="13"/>
      <c r="I19" s="13"/>
      <c r="J19" s="13"/>
      <c r="K19" s="13"/>
      <c r="L19" s="255"/>
      <c r="M19" s="69" t="str">
        <f t="shared" si="2"/>
        <v>[https://ieeexplore.ieee.org/stamp/stamp.jsp?tp=&amp;arnumber=4568149  (1985)]</v>
      </c>
      <c r="N19" s="13"/>
      <c r="O19" s="6">
        <v>1985.0</v>
      </c>
      <c r="P19" s="18" t="s">
        <v>6549</v>
      </c>
      <c r="Q19" s="13"/>
      <c r="R19" s="13"/>
      <c r="S19" s="13"/>
      <c r="T19" s="13"/>
      <c r="U19" s="13"/>
      <c r="V19" s="13"/>
      <c r="W19" s="13"/>
      <c r="X19" s="35" t="s">
        <v>6544</v>
      </c>
      <c r="Y19" s="6" t="s">
        <v>6545</v>
      </c>
      <c r="Z19" s="18" t="s">
        <v>6549</v>
      </c>
      <c r="AA19" s="13"/>
      <c r="AB19" s="18" t="s">
        <v>6549</v>
      </c>
      <c r="AC19" s="13"/>
      <c r="AD19" s="13"/>
      <c r="AE19" s="6" t="s">
        <v>6547</v>
      </c>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6"/>
      <c r="BN19" s="13"/>
    </row>
    <row r="20">
      <c r="A20" s="13"/>
      <c r="B20" s="34" t="s">
        <v>6541</v>
      </c>
      <c r="C20" s="6">
        <v>1.0</v>
      </c>
      <c r="D20" s="13"/>
      <c r="E20" s="13"/>
      <c r="F20" s="6" t="s">
        <v>6542</v>
      </c>
      <c r="G20" s="13"/>
      <c r="H20" s="13"/>
      <c r="I20" s="13"/>
      <c r="J20" s="13"/>
      <c r="K20" s="13"/>
      <c r="L20" s="255"/>
      <c r="M20" s="69" t="str">
        <f t="shared" si="2"/>
        <v>[https://dl.acm.org/doi/pdf/10.1145/28395.28421  (1987)]</v>
      </c>
      <c r="N20" s="13"/>
      <c r="O20" s="6">
        <v>1987.0</v>
      </c>
      <c r="P20" s="18" t="s">
        <v>6550</v>
      </c>
      <c r="Q20" s="13"/>
      <c r="R20" s="13"/>
      <c r="S20" s="13"/>
      <c r="T20" s="13"/>
      <c r="U20" s="13"/>
      <c r="V20" s="13"/>
      <c r="W20" s="13"/>
      <c r="X20" s="35" t="s">
        <v>3012</v>
      </c>
      <c r="Y20" s="35" t="s">
        <v>6545</v>
      </c>
      <c r="Z20" s="19" t="s">
        <v>6550</v>
      </c>
      <c r="AA20" s="6" t="s">
        <v>268</v>
      </c>
      <c r="AB20" s="18" t="s">
        <v>6550</v>
      </c>
      <c r="AC20" s="13"/>
      <c r="AD20" s="13"/>
      <c r="AE20" s="6" t="s">
        <v>6547</v>
      </c>
      <c r="AF20" s="13"/>
      <c r="AG20" s="6" t="s">
        <v>6548</v>
      </c>
      <c r="AH20" s="6"/>
      <c r="AI20" s="6" t="s">
        <v>6531</v>
      </c>
      <c r="AJ20" s="13"/>
      <c r="AK20" s="6" t="s">
        <v>6531</v>
      </c>
      <c r="AL20" s="13"/>
      <c r="AM20" s="13"/>
      <c r="AN20" s="13"/>
      <c r="AO20" s="6"/>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row>
    <row r="21">
      <c r="A21" s="13"/>
      <c r="B21" s="34" t="s">
        <v>6541</v>
      </c>
      <c r="C21" s="6">
        <v>1.0</v>
      </c>
      <c r="D21" s="13"/>
      <c r="E21" s="13"/>
      <c r="F21" s="6" t="s">
        <v>6542</v>
      </c>
      <c r="G21" s="13"/>
      <c r="H21" s="13"/>
      <c r="I21" s="13"/>
      <c r="J21" s="13"/>
      <c r="K21" s="13"/>
      <c r="L21" s="255"/>
      <c r="M21" s="69" t="str">
        <f t="shared" si="2"/>
        <v>[https://www.researchgate.net/publication/220616582_A_SubLinear_Time_Distributed_Algorithm_for_Minimum-Weight_Spanning_Trees  (1995)]</v>
      </c>
      <c r="N21" s="13"/>
      <c r="O21" s="6">
        <v>1995.0</v>
      </c>
      <c r="P21" s="18" t="s">
        <v>6551</v>
      </c>
      <c r="Q21" s="13"/>
      <c r="R21" s="13"/>
      <c r="S21" s="13"/>
      <c r="T21" s="13"/>
      <c r="U21" s="13"/>
      <c r="V21" s="13"/>
      <c r="W21" s="13"/>
      <c r="X21" s="35"/>
      <c r="Y21" s="13"/>
      <c r="Z21" s="13"/>
      <c r="AA21" s="6" t="s">
        <v>6552</v>
      </c>
      <c r="AB21" s="18" t="s">
        <v>6551</v>
      </c>
      <c r="AC21" s="13"/>
      <c r="AD21" s="13"/>
      <c r="AE21" s="6" t="s">
        <v>6553</v>
      </c>
      <c r="AF21" s="13"/>
      <c r="AG21" s="6" t="s">
        <v>6548</v>
      </c>
      <c r="AH21" s="6"/>
      <c r="AI21" s="6" t="s">
        <v>6531</v>
      </c>
      <c r="AJ21" s="13"/>
      <c r="AK21" s="6" t="s">
        <v>6531</v>
      </c>
      <c r="AL21" s="13"/>
      <c r="AM21" s="13"/>
      <c r="AN21" s="13"/>
      <c r="AO21" s="6"/>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6"/>
      <c r="BN21" s="13"/>
    </row>
    <row r="22">
      <c r="A22" s="13"/>
      <c r="B22" s="34" t="s">
        <v>6541</v>
      </c>
      <c r="C22" s="6">
        <v>1.0</v>
      </c>
      <c r="D22" s="6" t="s">
        <v>6554</v>
      </c>
      <c r="E22" s="13"/>
      <c r="F22" s="6" t="s">
        <v>6542</v>
      </c>
      <c r="G22" s="13"/>
      <c r="H22" s="13"/>
      <c r="I22" s="13"/>
      <c r="J22" s="13"/>
      <c r="K22" s="13"/>
      <c r="L22" s="255"/>
      <c r="M22" s="69" t="str">
        <f t="shared" si="2"/>
        <v>[https://dl.acm.org/doi/pdf/10.1145/224964.224990  (1995)]</v>
      </c>
      <c r="N22" s="13"/>
      <c r="O22" s="6">
        <v>1995.0</v>
      </c>
      <c r="P22" s="19" t="s">
        <v>6555</v>
      </c>
      <c r="Q22" s="13"/>
      <c r="R22" s="13"/>
      <c r="S22" s="13"/>
      <c r="T22" s="13"/>
      <c r="U22" s="13"/>
      <c r="V22" s="13"/>
      <c r="W22" s="13"/>
      <c r="X22" s="35"/>
      <c r="Y22" s="13"/>
      <c r="Z22" s="13"/>
      <c r="AA22" s="6" t="s">
        <v>6556</v>
      </c>
      <c r="AB22" s="19" t="s">
        <v>6555</v>
      </c>
      <c r="AC22" s="13"/>
      <c r="AD22" s="13"/>
      <c r="AE22" s="6" t="s">
        <v>6557</v>
      </c>
      <c r="AF22" s="13"/>
      <c r="AG22" s="6" t="s">
        <v>6548</v>
      </c>
      <c r="AH22" s="6"/>
      <c r="AI22" s="6" t="s">
        <v>6531</v>
      </c>
      <c r="AJ22" s="13"/>
      <c r="AK22" s="6" t="s">
        <v>6531</v>
      </c>
      <c r="AL22" s="13"/>
      <c r="AM22" s="13"/>
      <c r="AN22" s="13"/>
      <c r="AO22" s="6"/>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6"/>
      <c r="BN22" s="13"/>
    </row>
    <row r="23">
      <c r="A23" s="13"/>
      <c r="B23" s="34" t="s">
        <v>6541</v>
      </c>
      <c r="C23" s="6">
        <v>1.0</v>
      </c>
      <c r="D23" s="13"/>
      <c r="E23" s="13"/>
      <c r="F23" s="6" t="s">
        <v>6542</v>
      </c>
      <c r="G23" s="13"/>
      <c r="H23" s="13"/>
      <c r="I23" s="13"/>
      <c r="J23" s="13"/>
      <c r="K23" s="13"/>
      <c r="L23" s="255"/>
      <c r="M23" s="69" t="str">
        <f t="shared" si="2"/>
        <v>[https://arxiv.org/pdf/1703.02411.pdf  (2017)]</v>
      </c>
      <c r="N23" s="13"/>
      <c r="O23" s="6">
        <v>2017.0</v>
      </c>
      <c r="P23" s="18" t="s">
        <v>6558</v>
      </c>
      <c r="Q23" s="13"/>
      <c r="R23" s="13"/>
      <c r="S23" s="13"/>
      <c r="T23" s="13"/>
      <c r="U23" s="13"/>
      <c r="V23" s="13"/>
      <c r="W23" s="13"/>
      <c r="X23" s="6" t="s">
        <v>6559</v>
      </c>
      <c r="Y23" s="6" t="s">
        <v>6545</v>
      </c>
      <c r="Z23" s="18" t="s">
        <v>6558</v>
      </c>
      <c r="AA23" s="6" t="s">
        <v>6560</v>
      </c>
      <c r="AB23" s="18" t="s">
        <v>6558</v>
      </c>
      <c r="AC23" s="13"/>
      <c r="AD23" s="13"/>
      <c r="AE23" s="6" t="s">
        <v>6561</v>
      </c>
      <c r="AF23" s="13"/>
      <c r="AG23" s="6" t="s">
        <v>6548</v>
      </c>
      <c r="AH23" s="6"/>
      <c r="AI23" s="6" t="s">
        <v>6531</v>
      </c>
      <c r="AJ23" s="13"/>
      <c r="AK23" s="6" t="s">
        <v>6531</v>
      </c>
      <c r="AL23" s="13"/>
      <c r="AM23" s="13"/>
      <c r="AN23" s="13"/>
      <c r="AO23" s="6"/>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6"/>
      <c r="BN23" s="13"/>
    </row>
    <row r="24">
      <c r="A24" s="13"/>
      <c r="B24" s="34" t="s">
        <v>6541</v>
      </c>
      <c r="C24" s="6">
        <v>0.001</v>
      </c>
      <c r="D24" s="13"/>
      <c r="E24" s="13"/>
      <c r="F24" s="6" t="s">
        <v>6542</v>
      </c>
      <c r="G24" s="13"/>
      <c r="H24" s="13"/>
      <c r="I24" s="13"/>
      <c r="J24" s="13"/>
      <c r="K24" s="13"/>
      <c r="L24" s="255"/>
      <c r="M24" s="69" t="str">
        <f t="shared" si="2"/>
        <v>[https://dl.acm.org/doi/pdf/10.1145/3087801.3087827?casa_token=N_pwQthOKmUAAAAA:NU5tllIrcUFzqU3aPBKqHVpyQM_Cp7hiYmNifPB_qyEgEylCHAuzsCSoR28INVytyRNnJGBpDhaNKw  (2017)]</v>
      </c>
      <c r="N24" s="13"/>
      <c r="O24" s="6">
        <v>2017.0</v>
      </c>
      <c r="P24" s="19" t="s">
        <v>6562</v>
      </c>
      <c r="Q24" s="13"/>
      <c r="R24" s="13"/>
      <c r="S24" s="13"/>
      <c r="T24" s="13"/>
      <c r="U24" s="13"/>
      <c r="V24" s="13"/>
      <c r="W24" s="13"/>
      <c r="X24" s="35"/>
      <c r="Y24" s="13"/>
      <c r="Z24" s="13"/>
      <c r="AA24" s="13"/>
      <c r="AB24" s="13"/>
      <c r="AC24" s="13"/>
      <c r="AD24" s="13"/>
      <c r="AE24" s="13"/>
      <c r="AF24" s="13"/>
      <c r="AG24" s="6" t="s">
        <v>6548</v>
      </c>
      <c r="AH24" s="6"/>
      <c r="AI24" s="6" t="s">
        <v>6471</v>
      </c>
      <c r="AJ24" s="6" t="s">
        <v>2187</v>
      </c>
      <c r="AK24" s="6" t="s">
        <v>6531</v>
      </c>
      <c r="AL24" s="13"/>
      <c r="AM24" s="13"/>
      <c r="AN24" s="13"/>
      <c r="AO24" s="6"/>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6"/>
      <c r="BN24" s="13"/>
    </row>
    <row r="25">
      <c r="A25" s="198"/>
      <c r="B25" s="34" t="s">
        <v>6541</v>
      </c>
      <c r="C25" s="222">
        <v>1.0</v>
      </c>
      <c r="D25" s="69"/>
      <c r="E25" s="69"/>
      <c r="F25" s="34" t="s">
        <v>6542</v>
      </c>
      <c r="G25" s="69"/>
      <c r="H25" s="69"/>
      <c r="I25" s="69"/>
      <c r="J25" s="69"/>
      <c r="K25" s="69"/>
      <c r="L25" s="262"/>
      <c r="M25" s="69" t="str">
        <f t="shared" si="2"/>
        <v>[https://arxiv.org/pdf/1607.06883.pdf  (2018)]</v>
      </c>
      <c r="N25" s="69"/>
      <c r="O25" s="35">
        <v>2018.0</v>
      </c>
      <c r="P25" s="26" t="s">
        <v>6563</v>
      </c>
      <c r="Q25" s="34"/>
      <c r="R25" s="69"/>
      <c r="S25" s="34"/>
      <c r="T25" s="69"/>
      <c r="U25" s="69"/>
      <c r="V25" s="69"/>
      <c r="W25" s="69"/>
      <c r="X25" s="35" t="s">
        <v>6564</v>
      </c>
      <c r="Y25" s="35" t="s">
        <v>6545</v>
      </c>
      <c r="Z25" s="18" t="s">
        <v>6563</v>
      </c>
      <c r="AA25" s="35" t="s">
        <v>6565</v>
      </c>
      <c r="AB25" s="18" t="s">
        <v>6563</v>
      </c>
      <c r="AC25" s="69"/>
      <c r="AD25" s="69"/>
      <c r="AE25" s="6" t="s">
        <v>6561</v>
      </c>
      <c r="AF25" s="69"/>
      <c r="AG25" s="35" t="s">
        <v>6548</v>
      </c>
      <c r="AH25" s="35"/>
      <c r="AI25" s="35" t="s">
        <v>6471</v>
      </c>
      <c r="AJ25" s="35" t="s">
        <v>2187</v>
      </c>
      <c r="AK25" s="35" t="s">
        <v>6531</v>
      </c>
      <c r="AL25" s="69"/>
      <c r="AM25" s="69"/>
      <c r="AN25" s="69"/>
      <c r="AO25" s="35"/>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row>
    <row r="26">
      <c r="A26" s="13"/>
      <c r="B26" s="34" t="s">
        <v>6541</v>
      </c>
      <c r="C26" s="6">
        <v>1.0</v>
      </c>
      <c r="D26" s="13"/>
      <c r="E26" s="13"/>
      <c r="F26" s="6" t="s">
        <v>6542</v>
      </c>
      <c r="G26" s="13"/>
      <c r="H26" s="13"/>
      <c r="I26" s="13"/>
      <c r="J26" s="13"/>
      <c r="K26" s="13"/>
      <c r="L26" s="255"/>
      <c r="M26" s="69" t="str">
        <f t="shared" si="2"/>
        <v>[https://www.research-collection.ethz.ch/handle/20.500.11850/315337  (2018)]</v>
      </c>
      <c r="N26" s="13"/>
      <c r="O26" s="6">
        <v>2018.0</v>
      </c>
      <c r="P26" s="18" t="s">
        <v>6566</v>
      </c>
      <c r="Q26" s="13"/>
      <c r="R26" s="13"/>
      <c r="S26" s="13"/>
      <c r="T26" s="13"/>
      <c r="U26" s="13"/>
      <c r="V26" s="13"/>
      <c r="W26" s="13"/>
      <c r="X26" s="6" t="s">
        <v>6567</v>
      </c>
      <c r="Y26" s="6" t="s">
        <v>6545</v>
      </c>
      <c r="Z26" s="18" t="s">
        <v>6566</v>
      </c>
      <c r="AA26" s="6" t="s">
        <v>6565</v>
      </c>
      <c r="AB26" s="18" t="s">
        <v>6566</v>
      </c>
      <c r="AC26" s="13"/>
      <c r="AD26" s="13"/>
      <c r="AE26" s="6" t="s">
        <v>6561</v>
      </c>
      <c r="AF26" s="13"/>
      <c r="AG26" s="6" t="s">
        <v>6548</v>
      </c>
      <c r="AH26" s="6"/>
      <c r="AI26" s="6" t="s">
        <v>6471</v>
      </c>
      <c r="AJ26" s="6" t="s">
        <v>2187</v>
      </c>
      <c r="AK26" s="6" t="s">
        <v>6531</v>
      </c>
      <c r="AL26" s="13"/>
      <c r="AM26" s="13"/>
      <c r="AN26" s="13"/>
      <c r="AO26" s="6"/>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6"/>
      <c r="BN26" s="13"/>
    </row>
    <row r="27">
      <c r="A27" s="198"/>
      <c r="B27" s="34" t="s">
        <v>6541</v>
      </c>
      <c r="C27" s="222">
        <v>1.0</v>
      </c>
      <c r="D27" s="69"/>
      <c r="E27" s="69"/>
      <c r="F27" s="34" t="s">
        <v>6542</v>
      </c>
      <c r="G27" s="69"/>
      <c r="H27" s="69"/>
      <c r="I27" s="69"/>
      <c r="J27" s="69"/>
      <c r="K27" s="69"/>
      <c r="L27" s="262"/>
      <c r="M27" s="69" t="str">
        <f t="shared" si="2"/>
        <v>[https://dl.acm.org/doi/pdf/10.1145/3380546?casa_token=ehRtETWEBjkAAAAA:9-yaE0ChoFo92WwZtGsWKa2kf6kfx6hd51ex0_zIb5i_N7o7YBx0c4LLt0mwuIknNMMVYmCQrJWMoQ  (2020)]</v>
      </c>
      <c r="N27" s="69"/>
      <c r="O27" s="35">
        <v>2020.0</v>
      </c>
      <c r="P27" s="19" t="s">
        <v>6568</v>
      </c>
      <c r="Q27" s="69"/>
      <c r="R27" s="69"/>
      <c r="S27" s="69"/>
      <c r="T27" s="69"/>
      <c r="U27" s="69"/>
      <c r="V27" s="69"/>
      <c r="W27" s="69"/>
      <c r="X27" s="6" t="s">
        <v>6559</v>
      </c>
      <c r="Y27" s="35" t="s">
        <v>6545</v>
      </c>
      <c r="Z27" s="18" t="s">
        <v>6569</v>
      </c>
      <c r="AA27" s="6" t="s">
        <v>6570</v>
      </c>
      <c r="AB27" s="18" t="s">
        <v>6569</v>
      </c>
      <c r="AC27" s="259"/>
      <c r="AD27" s="69"/>
      <c r="AE27" s="6" t="s">
        <v>6561</v>
      </c>
      <c r="AF27" s="69"/>
      <c r="AG27" s="35" t="s">
        <v>6548</v>
      </c>
      <c r="AH27" s="35"/>
      <c r="AI27" s="35" t="s">
        <v>6531</v>
      </c>
      <c r="AJ27" s="6"/>
      <c r="AK27" s="35" t="s">
        <v>6531</v>
      </c>
      <c r="AL27" s="69"/>
      <c r="AM27" s="69"/>
      <c r="AN27" s="69"/>
      <c r="AO27" s="35"/>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row>
    <row r="28">
      <c r="A28" s="13"/>
      <c r="B28" s="34" t="s">
        <v>6571</v>
      </c>
      <c r="C28" s="13"/>
      <c r="D28" s="13"/>
      <c r="E28" s="13"/>
      <c r="F28" s="6" t="s">
        <v>6572</v>
      </c>
      <c r="G28" s="13"/>
      <c r="H28" s="13"/>
      <c r="I28" s="13"/>
      <c r="J28" s="13"/>
      <c r="K28" s="13"/>
      <c r="L28" s="255"/>
      <c r="M28" s="69" t="str">
        <f t="shared" si="2"/>
        <v>[  ()]</v>
      </c>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row>
    <row r="29">
      <c r="A29" s="13"/>
      <c r="B29" s="34" t="s">
        <v>6571</v>
      </c>
      <c r="C29" s="6">
        <v>1.0</v>
      </c>
      <c r="D29" s="6" t="s">
        <v>6573</v>
      </c>
      <c r="E29" s="13"/>
      <c r="F29" s="6" t="s">
        <v>6572</v>
      </c>
      <c r="G29" s="13"/>
      <c r="H29" s="13"/>
      <c r="I29" s="13"/>
      <c r="J29" s="13"/>
      <c r="K29" s="13"/>
      <c r="L29" s="255"/>
      <c r="M29" s="69" t="str">
        <f t="shared" si="2"/>
        <v>[https://arxiv.org/pdf/1305.5520.pdf  (2013)]</v>
      </c>
      <c r="N29" s="13"/>
      <c r="O29" s="6">
        <v>2013.0</v>
      </c>
      <c r="P29" s="19" t="s">
        <v>6574</v>
      </c>
      <c r="Q29" s="13"/>
      <c r="R29" s="13"/>
      <c r="S29" s="13"/>
      <c r="T29" s="13"/>
      <c r="U29" s="13"/>
      <c r="V29" s="13"/>
      <c r="W29" s="13"/>
      <c r="X29" s="13"/>
      <c r="Y29" s="13"/>
      <c r="Z29" s="13"/>
      <c r="AA29" s="6" t="s">
        <v>6575</v>
      </c>
      <c r="AB29" s="18" t="s">
        <v>6574</v>
      </c>
      <c r="AC29" s="13"/>
      <c r="AD29" s="13"/>
      <c r="AE29" s="6" t="s">
        <v>6576</v>
      </c>
      <c r="AF29" s="13"/>
      <c r="AG29" s="6" t="s">
        <v>6548</v>
      </c>
      <c r="AH29" s="6"/>
      <c r="AI29" s="6" t="s">
        <v>6471</v>
      </c>
      <c r="AJ29" s="6" t="s">
        <v>1907</v>
      </c>
      <c r="AK29" s="6" t="s">
        <v>6471</v>
      </c>
      <c r="AL29" s="6" t="s">
        <v>6577</v>
      </c>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row>
    <row r="30">
      <c r="A30" s="13"/>
      <c r="B30" s="34" t="s">
        <v>6571</v>
      </c>
      <c r="C30" s="6">
        <v>1.0</v>
      </c>
      <c r="D30" s="6" t="s">
        <v>6578</v>
      </c>
      <c r="E30" s="13"/>
      <c r="F30" s="6" t="s">
        <v>6572</v>
      </c>
      <c r="G30" s="13"/>
      <c r="H30" s="13"/>
      <c r="I30" s="13"/>
      <c r="J30" s="13"/>
      <c r="K30" s="13"/>
      <c r="L30" s="255"/>
      <c r="M30" s="69" t="str">
        <f t="shared" si="2"/>
        <v>[https://arxiv.org/pdf/1305.5520.pdf  (2013)]</v>
      </c>
      <c r="N30" s="13"/>
      <c r="O30" s="6">
        <v>2013.0</v>
      </c>
      <c r="P30" s="18" t="s">
        <v>6574</v>
      </c>
      <c r="Q30" s="13"/>
      <c r="R30" s="13"/>
      <c r="S30" s="13"/>
      <c r="T30" s="13"/>
      <c r="U30" s="13"/>
      <c r="V30" s="13"/>
      <c r="W30" s="13"/>
      <c r="X30" s="13"/>
      <c r="Y30" s="13"/>
      <c r="Z30" s="13"/>
      <c r="AA30" s="6" t="s">
        <v>6579</v>
      </c>
      <c r="AB30" s="18" t="s">
        <v>6574</v>
      </c>
      <c r="AC30" s="13"/>
      <c r="AD30" s="13"/>
      <c r="AE30" s="6" t="s">
        <v>6576</v>
      </c>
      <c r="AF30" s="13"/>
      <c r="AG30" s="6" t="s">
        <v>6548</v>
      </c>
      <c r="AH30" s="6"/>
      <c r="AI30" s="6" t="s">
        <v>6471</v>
      </c>
      <c r="AJ30" s="6" t="s">
        <v>1907</v>
      </c>
      <c r="AK30" s="6" t="s">
        <v>6471</v>
      </c>
      <c r="AL30" s="6" t="s">
        <v>6580</v>
      </c>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row>
    <row r="31">
      <c r="A31" s="13"/>
      <c r="B31" s="34" t="s">
        <v>6571</v>
      </c>
      <c r="C31" s="13"/>
      <c r="D31" s="13"/>
      <c r="E31" s="13"/>
      <c r="F31" s="6" t="s">
        <v>6572</v>
      </c>
      <c r="G31" s="13"/>
      <c r="H31" s="13"/>
      <c r="I31" s="13"/>
      <c r="J31" s="13"/>
      <c r="K31" s="13"/>
      <c r="L31" s="255"/>
      <c r="M31" s="69" t="str">
        <f t="shared" si="2"/>
        <v>[https://dl.acm.org/doi/pdf/10.1145/2612669.2612706?casa_token=txOlIa5V41sAAAAA:tMIAwQ4-R-ablfyw7oeE6OVlD1V76jMwgj39HCcUkRsvxQ6j0hWHccZQNTKhSuUCwMzjS1woXVcKuw  (2014)]</v>
      </c>
      <c r="N31" s="13"/>
      <c r="O31" s="6">
        <v>2014.0</v>
      </c>
      <c r="P31" s="18" t="s">
        <v>6581</v>
      </c>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row>
    <row r="32">
      <c r="A32" s="13"/>
      <c r="B32" s="34" t="s">
        <v>6571</v>
      </c>
      <c r="C32" s="13"/>
      <c r="D32" s="13"/>
      <c r="E32" s="13"/>
      <c r="F32" s="6" t="s">
        <v>6572</v>
      </c>
      <c r="G32" s="13"/>
      <c r="H32" s="13"/>
      <c r="I32" s="13"/>
      <c r="J32" s="13"/>
      <c r="K32" s="13"/>
      <c r="L32" s="255"/>
      <c r="M32" s="69" t="str">
        <f t="shared" si="2"/>
        <v>[https://dl.acm.org/doi/abs/10.1145/3212734.3212750  (2018)]</v>
      </c>
      <c r="N32" s="13"/>
      <c r="O32" s="6">
        <v>2018.0</v>
      </c>
      <c r="P32" s="18" t="s">
        <v>6582</v>
      </c>
      <c r="Q32" s="13"/>
      <c r="R32" s="13"/>
      <c r="S32" s="13"/>
      <c r="T32" s="13"/>
      <c r="U32" s="13"/>
      <c r="V32" s="13"/>
      <c r="W32" s="13"/>
      <c r="X32" s="13"/>
      <c r="Y32" s="13"/>
      <c r="Z32" s="13"/>
      <c r="AA32" s="13"/>
      <c r="AB32" s="13"/>
      <c r="AC32" s="13"/>
      <c r="AD32" s="13"/>
      <c r="AE32" s="13"/>
      <c r="AF32" s="13"/>
      <c r="AG32" s="6" t="s">
        <v>6583</v>
      </c>
      <c r="AH32" s="6"/>
      <c r="AI32" s="6"/>
      <c r="AJ32" s="13"/>
      <c r="AK32" s="6"/>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row>
    <row r="33">
      <c r="A33" s="13"/>
      <c r="B33" s="34" t="s">
        <v>6571</v>
      </c>
      <c r="C33" s="13"/>
      <c r="D33" s="13"/>
      <c r="E33" s="13"/>
      <c r="F33" s="6" t="s">
        <v>6572</v>
      </c>
      <c r="G33" s="13"/>
      <c r="H33" s="13"/>
      <c r="I33" s="13"/>
      <c r="J33" s="13"/>
      <c r="K33" s="13"/>
      <c r="L33" s="255"/>
      <c r="M33" s="69" t="str">
        <f t="shared" si="2"/>
        <v>[https://dl.acm.org/doi/10.1145/3313276.3316346  (2019)]</v>
      </c>
      <c r="N33" s="13"/>
      <c r="O33" s="6">
        <v>2019.0</v>
      </c>
      <c r="P33" s="18" t="s">
        <v>6584</v>
      </c>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row>
    <row r="34">
      <c r="A34" s="13"/>
      <c r="B34" s="34" t="s">
        <v>6571</v>
      </c>
      <c r="C34" s="13"/>
      <c r="D34" s="13"/>
      <c r="E34" s="13"/>
      <c r="F34" s="6" t="s">
        <v>6572</v>
      </c>
      <c r="G34" s="13"/>
      <c r="H34" s="13"/>
      <c r="I34" s="13"/>
      <c r="J34" s="13"/>
      <c r="K34" s="13"/>
      <c r="L34" s="255"/>
      <c r="M34" s="69" t="str">
        <f t="shared" si="2"/>
        <v>[https://dl.acm.org/doi/pdf/10.1145/3406325.3451020?casa_token=Np84jW6NR8QAAAAA:7hKDr2WMCm4Osl_Jq-nuADiX5u4Xf4t8GOtH3qvMN6eK22VeOyvo_hU26Na6R-RKa7j7WMl-tMMx  (2021)]</v>
      </c>
      <c r="N34" s="13"/>
      <c r="O34" s="6">
        <v>2021.0</v>
      </c>
      <c r="P34" s="18" t="s">
        <v>6585</v>
      </c>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row>
    <row r="35">
      <c r="A35" s="13"/>
      <c r="B35" s="34" t="s">
        <v>6571</v>
      </c>
      <c r="C35" s="13"/>
      <c r="D35" s="13"/>
      <c r="E35" s="13"/>
      <c r="F35" s="6" t="s">
        <v>6572</v>
      </c>
      <c r="G35" s="13"/>
      <c r="H35" s="13"/>
      <c r="I35" s="13"/>
      <c r="J35" s="13"/>
      <c r="K35" s="13"/>
      <c r="L35" s="255"/>
      <c r="M35" s="69" t="str">
        <f t="shared" si="2"/>
        <v>[https://dl.acm.org/doi/pdf/10.1145/3519270.3538429?casa_token=BNR0TcvdUaMAAAAA:X4HuiIi_4Ubtumbx2vhncXBiiARejlV17sIrzRWseqVEmcv-UHhjeA9d1BHJZtKHd4HZru4YwTDw  (2022)]</v>
      </c>
      <c r="N35" s="13"/>
      <c r="O35" s="6">
        <v>2022.0</v>
      </c>
      <c r="P35" s="18" t="s">
        <v>6586</v>
      </c>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row>
    <row r="36">
      <c r="A36" s="13"/>
      <c r="B36" s="35" t="s">
        <v>6587</v>
      </c>
      <c r="C36" s="13"/>
      <c r="D36" s="6" t="s">
        <v>6588</v>
      </c>
      <c r="E36" s="13"/>
      <c r="F36" s="6" t="s">
        <v>6589</v>
      </c>
      <c r="G36" s="13"/>
      <c r="H36" s="13"/>
      <c r="I36" s="13"/>
      <c r="J36" s="13"/>
      <c r="K36" s="13"/>
      <c r="L36" s="255"/>
      <c r="M36" s="69"/>
      <c r="N36" s="13"/>
      <c r="O36" s="6">
        <v>1995.0</v>
      </c>
      <c r="P36" s="18" t="s">
        <v>6555</v>
      </c>
      <c r="Q36" s="13"/>
      <c r="R36" s="13"/>
      <c r="S36" s="13"/>
      <c r="T36" s="13"/>
      <c r="U36" s="13"/>
      <c r="V36" s="13"/>
      <c r="W36" s="13"/>
      <c r="X36" s="13"/>
      <c r="Y36" s="13"/>
      <c r="Z36" s="13"/>
      <c r="AA36" s="6" t="s">
        <v>6590</v>
      </c>
      <c r="AB36" s="13"/>
      <c r="AC36" s="6"/>
      <c r="AD36" s="6"/>
      <c r="AE36" s="13"/>
      <c r="AF36" s="13"/>
      <c r="AG36" s="6" t="s">
        <v>6591</v>
      </c>
      <c r="AH36" s="6"/>
      <c r="AI36" s="6" t="s">
        <v>6531</v>
      </c>
      <c r="AJ36" s="13"/>
      <c r="AK36" s="6" t="s">
        <v>6531</v>
      </c>
      <c r="AL36" s="6"/>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row>
    <row r="37">
      <c r="A37" s="13"/>
      <c r="B37" s="35" t="s">
        <v>6587</v>
      </c>
      <c r="C37" s="13"/>
      <c r="D37" s="6" t="s">
        <v>6592</v>
      </c>
      <c r="E37" s="13"/>
      <c r="F37" s="6" t="s">
        <v>6589</v>
      </c>
      <c r="G37" s="13"/>
      <c r="H37" s="13"/>
      <c r="I37" s="13"/>
      <c r="J37" s="13"/>
      <c r="K37" s="13"/>
      <c r="L37" s="255"/>
      <c r="M37" s="69"/>
      <c r="N37" s="13"/>
      <c r="O37" s="6">
        <v>2020.0</v>
      </c>
      <c r="P37" s="18" t="s">
        <v>6593</v>
      </c>
      <c r="Q37" s="13"/>
      <c r="R37" s="13"/>
      <c r="S37" s="13"/>
      <c r="T37" s="13"/>
      <c r="U37" s="13"/>
      <c r="V37" s="13"/>
      <c r="W37" s="13"/>
      <c r="X37" s="13"/>
      <c r="Y37" s="13"/>
      <c r="Z37" s="13"/>
      <c r="AA37" s="6" t="s">
        <v>6594</v>
      </c>
      <c r="AB37" s="13"/>
      <c r="AC37" s="6" t="s">
        <v>6595</v>
      </c>
      <c r="AD37" s="18" t="s">
        <v>6593</v>
      </c>
      <c r="AE37" s="13"/>
      <c r="AF37" s="13"/>
      <c r="AG37" s="6" t="s">
        <v>6591</v>
      </c>
      <c r="AH37" s="6"/>
      <c r="AI37" s="6" t="s">
        <v>6531</v>
      </c>
      <c r="AJ37" s="13"/>
      <c r="AK37" s="6" t="s">
        <v>6471</v>
      </c>
      <c r="AL37" s="6" t="s">
        <v>6596</v>
      </c>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row>
    <row r="38">
      <c r="A38" s="13"/>
      <c r="B38" s="34" t="s">
        <v>6597</v>
      </c>
      <c r="C38" s="13"/>
      <c r="D38" s="6" t="s">
        <v>6598</v>
      </c>
      <c r="E38" s="13"/>
      <c r="F38" s="6" t="s">
        <v>6599</v>
      </c>
      <c r="G38" s="13"/>
      <c r="H38" s="13"/>
      <c r="I38" s="13"/>
      <c r="J38" s="13"/>
      <c r="K38" s="13"/>
      <c r="L38" s="255"/>
      <c r="M38" s="69" t="str">
        <f t="shared" ref="M38:M52" si="3">CONCATENATE("[",P38," ",N38," (",O38,")","]")</f>
        <v>[https://onlinelibrary.wiley.com/doi/abs/10.1002/rsa.20130  (2006)]</v>
      </c>
      <c r="N38" s="13"/>
      <c r="O38" s="6">
        <v>2006.0</v>
      </c>
      <c r="P38" s="18" t="s">
        <v>6600</v>
      </c>
      <c r="Q38" s="13"/>
      <c r="R38" s="13"/>
      <c r="S38" s="13"/>
      <c r="T38" s="13"/>
      <c r="U38" s="13"/>
      <c r="V38" s="13"/>
      <c r="W38" s="13"/>
      <c r="X38" s="13"/>
      <c r="Y38" s="13"/>
      <c r="Z38" s="13"/>
      <c r="AA38" s="6" t="s">
        <v>192</v>
      </c>
      <c r="AB38" s="13"/>
      <c r="AC38" s="13"/>
      <c r="AD38" s="13"/>
      <c r="AE38" s="13"/>
      <c r="AF38" s="13"/>
      <c r="AG38" s="6" t="s">
        <v>6601</v>
      </c>
      <c r="AH38" s="6"/>
      <c r="AI38" s="6" t="s">
        <v>6471</v>
      </c>
      <c r="AJ38" s="6" t="s">
        <v>6602</v>
      </c>
      <c r="AK38" s="6" t="s">
        <v>6531</v>
      </c>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row>
    <row r="39">
      <c r="A39" s="13"/>
      <c r="B39" s="34" t="s">
        <v>6597</v>
      </c>
      <c r="C39" s="13"/>
      <c r="D39" s="6" t="s">
        <v>6603</v>
      </c>
      <c r="E39" s="13"/>
      <c r="F39" s="6" t="s">
        <v>6599</v>
      </c>
      <c r="G39" s="13"/>
      <c r="H39" s="13"/>
      <c r="I39" s="13"/>
      <c r="J39" s="13"/>
      <c r="K39" s="13"/>
      <c r="L39" s="255"/>
      <c r="M39" s="69" t="str">
        <f t="shared" si="3"/>
        <v>[https://link.springer.com/chapter/10.1007/978-3-540-75142-7_16  (2007)]</v>
      </c>
      <c r="N39" s="13"/>
      <c r="O39" s="6">
        <v>2007.0</v>
      </c>
      <c r="P39" s="18" t="s">
        <v>6604</v>
      </c>
      <c r="Q39" s="13"/>
      <c r="R39" s="13"/>
      <c r="S39" s="13"/>
      <c r="T39" s="13"/>
      <c r="U39" s="13"/>
      <c r="V39" s="13"/>
      <c r="W39" s="13"/>
      <c r="X39" s="13"/>
      <c r="Y39" s="13"/>
      <c r="Z39" s="13"/>
      <c r="AA39" s="6" t="s">
        <v>5798</v>
      </c>
      <c r="AB39" s="13"/>
      <c r="AC39" s="13"/>
      <c r="AD39" s="13"/>
      <c r="AE39" s="13"/>
      <c r="AF39" s="13"/>
      <c r="AG39" s="6" t="s">
        <v>6591</v>
      </c>
      <c r="AH39" s="6"/>
      <c r="AI39" s="6" t="s">
        <v>6531</v>
      </c>
      <c r="AJ39" s="6"/>
      <c r="AK39" s="6" t="s">
        <v>6531</v>
      </c>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row>
    <row r="40">
      <c r="A40" s="13"/>
      <c r="B40" s="34" t="s">
        <v>6597</v>
      </c>
      <c r="C40" s="13"/>
      <c r="D40" s="6" t="s">
        <v>6605</v>
      </c>
      <c r="E40" s="13"/>
      <c r="F40" s="6" t="s">
        <v>6599</v>
      </c>
      <c r="G40" s="13"/>
      <c r="H40" s="13"/>
      <c r="I40" s="13"/>
      <c r="J40" s="13"/>
      <c r="K40" s="13"/>
      <c r="L40" s="255"/>
      <c r="M40" s="69" t="str">
        <f t="shared" si="3"/>
        <v>[https://link.springer.com/chapter/10.1007/978-3-540-75142-7_16  (2007)]</v>
      </c>
      <c r="N40" s="13"/>
      <c r="O40" s="6">
        <v>2007.0</v>
      </c>
      <c r="P40" s="18" t="s">
        <v>6604</v>
      </c>
      <c r="Q40" s="13"/>
      <c r="R40" s="13"/>
      <c r="S40" s="13"/>
      <c r="T40" s="13"/>
      <c r="U40" s="13"/>
      <c r="V40" s="13"/>
      <c r="W40" s="13"/>
      <c r="X40" s="13"/>
      <c r="Y40" s="13"/>
      <c r="Z40" s="13"/>
      <c r="AA40" s="6" t="s">
        <v>6606</v>
      </c>
      <c r="AB40" s="13"/>
      <c r="AC40" s="13"/>
      <c r="AD40" s="13"/>
      <c r="AE40" s="13"/>
      <c r="AF40" s="13"/>
      <c r="AG40" s="6" t="s">
        <v>6591</v>
      </c>
      <c r="AH40" s="6"/>
      <c r="AI40" s="6" t="s">
        <v>6531</v>
      </c>
      <c r="AJ40" s="6"/>
      <c r="AK40" s="6" t="s">
        <v>6531</v>
      </c>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row>
    <row r="41">
      <c r="A41" s="13"/>
      <c r="B41" s="34" t="s">
        <v>6597</v>
      </c>
      <c r="C41" s="13"/>
      <c r="D41" s="6" t="s">
        <v>6607</v>
      </c>
      <c r="E41" s="13"/>
      <c r="F41" s="6" t="s">
        <v>6599</v>
      </c>
      <c r="G41" s="13"/>
      <c r="H41" s="13"/>
      <c r="I41" s="13"/>
      <c r="J41" s="13"/>
      <c r="K41" s="13"/>
      <c r="L41" s="255"/>
      <c r="M41" s="69" t="str">
        <f t="shared" si="3"/>
        <v>[https://link.springer.com/chapter/10.1007/978-3-540-75142-7_16  (2007)]</v>
      </c>
      <c r="N41" s="13"/>
      <c r="O41" s="6">
        <v>2007.0</v>
      </c>
      <c r="P41" s="18" t="s">
        <v>6604</v>
      </c>
      <c r="Q41" s="13"/>
      <c r="R41" s="13"/>
      <c r="S41" s="13"/>
      <c r="T41" s="13"/>
      <c r="U41" s="13"/>
      <c r="V41" s="13"/>
      <c r="W41" s="13"/>
      <c r="X41" s="13"/>
      <c r="Y41" s="13"/>
      <c r="Z41" s="13"/>
      <c r="AA41" s="6" t="s">
        <v>6608</v>
      </c>
      <c r="AB41" s="13"/>
      <c r="AC41" s="13"/>
      <c r="AD41" s="13"/>
      <c r="AE41" s="13"/>
      <c r="AF41" s="13"/>
      <c r="AG41" s="6" t="s">
        <v>6591</v>
      </c>
      <c r="AH41" s="6"/>
      <c r="AI41" s="6" t="s">
        <v>6531</v>
      </c>
      <c r="AJ41" s="6"/>
      <c r="AK41" s="6" t="s">
        <v>6531</v>
      </c>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row>
    <row r="42">
      <c r="A42" s="13"/>
      <c r="B42" s="34" t="s">
        <v>6597</v>
      </c>
      <c r="C42" s="13"/>
      <c r="D42" s="6" t="s">
        <v>6609</v>
      </c>
      <c r="E42" s="13"/>
      <c r="F42" s="6" t="s">
        <v>6599</v>
      </c>
      <c r="G42" s="13"/>
      <c r="H42" s="13"/>
      <c r="I42" s="13"/>
      <c r="J42" s="13"/>
      <c r="K42" s="13"/>
      <c r="L42" s="255"/>
      <c r="M42" s="69" t="str">
        <f t="shared" si="3"/>
        <v>[https://link.springer.com/chapter/10.1007/978-3-540-75142-7_16  (2007)]</v>
      </c>
      <c r="N42" s="13"/>
      <c r="O42" s="6">
        <v>2007.0</v>
      </c>
      <c r="P42" s="18" t="s">
        <v>6604</v>
      </c>
      <c r="Q42" s="13"/>
      <c r="R42" s="13"/>
      <c r="S42" s="13"/>
      <c r="T42" s="13"/>
      <c r="U42" s="13"/>
      <c r="V42" s="13"/>
      <c r="W42" s="13"/>
      <c r="X42" s="13"/>
      <c r="Y42" s="13"/>
      <c r="Z42" s="13"/>
      <c r="AA42" s="6" t="s">
        <v>6610</v>
      </c>
      <c r="AB42" s="13"/>
      <c r="AC42" s="13"/>
      <c r="AD42" s="13"/>
      <c r="AE42" s="13"/>
      <c r="AF42" s="13"/>
      <c r="AG42" s="6" t="s">
        <v>6591</v>
      </c>
      <c r="AH42" s="6"/>
      <c r="AI42" s="6" t="s">
        <v>6531</v>
      </c>
      <c r="AJ42" s="6"/>
      <c r="AK42" s="6" t="s">
        <v>6531</v>
      </c>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row>
    <row r="43">
      <c r="A43" s="13"/>
      <c r="B43" s="34" t="s">
        <v>6597</v>
      </c>
      <c r="C43" s="13"/>
      <c r="D43" s="6" t="s">
        <v>6609</v>
      </c>
      <c r="E43" s="13"/>
      <c r="F43" s="6" t="s">
        <v>6599</v>
      </c>
      <c r="G43" s="13"/>
      <c r="H43" s="13"/>
      <c r="I43" s="13"/>
      <c r="J43" s="13"/>
      <c r="K43" s="13"/>
      <c r="L43" s="255"/>
      <c r="M43" s="69" t="str">
        <f t="shared" si="3"/>
        <v>[https://link.springer.com/chapter/10.1007/978-3-540-75142-7_16  (2007)]</v>
      </c>
      <c r="N43" s="13"/>
      <c r="O43" s="6">
        <v>2007.0</v>
      </c>
      <c r="P43" s="18" t="s">
        <v>6604</v>
      </c>
      <c r="Q43" s="13"/>
      <c r="R43" s="13"/>
      <c r="S43" s="13"/>
      <c r="T43" s="13"/>
      <c r="U43" s="13"/>
      <c r="V43" s="13"/>
      <c r="W43" s="13"/>
      <c r="X43" s="13"/>
      <c r="Y43" s="13"/>
      <c r="Z43" s="13"/>
      <c r="AA43" s="6" t="s">
        <v>6611</v>
      </c>
      <c r="AB43" s="13"/>
      <c r="AC43" s="13"/>
      <c r="AD43" s="13"/>
      <c r="AE43" s="13"/>
      <c r="AF43" s="13"/>
      <c r="AG43" s="6" t="s">
        <v>6591</v>
      </c>
      <c r="AH43" s="6"/>
      <c r="AI43" s="6" t="s">
        <v>6471</v>
      </c>
      <c r="AJ43" s="6" t="s">
        <v>6602</v>
      </c>
      <c r="AK43" s="6" t="s">
        <v>6531</v>
      </c>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row>
    <row r="44">
      <c r="A44" s="13"/>
      <c r="B44" s="34" t="s">
        <v>6597</v>
      </c>
      <c r="C44" s="13"/>
      <c r="D44" s="6" t="s">
        <v>6612</v>
      </c>
      <c r="E44" s="13"/>
      <c r="F44" s="6" t="s">
        <v>6599</v>
      </c>
      <c r="G44" s="13"/>
      <c r="H44" s="13"/>
      <c r="I44" s="13"/>
      <c r="J44" s="13"/>
      <c r="K44" s="13"/>
      <c r="L44" s="255"/>
      <c r="M44" s="69" t="str">
        <f t="shared" si="3"/>
        <v>[https://dl.acm.org/doi/abs/10.1145/1400751.1400788  (2008)]</v>
      </c>
      <c r="N44" s="13"/>
      <c r="O44" s="6">
        <v>2008.0</v>
      </c>
      <c r="P44" s="18" t="s">
        <v>6613</v>
      </c>
      <c r="Q44" s="13"/>
      <c r="R44" s="13"/>
      <c r="S44" s="13"/>
      <c r="T44" s="13"/>
      <c r="U44" s="13"/>
      <c r="V44" s="13"/>
      <c r="W44" s="13"/>
      <c r="X44" s="13"/>
      <c r="Y44" s="13"/>
      <c r="Z44" s="13"/>
      <c r="AA44" s="6" t="s">
        <v>6614</v>
      </c>
      <c r="AB44" s="13"/>
      <c r="AC44" s="13"/>
      <c r="AD44" s="13"/>
      <c r="AE44" s="13"/>
      <c r="AF44" s="13"/>
      <c r="AG44" s="6" t="s">
        <v>6591</v>
      </c>
      <c r="AH44" s="6"/>
      <c r="AI44" s="6" t="s">
        <v>6531</v>
      </c>
      <c r="AJ44" s="6"/>
      <c r="AK44" s="6" t="s">
        <v>6531</v>
      </c>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row>
    <row r="45">
      <c r="A45" s="13"/>
      <c r="B45" s="34" t="s">
        <v>6597</v>
      </c>
      <c r="C45" s="13"/>
      <c r="D45" s="263" t="s">
        <v>6615</v>
      </c>
      <c r="E45" s="13"/>
      <c r="F45" s="6" t="s">
        <v>6599</v>
      </c>
      <c r="G45" s="13"/>
      <c r="H45" s="13"/>
      <c r="I45" s="13"/>
      <c r="J45" s="13"/>
      <c r="K45" s="13"/>
      <c r="L45" s="255"/>
      <c r="M45" s="69" t="str">
        <f t="shared" si="3"/>
        <v>[https://dl.acm.org/doi/abs/10.1145/1400751.1400788  (2008)]</v>
      </c>
      <c r="N45" s="13"/>
      <c r="O45" s="6">
        <v>2008.0</v>
      </c>
      <c r="P45" s="18" t="s">
        <v>6613</v>
      </c>
      <c r="Q45" s="13"/>
      <c r="R45" s="13"/>
      <c r="S45" s="13"/>
      <c r="T45" s="13"/>
      <c r="U45" s="13"/>
      <c r="V45" s="13"/>
      <c r="W45" s="13"/>
      <c r="X45" s="13"/>
      <c r="Y45" s="13"/>
      <c r="Z45" s="13"/>
      <c r="AA45" s="6" t="s">
        <v>6616</v>
      </c>
      <c r="AB45" s="13"/>
      <c r="AC45" s="13"/>
      <c r="AD45" s="13"/>
      <c r="AE45" s="13"/>
      <c r="AF45" s="13"/>
      <c r="AG45" s="6" t="s">
        <v>6591</v>
      </c>
      <c r="AH45" s="6"/>
      <c r="AI45" s="6" t="s">
        <v>6531</v>
      </c>
      <c r="AJ45" s="6"/>
      <c r="AK45" s="6" t="s">
        <v>6531</v>
      </c>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row>
    <row r="46">
      <c r="A46" s="13"/>
      <c r="B46" s="34" t="s">
        <v>6597</v>
      </c>
      <c r="C46" s="13"/>
      <c r="D46" s="264" t="s">
        <v>6617</v>
      </c>
      <c r="E46" s="13"/>
      <c r="F46" s="6" t="s">
        <v>6599</v>
      </c>
      <c r="G46" s="13"/>
      <c r="H46" s="13"/>
      <c r="I46" s="13"/>
      <c r="J46" s="13"/>
      <c r="K46" s="13"/>
      <c r="L46" s="255"/>
      <c r="M46" s="69" t="str">
        <f t="shared" si="3"/>
        <v>[https://www.sciencedirect.com/science/article/pii/S0304397508001138  (2008)]</v>
      </c>
      <c r="N46" s="13"/>
      <c r="O46" s="6">
        <v>2008.0</v>
      </c>
      <c r="P46" s="18" t="s">
        <v>6618</v>
      </c>
      <c r="Q46" s="13"/>
      <c r="R46" s="13"/>
      <c r="S46" s="13"/>
      <c r="T46" s="13"/>
      <c r="U46" s="13"/>
      <c r="V46" s="13"/>
      <c r="W46" s="13"/>
      <c r="X46" s="13"/>
      <c r="Y46" s="13"/>
      <c r="Z46" s="13"/>
      <c r="AA46" s="6" t="s">
        <v>6619</v>
      </c>
      <c r="AB46" s="13"/>
      <c r="AC46" s="13"/>
      <c r="AD46" s="13"/>
      <c r="AE46" s="13"/>
      <c r="AF46" s="13"/>
      <c r="AG46" s="6" t="s">
        <v>6591</v>
      </c>
      <c r="AH46" s="6"/>
      <c r="AI46" s="6" t="s">
        <v>6531</v>
      </c>
      <c r="AJ46" s="6"/>
      <c r="AK46" s="6" t="s">
        <v>6531</v>
      </c>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row>
    <row r="47">
      <c r="A47" s="13"/>
      <c r="B47" s="34" t="s">
        <v>6597</v>
      </c>
      <c r="C47" s="13"/>
      <c r="D47" s="263" t="s">
        <v>6620</v>
      </c>
      <c r="E47" s="13"/>
      <c r="F47" s="6" t="s">
        <v>6599</v>
      </c>
      <c r="G47" s="13"/>
      <c r="H47" s="13"/>
      <c r="I47" s="13"/>
      <c r="J47" s="13"/>
      <c r="K47" s="13"/>
      <c r="L47" s="255"/>
      <c r="M47" s="69" t="str">
        <f t="shared" si="3"/>
        <v>[https://link.springer.com/chapter/10.1007/978-3-642-04355-0_20  (2009)]</v>
      </c>
      <c r="N47" s="13"/>
      <c r="O47" s="6">
        <v>2009.0</v>
      </c>
      <c r="P47" s="18" t="s">
        <v>6621</v>
      </c>
      <c r="Q47" s="13"/>
      <c r="R47" s="13"/>
      <c r="S47" s="13"/>
      <c r="T47" s="13"/>
      <c r="U47" s="13"/>
      <c r="V47" s="13"/>
      <c r="W47" s="13"/>
      <c r="X47" s="13"/>
      <c r="Y47" s="13"/>
      <c r="Z47" s="13"/>
      <c r="AA47" s="6" t="s">
        <v>6614</v>
      </c>
      <c r="AB47" s="13"/>
      <c r="AC47" s="13"/>
      <c r="AD47" s="13"/>
      <c r="AE47" s="13"/>
      <c r="AF47" s="13"/>
      <c r="AG47" s="6" t="s">
        <v>6591</v>
      </c>
      <c r="AH47" s="6"/>
      <c r="AI47" s="6" t="s">
        <v>6531</v>
      </c>
      <c r="AJ47" s="6"/>
      <c r="AK47" s="6" t="s">
        <v>6531</v>
      </c>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row>
    <row r="48">
      <c r="A48" s="13"/>
      <c r="B48" s="34" t="s">
        <v>6597</v>
      </c>
      <c r="C48" s="13"/>
      <c r="D48" s="263" t="s">
        <v>6622</v>
      </c>
      <c r="E48" s="13"/>
      <c r="F48" s="6" t="s">
        <v>6599</v>
      </c>
      <c r="G48" s="13"/>
      <c r="H48" s="13"/>
      <c r="I48" s="13"/>
      <c r="J48" s="13"/>
      <c r="K48" s="13"/>
      <c r="L48" s="255"/>
      <c r="M48" s="69" t="str">
        <f t="shared" si="3"/>
        <v>[https://link.springer.com/chapter/10.1007/978-3-642-04355-0_20  (2009)]</v>
      </c>
      <c r="N48" s="13"/>
      <c r="O48" s="6">
        <v>2009.0</v>
      </c>
      <c r="P48" s="18" t="s">
        <v>6621</v>
      </c>
      <c r="Q48" s="13"/>
      <c r="R48" s="13"/>
      <c r="S48" s="13"/>
      <c r="T48" s="13"/>
      <c r="U48" s="13"/>
      <c r="V48" s="13"/>
      <c r="W48" s="13"/>
      <c r="X48" s="13"/>
      <c r="Y48" s="13"/>
      <c r="Z48" s="13"/>
      <c r="AA48" s="6" t="s">
        <v>34</v>
      </c>
      <c r="AB48" s="13"/>
      <c r="AC48" s="13"/>
      <c r="AD48" s="13"/>
      <c r="AE48" s="13"/>
      <c r="AF48" s="13"/>
      <c r="AG48" s="6" t="s">
        <v>6591</v>
      </c>
      <c r="AH48" s="6"/>
      <c r="AI48" s="6" t="s">
        <v>6531</v>
      </c>
      <c r="AJ48" s="6"/>
      <c r="AK48" s="6" t="s">
        <v>6531</v>
      </c>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row>
    <row r="49">
      <c r="A49" s="13"/>
      <c r="B49" s="34" t="s">
        <v>6597</v>
      </c>
      <c r="C49" s="13"/>
      <c r="D49" s="263" t="s">
        <v>6623</v>
      </c>
      <c r="E49" s="13"/>
      <c r="F49" s="6" t="s">
        <v>6599</v>
      </c>
      <c r="G49" s="13"/>
      <c r="H49" s="13"/>
      <c r="I49" s="13"/>
      <c r="J49" s="13"/>
      <c r="K49" s="13"/>
      <c r="L49" s="255"/>
      <c r="M49" s="69" t="str">
        <f t="shared" si="3"/>
        <v>[https://link.springer.com/chapter/10.1007/978-3-642-04355-0_20  (2009)]</v>
      </c>
      <c r="N49" s="13"/>
      <c r="O49" s="6">
        <v>2009.0</v>
      </c>
      <c r="P49" s="18" t="s">
        <v>6621</v>
      </c>
      <c r="Q49" s="13"/>
      <c r="R49" s="13"/>
      <c r="S49" s="13"/>
      <c r="T49" s="13"/>
      <c r="U49" s="13"/>
      <c r="V49" s="13"/>
      <c r="W49" s="13"/>
      <c r="X49" s="13"/>
      <c r="Y49" s="13"/>
      <c r="Z49" s="13"/>
      <c r="AA49" s="6" t="s">
        <v>34</v>
      </c>
      <c r="AB49" s="13"/>
      <c r="AC49" s="13"/>
      <c r="AD49" s="13"/>
      <c r="AE49" s="13"/>
      <c r="AF49" s="13"/>
      <c r="AG49" s="6" t="s">
        <v>6591</v>
      </c>
      <c r="AH49" s="6"/>
      <c r="AI49" s="6" t="s">
        <v>6531</v>
      </c>
      <c r="AJ49" s="6"/>
      <c r="AK49" s="6" t="s">
        <v>6531</v>
      </c>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row>
    <row r="50">
      <c r="A50" s="13"/>
      <c r="B50" s="34" t="s">
        <v>6597</v>
      </c>
      <c r="C50" s="13"/>
      <c r="D50" s="263" t="s">
        <v>6624</v>
      </c>
      <c r="E50" s="13"/>
      <c r="F50" s="6" t="s">
        <v>6599</v>
      </c>
      <c r="G50" s="13"/>
      <c r="H50" s="13"/>
      <c r="I50" s="13"/>
      <c r="J50" s="13"/>
      <c r="K50" s="13"/>
      <c r="L50" s="255"/>
      <c r="M50" s="69" t="str">
        <f t="shared" si="3"/>
        <v>[https://link.springer.com/chapter/10.1007/978-3-642-04355-0_20  (2009)]</v>
      </c>
      <c r="N50" s="13"/>
      <c r="O50" s="6">
        <v>2009.0</v>
      </c>
      <c r="P50" s="18" t="s">
        <v>6621</v>
      </c>
      <c r="Q50" s="13"/>
      <c r="R50" s="13"/>
      <c r="S50" s="13"/>
      <c r="T50" s="13"/>
      <c r="U50" s="13"/>
      <c r="V50" s="13"/>
      <c r="W50" s="13"/>
      <c r="X50" s="13"/>
      <c r="Y50" s="13"/>
      <c r="Z50" s="13"/>
      <c r="AA50" s="6" t="s">
        <v>6625</v>
      </c>
      <c r="AB50" s="13"/>
      <c r="AC50" s="13"/>
      <c r="AD50" s="13"/>
      <c r="AE50" s="13"/>
      <c r="AF50" s="13"/>
      <c r="AG50" s="6" t="s">
        <v>6591</v>
      </c>
      <c r="AH50" s="6"/>
      <c r="AI50" s="6" t="s">
        <v>6531</v>
      </c>
      <c r="AJ50" s="6"/>
      <c r="AK50" s="6" t="s">
        <v>6531</v>
      </c>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6" t="s">
        <v>6626</v>
      </c>
      <c r="BN50" s="13"/>
    </row>
    <row r="51">
      <c r="A51" s="13"/>
      <c r="B51" s="34" t="s">
        <v>6597</v>
      </c>
      <c r="C51" s="13"/>
      <c r="D51" s="264" t="s">
        <v>6627</v>
      </c>
      <c r="E51" s="13"/>
      <c r="F51" s="6" t="s">
        <v>6599</v>
      </c>
      <c r="G51" s="13"/>
      <c r="H51" s="13"/>
      <c r="I51" s="13"/>
      <c r="J51" s="13"/>
      <c r="K51" s="13"/>
      <c r="L51" s="255"/>
      <c r="M51" s="69" t="str">
        <f t="shared" si="3"/>
        <v>[https://dl.acm.org/doi/abs/10.1145/1868237.1868242  (2010)]</v>
      </c>
      <c r="N51" s="13"/>
      <c r="O51" s="6">
        <v>2010.0</v>
      </c>
      <c r="P51" s="18" t="s">
        <v>6628</v>
      </c>
      <c r="Q51" s="13"/>
      <c r="R51" s="13"/>
      <c r="S51" s="13"/>
      <c r="T51" s="13"/>
      <c r="U51" s="13"/>
      <c r="V51" s="13"/>
      <c r="W51" s="13"/>
      <c r="X51" s="13"/>
      <c r="Y51" s="13"/>
      <c r="Z51" s="13"/>
      <c r="AA51" s="6" t="s">
        <v>192</v>
      </c>
      <c r="AB51" s="13"/>
      <c r="AC51" s="13"/>
      <c r="AD51" s="13"/>
      <c r="AE51" s="13"/>
      <c r="AF51" s="13"/>
      <c r="AG51" s="6" t="s">
        <v>6591</v>
      </c>
      <c r="AH51" s="6"/>
      <c r="AI51" s="6" t="s">
        <v>6471</v>
      </c>
      <c r="AJ51" s="6" t="s">
        <v>6602</v>
      </c>
      <c r="AK51" s="6" t="s">
        <v>6531</v>
      </c>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row>
    <row r="52">
      <c r="A52" s="13"/>
      <c r="B52" s="34" t="s">
        <v>6597</v>
      </c>
      <c r="C52" s="13"/>
      <c r="D52" s="264" t="s">
        <v>6629</v>
      </c>
      <c r="E52" s="13"/>
      <c r="F52" s="6" t="s">
        <v>6599</v>
      </c>
      <c r="G52" s="13"/>
      <c r="H52" s="13"/>
      <c r="I52" s="13"/>
      <c r="J52" s="13"/>
      <c r="K52" s="13"/>
      <c r="L52" s="255"/>
      <c r="M52" s="69" t="str">
        <f t="shared" si="3"/>
        <v>[https://dl.acm.org/doi/abs/10.1145/2484239.2484262  (2013)]</v>
      </c>
      <c r="N52" s="13"/>
      <c r="O52" s="6">
        <v>2013.0</v>
      </c>
      <c r="P52" s="18" t="s">
        <v>6630</v>
      </c>
      <c r="Q52" s="13"/>
      <c r="R52" s="13"/>
      <c r="S52" s="13"/>
      <c r="T52" s="13"/>
      <c r="U52" s="13"/>
      <c r="V52" s="13"/>
      <c r="W52" s="13"/>
      <c r="X52" s="13"/>
      <c r="Y52" s="13"/>
      <c r="Z52" s="13"/>
      <c r="AA52" s="6" t="s">
        <v>6631</v>
      </c>
      <c r="AB52" s="13"/>
      <c r="AC52" s="13"/>
      <c r="AD52" s="13"/>
      <c r="AE52" s="13"/>
      <c r="AF52" s="13"/>
      <c r="AG52" s="6" t="s">
        <v>6601</v>
      </c>
      <c r="AH52" s="6"/>
      <c r="AI52" s="6" t="s">
        <v>6471</v>
      </c>
      <c r="AJ52" s="6" t="s">
        <v>6602</v>
      </c>
      <c r="AK52" s="6" t="s">
        <v>6531</v>
      </c>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row>
    <row r="53">
      <c r="A53" s="13"/>
      <c r="B53" s="35" t="s">
        <v>6597</v>
      </c>
      <c r="C53" s="13"/>
      <c r="D53" s="6" t="s">
        <v>6632</v>
      </c>
      <c r="E53" s="13"/>
      <c r="F53" s="6" t="s">
        <v>6599</v>
      </c>
      <c r="G53" s="13"/>
      <c r="H53" s="13"/>
      <c r="I53" s="13"/>
      <c r="J53" s="13"/>
      <c r="K53" s="13"/>
      <c r="L53" s="255"/>
      <c r="M53" s="69"/>
      <c r="N53" s="13"/>
      <c r="O53" s="6">
        <v>2018.0</v>
      </c>
      <c r="P53" s="18" t="s">
        <v>6633</v>
      </c>
      <c r="Q53" s="13"/>
      <c r="R53" s="13"/>
      <c r="S53" s="13"/>
      <c r="T53" s="13"/>
      <c r="U53" s="13"/>
      <c r="V53" s="13"/>
      <c r="W53" s="13"/>
      <c r="X53" s="13"/>
      <c r="Y53" s="13"/>
      <c r="Z53" s="13"/>
      <c r="AA53" s="6" t="s">
        <v>6634</v>
      </c>
      <c r="AB53" s="13"/>
      <c r="AC53" s="13"/>
      <c r="AD53" s="13"/>
      <c r="AE53" s="13"/>
      <c r="AF53" s="13"/>
      <c r="AG53" s="6" t="s">
        <v>6635</v>
      </c>
      <c r="AH53" s="6"/>
      <c r="AI53" s="6" t="s">
        <v>6471</v>
      </c>
      <c r="AJ53" s="6" t="s">
        <v>6602</v>
      </c>
      <c r="AK53" s="6" t="s">
        <v>6531</v>
      </c>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row>
    <row r="54">
      <c r="A54" s="13"/>
      <c r="B54" s="35" t="s">
        <v>6597</v>
      </c>
      <c r="C54" s="13"/>
      <c r="D54" s="6" t="s">
        <v>6636</v>
      </c>
      <c r="E54" s="13"/>
      <c r="F54" s="6" t="s">
        <v>6599</v>
      </c>
      <c r="G54" s="13"/>
      <c r="H54" s="13"/>
      <c r="I54" s="13"/>
      <c r="J54" s="13"/>
      <c r="K54" s="13"/>
      <c r="L54" s="255"/>
      <c r="M54" s="69"/>
      <c r="N54" s="13"/>
      <c r="O54" s="6">
        <v>2018.0</v>
      </c>
      <c r="P54" s="18" t="s">
        <v>6633</v>
      </c>
      <c r="Q54" s="13"/>
      <c r="R54" s="13"/>
      <c r="S54" s="13"/>
      <c r="T54" s="13"/>
      <c r="U54" s="13"/>
      <c r="V54" s="13"/>
      <c r="W54" s="13"/>
      <c r="X54" s="13"/>
      <c r="Y54" s="13"/>
      <c r="Z54" s="13"/>
      <c r="AA54" s="6" t="s">
        <v>6637</v>
      </c>
      <c r="AB54" s="13"/>
      <c r="AC54" s="13"/>
      <c r="AD54" s="13"/>
      <c r="AE54" s="13"/>
      <c r="AF54" s="13"/>
      <c r="AG54" s="6" t="s">
        <v>6635</v>
      </c>
      <c r="AH54" s="6"/>
      <c r="AI54" s="6" t="s">
        <v>6531</v>
      </c>
      <c r="AJ54" s="6"/>
      <c r="AK54" s="6" t="s">
        <v>6531</v>
      </c>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row>
    <row r="55">
      <c r="A55" s="13"/>
      <c r="B55" s="35" t="s">
        <v>6597</v>
      </c>
      <c r="C55" s="13"/>
      <c r="D55" s="6" t="s">
        <v>6605</v>
      </c>
      <c r="E55" s="13"/>
      <c r="F55" s="6" t="s">
        <v>6599</v>
      </c>
      <c r="G55" s="13"/>
      <c r="H55" s="13"/>
      <c r="I55" s="13"/>
      <c r="J55" s="13"/>
      <c r="K55" s="13"/>
      <c r="L55" s="255"/>
      <c r="M55" s="69"/>
      <c r="N55" s="13"/>
      <c r="O55" s="6">
        <v>2018.0</v>
      </c>
      <c r="P55" s="18" t="s">
        <v>6633</v>
      </c>
      <c r="Q55" s="13"/>
      <c r="R55" s="13"/>
      <c r="S55" s="13"/>
      <c r="T55" s="13"/>
      <c r="U55" s="13"/>
      <c r="V55" s="13"/>
      <c r="W55" s="13"/>
      <c r="X55" s="13"/>
      <c r="Y55" s="13"/>
      <c r="Z55" s="13"/>
      <c r="AA55" s="6" t="s">
        <v>6634</v>
      </c>
      <c r="AB55" s="13"/>
      <c r="AC55" s="13"/>
      <c r="AD55" s="13"/>
      <c r="AE55" s="13"/>
      <c r="AF55" s="13"/>
      <c r="AG55" s="6" t="s">
        <v>6635</v>
      </c>
      <c r="AH55" s="6"/>
      <c r="AI55" s="6" t="s">
        <v>6531</v>
      </c>
      <c r="AJ55" s="6"/>
      <c r="AK55" s="6" t="s">
        <v>6531</v>
      </c>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row>
    <row r="56">
      <c r="A56" s="13"/>
      <c r="B56" s="34" t="s">
        <v>6597</v>
      </c>
      <c r="C56" s="13"/>
      <c r="D56" s="264" t="s">
        <v>6638</v>
      </c>
      <c r="E56" s="13"/>
      <c r="F56" s="6" t="s">
        <v>6599</v>
      </c>
      <c r="G56" s="13"/>
      <c r="H56" s="13"/>
      <c r="I56" s="13"/>
      <c r="J56" s="13"/>
      <c r="K56" s="13"/>
      <c r="L56" s="255"/>
      <c r="M56" s="69" t="str">
        <f t="shared" ref="M56:M68" si="4">CONCATENATE("[",P56," ",N56," (",O56,")","]")</f>
        <v>[https://www.sciencedirect.com/science/article/abs/pii/S0304397520303194  (2020)]</v>
      </c>
      <c r="N56" s="13"/>
      <c r="O56" s="6">
        <v>2020.0</v>
      </c>
      <c r="P56" s="18" t="s">
        <v>6639</v>
      </c>
      <c r="Q56" s="13"/>
      <c r="R56" s="13"/>
      <c r="S56" s="13"/>
      <c r="T56" s="13"/>
      <c r="U56" s="13"/>
      <c r="V56" s="13"/>
      <c r="W56" s="13"/>
      <c r="X56" s="13"/>
      <c r="Y56" s="13"/>
      <c r="Z56" s="13"/>
      <c r="AA56" s="6" t="s">
        <v>6640</v>
      </c>
      <c r="AB56" s="13"/>
      <c r="AC56" s="13"/>
      <c r="AD56" s="13"/>
      <c r="AE56" s="13"/>
      <c r="AF56" s="13"/>
      <c r="AG56" s="6" t="s">
        <v>6601</v>
      </c>
      <c r="AH56" s="6"/>
      <c r="AI56" s="6" t="s">
        <v>6471</v>
      </c>
      <c r="AJ56" s="6" t="s">
        <v>6602</v>
      </c>
      <c r="AK56" s="6" t="s">
        <v>6531</v>
      </c>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row>
    <row r="57">
      <c r="A57" s="13"/>
      <c r="B57" s="34" t="s">
        <v>6597</v>
      </c>
      <c r="C57" s="13"/>
      <c r="D57" s="6" t="s">
        <v>6641</v>
      </c>
      <c r="E57" s="13"/>
      <c r="F57" s="6" t="s">
        <v>6599</v>
      </c>
      <c r="G57" s="13"/>
      <c r="H57" s="13"/>
      <c r="I57" s="13"/>
      <c r="J57" s="13"/>
      <c r="K57" s="13"/>
      <c r="L57" s="255"/>
      <c r="M57" s="69" t="str">
        <f t="shared" si="4"/>
        <v>[https://dl.acm.org/doi/abs/10.1145/3465084.3467928  (2021)]</v>
      </c>
      <c r="N57" s="13"/>
      <c r="O57" s="6">
        <v>2021.0</v>
      </c>
      <c r="P57" s="18" t="s">
        <v>6642</v>
      </c>
      <c r="Q57" s="13"/>
      <c r="R57" s="13"/>
      <c r="S57" s="13"/>
      <c r="T57" s="13"/>
      <c r="U57" s="13"/>
      <c r="V57" s="13"/>
      <c r="W57" s="13"/>
      <c r="X57" s="13"/>
      <c r="Y57" s="13"/>
      <c r="Z57" s="13"/>
      <c r="AA57" s="6" t="s">
        <v>34</v>
      </c>
      <c r="AB57" s="13"/>
      <c r="AC57" s="13"/>
      <c r="AD57" s="13"/>
      <c r="AE57" s="13"/>
      <c r="AF57" s="13"/>
      <c r="AG57" s="6" t="s">
        <v>6635</v>
      </c>
      <c r="AH57" s="6"/>
      <c r="AI57" s="6" t="s">
        <v>6471</v>
      </c>
      <c r="AJ57" s="6" t="s">
        <v>6602</v>
      </c>
      <c r="AK57" s="6" t="s">
        <v>6531</v>
      </c>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row>
    <row r="58">
      <c r="A58" s="13"/>
      <c r="B58" s="34" t="s">
        <v>6597</v>
      </c>
      <c r="C58" s="13"/>
      <c r="D58" s="6" t="s">
        <v>6643</v>
      </c>
      <c r="E58" s="13"/>
      <c r="F58" s="6" t="s">
        <v>6599</v>
      </c>
      <c r="G58" s="13"/>
      <c r="H58" s="13"/>
      <c r="I58" s="13"/>
      <c r="J58" s="13"/>
      <c r="K58" s="13"/>
      <c r="L58" s="255"/>
      <c r="M58" s="69" t="str">
        <f t="shared" si="4"/>
        <v>[https://dl.acm.org/doi/pdf/10.1145/3519270.3538439  (2022)]</v>
      </c>
      <c r="N58" s="13"/>
      <c r="O58" s="6">
        <v>2022.0</v>
      </c>
      <c r="P58" s="18" t="s">
        <v>6644</v>
      </c>
      <c r="Q58" s="13"/>
      <c r="R58" s="13"/>
      <c r="S58" s="13"/>
      <c r="T58" s="13"/>
      <c r="U58" s="13"/>
      <c r="V58" s="13"/>
      <c r="W58" s="13"/>
      <c r="X58" s="13"/>
      <c r="Y58" s="13"/>
      <c r="Z58" s="13"/>
      <c r="AA58" s="6" t="s">
        <v>34</v>
      </c>
      <c r="AB58" s="13"/>
      <c r="AC58" s="13"/>
      <c r="AD58" s="13"/>
      <c r="AE58" s="13"/>
      <c r="AF58" s="13"/>
      <c r="AG58" s="6" t="s">
        <v>6635</v>
      </c>
      <c r="AH58" s="6"/>
      <c r="AI58" s="6" t="s">
        <v>6471</v>
      </c>
      <c r="AJ58" s="6" t="s">
        <v>6602</v>
      </c>
      <c r="AK58" s="6" t="s">
        <v>6531</v>
      </c>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row>
    <row r="59">
      <c r="A59" s="13"/>
      <c r="B59" s="34" t="s">
        <v>6645</v>
      </c>
      <c r="C59" s="6">
        <v>1.0</v>
      </c>
      <c r="D59" s="6" t="s">
        <v>6646</v>
      </c>
      <c r="E59" s="13"/>
      <c r="F59" s="6" t="s">
        <v>6647</v>
      </c>
      <c r="G59" s="13"/>
      <c r="H59" s="13"/>
      <c r="I59" s="13"/>
      <c r="J59" s="13"/>
      <c r="K59" s="13"/>
      <c r="L59" s="255"/>
      <c r="M59" s="69" t="str">
        <f t="shared" si="4"/>
        <v>[https://www.ams.org/journals/qam/1958-16-01/S0033-569X-1958-0102435-2/S0033-569X-1958-0102435-2.pdf  (1958)]</v>
      </c>
      <c r="N59" s="13"/>
      <c r="O59" s="6">
        <v>1958.0</v>
      </c>
      <c r="P59" s="18" t="s">
        <v>3113</v>
      </c>
      <c r="Q59" s="13"/>
      <c r="R59" s="13"/>
      <c r="S59" s="13"/>
      <c r="T59" s="13"/>
      <c r="U59" s="13"/>
      <c r="V59" s="13"/>
      <c r="W59" s="13"/>
      <c r="X59" s="13"/>
      <c r="Y59" s="13"/>
      <c r="Z59" s="13"/>
      <c r="AA59" s="6" t="s">
        <v>35</v>
      </c>
      <c r="AB59" s="18" t="s">
        <v>3113</v>
      </c>
      <c r="AC59" s="13"/>
      <c r="AD59" s="13"/>
      <c r="AE59" s="6" t="s">
        <v>6648</v>
      </c>
      <c r="AF59" s="13"/>
      <c r="AG59" s="6" t="s">
        <v>6601</v>
      </c>
      <c r="AH59" s="6"/>
      <c r="AI59" s="6"/>
      <c r="AJ59" s="6"/>
      <c r="AK59" s="6"/>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row>
    <row r="60">
      <c r="A60" s="13"/>
      <c r="B60" s="34" t="s">
        <v>6645</v>
      </c>
      <c r="C60" s="6">
        <v>1.0</v>
      </c>
      <c r="D60" s="6" t="s">
        <v>6646</v>
      </c>
      <c r="E60" s="13"/>
      <c r="F60" s="6" t="s">
        <v>6647</v>
      </c>
      <c r="G60" s="13"/>
      <c r="H60" s="13"/>
      <c r="I60" s="13"/>
      <c r="J60" s="13"/>
      <c r="K60" s="13"/>
      <c r="L60" s="255"/>
      <c r="M60" s="69" t="str">
        <f t="shared" si="4"/>
        <v>[https://dl.acm.org/doi/pdf/10.1145/3055399.3055452  (2017)]</v>
      </c>
      <c r="N60" s="13"/>
      <c r="O60" s="6">
        <v>2017.0</v>
      </c>
      <c r="P60" s="18" t="s">
        <v>6649</v>
      </c>
      <c r="Q60" s="13"/>
      <c r="R60" s="13"/>
      <c r="S60" s="13"/>
      <c r="T60" s="13"/>
      <c r="U60" s="13"/>
      <c r="V60" s="13"/>
      <c r="W60" s="13"/>
      <c r="X60" s="13"/>
      <c r="Y60" s="13"/>
      <c r="Z60" s="13"/>
      <c r="AA60" s="6" t="s">
        <v>6650</v>
      </c>
      <c r="AB60" s="18" t="s">
        <v>6649</v>
      </c>
      <c r="AC60" s="13"/>
      <c r="AD60" s="13"/>
      <c r="AE60" s="6" t="s">
        <v>6576</v>
      </c>
      <c r="AF60" s="13"/>
      <c r="AG60" s="6" t="s">
        <v>6601</v>
      </c>
      <c r="AH60" s="6"/>
      <c r="AI60" s="6" t="s">
        <v>6471</v>
      </c>
      <c r="AJ60" s="6" t="s">
        <v>2187</v>
      </c>
      <c r="AK60" s="6" t="s">
        <v>6531</v>
      </c>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row>
    <row r="61">
      <c r="A61" s="13"/>
      <c r="B61" s="34" t="s">
        <v>6645</v>
      </c>
      <c r="C61" s="6">
        <v>1.0</v>
      </c>
      <c r="D61" s="6" t="s">
        <v>6646</v>
      </c>
      <c r="E61" s="13"/>
      <c r="F61" s="6" t="s">
        <v>6647</v>
      </c>
      <c r="G61" s="13"/>
      <c r="H61" s="13"/>
      <c r="I61" s="13"/>
      <c r="J61" s="13"/>
      <c r="K61" s="13"/>
      <c r="L61" s="255"/>
      <c r="M61" s="69" t="str">
        <f t="shared" si="4"/>
        <v>[S. Forster and D. Nanongkai, "A Faster Distributed Single-Source Shortest Paths Algorithm," 2018 IEEE 59th Annual Symposium on Foundations of Computer Science (FOCS), Paris, France, 2018, pp. 686-697, doi: 10.1109/FOCS.2018.00071.
  (2017)]</v>
      </c>
      <c r="N61" s="13"/>
      <c r="O61" s="6">
        <v>2017.0</v>
      </c>
      <c r="P61" s="6" t="s">
        <v>6651</v>
      </c>
      <c r="Q61" s="13"/>
      <c r="R61" s="13"/>
      <c r="S61" s="13"/>
      <c r="T61" s="13"/>
      <c r="U61" s="13"/>
      <c r="V61" s="13"/>
      <c r="W61" s="13"/>
      <c r="X61" s="13"/>
      <c r="Y61" s="13"/>
      <c r="Z61" s="13"/>
      <c r="AA61" s="6" t="s">
        <v>6652</v>
      </c>
      <c r="AB61" s="18" t="s">
        <v>6649</v>
      </c>
      <c r="AC61" s="13"/>
      <c r="AD61" s="13"/>
      <c r="AE61" s="6" t="s">
        <v>6576</v>
      </c>
      <c r="AF61" s="13"/>
      <c r="AG61" s="6" t="s">
        <v>6601</v>
      </c>
      <c r="AH61" s="6"/>
      <c r="AI61" s="6" t="s">
        <v>6471</v>
      </c>
      <c r="AJ61" s="6" t="s">
        <v>2187</v>
      </c>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row>
    <row r="62">
      <c r="A62" s="13"/>
      <c r="B62" s="34" t="s">
        <v>6645</v>
      </c>
      <c r="C62" s="6">
        <v>1.0</v>
      </c>
      <c r="D62" s="6" t="s">
        <v>6646</v>
      </c>
      <c r="E62" s="13"/>
      <c r="F62" s="6" t="s">
        <v>6647</v>
      </c>
      <c r="G62" s="13"/>
      <c r="H62" s="13"/>
      <c r="I62" s="13"/>
      <c r="J62" s="13"/>
      <c r="K62" s="13"/>
      <c r="L62" s="255"/>
      <c r="M62" s="69" t="str">
        <f t="shared" si="4"/>
        <v>[S. Forster and D. Nanongkai, "A Faster Distributed Single-Source Shortest Paths Algorithm," 2018 IEEE 59th Annual Symposium on Foundations of Computer Science (FOCS), Paris, France, 2018, pp. 686-697, doi: 10.1109/FOCS.2018.00071.
  (2017)]</v>
      </c>
      <c r="N62" s="13"/>
      <c r="O62" s="6">
        <v>2017.0</v>
      </c>
      <c r="P62" s="6" t="s">
        <v>6651</v>
      </c>
      <c r="Q62" s="13"/>
      <c r="R62" s="13"/>
      <c r="S62" s="13"/>
      <c r="T62" s="13"/>
      <c r="U62" s="13"/>
      <c r="V62" s="13"/>
      <c r="W62" s="13"/>
      <c r="X62" s="13"/>
      <c r="Y62" s="13"/>
      <c r="Z62" s="13"/>
      <c r="AA62" s="6" t="s">
        <v>6653</v>
      </c>
      <c r="AB62" s="18" t="s">
        <v>6649</v>
      </c>
      <c r="AC62" s="13"/>
      <c r="AD62" s="13"/>
      <c r="AE62" s="6" t="s">
        <v>6576</v>
      </c>
      <c r="AF62" s="13"/>
      <c r="AG62" s="6" t="s">
        <v>6601</v>
      </c>
      <c r="AH62" s="6"/>
      <c r="AI62" s="6" t="s">
        <v>6471</v>
      </c>
      <c r="AJ62" s="6" t="s">
        <v>2187</v>
      </c>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row>
    <row r="63">
      <c r="A63" s="13"/>
      <c r="B63" s="34" t="s">
        <v>6654</v>
      </c>
      <c r="C63" s="6">
        <v>0.001</v>
      </c>
      <c r="D63" s="6" t="s">
        <v>6655</v>
      </c>
      <c r="E63" s="13"/>
      <c r="F63" s="6" t="s">
        <v>6656</v>
      </c>
      <c r="G63" s="13"/>
      <c r="H63" s="13"/>
      <c r="I63" s="13"/>
      <c r="J63" s="13"/>
      <c r="K63" s="13"/>
      <c r="L63" s="256"/>
      <c r="M63" s="69" t="str">
        <f t="shared" si="4"/>
        <v>[https://ieeexplore.ieee.org/abstract/document/9317987  (2020)]</v>
      </c>
      <c r="N63" s="13"/>
      <c r="O63" s="6">
        <v>2020.0</v>
      </c>
      <c r="P63" s="18" t="s">
        <v>6657</v>
      </c>
      <c r="Q63" s="13"/>
      <c r="R63" s="13"/>
      <c r="S63" s="13"/>
      <c r="T63" s="13"/>
      <c r="U63" s="13"/>
      <c r="V63" s="13"/>
      <c r="W63" s="13"/>
      <c r="X63" s="13"/>
      <c r="Y63" s="13"/>
      <c r="Z63" s="13"/>
      <c r="AA63" s="6" t="s">
        <v>6658</v>
      </c>
      <c r="AB63" s="13"/>
      <c r="AC63" s="13"/>
      <c r="AD63" s="13"/>
      <c r="AE63" s="13"/>
      <c r="AF63" s="13"/>
      <c r="AG63" s="13"/>
      <c r="AH63" s="6"/>
      <c r="AI63" s="6" t="s">
        <v>6531</v>
      </c>
      <c r="AJ63" s="13"/>
      <c r="AK63" s="6" t="s">
        <v>6531</v>
      </c>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row>
    <row r="64">
      <c r="A64" s="13"/>
      <c r="B64" s="34" t="s">
        <v>6654</v>
      </c>
      <c r="C64" s="13"/>
      <c r="D64" s="6" t="s">
        <v>6659</v>
      </c>
      <c r="E64" s="13"/>
      <c r="F64" s="6" t="s">
        <v>6660</v>
      </c>
      <c r="G64" s="13"/>
      <c r="H64" s="13"/>
      <c r="I64" s="13"/>
      <c r="J64" s="13"/>
      <c r="K64" s="13"/>
      <c r="L64" s="255"/>
      <c r="M64" s="69" t="str">
        <f t="shared" si="4"/>
        <v>[https://ieeexplore.ieee.org/abstract/document/9317987  (2020)]</v>
      </c>
      <c r="N64" s="13"/>
      <c r="O64" s="6">
        <v>2020.0</v>
      </c>
      <c r="P64" s="18" t="s">
        <v>6657</v>
      </c>
      <c r="Q64" s="13"/>
      <c r="R64" s="13"/>
      <c r="S64" s="13"/>
      <c r="T64" s="13"/>
      <c r="U64" s="13"/>
      <c r="V64" s="13"/>
      <c r="W64" s="13"/>
      <c r="X64" s="13"/>
      <c r="Y64" s="13"/>
      <c r="Z64" s="13"/>
      <c r="AA64" s="6" t="s">
        <v>6661</v>
      </c>
      <c r="AB64" s="13"/>
      <c r="AC64" s="13"/>
      <c r="AD64" s="13"/>
      <c r="AE64" s="13"/>
      <c r="AF64" s="13"/>
      <c r="AG64" s="13"/>
      <c r="AH64" s="6"/>
      <c r="AI64" s="6" t="s">
        <v>6471</v>
      </c>
      <c r="AJ64" s="13"/>
      <c r="AK64" s="6" t="s">
        <v>6531</v>
      </c>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row>
    <row r="65">
      <c r="A65" s="13"/>
      <c r="B65" s="34" t="s">
        <v>6662</v>
      </c>
      <c r="C65" s="13"/>
      <c r="D65" s="6"/>
      <c r="E65" s="13"/>
      <c r="F65" s="6" t="s">
        <v>6663</v>
      </c>
      <c r="G65" s="13"/>
      <c r="H65" s="13"/>
      <c r="I65" s="13"/>
      <c r="J65" s="13"/>
      <c r="K65" s="13"/>
      <c r="L65" s="255"/>
      <c r="M65" s="69" t="str">
        <f t="shared" si="4"/>
        <v>[https://dl.acm.org/doi/pdf/10.1145/1993636.1993639  (2011)]</v>
      </c>
      <c r="N65" s="13"/>
      <c r="O65" s="6">
        <v>2011.0</v>
      </c>
      <c r="P65" s="18" t="s">
        <v>6664</v>
      </c>
      <c r="Q65" s="13"/>
      <c r="R65" s="13"/>
      <c r="S65" s="13"/>
      <c r="T65" s="13"/>
      <c r="U65" s="13"/>
      <c r="V65" s="13"/>
      <c r="W65" s="13"/>
      <c r="X65" s="13"/>
      <c r="Y65" s="13"/>
      <c r="Z65" s="13"/>
      <c r="AA65" s="6" t="s">
        <v>34</v>
      </c>
      <c r="AB65" s="13"/>
      <c r="AC65" s="13"/>
      <c r="AD65" s="13"/>
      <c r="AE65" s="13"/>
      <c r="AF65" s="13"/>
      <c r="AG65" s="6" t="s">
        <v>6635</v>
      </c>
      <c r="AH65" s="13"/>
      <c r="AI65" s="6" t="s">
        <v>6471</v>
      </c>
      <c r="AJ65" s="13"/>
      <c r="AK65" s="6" t="s">
        <v>6531</v>
      </c>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row>
    <row r="66">
      <c r="A66" s="13"/>
      <c r="B66" s="34" t="s">
        <v>6662</v>
      </c>
      <c r="C66" s="13"/>
      <c r="D66" s="6"/>
      <c r="E66" s="13"/>
      <c r="F66" s="6" t="s">
        <v>6663</v>
      </c>
      <c r="G66" s="13"/>
      <c r="H66" s="13"/>
      <c r="I66" s="13"/>
      <c r="J66" s="13"/>
      <c r="K66" s="13"/>
      <c r="L66" s="255"/>
      <c r="M66" s="69" t="str">
        <f t="shared" si="4"/>
        <v>[https://dl.acm.org/doi/abs/10.1145/2484239.2501983  (2013)]</v>
      </c>
      <c r="N66" s="13"/>
      <c r="O66" s="6">
        <v>2013.0</v>
      </c>
      <c r="P66" s="18" t="s">
        <v>6665</v>
      </c>
      <c r="Q66" s="13"/>
      <c r="R66" s="13"/>
      <c r="S66" s="13"/>
      <c r="T66" s="13"/>
      <c r="U66" s="13"/>
      <c r="V66" s="13"/>
      <c r="W66" s="13"/>
      <c r="X66" s="13"/>
      <c r="Y66" s="13"/>
      <c r="Z66" s="13"/>
      <c r="AA66" s="6" t="s">
        <v>34</v>
      </c>
      <c r="AB66" s="13"/>
      <c r="AC66" s="13"/>
      <c r="AD66" s="13"/>
      <c r="AE66" s="13"/>
      <c r="AF66" s="13"/>
      <c r="AG66" s="6" t="s">
        <v>6635</v>
      </c>
      <c r="AH66" s="13"/>
      <c r="AI66" s="6" t="s">
        <v>6531</v>
      </c>
      <c r="AJ66" s="13"/>
      <c r="AK66" s="6" t="s">
        <v>6531</v>
      </c>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row>
    <row r="67">
      <c r="A67" s="13"/>
      <c r="B67" s="34" t="s">
        <v>6662</v>
      </c>
      <c r="C67" s="13"/>
      <c r="D67" s="6"/>
      <c r="E67" s="13"/>
      <c r="F67" s="6" t="s">
        <v>6663</v>
      </c>
      <c r="G67" s="13"/>
      <c r="H67" s="13"/>
      <c r="I67" s="13"/>
      <c r="J67" s="13"/>
      <c r="K67" s="13"/>
      <c r="L67" s="255"/>
      <c r="M67" s="69" t="str">
        <f t="shared" si="4"/>
        <v>[https://dl.acm.org/doi/abs/10.1145/3087801.3087827  (2017)]</v>
      </c>
      <c r="N67" s="13"/>
      <c r="O67" s="6">
        <v>2017.0</v>
      </c>
      <c r="P67" s="18" t="s">
        <v>6666</v>
      </c>
      <c r="Q67" s="13"/>
      <c r="R67" s="13"/>
      <c r="S67" s="13"/>
      <c r="T67" s="13"/>
      <c r="U67" s="13"/>
      <c r="V67" s="13"/>
      <c r="W67" s="13"/>
      <c r="X67" s="13"/>
      <c r="Y67" s="13"/>
      <c r="Z67" s="13"/>
      <c r="AA67" s="6" t="s">
        <v>6667</v>
      </c>
      <c r="AB67" s="13"/>
      <c r="AC67" s="13"/>
      <c r="AD67" s="13"/>
      <c r="AE67" s="6" t="s">
        <v>6668</v>
      </c>
      <c r="AF67" s="13"/>
      <c r="AG67" s="6" t="s">
        <v>6601</v>
      </c>
      <c r="AH67" s="13"/>
      <c r="AI67" s="6" t="s">
        <v>6471</v>
      </c>
      <c r="AJ67" s="13"/>
      <c r="AK67" s="6" t="s">
        <v>6531</v>
      </c>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row>
    <row r="68">
      <c r="A68" s="13"/>
      <c r="B68" s="34" t="s">
        <v>6662</v>
      </c>
      <c r="C68" s="13"/>
      <c r="D68" s="6"/>
      <c r="E68" s="13"/>
      <c r="F68" s="6" t="s">
        <v>6663</v>
      </c>
      <c r="G68" s="13"/>
      <c r="H68" s="13"/>
      <c r="I68" s="13"/>
      <c r="J68" s="13"/>
      <c r="K68" s="13"/>
      <c r="L68" s="255"/>
      <c r="M68" s="69" t="str">
        <f t="shared" si="4"/>
        <v>[https://arxiv.org/abs/1805.04764  (2018)]</v>
      </c>
      <c r="N68" s="13"/>
      <c r="O68" s="6">
        <v>2018.0</v>
      </c>
      <c r="P68" s="18" t="s">
        <v>6669</v>
      </c>
      <c r="Q68" s="13"/>
      <c r="R68" s="13"/>
      <c r="S68" s="13"/>
      <c r="T68" s="13"/>
      <c r="U68" s="13"/>
      <c r="V68" s="13"/>
      <c r="W68" s="13"/>
      <c r="X68" s="13"/>
      <c r="Y68" s="13"/>
      <c r="Z68" s="13"/>
      <c r="AA68" s="6" t="s">
        <v>6670</v>
      </c>
      <c r="AB68" s="13"/>
      <c r="AC68" s="13"/>
      <c r="AD68" s="13"/>
      <c r="AE68" s="6" t="s">
        <v>6668</v>
      </c>
      <c r="AF68" s="13"/>
      <c r="AG68" s="6" t="s">
        <v>6601</v>
      </c>
      <c r="AH68" s="13"/>
      <c r="AI68" s="6" t="s">
        <v>6471</v>
      </c>
      <c r="AJ68" s="13"/>
      <c r="AK68" s="6" t="s">
        <v>6531</v>
      </c>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row>
    <row r="69">
      <c r="A69" s="13"/>
      <c r="B69" s="35" t="s">
        <v>110</v>
      </c>
      <c r="C69" s="13"/>
      <c r="D69" s="13"/>
      <c r="E69" s="13"/>
      <c r="F69" s="6" t="s">
        <v>6671</v>
      </c>
      <c r="G69" s="13"/>
      <c r="H69" s="13"/>
      <c r="I69" s="13"/>
      <c r="J69" s="13"/>
      <c r="K69" s="13"/>
      <c r="L69" s="255"/>
      <c r="M69" s="69"/>
      <c r="N69" s="13"/>
      <c r="O69" s="6">
        <v>2014.0</v>
      </c>
      <c r="P69" s="18" t="s">
        <v>6672</v>
      </c>
      <c r="Q69" s="13"/>
      <c r="R69" s="13"/>
      <c r="S69" s="13"/>
      <c r="T69" s="13"/>
      <c r="U69" s="13"/>
      <c r="V69" s="13"/>
      <c r="W69" s="13"/>
      <c r="X69" s="13"/>
      <c r="Y69" s="13"/>
      <c r="Z69" s="13"/>
      <c r="AA69" s="6" t="s">
        <v>6673</v>
      </c>
      <c r="AB69" s="13"/>
      <c r="AC69" s="13"/>
      <c r="AD69" s="13"/>
      <c r="AE69" s="260" t="s">
        <v>6674</v>
      </c>
      <c r="AF69" s="13"/>
      <c r="AG69" s="6" t="s">
        <v>6635</v>
      </c>
      <c r="AH69" s="6"/>
      <c r="AI69" s="6" t="s">
        <v>6471</v>
      </c>
      <c r="AJ69" s="6" t="s">
        <v>6602</v>
      </c>
      <c r="AK69" s="6" t="s">
        <v>6531</v>
      </c>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row>
    <row r="70">
      <c r="A70" s="13"/>
      <c r="B70" s="35" t="s">
        <v>110</v>
      </c>
      <c r="C70" s="13"/>
      <c r="D70" s="13"/>
      <c r="E70" s="13"/>
      <c r="F70" s="6" t="s">
        <v>6671</v>
      </c>
      <c r="G70" s="13"/>
      <c r="H70" s="13"/>
      <c r="I70" s="13"/>
      <c r="J70" s="13"/>
      <c r="K70" s="13"/>
      <c r="L70" s="255"/>
      <c r="M70" s="69"/>
      <c r="N70" s="13"/>
      <c r="O70" s="6">
        <v>2015.0</v>
      </c>
      <c r="P70" s="18" t="s">
        <v>6675</v>
      </c>
      <c r="Q70" s="13"/>
      <c r="R70" s="13"/>
      <c r="S70" s="13"/>
      <c r="T70" s="13"/>
      <c r="U70" s="13"/>
      <c r="V70" s="13"/>
      <c r="W70" s="13"/>
      <c r="X70" s="13"/>
      <c r="Y70" s="13"/>
      <c r="Z70" s="13"/>
      <c r="AA70" s="6" t="s">
        <v>6676</v>
      </c>
      <c r="AB70" s="13"/>
      <c r="AC70" s="13"/>
      <c r="AD70" s="13"/>
      <c r="AE70" s="260" t="s">
        <v>6674</v>
      </c>
      <c r="AF70" s="13"/>
      <c r="AG70" s="6" t="s">
        <v>6635</v>
      </c>
      <c r="AH70" s="6"/>
      <c r="AI70" s="6" t="s">
        <v>6531</v>
      </c>
      <c r="AJ70" s="13"/>
      <c r="AK70" s="6" t="s">
        <v>6531</v>
      </c>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row>
    <row r="71">
      <c r="A71" s="13"/>
      <c r="B71" s="35" t="s">
        <v>6677</v>
      </c>
      <c r="C71" s="6">
        <v>1.0</v>
      </c>
      <c r="D71" s="13"/>
      <c r="E71" s="13"/>
      <c r="F71" s="6" t="s">
        <v>6678</v>
      </c>
      <c r="G71" s="13"/>
      <c r="H71" s="13"/>
      <c r="I71" s="13"/>
      <c r="J71" s="13"/>
      <c r="K71" s="13"/>
      <c r="L71" s="255"/>
      <c r="M71" s="69" t="str">
        <f t="shared" ref="M71:M81" si="5">CONCATENATE("[",P71," ",N71," (",O71,")","]")</f>
        <v>[https://arxiv.org/pdf/1201.6652.pdf  (2012)]</v>
      </c>
      <c r="N71" s="13"/>
      <c r="O71" s="6">
        <v>2012.0</v>
      </c>
      <c r="P71" s="18" t="s">
        <v>6679</v>
      </c>
      <c r="Q71" s="13"/>
      <c r="R71" s="13"/>
      <c r="S71" s="13"/>
      <c r="T71" s="13"/>
      <c r="U71" s="13"/>
      <c r="V71" s="13"/>
      <c r="W71" s="13"/>
      <c r="X71" s="13"/>
      <c r="Y71" s="13"/>
      <c r="Z71" s="13"/>
      <c r="AA71" s="6" t="s">
        <v>6680</v>
      </c>
      <c r="AB71" s="13"/>
      <c r="AC71" s="13"/>
      <c r="AD71" s="13"/>
      <c r="AE71" s="260"/>
      <c r="AF71" s="13"/>
      <c r="AG71" s="6" t="s">
        <v>6635</v>
      </c>
      <c r="AH71" s="6"/>
      <c r="AI71" s="6" t="s">
        <v>6471</v>
      </c>
      <c r="AJ71" s="6" t="s">
        <v>6602</v>
      </c>
      <c r="AK71" s="6" t="s">
        <v>6531</v>
      </c>
      <c r="AL71" s="13"/>
      <c r="AM71" s="263" t="s">
        <v>6681</v>
      </c>
      <c r="AN71" s="18" t="s">
        <v>6682</v>
      </c>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row>
    <row r="72">
      <c r="A72" s="13"/>
      <c r="B72" s="35" t="s">
        <v>6677</v>
      </c>
      <c r="C72" s="6">
        <v>1.0</v>
      </c>
      <c r="D72" s="13"/>
      <c r="E72" s="13"/>
      <c r="F72" s="6" t="s">
        <v>6678</v>
      </c>
      <c r="G72" s="13"/>
      <c r="H72" s="13"/>
      <c r="I72" s="13"/>
      <c r="J72" s="13"/>
      <c r="K72" s="13"/>
      <c r="L72" s="255"/>
      <c r="M72" s="69" t="str">
        <f t="shared" si="5"/>
        <v>[https://arxiv.org/abs/1705.09061  (2017)]</v>
      </c>
      <c r="N72" s="13"/>
      <c r="O72" s="6">
        <v>2017.0</v>
      </c>
      <c r="P72" s="18" t="s">
        <v>6682</v>
      </c>
      <c r="Q72" s="13"/>
      <c r="R72" s="13"/>
      <c r="S72" s="13"/>
      <c r="T72" s="13"/>
      <c r="U72" s="13"/>
      <c r="V72" s="13"/>
      <c r="W72" s="13"/>
      <c r="X72" s="13"/>
      <c r="Y72" s="13"/>
      <c r="Z72" s="13"/>
      <c r="AA72" s="6" t="s">
        <v>6683</v>
      </c>
      <c r="AB72" s="13"/>
      <c r="AC72" s="13"/>
      <c r="AD72" s="13"/>
      <c r="AE72" s="260"/>
      <c r="AF72" s="13"/>
      <c r="AG72" s="6" t="s">
        <v>6601</v>
      </c>
      <c r="AH72" s="6"/>
      <c r="AI72" s="6" t="s">
        <v>6471</v>
      </c>
      <c r="AJ72" s="6" t="s">
        <v>6602</v>
      </c>
      <c r="AK72" s="6" t="s">
        <v>6531</v>
      </c>
      <c r="AL72" s="13"/>
      <c r="AM72" s="263" t="s">
        <v>6681</v>
      </c>
      <c r="AN72" s="18" t="s">
        <v>6682</v>
      </c>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row>
    <row r="73">
      <c r="A73" s="13"/>
      <c r="B73" s="35" t="s">
        <v>6677</v>
      </c>
      <c r="C73" s="6">
        <v>1.0</v>
      </c>
      <c r="D73" s="13"/>
      <c r="E73" s="13"/>
      <c r="F73" s="6" t="s">
        <v>6678</v>
      </c>
      <c r="G73" s="13"/>
      <c r="H73" s="13"/>
      <c r="I73" s="13"/>
      <c r="J73" s="13"/>
      <c r="K73" s="13"/>
      <c r="L73" s="255"/>
      <c r="M73" s="69" t="str">
        <f t="shared" si="5"/>
        <v>[https://arxiv.org/abs/1807.06624  (2018)]</v>
      </c>
      <c r="N73" s="13"/>
      <c r="O73" s="6">
        <v>2018.0</v>
      </c>
      <c r="P73" s="18" t="s">
        <v>6684</v>
      </c>
      <c r="Q73" s="13"/>
      <c r="R73" s="13"/>
      <c r="S73" s="13"/>
      <c r="T73" s="13"/>
      <c r="U73" s="13"/>
      <c r="V73" s="13"/>
      <c r="W73" s="13"/>
      <c r="X73" s="13"/>
      <c r="Y73" s="13"/>
      <c r="Z73" s="13"/>
      <c r="AA73" s="6" t="s">
        <v>6685</v>
      </c>
      <c r="AB73" s="13"/>
      <c r="AC73" s="13"/>
      <c r="AD73" s="13"/>
      <c r="AE73" s="260"/>
      <c r="AF73" s="13"/>
      <c r="AG73" s="6" t="s">
        <v>6601</v>
      </c>
      <c r="AH73" s="6"/>
      <c r="AI73" s="6" t="s">
        <v>6471</v>
      </c>
      <c r="AJ73" s="6" t="s">
        <v>6602</v>
      </c>
      <c r="AK73" s="6" t="s">
        <v>6531</v>
      </c>
      <c r="AL73" s="13"/>
      <c r="AM73" s="263" t="s">
        <v>6681</v>
      </c>
      <c r="AN73" s="18" t="s">
        <v>6682</v>
      </c>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row>
    <row r="74">
      <c r="A74" s="13"/>
      <c r="B74" s="35" t="s">
        <v>6677</v>
      </c>
      <c r="C74" s="6">
        <v>1.0</v>
      </c>
      <c r="D74" s="13"/>
      <c r="E74" s="13"/>
      <c r="F74" s="6" t="s">
        <v>6678</v>
      </c>
      <c r="G74" s="13"/>
      <c r="H74" s="13"/>
      <c r="I74" s="13"/>
      <c r="J74" s="13"/>
      <c r="K74" s="13"/>
      <c r="L74" s="255"/>
      <c r="M74" s="69" t="str">
        <f t="shared" si="5"/>
        <v>[https://ieeexplore.ieee.org/abstract/document/9317987  (2020)]</v>
      </c>
      <c r="N74" s="13"/>
      <c r="O74" s="6">
        <v>2020.0</v>
      </c>
      <c r="P74" s="18" t="s">
        <v>6657</v>
      </c>
      <c r="Q74" s="13"/>
      <c r="R74" s="13"/>
      <c r="S74" s="13"/>
      <c r="T74" s="13"/>
      <c r="U74" s="13"/>
      <c r="V74" s="13"/>
      <c r="W74" s="13"/>
      <c r="X74" s="13"/>
      <c r="Y74" s="13"/>
      <c r="Z74" s="13"/>
      <c r="AA74" s="6" t="s">
        <v>6686</v>
      </c>
      <c r="AB74" s="13"/>
      <c r="AC74" s="13"/>
      <c r="AD74" s="13"/>
      <c r="AE74" s="260"/>
      <c r="AF74" s="13"/>
      <c r="AG74" s="6" t="s">
        <v>6601</v>
      </c>
      <c r="AH74" s="6"/>
      <c r="AI74" s="6" t="s">
        <v>6531</v>
      </c>
      <c r="AJ74" s="13"/>
      <c r="AK74" s="6" t="s">
        <v>6531</v>
      </c>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row>
    <row r="75">
      <c r="A75" s="13"/>
      <c r="B75" s="35" t="s">
        <v>6677</v>
      </c>
      <c r="C75" s="6">
        <v>1.0</v>
      </c>
      <c r="D75" s="13"/>
      <c r="E75" s="13"/>
      <c r="F75" s="6" t="s">
        <v>6678</v>
      </c>
      <c r="G75" s="13"/>
      <c r="H75" s="13"/>
      <c r="I75" s="13"/>
      <c r="J75" s="13"/>
      <c r="K75" s="13"/>
      <c r="L75" s="255"/>
      <c r="M75" s="69" t="str">
        <f t="shared" si="5"/>
        <v>[https://dl.acm.org/doi/abs/10.1145/3446330  (2021)]</v>
      </c>
      <c r="N75" s="13"/>
      <c r="O75" s="6">
        <v>2021.0</v>
      </c>
      <c r="P75" s="19" t="s">
        <v>6687</v>
      </c>
      <c r="Q75" s="13"/>
      <c r="R75" s="13"/>
      <c r="S75" s="13"/>
      <c r="T75" s="13"/>
      <c r="U75" s="13"/>
      <c r="V75" s="13"/>
      <c r="W75" s="13"/>
      <c r="X75" s="13"/>
      <c r="Y75" s="13"/>
      <c r="Z75" s="13"/>
      <c r="AA75" s="6" t="s">
        <v>6688</v>
      </c>
      <c r="AB75" s="13"/>
      <c r="AC75" s="13"/>
      <c r="AD75" s="13"/>
      <c r="AE75" s="13"/>
      <c r="AF75" s="13"/>
      <c r="AG75" s="6" t="s">
        <v>6601</v>
      </c>
      <c r="AH75" s="6"/>
      <c r="AI75" s="6" t="s">
        <v>6471</v>
      </c>
      <c r="AJ75" s="6" t="s">
        <v>6602</v>
      </c>
      <c r="AK75" s="6" t="s">
        <v>6531</v>
      </c>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row>
    <row r="76">
      <c r="A76" s="13"/>
      <c r="B76" s="35" t="s">
        <v>6677</v>
      </c>
      <c r="C76" s="6">
        <v>1.0</v>
      </c>
      <c r="D76" s="13"/>
      <c r="E76" s="13"/>
      <c r="F76" s="6" t="s">
        <v>6678</v>
      </c>
      <c r="G76" s="13"/>
      <c r="H76" s="13"/>
      <c r="I76" s="13"/>
      <c r="J76" s="13"/>
      <c r="K76" s="13"/>
      <c r="L76" s="255"/>
      <c r="M76" s="69" t="str">
        <f t="shared" si="5"/>
        <v>[https://arxiv.org/abs/2205.09245  (2022)]</v>
      </c>
      <c r="N76" s="13"/>
      <c r="O76" s="6">
        <v>2022.0</v>
      </c>
      <c r="P76" s="19" t="s">
        <v>6689</v>
      </c>
      <c r="Q76" s="13"/>
      <c r="R76" s="13"/>
      <c r="S76" s="13"/>
      <c r="T76" s="13"/>
      <c r="U76" s="13"/>
      <c r="V76" s="13"/>
      <c r="W76" s="13"/>
      <c r="X76" s="13"/>
      <c r="Y76" s="13"/>
      <c r="Z76" s="13"/>
      <c r="AA76" s="6" t="s">
        <v>6690</v>
      </c>
      <c r="AB76" s="13"/>
      <c r="AC76" s="13"/>
      <c r="AD76" s="13"/>
      <c r="AE76" s="13"/>
      <c r="AF76" s="13"/>
      <c r="AG76" s="6" t="s">
        <v>6601</v>
      </c>
      <c r="AH76" s="6"/>
      <c r="AI76" s="6" t="s">
        <v>6531</v>
      </c>
      <c r="AJ76" s="6"/>
      <c r="AK76" s="6" t="s">
        <v>6531</v>
      </c>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row>
    <row r="77">
      <c r="A77" s="13"/>
      <c r="B77" s="35" t="s">
        <v>6677</v>
      </c>
      <c r="C77" s="6">
        <v>1.0</v>
      </c>
      <c r="D77" s="6" t="s">
        <v>6691</v>
      </c>
      <c r="E77" s="13"/>
      <c r="F77" s="6" t="s">
        <v>6678</v>
      </c>
      <c r="G77" s="13"/>
      <c r="H77" s="13"/>
      <c r="I77" s="13"/>
      <c r="J77" s="13"/>
      <c r="K77" s="13"/>
      <c r="L77" s="255"/>
      <c r="M77" s="69" t="str">
        <f t="shared" si="5"/>
        <v>[https://arxiv.org/abs/1201.6652  (2012)]</v>
      </c>
      <c r="N77" s="13"/>
      <c r="O77" s="6">
        <v>2012.0</v>
      </c>
      <c r="P77" s="19" t="s">
        <v>6692</v>
      </c>
      <c r="Q77" s="13"/>
      <c r="R77" s="13"/>
      <c r="S77" s="13"/>
      <c r="T77" s="13"/>
      <c r="U77" s="13"/>
      <c r="V77" s="13"/>
      <c r="W77" s="13"/>
      <c r="X77" s="13"/>
      <c r="Y77" s="13"/>
      <c r="Z77" s="13"/>
      <c r="AA77" s="6" t="s">
        <v>6693</v>
      </c>
      <c r="AB77" s="13"/>
      <c r="AC77" s="13"/>
      <c r="AD77" s="13"/>
      <c r="AE77" s="13"/>
      <c r="AF77" s="13"/>
      <c r="AG77" s="6" t="s">
        <v>6635</v>
      </c>
      <c r="AH77" s="6"/>
      <c r="AI77" s="6" t="s">
        <v>6531</v>
      </c>
      <c r="AJ77" s="6"/>
      <c r="AK77" s="6" t="s">
        <v>6531</v>
      </c>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row>
    <row r="78">
      <c r="A78" s="13"/>
      <c r="B78" s="35" t="s">
        <v>6677</v>
      </c>
      <c r="C78" s="6">
        <v>1.0</v>
      </c>
      <c r="D78" s="6" t="s">
        <v>6691</v>
      </c>
      <c r="E78" s="13"/>
      <c r="F78" s="6" t="s">
        <v>6678</v>
      </c>
      <c r="G78" s="13"/>
      <c r="H78" s="13"/>
      <c r="I78" s="13"/>
      <c r="J78" s="13"/>
      <c r="K78" s="13"/>
      <c r="L78" s="255"/>
      <c r="M78" s="69" t="str">
        <f t="shared" si="5"/>
        <v>[https://arxiv.org/abs/1602.08481  (2016)]</v>
      </c>
      <c r="N78" s="13"/>
      <c r="O78" s="6">
        <v>2016.0</v>
      </c>
      <c r="P78" s="19" t="s">
        <v>6694</v>
      </c>
      <c r="Q78" s="13"/>
      <c r="R78" s="13"/>
      <c r="S78" s="13"/>
      <c r="T78" s="13"/>
      <c r="U78" s="13"/>
      <c r="V78" s="13"/>
      <c r="W78" s="13"/>
      <c r="X78" s="13"/>
      <c r="Y78" s="13"/>
      <c r="Z78" s="13"/>
      <c r="AA78" s="6" t="s">
        <v>6695</v>
      </c>
      <c r="AB78" s="13"/>
      <c r="AC78" s="13"/>
      <c r="AD78" s="13"/>
      <c r="AE78" s="13"/>
      <c r="AF78" s="13"/>
      <c r="AG78" s="6" t="s">
        <v>6635</v>
      </c>
      <c r="AH78" s="6"/>
      <c r="AI78" s="6" t="s">
        <v>6531</v>
      </c>
      <c r="AJ78" s="6"/>
      <c r="AK78" s="6" t="s">
        <v>6531</v>
      </c>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row>
    <row r="79">
      <c r="A79" s="13"/>
      <c r="B79" s="35" t="s">
        <v>6677</v>
      </c>
      <c r="C79" s="6">
        <v>1.0</v>
      </c>
      <c r="D79" s="6" t="s">
        <v>6691</v>
      </c>
      <c r="E79" s="13"/>
      <c r="F79" s="6" t="s">
        <v>6678</v>
      </c>
      <c r="G79" s="13"/>
      <c r="H79" s="13"/>
      <c r="I79" s="13"/>
      <c r="J79" s="13"/>
      <c r="K79" s="13"/>
      <c r="L79" s="255"/>
      <c r="M79" s="69" t="str">
        <f t="shared" si="5"/>
        <v>[https://arxiv.org/abs/1802.04789  (2018)]</v>
      </c>
      <c r="N79" s="13"/>
      <c r="O79" s="6">
        <v>2018.0</v>
      </c>
      <c r="P79" s="19" t="s">
        <v>6696</v>
      </c>
      <c r="Q79" s="13"/>
      <c r="R79" s="13"/>
      <c r="S79" s="13"/>
      <c r="T79" s="13"/>
      <c r="U79" s="13"/>
      <c r="V79" s="13"/>
      <c r="W79" s="13"/>
      <c r="X79" s="13"/>
      <c r="Y79" s="13"/>
      <c r="Z79" s="13"/>
      <c r="AA79" s="6" t="s">
        <v>6697</v>
      </c>
      <c r="AB79" s="13"/>
      <c r="AC79" s="13"/>
      <c r="AD79" s="13"/>
      <c r="AE79" s="13"/>
      <c r="AF79" s="13"/>
      <c r="AG79" s="6" t="s">
        <v>6635</v>
      </c>
      <c r="AH79" s="6"/>
      <c r="AI79" s="6" t="s">
        <v>6531</v>
      </c>
      <c r="AJ79" s="6"/>
      <c r="AK79" s="6" t="s">
        <v>6531</v>
      </c>
      <c r="AL79" s="13"/>
      <c r="AM79" s="263" t="s">
        <v>6698</v>
      </c>
      <c r="AN79" s="18" t="s">
        <v>6699</v>
      </c>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row>
    <row r="80">
      <c r="A80" s="13"/>
      <c r="B80" s="35" t="s">
        <v>6677</v>
      </c>
      <c r="C80" s="6">
        <v>1.0</v>
      </c>
      <c r="D80" s="6" t="s">
        <v>6700</v>
      </c>
      <c r="E80" s="13"/>
      <c r="F80" s="6" t="s">
        <v>6678</v>
      </c>
      <c r="G80" s="13"/>
      <c r="H80" s="13"/>
      <c r="I80" s="13"/>
      <c r="J80" s="13"/>
      <c r="K80" s="13"/>
      <c r="L80" s="255"/>
      <c r="M80" s="69" t="str">
        <f t="shared" si="5"/>
        <v>[https://arxiv.org/abs/1908.11825  (2019)]</v>
      </c>
      <c r="N80" s="13"/>
      <c r="O80" s="6">
        <v>2019.0</v>
      </c>
      <c r="P80" s="19" t="s">
        <v>6701</v>
      </c>
      <c r="Q80" s="13"/>
      <c r="R80" s="13"/>
      <c r="S80" s="13"/>
      <c r="T80" s="13"/>
      <c r="U80" s="13"/>
      <c r="V80" s="13"/>
      <c r="W80" s="13"/>
      <c r="X80" s="13"/>
      <c r="Y80" s="13"/>
      <c r="Z80" s="13"/>
      <c r="AA80" s="6" t="s">
        <v>6702</v>
      </c>
      <c r="AB80" s="13"/>
      <c r="AC80" s="13"/>
      <c r="AD80" s="13"/>
      <c r="AE80" s="13"/>
      <c r="AF80" s="13"/>
      <c r="AG80" s="6" t="s">
        <v>6601</v>
      </c>
      <c r="AH80" s="6"/>
      <c r="AI80" s="6" t="s">
        <v>6471</v>
      </c>
      <c r="AJ80" s="6" t="s">
        <v>6602</v>
      </c>
      <c r="AK80" s="6" t="s">
        <v>6531</v>
      </c>
      <c r="AL80" s="13"/>
      <c r="AM80" s="263"/>
      <c r="AN80" s="6"/>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row>
    <row r="81">
      <c r="A81" s="13"/>
      <c r="B81" s="69" t="s">
        <v>1474</v>
      </c>
      <c r="C81" s="6">
        <v>1.0</v>
      </c>
      <c r="D81" s="6"/>
      <c r="E81" s="13"/>
      <c r="F81" s="6" t="s">
        <v>6703</v>
      </c>
      <c r="G81" s="13"/>
      <c r="H81" s="13"/>
      <c r="I81" s="13"/>
      <c r="J81" s="13"/>
      <c r="K81" s="13"/>
      <c r="L81" s="255"/>
      <c r="M81" s="69" t="str">
        <f t="shared" si="5"/>
        <v>[https://arxiv.org/abs/1503.04963  (2015)]</v>
      </c>
      <c r="N81" s="13"/>
      <c r="O81" s="6">
        <v>2015.0</v>
      </c>
      <c r="P81" s="18" t="s">
        <v>6675</v>
      </c>
      <c r="Q81" s="13"/>
      <c r="R81" s="13"/>
      <c r="S81" s="13"/>
      <c r="T81" s="13"/>
      <c r="U81" s="13"/>
      <c r="V81" s="13"/>
      <c r="W81" s="13"/>
      <c r="X81" s="13"/>
      <c r="Y81" s="13"/>
      <c r="Z81" s="13"/>
      <c r="AA81" s="6" t="s">
        <v>6676</v>
      </c>
      <c r="AB81" s="13"/>
      <c r="AC81" s="13"/>
      <c r="AD81" s="13"/>
      <c r="AE81" s="6" t="s">
        <v>6674</v>
      </c>
      <c r="AF81" s="13"/>
      <c r="AG81" s="6" t="s">
        <v>6635</v>
      </c>
      <c r="AH81" s="6"/>
      <c r="AI81" s="6" t="s">
        <v>6531</v>
      </c>
      <c r="AJ81" s="13"/>
      <c r="AK81" s="6" t="s">
        <v>6531</v>
      </c>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row>
    <row r="82">
      <c r="A82" s="13"/>
      <c r="B82" s="35" t="s">
        <v>1474</v>
      </c>
      <c r="C82" s="6">
        <v>1.0</v>
      </c>
      <c r="D82" s="6"/>
      <c r="E82" s="13"/>
      <c r="F82" s="6" t="s">
        <v>6703</v>
      </c>
      <c r="G82" s="13"/>
      <c r="H82" s="13"/>
      <c r="I82" s="13"/>
      <c r="J82" s="13"/>
      <c r="K82" s="13"/>
      <c r="L82" s="255"/>
      <c r="M82" s="69"/>
      <c r="N82" s="13"/>
      <c r="O82" s="6">
        <v>2017.0</v>
      </c>
      <c r="P82" s="18" t="s">
        <v>6682</v>
      </c>
      <c r="Q82" s="13"/>
      <c r="R82" s="13"/>
      <c r="S82" s="13"/>
      <c r="T82" s="13"/>
      <c r="U82" s="13"/>
      <c r="V82" s="13"/>
      <c r="W82" s="13"/>
      <c r="X82" s="13"/>
      <c r="Y82" s="13"/>
      <c r="Z82" s="13"/>
      <c r="AA82" s="6" t="s">
        <v>6704</v>
      </c>
      <c r="AB82" s="13"/>
      <c r="AC82" s="13"/>
      <c r="AD82" s="13"/>
      <c r="AE82" s="6"/>
      <c r="AF82" s="13"/>
      <c r="AG82" s="6" t="s">
        <v>6601</v>
      </c>
      <c r="AH82" s="6"/>
      <c r="AI82" s="6" t="s">
        <v>6471</v>
      </c>
      <c r="AJ82" s="6" t="s">
        <v>6602</v>
      </c>
      <c r="AK82" s="6" t="s">
        <v>6531</v>
      </c>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row>
    <row r="83">
      <c r="A83" s="13"/>
      <c r="B83" s="35" t="s">
        <v>1474</v>
      </c>
      <c r="C83" s="6">
        <v>1.0</v>
      </c>
      <c r="D83" s="6"/>
      <c r="E83" s="13"/>
      <c r="F83" s="6" t="s">
        <v>6703</v>
      </c>
      <c r="G83" s="13"/>
      <c r="H83" s="13"/>
      <c r="I83" s="13"/>
      <c r="J83" s="13"/>
      <c r="K83" s="13"/>
      <c r="L83" s="255"/>
      <c r="M83" s="69"/>
      <c r="N83" s="13"/>
      <c r="O83" s="6">
        <v>2018.0</v>
      </c>
      <c r="P83" s="18" t="s">
        <v>6684</v>
      </c>
      <c r="Q83" s="13"/>
      <c r="R83" s="13"/>
      <c r="S83" s="13"/>
      <c r="T83" s="13"/>
      <c r="U83" s="13"/>
      <c r="V83" s="13"/>
      <c r="W83" s="13"/>
      <c r="X83" s="13"/>
      <c r="Y83" s="13"/>
      <c r="Z83" s="13"/>
      <c r="AA83" s="6" t="s">
        <v>6685</v>
      </c>
      <c r="AB83" s="13"/>
      <c r="AC83" s="13"/>
      <c r="AD83" s="13"/>
      <c r="AE83" s="6"/>
      <c r="AF83" s="13"/>
      <c r="AG83" s="6" t="s">
        <v>6601</v>
      </c>
      <c r="AH83" s="6"/>
      <c r="AI83" s="6" t="s">
        <v>6471</v>
      </c>
      <c r="AJ83" s="6" t="s">
        <v>6602</v>
      </c>
      <c r="AK83" s="6" t="s">
        <v>6531</v>
      </c>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row>
    <row r="84">
      <c r="A84" s="13"/>
      <c r="B84" s="69" t="s">
        <v>1474</v>
      </c>
      <c r="C84" s="6">
        <v>1.0</v>
      </c>
      <c r="D84" s="6"/>
      <c r="E84" s="13"/>
      <c r="F84" s="6" t="s">
        <v>6703</v>
      </c>
      <c r="G84" s="13"/>
      <c r="H84" s="13"/>
      <c r="I84" s="13"/>
      <c r="J84" s="13"/>
      <c r="K84" s="13"/>
      <c r="L84" s="255"/>
      <c r="M84" s="69" t="str">
        <f t="shared" ref="M84:M85" si="6">CONCATENATE("[",P84," ",N84," (",O84,")","]")</f>
        <v>[https://ieeexplore.ieee.org/abstract/document/9317987  (2020)]</v>
      </c>
      <c r="N84" s="13"/>
      <c r="O84" s="6">
        <v>2020.0</v>
      </c>
      <c r="P84" s="18" t="s">
        <v>6657</v>
      </c>
      <c r="Q84" s="13"/>
      <c r="R84" s="13"/>
      <c r="S84" s="13"/>
      <c r="T84" s="13"/>
      <c r="U84" s="13"/>
      <c r="V84" s="13"/>
      <c r="W84" s="13"/>
      <c r="X84" s="13"/>
      <c r="Y84" s="13"/>
      <c r="Z84" s="13"/>
      <c r="AA84" s="6" t="s">
        <v>6705</v>
      </c>
      <c r="AB84" s="13"/>
      <c r="AC84" s="13"/>
      <c r="AD84" s="13"/>
      <c r="AE84" s="6" t="s">
        <v>6674</v>
      </c>
      <c r="AF84" s="13"/>
      <c r="AG84" s="6" t="s">
        <v>6601</v>
      </c>
      <c r="AH84" s="6"/>
      <c r="AI84" s="6" t="s">
        <v>6531</v>
      </c>
      <c r="AJ84" s="13"/>
      <c r="AK84" s="6" t="s">
        <v>6531</v>
      </c>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row>
    <row r="85">
      <c r="A85" s="13"/>
      <c r="B85" s="69" t="s">
        <v>1474</v>
      </c>
      <c r="C85" s="6">
        <v>1.0</v>
      </c>
      <c r="D85" s="6"/>
      <c r="E85" s="13"/>
      <c r="F85" s="6" t="s">
        <v>6703</v>
      </c>
      <c r="G85" s="13"/>
      <c r="H85" s="13"/>
      <c r="I85" s="13"/>
      <c r="J85" s="13"/>
      <c r="K85" s="13"/>
      <c r="L85" s="255"/>
      <c r="M85" s="69" t="str">
        <f t="shared" si="6"/>
        <v>[https://dl.acm.org/doi/abs/10.1145/3446330  (2021)]</v>
      </c>
      <c r="N85" s="13"/>
      <c r="O85" s="6">
        <v>2021.0</v>
      </c>
      <c r="P85" s="265" t="s">
        <v>6687</v>
      </c>
      <c r="Q85" s="13"/>
      <c r="R85" s="13"/>
      <c r="S85" s="13"/>
      <c r="T85" s="13"/>
      <c r="U85" s="13"/>
      <c r="V85" s="13"/>
      <c r="W85" s="13"/>
      <c r="X85" s="13"/>
      <c r="Y85" s="13"/>
      <c r="Z85" s="13"/>
      <c r="AA85" s="6" t="s">
        <v>6706</v>
      </c>
      <c r="AB85" s="13"/>
      <c r="AC85" s="13"/>
      <c r="AD85" s="13"/>
      <c r="AE85" s="13"/>
      <c r="AF85" s="13"/>
      <c r="AG85" s="6" t="s">
        <v>6601</v>
      </c>
      <c r="AH85" s="6"/>
      <c r="AI85" s="6" t="s">
        <v>6471</v>
      </c>
      <c r="AJ85" s="6" t="s">
        <v>6602</v>
      </c>
      <c r="AK85" s="6" t="s">
        <v>6531</v>
      </c>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row>
    <row r="86">
      <c r="A86" s="13"/>
      <c r="B86" s="35" t="s">
        <v>6707</v>
      </c>
      <c r="C86" s="6">
        <v>1.0</v>
      </c>
      <c r="D86" s="6"/>
      <c r="E86" s="13"/>
      <c r="F86" s="6" t="s">
        <v>6708</v>
      </c>
      <c r="G86" s="13"/>
      <c r="H86" s="13"/>
      <c r="I86" s="13"/>
      <c r="J86" s="13"/>
      <c r="K86" s="13"/>
      <c r="L86" s="255"/>
      <c r="M86" s="69"/>
      <c r="N86" s="13"/>
      <c r="O86" s="6">
        <v>2012.0</v>
      </c>
      <c r="P86" s="265" t="s">
        <v>6679</v>
      </c>
      <c r="Q86" s="13"/>
      <c r="R86" s="13"/>
      <c r="S86" s="13"/>
      <c r="T86" s="13"/>
      <c r="U86" s="13"/>
      <c r="V86" s="13"/>
      <c r="W86" s="13"/>
      <c r="X86" s="13"/>
      <c r="Y86" s="13"/>
      <c r="Z86" s="13"/>
      <c r="AA86" s="6" t="s">
        <v>6709</v>
      </c>
      <c r="AB86" s="13"/>
      <c r="AC86" s="13"/>
      <c r="AD86" s="13"/>
      <c r="AE86" s="6" t="s">
        <v>6710</v>
      </c>
      <c r="AF86" s="13"/>
      <c r="AG86" s="6" t="s">
        <v>6711</v>
      </c>
      <c r="AH86" s="6"/>
      <c r="AI86" s="6" t="s">
        <v>6471</v>
      </c>
      <c r="AJ86" s="6"/>
      <c r="AK86" s="6" t="s">
        <v>6531</v>
      </c>
      <c r="AL86" s="13"/>
      <c r="AM86" s="6"/>
      <c r="AN86" s="6"/>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row>
    <row r="87">
      <c r="A87" s="13"/>
      <c r="B87" s="35" t="s">
        <v>6707</v>
      </c>
      <c r="C87" s="6">
        <v>1.0</v>
      </c>
      <c r="D87" s="6"/>
      <c r="E87" s="13"/>
      <c r="F87" s="6" t="s">
        <v>6708</v>
      </c>
      <c r="G87" s="13"/>
      <c r="H87" s="13"/>
      <c r="I87" s="13"/>
      <c r="J87" s="13"/>
      <c r="K87" s="13"/>
      <c r="L87" s="255"/>
      <c r="M87" s="69"/>
      <c r="N87" s="13"/>
      <c r="O87" s="6">
        <v>2017.0</v>
      </c>
      <c r="P87" s="265" t="s">
        <v>6712</v>
      </c>
      <c r="Q87" s="13"/>
      <c r="R87" s="13"/>
      <c r="S87" s="13"/>
      <c r="T87" s="13"/>
      <c r="U87" s="13"/>
      <c r="V87" s="13"/>
      <c r="W87" s="13"/>
      <c r="X87" s="13"/>
      <c r="Y87" s="13"/>
      <c r="Z87" s="13"/>
      <c r="AA87" s="6" t="s">
        <v>6713</v>
      </c>
      <c r="AB87" s="13"/>
      <c r="AC87" s="13"/>
      <c r="AD87" s="13"/>
      <c r="AE87" s="6" t="s">
        <v>6710</v>
      </c>
      <c r="AF87" s="13"/>
      <c r="AG87" s="6" t="s">
        <v>6601</v>
      </c>
      <c r="AH87" s="6"/>
      <c r="AI87" s="6" t="s">
        <v>6471</v>
      </c>
      <c r="AJ87" s="6"/>
      <c r="AK87" s="6" t="s">
        <v>6531</v>
      </c>
      <c r="AL87" s="13"/>
      <c r="AM87" s="6" t="s">
        <v>6714</v>
      </c>
      <c r="AN87" s="18" t="s">
        <v>6712</v>
      </c>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row>
    <row r="88">
      <c r="A88" s="13"/>
      <c r="B88" s="35" t="s">
        <v>343</v>
      </c>
      <c r="C88" s="6">
        <v>1.0</v>
      </c>
      <c r="D88" s="6" t="s">
        <v>6715</v>
      </c>
      <c r="E88" s="13"/>
      <c r="F88" s="6" t="s">
        <v>6716</v>
      </c>
      <c r="G88" s="198"/>
      <c r="H88" s="198"/>
      <c r="I88" s="198"/>
      <c r="J88" s="198"/>
      <c r="K88" s="198"/>
      <c r="L88" s="266"/>
      <c r="M88" s="69"/>
      <c r="N88" s="198"/>
      <c r="O88" s="111">
        <v>2012.0</v>
      </c>
      <c r="P88" s="177" t="s">
        <v>6717</v>
      </c>
      <c r="Q88" s="198"/>
      <c r="R88" s="198"/>
      <c r="S88" s="198"/>
      <c r="T88" s="198"/>
      <c r="U88" s="198"/>
      <c r="V88" s="198"/>
      <c r="W88" s="198"/>
      <c r="X88" s="198"/>
      <c r="Y88" s="198"/>
      <c r="Z88" s="198"/>
      <c r="AA88" s="6" t="s">
        <v>35</v>
      </c>
      <c r="AB88" s="211"/>
      <c r="AC88" s="198"/>
      <c r="AD88" s="198"/>
      <c r="AE88" s="35"/>
      <c r="AF88" s="198"/>
      <c r="AG88" s="35" t="s">
        <v>6601</v>
      </c>
      <c r="AH88" s="6"/>
      <c r="AI88" s="6" t="s">
        <v>6531</v>
      </c>
      <c r="AJ88" s="6"/>
      <c r="AK88" s="6" t="s">
        <v>6531</v>
      </c>
      <c r="AL88" s="6"/>
      <c r="AM88" s="6" t="s">
        <v>6714</v>
      </c>
      <c r="AN88" s="18" t="s">
        <v>6718</v>
      </c>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row>
    <row r="89">
      <c r="A89" s="13"/>
      <c r="B89" s="35" t="s">
        <v>343</v>
      </c>
      <c r="C89" s="6">
        <v>1.0</v>
      </c>
      <c r="D89" s="6" t="s">
        <v>6715</v>
      </c>
      <c r="E89" s="13"/>
      <c r="F89" s="6" t="s">
        <v>6716</v>
      </c>
      <c r="G89" s="198"/>
      <c r="H89" s="198"/>
      <c r="I89" s="198"/>
      <c r="J89" s="198"/>
      <c r="K89" s="198"/>
      <c r="L89" s="266"/>
      <c r="M89" s="69"/>
      <c r="N89" s="198"/>
      <c r="O89" s="111">
        <v>2016.0</v>
      </c>
      <c r="P89" s="177" t="s">
        <v>6719</v>
      </c>
      <c r="Q89" s="198"/>
      <c r="R89" s="198"/>
      <c r="S89" s="198"/>
      <c r="T89" s="198"/>
      <c r="U89" s="198"/>
      <c r="V89" s="198"/>
      <c r="W89" s="198"/>
      <c r="X89" s="198"/>
      <c r="Y89" s="198"/>
      <c r="Z89" s="198"/>
      <c r="AA89" s="6" t="s">
        <v>6720</v>
      </c>
      <c r="AB89" s="211"/>
      <c r="AC89" s="198"/>
      <c r="AD89" s="198"/>
      <c r="AE89" s="35"/>
      <c r="AF89" s="198"/>
      <c r="AG89" s="35" t="s">
        <v>6601</v>
      </c>
      <c r="AH89" s="6"/>
      <c r="AI89" s="6" t="s">
        <v>6531</v>
      </c>
      <c r="AJ89" s="6"/>
      <c r="AK89" s="6" t="s">
        <v>6531</v>
      </c>
      <c r="AL89" s="6"/>
      <c r="AM89" s="6" t="s">
        <v>6714</v>
      </c>
      <c r="AN89" s="18" t="s">
        <v>6718</v>
      </c>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row>
    <row r="90">
      <c r="A90" s="13"/>
      <c r="B90" s="35" t="s">
        <v>343</v>
      </c>
      <c r="C90" s="6">
        <v>1.0</v>
      </c>
      <c r="D90" s="6" t="s">
        <v>6721</v>
      </c>
      <c r="E90" s="13"/>
      <c r="F90" s="6" t="s">
        <v>6716</v>
      </c>
      <c r="G90" s="198"/>
      <c r="H90" s="198"/>
      <c r="I90" s="198"/>
      <c r="J90" s="198"/>
      <c r="K90" s="198"/>
      <c r="L90" s="266"/>
      <c r="M90" s="69"/>
      <c r="N90" s="198"/>
      <c r="O90" s="111">
        <v>2012.0</v>
      </c>
      <c r="P90" s="177" t="s">
        <v>6722</v>
      </c>
      <c r="Q90" s="198"/>
      <c r="R90" s="198"/>
      <c r="S90" s="198"/>
      <c r="T90" s="198"/>
      <c r="U90" s="198"/>
      <c r="V90" s="198"/>
      <c r="W90" s="198"/>
      <c r="X90" s="198"/>
      <c r="Y90" s="198"/>
      <c r="Z90" s="198"/>
      <c r="AA90" s="6" t="s">
        <v>6723</v>
      </c>
      <c r="AB90" s="211"/>
      <c r="AC90" s="198"/>
      <c r="AD90" s="198"/>
      <c r="AE90" s="35"/>
      <c r="AF90" s="198"/>
      <c r="AG90" s="35" t="s">
        <v>6601</v>
      </c>
      <c r="AH90" s="6"/>
      <c r="AI90" s="6" t="s">
        <v>6471</v>
      </c>
      <c r="AJ90" s="6" t="s">
        <v>6602</v>
      </c>
      <c r="AK90" s="6" t="s">
        <v>6471</v>
      </c>
      <c r="AL90" s="6" t="s">
        <v>6724</v>
      </c>
      <c r="AM90" s="6"/>
      <c r="AN90" s="6"/>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row>
    <row r="91">
      <c r="A91" s="13"/>
      <c r="B91" s="35" t="s">
        <v>343</v>
      </c>
      <c r="C91" s="6">
        <v>1.0</v>
      </c>
      <c r="D91" s="6" t="s">
        <v>6725</v>
      </c>
      <c r="E91" s="13"/>
      <c r="F91" s="6"/>
      <c r="G91" s="198"/>
      <c r="H91" s="198"/>
      <c r="I91" s="198"/>
      <c r="J91" s="198"/>
      <c r="K91" s="198"/>
      <c r="L91" s="266"/>
      <c r="M91" s="69"/>
      <c r="N91" s="198"/>
      <c r="O91" s="111">
        <v>2013.0</v>
      </c>
      <c r="P91" s="177" t="s">
        <v>6630</v>
      </c>
      <c r="Q91" s="198"/>
      <c r="R91" s="198"/>
      <c r="S91" s="198"/>
      <c r="T91" s="198"/>
      <c r="U91" s="198"/>
      <c r="V91" s="198"/>
      <c r="W91" s="198"/>
      <c r="X91" s="198"/>
      <c r="Y91" s="198"/>
      <c r="Z91" s="198"/>
      <c r="AA91" s="6" t="s">
        <v>6726</v>
      </c>
      <c r="AB91" s="211"/>
      <c r="AC91" s="198"/>
      <c r="AD91" s="198"/>
      <c r="AE91" s="35"/>
      <c r="AF91" s="198"/>
      <c r="AG91" s="35" t="s">
        <v>6601</v>
      </c>
      <c r="AH91" s="6"/>
      <c r="AI91" s="6" t="s">
        <v>6471</v>
      </c>
      <c r="AJ91" s="6" t="s">
        <v>6602</v>
      </c>
      <c r="AK91" s="6" t="s">
        <v>6471</v>
      </c>
      <c r="AL91" s="6" t="s">
        <v>192</v>
      </c>
      <c r="AM91" s="6"/>
      <c r="AN91" s="6"/>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row>
    <row r="92">
      <c r="A92" s="13"/>
      <c r="B92" s="35" t="s">
        <v>343</v>
      </c>
      <c r="C92" s="6">
        <v>1.0</v>
      </c>
      <c r="D92" s="6" t="s">
        <v>6727</v>
      </c>
      <c r="E92" s="13"/>
      <c r="F92" s="6" t="s">
        <v>6716</v>
      </c>
      <c r="G92" s="13"/>
      <c r="H92" s="13"/>
      <c r="I92" s="13"/>
      <c r="J92" s="13"/>
      <c r="K92" s="13"/>
      <c r="L92" s="255"/>
      <c r="M92" s="69"/>
      <c r="N92" s="13"/>
      <c r="O92" s="6">
        <v>2014.0</v>
      </c>
      <c r="P92" s="18" t="s">
        <v>6728</v>
      </c>
      <c r="Q92" s="13"/>
      <c r="R92" s="13"/>
      <c r="S92" s="13"/>
      <c r="T92" s="13"/>
      <c r="U92" s="13"/>
      <c r="V92" s="13"/>
      <c r="W92" s="13"/>
      <c r="X92" s="13"/>
      <c r="Y92" s="13"/>
      <c r="Z92" s="13"/>
      <c r="AA92" s="6" t="s">
        <v>6685</v>
      </c>
      <c r="AB92" s="6"/>
      <c r="AC92" s="13"/>
      <c r="AD92" s="13"/>
      <c r="AE92" s="35"/>
      <c r="AF92" s="13"/>
      <c r="AG92" s="6" t="s">
        <v>6601</v>
      </c>
      <c r="AH92" s="6"/>
      <c r="AI92" s="6" t="s">
        <v>6471</v>
      </c>
      <c r="AJ92" s="6" t="s">
        <v>6602</v>
      </c>
      <c r="AK92" s="6" t="s">
        <v>6471</v>
      </c>
      <c r="AL92" s="6" t="s">
        <v>6729</v>
      </c>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row>
    <row r="93">
      <c r="A93" s="13"/>
      <c r="B93" s="69" t="s">
        <v>343</v>
      </c>
      <c r="C93" s="6">
        <v>1.0</v>
      </c>
      <c r="D93" s="6" t="s">
        <v>6730</v>
      </c>
      <c r="E93" s="13"/>
      <c r="F93" s="6" t="s">
        <v>6716</v>
      </c>
      <c r="G93" s="198"/>
      <c r="H93" s="198"/>
      <c r="I93" s="198"/>
      <c r="J93" s="198"/>
      <c r="K93" s="198"/>
      <c r="L93" s="266"/>
      <c r="M93" s="69" t="str">
        <f t="shared" ref="M93:M95" si="7">CONCATENATE("[",P93," ",N93," (",O93,")","]")</f>
        <v>[https://dl.acm.org/doi/abs/10.1145/2591796.2591850  (2014)]</v>
      </c>
      <c r="N93" s="198"/>
      <c r="O93" s="111">
        <v>2014.0</v>
      </c>
      <c r="P93" s="30" t="s">
        <v>6728</v>
      </c>
      <c r="Q93" s="198"/>
      <c r="R93" s="198"/>
      <c r="S93" s="198"/>
      <c r="T93" s="198"/>
      <c r="U93" s="198"/>
      <c r="V93" s="198"/>
      <c r="W93" s="198"/>
      <c r="X93" s="198"/>
      <c r="Y93" s="198"/>
      <c r="Z93" s="198"/>
      <c r="AA93" s="6" t="s">
        <v>6731</v>
      </c>
      <c r="AB93" s="211"/>
      <c r="AC93" s="198"/>
      <c r="AD93" s="198"/>
      <c r="AE93" s="35"/>
      <c r="AF93" s="198"/>
      <c r="AG93" s="34" t="s">
        <v>6601</v>
      </c>
      <c r="AH93" s="6"/>
      <c r="AI93" s="6" t="s">
        <v>6471</v>
      </c>
      <c r="AJ93" s="6" t="s">
        <v>6602</v>
      </c>
      <c r="AK93" s="6" t="s">
        <v>6471</v>
      </c>
      <c r="AL93" s="6" t="s">
        <v>6732</v>
      </c>
      <c r="AM93" s="6" t="s">
        <v>6733</v>
      </c>
      <c r="AN93" s="18" t="s">
        <v>6728</v>
      </c>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row>
    <row r="94">
      <c r="A94" s="13"/>
      <c r="B94" s="69" t="s">
        <v>343</v>
      </c>
      <c r="C94" s="6">
        <v>1.0</v>
      </c>
      <c r="D94" s="6" t="s">
        <v>6734</v>
      </c>
      <c r="E94" s="13"/>
      <c r="F94" s="6" t="s">
        <v>6716</v>
      </c>
      <c r="G94" s="198"/>
      <c r="H94" s="198"/>
      <c r="I94" s="198"/>
      <c r="J94" s="198"/>
      <c r="K94" s="198"/>
      <c r="L94" s="266"/>
      <c r="M94" s="69" t="str">
        <f t="shared" si="7"/>
        <v>[https://dl.acm.org/doi/pdf/10.1145/3055399.3055452  (2017)]</v>
      </c>
      <c r="N94" s="198"/>
      <c r="O94" s="197">
        <v>2017.0</v>
      </c>
      <c r="P94" s="26" t="s">
        <v>6649</v>
      </c>
      <c r="Q94" s="198"/>
      <c r="R94" s="198"/>
      <c r="S94" s="198"/>
      <c r="T94" s="198"/>
      <c r="U94" s="198"/>
      <c r="V94" s="198"/>
      <c r="W94" s="198"/>
      <c r="X94" s="198"/>
      <c r="Y94" s="198"/>
      <c r="Z94" s="198"/>
      <c r="AA94" s="6" t="s">
        <v>6735</v>
      </c>
      <c r="AB94" s="177" t="s">
        <v>6649</v>
      </c>
      <c r="AC94" s="198"/>
      <c r="AD94" s="198"/>
      <c r="AE94" s="35" t="s">
        <v>6648</v>
      </c>
      <c r="AF94" s="198"/>
      <c r="AG94" s="34" t="s">
        <v>6601</v>
      </c>
      <c r="AH94" s="6"/>
      <c r="AI94" s="6" t="s">
        <v>6471</v>
      </c>
      <c r="AJ94" s="6" t="s">
        <v>6602</v>
      </c>
      <c r="AK94" s="6" t="s">
        <v>6531</v>
      </c>
      <c r="AL94" s="6" t="s">
        <v>6736</v>
      </c>
      <c r="AM94" s="6" t="s">
        <v>6737</v>
      </c>
      <c r="AN94" s="18" t="s">
        <v>6738</v>
      </c>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row>
    <row r="95">
      <c r="A95" s="13"/>
      <c r="B95" s="69" t="s">
        <v>343</v>
      </c>
      <c r="C95" s="6">
        <v>1.0</v>
      </c>
      <c r="D95" s="6" t="s">
        <v>6734</v>
      </c>
      <c r="E95" s="13"/>
      <c r="F95" s="6" t="s">
        <v>6716</v>
      </c>
      <c r="G95" s="13"/>
      <c r="H95" s="13"/>
      <c r="I95" s="13"/>
      <c r="J95" s="13"/>
      <c r="K95" s="13"/>
      <c r="L95" s="255"/>
      <c r="M95" s="69" t="str">
        <f t="shared" si="7"/>
        <v>[https://arxiv.org/pdf/1811.03337.pdf#:~:text=In%20the%20distributed%20all%2Dpairs,(typically%20called%20time%20complexity).  (2019)]</v>
      </c>
      <c r="N95" s="13"/>
      <c r="O95" s="6">
        <v>2019.0</v>
      </c>
      <c r="P95" s="18" t="s">
        <v>6739</v>
      </c>
      <c r="Q95" s="13"/>
      <c r="R95" s="13"/>
      <c r="S95" s="13"/>
      <c r="T95" s="13"/>
      <c r="U95" s="13"/>
      <c r="V95" s="13"/>
      <c r="W95" s="13"/>
      <c r="X95" s="13"/>
      <c r="Y95" s="13"/>
      <c r="Z95" s="13"/>
      <c r="AA95" s="6" t="s">
        <v>6740</v>
      </c>
      <c r="AB95" s="18" t="s">
        <v>6739</v>
      </c>
      <c r="AC95" s="13"/>
      <c r="AD95" s="13"/>
      <c r="AE95" s="35" t="s">
        <v>6648</v>
      </c>
      <c r="AF95" s="13"/>
      <c r="AG95" s="6" t="s">
        <v>6601</v>
      </c>
      <c r="AH95" s="6"/>
      <c r="AI95" s="6" t="s">
        <v>6471</v>
      </c>
      <c r="AJ95" s="6" t="s">
        <v>6602</v>
      </c>
      <c r="AK95" s="6" t="s">
        <v>6531</v>
      </c>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row>
    <row r="96">
      <c r="A96" s="13"/>
      <c r="B96" s="35" t="s">
        <v>343</v>
      </c>
      <c r="C96" s="6">
        <v>1.0</v>
      </c>
      <c r="D96" s="6" t="s">
        <v>6734</v>
      </c>
      <c r="E96" s="13"/>
      <c r="F96" s="6" t="s">
        <v>6716</v>
      </c>
      <c r="G96" s="13"/>
      <c r="H96" s="13"/>
      <c r="I96" s="13"/>
      <c r="J96" s="13"/>
      <c r="K96" s="13"/>
      <c r="L96" s="255"/>
      <c r="M96" s="69"/>
      <c r="N96" s="13"/>
      <c r="O96" s="6">
        <v>2017.0</v>
      </c>
      <c r="P96" s="18" t="s">
        <v>6741</v>
      </c>
      <c r="Q96" s="13"/>
      <c r="R96" s="13"/>
      <c r="S96" s="13"/>
      <c r="T96" s="13"/>
      <c r="U96" s="13"/>
      <c r="V96" s="13"/>
      <c r="W96" s="13"/>
      <c r="X96" s="13"/>
      <c r="Y96" s="13"/>
      <c r="Z96" s="13"/>
      <c r="AA96" s="6" t="s">
        <v>6742</v>
      </c>
      <c r="AB96" s="6"/>
      <c r="AC96" s="13"/>
      <c r="AD96" s="13"/>
      <c r="AE96" s="35"/>
      <c r="AF96" s="13"/>
      <c r="AG96" s="6" t="s">
        <v>6601</v>
      </c>
      <c r="AH96" s="6"/>
      <c r="AI96" s="6" t="s">
        <v>6471</v>
      </c>
      <c r="AJ96" s="6" t="s">
        <v>6602</v>
      </c>
      <c r="AK96" s="6" t="s">
        <v>6531</v>
      </c>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row>
    <row r="97">
      <c r="A97" s="13"/>
      <c r="B97" s="35" t="s">
        <v>343</v>
      </c>
      <c r="C97" s="6">
        <v>1.0</v>
      </c>
      <c r="D97" s="6" t="s">
        <v>6734</v>
      </c>
      <c r="E97" s="13"/>
      <c r="F97" s="6" t="s">
        <v>6716</v>
      </c>
      <c r="G97" s="13"/>
      <c r="H97" s="13"/>
      <c r="I97" s="13"/>
      <c r="J97" s="13"/>
      <c r="K97" s="13"/>
      <c r="L97" s="255"/>
      <c r="M97" s="69"/>
      <c r="N97" s="13"/>
      <c r="O97" s="6">
        <v>2018.0</v>
      </c>
      <c r="P97" s="18" t="s">
        <v>6743</v>
      </c>
      <c r="Q97" s="13"/>
      <c r="R97" s="13"/>
      <c r="S97" s="13"/>
      <c r="T97" s="13"/>
      <c r="U97" s="13"/>
      <c r="V97" s="13"/>
      <c r="W97" s="13"/>
      <c r="X97" s="13"/>
      <c r="Y97" s="13"/>
      <c r="Z97" s="13"/>
      <c r="AA97" s="6" t="s">
        <v>6744</v>
      </c>
      <c r="AB97" s="6"/>
      <c r="AC97" s="13"/>
      <c r="AD97" s="13"/>
      <c r="AE97" s="35"/>
      <c r="AF97" s="13"/>
      <c r="AG97" s="6" t="s">
        <v>6601</v>
      </c>
      <c r="AH97" s="6"/>
      <c r="AI97" s="6" t="s">
        <v>6531</v>
      </c>
      <c r="AJ97" s="6"/>
      <c r="AK97" s="6" t="s">
        <v>6531</v>
      </c>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row>
    <row r="98">
      <c r="A98" s="13"/>
      <c r="B98" s="35" t="s">
        <v>343</v>
      </c>
      <c r="C98" s="6">
        <v>1.0</v>
      </c>
      <c r="D98" s="6" t="s">
        <v>6734</v>
      </c>
      <c r="E98" s="13"/>
      <c r="F98" s="6" t="s">
        <v>6716</v>
      </c>
      <c r="G98" s="13"/>
      <c r="H98" s="13"/>
      <c r="I98" s="13"/>
      <c r="J98" s="13"/>
      <c r="K98" s="13"/>
      <c r="L98" s="255"/>
      <c r="M98" s="69"/>
      <c r="N98" s="13"/>
      <c r="O98" s="6">
        <v>2020.0</v>
      </c>
      <c r="P98" s="18" t="s">
        <v>6745</v>
      </c>
      <c r="Q98" s="13"/>
      <c r="R98" s="13"/>
      <c r="S98" s="13"/>
      <c r="T98" s="13"/>
      <c r="U98" s="13"/>
      <c r="V98" s="13"/>
      <c r="W98" s="13"/>
      <c r="X98" s="13"/>
      <c r="Y98" s="13"/>
      <c r="Z98" s="13"/>
      <c r="AA98" s="6" t="s">
        <v>6746</v>
      </c>
      <c r="AB98" s="6"/>
      <c r="AC98" s="13"/>
      <c r="AD98" s="13"/>
      <c r="AE98" s="35"/>
      <c r="AF98" s="13"/>
      <c r="AG98" s="6" t="s">
        <v>6601</v>
      </c>
      <c r="AH98" s="6"/>
      <c r="AI98" s="6" t="s">
        <v>6531</v>
      </c>
      <c r="AJ98" s="6"/>
      <c r="AK98" s="6" t="s">
        <v>6531</v>
      </c>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row>
    <row r="99">
      <c r="A99" s="13"/>
      <c r="B99" s="35" t="s">
        <v>343</v>
      </c>
      <c r="C99" s="6">
        <v>1.0</v>
      </c>
      <c r="D99" s="6" t="s">
        <v>6715</v>
      </c>
      <c r="E99" s="13"/>
      <c r="F99" s="6" t="s">
        <v>6716</v>
      </c>
      <c r="G99" s="13"/>
      <c r="H99" s="13"/>
      <c r="I99" s="13"/>
      <c r="J99" s="13"/>
      <c r="K99" s="13"/>
      <c r="L99" s="255"/>
      <c r="M99" s="69"/>
      <c r="N99" s="13"/>
      <c r="O99" s="6">
        <v>2019.0</v>
      </c>
      <c r="P99" s="18" t="s">
        <v>6747</v>
      </c>
      <c r="Q99" s="13"/>
      <c r="R99" s="13"/>
      <c r="S99" s="13"/>
      <c r="T99" s="13"/>
      <c r="U99" s="13"/>
      <c r="V99" s="13"/>
      <c r="W99" s="13"/>
      <c r="X99" s="6" t="s">
        <v>1873</v>
      </c>
      <c r="Y99" s="6" t="s">
        <v>6545</v>
      </c>
      <c r="Z99" s="13"/>
      <c r="AA99" s="6" t="s">
        <v>35</v>
      </c>
      <c r="AB99" s="6"/>
      <c r="AC99" s="13"/>
      <c r="AD99" s="13"/>
      <c r="AE99" s="35"/>
      <c r="AF99" s="13"/>
      <c r="AG99" s="6" t="s">
        <v>6601</v>
      </c>
      <c r="AH99" s="6"/>
      <c r="AI99" s="6" t="s">
        <v>6531</v>
      </c>
      <c r="AJ99" s="6"/>
      <c r="AK99" s="6" t="s">
        <v>6531</v>
      </c>
      <c r="AL99" s="6"/>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row>
    <row r="100">
      <c r="A100" s="13"/>
      <c r="B100" s="35" t="s">
        <v>343</v>
      </c>
      <c r="C100" s="6">
        <v>1.0</v>
      </c>
      <c r="D100" s="6" t="s">
        <v>6748</v>
      </c>
      <c r="E100" s="13"/>
      <c r="F100" s="6" t="s">
        <v>6716</v>
      </c>
      <c r="G100" s="13"/>
      <c r="H100" s="13"/>
      <c r="I100" s="13"/>
      <c r="J100" s="13"/>
      <c r="K100" s="13"/>
      <c r="L100" s="255"/>
      <c r="M100" s="69"/>
      <c r="N100" s="13"/>
      <c r="O100" s="6">
        <v>2019.0</v>
      </c>
      <c r="P100" s="18" t="s">
        <v>6749</v>
      </c>
      <c r="Q100" s="13"/>
      <c r="R100" s="13"/>
      <c r="S100" s="13"/>
      <c r="T100" s="13"/>
      <c r="U100" s="13"/>
      <c r="V100" s="13"/>
      <c r="W100" s="13"/>
      <c r="X100" s="13"/>
      <c r="Y100" s="13"/>
      <c r="Z100" s="13"/>
      <c r="AA100" s="6" t="s">
        <v>6750</v>
      </c>
      <c r="AB100" s="6"/>
      <c r="AC100" s="13"/>
      <c r="AD100" s="13"/>
      <c r="AE100" s="35"/>
      <c r="AF100" s="13"/>
      <c r="AG100" s="6" t="s">
        <v>6635</v>
      </c>
      <c r="AH100" s="6"/>
      <c r="AI100" s="6" t="s">
        <v>6531</v>
      </c>
      <c r="AJ100" s="6"/>
      <c r="AK100" s="6" t="s">
        <v>6471</v>
      </c>
      <c r="AL100" s="6" t="s">
        <v>6751</v>
      </c>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row>
    <row r="101">
      <c r="A101" s="13"/>
      <c r="B101" s="35" t="s">
        <v>343</v>
      </c>
      <c r="C101" s="6">
        <v>1.0</v>
      </c>
      <c r="D101" s="6" t="s">
        <v>6752</v>
      </c>
      <c r="E101" s="13"/>
      <c r="F101" s="6" t="s">
        <v>6716</v>
      </c>
      <c r="G101" s="13"/>
      <c r="H101" s="13"/>
      <c r="I101" s="13"/>
      <c r="J101" s="13"/>
      <c r="K101" s="13"/>
      <c r="L101" s="255"/>
      <c r="M101" s="69"/>
      <c r="N101" s="13"/>
      <c r="O101" s="6">
        <v>2020.0</v>
      </c>
      <c r="P101" s="18" t="s">
        <v>6753</v>
      </c>
      <c r="Q101" s="13"/>
      <c r="R101" s="13"/>
      <c r="S101" s="13"/>
      <c r="T101" s="13"/>
      <c r="U101" s="13"/>
      <c r="V101" s="13"/>
      <c r="W101" s="13"/>
      <c r="X101" s="13"/>
      <c r="Y101" s="13"/>
      <c r="Z101" s="13"/>
      <c r="AA101" s="6" t="s">
        <v>6754</v>
      </c>
      <c r="AB101" s="6"/>
      <c r="AC101" s="13"/>
      <c r="AD101" s="13"/>
      <c r="AE101" s="35"/>
      <c r="AF101" s="13"/>
      <c r="AG101" s="6" t="s">
        <v>6635</v>
      </c>
      <c r="AH101" s="6"/>
      <c r="AI101" s="6" t="s">
        <v>6531</v>
      </c>
      <c r="AJ101" s="6"/>
      <c r="AK101" s="6" t="s">
        <v>6471</v>
      </c>
      <c r="AL101" s="6" t="s">
        <v>6755</v>
      </c>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row>
    <row r="102">
      <c r="A102" s="13"/>
      <c r="B102" s="35" t="s">
        <v>343</v>
      </c>
      <c r="C102" s="6">
        <v>1.0</v>
      </c>
      <c r="D102" s="6" t="s">
        <v>6752</v>
      </c>
      <c r="E102" s="13"/>
      <c r="F102" s="6" t="s">
        <v>6716</v>
      </c>
      <c r="G102" s="13"/>
      <c r="H102" s="13"/>
      <c r="I102" s="13"/>
      <c r="J102" s="13"/>
      <c r="K102" s="13"/>
      <c r="L102" s="255"/>
      <c r="M102" s="69"/>
      <c r="N102" s="13"/>
      <c r="O102" s="6">
        <v>2020.0</v>
      </c>
      <c r="P102" s="18" t="s">
        <v>6753</v>
      </c>
      <c r="Q102" s="13"/>
      <c r="R102" s="13"/>
      <c r="S102" s="13"/>
      <c r="T102" s="13"/>
      <c r="U102" s="13"/>
      <c r="V102" s="13"/>
      <c r="W102" s="13"/>
      <c r="X102" s="13"/>
      <c r="Y102" s="13"/>
      <c r="Z102" s="13"/>
      <c r="AA102" s="6" t="s">
        <v>6756</v>
      </c>
      <c r="AB102" s="6"/>
      <c r="AC102" s="13"/>
      <c r="AD102" s="13"/>
      <c r="AE102" s="35"/>
      <c r="AF102" s="13"/>
      <c r="AG102" s="6" t="s">
        <v>6635</v>
      </c>
      <c r="AH102" s="6"/>
      <c r="AI102" s="6" t="s">
        <v>6471</v>
      </c>
      <c r="AJ102" s="6" t="s">
        <v>6602</v>
      </c>
      <c r="AK102" s="6" t="s">
        <v>6471</v>
      </c>
      <c r="AL102" s="6" t="s">
        <v>6755</v>
      </c>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row>
    <row r="103">
      <c r="A103" s="13"/>
      <c r="B103" s="35" t="s">
        <v>343</v>
      </c>
      <c r="C103" s="6">
        <v>1.0</v>
      </c>
      <c r="D103" s="6" t="s">
        <v>6757</v>
      </c>
      <c r="E103" s="13"/>
      <c r="F103" s="6" t="s">
        <v>6716</v>
      </c>
      <c r="G103" s="13"/>
      <c r="H103" s="13"/>
      <c r="I103" s="13"/>
      <c r="J103" s="13"/>
      <c r="K103" s="13"/>
      <c r="L103" s="255"/>
      <c r="M103" s="69"/>
      <c r="N103" s="13"/>
      <c r="O103" s="6">
        <v>2021.0</v>
      </c>
      <c r="P103" s="18" t="s">
        <v>6758</v>
      </c>
      <c r="Q103" s="13"/>
      <c r="R103" s="13"/>
      <c r="S103" s="13"/>
      <c r="T103" s="13"/>
      <c r="U103" s="13"/>
      <c r="V103" s="13"/>
      <c r="W103" s="13"/>
      <c r="X103" s="13"/>
      <c r="Y103" s="13"/>
      <c r="Z103" s="13"/>
      <c r="AA103" s="6" t="s">
        <v>34</v>
      </c>
      <c r="AB103" s="6"/>
      <c r="AC103" s="13"/>
      <c r="AD103" s="13"/>
      <c r="AE103" s="35"/>
      <c r="AF103" s="13"/>
      <c r="AG103" s="6" t="s">
        <v>6635</v>
      </c>
      <c r="AH103" s="6"/>
      <c r="AI103" s="6" t="s">
        <v>6471</v>
      </c>
      <c r="AJ103" s="6" t="s">
        <v>6602</v>
      </c>
      <c r="AK103" s="6" t="s">
        <v>6471</v>
      </c>
      <c r="AL103" s="6" t="s">
        <v>5798</v>
      </c>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row>
    <row r="104">
      <c r="A104" s="13"/>
      <c r="B104" s="35" t="s">
        <v>343</v>
      </c>
      <c r="C104" s="6">
        <v>1.0</v>
      </c>
      <c r="D104" s="6" t="s">
        <v>6759</v>
      </c>
      <c r="E104" s="13"/>
      <c r="F104" s="6" t="s">
        <v>6716</v>
      </c>
      <c r="G104" s="13"/>
      <c r="H104" s="13"/>
      <c r="I104" s="13"/>
      <c r="J104" s="13"/>
      <c r="K104" s="13"/>
      <c r="L104" s="255"/>
      <c r="M104" s="69"/>
      <c r="N104" s="13"/>
      <c r="O104" s="6">
        <v>2021.0</v>
      </c>
      <c r="P104" s="18" t="s">
        <v>6758</v>
      </c>
      <c r="Q104" s="13"/>
      <c r="R104" s="13"/>
      <c r="S104" s="13"/>
      <c r="T104" s="13"/>
      <c r="U104" s="13"/>
      <c r="V104" s="13"/>
      <c r="W104" s="13"/>
      <c r="X104" s="13"/>
      <c r="Y104" s="13"/>
      <c r="Z104" s="13"/>
      <c r="AA104" s="6" t="s">
        <v>34</v>
      </c>
      <c r="AB104" s="6"/>
      <c r="AC104" s="13"/>
      <c r="AD104" s="13"/>
      <c r="AE104" s="35"/>
      <c r="AF104" s="13"/>
      <c r="AG104" s="6" t="s">
        <v>6635</v>
      </c>
      <c r="AH104" s="6"/>
      <c r="AI104" s="6" t="s">
        <v>6471</v>
      </c>
      <c r="AJ104" s="6" t="s">
        <v>6602</v>
      </c>
      <c r="AK104" s="6" t="s">
        <v>6471</v>
      </c>
      <c r="AL104" s="6" t="s">
        <v>2933</v>
      </c>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row>
    <row r="105">
      <c r="A105" s="13"/>
      <c r="B105" s="35" t="s">
        <v>6760</v>
      </c>
      <c r="C105" s="6">
        <v>1.0</v>
      </c>
      <c r="D105" s="6" t="s">
        <v>6761</v>
      </c>
      <c r="E105" s="13"/>
      <c r="F105" s="6" t="s">
        <v>6762</v>
      </c>
      <c r="G105" s="13"/>
      <c r="H105" s="13"/>
      <c r="I105" s="13"/>
      <c r="J105" s="13"/>
      <c r="K105" s="13"/>
      <c r="L105" s="255"/>
      <c r="M105" s="69"/>
      <c r="N105" s="13"/>
      <c r="O105" s="6">
        <v>2019.0</v>
      </c>
      <c r="P105" s="18" t="s">
        <v>6749</v>
      </c>
      <c r="Q105" s="13"/>
      <c r="R105" s="13"/>
      <c r="S105" s="13"/>
      <c r="T105" s="13"/>
      <c r="U105" s="13"/>
      <c r="V105" s="13"/>
      <c r="W105" s="13"/>
      <c r="X105" s="13"/>
      <c r="Y105" s="13"/>
      <c r="Z105" s="13"/>
      <c r="AA105" s="6" t="s">
        <v>6750</v>
      </c>
      <c r="AB105" s="6"/>
      <c r="AC105" s="13"/>
      <c r="AD105" s="13"/>
      <c r="AE105" s="35"/>
      <c r="AF105" s="13"/>
      <c r="AG105" s="6" t="s">
        <v>6635</v>
      </c>
      <c r="AH105" s="6"/>
      <c r="AI105" s="6" t="s">
        <v>6531</v>
      </c>
      <c r="AJ105" s="6"/>
      <c r="AK105" s="6" t="s">
        <v>6471</v>
      </c>
      <c r="AL105" s="6" t="s">
        <v>6596</v>
      </c>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row>
    <row r="106">
      <c r="A106" s="13"/>
      <c r="B106" s="35" t="s">
        <v>6760</v>
      </c>
      <c r="C106" s="6">
        <v>1.0</v>
      </c>
      <c r="D106" s="6" t="s">
        <v>6761</v>
      </c>
      <c r="E106" s="13"/>
      <c r="F106" s="6" t="s">
        <v>6762</v>
      </c>
      <c r="G106" s="13"/>
      <c r="H106" s="13"/>
      <c r="I106" s="13"/>
      <c r="J106" s="13"/>
      <c r="K106" s="13"/>
      <c r="L106" s="255"/>
      <c r="M106" s="69"/>
      <c r="N106" s="13"/>
      <c r="O106" s="6">
        <v>2020.0</v>
      </c>
      <c r="P106" s="18" t="s">
        <v>6753</v>
      </c>
      <c r="Q106" s="13"/>
      <c r="R106" s="13"/>
      <c r="S106" s="13"/>
      <c r="T106" s="13"/>
      <c r="U106" s="13"/>
      <c r="V106" s="13"/>
      <c r="W106" s="13"/>
      <c r="X106" s="13"/>
      <c r="Y106" s="13"/>
      <c r="Z106" s="13"/>
      <c r="AA106" s="6" t="s">
        <v>6754</v>
      </c>
      <c r="AB106" s="6"/>
      <c r="AC106" s="13"/>
      <c r="AD106" s="13"/>
      <c r="AE106" s="35"/>
      <c r="AF106" s="13"/>
      <c r="AG106" s="6" t="s">
        <v>6635</v>
      </c>
      <c r="AH106" s="6"/>
      <c r="AI106" s="6" t="s">
        <v>6531</v>
      </c>
      <c r="AJ106" s="6"/>
      <c r="AK106" s="6" t="s">
        <v>6471</v>
      </c>
      <c r="AL106" s="6" t="s">
        <v>6596</v>
      </c>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row>
    <row r="107">
      <c r="A107" s="13"/>
      <c r="B107" s="35" t="s">
        <v>6760</v>
      </c>
      <c r="C107" s="6">
        <v>1.0</v>
      </c>
      <c r="D107" s="6" t="s">
        <v>6761</v>
      </c>
      <c r="E107" s="13"/>
      <c r="F107" s="6" t="s">
        <v>6762</v>
      </c>
      <c r="G107" s="13"/>
      <c r="H107" s="13"/>
      <c r="I107" s="13"/>
      <c r="J107" s="13"/>
      <c r="K107" s="13"/>
      <c r="L107" s="255"/>
      <c r="M107" s="69"/>
      <c r="N107" s="13"/>
      <c r="O107" s="6">
        <v>2020.0</v>
      </c>
      <c r="P107" s="18" t="s">
        <v>6753</v>
      </c>
      <c r="Q107" s="13"/>
      <c r="R107" s="13"/>
      <c r="S107" s="13"/>
      <c r="T107" s="13"/>
      <c r="U107" s="13"/>
      <c r="V107" s="13"/>
      <c r="W107" s="13"/>
      <c r="X107" s="13"/>
      <c r="Y107" s="13"/>
      <c r="Z107" s="13"/>
      <c r="AA107" s="6" t="s">
        <v>6756</v>
      </c>
      <c r="AB107" s="6"/>
      <c r="AC107" s="13"/>
      <c r="AD107" s="13"/>
      <c r="AE107" s="35"/>
      <c r="AF107" s="13"/>
      <c r="AG107" s="6" t="s">
        <v>6635</v>
      </c>
      <c r="AH107" s="6"/>
      <c r="AI107" s="6" t="s">
        <v>6471</v>
      </c>
      <c r="AJ107" s="6" t="s">
        <v>6602</v>
      </c>
      <c r="AK107" s="6" t="s">
        <v>6471</v>
      </c>
      <c r="AL107" s="6" t="s">
        <v>6596</v>
      </c>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row>
    <row r="108">
      <c r="A108" s="13"/>
      <c r="B108" s="6" t="s">
        <v>6763</v>
      </c>
      <c r="C108" s="13"/>
      <c r="D108" s="6" t="s">
        <v>6764</v>
      </c>
      <c r="E108" s="13"/>
      <c r="F108" s="6" t="s">
        <v>6765</v>
      </c>
      <c r="G108" s="13"/>
      <c r="H108" s="13"/>
      <c r="I108" s="13"/>
      <c r="J108" s="13"/>
      <c r="K108" s="13"/>
      <c r="L108" s="255"/>
      <c r="M108" s="69" t="str">
        <f t="shared" ref="M108:M112" si="8">CONCATENATE("[",P108," ",N108," (",O108,")","]")</f>
        <v>[https://dl.acm.org/doi/pdf/10.1145/2332432.2332504  (2012)]</v>
      </c>
      <c r="N108" s="13"/>
      <c r="O108" s="6">
        <v>2012.0</v>
      </c>
      <c r="P108" s="18" t="s">
        <v>6766</v>
      </c>
      <c r="Q108" s="13"/>
      <c r="R108" s="13"/>
      <c r="S108" s="13"/>
      <c r="T108" s="13"/>
      <c r="U108" s="13"/>
      <c r="V108" s="13"/>
      <c r="W108" s="13"/>
      <c r="X108" s="13"/>
      <c r="Y108" s="13"/>
      <c r="Z108" s="13"/>
      <c r="AA108" s="6" t="s">
        <v>6767</v>
      </c>
      <c r="AB108" s="13"/>
      <c r="AC108" s="13"/>
      <c r="AD108" s="13"/>
      <c r="AE108" s="6" t="s">
        <v>6768</v>
      </c>
      <c r="AF108" s="13"/>
      <c r="AG108" s="6" t="s">
        <v>6601</v>
      </c>
      <c r="AH108" s="6"/>
      <c r="AI108" s="6" t="s">
        <v>6531</v>
      </c>
      <c r="AJ108" s="13"/>
      <c r="AK108" s="6" t="s">
        <v>6471</v>
      </c>
      <c r="AL108" s="6" t="s">
        <v>6769</v>
      </c>
      <c r="AM108" s="6" t="s">
        <v>6770</v>
      </c>
      <c r="AN108" s="18" t="s">
        <v>6771</v>
      </c>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row>
    <row r="109">
      <c r="A109" s="13"/>
      <c r="B109" s="6" t="s">
        <v>6763</v>
      </c>
      <c r="C109" s="13"/>
      <c r="D109" s="6" t="s">
        <v>6764</v>
      </c>
      <c r="E109" s="13"/>
      <c r="F109" s="6" t="s">
        <v>6765</v>
      </c>
      <c r="G109" s="13"/>
      <c r="H109" s="13"/>
      <c r="I109" s="13"/>
      <c r="J109" s="13"/>
      <c r="K109" s="13"/>
      <c r="L109" s="255"/>
      <c r="M109" s="69" t="str">
        <f t="shared" si="8"/>
        <v>[https://link.springer.com/chapter/10.1007/978-3-642-31585-5_58  (2012)]</v>
      </c>
      <c r="N109" s="13"/>
      <c r="O109" s="6">
        <v>2012.0</v>
      </c>
      <c r="P109" s="18" t="s">
        <v>6772</v>
      </c>
      <c r="Q109" s="13"/>
      <c r="R109" s="13"/>
      <c r="S109" s="13"/>
      <c r="T109" s="13"/>
      <c r="U109" s="13"/>
      <c r="V109" s="13"/>
      <c r="W109" s="13"/>
      <c r="X109" s="13"/>
      <c r="Y109" s="13"/>
      <c r="Z109" s="13"/>
      <c r="AA109" s="6" t="s">
        <v>6773</v>
      </c>
      <c r="AB109" s="13"/>
      <c r="AC109" s="13"/>
      <c r="AD109" s="13"/>
      <c r="AE109" s="6" t="s">
        <v>6768</v>
      </c>
      <c r="AF109" s="13"/>
      <c r="AG109" s="6" t="s">
        <v>6601</v>
      </c>
      <c r="AH109" s="6"/>
      <c r="AI109" s="6" t="s">
        <v>6531</v>
      </c>
      <c r="AJ109" s="13"/>
      <c r="AK109" s="6" t="s">
        <v>6471</v>
      </c>
      <c r="AL109" s="6" t="s">
        <v>6769</v>
      </c>
      <c r="AM109" s="6" t="s">
        <v>6770</v>
      </c>
      <c r="AN109" s="18" t="s">
        <v>6771</v>
      </c>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row>
    <row r="110">
      <c r="A110" s="13"/>
      <c r="B110" s="6" t="s">
        <v>6763</v>
      </c>
      <c r="C110" s="13"/>
      <c r="D110" s="6"/>
      <c r="E110" s="13"/>
      <c r="F110" s="6" t="s">
        <v>6765</v>
      </c>
      <c r="G110" s="13"/>
      <c r="H110" s="13"/>
      <c r="I110" s="13"/>
      <c r="J110" s="13"/>
      <c r="K110" s="13"/>
      <c r="L110" s="255"/>
      <c r="M110" s="69" t="str">
        <f t="shared" si="8"/>
        <v>[https://arxiv.org/pdf/2101.07590.pdf  (2021)]</v>
      </c>
      <c r="N110" s="13"/>
      <c r="O110" s="6">
        <v>2021.0</v>
      </c>
      <c r="P110" s="18" t="s">
        <v>6774</v>
      </c>
      <c r="Q110" s="13"/>
      <c r="R110" s="13"/>
      <c r="S110" s="13"/>
      <c r="T110" s="13"/>
      <c r="U110" s="13"/>
      <c r="V110" s="13"/>
      <c r="W110" s="13"/>
      <c r="X110" s="13"/>
      <c r="Y110" s="13"/>
      <c r="Z110" s="13"/>
      <c r="AA110" s="6" t="s">
        <v>6775</v>
      </c>
      <c r="AB110" s="13"/>
      <c r="AC110" s="13"/>
      <c r="AD110" s="13"/>
      <c r="AE110" s="6" t="s">
        <v>6768</v>
      </c>
      <c r="AF110" s="13"/>
      <c r="AG110" s="6" t="s">
        <v>6601</v>
      </c>
      <c r="AH110" s="6"/>
      <c r="AI110" s="6" t="s">
        <v>6531</v>
      </c>
      <c r="AJ110" s="13"/>
      <c r="AK110" s="6" t="s">
        <v>6531</v>
      </c>
      <c r="AL110" s="6"/>
      <c r="AM110" s="6"/>
      <c r="AN110" s="6"/>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row>
    <row r="111">
      <c r="A111" s="13"/>
      <c r="B111" s="6" t="s">
        <v>6763</v>
      </c>
      <c r="C111" s="13"/>
      <c r="D111" s="6"/>
      <c r="E111" s="13"/>
      <c r="F111" s="6" t="s">
        <v>6765</v>
      </c>
      <c r="G111" s="13"/>
      <c r="H111" s="13"/>
      <c r="I111" s="13"/>
      <c r="J111" s="13"/>
      <c r="K111" s="13"/>
      <c r="L111" s="255"/>
      <c r="M111" s="69" t="str">
        <f t="shared" si="8"/>
        <v>[https://arxiv.org/pdf/1503.04963.pdf  (2015)]</v>
      </c>
      <c r="N111" s="13"/>
      <c r="O111" s="6">
        <v>2015.0</v>
      </c>
      <c r="P111" s="18" t="s">
        <v>6776</v>
      </c>
      <c r="Q111" s="13"/>
      <c r="R111" s="13"/>
      <c r="S111" s="13"/>
      <c r="T111" s="13"/>
      <c r="U111" s="13"/>
      <c r="V111" s="13"/>
      <c r="W111" s="13"/>
      <c r="X111" s="13"/>
      <c r="Y111" s="13"/>
      <c r="Z111" s="13"/>
      <c r="AA111" s="6" t="s">
        <v>6676</v>
      </c>
      <c r="AB111" s="13"/>
      <c r="AC111" s="13"/>
      <c r="AD111" s="13"/>
      <c r="AE111" s="6" t="s">
        <v>6674</v>
      </c>
      <c r="AF111" s="13"/>
      <c r="AG111" s="6" t="s">
        <v>6635</v>
      </c>
      <c r="AH111" s="6"/>
      <c r="AI111" s="6" t="s">
        <v>6531</v>
      </c>
      <c r="AJ111" s="13"/>
      <c r="AK111" s="6" t="s">
        <v>6531</v>
      </c>
      <c r="AL111" s="6"/>
      <c r="AM111" s="6"/>
      <c r="AN111" s="6"/>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row>
    <row r="112">
      <c r="A112" s="13"/>
      <c r="B112" s="6" t="s">
        <v>6763</v>
      </c>
      <c r="C112" s="13"/>
      <c r="D112" s="6" t="s">
        <v>6777</v>
      </c>
      <c r="E112" s="13"/>
      <c r="F112" s="6" t="s">
        <v>6765</v>
      </c>
      <c r="G112" s="13"/>
      <c r="H112" s="13"/>
      <c r="I112" s="13"/>
      <c r="J112" s="13"/>
      <c r="K112" s="13"/>
      <c r="L112" s="255"/>
      <c r="M112" s="69" t="str">
        <f t="shared" si="8"/>
        <v>[https://arxiv.org/pdf/2101.07590.pdf  (2021)]</v>
      </c>
      <c r="N112" s="13"/>
      <c r="O112" s="6">
        <v>2021.0</v>
      </c>
      <c r="P112" s="18" t="s">
        <v>6774</v>
      </c>
      <c r="Q112" s="13"/>
      <c r="R112" s="13"/>
      <c r="S112" s="13"/>
      <c r="T112" s="13"/>
      <c r="U112" s="13"/>
      <c r="V112" s="13"/>
      <c r="W112" s="13"/>
      <c r="X112" s="13"/>
      <c r="Y112" s="13"/>
      <c r="Z112" s="13"/>
      <c r="AA112" s="6" t="s">
        <v>34</v>
      </c>
      <c r="AB112" s="13"/>
      <c r="AC112" s="13"/>
      <c r="AD112" s="13"/>
      <c r="AE112" s="6"/>
      <c r="AF112" s="13"/>
      <c r="AG112" s="6" t="s">
        <v>6635</v>
      </c>
      <c r="AH112" s="6"/>
      <c r="AI112" s="6" t="s">
        <v>6531</v>
      </c>
      <c r="AJ112" s="13"/>
      <c r="AK112" s="6" t="s">
        <v>6471</v>
      </c>
      <c r="AL112" s="264" t="s">
        <v>6778</v>
      </c>
      <c r="AM112" s="6"/>
      <c r="AN112" s="6"/>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row>
    <row r="113">
      <c r="A113" s="13"/>
      <c r="B113" s="6" t="s">
        <v>6763</v>
      </c>
      <c r="C113" s="6"/>
      <c r="D113" s="6" t="s">
        <v>6779</v>
      </c>
      <c r="E113" s="13"/>
      <c r="F113" s="6" t="s">
        <v>6780</v>
      </c>
      <c r="G113" s="13"/>
      <c r="H113" s="13"/>
      <c r="I113" s="13"/>
      <c r="J113" s="13"/>
      <c r="K113" s="13"/>
      <c r="L113" s="255"/>
      <c r="M113" s="69"/>
      <c r="N113" s="13"/>
      <c r="O113" s="6">
        <v>2021.0</v>
      </c>
      <c r="P113" s="18" t="s">
        <v>6781</v>
      </c>
      <c r="Q113" s="13"/>
      <c r="R113" s="13"/>
      <c r="S113" s="13"/>
      <c r="T113" s="13"/>
      <c r="U113" s="13"/>
      <c r="V113" s="13"/>
      <c r="W113" s="13"/>
      <c r="X113" s="13"/>
      <c r="Y113" s="13"/>
      <c r="Z113" s="13"/>
      <c r="AA113" s="6" t="s">
        <v>6782</v>
      </c>
      <c r="AB113" s="13"/>
      <c r="AC113" s="13"/>
      <c r="AD113" s="13"/>
      <c r="AE113" s="13"/>
      <c r="AF113" s="13"/>
      <c r="AG113" s="6" t="s">
        <v>6601</v>
      </c>
      <c r="AH113" s="6"/>
      <c r="AI113" s="6" t="s">
        <v>6471</v>
      </c>
      <c r="AJ113" s="6" t="s">
        <v>6602</v>
      </c>
      <c r="AK113" s="6" t="s">
        <v>6531</v>
      </c>
      <c r="AL113" s="6"/>
      <c r="AM113" s="6" t="s">
        <v>6783</v>
      </c>
      <c r="AN113" s="18" t="s">
        <v>6781</v>
      </c>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row>
    <row r="114">
      <c r="A114" s="13"/>
      <c r="B114" s="6" t="s">
        <v>6763</v>
      </c>
      <c r="C114" s="6"/>
      <c r="D114" s="6" t="s">
        <v>6779</v>
      </c>
      <c r="E114" s="13"/>
      <c r="F114" s="6" t="s">
        <v>6780</v>
      </c>
      <c r="G114" s="13"/>
      <c r="H114" s="13"/>
      <c r="I114" s="13"/>
      <c r="J114" s="13"/>
      <c r="K114" s="13"/>
      <c r="L114" s="255"/>
      <c r="M114" s="69"/>
      <c r="N114" s="13"/>
      <c r="O114" s="6">
        <v>2022.0</v>
      </c>
      <c r="P114" s="18" t="s">
        <v>6784</v>
      </c>
      <c r="Q114" s="13"/>
      <c r="R114" s="13"/>
      <c r="S114" s="13"/>
      <c r="T114" s="13"/>
      <c r="U114" s="13"/>
      <c r="V114" s="13"/>
      <c r="W114" s="13"/>
      <c r="X114" s="13"/>
      <c r="Y114" s="13"/>
      <c r="Z114" s="13"/>
      <c r="AA114" s="6" t="s">
        <v>6785</v>
      </c>
      <c r="AB114" s="13"/>
      <c r="AC114" s="13"/>
      <c r="AD114" s="13"/>
      <c r="AE114" s="13"/>
      <c r="AF114" s="13"/>
      <c r="AG114" s="6" t="s">
        <v>6601</v>
      </c>
      <c r="AH114" s="6"/>
      <c r="AI114" s="6" t="s">
        <v>6471</v>
      </c>
      <c r="AJ114" s="6" t="s">
        <v>6602</v>
      </c>
      <c r="AK114" s="6" t="s">
        <v>6531</v>
      </c>
      <c r="AL114" s="6"/>
      <c r="AM114" s="6" t="s">
        <v>6786</v>
      </c>
      <c r="AN114" s="18" t="s">
        <v>6784</v>
      </c>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row>
    <row r="115">
      <c r="A115" s="13"/>
      <c r="B115" s="6" t="s">
        <v>1424</v>
      </c>
      <c r="C115" s="13"/>
      <c r="D115" s="6"/>
      <c r="E115" s="13"/>
      <c r="F115" s="6" t="s">
        <v>6787</v>
      </c>
      <c r="G115" s="13"/>
      <c r="H115" s="13"/>
      <c r="I115" s="13"/>
      <c r="J115" s="13"/>
      <c r="K115" s="13"/>
      <c r="L115" s="255"/>
      <c r="M115" s="69"/>
      <c r="N115" s="13"/>
      <c r="O115" s="6">
        <v>2012.0</v>
      </c>
      <c r="P115" s="18" t="s">
        <v>6772</v>
      </c>
      <c r="Q115" s="13"/>
      <c r="R115" s="13"/>
      <c r="S115" s="13"/>
      <c r="T115" s="13"/>
      <c r="U115" s="13"/>
      <c r="V115" s="13"/>
      <c r="W115" s="13"/>
      <c r="X115" s="13"/>
      <c r="Y115" s="13"/>
      <c r="Z115" s="13"/>
      <c r="AA115" s="6" t="s">
        <v>35</v>
      </c>
      <c r="AB115" s="13"/>
      <c r="AC115" s="13"/>
      <c r="AD115" s="13"/>
      <c r="AE115" s="13"/>
      <c r="AF115" s="13"/>
      <c r="AG115" s="6" t="s">
        <v>6601</v>
      </c>
      <c r="AH115" s="6"/>
      <c r="AI115" s="6" t="s">
        <v>6531</v>
      </c>
      <c r="AJ115" s="13"/>
      <c r="AK115" s="6" t="s">
        <v>6531</v>
      </c>
      <c r="AL115" s="13"/>
      <c r="AM115" s="6" t="s">
        <v>6788</v>
      </c>
      <c r="AN115" s="19" t="s">
        <v>6789</v>
      </c>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row>
    <row r="116">
      <c r="A116" s="13"/>
      <c r="B116" s="6" t="s">
        <v>1424</v>
      </c>
      <c r="C116" s="13"/>
      <c r="D116" s="6"/>
      <c r="E116" s="13"/>
      <c r="F116" s="6" t="s">
        <v>6787</v>
      </c>
      <c r="G116" s="13"/>
      <c r="H116" s="13"/>
      <c r="I116" s="13"/>
      <c r="J116" s="13"/>
      <c r="K116" s="13"/>
      <c r="L116" s="255"/>
      <c r="M116" s="69"/>
      <c r="N116" s="13"/>
      <c r="O116" s="6">
        <v>2013.0</v>
      </c>
      <c r="P116" s="18" t="s">
        <v>6630</v>
      </c>
      <c r="Q116" s="13"/>
      <c r="R116" s="13"/>
      <c r="S116" s="13"/>
      <c r="T116" s="13"/>
      <c r="U116" s="13"/>
      <c r="V116" s="13"/>
      <c r="W116" s="13"/>
      <c r="X116" s="13"/>
      <c r="Y116" s="13"/>
      <c r="Z116" s="13"/>
      <c r="AA116" s="6" t="s">
        <v>6790</v>
      </c>
      <c r="AB116" s="13"/>
      <c r="AC116" s="13"/>
      <c r="AD116" s="13"/>
      <c r="AE116" s="13"/>
      <c r="AF116" s="13"/>
      <c r="AG116" s="6" t="s">
        <v>6601</v>
      </c>
      <c r="AH116" s="6"/>
      <c r="AI116" s="6" t="s">
        <v>6531</v>
      </c>
      <c r="AJ116" s="13"/>
      <c r="AK116" s="6" t="s">
        <v>6531</v>
      </c>
      <c r="AL116" s="13"/>
      <c r="AM116" s="263" t="s">
        <v>6788</v>
      </c>
      <c r="AN116" s="18" t="s">
        <v>6789</v>
      </c>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row>
    <row r="117">
      <c r="A117" s="13"/>
      <c r="B117" s="6" t="s">
        <v>1424</v>
      </c>
      <c r="C117" s="13"/>
      <c r="D117" s="6" t="s">
        <v>6791</v>
      </c>
      <c r="E117" s="13"/>
      <c r="F117" s="6" t="s">
        <v>6787</v>
      </c>
      <c r="G117" s="13"/>
      <c r="H117" s="13"/>
      <c r="I117" s="13"/>
      <c r="J117" s="13"/>
      <c r="K117" s="13"/>
      <c r="L117" s="255"/>
      <c r="M117" s="69"/>
      <c r="N117" s="13"/>
      <c r="O117" s="6">
        <v>2012.0</v>
      </c>
      <c r="P117" s="18" t="s">
        <v>6717</v>
      </c>
      <c r="Q117" s="13"/>
      <c r="R117" s="13"/>
      <c r="S117" s="13"/>
      <c r="T117" s="13"/>
      <c r="U117" s="13"/>
      <c r="V117" s="13"/>
      <c r="W117" s="13"/>
      <c r="X117" s="13"/>
      <c r="Y117" s="13"/>
      <c r="Z117" s="13"/>
      <c r="AA117" s="6" t="s">
        <v>6792</v>
      </c>
      <c r="AB117" s="13"/>
      <c r="AC117" s="13"/>
      <c r="AD117" s="13"/>
      <c r="AE117" s="13"/>
      <c r="AF117" s="13"/>
      <c r="AG117" s="6" t="s">
        <v>6601</v>
      </c>
      <c r="AH117" s="6"/>
      <c r="AI117" s="6" t="s">
        <v>6531</v>
      </c>
      <c r="AJ117" s="13"/>
      <c r="AK117" s="6" t="s">
        <v>6471</v>
      </c>
      <c r="AL117" s="267">
        <v>44987.0</v>
      </c>
      <c r="AM117" s="6" t="s">
        <v>6793</v>
      </c>
      <c r="AN117" s="18" t="s">
        <v>6771</v>
      </c>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row>
    <row r="118">
      <c r="A118" s="13"/>
      <c r="B118" s="6" t="s">
        <v>1424</v>
      </c>
      <c r="C118" s="13"/>
      <c r="D118" s="6" t="s">
        <v>6794</v>
      </c>
      <c r="E118" s="13"/>
      <c r="F118" s="6" t="s">
        <v>6787</v>
      </c>
      <c r="G118" s="13"/>
      <c r="H118" s="13"/>
      <c r="I118" s="13"/>
      <c r="J118" s="13"/>
      <c r="K118" s="13"/>
      <c r="L118" s="255"/>
      <c r="M118" s="69"/>
      <c r="N118" s="13"/>
      <c r="O118" s="6">
        <v>2013.0</v>
      </c>
      <c r="P118" s="18" t="s">
        <v>6717</v>
      </c>
      <c r="Q118" s="13"/>
      <c r="R118" s="13"/>
      <c r="S118" s="13"/>
      <c r="T118" s="13"/>
      <c r="U118" s="13"/>
      <c r="V118" s="13"/>
      <c r="W118" s="13"/>
      <c r="X118" s="13"/>
      <c r="Y118" s="13"/>
      <c r="Z118" s="13"/>
      <c r="AA118" s="6" t="s">
        <v>6631</v>
      </c>
      <c r="AB118" s="13"/>
      <c r="AC118" s="13"/>
      <c r="AD118" s="13"/>
      <c r="AE118" s="13"/>
      <c r="AF118" s="13"/>
      <c r="AG118" s="6" t="s">
        <v>6601</v>
      </c>
      <c r="AH118" s="6"/>
      <c r="AI118" s="6" t="s">
        <v>6471</v>
      </c>
      <c r="AJ118" s="6" t="s">
        <v>6602</v>
      </c>
      <c r="AK118" s="6" t="s">
        <v>6471</v>
      </c>
      <c r="AL118" s="267">
        <v>44987.0</v>
      </c>
      <c r="AM118" s="6" t="s">
        <v>6793</v>
      </c>
      <c r="AN118" s="18" t="s">
        <v>6771</v>
      </c>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row>
    <row r="119">
      <c r="A119" s="13"/>
      <c r="B119" s="6" t="s">
        <v>1424</v>
      </c>
      <c r="C119" s="13"/>
      <c r="D119" s="6" t="s">
        <v>6795</v>
      </c>
      <c r="E119" s="13"/>
      <c r="F119" s="6" t="s">
        <v>6787</v>
      </c>
      <c r="G119" s="13"/>
      <c r="H119" s="13"/>
      <c r="I119" s="13"/>
      <c r="J119" s="13"/>
      <c r="K119" s="13"/>
      <c r="L119" s="255"/>
      <c r="M119" s="69"/>
      <c r="N119" s="13"/>
      <c r="O119" s="6">
        <v>2020.0</v>
      </c>
      <c r="P119" s="18" t="s">
        <v>6796</v>
      </c>
      <c r="Q119" s="13"/>
      <c r="R119" s="13"/>
      <c r="S119" s="13"/>
      <c r="T119" s="13"/>
      <c r="U119" s="13"/>
      <c r="V119" s="13"/>
      <c r="W119" s="13"/>
      <c r="X119" s="13"/>
      <c r="Y119" s="13"/>
      <c r="Z119" s="13"/>
      <c r="AA119" s="6" t="s">
        <v>6797</v>
      </c>
      <c r="AB119" s="13"/>
      <c r="AC119" s="13"/>
      <c r="AD119" s="13"/>
      <c r="AE119" s="13"/>
      <c r="AF119" s="13"/>
      <c r="AG119" s="6" t="s">
        <v>6601</v>
      </c>
      <c r="AH119" s="6"/>
      <c r="AI119" s="6" t="s">
        <v>6531</v>
      </c>
      <c r="AJ119" s="6"/>
      <c r="AK119" s="6" t="s">
        <v>6471</v>
      </c>
      <c r="AL119" s="6" t="s">
        <v>6798</v>
      </c>
      <c r="AM119" s="6" t="s">
        <v>6799</v>
      </c>
      <c r="AN119" s="18" t="s">
        <v>6800</v>
      </c>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row>
    <row r="120">
      <c r="A120" s="13"/>
      <c r="B120" s="6" t="s">
        <v>1424</v>
      </c>
      <c r="C120" s="13"/>
      <c r="D120" s="6" t="s">
        <v>6801</v>
      </c>
      <c r="E120" s="13"/>
      <c r="F120" s="6" t="s">
        <v>6787</v>
      </c>
      <c r="G120" s="13"/>
      <c r="H120" s="13"/>
      <c r="I120" s="13"/>
      <c r="J120" s="13"/>
      <c r="K120" s="13"/>
      <c r="L120" s="255"/>
      <c r="M120" s="69"/>
      <c r="N120" s="13"/>
      <c r="O120" s="6">
        <v>2020.0</v>
      </c>
      <c r="P120" s="18" t="s">
        <v>6796</v>
      </c>
      <c r="Q120" s="13"/>
      <c r="R120" s="13"/>
      <c r="S120" s="13"/>
      <c r="T120" s="13"/>
      <c r="U120" s="13"/>
      <c r="V120" s="13"/>
      <c r="W120" s="13"/>
      <c r="X120" s="13"/>
      <c r="Y120" s="13"/>
      <c r="Z120" s="13"/>
      <c r="AA120" s="6" t="s">
        <v>6802</v>
      </c>
      <c r="AB120" s="13"/>
      <c r="AC120" s="13"/>
      <c r="AD120" s="13"/>
      <c r="AE120" s="13"/>
      <c r="AF120" s="13"/>
      <c r="AG120" s="6" t="s">
        <v>6601</v>
      </c>
      <c r="AH120" s="6"/>
      <c r="AI120" s="6" t="s">
        <v>6531</v>
      </c>
      <c r="AJ120" s="6"/>
      <c r="AK120" s="6" t="s">
        <v>6471</v>
      </c>
      <c r="AL120" s="6">
        <v>2.0</v>
      </c>
      <c r="AM120" s="263"/>
      <c r="AN120" s="6"/>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row>
    <row r="121">
      <c r="A121" s="13"/>
      <c r="B121" s="6" t="s">
        <v>6803</v>
      </c>
      <c r="C121" s="6"/>
      <c r="D121" s="6" t="s">
        <v>6804</v>
      </c>
      <c r="E121" s="13"/>
      <c r="F121" s="6" t="s">
        <v>6805</v>
      </c>
      <c r="G121" s="13"/>
      <c r="H121" s="13"/>
      <c r="I121" s="13"/>
      <c r="J121" s="13"/>
      <c r="K121" s="13"/>
      <c r="L121" s="255"/>
      <c r="M121" s="69"/>
      <c r="N121" s="13"/>
      <c r="O121" s="6">
        <v>2022.0</v>
      </c>
      <c r="P121" s="18" t="s">
        <v>6784</v>
      </c>
      <c r="Q121" s="13"/>
      <c r="R121" s="13"/>
      <c r="S121" s="13"/>
      <c r="T121" s="13"/>
      <c r="U121" s="13"/>
      <c r="V121" s="13"/>
      <c r="W121" s="13"/>
      <c r="X121" s="13"/>
      <c r="Y121" s="13"/>
      <c r="Z121" s="13"/>
      <c r="AA121" s="6" t="s">
        <v>6806</v>
      </c>
      <c r="AB121" s="13"/>
      <c r="AC121" s="13"/>
      <c r="AD121" s="13"/>
      <c r="AE121" s="6" t="s">
        <v>6807</v>
      </c>
      <c r="AF121" s="13"/>
      <c r="AG121" s="6" t="s">
        <v>6601</v>
      </c>
      <c r="AH121" s="6"/>
      <c r="AI121" s="6" t="s">
        <v>6471</v>
      </c>
      <c r="AJ121" s="6" t="s">
        <v>6602</v>
      </c>
      <c r="AK121" s="6" t="s">
        <v>6531</v>
      </c>
      <c r="AL121" s="6"/>
      <c r="AM121" s="6" t="s">
        <v>6808</v>
      </c>
      <c r="AN121" s="18" t="s">
        <v>6784</v>
      </c>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row>
    <row r="122">
      <c r="A122" s="13"/>
      <c r="B122" s="6" t="s">
        <v>6803</v>
      </c>
      <c r="C122" s="6"/>
      <c r="D122" s="6" t="s">
        <v>6809</v>
      </c>
      <c r="E122" s="13"/>
      <c r="F122" s="6" t="s">
        <v>6805</v>
      </c>
      <c r="G122" s="13"/>
      <c r="H122" s="13"/>
      <c r="I122" s="13"/>
      <c r="J122" s="13"/>
      <c r="K122" s="13"/>
      <c r="L122" s="255"/>
      <c r="M122" s="69"/>
      <c r="N122" s="13"/>
      <c r="O122" s="6">
        <v>2022.0</v>
      </c>
      <c r="P122" s="18" t="s">
        <v>6784</v>
      </c>
      <c r="Q122" s="13"/>
      <c r="R122" s="13"/>
      <c r="S122" s="13"/>
      <c r="T122" s="13"/>
      <c r="U122" s="13"/>
      <c r="V122" s="13"/>
      <c r="W122" s="13"/>
      <c r="X122" s="13"/>
      <c r="Y122" s="13"/>
      <c r="Z122" s="13"/>
      <c r="AA122" s="6" t="s">
        <v>6810</v>
      </c>
      <c r="AB122" s="13"/>
      <c r="AC122" s="13"/>
      <c r="AD122" s="13"/>
      <c r="AE122" s="6" t="s">
        <v>6811</v>
      </c>
      <c r="AF122" s="13"/>
      <c r="AG122" s="6" t="s">
        <v>6601</v>
      </c>
      <c r="AH122" s="6"/>
      <c r="AI122" s="6" t="s">
        <v>6471</v>
      </c>
      <c r="AJ122" s="6" t="s">
        <v>6602</v>
      </c>
      <c r="AK122" s="6" t="s">
        <v>6531</v>
      </c>
      <c r="AL122" s="6"/>
      <c r="AM122" s="6" t="s">
        <v>6714</v>
      </c>
      <c r="AN122" s="18" t="s">
        <v>6784</v>
      </c>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row>
    <row r="123">
      <c r="A123" s="13"/>
      <c r="B123" s="6" t="s">
        <v>6803</v>
      </c>
      <c r="C123" s="6"/>
      <c r="D123" s="6" t="s">
        <v>6812</v>
      </c>
      <c r="E123" s="13"/>
      <c r="F123" s="6" t="s">
        <v>6805</v>
      </c>
      <c r="G123" s="13"/>
      <c r="H123" s="13"/>
      <c r="I123" s="13"/>
      <c r="J123" s="13"/>
      <c r="K123" s="13"/>
      <c r="L123" s="255"/>
      <c r="M123" s="69"/>
      <c r="N123" s="13"/>
      <c r="O123" s="6">
        <v>2022.0</v>
      </c>
      <c r="P123" s="18" t="s">
        <v>6784</v>
      </c>
      <c r="Q123" s="13"/>
      <c r="R123" s="13"/>
      <c r="S123" s="13"/>
      <c r="T123" s="13"/>
      <c r="U123" s="13"/>
      <c r="V123" s="13"/>
      <c r="W123" s="13"/>
      <c r="X123" s="13"/>
      <c r="Y123" s="13"/>
      <c r="Z123" s="13"/>
      <c r="AA123" s="6" t="s">
        <v>6813</v>
      </c>
      <c r="AB123" s="13"/>
      <c r="AC123" s="13"/>
      <c r="AD123" s="13"/>
      <c r="AE123" s="263" t="s">
        <v>6811</v>
      </c>
      <c r="AF123" s="13"/>
      <c r="AG123" s="6" t="s">
        <v>6601</v>
      </c>
      <c r="AH123" s="6"/>
      <c r="AI123" s="6" t="s">
        <v>6471</v>
      </c>
      <c r="AJ123" s="6" t="s">
        <v>6602</v>
      </c>
      <c r="AK123" s="6" t="s">
        <v>6531</v>
      </c>
      <c r="AL123" s="6"/>
      <c r="AM123" s="6" t="s">
        <v>6814</v>
      </c>
      <c r="AN123" s="18" t="s">
        <v>6784</v>
      </c>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row>
    <row r="124">
      <c r="A124" s="13"/>
      <c r="B124" s="6" t="s">
        <v>6803</v>
      </c>
      <c r="C124" s="6"/>
      <c r="D124" s="6" t="s">
        <v>6815</v>
      </c>
      <c r="E124" s="13"/>
      <c r="F124" s="6" t="s">
        <v>6805</v>
      </c>
      <c r="G124" s="13"/>
      <c r="H124" s="13"/>
      <c r="I124" s="13"/>
      <c r="J124" s="13"/>
      <c r="K124" s="13"/>
      <c r="L124" s="255"/>
      <c r="M124" s="69"/>
      <c r="N124" s="13"/>
      <c r="O124" s="6">
        <v>2022.0</v>
      </c>
      <c r="P124" s="18" t="s">
        <v>6784</v>
      </c>
      <c r="Q124" s="13"/>
      <c r="R124" s="13"/>
      <c r="S124" s="13"/>
      <c r="T124" s="13"/>
      <c r="U124" s="13"/>
      <c r="V124" s="13"/>
      <c r="W124" s="13"/>
      <c r="X124" s="13"/>
      <c r="Y124" s="13"/>
      <c r="Z124" s="13"/>
      <c r="AA124" s="6" t="s">
        <v>6816</v>
      </c>
      <c r="AB124" s="13"/>
      <c r="AC124" s="13"/>
      <c r="AD124" s="13"/>
      <c r="AE124" s="13"/>
      <c r="AF124" s="13"/>
      <c r="AG124" s="6" t="s">
        <v>6601</v>
      </c>
      <c r="AH124" s="6"/>
      <c r="AI124" s="6" t="s">
        <v>6531</v>
      </c>
      <c r="AJ124" s="6"/>
      <c r="AK124" s="6" t="s">
        <v>6531</v>
      </c>
      <c r="AL124" s="6"/>
      <c r="AM124" s="6" t="s">
        <v>6817</v>
      </c>
      <c r="AN124" s="18" t="s">
        <v>6784</v>
      </c>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row>
    <row r="125">
      <c r="A125" s="13"/>
      <c r="B125" s="6" t="s">
        <v>6818</v>
      </c>
      <c r="C125" s="6">
        <v>1.0</v>
      </c>
      <c r="D125" s="6" t="s">
        <v>6819</v>
      </c>
      <c r="E125" s="13"/>
      <c r="F125" s="6" t="s">
        <v>6820</v>
      </c>
      <c r="G125" s="13"/>
      <c r="H125" s="13"/>
      <c r="I125" s="13"/>
      <c r="J125" s="13"/>
      <c r="K125" s="13"/>
      <c r="L125" s="255"/>
      <c r="M125" s="69" t="str">
        <f>CONCATENATE("[",P125," ",N125," (",O125,")","]")</f>
        <v>[https://arxiv.org/pdf/0812.4893.pdf  (2008)]</v>
      </c>
      <c r="N125" s="13"/>
      <c r="O125" s="6">
        <v>2008.0</v>
      </c>
      <c r="P125" s="18" t="s">
        <v>871</v>
      </c>
      <c r="Q125" s="13"/>
      <c r="R125" s="13"/>
      <c r="S125" s="13"/>
      <c r="T125" s="13"/>
      <c r="U125" s="13"/>
      <c r="V125" s="13"/>
      <c r="W125" s="13"/>
      <c r="X125" s="13"/>
      <c r="Y125" s="13"/>
      <c r="Z125" s="13"/>
      <c r="AA125" s="6" t="s">
        <v>6821</v>
      </c>
      <c r="AB125" s="13"/>
      <c r="AC125" s="13"/>
      <c r="AD125" s="13"/>
      <c r="AE125" s="13"/>
      <c r="AF125" s="13"/>
      <c r="AG125" s="6" t="s">
        <v>6591</v>
      </c>
      <c r="AH125" s="6"/>
      <c r="AI125" s="6" t="s">
        <v>6531</v>
      </c>
      <c r="AJ125" s="13"/>
      <c r="AK125" s="6" t="s">
        <v>6471</v>
      </c>
      <c r="AL125" s="6" t="s">
        <v>6755</v>
      </c>
      <c r="AM125" s="13"/>
      <c r="AN125" s="6"/>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row>
    <row r="126">
      <c r="A126" s="13"/>
      <c r="B126" s="35" t="s">
        <v>1451</v>
      </c>
      <c r="C126" s="6">
        <v>1.0</v>
      </c>
      <c r="D126" s="6"/>
      <c r="E126" s="13"/>
      <c r="F126" s="6" t="s">
        <v>6822</v>
      </c>
      <c r="G126" s="13"/>
      <c r="H126" s="13"/>
      <c r="I126" s="13"/>
      <c r="J126" s="13"/>
      <c r="K126" s="13"/>
      <c r="L126" s="255"/>
      <c r="M126" s="69"/>
      <c r="N126" s="13"/>
      <c r="O126" s="6">
        <v>2016.0</v>
      </c>
      <c r="P126" s="18" t="s">
        <v>6823</v>
      </c>
      <c r="Q126" s="13"/>
      <c r="R126" s="13"/>
      <c r="S126" s="13"/>
      <c r="T126" s="13"/>
      <c r="U126" s="13"/>
      <c r="V126" s="13"/>
      <c r="W126" s="13"/>
      <c r="X126" s="6"/>
      <c r="Y126" s="6"/>
      <c r="Z126" s="13"/>
      <c r="AA126" s="6" t="s">
        <v>35</v>
      </c>
      <c r="AB126" s="6"/>
      <c r="AC126" s="13"/>
      <c r="AD126" s="13"/>
      <c r="AE126" s="35"/>
      <c r="AF126" s="13"/>
      <c r="AG126" s="6" t="s">
        <v>6601</v>
      </c>
      <c r="AH126" s="6"/>
      <c r="AI126" s="6" t="s">
        <v>6531</v>
      </c>
      <c r="AJ126" s="6"/>
      <c r="AK126" s="6" t="s">
        <v>6531</v>
      </c>
      <c r="AL126" s="6"/>
      <c r="AM126" s="6" t="s">
        <v>6824</v>
      </c>
      <c r="AN126" s="18" t="s">
        <v>6823</v>
      </c>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row>
    <row r="127">
      <c r="A127" s="13"/>
      <c r="B127" s="35" t="s">
        <v>1451</v>
      </c>
      <c r="C127" s="6">
        <v>1.0</v>
      </c>
      <c r="D127" s="6"/>
      <c r="E127" s="13"/>
      <c r="F127" s="6" t="s">
        <v>6822</v>
      </c>
      <c r="G127" s="13"/>
      <c r="H127" s="13"/>
      <c r="I127" s="13"/>
      <c r="J127" s="13"/>
      <c r="K127" s="13"/>
      <c r="L127" s="255"/>
      <c r="M127" s="69"/>
      <c r="N127" s="13"/>
      <c r="O127" s="6">
        <v>2018.0</v>
      </c>
      <c r="P127" s="18" t="s">
        <v>6825</v>
      </c>
      <c r="Q127" s="13"/>
      <c r="R127" s="13"/>
      <c r="S127" s="13"/>
      <c r="T127" s="13"/>
      <c r="U127" s="13"/>
      <c r="V127" s="13"/>
      <c r="W127" s="13"/>
      <c r="X127" s="6" t="s">
        <v>6826</v>
      </c>
      <c r="Y127" s="6" t="s">
        <v>6545</v>
      </c>
      <c r="Z127" s="13"/>
      <c r="AA127" s="6" t="s">
        <v>6827</v>
      </c>
      <c r="AB127" s="6"/>
      <c r="AC127" s="13"/>
      <c r="AD127" s="13"/>
      <c r="AE127" s="35"/>
      <c r="AF127" s="13"/>
      <c r="AG127" s="6" t="s">
        <v>6601</v>
      </c>
      <c r="AH127" s="6"/>
      <c r="AI127" s="6" t="s">
        <v>6531</v>
      </c>
      <c r="AJ127" s="6"/>
      <c r="AK127" s="6" t="s">
        <v>6531</v>
      </c>
      <c r="AL127" s="6"/>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row>
    <row r="128">
      <c r="A128" s="13"/>
      <c r="B128" s="35" t="s">
        <v>1451</v>
      </c>
      <c r="C128" s="6">
        <v>1.0</v>
      </c>
      <c r="D128" s="6"/>
      <c r="E128" s="13"/>
      <c r="F128" s="6" t="s">
        <v>6822</v>
      </c>
      <c r="G128" s="13"/>
      <c r="H128" s="13"/>
      <c r="I128" s="13"/>
      <c r="J128" s="13"/>
      <c r="K128" s="13"/>
      <c r="L128" s="255"/>
      <c r="M128" s="69"/>
      <c r="N128" s="13"/>
      <c r="O128" s="6">
        <v>2019.0</v>
      </c>
      <c r="P128" s="18" t="s">
        <v>6747</v>
      </c>
      <c r="Q128" s="13"/>
      <c r="R128" s="13"/>
      <c r="S128" s="13"/>
      <c r="T128" s="13"/>
      <c r="U128" s="13"/>
      <c r="V128" s="13"/>
      <c r="W128" s="13"/>
      <c r="X128" s="6" t="s">
        <v>398</v>
      </c>
      <c r="Y128" s="6" t="s">
        <v>6545</v>
      </c>
      <c r="Z128" s="13"/>
      <c r="AA128" s="6" t="s">
        <v>468</v>
      </c>
      <c r="AB128" s="6"/>
      <c r="AC128" s="13"/>
      <c r="AD128" s="13"/>
      <c r="AE128" s="35"/>
      <c r="AF128" s="13"/>
      <c r="AG128" s="6" t="s">
        <v>6601</v>
      </c>
      <c r="AH128" s="6"/>
      <c r="AI128" s="6" t="s">
        <v>6531</v>
      </c>
      <c r="AJ128" s="6"/>
      <c r="AK128" s="6" t="s">
        <v>6531</v>
      </c>
      <c r="AL128" s="6"/>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row>
    <row r="129">
      <c r="A129" s="13"/>
      <c r="B129" s="6" t="s">
        <v>6828</v>
      </c>
      <c r="C129" s="6">
        <v>1.0</v>
      </c>
      <c r="D129" s="6" t="s">
        <v>6829</v>
      </c>
      <c r="E129" s="13"/>
      <c r="F129" s="6" t="s">
        <v>6830</v>
      </c>
      <c r="G129" s="13"/>
      <c r="H129" s="13"/>
      <c r="I129" s="13"/>
      <c r="J129" s="13"/>
      <c r="K129" s="13"/>
      <c r="L129" s="9" t="s">
        <v>6831</v>
      </c>
      <c r="M129" s="69" t="str">
        <f t="shared" ref="M129:M165" si="9">CONCATENATE("[",P129," ",N129," (",O129,")","]")</f>
        <v>[E. Chang, R. Roberts, An improved algorithm for decentralized extrema-finding in circular configurations of processes, Comm. ACM 22 (5) (1979) 281–283. LCR (basic) (1979)]</v>
      </c>
      <c r="N129" s="6" t="s">
        <v>6829</v>
      </c>
      <c r="O129" s="6">
        <v>1979.0</v>
      </c>
      <c r="P129" s="6" t="s">
        <v>6831</v>
      </c>
      <c r="Q129" s="13"/>
      <c r="R129" s="13"/>
      <c r="S129" s="13"/>
      <c r="T129" s="13"/>
      <c r="U129" s="13"/>
      <c r="V129" s="13"/>
      <c r="W129" s="13"/>
      <c r="X129" s="9" t="s">
        <v>115</v>
      </c>
      <c r="Y129" s="6" t="s">
        <v>6545</v>
      </c>
      <c r="Z129" s="13"/>
      <c r="AB129" s="13"/>
      <c r="AC129" s="9" t="s">
        <v>35</v>
      </c>
      <c r="AD129" s="13"/>
      <c r="AE129" s="9" t="s">
        <v>6832</v>
      </c>
      <c r="AF129" s="13"/>
      <c r="AG129" s="13"/>
      <c r="AH129" s="6" t="s">
        <v>6833</v>
      </c>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row>
    <row r="130">
      <c r="A130" s="13"/>
      <c r="B130" s="6" t="s">
        <v>6828</v>
      </c>
      <c r="C130" s="6">
        <v>1.0</v>
      </c>
      <c r="D130" s="6" t="s">
        <v>6834</v>
      </c>
      <c r="E130" s="13"/>
      <c r="F130" s="6" t="s">
        <v>6830</v>
      </c>
      <c r="G130" s="13"/>
      <c r="H130" s="13"/>
      <c r="I130" s="13"/>
      <c r="J130" s="13"/>
      <c r="K130" s="13"/>
      <c r="L130" s="9" t="s">
        <v>6831</v>
      </c>
      <c r="M130" s="69" t="str">
        <f t="shared" si="9"/>
        <v>[E. Chang, R. Roberts, An improved algorithm for decentralized extrema-finding in circular configurations of processes, Comm. ACM 22 (5) (1979) 281–283. LCR (halting) (1979)]</v>
      </c>
      <c r="N130" s="6" t="s">
        <v>6834</v>
      </c>
      <c r="O130" s="6">
        <v>1979.0</v>
      </c>
      <c r="P130" s="6" t="s">
        <v>6831</v>
      </c>
      <c r="Q130" s="13"/>
      <c r="R130" s="13"/>
      <c r="S130" s="13"/>
      <c r="T130" s="13"/>
      <c r="U130" s="13"/>
      <c r="V130" s="13"/>
      <c r="W130" s="13"/>
      <c r="X130" s="9" t="s">
        <v>115</v>
      </c>
      <c r="Y130" s="6" t="s">
        <v>6545</v>
      </c>
      <c r="Z130" s="13"/>
      <c r="AA130" s="13"/>
      <c r="AB130" s="13"/>
      <c r="AC130" s="6" t="s">
        <v>6835</v>
      </c>
      <c r="AD130" s="13"/>
      <c r="AE130" s="9" t="s">
        <v>6836</v>
      </c>
      <c r="AF130" s="13"/>
      <c r="AG130" s="13"/>
      <c r="AH130" s="6" t="s">
        <v>6833</v>
      </c>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row>
    <row r="131">
      <c r="A131" s="13"/>
      <c r="B131" s="6" t="s">
        <v>6828</v>
      </c>
      <c r="C131" s="6">
        <v>1.0</v>
      </c>
      <c r="D131" s="6" t="s">
        <v>6837</v>
      </c>
      <c r="E131" s="13"/>
      <c r="F131" s="264" t="s">
        <v>6838</v>
      </c>
      <c r="G131" s="13"/>
      <c r="H131" s="13"/>
      <c r="I131" s="13"/>
      <c r="J131" s="13"/>
      <c r="K131" s="13"/>
      <c r="L131" s="256" t="s">
        <v>6839</v>
      </c>
      <c r="M131" s="69" t="str">
        <f t="shared" si="9"/>
        <v>[Hirschberg, D. S.; Sinclair, J. B. (November 1980), "Decentralized extrema-finding in circular configurations of processors", Communications of the ACM, 23 (11): 627–628, HS Algorithm (1980)]</v>
      </c>
      <c r="N131" s="6" t="s">
        <v>6837</v>
      </c>
      <c r="O131" s="6">
        <v>1980.0</v>
      </c>
      <c r="P131" s="6" t="s">
        <v>6839</v>
      </c>
      <c r="Q131" s="13"/>
      <c r="R131" s="13"/>
      <c r="S131" s="13"/>
      <c r="T131" s="13"/>
      <c r="U131" s="13"/>
      <c r="V131" s="13"/>
      <c r="W131" s="13"/>
      <c r="X131" s="6" t="s">
        <v>1788</v>
      </c>
      <c r="Y131" s="6" t="s">
        <v>6545</v>
      </c>
      <c r="Z131" s="13"/>
      <c r="AA131" s="6" t="s">
        <v>1788</v>
      </c>
      <c r="AB131" s="13"/>
      <c r="AC131" s="6" t="s">
        <v>6840</v>
      </c>
      <c r="AD131" s="13"/>
      <c r="AE131" s="13"/>
      <c r="AF131" s="13"/>
      <c r="AG131" s="13"/>
      <c r="AH131" s="6" t="s">
        <v>6833</v>
      </c>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row>
    <row r="132">
      <c r="A132" s="13"/>
      <c r="B132" s="6" t="s">
        <v>6828</v>
      </c>
      <c r="C132" s="6">
        <v>1.0</v>
      </c>
      <c r="D132" s="6" t="s">
        <v>6841</v>
      </c>
      <c r="E132" s="13"/>
      <c r="F132" s="264" t="s">
        <v>6838</v>
      </c>
      <c r="G132" s="13"/>
      <c r="H132" s="13"/>
      <c r="I132" s="13"/>
      <c r="J132" s="13"/>
      <c r="K132" s="13"/>
      <c r="L132" s="255"/>
      <c r="M132" s="69" t="str">
        <f t="shared" si="9"/>
        <v>[  ()]</v>
      </c>
      <c r="N132" s="13"/>
      <c r="O132" s="13"/>
      <c r="P132" s="13"/>
      <c r="Q132" s="13"/>
      <c r="R132" s="13"/>
      <c r="S132" s="13"/>
      <c r="T132" s="13"/>
      <c r="U132" s="13"/>
      <c r="V132" s="13"/>
      <c r="W132" s="13"/>
      <c r="X132" s="9" t="s">
        <v>22</v>
      </c>
      <c r="Y132" s="6" t="s">
        <v>6545</v>
      </c>
      <c r="Z132" s="13"/>
      <c r="AA132" s="13"/>
      <c r="AB132" s="13"/>
      <c r="AC132" s="9" t="s">
        <v>6842</v>
      </c>
      <c r="AD132" s="13"/>
      <c r="AE132" s="13"/>
      <c r="AF132" s="13"/>
      <c r="AG132" s="13"/>
      <c r="AH132" s="6" t="s">
        <v>6833</v>
      </c>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row>
    <row r="133">
      <c r="A133" s="13"/>
      <c r="B133" s="6" t="s">
        <v>6828</v>
      </c>
      <c r="C133" s="6">
        <v>1.0</v>
      </c>
      <c r="D133" s="6" t="s">
        <v>6843</v>
      </c>
      <c r="E133" s="13"/>
      <c r="F133" s="264" t="s">
        <v>6838</v>
      </c>
      <c r="G133" s="13"/>
      <c r="H133" s="13"/>
      <c r="I133" s="13"/>
      <c r="J133" s="13"/>
      <c r="K133" s="13"/>
      <c r="L133" s="255"/>
      <c r="M133" s="69" t="str">
        <f t="shared" si="9"/>
        <v>[FREDERICKSON, G. N., AND LYNCH, N. The impact of synchronous communication on the problem of electing a leader in a ring. In Proceedings of the 16th Annual ACM Symposium on Theory c$Computing (Washington, D.C., Apr. 30-May 2). ACM, New York, 1984, pp. 493-503. VariableSpeeds Algorithm (1984)]</v>
      </c>
      <c r="N133" s="6" t="s">
        <v>6843</v>
      </c>
      <c r="O133" s="6">
        <v>1984.0</v>
      </c>
      <c r="P133" s="9" t="s">
        <v>6844</v>
      </c>
      <c r="Q133" s="13"/>
      <c r="R133" s="13"/>
      <c r="S133" s="13"/>
      <c r="T133" s="13"/>
      <c r="U133" s="13"/>
      <c r="V133" s="13"/>
      <c r="W133" s="13"/>
      <c r="X133" s="9" t="s">
        <v>6845</v>
      </c>
      <c r="Y133" s="6" t="s">
        <v>6545</v>
      </c>
      <c r="Z133" s="13"/>
      <c r="AA133" s="13"/>
      <c r="AB133" s="13"/>
      <c r="AC133" s="9" t="s">
        <v>6846</v>
      </c>
      <c r="AD133" s="13"/>
      <c r="AE133" s="13"/>
      <c r="AF133" s="13"/>
      <c r="AG133" s="13"/>
      <c r="AH133" s="6" t="s">
        <v>6833</v>
      </c>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row>
    <row r="134">
      <c r="A134" s="13"/>
      <c r="B134" s="6" t="s">
        <v>6828</v>
      </c>
      <c r="C134" s="6">
        <v>1.0</v>
      </c>
      <c r="D134" s="6" t="s">
        <v>6847</v>
      </c>
      <c r="E134" s="13"/>
      <c r="F134" s="264" t="s">
        <v>6838</v>
      </c>
      <c r="G134" s="13"/>
      <c r="H134" s="13"/>
      <c r="I134" s="13"/>
      <c r="J134" s="13"/>
      <c r="K134" s="13"/>
      <c r="L134" s="255"/>
      <c r="M134" s="69" t="str">
        <f t="shared" si="9"/>
        <v>[FREDERICKSON, G. N., AND LYNCH, N. The impact of synchronous communication on the problem of electing a leader in a ring. In Proceedings of the 16th Annual ACM Symposium on Theory c$Computing (Washington, D.C., Apr. 30-May 2). ACM, New York, 1984, pp. 493-503. VariableSpeeds Algorithm (modified) (1984)]</v>
      </c>
      <c r="N134" s="6" t="s">
        <v>6847</v>
      </c>
      <c r="O134" s="6">
        <v>1984.0</v>
      </c>
      <c r="P134" s="9" t="s">
        <v>6844</v>
      </c>
      <c r="Q134" s="13"/>
      <c r="R134" s="13"/>
      <c r="S134" s="13"/>
      <c r="T134" s="13"/>
      <c r="U134" s="13"/>
      <c r="V134" s="13"/>
      <c r="W134" s="13"/>
      <c r="X134" s="6" t="s">
        <v>6845</v>
      </c>
      <c r="Y134" s="6" t="s">
        <v>6848</v>
      </c>
      <c r="Z134" s="13"/>
      <c r="AA134" s="6" t="s">
        <v>22</v>
      </c>
      <c r="AB134" s="13"/>
      <c r="AC134" s="71" t="s">
        <v>6849</v>
      </c>
      <c r="AD134" s="13"/>
      <c r="AE134" s="13"/>
      <c r="AF134" s="13"/>
      <c r="AG134" s="13"/>
      <c r="AH134" s="6" t="s">
        <v>6833</v>
      </c>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row>
    <row r="135">
      <c r="A135" s="13"/>
      <c r="B135" s="6" t="s">
        <v>6828</v>
      </c>
      <c r="C135" s="6">
        <v>0.001</v>
      </c>
      <c r="D135" s="6" t="s">
        <v>6850</v>
      </c>
      <c r="E135" s="13"/>
      <c r="F135" s="6" t="s">
        <v>6851</v>
      </c>
      <c r="G135" s="13"/>
      <c r="H135" s="13"/>
      <c r="I135" s="13"/>
      <c r="J135" s="13"/>
      <c r="K135" s="13"/>
      <c r="L135" s="255"/>
      <c r="M135" s="69" t="str">
        <f t="shared" si="9"/>
        <v>[FREDERICKSON, G. N., AND LYNCH, N. The impact of synchronous communication on the problem of electing a leader in a ring. In Proceedings of the 16th Annual ACM Symposium on Theory c$Computing (Washington, D.C., Apr. 30-May 2). ACM, New York, 1984, pp. 493-503. VariableSpeeds Algorithm (modified) (1984)]</v>
      </c>
      <c r="N135" s="6" t="s">
        <v>6847</v>
      </c>
      <c r="O135" s="6">
        <v>1984.0</v>
      </c>
      <c r="P135" s="9" t="s">
        <v>6844</v>
      </c>
      <c r="Q135" s="13"/>
      <c r="R135" s="13"/>
      <c r="S135" s="13"/>
      <c r="T135" s="13"/>
      <c r="U135" s="13"/>
      <c r="V135" s="13"/>
      <c r="W135" s="13"/>
      <c r="X135" s="13"/>
      <c r="Y135" s="6" t="s">
        <v>6545</v>
      </c>
      <c r="Z135" s="13"/>
      <c r="AA135" s="13"/>
      <c r="AB135" s="13"/>
      <c r="AC135" s="13"/>
      <c r="AD135" s="13"/>
      <c r="AE135" s="13"/>
      <c r="AF135" s="13"/>
      <c r="AG135" s="13"/>
      <c r="AH135" s="6" t="s">
        <v>6833</v>
      </c>
      <c r="AI135" s="13"/>
      <c r="AJ135" s="13"/>
      <c r="AK135" s="13"/>
      <c r="AL135" s="13"/>
      <c r="AM135" s="9" t="s">
        <v>6852</v>
      </c>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9" t="s">
        <v>6853</v>
      </c>
      <c r="BN135" s="13"/>
    </row>
    <row r="136">
      <c r="A136" s="13"/>
      <c r="B136" s="6" t="s">
        <v>6828</v>
      </c>
      <c r="C136" s="6">
        <v>0.001</v>
      </c>
      <c r="D136" s="6" t="s">
        <v>6854</v>
      </c>
      <c r="E136" s="13"/>
      <c r="F136" s="6" t="s">
        <v>6851</v>
      </c>
      <c r="G136" s="13"/>
      <c r="H136" s="13"/>
      <c r="I136" s="13"/>
      <c r="J136" s="13"/>
      <c r="K136" s="13"/>
      <c r="L136" s="255"/>
      <c r="M136" s="69" t="str">
        <f t="shared" si="9"/>
        <v>[FREDERICKSON, G. N., AND LYNCH, N. The impact of synchronous communication on the problem of electing a leader in a ring. In Proceedings of the 16th Annual ACM Symposium on Theory c$Computing (Washington, D.C., Apr. 30-May 2). ACM, New York, 1984, pp. 493-503. VariableSpeeds Algorithm (modified) (1984)]</v>
      </c>
      <c r="N136" s="6" t="s">
        <v>6847</v>
      </c>
      <c r="O136" s="6">
        <v>1984.0</v>
      </c>
      <c r="P136" s="9" t="s">
        <v>6844</v>
      </c>
      <c r="Q136" s="13"/>
      <c r="R136" s="13"/>
      <c r="S136" s="13"/>
      <c r="T136" s="13"/>
      <c r="U136" s="13"/>
      <c r="V136" s="13"/>
      <c r="W136" s="13"/>
      <c r="X136" s="6"/>
      <c r="Y136" s="6" t="s">
        <v>6545</v>
      </c>
      <c r="Z136" s="13"/>
      <c r="AA136" s="13"/>
      <c r="AB136" s="13"/>
      <c r="AC136" s="13"/>
      <c r="AD136" s="13"/>
      <c r="AE136" s="13"/>
      <c r="AF136" s="13"/>
      <c r="AG136" s="13"/>
      <c r="AH136" s="6" t="s">
        <v>6833</v>
      </c>
      <c r="AI136" s="13"/>
      <c r="AJ136" s="13"/>
      <c r="AK136" s="13"/>
      <c r="AL136" s="13"/>
      <c r="AM136" s="9" t="s">
        <v>6852</v>
      </c>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row>
    <row r="137">
      <c r="A137" s="13"/>
      <c r="B137" s="6" t="s">
        <v>6828</v>
      </c>
      <c r="C137" s="6">
        <v>0.001</v>
      </c>
      <c r="D137" s="6" t="s">
        <v>6855</v>
      </c>
      <c r="E137" s="13"/>
      <c r="F137" s="13"/>
      <c r="G137" s="13"/>
      <c r="H137" s="13"/>
      <c r="I137" s="13"/>
      <c r="J137" s="13"/>
      <c r="K137" s="13"/>
      <c r="L137" s="255"/>
      <c r="M137" s="69" t="str">
        <f t="shared" si="9"/>
        <v>[  ()]</v>
      </c>
      <c r="N137" s="13"/>
      <c r="O137" s="13"/>
      <c r="P137" s="13"/>
      <c r="Q137" s="13"/>
      <c r="R137" s="13"/>
      <c r="S137" s="13"/>
      <c r="T137" s="13"/>
      <c r="U137" s="13"/>
      <c r="V137" s="13"/>
      <c r="W137" s="13"/>
      <c r="X137" s="13"/>
      <c r="Y137" s="6" t="s">
        <v>6545</v>
      </c>
      <c r="Z137" s="13"/>
      <c r="AA137" s="13"/>
      <c r="AB137" s="13"/>
      <c r="AC137" s="13"/>
      <c r="AD137" s="13"/>
      <c r="AE137" s="13"/>
      <c r="AF137" s="13"/>
      <c r="AG137" s="13"/>
      <c r="AH137" s="6" t="s">
        <v>6833</v>
      </c>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row>
    <row r="138">
      <c r="A138" s="13"/>
      <c r="B138" s="6" t="s">
        <v>6856</v>
      </c>
      <c r="C138" s="6">
        <v>1.0</v>
      </c>
      <c r="D138" s="6" t="s">
        <v>6857</v>
      </c>
      <c r="E138" s="13"/>
      <c r="F138" s="13"/>
      <c r="G138" s="13"/>
      <c r="H138" s="13"/>
      <c r="I138" s="13"/>
      <c r="J138" s="13"/>
      <c r="K138" s="13"/>
      <c r="L138" s="255"/>
      <c r="M138" s="69" t="str">
        <f t="shared" si="9"/>
        <v>[  ()]</v>
      </c>
      <c r="N138" s="13"/>
      <c r="O138" s="13"/>
      <c r="P138" s="13"/>
      <c r="Q138" s="13"/>
      <c r="R138" s="13"/>
      <c r="S138" s="13"/>
      <c r="T138" s="13"/>
      <c r="U138" s="13"/>
      <c r="V138" s="13"/>
      <c r="W138" s="13"/>
      <c r="X138" s="6" t="s">
        <v>6858</v>
      </c>
      <c r="Y138" s="6" t="s">
        <v>6545</v>
      </c>
      <c r="Z138" s="13"/>
      <c r="AA138" s="13"/>
      <c r="AB138" s="13"/>
      <c r="AC138" s="6" t="s">
        <v>6859</v>
      </c>
      <c r="AD138" s="13"/>
      <c r="AE138" s="13"/>
      <c r="AF138" s="13"/>
      <c r="AG138" s="13"/>
      <c r="AH138" s="6" t="s">
        <v>6833</v>
      </c>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9" t="s">
        <v>6860</v>
      </c>
      <c r="BN138" s="13"/>
    </row>
    <row r="139">
      <c r="A139" s="13"/>
      <c r="B139" s="6" t="s">
        <v>6856</v>
      </c>
      <c r="C139" s="6">
        <v>1.0</v>
      </c>
      <c r="D139" s="6" t="s">
        <v>6861</v>
      </c>
      <c r="E139" s="13"/>
      <c r="F139" s="6" t="s">
        <v>6862</v>
      </c>
      <c r="G139" s="13"/>
      <c r="H139" s="13"/>
      <c r="I139" s="13"/>
      <c r="J139" s="13"/>
      <c r="K139" s="13"/>
      <c r="L139" s="255"/>
      <c r="M139" s="69" t="str">
        <f t="shared" si="9"/>
        <v>[http://groups.csail.mit.edu/tds/papers/Awerbuch/FOCS85.pdf basic coordinated multiple-source algorilhl'n (1985)]</v>
      </c>
      <c r="N139" s="6" t="s">
        <v>6861</v>
      </c>
      <c r="O139" s="6">
        <v>1985.0</v>
      </c>
      <c r="P139" s="18" t="s">
        <v>6863</v>
      </c>
      <c r="Q139" s="13"/>
      <c r="R139" s="13"/>
      <c r="S139" s="13"/>
      <c r="T139" s="13"/>
      <c r="U139" s="13"/>
      <c r="V139" s="13"/>
      <c r="W139" s="13"/>
      <c r="X139" s="9" t="s">
        <v>6864</v>
      </c>
      <c r="Y139" s="13"/>
      <c r="Z139" s="13"/>
      <c r="AA139" s="13"/>
      <c r="AB139" s="13"/>
      <c r="AC139" s="6" t="s">
        <v>6865</v>
      </c>
      <c r="AD139" s="13"/>
      <c r="AE139" s="13"/>
      <c r="AF139" s="13"/>
      <c r="AG139" s="13"/>
      <c r="AH139" s="6" t="s">
        <v>6866</v>
      </c>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row>
    <row r="140">
      <c r="A140" s="13"/>
      <c r="B140" s="6" t="s">
        <v>6856</v>
      </c>
      <c r="C140" s="6">
        <v>1.0</v>
      </c>
      <c r="D140" s="9" t="s">
        <v>6867</v>
      </c>
      <c r="E140" s="13"/>
      <c r="F140" s="6" t="s">
        <v>6868</v>
      </c>
      <c r="G140" s="13"/>
      <c r="H140" s="13"/>
      <c r="I140" s="13"/>
      <c r="J140" s="13"/>
      <c r="K140" s="13"/>
      <c r="L140" s="255"/>
      <c r="M140" s="69" t="str">
        <f t="shared" si="9"/>
        <v>[http://groups.csail.mit.edu/tds/papers/Awerbuch/FOCS85.pdf bootstrap algorithm (1985)]</v>
      </c>
      <c r="N140" s="9" t="s">
        <v>6867</v>
      </c>
      <c r="O140" s="6">
        <v>1985.0</v>
      </c>
      <c r="P140" s="18" t="s">
        <v>6863</v>
      </c>
      <c r="Q140" s="13"/>
      <c r="R140" s="13"/>
      <c r="S140" s="13"/>
      <c r="T140" s="13"/>
      <c r="U140" s="13"/>
      <c r="V140" s="13"/>
      <c r="W140" s="13"/>
      <c r="X140" s="9" t="s">
        <v>6869</v>
      </c>
      <c r="Y140" s="13"/>
      <c r="Z140" s="13"/>
      <c r="AA140" s="13"/>
      <c r="AB140" s="13"/>
      <c r="AC140" s="6" t="s">
        <v>6870</v>
      </c>
      <c r="AD140" s="13"/>
      <c r="AE140" s="13"/>
      <c r="AF140" s="13"/>
      <c r="AG140" s="13"/>
      <c r="AH140" s="6" t="s">
        <v>6866</v>
      </c>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row>
    <row r="141">
      <c r="A141" s="13"/>
      <c r="B141" s="6" t="s">
        <v>6856</v>
      </c>
      <c r="C141" s="6">
        <v>0.001</v>
      </c>
      <c r="D141" s="6" t="s">
        <v>6871</v>
      </c>
      <c r="E141" s="13"/>
      <c r="F141" s="13"/>
      <c r="G141" s="13"/>
      <c r="H141" s="13"/>
      <c r="I141" s="13"/>
      <c r="J141" s="13"/>
      <c r="K141" s="13"/>
      <c r="L141" s="255"/>
      <c r="M141" s="69" t="str">
        <f t="shared" si="9"/>
        <v>[  ()]</v>
      </c>
      <c r="N141" s="13"/>
      <c r="O141" s="13"/>
      <c r="P141" s="13"/>
      <c r="Q141" s="13"/>
      <c r="R141" s="13"/>
      <c r="S141" s="13"/>
      <c r="T141" s="13"/>
      <c r="U141" s="13"/>
      <c r="V141" s="13"/>
      <c r="W141" s="13"/>
      <c r="X141" s="6" t="s">
        <v>6872</v>
      </c>
      <c r="Y141" s="13"/>
      <c r="Z141" s="13"/>
      <c r="AA141" s="13"/>
      <c r="AB141" s="13"/>
      <c r="AC141" s="6" t="s">
        <v>6873</v>
      </c>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row>
    <row r="142">
      <c r="A142" s="13"/>
      <c r="B142" s="13"/>
      <c r="C142" s="13"/>
      <c r="D142" s="13"/>
      <c r="E142" s="13"/>
      <c r="F142" s="13"/>
      <c r="G142" s="13"/>
      <c r="H142" s="13"/>
      <c r="I142" s="13"/>
      <c r="J142" s="13"/>
      <c r="K142" s="13"/>
      <c r="L142" s="255"/>
      <c r="M142" s="69" t="str">
        <f t="shared" si="9"/>
        <v>[  ()]</v>
      </c>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row>
    <row r="143">
      <c r="A143" s="13"/>
      <c r="B143" s="13"/>
      <c r="C143" s="13"/>
      <c r="D143" s="13"/>
      <c r="E143" s="13"/>
      <c r="F143" s="13"/>
      <c r="G143" s="13"/>
      <c r="H143" s="13"/>
      <c r="I143" s="13"/>
      <c r="J143" s="13"/>
      <c r="K143" s="13"/>
      <c r="L143" s="255"/>
      <c r="M143" s="69" t="str">
        <f t="shared" si="9"/>
        <v>[  ()]</v>
      </c>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row>
    <row r="144">
      <c r="A144" s="13"/>
      <c r="B144" s="13"/>
      <c r="C144" s="13"/>
      <c r="D144" s="13"/>
      <c r="E144" s="13"/>
      <c r="F144" s="13"/>
      <c r="G144" s="13"/>
      <c r="H144" s="13"/>
      <c r="I144" s="13"/>
      <c r="J144" s="13"/>
      <c r="K144" s="13"/>
      <c r="L144" s="255"/>
      <c r="M144" s="69" t="str">
        <f t="shared" si="9"/>
        <v>[  ()]</v>
      </c>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row>
    <row r="145">
      <c r="A145" s="13"/>
      <c r="B145" s="13"/>
      <c r="C145" s="13"/>
      <c r="D145" s="13"/>
      <c r="E145" s="13"/>
      <c r="F145" s="13"/>
      <c r="G145" s="13"/>
      <c r="H145" s="13"/>
      <c r="I145" s="13"/>
      <c r="J145" s="13"/>
      <c r="K145" s="13"/>
      <c r="L145" s="255"/>
      <c r="M145" s="69" t="str">
        <f t="shared" si="9"/>
        <v>[  ()]</v>
      </c>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row>
    <row r="146">
      <c r="A146" s="13"/>
      <c r="B146" s="13"/>
      <c r="C146" s="13"/>
      <c r="D146" s="13"/>
      <c r="E146" s="13"/>
      <c r="F146" s="13"/>
      <c r="G146" s="13"/>
      <c r="H146" s="13"/>
      <c r="I146" s="13"/>
      <c r="J146" s="13"/>
      <c r="K146" s="13"/>
      <c r="L146" s="255"/>
      <c r="M146" s="69" t="str">
        <f t="shared" si="9"/>
        <v>[  ()]</v>
      </c>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row>
    <row r="147">
      <c r="A147" s="13"/>
      <c r="B147" s="13"/>
      <c r="C147" s="13"/>
      <c r="D147" s="13"/>
      <c r="E147" s="13"/>
      <c r="F147" s="13"/>
      <c r="G147" s="13"/>
      <c r="H147" s="13"/>
      <c r="I147" s="13"/>
      <c r="J147" s="13"/>
      <c r="K147" s="13"/>
      <c r="L147" s="255"/>
      <c r="M147" s="69" t="str">
        <f t="shared" si="9"/>
        <v>[  ()]</v>
      </c>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row>
    <row r="148">
      <c r="A148" s="13"/>
      <c r="B148" s="13"/>
      <c r="C148" s="13"/>
      <c r="D148" s="13"/>
      <c r="E148" s="13"/>
      <c r="F148" s="13"/>
      <c r="G148" s="13"/>
      <c r="H148" s="13"/>
      <c r="I148" s="13"/>
      <c r="J148" s="13"/>
      <c r="K148" s="13"/>
      <c r="L148" s="255"/>
      <c r="M148" s="69" t="str">
        <f t="shared" si="9"/>
        <v>[  ()]</v>
      </c>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row>
    <row r="149">
      <c r="A149" s="13"/>
      <c r="B149" s="13"/>
      <c r="C149" s="13"/>
      <c r="D149" s="13"/>
      <c r="E149" s="13"/>
      <c r="F149" s="13"/>
      <c r="G149" s="13"/>
      <c r="H149" s="13"/>
      <c r="I149" s="13"/>
      <c r="J149" s="13"/>
      <c r="K149" s="13"/>
      <c r="L149" s="255"/>
      <c r="M149" s="69" t="str">
        <f t="shared" si="9"/>
        <v>[  ()]</v>
      </c>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row>
    <row r="150">
      <c r="A150" s="13"/>
      <c r="B150" s="13"/>
      <c r="C150" s="13"/>
      <c r="D150" s="13"/>
      <c r="E150" s="13"/>
      <c r="F150" s="13"/>
      <c r="G150" s="13"/>
      <c r="H150" s="13"/>
      <c r="I150" s="13"/>
      <c r="J150" s="13"/>
      <c r="K150" s="13"/>
      <c r="L150" s="255"/>
      <c r="M150" s="69" t="str">
        <f t="shared" si="9"/>
        <v>[  ()]</v>
      </c>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row>
    <row r="151">
      <c r="A151" s="13"/>
      <c r="B151" s="13"/>
      <c r="C151" s="13"/>
      <c r="D151" s="13"/>
      <c r="E151" s="13"/>
      <c r="F151" s="13"/>
      <c r="G151" s="13"/>
      <c r="H151" s="13"/>
      <c r="I151" s="13"/>
      <c r="J151" s="13"/>
      <c r="K151" s="13"/>
      <c r="L151" s="255"/>
      <c r="M151" s="69" t="str">
        <f t="shared" si="9"/>
        <v>[  ()]</v>
      </c>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row>
    <row r="152">
      <c r="A152" s="13"/>
      <c r="B152" s="13"/>
      <c r="C152" s="13"/>
      <c r="D152" s="13"/>
      <c r="E152" s="13"/>
      <c r="F152" s="13"/>
      <c r="G152" s="13"/>
      <c r="H152" s="13"/>
      <c r="I152" s="13"/>
      <c r="J152" s="13"/>
      <c r="K152" s="13"/>
      <c r="L152" s="255"/>
      <c r="M152" s="69" t="str">
        <f t="shared" si="9"/>
        <v>[  ()]</v>
      </c>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row>
    <row r="153">
      <c r="A153" s="13"/>
      <c r="B153" s="13"/>
      <c r="C153" s="13"/>
      <c r="D153" s="13"/>
      <c r="E153" s="13"/>
      <c r="F153" s="13"/>
      <c r="G153" s="13"/>
      <c r="H153" s="13"/>
      <c r="I153" s="13"/>
      <c r="J153" s="13"/>
      <c r="K153" s="13"/>
      <c r="L153" s="255"/>
      <c r="M153" s="69" t="str">
        <f t="shared" si="9"/>
        <v>[  ()]</v>
      </c>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row>
    <row r="154">
      <c r="A154" s="13"/>
      <c r="B154" s="13"/>
      <c r="C154" s="13"/>
      <c r="D154" s="13"/>
      <c r="E154" s="13"/>
      <c r="F154" s="13"/>
      <c r="G154" s="13"/>
      <c r="H154" s="13"/>
      <c r="I154" s="13"/>
      <c r="J154" s="13"/>
      <c r="K154" s="13"/>
      <c r="L154" s="255"/>
      <c r="M154" s="69" t="str">
        <f t="shared" si="9"/>
        <v>[  ()]</v>
      </c>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row>
    <row r="155">
      <c r="A155" s="13"/>
      <c r="B155" s="13"/>
      <c r="C155" s="13"/>
      <c r="D155" s="13"/>
      <c r="E155" s="13"/>
      <c r="F155" s="13"/>
      <c r="G155" s="13"/>
      <c r="H155" s="13"/>
      <c r="I155" s="13"/>
      <c r="J155" s="13"/>
      <c r="K155" s="13"/>
      <c r="L155" s="255"/>
      <c r="M155" s="69" t="str">
        <f t="shared" si="9"/>
        <v>[  ()]</v>
      </c>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row>
    <row r="156">
      <c r="A156" s="13"/>
      <c r="B156" s="13"/>
      <c r="C156" s="13"/>
      <c r="D156" s="13"/>
      <c r="E156" s="13"/>
      <c r="F156" s="13"/>
      <c r="G156" s="13"/>
      <c r="H156" s="13"/>
      <c r="I156" s="13"/>
      <c r="J156" s="13"/>
      <c r="K156" s="13"/>
      <c r="L156" s="255"/>
      <c r="M156" s="69" t="str">
        <f t="shared" si="9"/>
        <v>[  ()]</v>
      </c>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row>
    <row r="157">
      <c r="A157" s="13"/>
      <c r="B157" s="13"/>
      <c r="C157" s="13"/>
      <c r="D157" s="13"/>
      <c r="E157" s="13"/>
      <c r="F157" s="13"/>
      <c r="G157" s="13"/>
      <c r="H157" s="13"/>
      <c r="I157" s="13"/>
      <c r="J157" s="13"/>
      <c r="K157" s="13"/>
      <c r="L157" s="255"/>
      <c r="M157" s="69" t="str">
        <f t="shared" si="9"/>
        <v>[  ()]</v>
      </c>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row>
    <row r="158">
      <c r="A158" s="13"/>
      <c r="B158" s="13"/>
      <c r="C158" s="13"/>
      <c r="D158" s="13"/>
      <c r="E158" s="13"/>
      <c r="F158" s="13"/>
      <c r="G158" s="13"/>
      <c r="H158" s="13"/>
      <c r="I158" s="13"/>
      <c r="J158" s="13"/>
      <c r="K158" s="13"/>
      <c r="L158" s="255"/>
      <c r="M158" s="69" t="str">
        <f t="shared" si="9"/>
        <v>[  ()]</v>
      </c>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row>
    <row r="159">
      <c r="A159" s="13"/>
      <c r="B159" s="13"/>
      <c r="C159" s="13"/>
      <c r="D159" s="13"/>
      <c r="E159" s="13"/>
      <c r="F159" s="13"/>
      <c r="G159" s="13"/>
      <c r="H159" s="13"/>
      <c r="I159" s="13"/>
      <c r="J159" s="13"/>
      <c r="K159" s="13"/>
      <c r="L159" s="255"/>
      <c r="M159" s="69" t="str">
        <f t="shared" si="9"/>
        <v>[  ()]</v>
      </c>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row>
    <row r="160">
      <c r="A160" s="13"/>
      <c r="B160" s="13"/>
      <c r="C160" s="13"/>
      <c r="D160" s="13"/>
      <c r="E160" s="13"/>
      <c r="F160" s="13"/>
      <c r="G160" s="13"/>
      <c r="H160" s="13"/>
      <c r="I160" s="13"/>
      <c r="J160" s="13"/>
      <c r="K160" s="13"/>
      <c r="L160" s="255"/>
      <c r="M160" s="69" t="str">
        <f t="shared" si="9"/>
        <v>[  ()]</v>
      </c>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row>
    <row r="161">
      <c r="A161" s="13"/>
      <c r="B161" s="13"/>
      <c r="C161" s="13"/>
      <c r="D161" s="13"/>
      <c r="E161" s="13"/>
      <c r="F161" s="13"/>
      <c r="G161" s="13"/>
      <c r="H161" s="13"/>
      <c r="I161" s="13"/>
      <c r="J161" s="13"/>
      <c r="K161" s="13"/>
      <c r="L161" s="255"/>
      <c r="M161" s="69" t="str">
        <f t="shared" si="9"/>
        <v>[  ()]</v>
      </c>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row>
    <row r="162">
      <c r="A162" s="13"/>
      <c r="B162" s="13"/>
      <c r="C162" s="13"/>
      <c r="D162" s="13"/>
      <c r="E162" s="13"/>
      <c r="F162" s="13"/>
      <c r="G162" s="13"/>
      <c r="H162" s="13"/>
      <c r="I162" s="13"/>
      <c r="J162" s="13"/>
      <c r="K162" s="13"/>
      <c r="L162" s="255"/>
      <c r="M162" s="69" t="str">
        <f t="shared" si="9"/>
        <v>[  ()]</v>
      </c>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row>
    <row r="163">
      <c r="A163" s="13"/>
      <c r="B163" s="13"/>
      <c r="C163" s="13"/>
      <c r="D163" s="13"/>
      <c r="E163" s="13"/>
      <c r="F163" s="13"/>
      <c r="G163" s="13"/>
      <c r="H163" s="13"/>
      <c r="I163" s="13"/>
      <c r="J163" s="13"/>
      <c r="K163" s="13"/>
      <c r="L163" s="255"/>
      <c r="M163" s="69" t="str">
        <f t="shared" si="9"/>
        <v>[  ()]</v>
      </c>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row>
    <row r="164">
      <c r="A164" s="13"/>
      <c r="B164" s="13"/>
      <c r="C164" s="13"/>
      <c r="D164" s="13"/>
      <c r="E164" s="13"/>
      <c r="F164" s="13"/>
      <c r="G164" s="13"/>
      <c r="H164" s="13"/>
      <c r="I164" s="13"/>
      <c r="J164" s="13"/>
      <c r="K164" s="13"/>
      <c r="L164" s="255"/>
      <c r="M164" s="69" t="str">
        <f t="shared" si="9"/>
        <v>[  ()]</v>
      </c>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row>
    <row r="165">
      <c r="A165" s="13"/>
      <c r="B165" s="13"/>
      <c r="C165" s="13"/>
      <c r="D165" s="13"/>
      <c r="E165" s="13"/>
      <c r="F165" s="13"/>
      <c r="G165" s="13"/>
      <c r="H165" s="13"/>
      <c r="I165" s="13"/>
      <c r="J165" s="13"/>
      <c r="K165" s="13"/>
      <c r="L165" s="255"/>
      <c r="M165" s="69" t="str">
        <f t="shared" si="9"/>
        <v>[  ()]</v>
      </c>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row>
    <row r="166">
      <c r="A166" s="13"/>
      <c r="B166" s="13"/>
      <c r="C166" s="13"/>
      <c r="D166" s="13"/>
      <c r="E166" s="13"/>
      <c r="F166" s="13"/>
      <c r="G166" s="13"/>
      <c r="H166" s="13"/>
      <c r="I166" s="13"/>
      <c r="J166" s="13"/>
      <c r="K166" s="13"/>
      <c r="L166" s="255"/>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row>
    <row r="167">
      <c r="A167" s="13"/>
      <c r="B167" s="13"/>
      <c r="C167" s="13"/>
      <c r="D167" s="13"/>
      <c r="E167" s="13"/>
      <c r="F167" s="13"/>
      <c r="G167" s="13"/>
      <c r="H167" s="13"/>
      <c r="I167" s="13"/>
      <c r="J167" s="13"/>
      <c r="K167" s="13"/>
      <c r="L167" s="255"/>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row>
    <row r="168">
      <c r="A168" s="13"/>
      <c r="B168" s="13"/>
      <c r="C168" s="13"/>
      <c r="D168" s="13"/>
      <c r="E168" s="13"/>
      <c r="F168" s="13"/>
      <c r="G168" s="13"/>
      <c r="H168" s="13"/>
      <c r="I168" s="13"/>
      <c r="J168" s="13"/>
      <c r="K168" s="13"/>
      <c r="L168" s="255"/>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row>
    <row r="169">
      <c r="A169" s="13"/>
      <c r="B169" s="13"/>
      <c r="C169" s="13"/>
      <c r="D169" s="13"/>
      <c r="E169" s="13"/>
      <c r="F169" s="13"/>
      <c r="G169" s="13"/>
      <c r="H169" s="13"/>
      <c r="I169" s="13"/>
      <c r="J169" s="13"/>
      <c r="K169" s="13"/>
      <c r="L169" s="255"/>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row>
    <row r="170">
      <c r="A170" s="13"/>
      <c r="B170" s="13"/>
      <c r="C170" s="13"/>
      <c r="D170" s="13"/>
      <c r="E170" s="13"/>
      <c r="F170" s="13"/>
      <c r="G170" s="13"/>
      <c r="H170" s="13"/>
      <c r="I170" s="13"/>
      <c r="J170" s="13"/>
      <c r="K170" s="13"/>
      <c r="L170" s="255"/>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row>
    <row r="171">
      <c r="A171" s="13"/>
      <c r="B171" s="13"/>
      <c r="C171" s="13"/>
      <c r="D171" s="13"/>
      <c r="E171" s="13"/>
      <c r="F171" s="13"/>
      <c r="G171" s="13"/>
      <c r="H171" s="13"/>
      <c r="I171" s="13"/>
      <c r="J171" s="13"/>
      <c r="K171" s="13"/>
      <c r="L171" s="255"/>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row>
    <row r="172">
      <c r="A172" s="13"/>
      <c r="B172" s="13"/>
      <c r="C172" s="13"/>
      <c r="D172" s="13"/>
      <c r="E172" s="13"/>
      <c r="F172" s="13"/>
      <c r="G172" s="13"/>
      <c r="H172" s="13"/>
      <c r="I172" s="13"/>
      <c r="J172" s="13"/>
      <c r="K172" s="13"/>
      <c r="L172" s="255"/>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row>
    <row r="173">
      <c r="A173" s="13"/>
      <c r="B173" s="13"/>
      <c r="C173" s="13"/>
      <c r="D173" s="13"/>
      <c r="E173" s="13"/>
      <c r="F173" s="13"/>
      <c r="G173" s="13"/>
      <c r="H173" s="13"/>
      <c r="I173" s="13"/>
      <c r="J173" s="13"/>
      <c r="K173" s="13"/>
      <c r="L173" s="255"/>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row>
    <row r="174">
      <c r="A174" s="13"/>
      <c r="B174" s="13"/>
      <c r="C174" s="13"/>
      <c r="D174" s="13"/>
      <c r="E174" s="13"/>
      <c r="F174" s="13"/>
      <c r="G174" s="13"/>
      <c r="H174" s="13"/>
      <c r="I174" s="13"/>
      <c r="J174" s="13"/>
      <c r="K174" s="13"/>
      <c r="L174" s="255"/>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row>
    <row r="175">
      <c r="A175" s="13"/>
      <c r="B175" s="13"/>
      <c r="C175" s="13"/>
      <c r="D175" s="13"/>
      <c r="E175" s="13"/>
      <c r="F175" s="13"/>
      <c r="G175" s="13"/>
      <c r="H175" s="13"/>
      <c r="I175" s="13"/>
      <c r="J175" s="13"/>
      <c r="K175" s="13"/>
      <c r="L175" s="255"/>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row>
    <row r="176">
      <c r="A176" s="13"/>
      <c r="B176" s="13"/>
      <c r="C176" s="13"/>
      <c r="D176" s="13"/>
      <c r="E176" s="13"/>
      <c r="F176" s="13"/>
      <c r="G176" s="13"/>
      <c r="H176" s="13"/>
      <c r="I176" s="13"/>
      <c r="J176" s="13"/>
      <c r="K176" s="13"/>
      <c r="L176" s="255"/>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row>
    <row r="177">
      <c r="A177" s="13"/>
      <c r="B177" s="13"/>
      <c r="C177" s="13"/>
      <c r="D177" s="13"/>
      <c r="E177" s="13"/>
      <c r="F177" s="13"/>
      <c r="G177" s="13"/>
      <c r="H177" s="13"/>
      <c r="I177" s="13"/>
      <c r="J177" s="13"/>
      <c r="K177" s="13"/>
      <c r="L177" s="255"/>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row>
    <row r="178">
      <c r="A178" s="13"/>
      <c r="B178" s="13"/>
      <c r="C178" s="13"/>
      <c r="D178" s="13"/>
      <c r="E178" s="13"/>
      <c r="F178" s="13"/>
      <c r="G178" s="13"/>
      <c r="H178" s="13"/>
      <c r="I178" s="13"/>
      <c r="J178" s="13"/>
      <c r="K178" s="13"/>
      <c r="L178" s="255"/>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row>
    <row r="179">
      <c r="A179" s="13"/>
      <c r="B179" s="13"/>
      <c r="C179" s="13"/>
      <c r="D179" s="13"/>
      <c r="E179" s="13"/>
      <c r="F179" s="13"/>
      <c r="G179" s="13"/>
      <c r="H179" s="13"/>
      <c r="I179" s="13"/>
      <c r="J179" s="13"/>
      <c r="K179" s="13"/>
      <c r="L179" s="255"/>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row>
    <row r="180">
      <c r="A180" s="13"/>
      <c r="B180" s="13"/>
      <c r="C180" s="13"/>
      <c r="D180" s="13"/>
      <c r="E180" s="13"/>
      <c r="F180" s="13"/>
      <c r="G180" s="13"/>
      <c r="H180" s="13"/>
      <c r="I180" s="13"/>
      <c r="J180" s="13"/>
      <c r="K180" s="13"/>
      <c r="L180" s="255"/>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row>
    <row r="181">
      <c r="A181" s="13"/>
      <c r="B181" s="13"/>
      <c r="C181" s="13"/>
      <c r="D181" s="13"/>
      <c r="E181" s="13"/>
      <c r="F181" s="13"/>
      <c r="G181" s="13"/>
      <c r="H181" s="13"/>
      <c r="I181" s="13"/>
      <c r="J181" s="13"/>
      <c r="K181" s="13"/>
      <c r="L181" s="255"/>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row>
    <row r="182">
      <c r="A182" s="13"/>
      <c r="B182" s="13"/>
      <c r="C182" s="13"/>
      <c r="D182" s="13"/>
      <c r="E182" s="13"/>
      <c r="F182" s="13"/>
      <c r="G182" s="13"/>
      <c r="H182" s="13"/>
      <c r="I182" s="13"/>
      <c r="J182" s="13"/>
      <c r="K182" s="13"/>
      <c r="L182" s="255"/>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row>
    <row r="183">
      <c r="A183" s="13"/>
      <c r="B183" s="13"/>
      <c r="C183" s="13"/>
      <c r="D183" s="13"/>
      <c r="E183" s="13"/>
      <c r="F183" s="13"/>
      <c r="G183" s="13"/>
      <c r="H183" s="13"/>
      <c r="I183" s="13"/>
      <c r="J183" s="13"/>
      <c r="K183" s="13"/>
      <c r="L183" s="255"/>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row>
    <row r="184">
      <c r="A184" s="13"/>
      <c r="B184" s="13"/>
      <c r="C184" s="13"/>
      <c r="D184" s="13"/>
      <c r="E184" s="13"/>
      <c r="F184" s="13"/>
      <c r="G184" s="13"/>
      <c r="H184" s="13"/>
      <c r="I184" s="13"/>
      <c r="J184" s="13"/>
      <c r="K184" s="13"/>
      <c r="L184" s="255"/>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row>
    <row r="185">
      <c r="A185" s="13"/>
      <c r="B185" s="13"/>
      <c r="C185" s="13"/>
      <c r="D185" s="13"/>
      <c r="E185" s="13"/>
      <c r="F185" s="13"/>
      <c r="G185" s="13"/>
      <c r="H185" s="13"/>
      <c r="I185" s="13"/>
      <c r="J185" s="13"/>
      <c r="K185" s="13"/>
      <c r="L185" s="255"/>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row>
    <row r="186">
      <c r="A186" s="13"/>
      <c r="B186" s="13"/>
      <c r="C186" s="13"/>
      <c r="D186" s="13"/>
      <c r="E186" s="13"/>
      <c r="F186" s="13"/>
      <c r="G186" s="13"/>
      <c r="H186" s="13"/>
      <c r="I186" s="13"/>
      <c r="J186" s="13"/>
      <c r="K186" s="13"/>
      <c r="L186" s="255"/>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row>
    <row r="187">
      <c r="A187" s="13"/>
      <c r="B187" s="13"/>
      <c r="C187" s="13"/>
      <c r="D187" s="13"/>
      <c r="E187" s="13"/>
      <c r="F187" s="13"/>
      <c r="G187" s="13"/>
      <c r="H187" s="13"/>
      <c r="I187" s="13"/>
      <c r="J187" s="13"/>
      <c r="K187" s="13"/>
      <c r="L187" s="255"/>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row>
    <row r="188">
      <c r="A188" s="13"/>
      <c r="B188" s="13"/>
      <c r="C188" s="13"/>
      <c r="D188" s="13"/>
      <c r="E188" s="13"/>
      <c r="F188" s="13"/>
      <c r="G188" s="13"/>
      <c r="H188" s="13"/>
      <c r="I188" s="13"/>
      <c r="J188" s="13"/>
      <c r="K188" s="13"/>
      <c r="L188" s="255"/>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row>
    <row r="189">
      <c r="A189" s="13"/>
      <c r="B189" s="13"/>
      <c r="C189" s="13"/>
      <c r="D189" s="13"/>
      <c r="E189" s="13"/>
      <c r="F189" s="13"/>
      <c r="G189" s="13"/>
      <c r="H189" s="13"/>
      <c r="I189" s="13"/>
      <c r="J189" s="13"/>
      <c r="K189" s="13"/>
      <c r="L189" s="255"/>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row>
    <row r="190">
      <c r="A190" s="13"/>
      <c r="B190" s="13"/>
      <c r="C190" s="13"/>
      <c r="D190" s="13"/>
      <c r="E190" s="13"/>
      <c r="F190" s="13"/>
      <c r="G190" s="13"/>
      <c r="H190" s="13"/>
      <c r="I190" s="13"/>
      <c r="J190" s="13"/>
      <c r="K190" s="13"/>
      <c r="L190" s="255"/>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row>
    <row r="191">
      <c r="A191" s="13"/>
      <c r="B191" s="13"/>
      <c r="C191" s="13"/>
      <c r="D191" s="13"/>
      <c r="E191" s="13"/>
      <c r="F191" s="13"/>
      <c r="G191" s="13"/>
      <c r="H191" s="13"/>
      <c r="I191" s="13"/>
      <c r="J191" s="13"/>
      <c r="K191" s="13"/>
      <c r="L191" s="255"/>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row>
    <row r="192">
      <c r="A192" s="13"/>
      <c r="B192" s="13"/>
      <c r="C192" s="13"/>
      <c r="D192" s="13"/>
      <c r="E192" s="13"/>
      <c r="F192" s="13"/>
      <c r="G192" s="13"/>
      <c r="H192" s="13"/>
      <c r="I192" s="13"/>
      <c r="J192" s="13"/>
      <c r="K192" s="13"/>
      <c r="L192" s="255"/>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row>
    <row r="193">
      <c r="A193" s="13"/>
      <c r="B193" s="13"/>
      <c r="C193" s="13"/>
      <c r="D193" s="13"/>
      <c r="E193" s="13"/>
      <c r="F193" s="13"/>
      <c r="G193" s="13"/>
      <c r="H193" s="13"/>
      <c r="I193" s="13"/>
      <c r="J193" s="13"/>
      <c r="K193" s="13"/>
      <c r="L193" s="255"/>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row>
    <row r="194">
      <c r="A194" s="13"/>
      <c r="B194" s="13"/>
      <c r="C194" s="13"/>
      <c r="D194" s="13"/>
      <c r="E194" s="13"/>
      <c r="F194" s="13"/>
      <c r="G194" s="13"/>
      <c r="H194" s="13"/>
      <c r="I194" s="13"/>
      <c r="J194" s="13"/>
      <c r="K194" s="13"/>
      <c r="L194" s="255"/>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row>
    <row r="195">
      <c r="A195" s="13"/>
      <c r="B195" s="13"/>
      <c r="C195" s="13"/>
      <c r="D195" s="13"/>
      <c r="E195" s="13"/>
      <c r="F195" s="13"/>
      <c r="G195" s="13"/>
      <c r="H195" s="13"/>
      <c r="I195" s="13"/>
      <c r="J195" s="13"/>
      <c r="K195" s="13"/>
      <c r="L195" s="255"/>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row>
    <row r="196">
      <c r="A196" s="13"/>
      <c r="B196" s="13"/>
      <c r="C196" s="13"/>
      <c r="D196" s="13"/>
      <c r="E196" s="13"/>
      <c r="F196" s="13"/>
      <c r="G196" s="13"/>
      <c r="H196" s="13"/>
      <c r="I196" s="13"/>
      <c r="J196" s="13"/>
      <c r="K196" s="13"/>
      <c r="L196" s="255"/>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row>
    <row r="197">
      <c r="A197" s="13"/>
      <c r="B197" s="13"/>
      <c r="C197" s="13"/>
      <c r="D197" s="13"/>
      <c r="E197" s="13"/>
      <c r="F197" s="13"/>
      <c r="G197" s="13"/>
      <c r="H197" s="13"/>
      <c r="I197" s="13"/>
      <c r="J197" s="13"/>
      <c r="K197" s="13"/>
      <c r="L197" s="255"/>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row>
    <row r="198">
      <c r="A198" s="13"/>
      <c r="B198" s="13"/>
      <c r="C198" s="13"/>
      <c r="D198" s="13"/>
      <c r="E198" s="13"/>
      <c r="F198" s="13"/>
      <c r="G198" s="13"/>
      <c r="H198" s="13"/>
      <c r="I198" s="13"/>
      <c r="J198" s="13"/>
      <c r="K198" s="13"/>
      <c r="L198" s="255"/>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row>
    <row r="199">
      <c r="A199" s="13"/>
      <c r="B199" s="13"/>
      <c r="C199" s="13"/>
      <c r="D199" s="13"/>
      <c r="E199" s="13"/>
      <c r="F199" s="13"/>
      <c r="G199" s="13"/>
      <c r="H199" s="13"/>
      <c r="I199" s="13"/>
      <c r="J199" s="13"/>
      <c r="K199" s="13"/>
      <c r="L199" s="255"/>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row>
    <row r="200">
      <c r="F200" s="13"/>
      <c r="L200" s="255"/>
      <c r="P200" s="13"/>
      <c r="Q200" s="13"/>
      <c r="AE200" s="13"/>
    </row>
    <row r="201">
      <c r="F201" s="13"/>
      <c r="L201" s="255"/>
      <c r="P201" s="13"/>
      <c r="Q201" s="13"/>
      <c r="AE201" s="13"/>
    </row>
    <row r="202">
      <c r="F202" s="13"/>
      <c r="L202" s="255"/>
      <c r="P202" s="13"/>
      <c r="Q202" s="13"/>
      <c r="AE202" s="13"/>
    </row>
    <row r="203">
      <c r="F203" s="13"/>
      <c r="L203" s="255"/>
      <c r="P203" s="13"/>
      <c r="Q203" s="13"/>
      <c r="AE203" s="13"/>
    </row>
    <row r="204">
      <c r="F204" s="13"/>
      <c r="L204" s="255"/>
      <c r="P204" s="13"/>
      <c r="Q204" s="13"/>
      <c r="AE204" s="13"/>
    </row>
    <row r="205">
      <c r="F205" s="13"/>
      <c r="L205" s="255"/>
      <c r="P205" s="13"/>
      <c r="Q205" s="13"/>
      <c r="AE205" s="13"/>
    </row>
    <row r="206">
      <c r="F206" s="13"/>
      <c r="L206" s="255"/>
      <c r="P206" s="13"/>
      <c r="Q206" s="13"/>
      <c r="AE206" s="13"/>
    </row>
    <row r="207">
      <c r="F207" s="13"/>
      <c r="L207" s="255"/>
      <c r="P207" s="13"/>
      <c r="Q207" s="13"/>
      <c r="AE207" s="13"/>
    </row>
    <row r="208">
      <c r="F208" s="13"/>
      <c r="L208" s="255"/>
      <c r="P208" s="13"/>
      <c r="Q208" s="13"/>
      <c r="AE208" s="13"/>
    </row>
    <row r="209">
      <c r="F209" s="13"/>
      <c r="L209" s="255"/>
      <c r="P209" s="13"/>
      <c r="Q209" s="13"/>
      <c r="AE209" s="13"/>
    </row>
    <row r="210">
      <c r="F210" s="13"/>
      <c r="L210" s="255"/>
      <c r="P210" s="13"/>
      <c r="Q210" s="13"/>
      <c r="AE210" s="13"/>
    </row>
    <row r="211">
      <c r="F211" s="13"/>
      <c r="L211" s="255"/>
      <c r="P211" s="13"/>
      <c r="Q211" s="13"/>
      <c r="AE211" s="13"/>
    </row>
    <row r="212">
      <c r="F212" s="13"/>
      <c r="L212" s="255"/>
      <c r="P212" s="13"/>
      <c r="Q212" s="13"/>
      <c r="AE212" s="13"/>
    </row>
    <row r="213">
      <c r="F213" s="13"/>
      <c r="L213" s="255"/>
      <c r="P213" s="13"/>
      <c r="Q213" s="13"/>
      <c r="AE213" s="13"/>
    </row>
    <row r="214">
      <c r="F214" s="13"/>
      <c r="L214" s="255"/>
      <c r="P214" s="13"/>
      <c r="Q214" s="13"/>
      <c r="AE214" s="13"/>
    </row>
    <row r="215">
      <c r="F215" s="13"/>
      <c r="L215" s="255"/>
      <c r="P215" s="13"/>
      <c r="Q215" s="13"/>
      <c r="AE215" s="13"/>
    </row>
    <row r="216">
      <c r="F216" s="13"/>
      <c r="L216" s="255"/>
      <c r="P216" s="13"/>
      <c r="Q216" s="13"/>
      <c r="AE216" s="13"/>
    </row>
    <row r="217">
      <c r="F217" s="13"/>
      <c r="L217" s="255"/>
      <c r="P217" s="13"/>
      <c r="Q217" s="13"/>
      <c r="AE217" s="13"/>
    </row>
    <row r="218">
      <c r="F218" s="13"/>
      <c r="L218" s="255"/>
      <c r="P218" s="13"/>
      <c r="Q218" s="13"/>
      <c r="AE218" s="13"/>
    </row>
    <row r="219">
      <c r="F219" s="13"/>
      <c r="L219" s="255"/>
      <c r="P219" s="13"/>
      <c r="Q219" s="13"/>
      <c r="AE219" s="13"/>
    </row>
    <row r="220">
      <c r="F220" s="13"/>
      <c r="L220" s="255"/>
      <c r="P220" s="13"/>
      <c r="Q220" s="13"/>
      <c r="AE220" s="13"/>
    </row>
    <row r="221">
      <c r="F221" s="13"/>
      <c r="L221" s="255"/>
      <c r="P221" s="13"/>
      <c r="Q221" s="13"/>
      <c r="AE221" s="13"/>
    </row>
    <row r="222">
      <c r="F222" s="13"/>
      <c r="L222" s="255"/>
      <c r="P222" s="13"/>
      <c r="Q222" s="13"/>
      <c r="AE222" s="13"/>
    </row>
    <row r="223">
      <c r="F223" s="13"/>
      <c r="L223" s="255"/>
      <c r="P223" s="13"/>
      <c r="Q223" s="13"/>
      <c r="AE223" s="13"/>
    </row>
    <row r="224">
      <c r="F224" s="13"/>
      <c r="L224" s="255"/>
      <c r="P224" s="13"/>
      <c r="Q224" s="13"/>
      <c r="AE224" s="13"/>
    </row>
    <row r="225">
      <c r="F225" s="13"/>
      <c r="L225" s="255"/>
      <c r="P225" s="13"/>
      <c r="Q225" s="13"/>
      <c r="AE225" s="13"/>
    </row>
    <row r="226">
      <c r="F226" s="13"/>
      <c r="L226" s="255"/>
      <c r="P226" s="13"/>
      <c r="Q226" s="13"/>
      <c r="AE226" s="13"/>
    </row>
    <row r="227">
      <c r="F227" s="13"/>
      <c r="L227" s="255"/>
      <c r="P227" s="13"/>
      <c r="Q227" s="13"/>
      <c r="AE227" s="13"/>
    </row>
    <row r="228">
      <c r="F228" s="13"/>
      <c r="L228" s="255"/>
      <c r="P228" s="13"/>
      <c r="Q228" s="13"/>
      <c r="AE228" s="13"/>
    </row>
    <row r="229">
      <c r="F229" s="13"/>
      <c r="L229" s="255"/>
      <c r="P229" s="13"/>
      <c r="Q229" s="13"/>
      <c r="AE229" s="13"/>
    </row>
    <row r="230">
      <c r="F230" s="13"/>
      <c r="L230" s="255"/>
      <c r="P230" s="13"/>
      <c r="Q230" s="13"/>
      <c r="AE230" s="13"/>
    </row>
    <row r="231">
      <c r="F231" s="13"/>
      <c r="L231" s="255"/>
      <c r="P231" s="13"/>
      <c r="Q231" s="13"/>
      <c r="AE231" s="13"/>
    </row>
    <row r="232">
      <c r="F232" s="13"/>
      <c r="L232" s="255"/>
      <c r="P232" s="13"/>
      <c r="Q232" s="13"/>
      <c r="AE232" s="13"/>
    </row>
    <row r="233">
      <c r="F233" s="13"/>
      <c r="L233" s="255"/>
      <c r="P233" s="13"/>
      <c r="Q233" s="13"/>
      <c r="AE233" s="13"/>
    </row>
    <row r="234">
      <c r="F234" s="13"/>
      <c r="L234" s="255"/>
      <c r="P234" s="13"/>
      <c r="Q234" s="13"/>
      <c r="AE234" s="13"/>
    </row>
    <row r="235">
      <c r="F235" s="13"/>
      <c r="L235" s="255"/>
      <c r="P235" s="13"/>
      <c r="Q235" s="13"/>
      <c r="AE235" s="13"/>
    </row>
    <row r="236">
      <c r="F236" s="13"/>
      <c r="L236" s="255"/>
      <c r="P236" s="13"/>
      <c r="Q236" s="13"/>
      <c r="AE236" s="13"/>
    </row>
    <row r="237">
      <c r="F237" s="13"/>
      <c r="L237" s="255"/>
      <c r="P237" s="13"/>
      <c r="Q237" s="13"/>
      <c r="AE237" s="13"/>
    </row>
    <row r="238">
      <c r="F238" s="13"/>
      <c r="L238" s="255"/>
      <c r="P238" s="13"/>
      <c r="Q238" s="13"/>
      <c r="AE238" s="13"/>
    </row>
    <row r="239">
      <c r="F239" s="13"/>
      <c r="L239" s="255"/>
      <c r="P239" s="13"/>
      <c r="Q239" s="13"/>
      <c r="AE239" s="13"/>
    </row>
    <row r="240">
      <c r="F240" s="13"/>
      <c r="L240" s="255"/>
      <c r="P240" s="13"/>
      <c r="Q240" s="13"/>
      <c r="AE240" s="13"/>
    </row>
    <row r="241">
      <c r="F241" s="13"/>
      <c r="L241" s="255"/>
      <c r="P241" s="13"/>
      <c r="Q241" s="13"/>
      <c r="AE241" s="13"/>
    </row>
    <row r="242">
      <c r="F242" s="13"/>
      <c r="L242" s="255"/>
      <c r="P242" s="13"/>
      <c r="Q242" s="13"/>
      <c r="AE242" s="13"/>
    </row>
    <row r="243">
      <c r="F243" s="13"/>
      <c r="L243" s="255"/>
      <c r="P243" s="13"/>
      <c r="Q243" s="13"/>
      <c r="AE243" s="13"/>
    </row>
    <row r="244">
      <c r="F244" s="13"/>
      <c r="L244" s="255"/>
      <c r="P244" s="13"/>
      <c r="Q244" s="13"/>
      <c r="AE244" s="13"/>
    </row>
    <row r="245">
      <c r="F245" s="13"/>
      <c r="L245" s="255"/>
      <c r="P245" s="13"/>
      <c r="Q245" s="13"/>
      <c r="AE245" s="13"/>
    </row>
    <row r="246">
      <c r="F246" s="13"/>
      <c r="L246" s="255"/>
      <c r="P246" s="13"/>
      <c r="Q246" s="13"/>
      <c r="AE246" s="13"/>
    </row>
    <row r="247">
      <c r="F247" s="13"/>
      <c r="L247" s="255"/>
      <c r="P247" s="13"/>
      <c r="Q247" s="13"/>
      <c r="AE247" s="13"/>
    </row>
    <row r="248">
      <c r="F248" s="13"/>
      <c r="L248" s="255"/>
      <c r="P248" s="13"/>
      <c r="Q248" s="13"/>
      <c r="AE248" s="13"/>
    </row>
    <row r="249">
      <c r="F249" s="13"/>
      <c r="L249" s="255"/>
      <c r="P249" s="13"/>
      <c r="Q249" s="13"/>
      <c r="AE249" s="13"/>
    </row>
    <row r="250">
      <c r="F250" s="13"/>
      <c r="L250" s="255"/>
      <c r="P250" s="13"/>
      <c r="Q250" s="13"/>
      <c r="AE250" s="13"/>
    </row>
    <row r="251">
      <c r="F251" s="13"/>
      <c r="L251" s="255"/>
      <c r="P251" s="13"/>
      <c r="Q251" s="13"/>
      <c r="AE251" s="13"/>
    </row>
    <row r="252">
      <c r="F252" s="13"/>
      <c r="L252" s="255"/>
      <c r="P252" s="13"/>
      <c r="Q252" s="13"/>
      <c r="AE252" s="13"/>
    </row>
    <row r="253">
      <c r="F253" s="13"/>
      <c r="L253" s="255"/>
      <c r="P253" s="13"/>
      <c r="Q253" s="13"/>
      <c r="AE253" s="13"/>
    </row>
    <row r="254">
      <c r="F254" s="13"/>
      <c r="L254" s="255"/>
      <c r="P254" s="13"/>
      <c r="Q254" s="13"/>
      <c r="AE254" s="13"/>
    </row>
    <row r="255">
      <c r="F255" s="13"/>
      <c r="L255" s="255"/>
      <c r="P255" s="13"/>
      <c r="Q255" s="13"/>
      <c r="AE255" s="13"/>
    </row>
    <row r="256">
      <c r="F256" s="13"/>
      <c r="L256" s="255"/>
      <c r="P256" s="13"/>
      <c r="Q256" s="13"/>
      <c r="AE256" s="13"/>
    </row>
    <row r="257">
      <c r="F257" s="13"/>
      <c r="L257" s="255"/>
      <c r="P257" s="13"/>
      <c r="Q257" s="13"/>
      <c r="AE257" s="13"/>
    </row>
    <row r="258">
      <c r="F258" s="13"/>
      <c r="L258" s="255"/>
      <c r="P258" s="13"/>
      <c r="Q258" s="13"/>
      <c r="AE258" s="13"/>
    </row>
    <row r="259">
      <c r="F259" s="13"/>
      <c r="L259" s="255"/>
      <c r="P259" s="13"/>
      <c r="Q259" s="13"/>
      <c r="AE259" s="13"/>
    </row>
    <row r="260">
      <c r="F260" s="13"/>
      <c r="L260" s="255"/>
      <c r="P260" s="13"/>
      <c r="Q260" s="13"/>
      <c r="AE260" s="13"/>
    </row>
    <row r="261">
      <c r="F261" s="13"/>
      <c r="L261" s="255"/>
      <c r="P261" s="13"/>
      <c r="Q261" s="13"/>
      <c r="AE261" s="13"/>
    </row>
    <row r="262">
      <c r="F262" s="13"/>
      <c r="L262" s="255"/>
      <c r="P262" s="13"/>
      <c r="Q262" s="13"/>
      <c r="AE262" s="13"/>
    </row>
    <row r="263">
      <c r="F263" s="13"/>
      <c r="L263" s="255"/>
      <c r="P263" s="13"/>
      <c r="Q263" s="13"/>
      <c r="AE263" s="13"/>
    </row>
    <row r="264">
      <c r="F264" s="13"/>
      <c r="L264" s="255"/>
      <c r="P264" s="13"/>
      <c r="Q264" s="13"/>
      <c r="AE264" s="13"/>
    </row>
    <row r="265">
      <c r="F265" s="13"/>
      <c r="L265" s="255"/>
      <c r="P265" s="13"/>
      <c r="Q265" s="13"/>
      <c r="AE265" s="13"/>
    </row>
    <row r="266">
      <c r="F266" s="13"/>
      <c r="L266" s="255"/>
      <c r="P266" s="13"/>
      <c r="Q266" s="13"/>
      <c r="AE266" s="13"/>
    </row>
    <row r="267">
      <c r="F267" s="13"/>
      <c r="L267" s="255"/>
      <c r="P267" s="13"/>
      <c r="Q267" s="13"/>
      <c r="AE267" s="13"/>
    </row>
    <row r="268">
      <c r="F268" s="13"/>
      <c r="L268" s="255"/>
      <c r="P268" s="13"/>
      <c r="Q268" s="13"/>
      <c r="AE268" s="13"/>
    </row>
    <row r="269">
      <c r="F269" s="13"/>
      <c r="L269" s="255"/>
      <c r="P269" s="13"/>
      <c r="Q269" s="13"/>
      <c r="AE269" s="13"/>
    </row>
    <row r="270">
      <c r="F270" s="13"/>
      <c r="L270" s="255"/>
      <c r="P270" s="13"/>
      <c r="Q270" s="13"/>
      <c r="AE270" s="13"/>
    </row>
    <row r="271">
      <c r="F271" s="13"/>
      <c r="L271" s="255"/>
      <c r="P271" s="13"/>
      <c r="Q271" s="13"/>
      <c r="AE271" s="13"/>
    </row>
    <row r="272">
      <c r="F272" s="13"/>
      <c r="L272" s="255"/>
      <c r="P272" s="13"/>
      <c r="Q272" s="13"/>
      <c r="AE272" s="13"/>
    </row>
    <row r="273">
      <c r="F273" s="13"/>
      <c r="L273" s="255"/>
      <c r="P273" s="13"/>
      <c r="Q273" s="13"/>
      <c r="AE273" s="13"/>
    </row>
    <row r="274">
      <c r="F274" s="13"/>
      <c r="L274" s="255"/>
      <c r="P274" s="13"/>
      <c r="Q274" s="13"/>
      <c r="AE274" s="13"/>
    </row>
    <row r="275">
      <c r="F275" s="13"/>
      <c r="L275" s="255"/>
      <c r="P275" s="13"/>
      <c r="Q275" s="13"/>
      <c r="AE275" s="13"/>
    </row>
    <row r="276">
      <c r="F276" s="13"/>
      <c r="L276" s="255"/>
      <c r="P276" s="13"/>
      <c r="Q276" s="13"/>
      <c r="AE276" s="13"/>
    </row>
    <row r="277">
      <c r="F277" s="13"/>
      <c r="L277" s="255"/>
      <c r="P277" s="13"/>
      <c r="Q277" s="13"/>
      <c r="AE277" s="13"/>
    </row>
    <row r="278">
      <c r="F278" s="13"/>
      <c r="L278" s="255"/>
      <c r="P278" s="13"/>
      <c r="Q278" s="13"/>
      <c r="AE278" s="13"/>
    </row>
    <row r="279">
      <c r="F279" s="13"/>
      <c r="L279" s="255"/>
      <c r="P279" s="13"/>
      <c r="Q279" s="13"/>
      <c r="AE279" s="13"/>
    </row>
    <row r="280">
      <c r="F280" s="13"/>
      <c r="L280" s="255"/>
      <c r="P280" s="13"/>
      <c r="Q280" s="13"/>
      <c r="AE280" s="13"/>
    </row>
    <row r="281">
      <c r="F281" s="13"/>
      <c r="L281" s="255"/>
      <c r="P281" s="13"/>
      <c r="Q281" s="13"/>
      <c r="AE281" s="13"/>
    </row>
    <row r="282">
      <c r="F282" s="13"/>
      <c r="L282" s="255"/>
      <c r="P282" s="13"/>
      <c r="Q282" s="13"/>
      <c r="AE282" s="13"/>
    </row>
    <row r="283">
      <c r="F283" s="13"/>
      <c r="L283" s="255"/>
      <c r="P283" s="13"/>
      <c r="Q283" s="13"/>
      <c r="AE283" s="13"/>
    </row>
    <row r="284">
      <c r="F284" s="13"/>
      <c r="L284" s="255"/>
      <c r="P284" s="13"/>
      <c r="Q284" s="13"/>
      <c r="AE284" s="13"/>
    </row>
    <row r="285">
      <c r="F285" s="13"/>
      <c r="L285" s="255"/>
      <c r="P285" s="13"/>
      <c r="Q285" s="13"/>
      <c r="AE285" s="13"/>
    </row>
    <row r="286">
      <c r="F286" s="13"/>
      <c r="L286" s="255"/>
      <c r="P286" s="13"/>
      <c r="Q286" s="13"/>
      <c r="AE286" s="13"/>
    </row>
    <row r="287">
      <c r="F287" s="13"/>
      <c r="L287" s="255"/>
      <c r="P287" s="13"/>
      <c r="Q287" s="13"/>
      <c r="AE287" s="13"/>
    </row>
    <row r="288">
      <c r="F288" s="13"/>
      <c r="L288" s="255"/>
      <c r="P288" s="13"/>
      <c r="Q288" s="13"/>
      <c r="AE288" s="13"/>
    </row>
    <row r="289">
      <c r="F289" s="13"/>
      <c r="L289" s="255"/>
      <c r="P289" s="13"/>
      <c r="Q289" s="13"/>
      <c r="AE289" s="13"/>
    </row>
    <row r="290">
      <c r="F290" s="13"/>
      <c r="L290" s="255"/>
      <c r="P290" s="13"/>
      <c r="Q290" s="13"/>
      <c r="AE290" s="13"/>
    </row>
    <row r="291">
      <c r="F291" s="13"/>
      <c r="L291" s="255"/>
      <c r="P291" s="13"/>
      <c r="Q291" s="13"/>
      <c r="AE291" s="13"/>
    </row>
    <row r="292">
      <c r="F292" s="13"/>
      <c r="L292" s="255"/>
      <c r="P292" s="13"/>
      <c r="Q292" s="13"/>
      <c r="AE292" s="13"/>
    </row>
    <row r="293">
      <c r="F293" s="13"/>
      <c r="L293" s="255"/>
      <c r="P293" s="13"/>
      <c r="Q293" s="13"/>
      <c r="AE293" s="13"/>
    </row>
    <row r="294">
      <c r="F294" s="13"/>
      <c r="L294" s="255"/>
      <c r="P294" s="13"/>
      <c r="Q294" s="13"/>
      <c r="AE294" s="13"/>
    </row>
    <row r="295">
      <c r="F295" s="13"/>
      <c r="L295" s="255"/>
      <c r="P295" s="13"/>
      <c r="Q295" s="13"/>
      <c r="AE295" s="13"/>
    </row>
    <row r="296">
      <c r="F296" s="13"/>
      <c r="L296" s="255"/>
      <c r="P296" s="13"/>
      <c r="Q296" s="13"/>
      <c r="AE296" s="13"/>
    </row>
    <row r="297">
      <c r="F297" s="13"/>
      <c r="L297" s="255"/>
      <c r="P297" s="13"/>
      <c r="Q297" s="13"/>
      <c r="AE297" s="13"/>
    </row>
    <row r="298">
      <c r="F298" s="13"/>
      <c r="L298" s="255"/>
      <c r="P298" s="13"/>
      <c r="Q298" s="13"/>
      <c r="AE298" s="13"/>
    </row>
    <row r="299">
      <c r="F299" s="13"/>
      <c r="L299" s="255"/>
      <c r="P299" s="13"/>
      <c r="Q299" s="13"/>
      <c r="AE299" s="13"/>
    </row>
    <row r="300">
      <c r="F300" s="13"/>
      <c r="L300" s="255"/>
      <c r="P300" s="13"/>
      <c r="Q300" s="13"/>
      <c r="AE300" s="13"/>
    </row>
    <row r="301">
      <c r="F301" s="13"/>
      <c r="L301" s="255"/>
      <c r="P301" s="13"/>
      <c r="Q301" s="13"/>
      <c r="AE301" s="13"/>
    </row>
    <row r="302">
      <c r="F302" s="13"/>
      <c r="L302" s="255"/>
      <c r="P302" s="13"/>
      <c r="Q302" s="13"/>
      <c r="AE302" s="13"/>
    </row>
    <row r="303">
      <c r="F303" s="13"/>
      <c r="L303" s="255"/>
      <c r="P303" s="13"/>
      <c r="Q303" s="13"/>
      <c r="AE303" s="13"/>
    </row>
    <row r="304">
      <c r="F304" s="13"/>
      <c r="L304" s="255"/>
      <c r="P304" s="13"/>
      <c r="Q304" s="13"/>
      <c r="AE304" s="13"/>
    </row>
    <row r="305">
      <c r="F305" s="13"/>
      <c r="L305" s="255"/>
      <c r="P305" s="13"/>
      <c r="Q305" s="13"/>
      <c r="AE305" s="13"/>
    </row>
    <row r="306">
      <c r="F306" s="13"/>
      <c r="L306" s="255"/>
      <c r="P306" s="13"/>
      <c r="Q306" s="13"/>
      <c r="AE306" s="13"/>
    </row>
    <row r="307">
      <c r="F307" s="13"/>
      <c r="L307" s="255"/>
      <c r="P307" s="13"/>
      <c r="Q307" s="13"/>
      <c r="AE307" s="13"/>
    </row>
    <row r="308">
      <c r="F308" s="13"/>
      <c r="L308" s="255"/>
      <c r="P308" s="13"/>
      <c r="Q308" s="13"/>
      <c r="AE308" s="13"/>
    </row>
    <row r="309">
      <c r="F309" s="13"/>
      <c r="L309" s="255"/>
      <c r="P309" s="13"/>
      <c r="Q309" s="13"/>
      <c r="AE309" s="13"/>
    </row>
    <row r="310">
      <c r="F310" s="13"/>
      <c r="L310" s="255"/>
      <c r="P310" s="13"/>
      <c r="Q310" s="13"/>
      <c r="AE310" s="13"/>
    </row>
    <row r="311">
      <c r="F311" s="13"/>
      <c r="L311" s="255"/>
      <c r="P311" s="13"/>
      <c r="Q311" s="13"/>
      <c r="AE311" s="13"/>
    </row>
    <row r="312">
      <c r="F312" s="13"/>
      <c r="L312" s="255"/>
      <c r="P312" s="13"/>
      <c r="Q312" s="13"/>
      <c r="AE312" s="13"/>
    </row>
    <row r="313">
      <c r="F313" s="13"/>
      <c r="L313" s="255"/>
      <c r="P313" s="13"/>
      <c r="Q313" s="13"/>
      <c r="AE313" s="13"/>
    </row>
    <row r="314">
      <c r="F314" s="13"/>
      <c r="L314" s="255"/>
      <c r="P314" s="13"/>
      <c r="Q314" s="13"/>
      <c r="AE314" s="13"/>
    </row>
    <row r="315">
      <c r="F315" s="13"/>
      <c r="L315" s="255"/>
      <c r="P315" s="13"/>
      <c r="Q315" s="13"/>
      <c r="AE315" s="13"/>
    </row>
    <row r="316">
      <c r="F316" s="13"/>
      <c r="L316" s="255"/>
      <c r="P316" s="13"/>
      <c r="Q316" s="13"/>
      <c r="AE316" s="13"/>
    </row>
    <row r="317">
      <c r="F317" s="13"/>
      <c r="L317" s="255"/>
      <c r="P317" s="13"/>
      <c r="Q317" s="13"/>
      <c r="AE317" s="13"/>
    </row>
    <row r="318">
      <c r="F318" s="13"/>
      <c r="L318" s="255"/>
      <c r="P318" s="13"/>
      <c r="Q318" s="13"/>
      <c r="AE318" s="13"/>
    </row>
    <row r="319">
      <c r="F319" s="13"/>
      <c r="L319" s="255"/>
      <c r="P319" s="13"/>
      <c r="Q319" s="13"/>
      <c r="AE319" s="13"/>
    </row>
    <row r="320">
      <c r="F320" s="13"/>
      <c r="L320" s="255"/>
      <c r="P320" s="13"/>
      <c r="Q320" s="13"/>
      <c r="AE320" s="13"/>
    </row>
    <row r="321">
      <c r="F321" s="13"/>
      <c r="L321" s="255"/>
      <c r="P321" s="13"/>
      <c r="Q321" s="13"/>
      <c r="AE321" s="13"/>
    </row>
    <row r="322">
      <c r="F322" s="13"/>
      <c r="L322" s="255"/>
      <c r="P322" s="13"/>
      <c r="Q322" s="13"/>
      <c r="AE322" s="13"/>
    </row>
    <row r="323">
      <c r="F323" s="13"/>
      <c r="L323" s="255"/>
      <c r="P323" s="13"/>
      <c r="Q323" s="13"/>
      <c r="AE323" s="13"/>
    </row>
    <row r="324">
      <c r="F324" s="13"/>
      <c r="L324" s="255"/>
      <c r="P324" s="13"/>
      <c r="Q324" s="13"/>
      <c r="AE324" s="13"/>
    </row>
    <row r="325">
      <c r="F325" s="13"/>
      <c r="L325" s="255"/>
      <c r="P325" s="13"/>
      <c r="Q325" s="13"/>
      <c r="AE325" s="13"/>
    </row>
    <row r="326">
      <c r="F326" s="13"/>
      <c r="L326" s="255"/>
      <c r="P326" s="13"/>
      <c r="Q326" s="13"/>
      <c r="AE326" s="13"/>
    </row>
    <row r="327">
      <c r="F327" s="13"/>
      <c r="L327" s="255"/>
      <c r="P327" s="13"/>
      <c r="Q327" s="13"/>
      <c r="AE327" s="13"/>
    </row>
    <row r="328">
      <c r="F328" s="13"/>
      <c r="L328" s="255"/>
      <c r="P328" s="13"/>
      <c r="Q328" s="13"/>
      <c r="AE328" s="13"/>
    </row>
    <row r="329">
      <c r="F329" s="13"/>
      <c r="L329" s="255"/>
      <c r="P329" s="13"/>
      <c r="Q329" s="13"/>
      <c r="AE329" s="13"/>
    </row>
    <row r="330">
      <c r="F330" s="13"/>
      <c r="L330" s="255"/>
      <c r="P330" s="13"/>
      <c r="Q330" s="13"/>
      <c r="AE330" s="13"/>
    </row>
    <row r="331">
      <c r="F331" s="13"/>
      <c r="L331" s="255"/>
      <c r="P331" s="13"/>
      <c r="Q331" s="13"/>
      <c r="AE331" s="13"/>
    </row>
    <row r="332">
      <c r="F332" s="13"/>
      <c r="L332" s="255"/>
      <c r="P332" s="13"/>
      <c r="Q332" s="13"/>
      <c r="AE332" s="13"/>
    </row>
    <row r="333">
      <c r="F333" s="13"/>
      <c r="L333" s="255"/>
      <c r="P333" s="13"/>
      <c r="Q333" s="13"/>
      <c r="AE333" s="13"/>
    </row>
    <row r="334">
      <c r="F334" s="13"/>
      <c r="L334" s="255"/>
      <c r="P334" s="13"/>
      <c r="Q334" s="13"/>
      <c r="AE334" s="13"/>
    </row>
    <row r="335">
      <c r="F335" s="13"/>
      <c r="L335" s="255"/>
      <c r="P335" s="13"/>
      <c r="Q335" s="13"/>
      <c r="AE335" s="13"/>
    </row>
    <row r="336">
      <c r="F336" s="13"/>
      <c r="L336" s="255"/>
      <c r="P336" s="13"/>
      <c r="Q336" s="13"/>
      <c r="AE336" s="13"/>
    </row>
    <row r="337">
      <c r="F337" s="13"/>
      <c r="L337" s="255"/>
      <c r="P337" s="13"/>
      <c r="Q337" s="13"/>
      <c r="AE337" s="13"/>
    </row>
    <row r="338">
      <c r="F338" s="13"/>
      <c r="L338" s="255"/>
      <c r="P338" s="13"/>
      <c r="Q338" s="13"/>
      <c r="AE338" s="13"/>
    </row>
    <row r="339">
      <c r="F339" s="13"/>
      <c r="L339" s="255"/>
      <c r="P339" s="13"/>
      <c r="Q339" s="13"/>
      <c r="AE339" s="13"/>
    </row>
    <row r="340">
      <c r="F340" s="13"/>
      <c r="L340" s="255"/>
      <c r="P340" s="13"/>
      <c r="Q340" s="13"/>
      <c r="AE340" s="13"/>
    </row>
    <row r="341">
      <c r="F341" s="13"/>
      <c r="L341" s="255"/>
      <c r="P341" s="13"/>
      <c r="Q341" s="13"/>
      <c r="AE341" s="13"/>
    </row>
    <row r="342">
      <c r="F342" s="13"/>
      <c r="L342" s="255"/>
      <c r="P342" s="13"/>
      <c r="Q342" s="13"/>
      <c r="AE342" s="13"/>
    </row>
    <row r="343">
      <c r="F343" s="13"/>
      <c r="L343" s="255"/>
      <c r="P343" s="13"/>
      <c r="Q343" s="13"/>
      <c r="AE343" s="13"/>
    </row>
    <row r="344">
      <c r="F344" s="13"/>
      <c r="L344" s="255"/>
      <c r="P344" s="13"/>
      <c r="Q344" s="13"/>
      <c r="AE344" s="13"/>
    </row>
    <row r="345">
      <c r="F345" s="13"/>
      <c r="L345" s="255"/>
      <c r="P345" s="13"/>
      <c r="Q345" s="13"/>
      <c r="AE345" s="13"/>
    </row>
    <row r="346">
      <c r="F346" s="13"/>
      <c r="L346" s="255"/>
      <c r="P346" s="13"/>
      <c r="Q346" s="13"/>
      <c r="AE346" s="13"/>
    </row>
    <row r="347">
      <c r="F347" s="13"/>
      <c r="L347" s="255"/>
      <c r="P347" s="13"/>
      <c r="Q347" s="13"/>
      <c r="AE347" s="13"/>
    </row>
    <row r="348">
      <c r="F348" s="13"/>
      <c r="L348" s="255"/>
      <c r="P348" s="13"/>
      <c r="Q348" s="13"/>
      <c r="AE348" s="13"/>
    </row>
    <row r="349">
      <c r="F349" s="13"/>
      <c r="L349" s="255"/>
      <c r="P349" s="13"/>
      <c r="Q349" s="13"/>
      <c r="AE349" s="13"/>
    </row>
    <row r="350">
      <c r="F350" s="13"/>
      <c r="L350" s="255"/>
      <c r="P350" s="13"/>
      <c r="Q350" s="13"/>
      <c r="AE350" s="13"/>
    </row>
    <row r="351">
      <c r="F351" s="13"/>
      <c r="L351" s="255"/>
      <c r="P351" s="13"/>
      <c r="Q351" s="13"/>
      <c r="AE351" s="13"/>
    </row>
    <row r="352">
      <c r="F352" s="13"/>
      <c r="L352" s="255"/>
      <c r="P352" s="13"/>
      <c r="Q352" s="13"/>
      <c r="AE352" s="13"/>
    </row>
    <row r="353">
      <c r="F353" s="13"/>
      <c r="L353" s="255"/>
      <c r="P353" s="13"/>
      <c r="Q353" s="13"/>
      <c r="AE353" s="13"/>
    </row>
    <row r="354">
      <c r="F354" s="13"/>
      <c r="L354" s="255"/>
      <c r="P354" s="13"/>
      <c r="Q354" s="13"/>
      <c r="AE354" s="13"/>
    </row>
    <row r="355">
      <c r="F355" s="13"/>
      <c r="L355" s="255"/>
      <c r="P355" s="13"/>
      <c r="Q355" s="13"/>
      <c r="AE355" s="13"/>
    </row>
    <row r="356">
      <c r="F356" s="13"/>
      <c r="L356" s="255"/>
      <c r="P356" s="13"/>
      <c r="Q356" s="13"/>
      <c r="AE356" s="13"/>
    </row>
    <row r="357">
      <c r="F357" s="13"/>
      <c r="L357" s="255"/>
      <c r="P357" s="13"/>
      <c r="Q357" s="13"/>
      <c r="AE357" s="13"/>
    </row>
    <row r="358">
      <c r="F358" s="13"/>
      <c r="L358" s="255"/>
      <c r="P358" s="13"/>
      <c r="Q358" s="13"/>
      <c r="AE358" s="13"/>
    </row>
    <row r="359">
      <c r="F359" s="13"/>
      <c r="L359" s="255"/>
      <c r="P359" s="13"/>
      <c r="Q359" s="13"/>
      <c r="AE359" s="13"/>
    </row>
    <row r="360">
      <c r="F360" s="13"/>
      <c r="L360" s="255"/>
      <c r="P360" s="13"/>
      <c r="Q360" s="13"/>
      <c r="AE360" s="13"/>
    </row>
    <row r="361">
      <c r="F361" s="13"/>
      <c r="L361" s="255"/>
      <c r="P361" s="13"/>
      <c r="Q361" s="13"/>
      <c r="AE361" s="13"/>
    </row>
    <row r="362">
      <c r="F362" s="13"/>
      <c r="L362" s="255"/>
      <c r="P362" s="13"/>
      <c r="Q362" s="13"/>
      <c r="AE362" s="13"/>
    </row>
    <row r="363">
      <c r="F363" s="13"/>
      <c r="L363" s="255"/>
      <c r="P363" s="13"/>
      <c r="Q363" s="13"/>
      <c r="AE363" s="13"/>
    </row>
    <row r="364">
      <c r="F364" s="13"/>
      <c r="L364" s="255"/>
      <c r="P364" s="13"/>
      <c r="Q364" s="13"/>
      <c r="AE364" s="13"/>
    </row>
    <row r="365">
      <c r="F365" s="13"/>
      <c r="L365" s="255"/>
      <c r="P365" s="13"/>
      <c r="Q365" s="13"/>
      <c r="AE365" s="13"/>
    </row>
    <row r="366">
      <c r="F366" s="13"/>
      <c r="L366" s="255"/>
      <c r="P366" s="13"/>
      <c r="Q366" s="13"/>
      <c r="AE366" s="13"/>
    </row>
    <row r="367">
      <c r="F367" s="13"/>
      <c r="L367" s="255"/>
      <c r="P367" s="13"/>
      <c r="Q367" s="13"/>
      <c r="AE367" s="13"/>
    </row>
    <row r="368">
      <c r="F368" s="13"/>
      <c r="L368" s="255"/>
      <c r="P368" s="13"/>
      <c r="Q368" s="13"/>
      <c r="AE368" s="13"/>
    </row>
    <row r="369">
      <c r="F369" s="13"/>
      <c r="L369" s="255"/>
      <c r="P369" s="13"/>
      <c r="Q369" s="13"/>
      <c r="AE369" s="13"/>
    </row>
    <row r="370">
      <c r="F370" s="13"/>
      <c r="L370" s="255"/>
      <c r="P370" s="13"/>
      <c r="Q370" s="13"/>
      <c r="AE370" s="13"/>
    </row>
    <row r="371">
      <c r="F371" s="13"/>
      <c r="L371" s="255"/>
      <c r="P371" s="13"/>
      <c r="Q371" s="13"/>
      <c r="AE371" s="13"/>
    </row>
    <row r="372">
      <c r="F372" s="13"/>
      <c r="L372" s="255"/>
      <c r="P372" s="13"/>
      <c r="Q372" s="13"/>
      <c r="AE372" s="13"/>
    </row>
    <row r="373">
      <c r="F373" s="13"/>
      <c r="L373" s="255"/>
      <c r="P373" s="13"/>
      <c r="Q373" s="13"/>
      <c r="AE373" s="13"/>
    </row>
    <row r="374">
      <c r="F374" s="13"/>
      <c r="L374" s="255"/>
      <c r="P374" s="13"/>
      <c r="Q374" s="13"/>
      <c r="AE374" s="13"/>
    </row>
    <row r="375">
      <c r="F375" s="13"/>
      <c r="L375" s="255"/>
      <c r="P375" s="13"/>
      <c r="Q375" s="13"/>
      <c r="AE375" s="13"/>
    </row>
    <row r="376">
      <c r="F376" s="13"/>
      <c r="L376" s="255"/>
      <c r="P376" s="13"/>
      <c r="Q376" s="13"/>
      <c r="AE376" s="13"/>
    </row>
    <row r="377">
      <c r="F377" s="13"/>
      <c r="L377" s="255"/>
      <c r="P377" s="13"/>
      <c r="Q377" s="13"/>
      <c r="AE377" s="13"/>
    </row>
    <row r="378">
      <c r="F378" s="13"/>
      <c r="L378" s="255"/>
      <c r="P378" s="13"/>
      <c r="Q378" s="13"/>
      <c r="AE378" s="13"/>
    </row>
    <row r="379">
      <c r="F379" s="13"/>
      <c r="L379" s="255"/>
      <c r="P379" s="13"/>
      <c r="Q379" s="13"/>
      <c r="AE379" s="13"/>
    </row>
    <row r="380">
      <c r="F380" s="13"/>
      <c r="L380" s="255"/>
      <c r="P380" s="13"/>
      <c r="Q380" s="13"/>
      <c r="AE380" s="13"/>
    </row>
    <row r="381">
      <c r="F381" s="13"/>
      <c r="L381" s="255"/>
      <c r="P381" s="13"/>
      <c r="Q381" s="13"/>
      <c r="AE381" s="13"/>
    </row>
    <row r="382">
      <c r="F382" s="13"/>
      <c r="L382" s="255"/>
      <c r="P382" s="13"/>
      <c r="Q382" s="13"/>
      <c r="AE382" s="13"/>
    </row>
    <row r="383">
      <c r="F383" s="13"/>
      <c r="L383" s="255"/>
      <c r="P383" s="13"/>
      <c r="Q383" s="13"/>
      <c r="AE383" s="13"/>
    </row>
    <row r="384">
      <c r="F384" s="13"/>
      <c r="L384" s="255"/>
      <c r="P384" s="13"/>
      <c r="Q384" s="13"/>
      <c r="AE384" s="13"/>
    </row>
    <row r="385">
      <c r="F385" s="13"/>
      <c r="L385" s="255"/>
      <c r="P385" s="13"/>
      <c r="Q385" s="13"/>
      <c r="AE385" s="13"/>
    </row>
    <row r="386">
      <c r="F386" s="13"/>
      <c r="L386" s="255"/>
      <c r="P386" s="13"/>
      <c r="Q386" s="13"/>
      <c r="AE386" s="13"/>
    </row>
    <row r="387">
      <c r="F387" s="13"/>
      <c r="L387" s="255"/>
      <c r="P387" s="13"/>
      <c r="Q387" s="13"/>
      <c r="AE387" s="13"/>
    </row>
    <row r="388">
      <c r="F388" s="13"/>
      <c r="L388" s="255"/>
      <c r="P388" s="13"/>
      <c r="Q388" s="13"/>
      <c r="AE388" s="13"/>
    </row>
    <row r="389">
      <c r="F389" s="13"/>
      <c r="L389" s="255"/>
      <c r="P389" s="13"/>
      <c r="Q389" s="13"/>
      <c r="AE389" s="13"/>
    </row>
    <row r="390">
      <c r="F390" s="13"/>
      <c r="L390" s="255"/>
      <c r="P390" s="13"/>
      <c r="Q390" s="13"/>
      <c r="AE390" s="13"/>
    </row>
    <row r="391">
      <c r="F391" s="13"/>
      <c r="L391" s="255"/>
      <c r="P391" s="13"/>
      <c r="Q391" s="13"/>
      <c r="AE391" s="13"/>
    </row>
    <row r="392">
      <c r="F392" s="13"/>
      <c r="L392" s="255"/>
      <c r="P392" s="13"/>
      <c r="Q392" s="13"/>
      <c r="AE392" s="13"/>
    </row>
    <row r="393">
      <c r="F393" s="13"/>
      <c r="L393" s="255"/>
      <c r="P393" s="13"/>
      <c r="Q393" s="13"/>
      <c r="AE393" s="13"/>
    </row>
    <row r="394">
      <c r="F394" s="13"/>
      <c r="L394" s="255"/>
      <c r="P394" s="13"/>
      <c r="Q394" s="13"/>
      <c r="AE394" s="13"/>
    </row>
    <row r="395">
      <c r="F395" s="13"/>
      <c r="L395" s="255"/>
      <c r="P395" s="13"/>
      <c r="Q395" s="13"/>
      <c r="AE395" s="13"/>
    </row>
    <row r="396">
      <c r="F396" s="13"/>
      <c r="L396" s="255"/>
      <c r="P396" s="13"/>
      <c r="Q396" s="13"/>
      <c r="AE396" s="13"/>
    </row>
    <row r="397">
      <c r="F397" s="13"/>
      <c r="L397" s="255"/>
      <c r="P397" s="13"/>
      <c r="Q397" s="13"/>
      <c r="AE397" s="13"/>
    </row>
    <row r="398">
      <c r="F398" s="13"/>
      <c r="L398" s="255"/>
      <c r="P398" s="13"/>
      <c r="Q398" s="13"/>
      <c r="AE398" s="13"/>
    </row>
    <row r="399">
      <c r="F399" s="13"/>
      <c r="L399" s="255"/>
      <c r="P399" s="13"/>
      <c r="Q399" s="13"/>
      <c r="AE399" s="13"/>
    </row>
    <row r="400">
      <c r="F400" s="13"/>
      <c r="L400" s="255"/>
      <c r="P400" s="13"/>
      <c r="Q400" s="13"/>
      <c r="AE400" s="13"/>
    </row>
    <row r="401">
      <c r="F401" s="13"/>
      <c r="L401" s="255"/>
      <c r="P401" s="13"/>
      <c r="Q401" s="13"/>
      <c r="AE401" s="13"/>
    </row>
    <row r="402">
      <c r="F402" s="13"/>
      <c r="L402" s="255"/>
      <c r="P402" s="13"/>
      <c r="Q402" s="13"/>
      <c r="AE402" s="13"/>
    </row>
    <row r="403">
      <c r="F403" s="13"/>
      <c r="L403" s="255"/>
      <c r="P403" s="13"/>
      <c r="Q403" s="13"/>
      <c r="AE403" s="13"/>
    </row>
    <row r="404">
      <c r="F404" s="13"/>
      <c r="L404" s="255"/>
      <c r="P404" s="13"/>
      <c r="Q404" s="13"/>
      <c r="AE404" s="13"/>
    </row>
    <row r="405">
      <c r="F405" s="13"/>
      <c r="L405" s="255"/>
      <c r="P405" s="13"/>
      <c r="Q405" s="13"/>
      <c r="AE405" s="13"/>
    </row>
    <row r="406">
      <c r="F406" s="13"/>
      <c r="L406" s="255"/>
      <c r="P406" s="13"/>
      <c r="Q406" s="13"/>
      <c r="AE406" s="13"/>
    </row>
    <row r="407">
      <c r="F407" s="13"/>
      <c r="L407" s="255"/>
      <c r="P407" s="13"/>
      <c r="Q407" s="13"/>
      <c r="AE407" s="13"/>
    </row>
    <row r="408">
      <c r="F408" s="13"/>
      <c r="L408" s="255"/>
      <c r="P408" s="13"/>
      <c r="Q408" s="13"/>
      <c r="AE408" s="13"/>
    </row>
    <row r="409">
      <c r="F409" s="13"/>
      <c r="L409" s="255"/>
      <c r="P409" s="13"/>
      <c r="Q409" s="13"/>
      <c r="AE409" s="13"/>
    </row>
    <row r="410">
      <c r="F410" s="13"/>
      <c r="L410" s="255"/>
      <c r="P410" s="13"/>
      <c r="Q410" s="13"/>
      <c r="AE410" s="13"/>
    </row>
    <row r="411">
      <c r="F411" s="13"/>
      <c r="L411" s="255"/>
      <c r="P411" s="13"/>
      <c r="Q411" s="13"/>
      <c r="AE411" s="13"/>
    </row>
    <row r="412">
      <c r="F412" s="13"/>
      <c r="L412" s="255"/>
      <c r="P412" s="13"/>
      <c r="Q412" s="13"/>
      <c r="AE412" s="13"/>
    </row>
    <row r="413">
      <c r="F413" s="13"/>
      <c r="L413" s="255"/>
      <c r="P413" s="13"/>
      <c r="Q413" s="13"/>
      <c r="AE413" s="13"/>
    </row>
    <row r="414">
      <c r="F414" s="13"/>
      <c r="L414" s="255"/>
      <c r="P414" s="13"/>
      <c r="Q414" s="13"/>
      <c r="AE414" s="13"/>
    </row>
    <row r="415">
      <c r="F415" s="13"/>
      <c r="L415" s="255"/>
      <c r="P415" s="13"/>
      <c r="Q415" s="13"/>
      <c r="AE415" s="13"/>
    </row>
    <row r="416">
      <c r="F416" s="13"/>
      <c r="L416" s="255"/>
      <c r="P416" s="13"/>
      <c r="Q416" s="13"/>
      <c r="AE416" s="13"/>
    </row>
    <row r="417">
      <c r="F417" s="13"/>
      <c r="L417" s="255"/>
      <c r="P417" s="13"/>
      <c r="Q417" s="13"/>
      <c r="AE417" s="13"/>
    </row>
    <row r="418">
      <c r="F418" s="13"/>
      <c r="L418" s="255"/>
      <c r="P418" s="13"/>
      <c r="Q418" s="13"/>
      <c r="AE418" s="13"/>
    </row>
    <row r="419">
      <c r="F419" s="13"/>
      <c r="L419" s="255"/>
      <c r="P419" s="13"/>
      <c r="Q419" s="13"/>
      <c r="AE419" s="13"/>
    </row>
    <row r="420">
      <c r="F420" s="13"/>
      <c r="L420" s="255"/>
      <c r="P420" s="13"/>
      <c r="Q420" s="13"/>
      <c r="AE420" s="13"/>
    </row>
    <row r="421">
      <c r="F421" s="13"/>
      <c r="L421" s="255"/>
      <c r="P421" s="13"/>
      <c r="Q421" s="13"/>
      <c r="AE421" s="13"/>
    </row>
    <row r="422">
      <c r="F422" s="13"/>
      <c r="L422" s="255"/>
      <c r="P422" s="13"/>
      <c r="Q422" s="13"/>
      <c r="AE422" s="13"/>
    </row>
    <row r="423">
      <c r="F423" s="13"/>
      <c r="L423" s="255"/>
      <c r="P423" s="13"/>
      <c r="Q423" s="13"/>
      <c r="AE423" s="13"/>
    </row>
    <row r="424">
      <c r="F424" s="13"/>
      <c r="L424" s="255"/>
      <c r="P424" s="13"/>
      <c r="Q424" s="13"/>
      <c r="AE424" s="13"/>
    </row>
    <row r="425">
      <c r="F425" s="13"/>
      <c r="L425" s="255"/>
      <c r="P425" s="13"/>
      <c r="Q425" s="13"/>
      <c r="AE425" s="13"/>
    </row>
    <row r="426">
      <c r="F426" s="13"/>
      <c r="L426" s="255"/>
      <c r="P426" s="13"/>
      <c r="Q426" s="13"/>
      <c r="AE426" s="13"/>
    </row>
    <row r="427">
      <c r="F427" s="13"/>
      <c r="L427" s="255"/>
      <c r="P427" s="13"/>
      <c r="Q427" s="13"/>
      <c r="AE427" s="13"/>
    </row>
    <row r="428">
      <c r="F428" s="13"/>
      <c r="L428" s="255"/>
      <c r="P428" s="13"/>
      <c r="Q428" s="13"/>
      <c r="AE428" s="13"/>
    </row>
    <row r="429">
      <c r="F429" s="13"/>
      <c r="L429" s="255"/>
      <c r="P429" s="13"/>
      <c r="Q429" s="13"/>
      <c r="AE429" s="13"/>
    </row>
    <row r="430">
      <c r="F430" s="13"/>
      <c r="L430" s="255"/>
      <c r="P430" s="13"/>
      <c r="Q430" s="13"/>
      <c r="AE430" s="13"/>
    </row>
    <row r="431">
      <c r="F431" s="13"/>
      <c r="L431" s="255"/>
      <c r="P431" s="13"/>
      <c r="Q431" s="13"/>
      <c r="AE431" s="13"/>
    </row>
    <row r="432">
      <c r="F432" s="13"/>
      <c r="L432" s="255"/>
      <c r="P432" s="13"/>
      <c r="Q432" s="13"/>
      <c r="AE432" s="13"/>
    </row>
    <row r="433">
      <c r="F433" s="13"/>
      <c r="L433" s="255"/>
      <c r="P433" s="13"/>
      <c r="Q433" s="13"/>
      <c r="AE433" s="13"/>
    </row>
    <row r="434">
      <c r="F434" s="13"/>
      <c r="L434" s="255"/>
      <c r="P434" s="13"/>
      <c r="Q434" s="13"/>
      <c r="AE434" s="13"/>
    </row>
    <row r="435">
      <c r="F435" s="13"/>
      <c r="L435" s="255"/>
      <c r="P435" s="13"/>
      <c r="Q435" s="13"/>
      <c r="AE435" s="13"/>
    </row>
    <row r="436">
      <c r="F436" s="13"/>
      <c r="L436" s="255"/>
      <c r="P436" s="13"/>
      <c r="Q436" s="13"/>
      <c r="AE436" s="13"/>
    </row>
    <row r="437">
      <c r="F437" s="13"/>
      <c r="L437" s="255"/>
      <c r="P437" s="13"/>
      <c r="Q437" s="13"/>
      <c r="AE437" s="13"/>
    </row>
    <row r="438">
      <c r="F438" s="13"/>
      <c r="L438" s="255"/>
      <c r="P438" s="13"/>
      <c r="Q438" s="13"/>
      <c r="AE438" s="13"/>
    </row>
    <row r="439">
      <c r="F439" s="13"/>
      <c r="L439" s="255"/>
      <c r="P439" s="13"/>
      <c r="Q439" s="13"/>
      <c r="AE439" s="13"/>
    </row>
    <row r="440">
      <c r="F440" s="13"/>
      <c r="L440" s="255"/>
      <c r="P440" s="13"/>
      <c r="Q440" s="13"/>
      <c r="AE440" s="13"/>
    </row>
    <row r="441">
      <c r="F441" s="13"/>
      <c r="L441" s="255"/>
      <c r="P441" s="13"/>
      <c r="Q441" s="13"/>
      <c r="AE441" s="13"/>
    </row>
    <row r="442">
      <c r="F442" s="13"/>
      <c r="L442" s="255"/>
      <c r="P442" s="13"/>
      <c r="Q442" s="13"/>
      <c r="AE442" s="13"/>
    </row>
    <row r="443">
      <c r="F443" s="13"/>
      <c r="L443" s="255"/>
      <c r="P443" s="13"/>
      <c r="Q443" s="13"/>
      <c r="AE443" s="13"/>
    </row>
    <row r="444">
      <c r="F444" s="13"/>
      <c r="L444" s="255"/>
      <c r="P444" s="13"/>
      <c r="Q444" s="13"/>
      <c r="AE444" s="13"/>
    </row>
    <row r="445">
      <c r="F445" s="13"/>
      <c r="L445" s="255"/>
      <c r="P445" s="13"/>
      <c r="Q445" s="13"/>
      <c r="AE445" s="13"/>
    </row>
    <row r="446">
      <c r="F446" s="13"/>
      <c r="L446" s="255"/>
      <c r="P446" s="13"/>
      <c r="Q446" s="13"/>
      <c r="AE446" s="13"/>
    </row>
    <row r="447">
      <c r="F447" s="13"/>
      <c r="L447" s="255"/>
      <c r="P447" s="13"/>
      <c r="Q447" s="13"/>
      <c r="AE447" s="13"/>
    </row>
    <row r="448">
      <c r="F448" s="13"/>
      <c r="L448" s="255"/>
      <c r="P448" s="13"/>
      <c r="Q448" s="13"/>
      <c r="AE448" s="13"/>
    </row>
    <row r="449">
      <c r="F449" s="13"/>
      <c r="L449" s="255"/>
      <c r="P449" s="13"/>
      <c r="Q449" s="13"/>
      <c r="AE449" s="13"/>
    </row>
    <row r="450">
      <c r="F450" s="13"/>
      <c r="L450" s="255"/>
      <c r="P450" s="13"/>
      <c r="Q450" s="13"/>
      <c r="AE450" s="13"/>
    </row>
    <row r="451">
      <c r="F451" s="13"/>
      <c r="L451" s="255"/>
      <c r="P451" s="13"/>
      <c r="Q451" s="13"/>
      <c r="AE451" s="13"/>
    </row>
    <row r="452">
      <c r="F452" s="13"/>
      <c r="L452" s="255"/>
      <c r="P452" s="13"/>
      <c r="Q452" s="13"/>
      <c r="AE452" s="13"/>
    </row>
    <row r="453">
      <c r="F453" s="13"/>
      <c r="L453" s="255"/>
      <c r="P453" s="13"/>
      <c r="Q453" s="13"/>
      <c r="AE453" s="13"/>
    </row>
    <row r="454">
      <c r="F454" s="13"/>
      <c r="L454" s="255"/>
      <c r="P454" s="13"/>
      <c r="Q454" s="13"/>
      <c r="AE454" s="13"/>
    </row>
    <row r="455">
      <c r="F455" s="13"/>
      <c r="L455" s="255"/>
      <c r="P455" s="13"/>
      <c r="Q455" s="13"/>
      <c r="AE455" s="13"/>
    </row>
    <row r="456">
      <c r="F456" s="13"/>
      <c r="L456" s="255"/>
      <c r="P456" s="13"/>
      <c r="Q456" s="13"/>
      <c r="AE456" s="13"/>
    </row>
    <row r="457">
      <c r="F457" s="13"/>
      <c r="L457" s="255"/>
      <c r="P457" s="13"/>
      <c r="Q457" s="13"/>
      <c r="AE457" s="13"/>
    </row>
    <row r="458">
      <c r="F458" s="13"/>
      <c r="L458" s="255"/>
      <c r="P458" s="13"/>
      <c r="Q458" s="13"/>
      <c r="AE458" s="13"/>
    </row>
    <row r="459">
      <c r="F459" s="13"/>
      <c r="L459" s="255"/>
      <c r="P459" s="13"/>
      <c r="Q459" s="13"/>
      <c r="AE459" s="13"/>
    </row>
    <row r="460">
      <c r="F460" s="13"/>
      <c r="L460" s="255"/>
      <c r="P460" s="13"/>
      <c r="Q460" s="13"/>
      <c r="AE460" s="13"/>
    </row>
    <row r="461">
      <c r="F461" s="13"/>
      <c r="L461" s="255"/>
      <c r="P461" s="13"/>
      <c r="Q461" s="13"/>
      <c r="AE461" s="13"/>
    </row>
    <row r="462">
      <c r="F462" s="13"/>
      <c r="L462" s="255"/>
      <c r="P462" s="13"/>
      <c r="Q462" s="13"/>
      <c r="AE462" s="13"/>
    </row>
    <row r="463">
      <c r="F463" s="13"/>
      <c r="L463" s="255"/>
      <c r="P463" s="13"/>
      <c r="Q463" s="13"/>
      <c r="AE463" s="13"/>
    </row>
    <row r="464">
      <c r="F464" s="13"/>
      <c r="L464" s="255"/>
      <c r="P464" s="13"/>
      <c r="Q464" s="13"/>
      <c r="AE464" s="13"/>
    </row>
    <row r="465">
      <c r="F465" s="13"/>
      <c r="L465" s="255"/>
      <c r="P465" s="13"/>
      <c r="Q465" s="13"/>
      <c r="AE465" s="13"/>
    </row>
    <row r="466">
      <c r="F466" s="13"/>
      <c r="L466" s="255"/>
      <c r="P466" s="13"/>
      <c r="Q466" s="13"/>
      <c r="AE466" s="13"/>
    </row>
    <row r="467">
      <c r="F467" s="13"/>
      <c r="L467" s="255"/>
      <c r="P467" s="13"/>
      <c r="Q467" s="13"/>
      <c r="AE467" s="13"/>
    </row>
    <row r="468">
      <c r="F468" s="13"/>
      <c r="L468" s="255"/>
      <c r="P468" s="13"/>
      <c r="Q468" s="13"/>
      <c r="AE468" s="13"/>
    </row>
    <row r="469">
      <c r="F469" s="13"/>
      <c r="L469" s="255"/>
      <c r="P469" s="13"/>
      <c r="Q469" s="13"/>
      <c r="AE469" s="13"/>
    </row>
    <row r="470">
      <c r="F470" s="13"/>
      <c r="L470" s="255"/>
      <c r="P470" s="13"/>
      <c r="Q470" s="13"/>
      <c r="AE470" s="13"/>
    </row>
    <row r="471">
      <c r="F471" s="13"/>
      <c r="L471" s="255"/>
      <c r="P471" s="13"/>
      <c r="Q471" s="13"/>
      <c r="AE471" s="13"/>
    </row>
    <row r="472">
      <c r="F472" s="13"/>
      <c r="L472" s="255"/>
      <c r="P472" s="13"/>
      <c r="Q472" s="13"/>
      <c r="AE472" s="13"/>
    </row>
    <row r="473">
      <c r="F473" s="13"/>
      <c r="L473" s="255"/>
      <c r="P473" s="13"/>
      <c r="Q473" s="13"/>
      <c r="AE473" s="13"/>
    </row>
    <row r="474">
      <c r="F474" s="13"/>
      <c r="L474" s="255"/>
      <c r="P474" s="13"/>
      <c r="Q474" s="13"/>
      <c r="AE474" s="13"/>
    </row>
    <row r="475">
      <c r="F475" s="13"/>
      <c r="L475" s="255"/>
      <c r="P475" s="13"/>
      <c r="Q475" s="13"/>
      <c r="AE475" s="13"/>
    </row>
    <row r="476">
      <c r="F476" s="13"/>
      <c r="L476" s="255"/>
      <c r="P476" s="13"/>
      <c r="Q476" s="13"/>
      <c r="AE476" s="13"/>
    </row>
    <row r="477">
      <c r="F477" s="13"/>
      <c r="L477" s="255"/>
      <c r="P477" s="13"/>
      <c r="Q477" s="13"/>
      <c r="AE477" s="13"/>
    </row>
    <row r="478">
      <c r="F478" s="13"/>
      <c r="L478" s="255"/>
      <c r="P478" s="13"/>
      <c r="Q478" s="13"/>
      <c r="AE478" s="13"/>
    </row>
    <row r="479">
      <c r="F479" s="13"/>
      <c r="L479" s="255"/>
      <c r="P479" s="13"/>
      <c r="Q479" s="13"/>
      <c r="AE479" s="13"/>
    </row>
    <row r="480">
      <c r="F480" s="13"/>
      <c r="L480" s="255"/>
      <c r="P480" s="13"/>
      <c r="Q480" s="13"/>
      <c r="AE480" s="13"/>
    </row>
    <row r="481">
      <c r="F481" s="13"/>
      <c r="L481" s="255"/>
      <c r="P481" s="13"/>
      <c r="Q481" s="13"/>
      <c r="AE481" s="13"/>
    </row>
    <row r="482">
      <c r="F482" s="13"/>
      <c r="L482" s="255"/>
      <c r="P482" s="13"/>
      <c r="Q482" s="13"/>
      <c r="AE482" s="13"/>
    </row>
    <row r="483">
      <c r="F483" s="13"/>
      <c r="L483" s="255"/>
      <c r="P483" s="13"/>
      <c r="Q483" s="13"/>
      <c r="AE483" s="13"/>
    </row>
    <row r="484">
      <c r="F484" s="13"/>
      <c r="L484" s="255"/>
      <c r="P484" s="13"/>
      <c r="Q484" s="13"/>
      <c r="AE484" s="13"/>
    </row>
    <row r="485">
      <c r="F485" s="13"/>
      <c r="L485" s="255"/>
      <c r="P485" s="13"/>
      <c r="Q485" s="13"/>
      <c r="AE485" s="13"/>
    </row>
    <row r="486">
      <c r="F486" s="13"/>
      <c r="L486" s="255"/>
      <c r="P486" s="13"/>
      <c r="Q486" s="13"/>
      <c r="AE486" s="13"/>
    </row>
    <row r="487">
      <c r="F487" s="13"/>
      <c r="L487" s="255"/>
      <c r="P487" s="13"/>
      <c r="Q487" s="13"/>
      <c r="AE487" s="13"/>
    </row>
    <row r="488">
      <c r="F488" s="13"/>
      <c r="L488" s="255"/>
      <c r="P488" s="13"/>
      <c r="Q488" s="13"/>
      <c r="AE488" s="13"/>
    </row>
    <row r="489">
      <c r="F489" s="13"/>
      <c r="L489" s="255"/>
      <c r="P489" s="13"/>
      <c r="Q489" s="13"/>
      <c r="AE489" s="13"/>
    </row>
    <row r="490">
      <c r="F490" s="13"/>
      <c r="L490" s="255"/>
      <c r="P490" s="13"/>
      <c r="Q490" s="13"/>
      <c r="AE490" s="13"/>
    </row>
    <row r="491">
      <c r="F491" s="13"/>
      <c r="L491" s="255"/>
      <c r="P491" s="13"/>
      <c r="Q491" s="13"/>
      <c r="AE491" s="13"/>
    </row>
    <row r="492">
      <c r="F492" s="13"/>
      <c r="L492" s="255"/>
      <c r="P492" s="13"/>
      <c r="Q492" s="13"/>
      <c r="AE492" s="13"/>
    </row>
    <row r="493">
      <c r="F493" s="13"/>
      <c r="L493" s="255"/>
      <c r="P493" s="13"/>
      <c r="Q493" s="13"/>
      <c r="AE493" s="13"/>
    </row>
    <row r="494">
      <c r="F494" s="13"/>
      <c r="L494" s="255"/>
      <c r="P494" s="13"/>
      <c r="Q494" s="13"/>
      <c r="AE494" s="13"/>
    </row>
    <row r="495">
      <c r="F495" s="13"/>
      <c r="L495" s="255"/>
      <c r="P495" s="13"/>
      <c r="Q495" s="13"/>
      <c r="AE495" s="13"/>
    </row>
    <row r="496">
      <c r="F496" s="13"/>
      <c r="L496" s="255"/>
      <c r="P496" s="13"/>
      <c r="Q496" s="13"/>
      <c r="AE496" s="13"/>
    </row>
    <row r="497">
      <c r="F497" s="13"/>
      <c r="L497" s="255"/>
      <c r="P497" s="13"/>
      <c r="Q497" s="13"/>
      <c r="AE497" s="13"/>
    </row>
    <row r="498">
      <c r="F498" s="13"/>
      <c r="L498" s="255"/>
      <c r="P498" s="13"/>
      <c r="Q498" s="13"/>
      <c r="AE498" s="13"/>
    </row>
    <row r="499">
      <c r="F499" s="13"/>
      <c r="L499" s="255"/>
      <c r="P499" s="13"/>
      <c r="Q499" s="13"/>
      <c r="AE499" s="13"/>
    </row>
    <row r="500">
      <c r="F500" s="13"/>
      <c r="L500" s="255"/>
      <c r="P500" s="13"/>
      <c r="Q500" s="13"/>
      <c r="AE500" s="13"/>
    </row>
    <row r="501">
      <c r="F501" s="13"/>
      <c r="L501" s="255"/>
      <c r="P501" s="13"/>
      <c r="Q501" s="13"/>
      <c r="AE501" s="13"/>
    </row>
    <row r="502">
      <c r="F502" s="13"/>
      <c r="L502" s="255"/>
      <c r="P502" s="13"/>
      <c r="Q502" s="13"/>
      <c r="AE502" s="13"/>
    </row>
    <row r="503">
      <c r="F503" s="13"/>
      <c r="L503" s="255"/>
      <c r="P503" s="13"/>
      <c r="Q503" s="13"/>
      <c r="AE503" s="13"/>
    </row>
    <row r="504">
      <c r="F504" s="13"/>
      <c r="L504" s="255"/>
      <c r="P504" s="13"/>
      <c r="Q504" s="13"/>
      <c r="AE504" s="13"/>
    </row>
    <row r="505">
      <c r="F505" s="13"/>
      <c r="L505" s="255"/>
      <c r="P505" s="13"/>
      <c r="Q505" s="13"/>
      <c r="AE505" s="13"/>
    </row>
    <row r="506">
      <c r="F506" s="13"/>
      <c r="L506" s="255"/>
      <c r="P506" s="13"/>
      <c r="Q506" s="13"/>
      <c r="AE506" s="13"/>
    </row>
    <row r="507">
      <c r="F507" s="13"/>
      <c r="L507" s="255"/>
      <c r="P507" s="13"/>
      <c r="Q507" s="13"/>
      <c r="AE507" s="13"/>
    </row>
    <row r="508">
      <c r="F508" s="13"/>
      <c r="L508" s="255"/>
      <c r="P508" s="13"/>
      <c r="Q508" s="13"/>
      <c r="AE508" s="13"/>
    </row>
    <row r="509">
      <c r="F509" s="13"/>
      <c r="L509" s="255"/>
      <c r="P509" s="13"/>
      <c r="Q509" s="13"/>
      <c r="AE509" s="13"/>
    </row>
    <row r="510">
      <c r="F510" s="13"/>
      <c r="L510" s="255"/>
      <c r="P510" s="13"/>
      <c r="Q510" s="13"/>
      <c r="AE510" s="13"/>
    </row>
    <row r="511">
      <c r="F511" s="13"/>
      <c r="L511" s="255"/>
      <c r="P511" s="13"/>
      <c r="Q511" s="13"/>
      <c r="AE511" s="13"/>
    </row>
    <row r="512">
      <c r="F512" s="13"/>
      <c r="L512" s="255"/>
      <c r="P512" s="13"/>
      <c r="Q512" s="13"/>
      <c r="AE512" s="13"/>
    </row>
    <row r="513">
      <c r="F513" s="13"/>
      <c r="L513" s="255"/>
      <c r="P513" s="13"/>
      <c r="Q513" s="13"/>
      <c r="AE513" s="13"/>
    </row>
    <row r="514">
      <c r="F514" s="13"/>
      <c r="L514" s="255"/>
      <c r="P514" s="13"/>
      <c r="Q514" s="13"/>
      <c r="AE514" s="13"/>
    </row>
    <row r="515">
      <c r="F515" s="13"/>
      <c r="L515" s="255"/>
      <c r="P515" s="13"/>
      <c r="Q515" s="13"/>
      <c r="AE515" s="13"/>
    </row>
    <row r="516">
      <c r="F516" s="13"/>
      <c r="L516" s="255"/>
      <c r="P516" s="13"/>
      <c r="Q516" s="13"/>
      <c r="AE516" s="13"/>
    </row>
    <row r="517">
      <c r="F517" s="13"/>
      <c r="L517" s="255"/>
      <c r="P517" s="13"/>
      <c r="Q517" s="13"/>
      <c r="AE517" s="13"/>
    </row>
    <row r="518">
      <c r="F518" s="13"/>
      <c r="L518" s="255"/>
      <c r="P518" s="13"/>
      <c r="Q518" s="13"/>
      <c r="AE518" s="13"/>
    </row>
    <row r="519">
      <c r="F519" s="13"/>
      <c r="L519" s="255"/>
      <c r="P519" s="13"/>
      <c r="Q519" s="13"/>
      <c r="AE519" s="13"/>
    </row>
    <row r="520">
      <c r="F520" s="13"/>
      <c r="L520" s="255"/>
      <c r="P520" s="13"/>
      <c r="Q520" s="13"/>
      <c r="AE520" s="13"/>
    </row>
    <row r="521">
      <c r="F521" s="13"/>
      <c r="L521" s="255"/>
      <c r="P521" s="13"/>
      <c r="Q521" s="13"/>
      <c r="AE521" s="13"/>
    </row>
    <row r="522">
      <c r="F522" s="13"/>
      <c r="L522" s="255"/>
      <c r="P522" s="13"/>
      <c r="Q522" s="13"/>
      <c r="AE522" s="13"/>
    </row>
    <row r="523">
      <c r="F523" s="13"/>
      <c r="L523" s="255"/>
      <c r="P523" s="13"/>
      <c r="Q523" s="13"/>
      <c r="AE523" s="13"/>
    </row>
    <row r="524">
      <c r="F524" s="13"/>
      <c r="L524" s="255"/>
      <c r="P524" s="13"/>
      <c r="Q524" s="13"/>
      <c r="AE524" s="13"/>
    </row>
    <row r="525">
      <c r="F525" s="13"/>
      <c r="L525" s="255"/>
      <c r="P525" s="13"/>
      <c r="Q525" s="13"/>
      <c r="AE525" s="13"/>
    </row>
    <row r="526">
      <c r="F526" s="13"/>
      <c r="L526" s="255"/>
      <c r="P526" s="13"/>
      <c r="Q526" s="13"/>
      <c r="AE526" s="13"/>
    </row>
    <row r="527">
      <c r="F527" s="13"/>
      <c r="L527" s="255"/>
      <c r="P527" s="13"/>
      <c r="Q527" s="13"/>
      <c r="AE527" s="13"/>
    </row>
    <row r="528">
      <c r="F528" s="13"/>
      <c r="L528" s="255"/>
      <c r="P528" s="13"/>
      <c r="Q528" s="13"/>
      <c r="AE528" s="13"/>
    </row>
    <row r="529">
      <c r="F529" s="13"/>
      <c r="L529" s="255"/>
      <c r="P529" s="13"/>
      <c r="Q529" s="13"/>
      <c r="AE529" s="13"/>
    </row>
    <row r="530">
      <c r="F530" s="13"/>
      <c r="L530" s="255"/>
      <c r="P530" s="13"/>
      <c r="Q530" s="13"/>
      <c r="AE530" s="13"/>
    </row>
    <row r="531">
      <c r="F531" s="13"/>
      <c r="L531" s="255"/>
      <c r="P531" s="13"/>
      <c r="Q531" s="13"/>
      <c r="AE531" s="13"/>
    </row>
    <row r="532">
      <c r="F532" s="13"/>
      <c r="L532" s="255"/>
      <c r="P532" s="13"/>
      <c r="Q532" s="13"/>
      <c r="AE532" s="13"/>
    </row>
    <row r="533">
      <c r="F533" s="13"/>
      <c r="L533" s="255"/>
      <c r="P533" s="13"/>
      <c r="Q533" s="13"/>
      <c r="AE533" s="13"/>
    </row>
    <row r="534">
      <c r="F534" s="13"/>
      <c r="L534" s="255"/>
      <c r="P534" s="13"/>
      <c r="Q534" s="13"/>
      <c r="AE534" s="13"/>
    </row>
    <row r="535">
      <c r="F535" s="13"/>
      <c r="L535" s="255"/>
      <c r="P535" s="13"/>
      <c r="Q535" s="13"/>
      <c r="AE535" s="13"/>
    </row>
    <row r="536">
      <c r="F536" s="13"/>
      <c r="L536" s="255"/>
      <c r="P536" s="13"/>
      <c r="Q536" s="13"/>
      <c r="AE536" s="13"/>
    </row>
    <row r="537">
      <c r="F537" s="13"/>
      <c r="L537" s="255"/>
      <c r="P537" s="13"/>
      <c r="Q537" s="13"/>
      <c r="AE537" s="13"/>
    </row>
    <row r="538">
      <c r="F538" s="13"/>
      <c r="L538" s="255"/>
      <c r="P538" s="13"/>
      <c r="Q538" s="13"/>
      <c r="AE538" s="13"/>
    </row>
    <row r="539">
      <c r="F539" s="13"/>
      <c r="L539" s="255"/>
      <c r="P539" s="13"/>
      <c r="Q539" s="13"/>
      <c r="AE539" s="13"/>
    </row>
    <row r="540">
      <c r="F540" s="13"/>
      <c r="L540" s="255"/>
      <c r="P540" s="13"/>
      <c r="Q540" s="13"/>
      <c r="AE540" s="13"/>
    </row>
    <row r="541">
      <c r="F541" s="13"/>
      <c r="L541" s="255"/>
      <c r="P541" s="13"/>
      <c r="Q541" s="13"/>
      <c r="AE541" s="13"/>
    </row>
    <row r="542">
      <c r="F542" s="13"/>
      <c r="L542" s="255"/>
      <c r="P542" s="13"/>
      <c r="Q542" s="13"/>
      <c r="AE542" s="13"/>
    </row>
    <row r="543">
      <c r="F543" s="13"/>
      <c r="L543" s="255"/>
      <c r="P543" s="13"/>
      <c r="Q543" s="13"/>
      <c r="AE543" s="13"/>
    </row>
    <row r="544">
      <c r="F544" s="13"/>
      <c r="L544" s="255"/>
      <c r="P544" s="13"/>
      <c r="Q544" s="13"/>
      <c r="AE544" s="13"/>
    </row>
    <row r="545">
      <c r="F545" s="13"/>
      <c r="L545" s="255"/>
      <c r="P545" s="13"/>
      <c r="Q545" s="13"/>
      <c r="AE545" s="13"/>
    </row>
    <row r="546">
      <c r="F546" s="13"/>
      <c r="L546" s="255"/>
      <c r="P546" s="13"/>
      <c r="Q546" s="13"/>
      <c r="AE546" s="13"/>
    </row>
    <row r="547">
      <c r="F547" s="13"/>
      <c r="L547" s="255"/>
      <c r="P547" s="13"/>
      <c r="Q547" s="13"/>
      <c r="AE547" s="13"/>
    </row>
    <row r="548">
      <c r="F548" s="13"/>
      <c r="L548" s="255"/>
      <c r="P548" s="13"/>
      <c r="Q548" s="13"/>
      <c r="AE548" s="13"/>
    </row>
    <row r="549">
      <c r="F549" s="13"/>
      <c r="L549" s="255"/>
      <c r="P549" s="13"/>
      <c r="Q549" s="13"/>
      <c r="AE549" s="13"/>
    </row>
    <row r="550">
      <c r="F550" s="13"/>
      <c r="L550" s="255"/>
      <c r="P550" s="13"/>
      <c r="Q550" s="13"/>
      <c r="AE550" s="13"/>
    </row>
    <row r="551">
      <c r="F551" s="13"/>
      <c r="L551" s="255"/>
      <c r="P551" s="13"/>
      <c r="Q551" s="13"/>
      <c r="AE551" s="13"/>
    </row>
    <row r="552">
      <c r="F552" s="13"/>
      <c r="L552" s="255"/>
      <c r="P552" s="13"/>
      <c r="Q552" s="13"/>
      <c r="AE552" s="13"/>
    </row>
    <row r="553">
      <c r="F553" s="13"/>
      <c r="L553" s="255"/>
      <c r="P553" s="13"/>
      <c r="Q553" s="13"/>
      <c r="AE553" s="13"/>
    </row>
    <row r="554">
      <c r="F554" s="13"/>
      <c r="L554" s="255"/>
      <c r="P554" s="13"/>
      <c r="Q554" s="13"/>
      <c r="AE554" s="13"/>
    </row>
    <row r="555">
      <c r="F555" s="13"/>
      <c r="L555" s="255"/>
      <c r="P555" s="13"/>
      <c r="Q555" s="13"/>
      <c r="AE555" s="13"/>
    </row>
    <row r="556">
      <c r="F556" s="13"/>
      <c r="L556" s="255"/>
      <c r="P556" s="13"/>
      <c r="Q556" s="13"/>
      <c r="AE556" s="13"/>
    </row>
    <row r="557">
      <c r="F557" s="13"/>
      <c r="L557" s="255"/>
      <c r="P557" s="13"/>
      <c r="Q557" s="13"/>
      <c r="AE557" s="13"/>
    </row>
    <row r="558">
      <c r="F558" s="13"/>
      <c r="L558" s="255"/>
      <c r="P558" s="13"/>
      <c r="Q558" s="13"/>
      <c r="AE558" s="13"/>
    </row>
    <row r="559">
      <c r="F559" s="13"/>
      <c r="L559" s="255"/>
      <c r="P559" s="13"/>
      <c r="Q559" s="13"/>
      <c r="AE559" s="13"/>
    </row>
    <row r="560">
      <c r="F560" s="13"/>
      <c r="L560" s="255"/>
      <c r="P560" s="13"/>
      <c r="Q560" s="13"/>
      <c r="AE560" s="13"/>
    </row>
    <row r="561">
      <c r="F561" s="13"/>
      <c r="L561" s="255"/>
      <c r="P561" s="13"/>
      <c r="Q561" s="13"/>
      <c r="AE561" s="13"/>
    </row>
    <row r="562">
      <c r="F562" s="13"/>
      <c r="L562" s="255"/>
      <c r="P562" s="13"/>
      <c r="Q562" s="13"/>
      <c r="AE562" s="13"/>
    </row>
    <row r="563">
      <c r="F563" s="13"/>
      <c r="L563" s="255"/>
      <c r="P563" s="13"/>
      <c r="Q563" s="13"/>
      <c r="AE563" s="13"/>
    </row>
    <row r="564">
      <c r="F564" s="13"/>
      <c r="L564" s="255"/>
      <c r="P564" s="13"/>
      <c r="Q564" s="13"/>
      <c r="AE564" s="13"/>
    </row>
    <row r="565">
      <c r="F565" s="13"/>
      <c r="L565" s="255"/>
      <c r="P565" s="13"/>
      <c r="Q565" s="13"/>
      <c r="AE565" s="13"/>
    </row>
    <row r="566">
      <c r="F566" s="13"/>
      <c r="L566" s="255"/>
      <c r="P566" s="13"/>
      <c r="Q566" s="13"/>
      <c r="AE566" s="13"/>
    </row>
    <row r="567">
      <c r="F567" s="13"/>
      <c r="L567" s="255"/>
      <c r="P567" s="13"/>
      <c r="Q567" s="13"/>
      <c r="AE567" s="13"/>
    </row>
    <row r="568">
      <c r="F568" s="13"/>
      <c r="L568" s="255"/>
      <c r="P568" s="13"/>
      <c r="Q568" s="13"/>
      <c r="AE568" s="13"/>
    </row>
    <row r="569">
      <c r="F569" s="13"/>
      <c r="L569" s="255"/>
      <c r="P569" s="13"/>
      <c r="Q569" s="13"/>
      <c r="AE569" s="13"/>
    </row>
    <row r="570">
      <c r="F570" s="13"/>
      <c r="L570" s="255"/>
      <c r="P570" s="13"/>
      <c r="Q570" s="13"/>
      <c r="AE570" s="13"/>
    </row>
    <row r="571">
      <c r="F571" s="13"/>
      <c r="L571" s="255"/>
      <c r="P571" s="13"/>
      <c r="Q571" s="13"/>
      <c r="AE571" s="13"/>
    </row>
    <row r="572">
      <c r="F572" s="13"/>
      <c r="L572" s="255"/>
      <c r="P572" s="13"/>
      <c r="Q572" s="13"/>
      <c r="AE572" s="13"/>
    </row>
    <row r="573">
      <c r="F573" s="13"/>
      <c r="L573" s="255"/>
      <c r="P573" s="13"/>
      <c r="Q573" s="13"/>
      <c r="AE573" s="13"/>
    </row>
    <row r="574">
      <c r="F574" s="13"/>
      <c r="L574" s="255"/>
      <c r="P574" s="13"/>
      <c r="Q574" s="13"/>
      <c r="AE574" s="13"/>
    </row>
    <row r="575">
      <c r="F575" s="13"/>
      <c r="L575" s="255"/>
      <c r="P575" s="13"/>
      <c r="Q575" s="13"/>
      <c r="AE575" s="13"/>
    </row>
    <row r="576">
      <c r="F576" s="13"/>
      <c r="L576" s="255"/>
      <c r="P576" s="13"/>
      <c r="Q576" s="13"/>
      <c r="AE576" s="13"/>
    </row>
    <row r="577">
      <c r="F577" s="13"/>
      <c r="L577" s="255"/>
      <c r="P577" s="13"/>
      <c r="Q577" s="13"/>
      <c r="AE577" s="13"/>
    </row>
    <row r="578">
      <c r="F578" s="13"/>
      <c r="L578" s="255"/>
      <c r="P578" s="13"/>
      <c r="Q578" s="13"/>
      <c r="AE578" s="13"/>
    </row>
    <row r="579">
      <c r="F579" s="13"/>
      <c r="L579" s="255"/>
      <c r="P579" s="13"/>
      <c r="Q579" s="13"/>
      <c r="AE579" s="13"/>
    </row>
    <row r="580">
      <c r="F580" s="13"/>
      <c r="L580" s="255"/>
      <c r="P580" s="13"/>
      <c r="Q580" s="13"/>
      <c r="AE580" s="13"/>
    </row>
    <row r="581">
      <c r="F581" s="13"/>
      <c r="L581" s="255"/>
      <c r="P581" s="13"/>
      <c r="Q581" s="13"/>
      <c r="AE581" s="13"/>
    </row>
    <row r="582">
      <c r="F582" s="13"/>
      <c r="L582" s="255"/>
      <c r="P582" s="13"/>
      <c r="Q582" s="13"/>
      <c r="AE582" s="13"/>
    </row>
    <row r="583">
      <c r="F583" s="13"/>
      <c r="L583" s="255"/>
      <c r="P583" s="13"/>
      <c r="Q583" s="13"/>
      <c r="AE583" s="13"/>
    </row>
    <row r="584">
      <c r="F584" s="13"/>
      <c r="L584" s="255"/>
      <c r="P584" s="13"/>
      <c r="Q584" s="13"/>
      <c r="AE584" s="13"/>
    </row>
    <row r="585">
      <c r="F585" s="13"/>
      <c r="L585" s="255"/>
      <c r="P585" s="13"/>
      <c r="Q585" s="13"/>
      <c r="AE585" s="13"/>
    </row>
    <row r="586">
      <c r="F586" s="13"/>
      <c r="L586" s="255"/>
      <c r="P586" s="13"/>
      <c r="Q586" s="13"/>
      <c r="AE586" s="13"/>
    </row>
    <row r="587">
      <c r="F587" s="13"/>
      <c r="L587" s="255"/>
      <c r="P587" s="13"/>
      <c r="Q587" s="13"/>
      <c r="AE587" s="13"/>
    </row>
    <row r="588">
      <c r="F588" s="13"/>
      <c r="L588" s="255"/>
      <c r="P588" s="13"/>
      <c r="Q588" s="13"/>
      <c r="AE588" s="13"/>
    </row>
    <row r="589">
      <c r="F589" s="13"/>
      <c r="L589" s="255"/>
      <c r="P589" s="13"/>
      <c r="Q589" s="13"/>
      <c r="AE589" s="13"/>
    </row>
    <row r="590">
      <c r="F590" s="13"/>
      <c r="L590" s="255"/>
      <c r="P590" s="13"/>
      <c r="Q590" s="13"/>
      <c r="AE590" s="13"/>
    </row>
    <row r="591">
      <c r="F591" s="13"/>
      <c r="L591" s="255"/>
      <c r="P591" s="13"/>
      <c r="Q591" s="13"/>
      <c r="AE591" s="13"/>
    </row>
    <row r="592">
      <c r="F592" s="13"/>
      <c r="L592" s="255"/>
      <c r="P592" s="13"/>
      <c r="Q592" s="13"/>
      <c r="AE592" s="13"/>
    </row>
    <row r="593">
      <c r="F593" s="13"/>
      <c r="L593" s="255"/>
      <c r="P593" s="13"/>
      <c r="Q593" s="13"/>
      <c r="AE593" s="13"/>
    </row>
    <row r="594">
      <c r="F594" s="13"/>
      <c r="L594" s="255"/>
      <c r="P594" s="13"/>
      <c r="Q594" s="13"/>
      <c r="AE594" s="13"/>
    </row>
    <row r="595">
      <c r="F595" s="13"/>
      <c r="L595" s="255"/>
      <c r="P595" s="13"/>
      <c r="Q595" s="13"/>
      <c r="AE595" s="13"/>
    </row>
    <row r="596">
      <c r="F596" s="13"/>
      <c r="L596" s="255"/>
      <c r="P596" s="13"/>
      <c r="Q596" s="13"/>
      <c r="AE596" s="13"/>
    </row>
    <row r="597">
      <c r="F597" s="13"/>
      <c r="L597" s="255"/>
      <c r="P597" s="13"/>
      <c r="Q597" s="13"/>
      <c r="AE597" s="13"/>
    </row>
    <row r="598">
      <c r="F598" s="13"/>
      <c r="L598" s="255"/>
      <c r="P598" s="13"/>
      <c r="Q598" s="13"/>
      <c r="AE598" s="13"/>
    </row>
    <row r="599">
      <c r="F599" s="13"/>
      <c r="L599" s="255"/>
      <c r="P599" s="13"/>
      <c r="Q599" s="13"/>
      <c r="AE599" s="13"/>
    </row>
    <row r="600">
      <c r="F600" s="13"/>
      <c r="L600" s="255"/>
      <c r="P600" s="13"/>
      <c r="Q600" s="13"/>
      <c r="AE600" s="13"/>
    </row>
    <row r="601">
      <c r="F601" s="13"/>
      <c r="L601" s="255"/>
      <c r="P601" s="13"/>
      <c r="Q601" s="13"/>
      <c r="AE601" s="13"/>
    </row>
    <row r="602">
      <c r="F602" s="13"/>
      <c r="L602" s="255"/>
      <c r="P602" s="13"/>
      <c r="Q602" s="13"/>
      <c r="AE602" s="13"/>
    </row>
    <row r="603">
      <c r="F603" s="13"/>
      <c r="L603" s="255"/>
      <c r="P603" s="13"/>
      <c r="Q603" s="13"/>
      <c r="AE603" s="13"/>
    </row>
    <row r="604">
      <c r="F604" s="13"/>
      <c r="L604" s="255"/>
      <c r="P604" s="13"/>
      <c r="Q604" s="13"/>
      <c r="AE604" s="13"/>
    </row>
    <row r="605">
      <c r="F605" s="13"/>
      <c r="L605" s="255"/>
      <c r="P605" s="13"/>
      <c r="Q605" s="13"/>
      <c r="AE605" s="13"/>
    </row>
    <row r="606">
      <c r="F606" s="13"/>
      <c r="L606" s="255"/>
      <c r="P606" s="13"/>
      <c r="Q606" s="13"/>
      <c r="AE606" s="13"/>
    </row>
    <row r="607">
      <c r="F607" s="13"/>
      <c r="L607" s="255"/>
      <c r="P607" s="13"/>
      <c r="Q607" s="13"/>
      <c r="AE607" s="13"/>
    </row>
    <row r="608">
      <c r="F608" s="13"/>
      <c r="L608" s="255"/>
      <c r="P608" s="13"/>
      <c r="Q608" s="13"/>
      <c r="AE608" s="13"/>
    </row>
    <row r="609">
      <c r="F609" s="13"/>
      <c r="L609" s="255"/>
      <c r="P609" s="13"/>
      <c r="Q609" s="13"/>
      <c r="AE609" s="13"/>
    </row>
    <row r="610">
      <c r="F610" s="13"/>
      <c r="L610" s="255"/>
      <c r="P610" s="13"/>
      <c r="Q610" s="13"/>
      <c r="AE610" s="13"/>
    </row>
    <row r="611">
      <c r="F611" s="13"/>
      <c r="L611" s="255"/>
      <c r="P611" s="13"/>
      <c r="Q611" s="13"/>
      <c r="AE611" s="13"/>
    </row>
    <row r="612">
      <c r="F612" s="13"/>
      <c r="L612" s="255"/>
      <c r="P612" s="13"/>
      <c r="Q612" s="13"/>
      <c r="AE612" s="13"/>
    </row>
    <row r="613">
      <c r="F613" s="13"/>
      <c r="L613" s="255"/>
      <c r="P613" s="13"/>
      <c r="Q613" s="13"/>
      <c r="AE613" s="13"/>
    </row>
    <row r="614">
      <c r="F614" s="13"/>
      <c r="L614" s="255"/>
      <c r="P614" s="13"/>
      <c r="Q614" s="13"/>
      <c r="AE614" s="13"/>
    </row>
    <row r="615">
      <c r="F615" s="13"/>
      <c r="L615" s="255"/>
      <c r="P615" s="13"/>
      <c r="Q615" s="13"/>
      <c r="AE615" s="13"/>
    </row>
    <row r="616">
      <c r="F616" s="13"/>
      <c r="L616" s="255"/>
      <c r="P616" s="13"/>
      <c r="Q616" s="13"/>
      <c r="AE616" s="13"/>
    </row>
    <row r="617">
      <c r="F617" s="13"/>
      <c r="L617" s="255"/>
      <c r="P617" s="13"/>
      <c r="Q617" s="13"/>
      <c r="AE617" s="13"/>
    </row>
    <row r="618">
      <c r="F618" s="13"/>
      <c r="L618" s="255"/>
      <c r="P618" s="13"/>
      <c r="Q618" s="13"/>
      <c r="AE618" s="13"/>
    </row>
    <row r="619">
      <c r="F619" s="13"/>
      <c r="L619" s="255"/>
      <c r="P619" s="13"/>
      <c r="Q619" s="13"/>
      <c r="AE619" s="13"/>
    </row>
    <row r="620">
      <c r="F620" s="13"/>
      <c r="L620" s="255"/>
      <c r="P620" s="13"/>
      <c r="Q620" s="13"/>
      <c r="AE620" s="13"/>
    </row>
    <row r="621">
      <c r="F621" s="13"/>
      <c r="L621" s="255"/>
      <c r="P621" s="13"/>
      <c r="Q621" s="13"/>
      <c r="AE621" s="13"/>
    </row>
    <row r="622">
      <c r="F622" s="13"/>
      <c r="L622" s="255"/>
      <c r="P622" s="13"/>
      <c r="Q622" s="13"/>
      <c r="AE622" s="13"/>
    </row>
    <row r="623">
      <c r="F623" s="13"/>
      <c r="L623" s="255"/>
      <c r="P623" s="13"/>
      <c r="Q623" s="13"/>
      <c r="AE623" s="13"/>
    </row>
    <row r="624">
      <c r="F624" s="13"/>
      <c r="L624" s="255"/>
      <c r="P624" s="13"/>
      <c r="Q624" s="13"/>
      <c r="AE624" s="13"/>
    </row>
    <row r="625">
      <c r="F625" s="13"/>
      <c r="L625" s="255"/>
      <c r="P625" s="13"/>
      <c r="Q625" s="13"/>
      <c r="AE625" s="13"/>
    </row>
    <row r="626">
      <c r="F626" s="13"/>
      <c r="L626" s="255"/>
      <c r="P626" s="13"/>
      <c r="Q626" s="13"/>
      <c r="AE626" s="13"/>
    </row>
    <row r="627">
      <c r="F627" s="13"/>
      <c r="L627" s="255"/>
      <c r="P627" s="13"/>
      <c r="Q627" s="13"/>
      <c r="AE627" s="13"/>
    </row>
    <row r="628">
      <c r="F628" s="13"/>
      <c r="L628" s="255"/>
      <c r="P628" s="13"/>
      <c r="Q628" s="13"/>
      <c r="AE628" s="13"/>
    </row>
    <row r="629">
      <c r="F629" s="13"/>
      <c r="L629" s="255"/>
      <c r="P629" s="13"/>
      <c r="Q629" s="13"/>
      <c r="AE629" s="13"/>
    </row>
    <row r="630">
      <c r="F630" s="13"/>
      <c r="L630" s="255"/>
      <c r="P630" s="13"/>
      <c r="Q630" s="13"/>
      <c r="AE630" s="13"/>
    </row>
    <row r="631">
      <c r="F631" s="13"/>
      <c r="L631" s="255"/>
      <c r="P631" s="13"/>
      <c r="Q631" s="13"/>
      <c r="AE631" s="13"/>
    </row>
    <row r="632">
      <c r="F632" s="13"/>
      <c r="L632" s="255"/>
      <c r="P632" s="13"/>
      <c r="Q632" s="13"/>
      <c r="AE632" s="13"/>
    </row>
    <row r="633">
      <c r="F633" s="13"/>
      <c r="L633" s="255"/>
      <c r="P633" s="13"/>
      <c r="Q633" s="13"/>
      <c r="AE633" s="13"/>
    </row>
    <row r="634">
      <c r="F634" s="13"/>
      <c r="L634" s="255"/>
      <c r="P634" s="13"/>
      <c r="Q634" s="13"/>
      <c r="AE634" s="13"/>
    </row>
    <row r="635">
      <c r="F635" s="13"/>
      <c r="L635" s="255"/>
      <c r="P635" s="13"/>
      <c r="Q635" s="13"/>
      <c r="AE635" s="13"/>
    </row>
    <row r="636">
      <c r="F636" s="13"/>
      <c r="L636" s="255"/>
      <c r="P636" s="13"/>
      <c r="Q636" s="13"/>
      <c r="AE636" s="13"/>
    </row>
    <row r="637">
      <c r="F637" s="13"/>
      <c r="L637" s="255"/>
      <c r="P637" s="13"/>
      <c r="Q637" s="13"/>
      <c r="AE637" s="13"/>
    </row>
    <row r="638">
      <c r="F638" s="13"/>
      <c r="L638" s="255"/>
      <c r="P638" s="13"/>
      <c r="Q638" s="13"/>
      <c r="AE638" s="13"/>
    </row>
    <row r="639">
      <c r="F639" s="13"/>
      <c r="L639" s="255"/>
      <c r="P639" s="13"/>
      <c r="Q639" s="13"/>
      <c r="AE639" s="13"/>
    </row>
    <row r="640">
      <c r="F640" s="13"/>
      <c r="L640" s="255"/>
      <c r="P640" s="13"/>
      <c r="Q640" s="13"/>
      <c r="AE640" s="13"/>
    </row>
    <row r="641">
      <c r="F641" s="13"/>
      <c r="L641" s="255"/>
      <c r="P641" s="13"/>
      <c r="Q641" s="13"/>
      <c r="AE641" s="13"/>
    </row>
    <row r="642">
      <c r="F642" s="13"/>
      <c r="L642" s="255"/>
      <c r="P642" s="13"/>
      <c r="Q642" s="13"/>
      <c r="AE642" s="13"/>
    </row>
    <row r="643">
      <c r="F643" s="13"/>
      <c r="L643" s="255"/>
      <c r="P643" s="13"/>
      <c r="Q643" s="13"/>
      <c r="AE643" s="13"/>
    </row>
    <row r="644">
      <c r="F644" s="13"/>
      <c r="L644" s="255"/>
      <c r="P644" s="13"/>
      <c r="Q644" s="13"/>
      <c r="AE644" s="13"/>
    </row>
    <row r="645">
      <c r="F645" s="13"/>
      <c r="L645" s="255"/>
      <c r="P645" s="13"/>
      <c r="Q645" s="13"/>
      <c r="AE645" s="13"/>
    </row>
    <row r="646">
      <c r="F646" s="13"/>
      <c r="L646" s="255"/>
      <c r="P646" s="13"/>
      <c r="Q646" s="13"/>
      <c r="AE646" s="13"/>
    </row>
    <row r="647">
      <c r="F647" s="13"/>
      <c r="L647" s="255"/>
      <c r="P647" s="13"/>
      <c r="Q647" s="13"/>
      <c r="AE647" s="13"/>
    </row>
    <row r="648">
      <c r="F648" s="13"/>
      <c r="L648" s="255"/>
      <c r="P648" s="13"/>
      <c r="Q648" s="13"/>
      <c r="AE648" s="13"/>
    </row>
    <row r="649">
      <c r="F649" s="13"/>
      <c r="L649" s="255"/>
      <c r="P649" s="13"/>
      <c r="Q649" s="13"/>
      <c r="AE649" s="13"/>
    </row>
    <row r="650">
      <c r="F650" s="13"/>
      <c r="L650" s="255"/>
      <c r="P650" s="13"/>
      <c r="Q650" s="13"/>
      <c r="AE650" s="13"/>
    </row>
    <row r="651">
      <c r="F651" s="13"/>
      <c r="L651" s="255"/>
      <c r="P651" s="13"/>
      <c r="Q651" s="13"/>
      <c r="AE651" s="13"/>
    </row>
    <row r="652">
      <c r="F652" s="13"/>
      <c r="L652" s="255"/>
      <c r="P652" s="13"/>
      <c r="Q652" s="13"/>
      <c r="AE652" s="13"/>
    </row>
    <row r="653">
      <c r="F653" s="13"/>
      <c r="L653" s="255"/>
      <c r="P653" s="13"/>
      <c r="Q653" s="13"/>
      <c r="AE653" s="13"/>
    </row>
    <row r="654">
      <c r="F654" s="13"/>
      <c r="L654" s="255"/>
      <c r="P654" s="13"/>
      <c r="Q654" s="13"/>
      <c r="AE654" s="13"/>
    </row>
    <row r="655">
      <c r="F655" s="13"/>
      <c r="L655" s="255"/>
      <c r="P655" s="13"/>
      <c r="Q655" s="13"/>
      <c r="AE655" s="13"/>
    </row>
    <row r="656">
      <c r="F656" s="13"/>
      <c r="L656" s="255"/>
      <c r="P656" s="13"/>
      <c r="Q656" s="13"/>
      <c r="AE656" s="13"/>
    </row>
    <row r="657">
      <c r="F657" s="13"/>
      <c r="L657" s="255"/>
      <c r="P657" s="13"/>
      <c r="Q657" s="13"/>
      <c r="AE657" s="13"/>
    </row>
    <row r="658">
      <c r="F658" s="13"/>
      <c r="L658" s="255"/>
      <c r="P658" s="13"/>
      <c r="Q658" s="13"/>
      <c r="AE658" s="13"/>
    </row>
    <row r="659">
      <c r="F659" s="13"/>
      <c r="L659" s="255"/>
      <c r="P659" s="13"/>
      <c r="Q659" s="13"/>
      <c r="AE659" s="13"/>
    </row>
    <row r="660">
      <c r="F660" s="13"/>
      <c r="L660" s="255"/>
      <c r="P660" s="13"/>
      <c r="Q660" s="13"/>
      <c r="AE660" s="13"/>
    </row>
    <row r="661">
      <c r="F661" s="13"/>
      <c r="L661" s="255"/>
      <c r="P661" s="13"/>
      <c r="Q661" s="13"/>
      <c r="AE661" s="13"/>
    </row>
    <row r="662">
      <c r="F662" s="13"/>
      <c r="L662" s="255"/>
      <c r="P662" s="13"/>
      <c r="Q662" s="13"/>
      <c r="AE662" s="13"/>
    </row>
    <row r="663">
      <c r="F663" s="13"/>
      <c r="L663" s="255"/>
      <c r="P663" s="13"/>
      <c r="Q663" s="13"/>
      <c r="AE663" s="13"/>
    </row>
    <row r="664">
      <c r="F664" s="13"/>
      <c r="L664" s="255"/>
      <c r="P664" s="13"/>
      <c r="Q664" s="13"/>
      <c r="AE664" s="13"/>
    </row>
    <row r="665">
      <c r="F665" s="13"/>
      <c r="L665" s="255"/>
      <c r="P665" s="13"/>
      <c r="Q665" s="13"/>
      <c r="AE665" s="13"/>
    </row>
    <row r="666">
      <c r="F666" s="13"/>
      <c r="L666" s="255"/>
      <c r="P666" s="13"/>
      <c r="Q666" s="13"/>
      <c r="AE666" s="13"/>
    </row>
    <row r="667">
      <c r="F667" s="13"/>
      <c r="L667" s="255"/>
      <c r="P667" s="13"/>
      <c r="Q667" s="13"/>
      <c r="AE667" s="13"/>
    </row>
    <row r="668">
      <c r="F668" s="13"/>
      <c r="L668" s="255"/>
      <c r="P668" s="13"/>
      <c r="Q668" s="13"/>
      <c r="AE668" s="13"/>
    </row>
    <row r="669">
      <c r="F669" s="13"/>
      <c r="L669" s="255"/>
      <c r="P669" s="13"/>
      <c r="Q669" s="13"/>
      <c r="AE669" s="13"/>
    </row>
    <row r="670">
      <c r="F670" s="13"/>
      <c r="L670" s="255"/>
      <c r="P670" s="13"/>
      <c r="Q670" s="13"/>
      <c r="AE670" s="13"/>
    </row>
    <row r="671">
      <c r="F671" s="13"/>
      <c r="L671" s="255"/>
      <c r="P671" s="13"/>
      <c r="Q671" s="13"/>
      <c r="AE671" s="13"/>
    </row>
    <row r="672">
      <c r="F672" s="13"/>
      <c r="L672" s="255"/>
      <c r="P672" s="13"/>
      <c r="Q672" s="13"/>
      <c r="AE672" s="13"/>
    </row>
    <row r="673">
      <c r="F673" s="13"/>
      <c r="L673" s="255"/>
      <c r="P673" s="13"/>
      <c r="Q673" s="13"/>
      <c r="AE673" s="13"/>
    </row>
    <row r="674">
      <c r="F674" s="13"/>
      <c r="L674" s="255"/>
      <c r="P674" s="13"/>
      <c r="Q674" s="13"/>
      <c r="AE674" s="13"/>
    </row>
    <row r="675">
      <c r="F675" s="13"/>
      <c r="L675" s="255"/>
      <c r="P675" s="13"/>
      <c r="Q675" s="13"/>
      <c r="AE675" s="13"/>
    </row>
    <row r="676">
      <c r="F676" s="13"/>
      <c r="L676" s="255"/>
      <c r="P676" s="13"/>
      <c r="Q676" s="13"/>
      <c r="AE676" s="13"/>
    </row>
    <row r="677">
      <c r="F677" s="13"/>
      <c r="L677" s="255"/>
      <c r="P677" s="13"/>
      <c r="Q677" s="13"/>
      <c r="AE677" s="13"/>
    </row>
    <row r="678">
      <c r="F678" s="13"/>
      <c r="L678" s="255"/>
      <c r="P678" s="13"/>
      <c r="Q678" s="13"/>
      <c r="AE678" s="13"/>
    </row>
    <row r="679">
      <c r="F679" s="13"/>
      <c r="L679" s="255"/>
      <c r="P679" s="13"/>
      <c r="Q679" s="13"/>
      <c r="AE679" s="13"/>
    </row>
    <row r="680">
      <c r="F680" s="13"/>
      <c r="L680" s="255"/>
      <c r="P680" s="13"/>
      <c r="Q680" s="13"/>
      <c r="AE680" s="13"/>
    </row>
    <row r="681">
      <c r="F681" s="13"/>
      <c r="L681" s="255"/>
      <c r="P681" s="13"/>
      <c r="Q681" s="13"/>
      <c r="AE681" s="13"/>
    </row>
    <row r="682">
      <c r="F682" s="13"/>
      <c r="L682" s="255"/>
      <c r="P682" s="13"/>
      <c r="Q682" s="13"/>
      <c r="AE682" s="13"/>
    </row>
    <row r="683">
      <c r="F683" s="13"/>
      <c r="L683" s="255"/>
      <c r="P683" s="13"/>
      <c r="Q683" s="13"/>
      <c r="AE683" s="13"/>
    </row>
    <row r="684">
      <c r="F684" s="13"/>
      <c r="L684" s="255"/>
      <c r="P684" s="13"/>
      <c r="Q684" s="13"/>
      <c r="AE684" s="13"/>
    </row>
    <row r="685">
      <c r="F685" s="13"/>
      <c r="L685" s="255"/>
      <c r="P685" s="13"/>
      <c r="Q685" s="13"/>
      <c r="AE685" s="13"/>
    </row>
    <row r="686">
      <c r="F686" s="13"/>
      <c r="L686" s="255"/>
      <c r="P686" s="13"/>
      <c r="Q686" s="13"/>
      <c r="AE686" s="13"/>
    </row>
    <row r="687">
      <c r="F687" s="13"/>
      <c r="L687" s="255"/>
      <c r="P687" s="13"/>
      <c r="Q687" s="13"/>
      <c r="AE687" s="13"/>
    </row>
    <row r="688">
      <c r="F688" s="13"/>
      <c r="L688" s="255"/>
      <c r="P688" s="13"/>
      <c r="Q688" s="13"/>
      <c r="AE688" s="13"/>
    </row>
    <row r="689">
      <c r="F689" s="13"/>
      <c r="L689" s="255"/>
      <c r="P689" s="13"/>
      <c r="Q689" s="13"/>
      <c r="AE689" s="13"/>
    </row>
    <row r="690">
      <c r="F690" s="13"/>
      <c r="L690" s="255"/>
      <c r="P690" s="13"/>
      <c r="Q690" s="13"/>
      <c r="AE690" s="13"/>
    </row>
    <row r="691">
      <c r="F691" s="13"/>
      <c r="L691" s="255"/>
      <c r="P691" s="13"/>
      <c r="Q691" s="13"/>
      <c r="AE691" s="13"/>
    </row>
    <row r="692">
      <c r="F692" s="13"/>
      <c r="L692" s="255"/>
      <c r="P692" s="13"/>
      <c r="Q692" s="13"/>
      <c r="AE692" s="13"/>
    </row>
    <row r="693">
      <c r="F693" s="13"/>
      <c r="L693" s="255"/>
      <c r="P693" s="13"/>
      <c r="Q693" s="13"/>
      <c r="AE693" s="13"/>
    </row>
    <row r="694">
      <c r="F694" s="13"/>
      <c r="L694" s="255"/>
      <c r="P694" s="13"/>
      <c r="Q694" s="13"/>
      <c r="AE694" s="13"/>
    </row>
    <row r="695">
      <c r="F695" s="13"/>
      <c r="L695" s="255"/>
      <c r="P695" s="13"/>
      <c r="Q695" s="13"/>
      <c r="AE695" s="13"/>
    </row>
    <row r="696">
      <c r="F696" s="13"/>
      <c r="L696" s="255"/>
      <c r="P696" s="13"/>
      <c r="Q696" s="13"/>
      <c r="AE696" s="13"/>
    </row>
    <row r="697">
      <c r="F697" s="13"/>
      <c r="L697" s="255"/>
      <c r="P697" s="13"/>
      <c r="Q697" s="13"/>
      <c r="AE697" s="13"/>
    </row>
    <row r="698">
      <c r="F698" s="13"/>
      <c r="L698" s="255"/>
      <c r="P698" s="13"/>
      <c r="Q698" s="13"/>
      <c r="AE698" s="13"/>
    </row>
    <row r="699">
      <c r="F699" s="13"/>
      <c r="L699" s="255"/>
      <c r="P699" s="13"/>
      <c r="Q699" s="13"/>
      <c r="AE699" s="13"/>
    </row>
    <row r="700">
      <c r="F700" s="13"/>
      <c r="L700" s="255"/>
      <c r="P700" s="13"/>
      <c r="Q700" s="13"/>
      <c r="AE700" s="13"/>
    </row>
    <row r="701">
      <c r="F701" s="13"/>
      <c r="L701" s="255"/>
      <c r="P701" s="13"/>
      <c r="Q701" s="13"/>
      <c r="AE701" s="13"/>
    </row>
    <row r="702">
      <c r="F702" s="13"/>
      <c r="L702" s="255"/>
      <c r="P702" s="13"/>
      <c r="Q702" s="13"/>
      <c r="AE702" s="13"/>
    </row>
    <row r="703">
      <c r="F703" s="13"/>
      <c r="L703" s="255"/>
      <c r="P703" s="13"/>
      <c r="Q703" s="13"/>
      <c r="AE703" s="13"/>
    </row>
    <row r="704">
      <c r="F704" s="13"/>
      <c r="L704" s="255"/>
      <c r="P704" s="13"/>
      <c r="Q704" s="13"/>
      <c r="AE704" s="13"/>
    </row>
    <row r="705">
      <c r="F705" s="13"/>
      <c r="L705" s="255"/>
      <c r="P705" s="13"/>
      <c r="Q705" s="13"/>
      <c r="AE705" s="13"/>
    </row>
    <row r="706">
      <c r="F706" s="13"/>
      <c r="L706" s="255"/>
      <c r="P706" s="13"/>
      <c r="Q706" s="13"/>
      <c r="AE706" s="13"/>
    </row>
    <row r="707">
      <c r="F707" s="13"/>
      <c r="L707" s="255"/>
      <c r="P707" s="13"/>
      <c r="Q707" s="13"/>
      <c r="AE707" s="13"/>
    </row>
    <row r="708">
      <c r="F708" s="13"/>
      <c r="L708" s="255"/>
      <c r="P708" s="13"/>
      <c r="Q708" s="13"/>
      <c r="AE708" s="13"/>
    </row>
    <row r="709">
      <c r="F709" s="13"/>
      <c r="L709" s="255"/>
      <c r="P709" s="13"/>
      <c r="Q709" s="13"/>
      <c r="AE709" s="13"/>
    </row>
    <row r="710">
      <c r="F710" s="13"/>
      <c r="L710" s="255"/>
      <c r="P710" s="13"/>
      <c r="Q710" s="13"/>
      <c r="AE710" s="13"/>
    </row>
    <row r="711">
      <c r="F711" s="13"/>
      <c r="L711" s="255"/>
      <c r="P711" s="13"/>
      <c r="Q711" s="13"/>
      <c r="AE711" s="13"/>
    </row>
    <row r="712">
      <c r="F712" s="13"/>
      <c r="L712" s="255"/>
      <c r="P712" s="13"/>
      <c r="Q712" s="13"/>
      <c r="AE712" s="13"/>
    </row>
    <row r="713">
      <c r="F713" s="13"/>
      <c r="L713" s="255"/>
      <c r="P713" s="13"/>
      <c r="Q713" s="13"/>
      <c r="AE713" s="13"/>
    </row>
    <row r="714">
      <c r="F714" s="13"/>
      <c r="L714" s="255"/>
      <c r="P714" s="13"/>
      <c r="Q714" s="13"/>
      <c r="AE714" s="13"/>
    </row>
    <row r="715">
      <c r="F715" s="13"/>
      <c r="L715" s="255"/>
      <c r="P715" s="13"/>
      <c r="Q715" s="13"/>
      <c r="AE715" s="13"/>
    </row>
    <row r="716">
      <c r="F716" s="13"/>
      <c r="L716" s="255"/>
      <c r="P716" s="13"/>
      <c r="Q716" s="13"/>
      <c r="AE716" s="13"/>
    </row>
    <row r="717">
      <c r="F717" s="13"/>
      <c r="L717" s="255"/>
      <c r="P717" s="13"/>
      <c r="Q717" s="13"/>
      <c r="AE717" s="13"/>
    </row>
    <row r="718">
      <c r="F718" s="13"/>
      <c r="L718" s="255"/>
      <c r="P718" s="13"/>
      <c r="Q718" s="13"/>
      <c r="AE718" s="13"/>
    </row>
    <row r="719">
      <c r="F719" s="13"/>
      <c r="L719" s="255"/>
      <c r="P719" s="13"/>
      <c r="Q719" s="13"/>
      <c r="AE719" s="13"/>
    </row>
    <row r="720">
      <c r="F720" s="13"/>
      <c r="L720" s="255"/>
      <c r="P720" s="13"/>
      <c r="Q720" s="13"/>
      <c r="AE720" s="13"/>
    </row>
    <row r="721">
      <c r="F721" s="13"/>
      <c r="L721" s="255"/>
      <c r="P721" s="13"/>
      <c r="Q721" s="13"/>
      <c r="AE721" s="13"/>
    </row>
    <row r="722">
      <c r="F722" s="13"/>
      <c r="L722" s="255"/>
      <c r="P722" s="13"/>
      <c r="Q722" s="13"/>
      <c r="AE722" s="13"/>
    </row>
    <row r="723">
      <c r="F723" s="13"/>
      <c r="L723" s="255"/>
      <c r="P723" s="13"/>
      <c r="Q723" s="13"/>
      <c r="AE723" s="13"/>
    </row>
    <row r="724">
      <c r="F724" s="13"/>
      <c r="L724" s="255"/>
      <c r="P724" s="13"/>
      <c r="Q724" s="13"/>
      <c r="AE724" s="13"/>
    </row>
    <row r="725">
      <c r="F725" s="13"/>
      <c r="L725" s="255"/>
      <c r="P725" s="13"/>
      <c r="Q725" s="13"/>
      <c r="AE725" s="13"/>
    </row>
    <row r="726">
      <c r="F726" s="13"/>
      <c r="L726" s="255"/>
      <c r="P726" s="13"/>
      <c r="Q726" s="13"/>
      <c r="AE726" s="13"/>
    </row>
    <row r="727">
      <c r="F727" s="13"/>
      <c r="L727" s="255"/>
      <c r="P727" s="13"/>
      <c r="Q727" s="13"/>
      <c r="AE727" s="13"/>
    </row>
    <row r="728">
      <c r="F728" s="13"/>
      <c r="L728" s="255"/>
      <c r="P728" s="13"/>
      <c r="Q728" s="13"/>
      <c r="AE728" s="13"/>
    </row>
    <row r="729">
      <c r="F729" s="13"/>
      <c r="L729" s="255"/>
      <c r="P729" s="13"/>
      <c r="Q729" s="13"/>
      <c r="AE729" s="13"/>
    </row>
    <row r="730">
      <c r="F730" s="13"/>
      <c r="L730" s="255"/>
      <c r="P730" s="13"/>
      <c r="Q730" s="13"/>
      <c r="AE730" s="13"/>
    </row>
    <row r="731">
      <c r="F731" s="13"/>
      <c r="L731" s="255"/>
      <c r="P731" s="13"/>
      <c r="Q731" s="13"/>
      <c r="AE731" s="13"/>
    </row>
    <row r="732">
      <c r="F732" s="13"/>
      <c r="L732" s="255"/>
      <c r="P732" s="13"/>
      <c r="Q732" s="13"/>
      <c r="AE732" s="13"/>
    </row>
    <row r="733">
      <c r="F733" s="13"/>
      <c r="L733" s="255"/>
      <c r="P733" s="13"/>
      <c r="Q733" s="13"/>
      <c r="AE733" s="13"/>
    </row>
    <row r="734">
      <c r="F734" s="13"/>
      <c r="L734" s="255"/>
      <c r="P734" s="13"/>
      <c r="Q734" s="13"/>
      <c r="AE734" s="13"/>
    </row>
    <row r="735">
      <c r="F735" s="13"/>
      <c r="L735" s="255"/>
      <c r="P735" s="13"/>
      <c r="Q735" s="13"/>
      <c r="AE735" s="13"/>
    </row>
    <row r="736">
      <c r="F736" s="13"/>
      <c r="L736" s="255"/>
      <c r="P736" s="13"/>
      <c r="Q736" s="13"/>
      <c r="AE736" s="13"/>
    </row>
    <row r="737">
      <c r="F737" s="13"/>
      <c r="L737" s="255"/>
      <c r="P737" s="13"/>
      <c r="Q737" s="13"/>
      <c r="AE737" s="13"/>
    </row>
    <row r="738">
      <c r="F738" s="13"/>
      <c r="L738" s="255"/>
      <c r="P738" s="13"/>
      <c r="Q738" s="13"/>
      <c r="AE738" s="13"/>
    </row>
    <row r="739">
      <c r="F739" s="13"/>
      <c r="L739" s="255"/>
      <c r="P739" s="13"/>
      <c r="Q739" s="13"/>
      <c r="AE739" s="13"/>
    </row>
    <row r="740">
      <c r="F740" s="13"/>
      <c r="L740" s="255"/>
      <c r="P740" s="13"/>
      <c r="Q740" s="13"/>
      <c r="AE740" s="13"/>
    </row>
    <row r="741">
      <c r="F741" s="13"/>
      <c r="L741" s="255"/>
      <c r="P741" s="13"/>
      <c r="Q741" s="13"/>
      <c r="AE741" s="13"/>
    </row>
    <row r="742">
      <c r="F742" s="13"/>
      <c r="L742" s="255"/>
      <c r="P742" s="13"/>
      <c r="Q742" s="13"/>
      <c r="AE742" s="13"/>
    </row>
    <row r="743">
      <c r="F743" s="13"/>
      <c r="L743" s="255"/>
      <c r="P743" s="13"/>
      <c r="Q743" s="13"/>
      <c r="AE743" s="13"/>
    </row>
    <row r="744">
      <c r="F744" s="13"/>
      <c r="L744" s="255"/>
      <c r="P744" s="13"/>
      <c r="Q744" s="13"/>
      <c r="AE744" s="13"/>
    </row>
    <row r="745">
      <c r="F745" s="13"/>
      <c r="L745" s="255"/>
      <c r="P745" s="13"/>
      <c r="Q745" s="13"/>
      <c r="AE745" s="13"/>
    </row>
    <row r="746">
      <c r="F746" s="13"/>
      <c r="L746" s="255"/>
      <c r="P746" s="13"/>
      <c r="Q746" s="13"/>
      <c r="AE746" s="13"/>
    </row>
    <row r="747">
      <c r="F747" s="13"/>
      <c r="L747" s="255"/>
      <c r="P747" s="13"/>
      <c r="Q747" s="13"/>
      <c r="AE747" s="13"/>
    </row>
    <row r="748">
      <c r="F748" s="13"/>
      <c r="L748" s="255"/>
      <c r="P748" s="13"/>
      <c r="Q748" s="13"/>
      <c r="AE748" s="13"/>
    </row>
    <row r="749">
      <c r="F749" s="13"/>
      <c r="L749" s="255"/>
      <c r="P749" s="13"/>
      <c r="Q749" s="13"/>
      <c r="AE749" s="13"/>
    </row>
    <row r="750">
      <c r="F750" s="13"/>
      <c r="L750" s="255"/>
      <c r="P750" s="13"/>
      <c r="Q750" s="13"/>
      <c r="AE750" s="13"/>
    </row>
    <row r="751">
      <c r="F751" s="13"/>
      <c r="L751" s="255"/>
      <c r="P751" s="13"/>
      <c r="Q751" s="13"/>
      <c r="AE751" s="13"/>
    </row>
    <row r="752">
      <c r="F752" s="13"/>
      <c r="L752" s="255"/>
      <c r="P752" s="13"/>
      <c r="Q752" s="13"/>
      <c r="AE752" s="13"/>
    </row>
    <row r="753">
      <c r="F753" s="13"/>
      <c r="L753" s="255"/>
      <c r="P753" s="13"/>
      <c r="Q753" s="13"/>
      <c r="AE753" s="13"/>
    </row>
    <row r="754">
      <c r="F754" s="13"/>
      <c r="L754" s="255"/>
      <c r="P754" s="13"/>
      <c r="Q754" s="13"/>
      <c r="AE754" s="13"/>
    </row>
    <row r="755">
      <c r="F755" s="13"/>
      <c r="L755" s="255"/>
      <c r="P755" s="13"/>
      <c r="Q755" s="13"/>
      <c r="AE755" s="13"/>
    </row>
    <row r="756">
      <c r="F756" s="13"/>
      <c r="L756" s="255"/>
      <c r="P756" s="13"/>
      <c r="Q756" s="13"/>
      <c r="AE756" s="13"/>
    </row>
    <row r="757">
      <c r="F757" s="13"/>
      <c r="L757" s="255"/>
      <c r="P757" s="13"/>
      <c r="Q757" s="13"/>
      <c r="AE757" s="13"/>
    </row>
    <row r="758">
      <c r="F758" s="13"/>
      <c r="L758" s="255"/>
      <c r="P758" s="13"/>
      <c r="Q758" s="13"/>
      <c r="AE758" s="13"/>
    </row>
    <row r="759">
      <c r="F759" s="13"/>
      <c r="L759" s="255"/>
      <c r="P759" s="13"/>
      <c r="Q759" s="13"/>
      <c r="AE759" s="13"/>
    </row>
    <row r="760">
      <c r="F760" s="13"/>
      <c r="L760" s="255"/>
      <c r="P760" s="13"/>
      <c r="Q760" s="13"/>
      <c r="AE760" s="13"/>
    </row>
    <row r="761">
      <c r="F761" s="13"/>
      <c r="L761" s="255"/>
      <c r="P761" s="13"/>
      <c r="Q761" s="13"/>
      <c r="AE761" s="13"/>
    </row>
    <row r="762">
      <c r="F762" s="13"/>
      <c r="L762" s="255"/>
      <c r="P762" s="13"/>
      <c r="Q762" s="13"/>
      <c r="AE762" s="13"/>
    </row>
    <row r="763">
      <c r="F763" s="13"/>
      <c r="L763" s="255"/>
      <c r="P763" s="13"/>
      <c r="Q763" s="13"/>
      <c r="AE763" s="13"/>
    </row>
    <row r="764">
      <c r="F764" s="13"/>
      <c r="L764" s="255"/>
      <c r="P764" s="13"/>
      <c r="Q764" s="13"/>
      <c r="AE764" s="13"/>
    </row>
    <row r="765">
      <c r="F765" s="13"/>
      <c r="L765" s="255"/>
      <c r="P765" s="13"/>
      <c r="Q765" s="13"/>
      <c r="AE765" s="13"/>
    </row>
    <row r="766">
      <c r="F766" s="13"/>
      <c r="L766" s="255"/>
      <c r="P766" s="13"/>
      <c r="Q766" s="13"/>
      <c r="AE766" s="13"/>
    </row>
    <row r="767">
      <c r="F767" s="13"/>
      <c r="L767" s="255"/>
      <c r="P767" s="13"/>
      <c r="Q767" s="13"/>
      <c r="AE767" s="13"/>
    </row>
    <row r="768">
      <c r="F768" s="13"/>
      <c r="L768" s="255"/>
      <c r="P768" s="13"/>
      <c r="Q768" s="13"/>
      <c r="AE768" s="13"/>
    </row>
    <row r="769">
      <c r="F769" s="13"/>
      <c r="L769" s="255"/>
      <c r="P769" s="13"/>
      <c r="Q769" s="13"/>
      <c r="AE769" s="13"/>
    </row>
    <row r="770">
      <c r="F770" s="13"/>
      <c r="L770" s="255"/>
      <c r="P770" s="13"/>
      <c r="Q770" s="13"/>
      <c r="AE770" s="13"/>
    </row>
    <row r="771">
      <c r="F771" s="13"/>
      <c r="L771" s="255"/>
      <c r="P771" s="13"/>
      <c r="Q771" s="13"/>
      <c r="AE771" s="13"/>
    </row>
    <row r="772">
      <c r="F772" s="13"/>
      <c r="L772" s="255"/>
      <c r="P772" s="13"/>
      <c r="Q772" s="13"/>
      <c r="AE772" s="13"/>
    </row>
    <row r="773">
      <c r="F773" s="13"/>
      <c r="L773" s="255"/>
      <c r="P773" s="13"/>
      <c r="Q773" s="13"/>
      <c r="AE773" s="13"/>
    </row>
    <row r="774">
      <c r="F774" s="13"/>
      <c r="L774" s="255"/>
      <c r="P774" s="13"/>
      <c r="Q774" s="13"/>
      <c r="AE774" s="13"/>
    </row>
    <row r="775">
      <c r="F775" s="13"/>
      <c r="L775" s="255"/>
      <c r="P775" s="13"/>
      <c r="Q775" s="13"/>
      <c r="AE775" s="13"/>
    </row>
    <row r="776">
      <c r="F776" s="13"/>
      <c r="L776" s="255"/>
      <c r="P776" s="13"/>
      <c r="Q776" s="13"/>
      <c r="AE776" s="13"/>
    </row>
    <row r="777">
      <c r="F777" s="13"/>
      <c r="L777" s="255"/>
      <c r="P777" s="13"/>
      <c r="Q777" s="13"/>
      <c r="AE777" s="13"/>
    </row>
    <row r="778">
      <c r="F778" s="13"/>
      <c r="L778" s="255"/>
      <c r="P778" s="13"/>
      <c r="Q778" s="13"/>
      <c r="AE778" s="13"/>
    </row>
    <row r="779">
      <c r="F779" s="13"/>
      <c r="L779" s="255"/>
      <c r="P779" s="13"/>
      <c r="Q779" s="13"/>
      <c r="AE779" s="13"/>
    </row>
    <row r="780">
      <c r="F780" s="13"/>
      <c r="L780" s="255"/>
      <c r="P780" s="13"/>
      <c r="Q780" s="13"/>
      <c r="AE780" s="13"/>
    </row>
    <row r="781">
      <c r="F781" s="13"/>
      <c r="L781" s="255"/>
      <c r="P781" s="13"/>
      <c r="Q781" s="13"/>
      <c r="AE781" s="13"/>
    </row>
    <row r="782">
      <c r="F782" s="13"/>
      <c r="L782" s="255"/>
      <c r="P782" s="13"/>
      <c r="Q782" s="13"/>
      <c r="AE782" s="13"/>
    </row>
    <row r="783">
      <c r="F783" s="13"/>
      <c r="L783" s="255"/>
      <c r="P783" s="13"/>
      <c r="Q783" s="13"/>
      <c r="AE783" s="13"/>
    </row>
    <row r="784">
      <c r="F784" s="13"/>
      <c r="L784" s="255"/>
      <c r="P784" s="13"/>
      <c r="Q784" s="13"/>
      <c r="AE784" s="13"/>
    </row>
    <row r="785">
      <c r="F785" s="13"/>
      <c r="L785" s="255"/>
      <c r="P785" s="13"/>
      <c r="Q785" s="13"/>
      <c r="AE785" s="13"/>
    </row>
    <row r="786">
      <c r="F786" s="13"/>
      <c r="L786" s="255"/>
      <c r="P786" s="13"/>
      <c r="Q786" s="13"/>
      <c r="AE786" s="13"/>
    </row>
    <row r="787">
      <c r="F787" s="13"/>
      <c r="L787" s="255"/>
      <c r="P787" s="13"/>
      <c r="Q787" s="13"/>
      <c r="AE787" s="13"/>
    </row>
    <row r="788">
      <c r="F788" s="13"/>
      <c r="L788" s="255"/>
      <c r="P788" s="13"/>
      <c r="Q788" s="13"/>
      <c r="AE788" s="13"/>
    </row>
    <row r="789">
      <c r="F789" s="13"/>
      <c r="L789" s="255"/>
      <c r="P789" s="13"/>
      <c r="Q789" s="13"/>
      <c r="AE789" s="13"/>
    </row>
    <row r="790">
      <c r="F790" s="13"/>
      <c r="L790" s="255"/>
      <c r="P790" s="13"/>
      <c r="Q790" s="13"/>
      <c r="AE790" s="13"/>
    </row>
    <row r="791">
      <c r="F791" s="13"/>
      <c r="L791" s="255"/>
      <c r="P791" s="13"/>
      <c r="Q791" s="13"/>
      <c r="AE791" s="13"/>
    </row>
    <row r="792">
      <c r="F792" s="13"/>
      <c r="L792" s="255"/>
      <c r="P792" s="13"/>
      <c r="Q792" s="13"/>
      <c r="AE792" s="13"/>
    </row>
    <row r="793">
      <c r="F793" s="13"/>
      <c r="L793" s="255"/>
      <c r="P793" s="13"/>
      <c r="Q793" s="13"/>
      <c r="AE793" s="13"/>
    </row>
    <row r="794">
      <c r="F794" s="13"/>
      <c r="L794" s="255"/>
      <c r="P794" s="13"/>
      <c r="Q794" s="13"/>
      <c r="AE794" s="13"/>
    </row>
    <row r="795">
      <c r="F795" s="13"/>
      <c r="L795" s="255"/>
      <c r="P795" s="13"/>
      <c r="Q795" s="13"/>
      <c r="AE795" s="13"/>
    </row>
    <row r="796">
      <c r="F796" s="13"/>
      <c r="L796" s="255"/>
      <c r="P796" s="13"/>
      <c r="Q796" s="13"/>
      <c r="AE796" s="13"/>
    </row>
    <row r="797">
      <c r="F797" s="13"/>
      <c r="L797" s="255"/>
      <c r="P797" s="13"/>
      <c r="Q797" s="13"/>
      <c r="AE797" s="13"/>
    </row>
    <row r="798">
      <c r="F798" s="13"/>
      <c r="L798" s="255"/>
      <c r="P798" s="13"/>
      <c r="Q798" s="13"/>
      <c r="AE798" s="13"/>
    </row>
    <row r="799">
      <c r="F799" s="13"/>
      <c r="L799" s="255"/>
      <c r="P799" s="13"/>
      <c r="Q799" s="13"/>
      <c r="AE799" s="13"/>
    </row>
    <row r="800">
      <c r="F800" s="13"/>
      <c r="L800" s="255"/>
      <c r="P800" s="13"/>
      <c r="Q800" s="13"/>
      <c r="AE800" s="13"/>
    </row>
    <row r="801">
      <c r="F801" s="13"/>
      <c r="L801" s="255"/>
      <c r="P801" s="13"/>
      <c r="Q801" s="13"/>
      <c r="AE801" s="13"/>
    </row>
    <row r="802">
      <c r="F802" s="13"/>
      <c r="L802" s="255"/>
      <c r="P802" s="13"/>
      <c r="Q802" s="13"/>
      <c r="AE802" s="13"/>
    </row>
    <row r="803">
      <c r="F803" s="13"/>
      <c r="L803" s="255"/>
      <c r="P803" s="13"/>
      <c r="Q803" s="13"/>
      <c r="AE803" s="13"/>
    </row>
    <row r="804">
      <c r="F804" s="13"/>
      <c r="L804" s="255"/>
      <c r="P804" s="13"/>
      <c r="Q804" s="13"/>
      <c r="AE804" s="13"/>
    </row>
    <row r="805">
      <c r="F805" s="13"/>
      <c r="L805" s="255"/>
      <c r="P805" s="13"/>
      <c r="Q805" s="13"/>
      <c r="AE805" s="13"/>
    </row>
    <row r="806">
      <c r="F806" s="13"/>
      <c r="L806" s="255"/>
      <c r="P806" s="13"/>
      <c r="Q806" s="13"/>
      <c r="AE806" s="13"/>
    </row>
    <row r="807">
      <c r="F807" s="13"/>
      <c r="L807" s="255"/>
      <c r="P807" s="13"/>
      <c r="Q807" s="13"/>
      <c r="AE807" s="13"/>
    </row>
    <row r="808">
      <c r="F808" s="13"/>
      <c r="L808" s="255"/>
      <c r="P808" s="13"/>
      <c r="Q808" s="13"/>
      <c r="AE808" s="13"/>
    </row>
    <row r="809">
      <c r="F809" s="13"/>
      <c r="L809" s="255"/>
      <c r="P809" s="13"/>
      <c r="Q809" s="13"/>
      <c r="AE809" s="13"/>
    </row>
    <row r="810">
      <c r="F810" s="13"/>
      <c r="L810" s="255"/>
      <c r="P810" s="13"/>
      <c r="Q810" s="13"/>
      <c r="AE810" s="13"/>
    </row>
    <row r="811">
      <c r="F811" s="13"/>
      <c r="L811" s="255"/>
      <c r="P811" s="13"/>
      <c r="Q811" s="13"/>
      <c r="AE811" s="13"/>
    </row>
    <row r="812">
      <c r="F812" s="13"/>
      <c r="L812" s="255"/>
      <c r="P812" s="13"/>
      <c r="Q812" s="13"/>
      <c r="AE812" s="13"/>
    </row>
    <row r="813">
      <c r="F813" s="13"/>
      <c r="L813" s="255"/>
      <c r="P813" s="13"/>
      <c r="Q813" s="13"/>
      <c r="AE813" s="13"/>
    </row>
    <row r="814">
      <c r="F814" s="13"/>
      <c r="L814" s="255"/>
      <c r="P814" s="13"/>
      <c r="Q814" s="13"/>
      <c r="AE814" s="13"/>
    </row>
    <row r="815">
      <c r="F815" s="13"/>
      <c r="L815" s="255"/>
      <c r="P815" s="13"/>
      <c r="Q815" s="13"/>
      <c r="AE815" s="13"/>
    </row>
    <row r="816">
      <c r="F816" s="13"/>
      <c r="L816" s="255"/>
      <c r="P816" s="13"/>
      <c r="Q816" s="13"/>
      <c r="AE816" s="13"/>
    </row>
    <row r="817">
      <c r="F817" s="13"/>
      <c r="L817" s="255"/>
      <c r="P817" s="13"/>
      <c r="Q817" s="13"/>
      <c r="AE817" s="13"/>
    </row>
    <row r="818">
      <c r="F818" s="13"/>
      <c r="L818" s="255"/>
      <c r="P818" s="13"/>
      <c r="Q818" s="13"/>
      <c r="AE818" s="13"/>
    </row>
    <row r="819">
      <c r="F819" s="13"/>
      <c r="L819" s="255"/>
      <c r="P819" s="13"/>
      <c r="Q819" s="13"/>
      <c r="AE819" s="13"/>
    </row>
    <row r="820">
      <c r="F820" s="13"/>
      <c r="L820" s="255"/>
      <c r="P820" s="13"/>
      <c r="Q820" s="13"/>
      <c r="AE820" s="13"/>
    </row>
    <row r="821">
      <c r="F821" s="13"/>
      <c r="L821" s="255"/>
      <c r="P821" s="13"/>
      <c r="Q821" s="13"/>
      <c r="AE821" s="13"/>
    </row>
    <row r="822">
      <c r="F822" s="13"/>
      <c r="L822" s="255"/>
      <c r="P822" s="13"/>
      <c r="Q822" s="13"/>
      <c r="AE822" s="13"/>
    </row>
    <row r="823">
      <c r="F823" s="13"/>
      <c r="L823" s="255"/>
      <c r="P823" s="13"/>
      <c r="Q823" s="13"/>
      <c r="AE823" s="13"/>
    </row>
    <row r="824">
      <c r="F824" s="13"/>
      <c r="L824" s="255"/>
      <c r="P824" s="13"/>
      <c r="Q824" s="13"/>
      <c r="AE824" s="13"/>
    </row>
    <row r="825">
      <c r="F825" s="13"/>
      <c r="L825" s="255"/>
      <c r="P825" s="13"/>
      <c r="Q825" s="13"/>
      <c r="AE825" s="13"/>
    </row>
    <row r="826">
      <c r="F826" s="13"/>
      <c r="L826" s="255"/>
      <c r="P826" s="13"/>
      <c r="Q826" s="13"/>
      <c r="AE826" s="13"/>
    </row>
    <row r="827">
      <c r="F827" s="13"/>
      <c r="L827" s="255"/>
      <c r="P827" s="13"/>
      <c r="Q827" s="13"/>
      <c r="AE827" s="13"/>
    </row>
    <row r="828">
      <c r="F828" s="13"/>
      <c r="L828" s="255"/>
      <c r="P828" s="13"/>
      <c r="Q828" s="13"/>
      <c r="AE828" s="13"/>
    </row>
    <row r="829">
      <c r="F829" s="13"/>
      <c r="L829" s="255"/>
      <c r="P829" s="13"/>
      <c r="Q829" s="13"/>
      <c r="AE829" s="13"/>
    </row>
    <row r="830">
      <c r="F830" s="13"/>
      <c r="L830" s="255"/>
      <c r="P830" s="13"/>
      <c r="Q830" s="13"/>
      <c r="AE830" s="13"/>
    </row>
    <row r="831">
      <c r="F831" s="13"/>
      <c r="L831" s="255"/>
      <c r="P831" s="13"/>
      <c r="Q831" s="13"/>
      <c r="AE831" s="13"/>
    </row>
    <row r="832">
      <c r="F832" s="13"/>
      <c r="L832" s="255"/>
      <c r="P832" s="13"/>
      <c r="Q832" s="13"/>
      <c r="AE832" s="13"/>
    </row>
    <row r="833">
      <c r="F833" s="13"/>
      <c r="L833" s="255"/>
      <c r="P833" s="13"/>
      <c r="Q833" s="13"/>
      <c r="AE833" s="13"/>
    </row>
    <row r="834">
      <c r="F834" s="13"/>
      <c r="L834" s="255"/>
      <c r="P834" s="13"/>
      <c r="Q834" s="13"/>
      <c r="AE834" s="13"/>
    </row>
    <row r="835">
      <c r="F835" s="13"/>
      <c r="L835" s="255"/>
      <c r="P835" s="13"/>
      <c r="Q835" s="13"/>
      <c r="AE835" s="13"/>
    </row>
    <row r="836">
      <c r="F836" s="13"/>
      <c r="L836" s="255"/>
      <c r="P836" s="13"/>
      <c r="Q836" s="13"/>
      <c r="AE836" s="13"/>
    </row>
    <row r="837">
      <c r="F837" s="13"/>
      <c r="L837" s="255"/>
      <c r="P837" s="13"/>
      <c r="Q837" s="13"/>
      <c r="AE837" s="13"/>
    </row>
    <row r="838">
      <c r="F838" s="13"/>
      <c r="L838" s="255"/>
      <c r="P838" s="13"/>
      <c r="Q838" s="13"/>
      <c r="AE838" s="13"/>
    </row>
    <row r="839">
      <c r="F839" s="13"/>
      <c r="L839" s="255"/>
      <c r="P839" s="13"/>
      <c r="Q839" s="13"/>
      <c r="AE839" s="13"/>
    </row>
    <row r="840">
      <c r="F840" s="13"/>
      <c r="L840" s="255"/>
      <c r="P840" s="13"/>
      <c r="Q840" s="13"/>
      <c r="AE840" s="13"/>
    </row>
    <row r="841">
      <c r="F841" s="13"/>
      <c r="L841" s="255"/>
      <c r="P841" s="13"/>
      <c r="Q841" s="13"/>
      <c r="AE841" s="13"/>
    </row>
    <row r="842">
      <c r="F842" s="13"/>
      <c r="L842" s="255"/>
      <c r="P842" s="13"/>
      <c r="Q842" s="13"/>
      <c r="AE842" s="13"/>
    </row>
    <row r="843">
      <c r="F843" s="13"/>
      <c r="L843" s="255"/>
      <c r="P843" s="13"/>
      <c r="Q843" s="13"/>
      <c r="AE843" s="13"/>
    </row>
    <row r="844">
      <c r="F844" s="13"/>
      <c r="L844" s="255"/>
      <c r="P844" s="13"/>
      <c r="Q844" s="13"/>
      <c r="AE844" s="13"/>
    </row>
    <row r="845">
      <c r="F845" s="13"/>
      <c r="L845" s="255"/>
      <c r="P845" s="13"/>
      <c r="Q845" s="13"/>
      <c r="AE845" s="13"/>
    </row>
    <row r="846">
      <c r="F846" s="13"/>
      <c r="L846" s="255"/>
      <c r="P846" s="13"/>
      <c r="Q846" s="13"/>
      <c r="AE846" s="13"/>
    </row>
    <row r="847">
      <c r="F847" s="13"/>
      <c r="L847" s="255"/>
      <c r="P847" s="13"/>
      <c r="Q847" s="13"/>
      <c r="AE847" s="13"/>
    </row>
    <row r="848">
      <c r="F848" s="13"/>
      <c r="L848" s="255"/>
      <c r="P848" s="13"/>
      <c r="Q848" s="13"/>
      <c r="AE848" s="13"/>
    </row>
    <row r="849">
      <c r="F849" s="13"/>
      <c r="L849" s="255"/>
      <c r="P849" s="13"/>
      <c r="Q849" s="13"/>
      <c r="AE849" s="13"/>
    </row>
    <row r="850">
      <c r="F850" s="13"/>
      <c r="L850" s="255"/>
      <c r="P850" s="13"/>
      <c r="Q850" s="13"/>
      <c r="AE850" s="13"/>
    </row>
    <row r="851">
      <c r="F851" s="13"/>
      <c r="L851" s="255"/>
      <c r="P851" s="13"/>
      <c r="Q851" s="13"/>
      <c r="AE851" s="13"/>
    </row>
    <row r="852">
      <c r="F852" s="13"/>
      <c r="L852" s="255"/>
      <c r="P852" s="13"/>
      <c r="Q852" s="13"/>
      <c r="AE852" s="13"/>
    </row>
    <row r="853">
      <c r="F853" s="13"/>
      <c r="L853" s="255"/>
      <c r="P853" s="13"/>
      <c r="Q853" s="13"/>
      <c r="AE853" s="13"/>
    </row>
    <row r="854">
      <c r="F854" s="13"/>
      <c r="L854" s="255"/>
      <c r="P854" s="13"/>
      <c r="Q854" s="13"/>
      <c r="AE854" s="13"/>
    </row>
    <row r="855">
      <c r="F855" s="13"/>
      <c r="L855" s="255"/>
      <c r="P855" s="13"/>
      <c r="Q855" s="13"/>
      <c r="AE855" s="13"/>
    </row>
    <row r="856">
      <c r="F856" s="13"/>
      <c r="L856" s="255"/>
      <c r="P856" s="13"/>
      <c r="Q856" s="13"/>
      <c r="AE856" s="13"/>
    </row>
    <row r="857">
      <c r="F857" s="13"/>
      <c r="L857" s="255"/>
      <c r="P857" s="13"/>
      <c r="Q857" s="13"/>
      <c r="AE857" s="13"/>
    </row>
    <row r="858">
      <c r="F858" s="13"/>
      <c r="L858" s="255"/>
      <c r="P858" s="13"/>
      <c r="Q858" s="13"/>
      <c r="AE858" s="13"/>
    </row>
    <row r="859">
      <c r="F859" s="13"/>
      <c r="L859" s="255"/>
      <c r="P859" s="13"/>
      <c r="Q859" s="13"/>
      <c r="AE859" s="13"/>
    </row>
    <row r="860">
      <c r="F860" s="13"/>
      <c r="L860" s="255"/>
      <c r="P860" s="13"/>
      <c r="Q860" s="13"/>
      <c r="AE860" s="13"/>
    </row>
    <row r="861">
      <c r="F861" s="13"/>
      <c r="L861" s="255"/>
      <c r="P861" s="13"/>
      <c r="Q861" s="13"/>
      <c r="AE861" s="13"/>
    </row>
    <row r="862">
      <c r="F862" s="13"/>
      <c r="L862" s="255"/>
      <c r="P862" s="13"/>
      <c r="Q862" s="13"/>
      <c r="AE862" s="13"/>
    </row>
    <row r="863">
      <c r="F863" s="13"/>
      <c r="L863" s="255"/>
      <c r="P863" s="13"/>
      <c r="Q863" s="13"/>
      <c r="AE863" s="13"/>
    </row>
    <row r="864">
      <c r="F864" s="13"/>
      <c r="L864" s="255"/>
      <c r="P864" s="13"/>
      <c r="Q864" s="13"/>
      <c r="AE864" s="13"/>
    </row>
    <row r="865">
      <c r="F865" s="13"/>
      <c r="L865" s="255"/>
      <c r="P865" s="13"/>
      <c r="Q865" s="13"/>
      <c r="AE865" s="13"/>
    </row>
    <row r="866">
      <c r="F866" s="13"/>
      <c r="L866" s="255"/>
      <c r="P866" s="13"/>
      <c r="Q866" s="13"/>
      <c r="AE866" s="13"/>
    </row>
    <row r="867">
      <c r="F867" s="13"/>
      <c r="L867" s="255"/>
      <c r="P867" s="13"/>
      <c r="Q867" s="13"/>
      <c r="AE867" s="13"/>
    </row>
    <row r="868">
      <c r="F868" s="13"/>
      <c r="L868" s="255"/>
      <c r="P868" s="13"/>
      <c r="Q868" s="13"/>
      <c r="AE868" s="13"/>
    </row>
    <row r="869">
      <c r="F869" s="13"/>
      <c r="L869" s="255"/>
      <c r="P869" s="13"/>
      <c r="Q869" s="13"/>
      <c r="AE869" s="13"/>
    </row>
    <row r="870">
      <c r="F870" s="13"/>
      <c r="L870" s="255"/>
      <c r="P870" s="13"/>
      <c r="Q870" s="13"/>
      <c r="AE870" s="13"/>
    </row>
    <row r="871">
      <c r="F871" s="13"/>
      <c r="L871" s="255"/>
      <c r="P871" s="13"/>
      <c r="Q871" s="13"/>
      <c r="AE871" s="13"/>
    </row>
    <row r="872">
      <c r="F872" s="13"/>
      <c r="L872" s="255"/>
      <c r="P872" s="13"/>
      <c r="Q872" s="13"/>
      <c r="AE872" s="13"/>
    </row>
    <row r="873">
      <c r="F873" s="13"/>
      <c r="L873" s="255"/>
      <c r="P873" s="13"/>
      <c r="Q873" s="13"/>
      <c r="AE873" s="13"/>
    </row>
    <row r="874">
      <c r="F874" s="13"/>
      <c r="L874" s="255"/>
      <c r="P874" s="13"/>
      <c r="Q874" s="13"/>
      <c r="AE874" s="13"/>
    </row>
    <row r="875">
      <c r="F875" s="13"/>
      <c r="L875" s="255"/>
      <c r="P875" s="13"/>
      <c r="Q875" s="13"/>
      <c r="AE875" s="13"/>
    </row>
    <row r="876">
      <c r="F876" s="13"/>
      <c r="L876" s="255"/>
      <c r="P876" s="13"/>
      <c r="Q876" s="13"/>
      <c r="AE876" s="13"/>
    </row>
    <row r="877">
      <c r="F877" s="13"/>
      <c r="L877" s="255"/>
      <c r="P877" s="13"/>
      <c r="Q877" s="13"/>
      <c r="AE877" s="13"/>
    </row>
    <row r="878">
      <c r="F878" s="13"/>
      <c r="L878" s="255"/>
      <c r="P878" s="13"/>
      <c r="Q878" s="13"/>
      <c r="AE878" s="13"/>
    </row>
    <row r="879">
      <c r="F879" s="13"/>
      <c r="L879" s="255"/>
      <c r="P879" s="13"/>
      <c r="Q879" s="13"/>
      <c r="AE879" s="13"/>
    </row>
    <row r="880">
      <c r="F880" s="13"/>
      <c r="L880" s="255"/>
      <c r="P880" s="13"/>
      <c r="Q880" s="13"/>
      <c r="AE880" s="13"/>
    </row>
    <row r="881">
      <c r="F881" s="13"/>
      <c r="L881" s="255"/>
      <c r="P881" s="13"/>
      <c r="Q881" s="13"/>
      <c r="AE881" s="13"/>
    </row>
    <row r="882">
      <c r="F882" s="13"/>
      <c r="L882" s="255"/>
      <c r="P882" s="13"/>
      <c r="Q882" s="13"/>
      <c r="AE882" s="13"/>
    </row>
    <row r="883">
      <c r="F883" s="13"/>
      <c r="L883" s="255"/>
      <c r="P883" s="13"/>
      <c r="Q883" s="13"/>
      <c r="AE883" s="13"/>
    </row>
    <row r="884">
      <c r="F884" s="13"/>
      <c r="L884" s="255"/>
      <c r="P884" s="13"/>
      <c r="Q884" s="13"/>
      <c r="AE884" s="13"/>
    </row>
    <row r="885">
      <c r="F885" s="13"/>
      <c r="L885" s="255"/>
      <c r="P885" s="13"/>
      <c r="Q885" s="13"/>
      <c r="AE885" s="13"/>
    </row>
    <row r="886">
      <c r="F886" s="13"/>
      <c r="L886" s="255"/>
      <c r="P886" s="13"/>
      <c r="Q886" s="13"/>
      <c r="AE886" s="13"/>
    </row>
    <row r="887">
      <c r="F887" s="13"/>
      <c r="L887" s="255"/>
      <c r="P887" s="13"/>
      <c r="Q887" s="13"/>
      <c r="AE887" s="13"/>
    </row>
    <row r="888">
      <c r="F888" s="13"/>
      <c r="L888" s="255"/>
      <c r="P888" s="13"/>
      <c r="Q888" s="13"/>
      <c r="AE888" s="13"/>
    </row>
    <row r="889">
      <c r="F889" s="13"/>
      <c r="L889" s="255"/>
      <c r="P889" s="13"/>
      <c r="Q889" s="13"/>
      <c r="AE889" s="13"/>
    </row>
    <row r="890">
      <c r="F890" s="13"/>
      <c r="L890" s="255"/>
      <c r="P890" s="13"/>
      <c r="Q890" s="13"/>
      <c r="AE890" s="13"/>
    </row>
    <row r="891">
      <c r="F891" s="13"/>
      <c r="L891" s="255"/>
      <c r="P891" s="13"/>
      <c r="Q891" s="13"/>
      <c r="AE891" s="13"/>
    </row>
    <row r="892">
      <c r="F892" s="13"/>
      <c r="L892" s="255"/>
      <c r="P892" s="13"/>
      <c r="Q892" s="13"/>
      <c r="AE892" s="13"/>
    </row>
    <row r="893">
      <c r="F893" s="13"/>
      <c r="L893" s="255"/>
      <c r="P893" s="13"/>
      <c r="Q893" s="13"/>
      <c r="AE893" s="13"/>
    </row>
    <row r="894">
      <c r="F894" s="13"/>
      <c r="L894" s="255"/>
      <c r="P894" s="13"/>
      <c r="Q894" s="13"/>
      <c r="AE894" s="13"/>
    </row>
    <row r="895">
      <c r="F895" s="13"/>
      <c r="L895" s="255"/>
      <c r="P895" s="13"/>
      <c r="Q895" s="13"/>
      <c r="AE895" s="13"/>
    </row>
    <row r="896">
      <c r="F896" s="13"/>
      <c r="L896" s="255"/>
      <c r="P896" s="13"/>
      <c r="Q896" s="13"/>
      <c r="AE896" s="13"/>
    </row>
    <row r="897">
      <c r="F897" s="13"/>
      <c r="L897" s="255"/>
      <c r="P897" s="13"/>
      <c r="Q897" s="13"/>
      <c r="AE897" s="13"/>
    </row>
    <row r="898">
      <c r="F898" s="13"/>
      <c r="L898" s="255"/>
      <c r="P898" s="13"/>
      <c r="Q898" s="13"/>
      <c r="AE898" s="13"/>
    </row>
    <row r="899">
      <c r="F899" s="13"/>
      <c r="L899" s="255"/>
      <c r="P899" s="13"/>
      <c r="Q899" s="13"/>
      <c r="AE899" s="13"/>
    </row>
    <row r="900">
      <c r="F900" s="13"/>
      <c r="L900" s="255"/>
      <c r="P900" s="13"/>
      <c r="Q900" s="13"/>
      <c r="AE900" s="13"/>
    </row>
    <row r="901">
      <c r="F901" s="13"/>
      <c r="L901" s="255"/>
      <c r="P901" s="13"/>
      <c r="Q901" s="13"/>
      <c r="AE901" s="13"/>
    </row>
    <row r="902">
      <c r="F902" s="13"/>
      <c r="L902" s="255"/>
      <c r="P902" s="13"/>
      <c r="Q902" s="13"/>
      <c r="AE902" s="13"/>
    </row>
    <row r="903">
      <c r="F903" s="13"/>
      <c r="L903" s="255"/>
      <c r="P903" s="13"/>
      <c r="Q903" s="13"/>
      <c r="AE903" s="13"/>
    </row>
    <row r="904">
      <c r="F904" s="13"/>
      <c r="L904" s="255"/>
      <c r="P904" s="13"/>
      <c r="Q904" s="13"/>
      <c r="AE904" s="13"/>
    </row>
    <row r="905">
      <c r="F905" s="13"/>
      <c r="L905" s="255"/>
      <c r="P905" s="13"/>
      <c r="Q905" s="13"/>
      <c r="AE905" s="13"/>
    </row>
    <row r="906">
      <c r="F906" s="13"/>
      <c r="L906" s="255"/>
      <c r="P906" s="13"/>
      <c r="Q906" s="13"/>
      <c r="AE906" s="13"/>
    </row>
    <row r="907">
      <c r="F907" s="13"/>
      <c r="L907" s="255"/>
      <c r="P907" s="13"/>
      <c r="Q907" s="13"/>
      <c r="AE907" s="13"/>
    </row>
    <row r="908">
      <c r="F908" s="13"/>
      <c r="L908" s="255"/>
      <c r="P908" s="13"/>
      <c r="Q908" s="13"/>
      <c r="AE908" s="13"/>
    </row>
    <row r="909">
      <c r="F909" s="13"/>
      <c r="L909" s="255"/>
      <c r="P909" s="13"/>
      <c r="Q909" s="13"/>
      <c r="AE909" s="13"/>
    </row>
    <row r="910">
      <c r="F910" s="13"/>
      <c r="L910" s="255"/>
      <c r="P910" s="13"/>
      <c r="Q910" s="13"/>
      <c r="AE910" s="13"/>
    </row>
    <row r="911">
      <c r="F911" s="13"/>
      <c r="L911" s="255"/>
      <c r="P911" s="13"/>
      <c r="Q911" s="13"/>
      <c r="AE911" s="13"/>
    </row>
    <row r="912">
      <c r="F912" s="13"/>
      <c r="L912" s="255"/>
      <c r="P912" s="13"/>
      <c r="Q912" s="13"/>
      <c r="AE912" s="13"/>
    </row>
    <row r="913">
      <c r="F913" s="13"/>
      <c r="L913" s="255"/>
      <c r="P913" s="13"/>
      <c r="Q913" s="13"/>
      <c r="AE913" s="13"/>
    </row>
    <row r="914">
      <c r="F914" s="13"/>
      <c r="L914" s="255"/>
      <c r="P914" s="13"/>
      <c r="Q914" s="13"/>
      <c r="AE914" s="13"/>
    </row>
    <row r="915">
      <c r="F915" s="13"/>
      <c r="L915" s="255"/>
      <c r="P915" s="13"/>
      <c r="Q915" s="13"/>
      <c r="AE915" s="13"/>
    </row>
    <row r="916">
      <c r="F916" s="13"/>
      <c r="L916" s="255"/>
      <c r="P916" s="13"/>
      <c r="Q916" s="13"/>
      <c r="AE916" s="13"/>
    </row>
    <row r="917">
      <c r="F917" s="13"/>
      <c r="L917" s="255"/>
      <c r="P917" s="13"/>
      <c r="Q917" s="13"/>
      <c r="AE917" s="13"/>
    </row>
    <row r="918">
      <c r="F918" s="13"/>
      <c r="L918" s="255"/>
      <c r="P918" s="13"/>
      <c r="Q918" s="13"/>
      <c r="AE918" s="13"/>
    </row>
    <row r="919">
      <c r="F919" s="13"/>
      <c r="L919" s="255"/>
      <c r="P919" s="13"/>
      <c r="Q919" s="13"/>
      <c r="AE919" s="13"/>
    </row>
    <row r="920">
      <c r="F920" s="13"/>
      <c r="L920" s="255"/>
      <c r="P920" s="13"/>
      <c r="Q920" s="13"/>
      <c r="AE920" s="13"/>
    </row>
    <row r="921">
      <c r="F921" s="13"/>
      <c r="L921" s="255"/>
      <c r="P921" s="13"/>
      <c r="Q921" s="13"/>
      <c r="AE921" s="13"/>
    </row>
    <row r="922">
      <c r="F922" s="13"/>
      <c r="L922" s="255"/>
      <c r="P922" s="13"/>
      <c r="Q922" s="13"/>
      <c r="AE922" s="13"/>
    </row>
    <row r="923">
      <c r="F923" s="13"/>
      <c r="L923" s="255"/>
      <c r="P923" s="13"/>
      <c r="Q923" s="13"/>
      <c r="AE923" s="13"/>
    </row>
    <row r="924">
      <c r="F924" s="13"/>
      <c r="L924" s="255"/>
      <c r="P924" s="13"/>
      <c r="Q924" s="13"/>
      <c r="AE924" s="13"/>
    </row>
    <row r="925">
      <c r="F925" s="13"/>
      <c r="L925" s="255"/>
      <c r="P925" s="13"/>
      <c r="Q925" s="13"/>
      <c r="AE925" s="13"/>
    </row>
    <row r="926">
      <c r="F926" s="13"/>
      <c r="L926" s="255"/>
      <c r="P926" s="13"/>
      <c r="Q926" s="13"/>
      <c r="AE926" s="13"/>
    </row>
    <row r="927">
      <c r="F927" s="13"/>
      <c r="L927" s="255"/>
      <c r="P927" s="13"/>
      <c r="Q927" s="13"/>
      <c r="AE927" s="13"/>
    </row>
    <row r="928">
      <c r="F928" s="13"/>
      <c r="L928" s="255"/>
      <c r="P928" s="13"/>
      <c r="Q928" s="13"/>
      <c r="AE928" s="13"/>
    </row>
    <row r="929">
      <c r="F929" s="13"/>
      <c r="L929" s="255"/>
      <c r="P929" s="13"/>
      <c r="Q929" s="13"/>
      <c r="AE929" s="13"/>
    </row>
    <row r="930">
      <c r="F930" s="13"/>
      <c r="L930" s="255"/>
      <c r="P930" s="13"/>
      <c r="Q930" s="13"/>
      <c r="AE930" s="13"/>
    </row>
    <row r="931">
      <c r="F931" s="13"/>
      <c r="L931" s="255"/>
      <c r="P931" s="13"/>
      <c r="Q931" s="13"/>
      <c r="AE931" s="13"/>
    </row>
    <row r="932">
      <c r="F932" s="13"/>
      <c r="L932" s="255"/>
      <c r="P932" s="13"/>
      <c r="Q932" s="13"/>
      <c r="AE932" s="13"/>
    </row>
    <row r="933">
      <c r="F933" s="13"/>
      <c r="L933" s="255"/>
      <c r="P933" s="13"/>
      <c r="Q933" s="13"/>
      <c r="AE933" s="13"/>
    </row>
    <row r="934">
      <c r="F934" s="13"/>
      <c r="L934" s="255"/>
      <c r="P934" s="13"/>
      <c r="Q934" s="13"/>
      <c r="AE934" s="13"/>
    </row>
    <row r="935">
      <c r="F935" s="13"/>
      <c r="L935" s="255"/>
      <c r="P935" s="13"/>
      <c r="Q935" s="13"/>
      <c r="AE935" s="13"/>
    </row>
    <row r="936">
      <c r="F936" s="13"/>
      <c r="L936" s="255"/>
      <c r="P936" s="13"/>
      <c r="Q936" s="13"/>
      <c r="AE936" s="13"/>
    </row>
    <row r="937">
      <c r="F937" s="13"/>
      <c r="L937" s="255"/>
      <c r="P937" s="13"/>
      <c r="Q937" s="13"/>
      <c r="AE937" s="13"/>
    </row>
    <row r="938">
      <c r="F938" s="13"/>
      <c r="L938" s="255"/>
      <c r="P938" s="13"/>
      <c r="Q938" s="13"/>
      <c r="AE938" s="13"/>
    </row>
    <row r="939">
      <c r="F939" s="13"/>
      <c r="L939" s="255"/>
      <c r="P939" s="13"/>
      <c r="Q939" s="13"/>
      <c r="AE939" s="13"/>
    </row>
    <row r="940">
      <c r="F940" s="13"/>
      <c r="L940" s="255"/>
      <c r="P940" s="13"/>
      <c r="Q940" s="13"/>
      <c r="AE940" s="13"/>
    </row>
    <row r="941">
      <c r="F941" s="13"/>
      <c r="L941" s="255"/>
      <c r="P941" s="13"/>
      <c r="Q941" s="13"/>
      <c r="AE941" s="13"/>
    </row>
    <row r="942">
      <c r="F942" s="13"/>
      <c r="L942" s="255"/>
      <c r="P942" s="13"/>
      <c r="Q942" s="13"/>
      <c r="AE942" s="13"/>
    </row>
    <row r="943">
      <c r="F943" s="13"/>
      <c r="L943" s="255"/>
      <c r="P943" s="13"/>
      <c r="Q943" s="13"/>
      <c r="AE943" s="13"/>
    </row>
    <row r="944">
      <c r="F944" s="13"/>
      <c r="L944" s="255"/>
      <c r="P944" s="13"/>
      <c r="Q944" s="13"/>
      <c r="AE944" s="13"/>
    </row>
    <row r="945">
      <c r="F945" s="13"/>
      <c r="L945" s="255"/>
      <c r="P945" s="13"/>
      <c r="Q945" s="13"/>
      <c r="AE945" s="13"/>
    </row>
    <row r="946">
      <c r="F946" s="13"/>
      <c r="L946" s="255"/>
      <c r="P946" s="13"/>
      <c r="Q946" s="13"/>
      <c r="AE946" s="13"/>
    </row>
    <row r="947">
      <c r="F947" s="13"/>
      <c r="L947" s="255"/>
      <c r="P947" s="13"/>
      <c r="Q947" s="13"/>
      <c r="AE947" s="13"/>
    </row>
    <row r="948">
      <c r="F948" s="13"/>
      <c r="L948" s="255"/>
      <c r="P948" s="13"/>
      <c r="Q948" s="13"/>
      <c r="AE948" s="13"/>
    </row>
    <row r="949">
      <c r="F949" s="13"/>
      <c r="L949" s="255"/>
      <c r="P949" s="13"/>
      <c r="Q949" s="13"/>
      <c r="AE949" s="13"/>
    </row>
    <row r="950">
      <c r="F950" s="13"/>
      <c r="L950" s="255"/>
      <c r="P950" s="13"/>
      <c r="Q950" s="13"/>
      <c r="AE950" s="13"/>
    </row>
    <row r="951">
      <c r="F951" s="13"/>
      <c r="L951" s="255"/>
      <c r="P951" s="13"/>
      <c r="Q951" s="13"/>
      <c r="AE951" s="13"/>
    </row>
    <row r="952">
      <c r="F952" s="13"/>
      <c r="L952" s="255"/>
      <c r="P952" s="13"/>
      <c r="Q952" s="13"/>
      <c r="AE952" s="13"/>
    </row>
    <row r="953">
      <c r="F953" s="13"/>
      <c r="L953" s="255"/>
      <c r="P953" s="13"/>
      <c r="Q953" s="13"/>
      <c r="AE953" s="13"/>
    </row>
    <row r="954">
      <c r="F954" s="13"/>
      <c r="L954" s="255"/>
      <c r="P954" s="13"/>
      <c r="Q954" s="13"/>
      <c r="AE954" s="13"/>
    </row>
    <row r="955">
      <c r="F955" s="13"/>
      <c r="L955" s="255"/>
      <c r="P955" s="13"/>
      <c r="Q955" s="13"/>
      <c r="AE955" s="13"/>
    </row>
    <row r="956">
      <c r="F956" s="13"/>
      <c r="L956" s="255"/>
      <c r="P956" s="13"/>
      <c r="Q956" s="13"/>
      <c r="AE956" s="13"/>
    </row>
    <row r="957">
      <c r="F957" s="13"/>
      <c r="L957" s="255"/>
      <c r="P957" s="13"/>
      <c r="Q957" s="13"/>
      <c r="AE957" s="13"/>
    </row>
    <row r="958">
      <c r="F958" s="13"/>
      <c r="L958" s="255"/>
      <c r="P958" s="13"/>
      <c r="Q958" s="13"/>
      <c r="AE958" s="13"/>
    </row>
    <row r="959">
      <c r="F959" s="13"/>
      <c r="L959" s="255"/>
      <c r="P959" s="13"/>
      <c r="Q959" s="13"/>
      <c r="AE959" s="13"/>
    </row>
    <row r="960">
      <c r="F960" s="13"/>
      <c r="L960" s="255"/>
      <c r="P960" s="13"/>
      <c r="Q960" s="13"/>
      <c r="AE960" s="13"/>
    </row>
    <row r="961">
      <c r="F961" s="13"/>
      <c r="L961" s="255"/>
      <c r="P961" s="13"/>
      <c r="Q961" s="13"/>
      <c r="AE961" s="13"/>
    </row>
    <row r="962">
      <c r="F962" s="13"/>
      <c r="L962" s="255"/>
      <c r="P962" s="13"/>
      <c r="Q962" s="13"/>
      <c r="AE962" s="13"/>
    </row>
    <row r="963">
      <c r="F963" s="13"/>
      <c r="L963" s="255"/>
      <c r="P963" s="13"/>
      <c r="Q963" s="13"/>
      <c r="AE963" s="13"/>
    </row>
    <row r="964">
      <c r="F964" s="13"/>
      <c r="L964" s="255"/>
      <c r="P964" s="13"/>
      <c r="Q964" s="13"/>
      <c r="AE964" s="13"/>
    </row>
    <row r="965">
      <c r="F965" s="13"/>
      <c r="L965" s="255"/>
      <c r="P965" s="13"/>
      <c r="Q965" s="13"/>
      <c r="AE965" s="13"/>
    </row>
    <row r="966">
      <c r="F966" s="13"/>
      <c r="L966" s="255"/>
      <c r="P966" s="13"/>
      <c r="Q966" s="13"/>
      <c r="AE966" s="13"/>
    </row>
    <row r="967">
      <c r="F967" s="13"/>
      <c r="L967" s="255"/>
      <c r="P967" s="13"/>
      <c r="Q967" s="13"/>
      <c r="AE967" s="13"/>
    </row>
    <row r="968">
      <c r="F968" s="13"/>
      <c r="L968" s="255"/>
      <c r="P968" s="13"/>
      <c r="Q968" s="13"/>
      <c r="AE968" s="13"/>
    </row>
    <row r="969">
      <c r="F969" s="13"/>
      <c r="L969" s="255"/>
      <c r="P969" s="13"/>
      <c r="Q969" s="13"/>
      <c r="AE969" s="13"/>
    </row>
    <row r="970">
      <c r="F970" s="13"/>
      <c r="L970" s="255"/>
      <c r="P970" s="13"/>
      <c r="Q970" s="13"/>
      <c r="AE970" s="13"/>
    </row>
    <row r="971">
      <c r="F971" s="13"/>
      <c r="L971" s="255"/>
      <c r="P971" s="13"/>
      <c r="Q971" s="13"/>
      <c r="AE971" s="13"/>
    </row>
    <row r="972">
      <c r="F972" s="13"/>
      <c r="L972" s="255"/>
      <c r="P972" s="13"/>
      <c r="Q972" s="13"/>
      <c r="AE972" s="13"/>
    </row>
    <row r="973">
      <c r="F973" s="13"/>
      <c r="L973" s="255"/>
      <c r="P973" s="13"/>
      <c r="Q973" s="13"/>
      <c r="AE973" s="13"/>
    </row>
    <row r="974">
      <c r="F974" s="13"/>
      <c r="L974" s="255"/>
      <c r="P974" s="13"/>
      <c r="Q974" s="13"/>
      <c r="AE974" s="13"/>
    </row>
    <row r="975">
      <c r="F975" s="13"/>
      <c r="L975" s="255"/>
      <c r="P975" s="13"/>
      <c r="Q975" s="13"/>
      <c r="AE975" s="13"/>
    </row>
    <row r="976">
      <c r="F976" s="13"/>
      <c r="L976" s="255"/>
      <c r="P976" s="13"/>
      <c r="Q976" s="13"/>
      <c r="AE976" s="13"/>
    </row>
    <row r="977">
      <c r="F977" s="13"/>
      <c r="L977" s="255"/>
      <c r="P977" s="13"/>
      <c r="Q977" s="13"/>
      <c r="AE977" s="13"/>
    </row>
    <row r="978">
      <c r="F978" s="13"/>
      <c r="L978" s="255"/>
      <c r="P978" s="13"/>
      <c r="Q978" s="13"/>
      <c r="AE978" s="13"/>
    </row>
    <row r="979">
      <c r="F979" s="13"/>
      <c r="L979" s="255"/>
      <c r="P979" s="13"/>
      <c r="Q979" s="13"/>
      <c r="AE979" s="13"/>
    </row>
    <row r="980">
      <c r="F980" s="13"/>
      <c r="L980" s="255"/>
      <c r="P980" s="13"/>
      <c r="Q980" s="13"/>
      <c r="AE980" s="13"/>
    </row>
    <row r="981">
      <c r="F981" s="13"/>
      <c r="L981" s="255"/>
      <c r="P981" s="13"/>
      <c r="Q981" s="13"/>
      <c r="AE981" s="13"/>
    </row>
    <row r="982">
      <c r="F982" s="13"/>
      <c r="L982" s="255"/>
      <c r="P982" s="13"/>
      <c r="Q982" s="13"/>
      <c r="AE982" s="13"/>
    </row>
    <row r="983">
      <c r="F983" s="13"/>
      <c r="L983" s="255"/>
      <c r="P983" s="13"/>
      <c r="Q983" s="13"/>
      <c r="AE983" s="13"/>
    </row>
    <row r="984">
      <c r="F984" s="13"/>
      <c r="L984" s="255"/>
      <c r="P984" s="13"/>
      <c r="Q984" s="13"/>
      <c r="AE984" s="13"/>
    </row>
    <row r="985">
      <c r="F985" s="13"/>
      <c r="L985" s="255"/>
      <c r="P985" s="13"/>
      <c r="Q985" s="13"/>
      <c r="AE985" s="13"/>
    </row>
    <row r="986">
      <c r="F986" s="13"/>
      <c r="L986" s="255"/>
      <c r="P986" s="13"/>
      <c r="Q986" s="13"/>
      <c r="AE986" s="13"/>
    </row>
    <row r="987">
      <c r="F987" s="13"/>
      <c r="L987" s="255"/>
      <c r="P987" s="13"/>
      <c r="Q987" s="13"/>
      <c r="AE987" s="13"/>
    </row>
    <row r="988">
      <c r="F988" s="13"/>
      <c r="L988" s="255"/>
      <c r="P988" s="13"/>
      <c r="Q988" s="13"/>
      <c r="AE988" s="13"/>
    </row>
    <row r="989">
      <c r="F989" s="13"/>
      <c r="L989" s="255"/>
      <c r="P989" s="13"/>
      <c r="Q989" s="13"/>
      <c r="AE989" s="13"/>
    </row>
    <row r="990">
      <c r="F990" s="13"/>
      <c r="L990" s="255"/>
      <c r="P990" s="13"/>
      <c r="Q990" s="13"/>
      <c r="AE990" s="13"/>
    </row>
    <row r="991">
      <c r="F991" s="13"/>
      <c r="L991" s="255"/>
      <c r="P991" s="13"/>
      <c r="Q991" s="13"/>
      <c r="AE991" s="13"/>
    </row>
    <row r="992">
      <c r="F992" s="13"/>
      <c r="L992" s="255"/>
      <c r="P992" s="13"/>
      <c r="Q992" s="13"/>
      <c r="AE992" s="13"/>
    </row>
    <row r="993">
      <c r="F993" s="13"/>
      <c r="L993" s="255"/>
      <c r="P993" s="13"/>
      <c r="Q993" s="13"/>
      <c r="AE993" s="13"/>
    </row>
    <row r="994">
      <c r="F994" s="13"/>
      <c r="L994" s="255"/>
      <c r="P994" s="13"/>
      <c r="Q994" s="13"/>
      <c r="AE994" s="13"/>
    </row>
    <row r="995">
      <c r="F995" s="13"/>
      <c r="L995" s="255"/>
      <c r="P995" s="13"/>
      <c r="Q995" s="13"/>
      <c r="AE995" s="13"/>
    </row>
    <row r="996">
      <c r="F996" s="13"/>
      <c r="L996" s="255"/>
      <c r="P996" s="13"/>
      <c r="Q996" s="13"/>
      <c r="AE996" s="13"/>
    </row>
    <row r="997">
      <c r="F997" s="13"/>
      <c r="L997" s="255"/>
      <c r="P997" s="13"/>
      <c r="Q997" s="13"/>
      <c r="AE997" s="13"/>
    </row>
    <row r="998">
      <c r="F998" s="13"/>
      <c r="L998" s="255"/>
      <c r="P998" s="13"/>
      <c r="Q998" s="13"/>
      <c r="AE998" s="13"/>
    </row>
    <row r="999">
      <c r="F999" s="13"/>
      <c r="L999" s="255"/>
      <c r="P999" s="13"/>
      <c r="Q999" s="13"/>
      <c r="AE999" s="13"/>
    </row>
    <row r="1000">
      <c r="F1000" s="13"/>
      <c r="L1000" s="255"/>
      <c r="P1000" s="13"/>
      <c r="Q1000" s="13"/>
      <c r="AE1000" s="13"/>
    </row>
    <row r="1001">
      <c r="F1001" s="13"/>
      <c r="L1001" s="255"/>
      <c r="P1001" s="13"/>
      <c r="Q1001" s="13"/>
      <c r="AE1001" s="13"/>
    </row>
    <row r="1002">
      <c r="F1002" s="13"/>
      <c r="L1002" s="255"/>
      <c r="P1002" s="13"/>
      <c r="Q1002" s="13"/>
      <c r="AE1002" s="13"/>
    </row>
    <row r="1003">
      <c r="F1003" s="13"/>
      <c r="L1003" s="255"/>
      <c r="P1003" s="13"/>
      <c r="Q1003" s="13"/>
      <c r="AE1003" s="13"/>
    </row>
    <row r="1004">
      <c r="F1004" s="13"/>
      <c r="L1004" s="255"/>
      <c r="P1004" s="13"/>
      <c r="Q1004" s="13"/>
      <c r="AE1004" s="13"/>
    </row>
    <row r="1005">
      <c r="F1005" s="13"/>
      <c r="L1005" s="255"/>
      <c r="P1005" s="13"/>
      <c r="Q1005" s="13"/>
      <c r="AE1005" s="13"/>
    </row>
    <row r="1006">
      <c r="F1006" s="13"/>
      <c r="L1006" s="255"/>
      <c r="P1006" s="13"/>
      <c r="Q1006" s="13"/>
      <c r="AE1006" s="13"/>
    </row>
    <row r="1007">
      <c r="F1007" s="13"/>
      <c r="L1007" s="255"/>
      <c r="P1007" s="13"/>
      <c r="Q1007" s="13"/>
      <c r="AE1007" s="13"/>
    </row>
    <row r="1008">
      <c r="F1008" s="13"/>
      <c r="L1008" s="255"/>
      <c r="P1008" s="13"/>
      <c r="Q1008" s="13"/>
      <c r="AE1008" s="13"/>
    </row>
    <row r="1009">
      <c r="F1009" s="13"/>
      <c r="L1009" s="255"/>
      <c r="P1009" s="13"/>
      <c r="Q1009" s="13"/>
      <c r="AE1009" s="13"/>
    </row>
    <row r="1010">
      <c r="F1010" s="13"/>
      <c r="L1010" s="255"/>
      <c r="P1010" s="13"/>
      <c r="Q1010" s="13"/>
      <c r="AE1010" s="13"/>
    </row>
    <row r="1011">
      <c r="F1011" s="13"/>
      <c r="L1011" s="255"/>
      <c r="P1011" s="13"/>
      <c r="Q1011" s="13"/>
      <c r="AE1011" s="13"/>
    </row>
    <row r="1012">
      <c r="F1012" s="13"/>
      <c r="L1012" s="255"/>
      <c r="P1012" s="13"/>
      <c r="Q1012" s="13"/>
      <c r="AE1012" s="13"/>
    </row>
    <row r="1013">
      <c r="F1013" s="13"/>
      <c r="L1013" s="255"/>
      <c r="P1013" s="13"/>
      <c r="Q1013" s="13"/>
      <c r="AE1013" s="13"/>
    </row>
    <row r="1014">
      <c r="F1014" s="13"/>
      <c r="L1014" s="255"/>
      <c r="P1014" s="13"/>
      <c r="Q1014" s="13"/>
      <c r="AE1014" s="13"/>
    </row>
    <row r="1015">
      <c r="F1015" s="13"/>
      <c r="L1015" s="255"/>
      <c r="P1015" s="13"/>
      <c r="Q1015" s="13"/>
      <c r="AE1015" s="13"/>
    </row>
    <row r="1016">
      <c r="F1016" s="13"/>
      <c r="L1016" s="255"/>
      <c r="P1016" s="13"/>
      <c r="Q1016" s="13"/>
      <c r="AE1016" s="13"/>
    </row>
    <row r="1017">
      <c r="F1017" s="13"/>
      <c r="L1017" s="255"/>
      <c r="P1017" s="13"/>
      <c r="Q1017" s="13"/>
      <c r="AE1017" s="13"/>
    </row>
    <row r="1018">
      <c r="F1018" s="13"/>
      <c r="L1018" s="255"/>
      <c r="P1018" s="13"/>
      <c r="Q1018" s="13"/>
      <c r="AE1018" s="13"/>
    </row>
    <row r="1019">
      <c r="F1019" s="13"/>
      <c r="L1019" s="255"/>
      <c r="P1019" s="13"/>
      <c r="Q1019" s="13"/>
      <c r="AE1019" s="13"/>
    </row>
    <row r="1020">
      <c r="F1020" s="13"/>
      <c r="L1020" s="255"/>
      <c r="P1020" s="13"/>
      <c r="Q1020" s="13"/>
      <c r="AE1020" s="13"/>
    </row>
    <row r="1021">
      <c r="F1021" s="13"/>
      <c r="L1021" s="255"/>
      <c r="P1021" s="13"/>
      <c r="Q1021" s="13"/>
      <c r="AE1021" s="13"/>
    </row>
    <row r="1022">
      <c r="F1022" s="13"/>
      <c r="L1022" s="255"/>
      <c r="P1022" s="13"/>
      <c r="Q1022" s="13"/>
      <c r="AE1022" s="13"/>
    </row>
    <row r="1023">
      <c r="F1023" s="13"/>
      <c r="L1023" s="255"/>
      <c r="P1023" s="13"/>
      <c r="Q1023" s="13"/>
      <c r="AE1023" s="13"/>
    </row>
    <row r="1024">
      <c r="F1024" s="13"/>
      <c r="L1024" s="255"/>
      <c r="P1024" s="13"/>
      <c r="Q1024" s="13"/>
      <c r="AE1024" s="13"/>
    </row>
    <row r="1025">
      <c r="F1025" s="13"/>
      <c r="L1025" s="255"/>
      <c r="P1025" s="13"/>
      <c r="Q1025" s="13"/>
      <c r="AE1025" s="13"/>
    </row>
    <row r="1026">
      <c r="F1026" s="13"/>
      <c r="L1026" s="255"/>
      <c r="P1026" s="13"/>
      <c r="Q1026" s="13"/>
      <c r="AE1026" s="13"/>
    </row>
    <row r="1027">
      <c r="F1027" s="13"/>
      <c r="L1027" s="255"/>
      <c r="P1027" s="13"/>
      <c r="Q1027" s="13"/>
      <c r="AE1027" s="13"/>
    </row>
    <row r="1028">
      <c r="F1028" s="13"/>
      <c r="L1028" s="255"/>
      <c r="P1028" s="13"/>
      <c r="Q1028" s="13"/>
      <c r="AE1028" s="13"/>
    </row>
    <row r="1029">
      <c r="F1029" s="13"/>
      <c r="L1029" s="255"/>
      <c r="P1029" s="13"/>
      <c r="Q1029" s="13"/>
      <c r="AE1029" s="13"/>
    </row>
    <row r="1030">
      <c r="F1030" s="13"/>
      <c r="L1030" s="255"/>
      <c r="P1030" s="13"/>
      <c r="Q1030" s="13"/>
      <c r="AE1030" s="13"/>
    </row>
    <row r="1031">
      <c r="F1031" s="13"/>
      <c r="L1031" s="255"/>
      <c r="P1031" s="13"/>
      <c r="Q1031" s="13"/>
      <c r="AE1031" s="13"/>
    </row>
    <row r="1032">
      <c r="F1032" s="13"/>
      <c r="L1032" s="255"/>
      <c r="P1032" s="13"/>
      <c r="Q1032" s="13"/>
      <c r="AE1032" s="13"/>
    </row>
    <row r="1033">
      <c r="F1033" s="13"/>
      <c r="L1033" s="255"/>
      <c r="P1033" s="13"/>
      <c r="Q1033" s="13"/>
      <c r="AE1033" s="13"/>
    </row>
    <row r="1034">
      <c r="F1034" s="13"/>
      <c r="L1034" s="255"/>
      <c r="P1034" s="13"/>
      <c r="Q1034" s="13"/>
      <c r="AE1034" s="13"/>
    </row>
    <row r="1035">
      <c r="F1035" s="13"/>
      <c r="L1035" s="255"/>
      <c r="P1035" s="13"/>
      <c r="Q1035" s="13"/>
      <c r="AE1035" s="13"/>
    </row>
    <row r="1036">
      <c r="F1036" s="13"/>
      <c r="L1036" s="255"/>
      <c r="P1036" s="13"/>
      <c r="Q1036" s="13"/>
      <c r="AE1036" s="13"/>
    </row>
    <row r="1037">
      <c r="F1037" s="13"/>
      <c r="L1037" s="255"/>
      <c r="P1037" s="13"/>
      <c r="Q1037" s="13"/>
      <c r="AE1037" s="13"/>
    </row>
    <row r="1038">
      <c r="F1038" s="13"/>
      <c r="L1038" s="255"/>
      <c r="P1038" s="13"/>
      <c r="Q1038" s="13"/>
      <c r="AE1038" s="13"/>
    </row>
    <row r="1039">
      <c r="F1039" s="13"/>
      <c r="L1039" s="255"/>
      <c r="P1039" s="13"/>
      <c r="Q1039" s="13"/>
      <c r="AE1039" s="13"/>
    </row>
    <row r="1040">
      <c r="F1040" s="13"/>
      <c r="L1040" s="255"/>
      <c r="P1040" s="13"/>
      <c r="Q1040" s="13"/>
      <c r="AE1040" s="13"/>
    </row>
    <row r="1041">
      <c r="F1041" s="13"/>
      <c r="L1041" s="255"/>
      <c r="P1041" s="13"/>
      <c r="Q1041" s="13"/>
      <c r="AE1041" s="13"/>
    </row>
    <row r="1042">
      <c r="F1042" s="13"/>
      <c r="L1042" s="255"/>
      <c r="P1042" s="13"/>
      <c r="Q1042" s="13"/>
      <c r="AE1042" s="13"/>
    </row>
    <row r="1043">
      <c r="F1043" s="13"/>
      <c r="L1043" s="255"/>
      <c r="P1043" s="13"/>
      <c r="Q1043" s="13"/>
      <c r="AE1043" s="13"/>
    </row>
    <row r="1044">
      <c r="F1044" s="13"/>
      <c r="L1044" s="255"/>
      <c r="P1044" s="13"/>
      <c r="Q1044" s="13"/>
      <c r="AE1044" s="13"/>
    </row>
    <row r="1045">
      <c r="F1045" s="13"/>
      <c r="L1045" s="255"/>
      <c r="P1045" s="13"/>
      <c r="Q1045" s="13"/>
      <c r="AE1045" s="13"/>
    </row>
    <row r="1046">
      <c r="F1046" s="13"/>
      <c r="L1046" s="255"/>
      <c r="P1046" s="13"/>
      <c r="Q1046" s="13"/>
      <c r="AE1046" s="13"/>
    </row>
    <row r="1047">
      <c r="F1047" s="13"/>
      <c r="L1047" s="255"/>
      <c r="P1047" s="13"/>
      <c r="Q1047" s="13"/>
      <c r="AE1047" s="13"/>
    </row>
    <row r="1048">
      <c r="F1048" s="13"/>
      <c r="L1048" s="255"/>
      <c r="P1048" s="13"/>
      <c r="Q1048" s="13"/>
      <c r="AE1048" s="13"/>
    </row>
    <row r="1049">
      <c r="F1049" s="13"/>
      <c r="L1049" s="255"/>
      <c r="P1049" s="13"/>
      <c r="Q1049" s="13"/>
      <c r="AE1049" s="13"/>
    </row>
    <row r="1050">
      <c r="F1050" s="13"/>
      <c r="L1050" s="255"/>
      <c r="P1050" s="13"/>
      <c r="Q1050" s="13"/>
      <c r="AE1050" s="13"/>
    </row>
    <row r="1051">
      <c r="F1051" s="13"/>
      <c r="L1051" s="255"/>
      <c r="P1051" s="13"/>
      <c r="Q1051" s="13"/>
      <c r="AE1051" s="13"/>
    </row>
    <row r="1052">
      <c r="F1052" s="13"/>
      <c r="L1052" s="255"/>
      <c r="P1052" s="13"/>
      <c r="Q1052" s="13"/>
      <c r="AE1052" s="13"/>
    </row>
    <row r="1053">
      <c r="F1053" s="13"/>
      <c r="L1053" s="255"/>
      <c r="P1053" s="13"/>
      <c r="Q1053" s="13"/>
      <c r="AE1053" s="13"/>
    </row>
    <row r="1054">
      <c r="F1054" s="13"/>
      <c r="L1054" s="255"/>
      <c r="P1054" s="13"/>
      <c r="Q1054" s="13"/>
      <c r="AE1054" s="13"/>
    </row>
    <row r="1055">
      <c r="F1055" s="13"/>
      <c r="L1055" s="255"/>
      <c r="P1055" s="13"/>
      <c r="Q1055" s="13"/>
      <c r="AE1055" s="13"/>
    </row>
    <row r="1056">
      <c r="F1056" s="13"/>
      <c r="L1056" s="255"/>
      <c r="P1056" s="13"/>
      <c r="Q1056" s="13"/>
      <c r="AE1056" s="13"/>
    </row>
    <row r="1057">
      <c r="F1057" s="13"/>
      <c r="L1057" s="255"/>
      <c r="P1057" s="13"/>
      <c r="Q1057" s="13"/>
      <c r="AE1057" s="13"/>
    </row>
    <row r="1058">
      <c r="F1058" s="13"/>
      <c r="L1058" s="255"/>
      <c r="P1058" s="13"/>
      <c r="Q1058" s="13"/>
      <c r="AE1058" s="13"/>
    </row>
    <row r="1059">
      <c r="F1059" s="13"/>
      <c r="L1059" s="255"/>
      <c r="P1059" s="13"/>
      <c r="Q1059" s="13"/>
      <c r="AE1059" s="13"/>
    </row>
    <row r="1060">
      <c r="F1060" s="13"/>
      <c r="L1060" s="255"/>
      <c r="P1060" s="13"/>
      <c r="Q1060" s="13"/>
      <c r="AE1060" s="13"/>
    </row>
    <row r="1061">
      <c r="F1061" s="13"/>
      <c r="L1061" s="255"/>
      <c r="P1061" s="13"/>
      <c r="Q1061" s="13"/>
      <c r="AE1061" s="13"/>
    </row>
    <row r="1062">
      <c r="F1062" s="13"/>
      <c r="L1062" s="255"/>
      <c r="P1062" s="13"/>
      <c r="Q1062" s="13"/>
      <c r="AE1062" s="13"/>
    </row>
    <row r="1063">
      <c r="F1063" s="13"/>
      <c r="L1063" s="255"/>
      <c r="P1063" s="13"/>
      <c r="Q1063" s="13"/>
      <c r="AE1063" s="13"/>
    </row>
    <row r="1064">
      <c r="F1064" s="13"/>
      <c r="L1064" s="255"/>
      <c r="P1064" s="13"/>
      <c r="Q1064" s="13"/>
      <c r="AE1064" s="13"/>
    </row>
    <row r="1065">
      <c r="F1065" s="13"/>
      <c r="L1065" s="255"/>
      <c r="P1065" s="13"/>
      <c r="Q1065" s="13"/>
      <c r="AE1065" s="13"/>
    </row>
    <row r="1066">
      <c r="F1066" s="13"/>
      <c r="L1066" s="255"/>
      <c r="P1066" s="13"/>
      <c r="Q1066" s="13"/>
      <c r="AE1066" s="13"/>
    </row>
    <row r="1067">
      <c r="F1067" s="13"/>
      <c r="L1067" s="255"/>
      <c r="P1067" s="13"/>
      <c r="Q1067" s="13"/>
      <c r="AE1067" s="13"/>
    </row>
    <row r="1068">
      <c r="F1068" s="13"/>
      <c r="L1068" s="255"/>
      <c r="P1068" s="13"/>
      <c r="Q1068" s="13"/>
      <c r="AE1068" s="13"/>
    </row>
    <row r="1069">
      <c r="F1069" s="13"/>
      <c r="L1069" s="255"/>
      <c r="P1069" s="13"/>
      <c r="Q1069" s="13"/>
      <c r="AE1069" s="13"/>
    </row>
    <row r="1070">
      <c r="F1070" s="13"/>
      <c r="L1070" s="255"/>
      <c r="P1070" s="13"/>
      <c r="Q1070" s="13"/>
      <c r="AE1070" s="13"/>
    </row>
    <row r="1071">
      <c r="F1071" s="13"/>
      <c r="L1071" s="255"/>
      <c r="P1071" s="13"/>
      <c r="Q1071" s="13"/>
      <c r="AE1071" s="13"/>
    </row>
    <row r="1072">
      <c r="F1072" s="13"/>
      <c r="L1072" s="255"/>
      <c r="P1072" s="13"/>
      <c r="Q1072" s="13"/>
      <c r="AE1072" s="13"/>
    </row>
    <row r="1073">
      <c r="F1073" s="13"/>
      <c r="L1073" s="255"/>
      <c r="P1073" s="13"/>
      <c r="Q1073" s="13"/>
      <c r="AE1073" s="13"/>
    </row>
    <row r="1074">
      <c r="F1074" s="13"/>
      <c r="L1074" s="255"/>
      <c r="P1074" s="13"/>
      <c r="Q1074" s="13"/>
      <c r="AE1074" s="13"/>
    </row>
    <row r="1075">
      <c r="F1075" s="13"/>
      <c r="L1075" s="255"/>
      <c r="P1075" s="13"/>
      <c r="Q1075" s="13"/>
      <c r="AE1075" s="13"/>
    </row>
    <row r="1076">
      <c r="F1076" s="13"/>
      <c r="L1076" s="255"/>
      <c r="P1076" s="13"/>
      <c r="Q1076" s="13"/>
      <c r="AE1076" s="13"/>
    </row>
    <row r="1077">
      <c r="F1077" s="13"/>
      <c r="L1077" s="255"/>
      <c r="P1077" s="13"/>
      <c r="Q1077" s="13"/>
      <c r="AE1077" s="13"/>
    </row>
    <row r="1078">
      <c r="F1078" s="13"/>
      <c r="L1078" s="255"/>
      <c r="P1078" s="13"/>
      <c r="Q1078" s="13"/>
      <c r="AE1078" s="13"/>
    </row>
    <row r="1079">
      <c r="F1079" s="13"/>
      <c r="L1079" s="255"/>
      <c r="P1079" s="13"/>
      <c r="Q1079" s="13"/>
      <c r="AE1079" s="13"/>
    </row>
    <row r="1080">
      <c r="F1080" s="13"/>
      <c r="L1080" s="255"/>
      <c r="P1080" s="13"/>
      <c r="Q1080" s="13"/>
      <c r="AE1080" s="13"/>
    </row>
    <row r="1081">
      <c r="F1081" s="13"/>
      <c r="L1081" s="255"/>
      <c r="P1081" s="13"/>
      <c r="Q1081" s="13"/>
      <c r="AE1081" s="13"/>
    </row>
    <row r="1082">
      <c r="F1082" s="13"/>
      <c r="L1082" s="255"/>
      <c r="P1082" s="13"/>
      <c r="Q1082" s="13"/>
      <c r="AE1082" s="13"/>
    </row>
    <row r="1083">
      <c r="F1083" s="13"/>
      <c r="L1083" s="255"/>
      <c r="P1083" s="13"/>
      <c r="Q1083" s="13"/>
      <c r="AE1083" s="13"/>
    </row>
    <row r="1084">
      <c r="F1084" s="13"/>
      <c r="L1084" s="255"/>
      <c r="P1084" s="13"/>
      <c r="Q1084" s="13"/>
      <c r="AE1084" s="13"/>
    </row>
    <row r="1085">
      <c r="F1085" s="13"/>
      <c r="L1085" s="255"/>
      <c r="P1085" s="13"/>
      <c r="Q1085" s="13"/>
      <c r="AE1085" s="13"/>
    </row>
    <row r="1086">
      <c r="F1086" s="13"/>
      <c r="L1086" s="255"/>
      <c r="P1086" s="13"/>
      <c r="Q1086" s="13"/>
      <c r="AE1086" s="13"/>
    </row>
    <row r="1087">
      <c r="F1087" s="13"/>
      <c r="L1087" s="255"/>
      <c r="P1087" s="13"/>
      <c r="Q1087" s="13"/>
      <c r="AE1087" s="13"/>
    </row>
    <row r="1088">
      <c r="F1088" s="13"/>
      <c r="L1088" s="255"/>
      <c r="P1088" s="13"/>
      <c r="Q1088" s="13"/>
      <c r="AE1088" s="13"/>
    </row>
    <row r="1089">
      <c r="F1089" s="13"/>
      <c r="L1089" s="255"/>
      <c r="P1089" s="13"/>
      <c r="Q1089" s="13"/>
      <c r="AE1089" s="13"/>
    </row>
    <row r="1090">
      <c r="F1090" s="13"/>
      <c r="L1090" s="255"/>
      <c r="P1090" s="13"/>
      <c r="Q1090" s="13"/>
      <c r="AE1090" s="13"/>
    </row>
    <row r="1091">
      <c r="F1091" s="13"/>
      <c r="L1091" s="255"/>
      <c r="P1091" s="13"/>
      <c r="Q1091" s="13"/>
      <c r="AE1091" s="13"/>
    </row>
    <row r="1092">
      <c r="F1092" s="13"/>
      <c r="L1092" s="255"/>
      <c r="P1092" s="13"/>
      <c r="Q1092" s="13"/>
      <c r="AE1092" s="13"/>
    </row>
    <row r="1093">
      <c r="F1093" s="13"/>
      <c r="L1093" s="255"/>
      <c r="P1093" s="13"/>
      <c r="Q1093" s="13"/>
      <c r="AE1093" s="13"/>
    </row>
    <row r="1094">
      <c r="F1094" s="13"/>
      <c r="L1094" s="255"/>
      <c r="P1094" s="13"/>
      <c r="Q1094" s="13"/>
      <c r="AE1094" s="13"/>
    </row>
    <row r="1095">
      <c r="F1095" s="13"/>
      <c r="L1095" s="255"/>
      <c r="P1095" s="13"/>
      <c r="Q1095" s="13"/>
      <c r="AE1095" s="13"/>
    </row>
    <row r="1096">
      <c r="F1096" s="13"/>
      <c r="L1096" s="255"/>
      <c r="P1096" s="13"/>
      <c r="Q1096" s="13"/>
      <c r="AE1096" s="13"/>
    </row>
    <row r="1097">
      <c r="F1097" s="13"/>
      <c r="L1097" s="255"/>
      <c r="P1097" s="13"/>
      <c r="Q1097" s="13"/>
      <c r="AE1097" s="13"/>
    </row>
    <row r="1098">
      <c r="F1098" s="13"/>
      <c r="L1098" s="255"/>
      <c r="P1098" s="13"/>
      <c r="Q1098" s="13"/>
      <c r="AE1098" s="13"/>
    </row>
    <row r="1099">
      <c r="F1099" s="13"/>
      <c r="L1099" s="255"/>
      <c r="P1099" s="13"/>
      <c r="Q1099" s="13"/>
      <c r="AE1099" s="13"/>
    </row>
    <row r="1100">
      <c r="F1100" s="13"/>
      <c r="L1100" s="255"/>
      <c r="P1100" s="13"/>
      <c r="Q1100" s="13"/>
      <c r="AE1100" s="13"/>
    </row>
    <row r="1101">
      <c r="F1101" s="13"/>
      <c r="L1101" s="255"/>
      <c r="P1101" s="13"/>
      <c r="Q1101" s="13"/>
      <c r="AE1101" s="13"/>
    </row>
    <row r="1102">
      <c r="F1102" s="13"/>
      <c r="L1102" s="255"/>
      <c r="P1102" s="13"/>
      <c r="Q1102" s="13"/>
      <c r="AE1102" s="13"/>
    </row>
    <row r="1103">
      <c r="F1103" s="13"/>
      <c r="L1103" s="255"/>
      <c r="P1103" s="13"/>
      <c r="Q1103" s="13"/>
      <c r="AE1103" s="13"/>
    </row>
    <row r="1104">
      <c r="F1104" s="13"/>
      <c r="L1104" s="255"/>
      <c r="P1104" s="13"/>
      <c r="Q1104" s="13"/>
      <c r="AE1104" s="13"/>
    </row>
    <row r="1105">
      <c r="F1105" s="13"/>
      <c r="L1105" s="255"/>
      <c r="P1105" s="13"/>
      <c r="Q1105" s="13"/>
      <c r="AE1105" s="13"/>
    </row>
    <row r="1106">
      <c r="F1106" s="13"/>
      <c r="L1106" s="255"/>
      <c r="P1106" s="13"/>
      <c r="Q1106" s="13"/>
      <c r="AE1106" s="13"/>
    </row>
    <row r="1107">
      <c r="F1107" s="13"/>
      <c r="L1107" s="255"/>
      <c r="P1107" s="13"/>
      <c r="Q1107" s="13"/>
      <c r="AE1107" s="13"/>
    </row>
    <row r="1108">
      <c r="F1108" s="13"/>
      <c r="L1108" s="255"/>
      <c r="P1108" s="13"/>
      <c r="Q1108" s="13"/>
      <c r="AE1108" s="13"/>
    </row>
    <row r="1109">
      <c r="F1109" s="13"/>
      <c r="L1109" s="255"/>
      <c r="P1109" s="13"/>
      <c r="Q1109" s="13"/>
      <c r="AE1109" s="13"/>
    </row>
    <row r="1110">
      <c r="F1110" s="13"/>
      <c r="L1110" s="255"/>
      <c r="P1110" s="13"/>
      <c r="Q1110" s="13"/>
      <c r="AE1110" s="13"/>
    </row>
    <row r="1111">
      <c r="F1111" s="13"/>
      <c r="L1111" s="255"/>
      <c r="P1111" s="13"/>
      <c r="Q1111" s="13"/>
      <c r="AE1111" s="13"/>
    </row>
    <row r="1112">
      <c r="F1112" s="13"/>
      <c r="L1112" s="255"/>
      <c r="P1112" s="13"/>
      <c r="Q1112" s="13"/>
      <c r="AE1112" s="13"/>
    </row>
    <row r="1113">
      <c r="F1113" s="13"/>
      <c r="L1113" s="255"/>
      <c r="P1113" s="13"/>
      <c r="Q1113" s="13"/>
      <c r="AE1113" s="13"/>
    </row>
    <row r="1114">
      <c r="F1114" s="13"/>
      <c r="L1114" s="255"/>
      <c r="P1114" s="13"/>
      <c r="Q1114" s="13"/>
      <c r="AE1114" s="13"/>
    </row>
    <row r="1115">
      <c r="F1115" s="13"/>
      <c r="L1115" s="255"/>
      <c r="P1115" s="13"/>
      <c r="Q1115" s="13"/>
      <c r="AE1115" s="13"/>
    </row>
    <row r="1116">
      <c r="F1116" s="13"/>
      <c r="L1116" s="255"/>
      <c r="P1116" s="13"/>
      <c r="Q1116" s="13"/>
      <c r="AE1116" s="13"/>
    </row>
    <row r="1117">
      <c r="F1117" s="13"/>
      <c r="L1117" s="255"/>
      <c r="P1117" s="13"/>
      <c r="Q1117" s="13"/>
      <c r="AE1117" s="13"/>
    </row>
    <row r="1118">
      <c r="F1118" s="13"/>
      <c r="L1118" s="255"/>
      <c r="P1118" s="13"/>
      <c r="Q1118" s="13"/>
      <c r="AE1118" s="13"/>
    </row>
    <row r="1119">
      <c r="F1119" s="13"/>
      <c r="L1119" s="255"/>
      <c r="P1119" s="13"/>
      <c r="Q1119" s="13"/>
      <c r="AE1119" s="13"/>
    </row>
    <row r="1120">
      <c r="F1120" s="13"/>
      <c r="L1120" s="255"/>
      <c r="P1120" s="13"/>
      <c r="Q1120" s="13"/>
      <c r="AE1120" s="13"/>
    </row>
    <row r="1121">
      <c r="F1121" s="13"/>
      <c r="L1121" s="255"/>
      <c r="P1121" s="13"/>
      <c r="Q1121" s="13"/>
      <c r="AE1121" s="13"/>
    </row>
    <row r="1122">
      <c r="F1122" s="13"/>
      <c r="L1122" s="255"/>
      <c r="P1122" s="13"/>
      <c r="Q1122" s="13"/>
      <c r="AE1122" s="13"/>
    </row>
    <row r="1123">
      <c r="F1123" s="13"/>
      <c r="L1123" s="255"/>
      <c r="P1123" s="13"/>
      <c r="Q1123" s="13"/>
      <c r="AE1123" s="13"/>
    </row>
    <row r="1124">
      <c r="F1124" s="13"/>
      <c r="L1124" s="255"/>
      <c r="P1124" s="13"/>
      <c r="Q1124" s="13"/>
      <c r="AE1124" s="13"/>
    </row>
    <row r="1125">
      <c r="F1125" s="13"/>
      <c r="L1125" s="255"/>
      <c r="P1125" s="13"/>
      <c r="Q1125" s="13"/>
      <c r="AE1125" s="13"/>
    </row>
    <row r="1126">
      <c r="F1126" s="13"/>
      <c r="L1126" s="255"/>
      <c r="P1126" s="13"/>
      <c r="Q1126" s="13"/>
      <c r="AE1126" s="13"/>
    </row>
    <row r="1127">
      <c r="F1127" s="13"/>
      <c r="L1127" s="255"/>
      <c r="P1127" s="13"/>
      <c r="Q1127" s="13"/>
      <c r="AE1127" s="13"/>
    </row>
    <row r="1128">
      <c r="F1128" s="13"/>
      <c r="L1128" s="255"/>
      <c r="P1128" s="13"/>
      <c r="Q1128" s="13"/>
      <c r="AE1128" s="13"/>
    </row>
    <row r="1129">
      <c r="F1129" s="13"/>
      <c r="L1129" s="255"/>
      <c r="P1129" s="13"/>
      <c r="Q1129" s="13"/>
      <c r="AE1129" s="13"/>
    </row>
    <row r="1130">
      <c r="F1130" s="13"/>
      <c r="L1130" s="255"/>
      <c r="P1130" s="13"/>
      <c r="Q1130" s="13"/>
      <c r="AE1130" s="13"/>
    </row>
    <row r="1131">
      <c r="F1131" s="13"/>
      <c r="L1131" s="255"/>
      <c r="P1131" s="13"/>
      <c r="Q1131" s="13"/>
      <c r="AE1131" s="13"/>
    </row>
    <row r="1132">
      <c r="F1132" s="13"/>
      <c r="L1132" s="255"/>
      <c r="P1132" s="13"/>
      <c r="Q1132" s="13"/>
      <c r="AE1132" s="13"/>
    </row>
    <row r="1133">
      <c r="F1133" s="13"/>
      <c r="L1133" s="255"/>
      <c r="P1133" s="13"/>
      <c r="Q1133" s="13"/>
      <c r="AE1133" s="13"/>
    </row>
    <row r="1134">
      <c r="F1134" s="13"/>
      <c r="L1134" s="255"/>
      <c r="P1134" s="13"/>
      <c r="Q1134" s="13"/>
      <c r="AE1134" s="13"/>
    </row>
    <row r="1135">
      <c r="F1135" s="13"/>
      <c r="L1135" s="255"/>
      <c r="P1135" s="13"/>
      <c r="Q1135" s="13"/>
      <c r="AE1135" s="13"/>
    </row>
    <row r="1136">
      <c r="F1136" s="13"/>
      <c r="L1136" s="255"/>
      <c r="P1136" s="13"/>
      <c r="Q1136" s="13"/>
      <c r="AE1136" s="13"/>
    </row>
    <row r="1137">
      <c r="F1137" s="13"/>
      <c r="L1137" s="255"/>
      <c r="P1137" s="13"/>
      <c r="Q1137" s="13"/>
      <c r="AE1137" s="13"/>
    </row>
    <row r="1138">
      <c r="F1138" s="13"/>
      <c r="L1138" s="255"/>
      <c r="P1138" s="13"/>
      <c r="Q1138" s="13"/>
      <c r="AE1138" s="13"/>
    </row>
    <row r="1139">
      <c r="F1139" s="13"/>
      <c r="L1139" s="255"/>
      <c r="P1139" s="13"/>
      <c r="Q1139" s="13"/>
      <c r="AE1139" s="13"/>
    </row>
    <row r="1140">
      <c r="F1140" s="13"/>
      <c r="L1140" s="255"/>
      <c r="P1140" s="13"/>
      <c r="Q1140" s="13"/>
      <c r="AE1140" s="13"/>
    </row>
    <row r="1141">
      <c r="F1141" s="13"/>
      <c r="L1141" s="255"/>
      <c r="P1141" s="13"/>
      <c r="Q1141" s="13"/>
      <c r="AE1141" s="13"/>
    </row>
    <row r="1142">
      <c r="F1142" s="13"/>
      <c r="L1142" s="255"/>
      <c r="P1142" s="13"/>
      <c r="Q1142" s="13"/>
      <c r="AE1142" s="13"/>
    </row>
    <row r="1143">
      <c r="F1143" s="13"/>
      <c r="L1143" s="255"/>
      <c r="P1143" s="13"/>
      <c r="Q1143" s="13"/>
      <c r="AE1143" s="13"/>
    </row>
    <row r="1144">
      <c r="F1144" s="13"/>
      <c r="L1144" s="255"/>
      <c r="P1144" s="13"/>
      <c r="Q1144" s="13"/>
      <c r="AE1144" s="13"/>
    </row>
    <row r="1145">
      <c r="F1145" s="13"/>
      <c r="L1145" s="255"/>
      <c r="P1145" s="13"/>
      <c r="Q1145" s="13"/>
      <c r="AE1145" s="13"/>
    </row>
    <row r="1146">
      <c r="F1146" s="13"/>
      <c r="L1146" s="255"/>
      <c r="P1146" s="13"/>
      <c r="Q1146" s="13"/>
      <c r="AE1146" s="13"/>
    </row>
    <row r="1147">
      <c r="F1147" s="13"/>
      <c r="L1147" s="255"/>
      <c r="P1147" s="13"/>
      <c r="Q1147" s="13"/>
      <c r="AE1147" s="13"/>
    </row>
    <row r="1148">
      <c r="F1148" s="13"/>
      <c r="L1148" s="255"/>
      <c r="P1148" s="13"/>
      <c r="Q1148" s="13"/>
      <c r="AE1148" s="13"/>
    </row>
    <row r="1149">
      <c r="F1149" s="13"/>
      <c r="L1149" s="255"/>
      <c r="P1149" s="13"/>
      <c r="Q1149" s="13"/>
      <c r="AE1149" s="13"/>
    </row>
    <row r="1150">
      <c r="F1150" s="13"/>
      <c r="L1150" s="255"/>
      <c r="P1150" s="13"/>
      <c r="Q1150" s="13"/>
      <c r="AE1150" s="13"/>
    </row>
    <row r="1151">
      <c r="F1151" s="13"/>
      <c r="L1151" s="255"/>
      <c r="P1151" s="13"/>
      <c r="Q1151" s="13"/>
      <c r="AE1151" s="13"/>
    </row>
    <row r="1152">
      <c r="F1152" s="13"/>
      <c r="L1152" s="255"/>
      <c r="P1152" s="13"/>
      <c r="Q1152" s="13"/>
      <c r="AE1152" s="13"/>
    </row>
    <row r="1153">
      <c r="F1153" s="13"/>
      <c r="L1153" s="255"/>
      <c r="P1153" s="13"/>
      <c r="Q1153" s="13"/>
      <c r="AE1153" s="13"/>
    </row>
    <row r="1154">
      <c r="F1154" s="13"/>
      <c r="L1154" s="255"/>
      <c r="P1154" s="13"/>
      <c r="Q1154" s="13"/>
      <c r="AE1154" s="13"/>
    </row>
    <row r="1155">
      <c r="F1155" s="13"/>
      <c r="L1155" s="255"/>
      <c r="P1155" s="13"/>
      <c r="Q1155" s="13"/>
      <c r="AE1155" s="13"/>
    </row>
    <row r="1156">
      <c r="F1156" s="13"/>
      <c r="L1156" s="255"/>
      <c r="P1156" s="13"/>
      <c r="Q1156" s="13"/>
      <c r="AE1156" s="13"/>
    </row>
    <row r="1157">
      <c r="F1157" s="13"/>
      <c r="L1157" s="255"/>
      <c r="P1157" s="13"/>
      <c r="Q1157" s="13"/>
      <c r="AE1157" s="13"/>
    </row>
    <row r="1158">
      <c r="F1158" s="13"/>
      <c r="L1158" s="255"/>
      <c r="P1158" s="13"/>
      <c r="Q1158" s="13"/>
      <c r="AE1158" s="13"/>
    </row>
    <row r="1159">
      <c r="F1159" s="13"/>
      <c r="L1159" s="255"/>
      <c r="P1159" s="13"/>
      <c r="Q1159" s="13"/>
      <c r="AE1159" s="13"/>
    </row>
    <row r="1160">
      <c r="F1160" s="13"/>
      <c r="L1160" s="255"/>
      <c r="P1160" s="13"/>
      <c r="Q1160" s="13"/>
      <c r="AE1160" s="13"/>
    </row>
    <row r="1161">
      <c r="F1161" s="13"/>
      <c r="L1161" s="255"/>
      <c r="P1161" s="13"/>
      <c r="Q1161" s="13"/>
      <c r="AE1161" s="13"/>
    </row>
    <row r="1162">
      <c r="F1162" s="13"/>
      <c r="L1162" s="255"/>
      <c r="P1162" s="13"/>
      <c r="Q1162" s="13"/>
      <c r="AE1162" s="13"/>
    </row>
    <row r="1163">
      <c r="F1163" s="13"/>
      <c r="L1163" s="255"/>
      <c r="P1163" s="13"/>
      <c r="Q1163" s="13"/>
      <c r="AE1163" s="13"/>
    </row>
    <row r="1164">
      <c r="F1164" s="13"/>
      <c r="L1164" s="255"/>
      <c r="P1164" s="13"/>
      <c r="Q1164" s="13"/>
      <c r="AE1164" s="13"/>
    </row>
    <row r="1165">
      <c r="F1165" s="13"/>
      <c r="L1165" s="255"/>
      <c r="P1165" s="13"/>
      <c r="Q1165" s="13"/>
      <c r="AE1165" s="13"/>
    </row>
    <row r="1166">
      <c r="F1166" s="13"/>
      <c r="L1166" s="255"/>
      <c r="P1166" s="13"/>
      <c r="Q1166" s="13"/>
      <c r="AE1166" s="13"/>
    </row>
    <row r="1167">
      <c r="F1167" s="13"/>
      <c r="L1167" s="255"/>
      <c r="P1167" s="13"/>
      <c r="Q1167" s="13"/>
      <c r="AE1167" s="13"/>
    </row>
    <row r="1168">
      <c r="F1168" s="13"/>
      <c r="L1168" s="255"/>
      <c r="P1168" s="13"/>
      <c r="Q1168" s="13"/>
      <c r="AE1168" s="13"/>
    </row>
    <row r="1169">
      <c r="F1169" s="13"/>
      <c r="L1169" s="255"/>
      <c r="P1169" s="13"/>
      <c r="Q1169" s="13"/>
      <c r="AE1169" s="13"/>
    </row>
    <row r="1170">
      <c r="F1170" s="13"/>
      <c r="L1170" s="255"/>
      <c r="P1170" s="13"/>
      <c r="Q1170" s="13"/>
      <c r="AE1170" s="13"/>
    </row>
    <row r="1171">
      <c r="F1171" s="13"/>
      <c r="L1171" s="255"/>
      <c r="P1171" s="13"/>
      <c r="Q1171" s="13"/>
      <c r="AE1171" s="13"/>
    </row>
    <row r="1172">
      <c r="F1172" s="13"/>
      <c r="L1172" s="255"/>
      <c r="P1172" s="13"/>
      <c r="Q1172" s="13"/>
      <c r="AE1172" s="13"/>
    </row>
    <row r="1173">
      <c r="F1173" s="13"/>
      <c r="L1173" s="255"/>
      <c r="P1173" s="13"/>
      <c r="Q1173" s="13"/>
      <c r="AE1173" s="13"/>
    </row>
    <row r="1174">
      <c r="F1174" s="13"/>
      <c r="L1174" s="255"/>
      <c r="P1174" s="13"/>
      <c r="Q1174" s="13"/>
      <c r="AE1174" s="13"/>
    </row>
    <row r="1175">
      <c r="F1175" s="13"/>
      <c r="L1175" s="255"/>
      <c r="P1175" s="13"/>
      <c r="Q1175" s="13"/>
      <c r="AE1175" s="13"/>
    </row>
    <row r="1176">
      <c r="F1176" s="13"/>
      <c r="L1176" s="255"/>
      <c r="P1176" s="13"/>
      <c r="Q1176" s="13"/>
      <c r="AE1176" s="13"/>
    </row>
    <row r="1177">
      <c r="F1177" s="13"/>
      <c r="L1177" s="255"/>
      <c r="P1177" s="13"/>
      <c r="Q1177" s="13"/>
      <c r="AE1177" s="13"/>
    </row>
    <row r="1178">
      <c r="F1178" s="13"/>
      <c r="L1178" s="255"/>
      <c r="P1178" s="13"/>
      <c r="Q1178" s="13"/>
      <c r="AE1178" s="13"/>
    </row>
    <row r="1179">
      <c r="F1179" s="13"/>
      <c r="L1179" s="255"/>
      <c r="P1179" s="13"/>
      <c r="Q1179" s="13"/>
      <c r="AE1179" s="13"/>
    </row>
    <row r="1180">
      <c r="F1180" s="13"/>
      <c r="L1180" s="255"/>
      <c r="P1180" s="13"/>
      <c r="Q1180" s="13"/>
      <c r="AE1180" s="13"/>
    </row>
    <row r="1181">
      <c r="F1181" s="13"/>
      <c r="L1181" s="255"/>
      <c r="P1181" s="13"/>
      <c r="Q1181" s="13"/>
      <c r="AE1181" s="13"/>
    </row>
    <row r="1182">
      <c r="F1182" s="13"/>
      <c r="L1182" s="255"/>
      <c r="P1182" s="13"/>
      <c r="Q1182" s="13"/>
      <c r="AE1182" s="13"/>
    </row>
    <row r="1183">
      <c r="F1183" s="13"/>
      <c r="L1183" s="255"/>
      <c r="P1183" s="13"/>
      <c r="Q1183" s="13"/>
      <c r="AE1183" s="13"/>
    </row>
    <row r="1184">
      <c r="F1184" s="13"/>
      <c r="L1184" s="255"/>
      <c r="P1184" s="13"/>
      <c r="Q1184" s="13"/>
      <c r="AE1184" s="13"/>
    </row>
    <row r="1185">
      <c r="F1185" s="13"/>
      <c r="L1185" s="255"/>
      <c r="P1185" s="13"/>
      <c r="Q1185" s="13"/>
      <c r="AE1185" s="13"/>
    </row>
    <row r="1186">
      <c r="F1186" s="13"/>
      <c r="L1186" s="255"/>
      <c r="P1186" s="13"/>
      <c r="Q1186" s="13"/>
      <c r="AE1186" s="13"/>
    </row>
    <row r="1187">
      <c r="F1187" s="13"/>
      <c r="L1187" s="255"/>
      <c r="P1187" s="13"/>
      <c r="Q1187" s="13"/>
      <c r="AE1187" s="13"/>
    </row>
    <row r="1188">
      <c r="F1188" s="13"/>
      <c r="L1188" s="255"/>
      <c r="P1188" s="13"/>
      <c r="Q1188" s="13"/>
      <c r="AE1188" s="13"/>
    </row>
    <row r="1189">
      <c r="F1189" s="13"/>
      <c r="L1189" s="255"/>
      <c r="P1189" s="13"/>
      <c r="Q1189" s="13"/>
      <c r="AE1189" s="13"/>
    </row>
    <row r="1190">
      <c r="F1190" s="13"/>
      <c r="L1190" s="255"/>
      <c r="P1190" s="13"/>
      <c r="Q1190" s="13"/>
      <c r="AE1190" s="13"/>
    </row>
    <row r="1191">
      <c r="F1191" s="13"/>
      <c r="L1191" s="255"/>
      <c r="P1191" s="13"/>
      <c r="Q1191" s="13"/>
      <c r="AE1191" s="13"/>
    </row>
    <row r="1192">
      <c r="F1192" s="13"/>
      <c r="L1192" s="255"/>
      <c r="P1192" s="13"/>
      <c r="Q1192" s="13"/>
      <c r="AE1192" s="13"/>
    </row>
    <row r="1193">
      <c r="F1193" s="13"/>
      <c r="L1193" s="255"/>
      <c r="P1193" s="13"/>
      <c r="Q1193" s="13"/>
      <c r="AE1193" s="13"/>
    </row>
    <row r="1194">
      <c r="F1194" s="13"/>
      <c r="L1194" s="255"/>
      <c r="P1194" s="13"/>
      <c r="Q1194" s="13"/>
      <c r="AE1194" s="13"/>
    </row>
    <row r="1195">
      <c r="F1195" s="13"/>
      <c r="L1195" s="255"/>
      <c r="P1195" s="13"/>
      <c r="Q1195" s="13"/>
      <c r="AE1195" s="13"/>
    </row>
    <row r="1196">
      <c r="F1196" s="13"/>
      <c r="L1196" s="255"/>
      <c r="P1196" s="13"/>
      <c r="Q1196" s="13"/>
      <c r="AE1196" s="13"/>
    </row>
    <row r="1197">
      <c r="F1197" s="13"/>
      <c r="L1197" s="255"/>
      <c r="P1197" s="13"/>
      <c r="Q1197" s="13"/>
      <c r="AE1197" s="13"/>
    </row>
    <row r="1198">
      <c r="F1198" s="13"/>
      <c r="L1198" s="255"/>
      <c r="P1198" s="13"/>
      <c r="Q1198" s="13"/>
      <c r="AE1198" s="13"/>
    </row>
    <row r="1199">
      <c r="F1199" s="13"/>
      <c r="L1199" s="255"/>
      <c r="P1199" s="13"/>
      <c r="Q1199" s="13"/>
      <c r="AE1199" s="13"/>
    </row>
    <row r="1200">
      <c r="F1200" s="13"/>
      <c r="L1200" s="255"/>
      <c r="P1200" s="13"/>
      <c r="Q1200" s="13"/>
      <c r="AE1200" s="13"/>
    </row>
    <row r="1201">
      <c r="F1201" s="13"/>
      <c r="L1201" s="255"/>
      <c r="P1201" s="13"/>
      <c r="Q1201" s="13"/>
      <c r="AE1201" s="13"/>
    </row>
    <row r="1202">
      <c r="F1202" s="13"/>
      <c r="L1202" s="255"/>
      <c r="P1202" s="13"/>
      <c r="Q1202" s="13"/>
      <c r="AE1202" s="13"/>
    </row>
    <row r="1203">
      <c r="F1203" s="13"/>
      <c r="L1203" s="255"/>
      <c r="P1203" s="13"/>
      <c r="Q1203" s="13"/>
      <c r="AE1203" s="13"/>
    </row>
    <row r="1204">
      <c r="F1204" s="13"/>
      <c r="L1204" s="255"/>
      <c r="P1204" s="13"/>
      <c r="Q1204" s="13"/>
      <c r="AE1204" s="13"/>
    </row>
    <row r="1205">
      <c r="F1205" s="13"/>
      <c r="L1205" s="255"/>
      <c r="P1205" s="13"/>
      <c r="Q1205" s="13"/>
      <c r="AE1205" s="13"/>
    </row>
    <row r="1206">
      <c r="F1206" s="13"/>
      <c r="L1206" s="255"/>
      <c r="P1206" s="13"/>
      <c r="Q1206" s="13"/>
      <c r="AE1206" s="13"/>
    </row>
    <row r="1207">
      <c r="F1207" s="13"/>
      <c r="L1207" s="255"/>
      <c r="P1207" s="13"/>
      <c r="Q1207" s="13"/>
      <c r="AE1207" s="13"/>
    </row>
    <row r="1208">
      <c r="F1208" s="13"/>
      <c r="L1208" s="255"/>
      <c r="P1208" s="13"/>
      <c r="Q1208" s="13"/>
      <c r="AE1208" s="13"/>
    </row>
    <row r="1209">
      <c r="F1209" s="13"/>
      <c r="L1209" s="255"/>
      <c r="P1209" s="13"/>
      <c r="Q1209" s="13"/>
      <c r="AE1209" s="13"/>
    </row>
    <row r="1210">
      <c r="F1210" s="13"/>
      <c r="L1210" s="255"/>
      <c r="P1210" s="13"/>
      <c r="Q1210" s="13"/>
      <c r="AE1210" s="13"/>
    </row>
    <row r="1211">
      <c r="F1211" s="13"/>
      <c r="L1211" s="255"/>
      <c r="P1211" s="13"/>
      <c r="Q1211" s="13"/>
      <c r="AE1211" s="13"/>
    </row>
    <row r="1212">
      <c r="F1212" s="13"/>
      <c r="L1212" s="255"/>
      <c r="P1212" s="13"/>
      <c r="Q1212" s="13"/>
      <c r="AE1212" s="13"/>
    </row>
    <row r="1213">
      <c r="F1213" s="13"/>
      <c r="L1213" s="255"/>
      <c r="P1213" s="13"/>
      <c r="Q1213" s="13"/>
      <c r="AE1213" s="13"/>
    </row>
    <row r="1214">
      <c r="F1214" s="13"/>
      <c r="L1214" s="255"/>
      <c r="P1214" s="13"/>
      <c r="Q1214" s="13"/>
      <c r="AE1214" s="13"/>
    </row>
    <row r="1215">
      <c r="F1215" s="13"/>
      <c r="L1215" s="255"/>
      <c r="P1215" s="13"/>
      <c r="Q1215" s="13"/>
      <c r="AE1215" s="13"/>
    </row>
    <row r="1216">
      <c r="F1216" s="13"/>
      <c r="L1216" s="255"/>
      <c r="P1216" s="13"/>
      <c r="Q1216" s="13"/>
      <c r="AE1216" s="13"/>
    </row>
    <row r="1217">
      <c r="F1217" s="13"/>
      <c r="L1217" s="255"/>
      <c r="P1217" s="13"/>
      <c r="Q1217" s="13"/>
      <c r="AE1217" s="13"/>
    </row>
    <row r="1218">
      <c r="F1218" s="13"/>
      <c r="L1218" s="255"/>
      <c r="P1218" s="13"/>
      <c r="Q1218" s="13"/>
      <c r="AE1218" s="13"/>
    </row>
    <row r="1219">
      <c r="F1219" s="13"/>
      <c r="L1219" s="255"/>
      <c r="P1219" s="13"/>
      <c r="Q1219" s="13"/>
      <c r="AE1219" s="13"/>
    </row>
    <row r="1220">
      <c r="F1220" s="13"/>
      <c r="L1220" s="255"/>
      <c r="P1220" s="13"/>
      <c r="Q1220" s="13"/>
      <c r="AE1220" s="13"/>
    </row>
    <row r="1221">
      <c r="F1221" s="13"/>
      <c r="L1221" s="255"/>
      <c r="P1221" s="13"/>
      <c r="Q1221" s="13"/>
      <c r="AE1221" s="13"/>
    </row>
    <row r="1222">
      <c r="F1222" s="13"/>
      <c r="L1222" s="255"/>
      <c r="P1222" s="13"/>
      <c r="Q1222" s="13"/>
      <c r="AE1222" s="13"/>
    </row>
    <row r="1223">
      <c r="F1223" s="13"/>
      <c r="L1223" s="255"/>
      <c r="P1223" s="13"/>
      <c r="Q1223" s="13"/>
      <c r="AE1223" s="13"/>
    </row>
    <row r="1224">
      <c r="F1224" s="13"/>
      <c r="L1224" s="255"/>
      <c r="P1224" s="13"/>
      <c r="Q1224" s="13"/>
      <c r="AE1224" s="13"/>
    </row>
    <row r="1225">
      <c r="F1225" s="13"/>
      <c r="L1225" s="255"/>
      <c r="P1225" s="13"/>
      <c r="Q1225" s="13"/>
      <c r="AE1225" s="13"/>
    </row>
    <row r="1226">
      <c r="F1226" s="13"/>
      <c r="L1226" s="255"/>
      <c r="P1226" s="13"/>
      <c r="Q1226" s="13"/>
      <c r="AE1226" s="13"/>
    </row>
    <row r="1227">
      <c r="F1227" s="13"/>
      <c r="L1227" s="255"/>
      <c r="P1227" s="13"/>
      <c r="Q1227" s="13"/>
      <c r="AE1227" s="13"/>
    </row>
    <row r="1228">
      <c r="F1228" s="13"/>
      <c r="L1228" s="255"/>
      <c r="P1228" s="13"/>
      <c r="Q1228" s="13"/>
      <c r="AE1228" s="13"/>
    </row>
    <row r="1229">
      <c r="F1229" s="13"/>
      <c r="L1229" s="255"/>
      <c r="P1229" s="13"/>
      <c r="Q1229" s="13"/>
      <c r="AE1229" s="13"/>
    </row>
    <row r="1230">
      <c r="F1230" s="13"/>
      <c r="L1230" s="255"/>
      <c r="P1230" s="13"/>
      <c r="Q1230" s="13"/>
      <c r="AE1230" s="13"/>
    </row>
    <row r="1231">
      <c r="F1231" s="13"/>
      <c r="L1231" s="255"/>
      <c r="P1231" s="13"/>
      <c r="Q1231" s="13"/>
      <c r="AE1231" s="13"/>
    </row>
    <row r="1232">
      <c r="F1232" s="13"/>
      <c r="L1232" s="255"/>
      <c r="P1232" s="13"/>
      <c r="Q1232" s="13"/>
      <c r="AE1232" s="13"/>
    </row>
    <row r="1233">
      <c r="F1233" s="13"/>
      <c r="L1233" s="255"/>
      <c r="P1233" s="13"/>
      <c r="Q1233" s="13"/>
      <c r="AE1233" s="13"/>
    </row>
    <row r="1234">
      <c r="F1234" s="13"/>
      <c r="L1234" s="255"/>
      <c r="P1234" s="13"/>
      <c r="Q1234" s="13"/>
      <c r="AE1234" s="13"/>
    </row>
    <row r="1235">
      <c r="F1235" s="13"/>
      <c r="L1235" s="255"/>
      <c r="P1235" s="13"/>
      <c r="Q1235" s="13"/>
      <c r="AE1235" s="13"/>
    </row>
    <row r="1236">
      <c r="F1236" s="13"/>
      <c r="L1236" s="255"/>
      <c r="P1236" s="13"/>
      <c r="Q1236" s="13"/>
      <c r="AE1236" s="13"/>
    </row>
    <row r="1237">
      <c r="F1237" s="13"/>
      <c r="L1237" s="255"/>
      <c r="P1237" s="13"/>
      <c r="Q1237" s="13"/>
      <c r="AE1237" s="13"/>
    </row>
    <row r="1238">
      <c r="F1238" s="13"/>
      <c r="L1238" s="255"/>
      <c r="P1238" s="13"/>
      <c r="Q1238" s="13"/>
      <c r="AE1238" s="13"/>
    </row>
    <row r="1239">
      <c r="F1239" s="13"/>
      <c r="L1239" s="255"/>
      <c r="P1239" s="13"/>
      <c r="Q1239" s="13"/>
      <c r="AE1239" s="13"/>
    </row>
    <row r="1240">
      <c r="F1240" s="13"/>
      <c r="L1240" s="255"/>
      <c r="P1240" s="13"/>
      <c r="Q1240" s="13"/>
      <c r="AE1240" s="13"/>
    </row>
    <row r="1241">
      <c r="F1241" s="13"/>
      <c r="L1241" s="255"/>
      <c r="P1241" s="13"/>
      <c r="Q1241" s="13"/>
      <c r="AE1241" s="13"/>
    </row>
    <row r="1242">
      <c r="F1242" s="13"/>
      <c r="L1242" s="255"/>
      <c r="P1242" s="13"/>
      <c r="Q1242" s="13"/>
      <c r="AE1242" s="13"/>
    </row>
    <row r="1243">
      <c r="F1243" s="13"/>
      <c r="L1243" s="255"/>
      <c r="P1243" s="13"/>
      <c r="Q1243" s="13"/>
      <c r="AE1243" s="13"/>
    </row>
    <row r="1244">
      <c r="F1244" s="13"/>
      <c r="L1244" s="255"/>
      <c r="P1244" s="13"/>
      <c r="Q1244" s="13"/>
      <c r="AE1244" s="13"/>
    </row>
    <row r="1245">
      <c r="F1245" s="13"/>
      <c r="L1245" s="255"/>
      <c r="P1245" s="13"/>
      <c r="Q1245" s="13"/>
      <c r="AE1245" s="13"/>
    </row>
    <row r="1246">
      <c r="F1246" s="13"/>
      <c r="L1246" s="255"/>
      <c r="P1246" s="13"/>
      <c r="Q1246" s="13"/>
      <c r="AE1246" s="13"/>
    </row>
    <row r="1247">
      <c r="F1247" s="13"/>
      <c r="L1247" s="255"/>
      <c r="P1247" s="13"/>
      <c r="Q1247" s="13"/>
      <c r="AE1247" s="13"/>
    </row>
    <row r="1248">
      <c r="F1248" s="13"/>
      <c r="L1248" s="255"/>
      <c r="P1248" s="13"/>
      <c r="Q1248" s="13"/>
      <c r="AE1248" s="13"/>
    </row>
    <row r="1249">
      <c r="F1249" s="13"/>
      <c r="L1249" s="255"/>
      <c r="P1249" s="13"/>
      <c r="Q1249" s="13"/>
      <c r="AE1249" s="13"/>
    </row>
    <row r="1250">
      <c r="F1250" s="13"/>
      <c r="L1250" s="255"/>
      <c r="P1250" s="13"/>
      <c r="Q1250" s="13"/>
      <c r="AE1250" s="13"/>
    </row>
    <row r="1251">
      <c r="F1251" s="13"/>
      <c r="L1251" s="255"/>
      <c r="P1251" s="13"/>
      <c r="Q1251" s="13"/>
      <c r="AE1251" s="13"/>
    </row>
    <row r="1252">
      <c r="F1252" s="13"/>
      <c r="L1252" s="255"/>
      <c r="P1252" s="13"/>
      <c r="Q1252" s="13"/>
      <c r="AE1252" s="13"/>
    </row>
    <row r="1253">
      <c r="F1253" s="13"/>
      <c r="L1253" s="255"/>
      <c r="P1253" s="13"/>
      <c r="Q1253" s="13"/>
      <c r="AE1253" s="13"/>
    </row>
    <row r="1254">
      <c r="F1254" s="13"/>
      <c r="L1254" s="255"/>
      <c r="P1254" s="13"/>
      <c r="Q1254" s="13"/>
      <c r="AE1254" s="13"/>
    </row>
    <row r="1255">
      <c r="F1255" s="13"/>
      <c r="L1255" s="255"/>
      <c r="P1255" s="13"/>
      <c r="Q1255" s="13"/>
      <c r="AE1255" s="13"/>
    </row>
    <row r="1256">
      <c r="F1256" s="13"/>
      <c r="L1256" s="255"/>
      <c r="P1256" s="13"/>
      <c r="Q1256" s="13"/>
      <c r="AE1256" s="13"/>
    </row>
    <row r="1257">
      <c r="F1257" s="13"/>
      <c r="L1257" s="255"/>
      <c r="P1257" s="13"/>
      <c r="Q1257" s="13"/>
      <c r="AE1257" s="13"/>
    </row>
    <row r="1258">
      <c r="F1258" s="13"/>
      <c r="L1258" s="255"/>
      <c r="P1258" s="13"/>
      <c r="Q1258" s="13"/>
      <c r="AE1258" s="13"/>
    </row>
    <row r="1259">
      <c r="F1259" s="13"/>
      <c r="L1259" s="255"/>
      <c r="P1259" s="13"/>
      <c r="Q1259" s="13"/>
      <c r="AE1259" s="13"/>
    </row>
    <row r="1260">
      <c r="F1260" s="13"/>
      <c r="L1260" s="255"/>
      <c r="P1260" s="13"/>
      <c r="Q1260" s="13"/>
      <c r="AE1260" s="13"/>
    </row>
    <row r="1261">
      <c r="F1261" s="13"/>
      <c r="L1261" s="255"/>
      <c r="P1261" s="13"/>
      <c r="Q1261" s="13"/>
      <c r="AE1261" s="13"/>
    </row>
    <row r="1262">
      <c r="F1262" s="13"/>
      <c r="L1262" s="255"/>
      <c r="P1262" s="13"/>
      <c r="Q1262" s="13"/>
      <c r="AE1262" s="13"/>
    </row>
    <row r="1263">
      <c r="F1263" s="13"/>
      <c r="L1263" s="255"/>
      <c r="P1263" s="13"/>
      <c r="Q1263" s="13"/>
      <c r="AE1263" s="13"/>
    </row>
    <row r="1264">
      <c r="F1264" s="13"/>
      <c r="L1264" s="255"/>
      <c r="P1264" s="13"/>
      <c r="Q1264" s="13"/>
      <c r="AE1264" s="13"/>
    </row>
    <row r="1265">
      <c r="F1265" s="13"/>
      <c r="L1265" s="255"/>
      <c r="P1265" s="13"/>
      <c r="Q1265" s="13"/>
      <c r="AE1265" s="13"/>
    </row>
    <row r="1266">
      <c r="F1266" s="13"/>
      <c r="L1266" s="255"/>
      <c r="P1266" s="13"/>
      <c r="Q1266" s="13"/>
      <c r="AE1266" s="13"/>
    </row>
    <row r="1267">
      <c r="F1267" s="13"/>
      <c r="L1267" s="255"/>
      <c r="P1267" s="13"/>
      <c r="Q1267" s="13"/>
      <c r="AE1267" s="13"/>
    </row>
    <row r="1268">
      <c r="F1268" s="13"/>
      <c r="L1268" s="255"/>
      <c r="P1268" s="13"/>
      <c r="Q1268" s="13"/>
      <c r="AE1268" s="13"/>
    </row>
    <row r="1269">
      <c r="F1269" s="13"/>
      <c r="L1269" s="255"/>
      <c r="P1269" s="13"/>
      <c r="Q1269" s="13"/>
      <c r="AE1269" s="13"/>
    </row>
    <row r="1270">
      <c r="F1270" s="13"/>
      <c r="L1270" s="255"/>
      <c r="P1270" s="13"/>
      <c r="Q1270" s="13"/>
      <c r="AE1270" s="13"/>
    </row>
    <row r="1271">
      <c r="F1271" s="13"/>
      <c r="L1271" s="255"/>
      <c r="P1271" s="13"/>
      <c r="Q1271" s="13"/>
      <c r="AE1271" s="13"/>
    </row>
    <row r="1272">
      <c r="F1272" s="13"/>
      <c r="L1272" s="255"/>
      <c r="P1272" s="13"/>
      <c r="Q1272" s="13"/>
      <c r="AE1272" s="13"/>
    </row>
    <row r="1273">
      <c r="F1273" s="13"/>
      <c r="L1273" s="255"/>
      <c r="P1273" s="13"/>
      <c r="Q1273" s="13"/>
      <c r="AE1273" s="13"/>
    </row>
    <row r="1274">
      <c r="F1274" s="13"/>
      <c r="L1274" s="255"/>
      <c r="P1274" s="13"/>
      <c r="Q1274" s="13"/>
      <c r="AE1274" s="13"/>
    </row>
    <row r="1275">
      <c r="F1275" s="13"/>
      <c r="L1275" s="255"/>
      <c r="P1275" s="13"/>
      <c r="Q1275" s="13"/>
      <c r="AE1275" s="13"/>
    </row>
    <row r="1276">
      <c r="F1276" s="13"/>
      <c r="L1276" s="255"/>
      <c r="P1276" s="13"/>
      <c r="Q1276" s="13"/>
      <c r="AE1276" s="13"/>
    </row>
    <row r="1277">
      <c r="F1277" s="13"/>
      <c r="L1277" s="255"/>
      <c r="P1277" s="13"/>
      <c r="Q1277" s="13"/>
      <c r="AE1277" s="13"/>
    </row>
    <row r="1278">
      <c r="F1278" s="13"/>
      <c r="L1278" s="255"/>
      <c r="P1278" s="13"/>
      <c r="Q1278" s="13"/>
      <c r="AE1278" s="13"/>
    </row>
    <row r="1279">
      <c r="F1279" s="13"/>
      <c r="L1279" s="255"/>
      <c r="P1279" s="13"/>
      <c r="Q1279" s="13"/>
      <c r="AE1279" s="13"/>
    </row>
    <row r="1280">
      <c r="F1280" s="13"/>
      <c r="L1280" s="255"/>
      <c r="P1280" s="13"/>
      <c r="Q1280" s="13"/>
      <c r="AE1280" s="13"/>
    </row>
    <row r="1281">
      <c r="F1281" s="13"/>
      <c r="L1281" s="255"/>
      <c r="P1281" s="13"/>
      <c r="Q1281" s="13"/>
      <c r="AE1281" s="13"/>
    </row>
    <row r="1282">
      <c r="F1282" s="13"/>
      <c r="L1282" s="255"/>
      <c r="P1282" s="13"/>
      <c r="Q1282" s="13"/>
      <c r="AE1282" s="13"/>
    </row>
    <row r="1283">
      <c r="F1283" s="13"/>
      <c r="L1283" s="255"/>
      <c r="P1283" s="13"/>
      <c r="Q1283" s="13"/>
      <c r="AE1283" s="13"/>
    </row>
    <row r="1284">
      <c r="F1284" s="13"/>
      <c r="L1284" s="255"/>
      <c r="P1284" s="13"/>
      <c r="Q1284" s="13"/>
      <c r="AE1284" s="13"/>
    </row>
    <row r="1285">
      <c r="F1285" s="13"/>
      <c r="L1285" s="255"/>
      <c r="P1285" s="13"/>
      <c r="Q1285" s="13"/>
      <c r="AE1285" s="13"/>
    </row>
    <row r="1286">
      <c r="F1286" s="13"/>
      <c r="L1286" s="255"/>
      <c r="P1286" s="13"/>
      <c r="Q1286" s="13"/>
      <c r="AE1286" s="13"/>
    </row>
    <row r="1287">
      <c r="F1287" s="13"/>
      <c r="L1287" s="255"/>
      <c r="P1287" s="13"/>
      <c r="Q1287" s="13"/>
      <c r="AE1287" s="13"/>
    </row>
    <row r="1288">
      <c r="F1288" s="13"/>
      <c r="L1288" s="255"/>
      <c r="P1288" s="13"/>
      <c r="Q1288" s="13"/>
      <c r="AE1288" s="13"/>
    </row>
    <row r="1289">
      <c r="F1289" s="13"/>
      <c r="L1289" s="255"/>
      <c r="P1289" s="13"/>
      <c r="Q1289" s="13"/>
      <c r="AE1289" s="13"/>
    </row>
    <row r="1290">
      <c r="F1290" s="13"/>
      <c r="L1290" s="255"/>
      <c r="P1290" s="13"/>
      <c r="Q1290" s="13"/>
      <c r="AE1290" s="13"/>
    </row>
    <row r="1291">
      <c r="F1291" s="13"/>
      <c r="L1291" s="255"/>
      <c r="P1291" s="13"/>
      <c r="Q1291" s="13"/>
      <c r="AE1291" s="13"/>
    </row>
    <row r="1292">
      <c r="F1292" s="13"/>
      <c r="L1292" s="255"/>
      <c r="P1292" s="13"/>
      <c r="Q1292" s="13"/>
      <c r="AE1292" s="13"/>
    </row>
    <row r="1293">
      <c r="F1293" s="13"/>
      <c r="L1293" s="255"/>
      <c r="P1293" s="13"/>
      <c r="Q1293" s="13"/>
      <c r="AE1293" s="13"/>
    </row>
    <row r="1294">
      <c r="F1294" s="13"/>
      <c r="L1294" s="255"/>
      <c r="P1294" s="13"/>
      <c r="Q1294" s="13"/>
      <c r="AE1294" s="13"/>
    </row>
    <row r="1295">
      <c r="F1295" s="13"/>
      <c r="L1295" s="255"/>
      <c r="P1295" s="13"/>
      <c r="Q1295" s="13"/>
      <c r="AE1295" s="13"/>
    </row>
    <row r="1296">
      <c r="F1296" s="13"/>
      <c r="L1296" s="255"/>
      <c r="P1296" s="13"/>
      <c r="Q1296" s="13"/>
      <c r="AE1296" s="13"/>
    </row>
    <row r="1297">
      <c r="F1297" s="13"/>
      <c r="L1297" s="255"/>
      <c r="P1297" s="13"/>
      <c r="Q1297" s="13"/>
      <c r="AE1297" s="13"/>
    </row>
    <row r="1298">
      <c r="F1298" s="13"/>
      <c r="L1298" s="255"/>
      <c r="P1298" s="13"/>
      <c r="Q1298" s="13"/>
      <c r="AE1298" s="13"/>
    </row>
    <row r="1299">
      <c r="F1299" s="13"/>
      <c r="L1299" s="255"/>
      <c r="P1299" s="13"/>
      <c r="Q1299" s="13"/>
      <c r="AE1299" s="13"/>
    </row>
    <row r="1300">
      <c r="F1300" s="13"/>
      <c r="L1300" s="255"/>
      <c r="P1300" s="13"/>
      <c r="Q1300" s="13"/>
      <c r="AE1300" s="13"/>
    </row>
    <row r="1301">
      <c r="F1301" s="13"/>
      <c r="L1301" s="255"/>
      <c r="P1301" s="13"/>
      <c r="Q1301" s="13"/>
      <c r="AE1301" s="13"/>
    </row>
    <row r="1302">
      <c r="F1302" s="13"/>
      <c r="L1302" s="255"/>
      <c r="P1302" s="13"/>
      <c r="Q1302" s="13"/>
      <c r="AE1302" s="13"/>
    </row>
    <row r="1303">
      <c r="F1303" s="13"/>
      <c r="L1303" s="255"/>
      <c r="P1303" s="13"/>
      <c r="Q1303" s="13"/>
      <c r="AE1303" s="13"/>
    </row>
    <row r="1304">
      <c r="F1304" s="13"/>
      <c r="L1304" s="255"/>
      <c r="P1304" s="13"/>
      <c r="Q1304" s="13"/>
      <c r="AE1304" s="13"/>
    </row>
    <row r="1305">
      <c r="F1305" s="13"/>
      <c r="L1305" s="255"/>
      <c r="P1305" s="13"/>
      <c r="Q1305" s="13"/>
      <c r="AE1305" s="13"/>
    </row>
    <row r="1306">
      <c r="F1306" s="13"/>
      <c r="L1306" s="255"/>
      <c r="P1306" s="13"/>
      <c r="Q1306" s="13"/>
      <c r="AE1306" s="13"/>
    </row>
    <row r="1307">
      <c r="F1307" s="13"/>
      <c r="L1307" s="255"/>
      <c r="P1307" s="13"/>
      <c r="Q1307" s="13"/>
      <c r="AE1307" s="13"/>
    </row>
    <row r="1308">
      <c r="F1308" s="13"/>
      <c r="L1308" s="255"/>
      <c r="P1308" s="13"/>
      <c r="Q1308" s="13"/>
      <c r="AE1308" s="13"/>
    </row>
    <row r="1309">
      <c r="F1309" s="13"/>
      <c r="L1309" s="255"/>
      <c r="P1309" s="13"/>
      <c r="Q1309" s="13"/>
      <c r="AE1309" s="13"/>
    </row>
    <row r="1310">
      <c r="F1310" s="13"/>
      <c r="L1310" s="255"/>
      <c r="P1310" s="13"/>
      <c r="Q1310" s="13"/>
      <c r="AE1310" s="13"/>
    </row>
    <row r="1311">
      <c r="F1311" s="13"/>
      <c r="L1311" s="255"/>
      <c r="P1311" s="13"/>
      <c r="Q1311" s="13"/>
      <c r="AE1311" s="13"/>
    </row>
    <row r="1312">
      <c r="F1312" s="13"/>
      <c r="L1312" s="255"/>
      <c r="P1312" s="13"/>
      <c r="Q1312" s="13"/>
      <c r="AE1312" s="13"/>
    </row>
    <row r="1313">
      <c r="F1313" s="13"/>
      <c r="L1313" s="255"/>
      <c r="P1313" s="13"/>
      <c r="Q1313" s="13"/>
      <c r="AE1313" s="13"/>
    </row>
    <row r="1314">
      <c r="F1314" s="13"/>
      <c r="L1314" s="255"/>
      <c r="P1314" s="13"/>
      <c r="Q1314" s="13"/>
      <c r="AE1314" s="13"/>
    </row>
    <row r="1315">
      <c r="F1315" s="13"/>
      <c r="L1315" s="255"/>
      <c r="P1315" s="13"/>
      <c r="Q1315" s="13"/>
      <c r="AE1315" s="13"/>
    </row>
    <row r="1316">
      <c r="F1316" s="13"/>
      <c r="L1316" s="255"/>
      <c r="P1316" s="13"/>
      <c r="Q1316" s="13"/>
      <c r="AE1316" s="13"/>
    </row>
    <row r="1317">
      <c r="F1317" s="13"/>
      <c r="L1317" s="255"/>
      <c r="P1317" s="13"/>
      <c r="Q1317" s="13"/>
      <c r="AE1317" s="13"/>
    </row>
    <row r="1318">
      <c r="F1318" s="13"/>
      <c r="L1318" s="255"/>
      <c r="P1318" s="13"/>
      <c r="Q1318" s="13"/>
      <c r="AE1318" s="13"/>
    </row>
    <row r="1319">
      <c r="F1319" s="13"/>
      <c r="L1319" s="255"/>
      <c r="P1319" s="13"/>
      <c r="Q1319" s="13"/>
      <c r="AE1319" s="13"/>
    </row>
    <row r="1320">
      <c r="F1320" s="13"/>
      <c r="L1320" s="255"/>
      <c r="P1320" s="13"/>
      <c r="Q1320" s="13"/>
      <c r="AE1320" s="13"/>
    </row>
    <row r="1321">
      <c r="F1321" s="13"/>
      <c r="L1321" s="255"/>
      <c r="P1321" s="13"/>
      <c r="Q1321" s="13"/>
      <c r="AE1321" s="13"/>
    </row>
    <row r="1322">
      <c r="F1322" s="13"/>
      <c r="L1322" s="255"/>
      <c r="P1322" s="13"/>
      <c r="Q1322" s="13"/>
      <c r="AE1322" s="13"/>
    </row>
    <row r="1323">
      <c r="F1323" s="13"/>
      <c r="L1323" s="255"/>
      <c r="P1323" s="13"/>
      <c r="Q1323" s="13"/>
      <c r="AE1323" s="13"/>
    </row>
    <row r="1324">
      <c r="F1324" s="13"/>
      <c r="L1324" s="255"/>
      <c r="P1324" s="13"/>
      <c r="Q1324" s="13"/>
      <c r="AE1324" s="13"/>
    </row>
    <row r="1325">
      <c r="F1325" s="13"/>
      <c r="L1325" s="255"/>
      <c r="P1325" s="13"/>
      <c r="Q1325" s="13"/>
      <c r="AE1325" s="13"/>
    </row>
    <row r="1326">
      <c r="F1326" s="13"/>
      <c r="L1326" s="255"/>
      <c r="P1326" s="13"/>
      <c r="Q1326" s="13"/>
      <c r="AE1326" s="13"/>
    </row>
    <row r="1327">
      <c r="F1327" s="13"/>
      <c r="L1327" s="255"/>
      <c r="P1327" s="13"/>
      <c r="Q1327" s="13"/>
      <c r="AE1327" s="13"/>
    </row>
    <row r="1328">
      <c r="F1328" s="13"/>
      <c r="L1328" s="255"/>
      <c r="P1328" s="13"/>
      <c r="Q1328" s="13"/>
      <c r="AE1328" s="13"/>
    </row>
    <row r="1329">
      <c r="F1329" s="13"/>
      <c r="L1329" s="255"/>
      <c r="P1329" s="13"/>
      <c r="Q1329" s="13"/>
      <c r="AE1329" s="13"/>
    </row>
    <row r="1330">
      <c r="F1330" s="13"/>
      <c r="L1330" s="255"/>
      <c r="P1330" s="13"/>
      <c r="Q1330" s="13"/>
      <c r="AE1330" s="13"/>
    </row>
    <row r="1331">
      <c r="F1331" s="13"/>
      <c r="L1331" s="255"/>
      <c r="P1331" s="13"/>
      <c r="Q1331" s="13"/>
      <c r="AE1331" s="13"/>
    </row>
    <row r="1332">
      <c r="F1332" s="13"/>
      <c r="L1332" s="255"/>
      <c r="P1332" s="13"/>
      <c r="Q1332" s="13"/>
      <c r="AE1332" s="13"/>
    </row>
    <row r="1333">
      <c r="F1333" s="13"/>
      <c r="L1333" s="255"/>
      <c r="P1333" s="13"/>
      <c r="Q1333" s="13"/>
      <c r="AE1333" s="13"/>
    </row>
    <row r="1334">
      <c r="F1334" s="13"/>
      <c r="L1334" s="255"/>
      <c r="P1334" s="13"/>
      <c r="Q1334" s="13"/>
      <c r="AE1334" s="13"/>
    </row>
    <row r="1335">
      <c r="F1335" s="13"/>
      <c r="L1335" s="255"/>
      <c r="P1335" s="13"/>
      <c r="Q1335" s="13"/>
      <c r="AE1335" s="13"/>
    </row>
    <row r="1336">
      <c r="F1336" s="13"/>
      <c r="L1336" s="255"/>
      <c r="P1336" s="13"/>
      <c r="Q1336" s="13"/>
      <c r="AE1336" s="13"/>
    </row>
    <row r="1337">
      <c r="F1337" s="13"/>
      <c r="L1337" s="255"/>
      <c r="P1337" s="13"/>
      <c r="Q1337" s="13"/>
      <c r="AE1337" s="13"/>
    </row>
    <row r="1338">
      <c r="F1338" s="13"/>
      <c r="L1338" s="255"/>
      <c r="P1338" s="13"/>
      <c r="Q1338" s="13"/>
      <c r="AE1338" s="13"/>
    </row>
    <row r="1339">
      <c r="F1339" s="13"/>
      <c r="L1339" s="255"/>
      <c r="P1339" s="13"/>
      <c r="Q1339" s="13"/>
      <c r="AE1339" s="13"/>
    </row>
    <row r="1340">
      <c r="F1340" s="13"/>
      <c r="L1340" s="255"/>
      <c r="P1340" s="13"/>
      <c r="Q1340" s="13"/>
      <c r="AE1340" s="13"/>
    </row>
    <row r="1341">
      <c r="F1341" s="13"/>
      <c r="L1341" s="255"/>
      <c r="P1341" s="13"/>
      <c r="Q1341" s="13"/>
      <c r="AE1341" s="13"/>
    </row>
    <row r="1342">
      <c r="F1342" s="13"/>
      <c r="L1342" s="255"/>
      <c r="P1342" s="13"/>
      <c r="Q1342" s="13"/>
      <c r="AE1342" s="13"/>
    </row>
    <row r="1343">
      <c r="F1343" s="13"/>
      <c r="L1343" s="255"/>
      <c r="P1343" s="13"/>
      <c r="Q1343" s="13"/>
      <c r="AE1343" s="13"/>
    </row>
    <row r="1344">
      <c r="F1344" s="13"/>
      <c r="L1344" s="255"/>
      <c r="P1344" s="13"/>
      <c r="Q1344" s="13"/>
      <c r="AE1344" s="13"/>
    </row>
    <row r="1345">
      <c r="F1345" s="13"/>
      <c r="L1345" s="255"/>
      <c r="P1345" s="13"/>
      <c r="Q1345" s="13"/>
      <c r="AE1345" s="13"/>
    </row>
    <row r="1346">
      <c r="F1346" s="13"/>
      <c r="L1346" s="255"/>
      <c r="P1346" s="13"/>
      <c r="Q1346" s="13"/>
      <c r="AE1346" s="13"/>
    </row>
    <row r="1347">
      <c r="F1347" s="13"/>
      <c r="L1347" s="255"/>
      <c r="P1347" s="13"/>
      <c r="Q1347" s="13"/>
      <c r="AE1347" s="13"/>
    </row>
    <row r="1348">
      <c r="F1348" s="13"/>
      <c r="L1348" s="255"/>
      <c r="P1348" s="13"/>
      <c r="Q1348" s="13"/>
      <c r="AE1348" s="13"/>
    </row>
    <row r="1349">
      <c r="F1349" s="13"/>
      <c r="L1349" s="255"/>
      <c r="P1349" s="13"/>
      <c r="Q1349" s="13"/>
      <c r="AE1349" s="13"/>
    </row>
    <row r="1350">
      <c r="F1350" s="13"/>
      <c r="L1350" s="255"/>
      <c r="P1350" s="13"/>
      <c r="Q1350" s="13"/>
      <c r="AE1350" s="13"/>
    </row>
    <row r="1351">
      <c r="F1351" s="13"/>
      <c r="L1351" s="255"/>
      <c r="P1351" s="13"/>
      <c r="Q1351" s="13"/>
      <c r="AE1351" s="13"/>
    </row>
    <row r="1352">
      <c r="F1352" s="13"/>
      <c r="L1352" s="255"/>
      <c r="P1352" s="13"/>
      <c r="Q1352" s="13"/>
      <c r="AE1352" s="13"/>
    </row>
    <row r="1353">
      <c r="F1353" s="13"/>
      <c r="L1353" s="255"/>
      <c r="P1353" s="13"/>
      <c r="Q1353" s="13"/>
      <c r="AE1353" s="13"/>
    </row>
    <row r="1354">
      <c r="F1354" s="13"/>
      <c r="L1354" s="255"/>
      <c r="P1354" s="13"/>
      <c r="Q1354" s="13"/>
      <c r="AE1354" s="13"/>
    </row>
    <row r="1355">
      <c r="F1355" s="13"/>
      <c r="L1355" s="255"/>
      <c r="P1355" s="13"/>
      <c r="Q1355" s="13"/>
      <c r="AE1355" s="13"/>
    </row>
    <row r="1356">
      <c r="F1356" s="13"/>
      <c r="L1356" s="255"/>
      <c r="P1356" s="13"/>
      <c r="Q1356" s="13"/>
      <c r="AE1356" s="13"/>
    </row>
    <row r="1357">
      <c r="F1357" s="13"/>
      <c r="L1357" s="255"/>
      <c r="P1357" s="13"/>
      <c r="Q1357" s="13"/>
      <c r="AE1357" s="13"/>
    </row>
    <row r="1358">
      <c r="F1358" s="13"/>
      <c r="L1358" s="255"/>
      <c r="P1358" s="13"/>
      <c r="Q1358" s="13"/>
      <c r="AE1358" s="13"/>
    </row>
    <row r="1359">
      <c r="F1359" s="13"/>
      <c r="L1359" s="255"/>
      <c r="P1359" s="13"/>
      <c r="Q1359" s="13"/>
      <c r="AE1359" s="13"/>
    </row>
    <row r="1360">
      <c r="F1360" s="13"/>
      <c r="L1360" s="255"/>
      <c r="P1360" s="13"/>
      <c r="Q1360" s="13"/>
      <c r="AE1360" s="13"/>
    </row>
    <row r="1361">
      <c r="F1361" s="13"/>
      <c r="L1361" s="255"/>
      <c r="P1361" s="13"/>
      <c r="Q1361" s="13"/>
      <c r="AE1361" s="13"/>
    </row>
    <row r="1362">
      <c r="F1362" s="13"/>
      <c r="L1362" s="255"/>
      <c r="P1362" s="13"/>
      <c r="Q1362" s="13"/>
      <c r="AE1362" s="13"/>
    </row>
    <row r="1363">
      <c r="F1363" s="13"/>
      <c r="L1363" s="255"/>
      <c r="P1363" s="13"/>
      <c r="Q1363" s="13"/>
      <c r="AE1363" s="13"/>
    </row>
    <row r="1364">
      <c r="F1364" s="13"/>
      <c r="L1364" s="255"/>
      <c r="P1364" s="13"/>
      <c r="Q1364" s="13"/>
      <c r="AE1364" s="13"/>
    </row>
    <row r="1365">
      <c r="F1365" s="13"/>
      <c r="L1365" s="255"/>
      <c r="P1365" s="13"/>
      <c r="Q1365" s="13"/>
      <c r="AE1365" s="13"/>
    </row>
    <row r="1366">
      <c r="F1366" s="13"/>
      <c r="L1366" s="255"/>
      <c r="P1366" s="13"/>
      <c r="Q1366" s="13"/>
      <c r="AE1366" s="13"/>
    </row>
    <row r="1367">
      <c r="F1367" s="13"/>
      <c r="L1367" s="255"/>
      <c r="P1367" s="13"/>
      <c r="Q1367" s="13"/>
      <c r="AE1367" s="13"/>
    </row>
    <row r="1368">
      <c r="F1368" s="13"/>
      <c r="L1368" s="255"/>
      <c r="P1368" s="13"/>
      <c r="Q1368" s="13"/>
      <c r="AE1368" s="13"/>
    </row>
    <row r="1369">
      <c r="F1369" s="13"/>
      <c r="L1369" s="255"/>
      <c r="P1369" s="13"/>
      <c r="Q1369" s="13"/>
      <c r="AE1369" s="13"/>
    </row>
    <row r="1370">
      <c r="F1370" s="13"/>
      <c r="L1370" s="255"/>
      <c r="P1370" s="13"/>
      <c r="Q1370" s="13"/>
      <c r="AE1370" s="13"/>
    </row>
    <row r="1371">
      <c r="F1371" s="13"/>
      <c r="L1371" s="255"/>
      <c r="P1371" s="13"/>
      <c r="Q1371" s="13"/>
      <c r="AE1371" s="13"/>
    </row>
    <row r="1372">
      <c r="F1372" s="13"/>
      <c r="L1372" s="255"/>
      <c r="P1372" s="13"/>
      <c r="Q1372" s="13"/>
      <c r="AE1372" s="13"/>
    </row>
    <row r="1373">
      <c r="F1373" s="13"/>
      <c r="L1373" s="255"/>
      <c r="P1373" s="13"/>
      <c r="Q1373" s="13"/>
      <c r="AE1373" s="13"/>
    </row>
    <row r="1374">
      <c r="F1374" s="13"/>
      <c r="L1374" s="255"/>
      <c r="P1374" s="13"/>
      <c r="Q1374" s="13"/>
      <c r="AE1374" s="13"/>
    </row>
    <row r="1375">
      <c r="F1375" s="13"/>
      <c r="L1375" s="255"/>
      <c r="P1375" s="13"/>
      <c r="Q1375" s="13"/>
      <c r="AE1375" s="13"/>
    </row>
    <row r="1376">
      <c r="F1376" s="13"/>
      <c r="L1376" s="255"/>
      <c r="P1376" s="13"/>
      <c r="Q1376" s="13"/>
      <c r="AE1376" s="13"/>
    </row>
    <row r="1377">
      <c r="F1377" s="13"/>
      <c r="L1377" s="255"/>
      <c r="P1377" s="13"/>
      <c r="Q1377" s="13"/>
      <c r="AE1377" s="13"/>
    </row>
    <row r="1378">
      <c r="F1378" s="13"/>
      <c r="L1378" s="255"/>
      <c r="P1378" s="13"/>
      <c r="Q1378" s="13"/>
      <c r="AE1378" s="13"/>
    </row>
    <row r="1379">
      <c r="F1379" s="13"/>
      <c r="L1379" s="255"/>
      <c r="P1379" s="13"/>
      <c r="Q1379" s="13"/>
      <c r="AE1379" s="13"/>
    </row>
    <row r="1380">
      <c r="F1380" s="13"/>
      <c r="L1380" s="255"/>
      <c r="P1380" s="13"/>
      <c r="Q1380" s="13"/>
      <c r="AE1380" s="13"/>
    </row>
    <row r="1381">
      <c r="F1381" s="13"/>
      <c r="L1381" s="255"/>
      <c r="P1381" s="13"/>
      <c r="Q1381" s="13"/>
      <c r="AE1381" s="13"/>
    </row>
    <row r="1382">
      <c r="F1382" s="13"/>
      <c r="L1382" s="255"/>
      <c r="P1382" s="13"/>
      <c r="Q1382" s="13"/>
      <c r="AE1382" s="13"/>
    </row>
    <row r="1383">
      <c r="F1383" s="13"/>
      <c r="L1383" s="255"/>
      <c r="P1383" s="13"/>
      <c r="Q1383" s="13"/>
      <c r="AE1383" s="13"/>
    </row>
    <row r="1384">
      <c r="F1384" s="13"/>
      <c r="L1384" s="255"/>
      <c r="P1384" s="13"/>
      <c r="Q1384" s="13"/>
      <c r="AE1384" s="13"/>
    </row>
    <row r="1385">
      <c r="F1385" s="13"/>
      <c r="L1385" s="255"/>
      <c r="P1385" s="13"/>
      <c r="Q1385" s="13"/>
      <c r="AE1385" s="13"/>
    </row>
    <row r="1386">
      <c r="F1386" s="13"/>
      <c r="L1386" s="255"/>
      <c r="P1386" s="13"/>
      <c r="Q1386" s="13"/>
      <c r="AE1386" s="13"/>
    </row>
    <row r="1387">
      <c r="F1387" s="13"/>
      <c r="L1387" s="255"/>
      <c r="P1387" s="13"/>
      <c r="Q1387" s="13"/>
      <c r="AE1387" s="13"/>
    </row>
    <row r="1388">
      <c r="F1388" s="13"/>
      <c r="L1388" s="255"/>
      <c r="P1388" s="13"/>
      <c r="Q1388" s="13"/>
      <c r="AE1388" s="13"/>
    </row>
    <row r="1389">
      <c r="F1389" s="13"/>
      <c r="L1389" s="255"/>
      <c r="P1389" s="13"/>
      <c r="Q1389" s="13"/>
      <c r="AE1389" s="13"/>
    </row>
    <row r="1390">
      <c r="F1390" s="13"/>
      <c r="L1390" s="255"/>
      <c r="P1390" s="13"/>
      <c r="Q1390" s="13"/>
      <c r="AE1390" s="13"/>
    </row>
    <row r="1391">
      <c r="F1391" s="13"/>
      <c r="L1391" s="255"/>
      <c r="P1391" s="13"/>
      <c r="Q1391" s="13"/>
      <c r="AE1391" s="13"/>
    </row>
    <row r="1392">
      <c r="F1392" s="13"/>
      <c r="L1392" s="255"/>
      <c r="P1392" s="13"/>
      <c r="Q1392" s="13"/>
      <c r="AE1392" s="13"/>
    </row>
    <row r="1393">
      <c r="F1393" s="13"/>
      <c r="L1393" s="255"/>
      <c r="P1393" s="13"/>
      <c r="Q1393" s="13"/>
      <c r="AE1393" s="13"/>
    </row>
    <row r="1394">
      <c r="F1394" s="13"/>
      <c r="L1394" s="255"/>
      <c r="P1394" s="13"/>
      <c r="Q1394" s="13"/>
      <c r="AE1394" s="13"/>
    </row>
    <row r="1395">
      <c r="F1395" s="13"/>
      <c r="L1395" s="255"/>
      <c r="P1395" s="13"/>
      <c r="Q1395" s="13"/>
      <c r="AE1395" s="13"/>
    </row>
    <row r="1396">
      <c r="F1396" s="13"/>
      <c r="L1396" s="255"/>
      <c r="P1396" s="13"/>
      <c r="Q1396" s="13"/>
      <c r="AE1396" s="13"/>
    </row>
  </sheetData>
  <conditionalFormatting sqref="C1:C1396">
    <cfRule type="cellIs" dxfId="0" priority="1" operator="equal">
      <formula>1</formula>
    </cfRule>
  </conditionalFormatting>
  <conditionalFormatting sqref="C1:C1396">
    <cfRule type="cellIs" dxfId="1" priority="2" operator="equal">
      <formula>0</formula>
    </cfRule>
  </conditionalFormatting>
  <conditionalFormatting sqref="C1:C1396">
    <cfRule type="cellIs" dxfId="2" priority="3" operator="equal">
      <formula>2</formula>
    </cfRule>
  </conditionalFormatting>
  <conditionalFormatting sqref="C1:C1396">
    <cfRule type="cellIs" dxfId="3" priority="4" operator="equal">
      <formula>0.001</formula>
    </cfRule>
  </conditionalFormatting>
  <hyperlinks>
    <hyperlink r:id="rId2" ref="L3"/>
    <hyperlink r:id="rId3" ref="P3"/>
    <hyperlink r:id="rId4" ref="P18"/>
    <hyperlink r:id="rId5" ref="Z18"/>
    <hyperlink r:id="rId6" ref="AB18"/>
    <hyperlink r:id="rId7" ref="P19"/>
    <hyperlink r:id="rId8" ref="Z19"/>
    <hyperlink r:id="rId9" ref="AB19"/>
    <hyperlink r:id="rId10" ref="P20"/>
    <hyperlink r:id="rId11" ref="Z20"/>
    <hyperlink r:id="rId12" ref="AB20"/>
    <hyperlink r:id="rId13" ref="P21"/>
    <hyperlink r:id="rId14" ref="AB21"/>
    <hyperlink r:id="rId15" ref="P22"/>
    <hyperlink r:id="rId16" ref="AB22"/>
    <hyperlink r:id="rId17" ref="P23"/>
    <hyperlink r:id="rId18" ref="Z23"/>
    <hyperlink r:id="rId19" ref="AB23"/>
    <hyperlink r:id="rId20" ref="P24"/>
    <hyperlink r:id="rId21" ref="P25"/>
    <hyperlink r:id="rId22" ref="Z25"/>
    <hyperlink r:id="rId23" ref="AB25"/>
    <hyperlink r:id="rId24" ref="P26"/>
    <hyperlink r:id="rId25" ref="Z26"/>
    <hyperlink r:id="rId26" ref="AB26"/>
    <hyperlink r:id="rId27" ref="P27"/>
    <hyperlink r:id="rId28" ref="Z27"/>
    <hyperlink r:id="rId29" ref="AB27"/>
    <hyperlink r:id="rId30" ref="P29"/>
    <hyperlink r:id="rId31" ref="AB29"/>
    <hyperlink r:id="rId32" ref="P30"/>
    <hyperlink r:id="rId33" ref="AB30"/>
    <hyperlink r:id="rId34" ref="P31"/>
    <hyperlink r:id="rId35" ref="P32"/>
    <hyperlink r:id="rId36" ref="P33"/>
    <hyperlink r:id="rId37" ref="P34"/>
    <hyperlink r:id="rId38" ref="P35"/>
    <hyperlink r:id="rId39" ref="P36"/>
    <hyperlink r:id="rId40" ref="P37"/>
    <hyperlink r:id="rId41" ref="AD37"/>
    <hyperlink r:id="rId42" ref="P38"/>
    <hyperlink r:id="rId43" ref="P39"/>
    <hyperlink r:id="rId44" ref="P40"/>
    <hyperlink r:id="rId45" ref="P41"/>
    <hyperlink r:id="rId46" ref="P42"/>
    <hyperlink r:id="rId47" ref="P43"/>
    <hyperlink r:id="rId48" ref="P44"/>
    <hyperlink r:id="rId49" ref="P45"/>
    <hyperlink r:id="rId50" ref="P46"/>
    <hyperlink r:id="rId51" ref="P47"/>
    <hyperlink r:id="rId52" ref="P48"/>
    <hyperlink r:id="rId53" ref="P49"/>
    <hyperlink r:id="rId54" ref="P50"/>
    <hyperlink r:id="rId55" ref="P51"/>
    <hyperlink r:id="rId56" ref="P52"/>
    <hyperlink r:id="rId57" ref="P53"/>
    <hyperlink r:id="rId58" ref="P54"/>
    <hyperlink r:id="rId59" ref="P55"/>
    <hyperlink r:id="rId60" ref="P56"/>
    <hyperlink r:id="rId61" ref="P57"/>
    <hyperlink r:id="rId62" ref="P58"/>
    <hyperlink r:id="rId63" ref="P59"/>
    <hyperlink r:id="rId64" ref="AB59"/>
    <hyperlink r:id="rId65" ref="P60"/>
    <hyperlink r:id="rId66" ref="AB60"/>
    <hyperlink r:id="rId67" ref="AB61"/>
    <hyperlink r:id="rId68" ref="AB62"/>
    <hyperlink r:id="rId69" ref="P63"/>
    <hyperlink r:id="rId70" ref="P64"/>
    <hyperlink r:id="rId71" ref="P65"/>
    <hyperlink r:id="rId72" ref="P66"/>
    <hyperlink r:id="rId73" ref="P67"/>
    <hyperlink r:id="rId74" ref="P68"/>
    <hyperlink r:id="rId75" ref="P69"/>
    <hyperlink r:id="rId76" ref="P70"/>
    <hyperlink r:id="rId77" ref="P71"/>
    <hyperlink r:id="rId78" ref="AN71"/>
    <hyperlink r:id="rId79" ref="P72"/>
    <hyperlink r:id="rId80" ref="AN72"/>
    <hyperlink r:id="rId81" ref="P73"/>
    <hyperlink r:id="rId82" ref="AN73"/>
    <hyperlink r:id="rId83" ref="P74"/>
    <hyperlink r:id="rId84" ref="P75"/>
    <hyperlink r:id="rId85" ref="P76"/>
    <hyperlink r:id="rId86" ref="P77"/>
    <hyperlink r:id="rId87" ref="P78"/>
    <hyperlink r:id="rId88" ref="P79"/>
    <hyperlink r:id="rId89" ref="AN79"/>
    <hyperlink r:id="rId90" ref="P80"/>
    <hyperlink r:id="rId91" ref="P81"/>
    <hyperlink r:id="rId92" ref="P82"/>
    <hyperlink r:id="rId93" ref="P83"/>
    <hyperlink r:id="rId94" ref="P84"/>
    <hyperlink r:id="rId95" ref="P85"/>
    <hyperlink r:id="rId96" ref="P86"/>
    <hyperlink r:id="rId97" ref="P87"/>
    <hyperlink r:id="rId98" ref="AN87"/>
    <hyperlink r:id="rId99" ref="P88"/>
    <hyperlink r:id="rId100" ref="AN88"/>
    <hyperlink r:id="rId101" ref="P89"/>
    <hyperlink r:id="rId102" ref="AN89"/>
    <hyperlink r:id="rId103" ref="P90"/>
    <hyperlink r:id="rId104" ref="P91"/>
    <hyperlink r:id="rId105" ref="P92"/>
    <hyperlink r:id="rId106" ref="P93"/>
    <hyperlink r:id="rId107" ref="AN93"/>
    <hyperlink r:id="rId108" ref="P94"/>
    <hyperlink r:id="rId109" ref="AB94"/>
    <hyperlink r:id="rId110" ref="AN94"/>
    <hyperlink r:id="rId111" location=":~:text=In%20the%20distributed%20all%2Dpairs,(typically%20called%20time%20complexity)." ref="P95"/>
    <hyperlink r:id="rId112" location=":~:text=In%20the%20distributed%20all%2Dpairs,(typically%20called%20time%20complexity)." ref="AB95"/>
    <hyperlink r:id="rId113" ref="P96"/>
    <hyperlink r:id="rId114" ref="P97"/>
    <hyperlink r:id="rId115" ref="P98"/>
    <hyperlink r:id="rId116" ref="P99"/>
    <hyperlink r:id="rId117" ref="P100"/>
    <hyperlink r:id="rId118" ref="P101"/>
    <hyperlink r:id="rId119" ref="P102"/>
    <hyperlink r:id="rId120" ref="P103"/>
    <hyperlink r:id="rId121" ref="P104"/>
    <hyperlink r:id="rId122" ref="P105"/>
    <hyperlink r:id="rId123" ref="P106"/>
    <hyperlink r:id="rId124" ref="P107"/>
    <hyperlink r:id="rId125" ref="P108"/>
    <hyperlink r:id="rId126" ref="AN108"/>
    <hyperlink r:id="rId127" ref="P109"/>
    <hyperlink r:id="rId128" ref="AN109"/>
    <hyperlink r:id="rId129" ref="P110"/>
    <hyperlink r:id="rId130" ref="P111"/>
    <hyperlink r:id="rId131" ref="P112"/>
    <hyperlink r:id="rId132" ref="P113"/>
    <hyperlink r:id="rId133" ref="AN113"/>
    <hyperlink r:id="rId134" ref="P114"/>
    <hyperlink r:id="rId135" ref="AN114"/>
    <hyperlink r:id="rId136" ref="P115"/>
    <hyperlink r:id="rId137" ref="AN115"/>
    <hyperlink r:id="rId138" ref="P116"/>
    <hyperlink r:id="rId139" ref="AN116"/>
    <hyperlink r:id="rId140" ref="P117"/>
    <hyperlink r:id="rId141" ref="AN117"/>
    <hyperlink r:id="rId142" ref="P118"/>
    <hyperlink r:id="rId143" ref="AN118"/>
    <hyperlink r:id="rId144" ref="P119"/>
    <hyperlink r:id="rId145" ref="AN119"/>
    <hyperlink r:id="rId146" ref="P120"/>
    <hyperlink r:id="rId147" ref="P121"/>
    <hyperlink r:id="rId148" ref="AN121"/>
    <hyperlink r:id="rId149" ref="P122"/>
    <hyperlink r:id="rId150" ref="AN122"/>
    <hyperlink r:id="rId151" ref="P123"/>
    <hyperlink r:id="rId152" ref="AN123"/>
    <hyperlink r:id="rId153" ref="P124"/>
    <hyperlink r:id="rId154" ref="AN124"/>
    <hyperlink r:id="rId155" ref="P125"/>
    <hyperlink r:id="rId156" ref="P126"/>
    <hyperlink r:id="rId157" ref="AN126"/>
    <hyperlink r:id="rId158" ref="P127"/>
    <hyperlink r:id="rId159" ref="P128"/>
    <hyperlink r:id="rId160" ref="P139"/>
    <hyperlink r:id="rId161" ref="P140"/>
  </hyperlinks>
  <drawing r:id="rId162"/>
  <legacyDrawing r:id="rId16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9" t="s">
        <v>6874</v>
      </c>
      <c r="B1" s="198" t="s">
        <v>6875</v>
      </c>
      <c r="C1" s="198" t="s">
        <v>6876</v>
      </c>
      <c r="D1" s="198" t="s">
        <v>6877</v>
      </c>
      <c r="E1" s="198" t="s">
        <v>1711</v>
      </c>
      <c r="F1" s="198" t="s">
        <v>6878</v>
      </c>
      <c r="G1" s="198" t="s">
        <v>6879</v>
      </c>
      <c r="H1" s="69" t="s">
        <v>6880</v>
      </c>
      <c r="I1" s="35" t="s">
        <v>6881</v>
      </c>
      <c r="J1" s="198" t="s">
        <v>6882</v>
      </c>
      <c r="K1" s="198" t="s">
        <v>1705</v>
      </c>
      <c r="L1" s="69" t="s">
        <v>6883</v>
      </c>
      <c r="M1" s="69" t="s">
        <v>6884</v>
      </c>
      <c r="N1" s="198" t="s">
        <v>1728</v>
      </c>
      <c r="O1" s="198" t="s">
        <v>6885</v>
      </c>
      <c r="P1" s="198" t="s">
        <v>6886</v>
      </c>
      <c r="Q1" s="69" t="s">
        <v>6887</v>
      </c>
    </row>
    <row r="2">
      <c r="A2" s="69" t="s">
        <v>6888</v>
      </c>
      <c r="B2" s="268">
        <v>1940.0</v>
      </c>
      <c r="C2" s="198" t="s">
        <v>6889</v>
      </c>
      <c r="D2" s="198"/>
      <c r="E2" s="198"/>
      <c r="F2" s="198"/>
      <c r="G2" s="198"/>
      <c r="H2" s="198"/>
      <c r="I2" s="198"/>
      <c r="J2" s="269" t="s">
        <v>6890</v>
      </c>
      <c r="K2" s="198"/>
      <c r="L2" s="69"/>
      <c r="M2" s="69" t="s">
        <v>6891</v>
      </c>
      <c r="N2" s="198"/>
      <c r="O2" s="198"/>
      <c r="P2" s="198"/>
      <c r="Q2" s="69"/>
    </row>
    <row r="3">
      <c r="A3" s="69" t="s">
        <v>6888</v>
      </c>
      <c r="B3" s="268">
        <v>1940.0</v>
      </c>
      <c r="C3" s="198" t="s">
        <v>6892</v>
      </c>
      <c r="D3" s="198" t="s">
        <v>654</v>
      </c>
      <c r="E3" s="198" t="s">
        <v>2019</v>
      </c>
      <c r="F3" s="198" t="s">
        <v>6893</v>
      </c>
      <c r="G3" s="198" t="s">
        <v>6894</v>
      </c>
      <c r="H3" s="198"/>
      <c r="I3" s="198"/>
      <c r="J3" s="198" t="s">
        <v>6895</v>
      </c>
      <c r="K3" s="268">
        <v>1721.0</v>
      </c>
      <c r="L3" s="69"/>
      <c r="M3" s="69"/>
      <c r="N3" s="198"/>
      <c r="O3" s="198"/>
      <c r="P3" s="198"/>
      <c r="Q3" s="69"/>
    </row>
    <row r="4">
      <c r="A4" s="69" t="s">
        <v>6896</v>
      </c>
      <c r="B4" s="268">
        <v>1940.0</v>
      </c>
      <c r="C4" s="198" t="s">
        <v>6897</v>
      </c>
      <c r="D4" s="198" t="s">
        <v>654</v>
      </c>
      <c r="E4" s="270" t="s">
        <v>6898</v>
      </c>
      <c r="F4" s="198" t="s">
        <v>6893</v>
      </c>
      <c r="G4" s="198" t="s">
        <v>22</v>
      </c>
      <c r="H4" s="198"/>
      <c r="I4" s="198"/>
      <c r="J4" s="198"/>
      <c r="K4" s="198"/>
      <c r="L4" s="69"/>
      <c r="M4" s="69"/>
      <c r="N4" s="198"/>
      <c r="O4" s="198"/>
      <c r="P4" s="198"/>
      <c r="Q4" s="69"/>
    </row>
    <row r="5">
      <c r="A5" s="69" t="s">
        <v>6899</v>
      </c>
      <c r="B5" s="268">
        <v>1940.0</v>
      </c>
      <c r="C5" s="198" t="s">
        <v>6897</v>
      </c>
      <c r="D5" s="198" t="s">
        <v>654</v>
      </c>
      <c r="E5" s="270" t="s">
        <v>6898</v>
      </c>
      <c r="F5" s="198" t="s">
        <v>6893</v>
      </c>
      <c r="G5" s="198" t="s">
        <v>22</v>
      </c>
      <c r="H5" s="198"/>
      <c r="I5" s="198"/>
      <c r="J5" s="198"/>
      <c r="K5" s="198"/>
      <c r="L5" s="69"/>
      <c r="M5" s="69"/>
      <c r="N5" s="198"/>
      <c r="O5" s="198"/>
      <c r="P5" s="198"/>
      <c r="Q5" s="69"/>
    </row>
    <row r="6">
      <c r="A6" s="69" t="s">
        <v>6900</v>
      </c>
      <c r="B6" s="268">
        <v>1940.0</v>
      </c>
      <c r="C6" s="198" t="s">
        <v>6892</v>
      </c>
      <c r="D6" s="198" t="s">
        <v>654</v>
      </c>
      <c r="E6" s="198" t="s">
        <v>2019</v>
      </c>
      <c r="F6" s="198" t="s">
        <v>6893</v>
      </c>
      <c r="G6" s="198" t="s">
        <v>6901</v>
      </c>
      <c r="H6" s="198"/>
      <c r="I6" s="198"/>
      <c r="J6" s="42" t="s">
        <v>6902</v>
      </c>
      <c r="K6" s="268">
        <v>1991.0</v>
      </c>
      <c r="L6" s="69" t="s">
        <v>6903</v>
      </c>
      <c r="M6" s="69" t="s">
        <v>6904</v>
      </c>
      <c r="N6" s="198"/>
      <c r="O6" s="198" t="s">
        <v>654</v>
      </c>
      <c r="P6" s="198"/>
      <c r="Q6" s="69" t="s">
        <v>6905</v>
      </c>
    </row>
    <row r="7">
      <c r="A7" s="69" t="s">
        <v>6900</v>
      </c>
      <c r="B7" s="268">
        <v>1940.0</v>
      </c>
      <c r="C7" s="198" t="s">
        <v>6889</v>
      </c>
      <c r="D7" s="198" t="s">
        <v>654</v>
      </c>
      <c r="E7" s="198"/>
      <c r="F7" s="198" t="s">
        <v>6893</v>
      </c>
      <c r="G7" s="198" t="s">
        <v>6901</v>
      </c>
      <c r="H7" s="198"/>
      <c r="I7" s="198"/>
      <c r="J7" s="42" t="s">
        <v>6906</v>
      </c>
      <c r="K7" s="268">
        <v>1995.0</v>
      </c>
      <c r="L7" s="69" t="s">
        <v>6907</v>
      </c>
      <c r="M7" s="69" t="s">
        <v>6908</v>
      </c>
      <c r="N7" s="198"/>
      <c r="O7" s="198" t="s">
        <v>654</v>
      </c>
      <c r="P7" s="198"/>
      <c r="Q7" s="69" t="s">
        <v>6909</v>
      </c>
    </row>
    <row r="8">
      <c r="A8" s="69" t="s">
        <v>6910</v>
      </c>
      <c r="B8" s="198"/>
      <c r="C8" s="198"/>
      <c r="D8" s="198"/>
      <c r="E8" s="198"/>
      <c r="F8" s="198"/>
      <c r="G8" s="198"/>
      <c r="H8" s="198"/>
      <c r="I8" s="198"/>
      <c r="J8" s="42"/>
      <c r="K8" s="198"/>
      <c r="L8" s="69"/>
      <c r="M8" s="69"/>
      <c r="N8" s="198"/>
      <c r="O8" s="198"/>
      <c r="P8" s="198"/>
      <c r="Q8" s="69"/>
    </row>
    <row r="9">
      <c r="A9" s="69" t="s">
        <v>6911</v>
      </c>
      <c r="B9" s="268">
        <v>1951.0</v>
      </c>
      <c r="C9" s="198" t="s">
        <v>6892</v>
      </c>
      <c r="D9" s="271" t="s">
        <v>6912</v>
      </c>
      <c r="E9" s="198" t="s">
        <v>3114</v>
      </c>
      <c r="F9" s="198" t="s">
        <v>6913</v>
      </c>
      <c r="G9" s="198" t="s">
        <v>114</v>
      </c>
      <c r="H9" s="198" t="s">
        <v>1182</v>
      </c>
      <c r="I9" s="198"/>
      <c r="J9" s="42" t="s">
        <v>6914</v>
      </c>
      <c r="K9" s="268">
        <v>2015.0</v>
      </c>
      <c r="L9" s="69" t="s">
        <v>6915</v>
      </c>
      <c r="M9" s="69" t="s">
        <v>6916</v>
      </c>
      <c r="N9" s="198"/>
      <c r="O9" s="198" t="s">
        <v>6912</v>
      </c>
      <c r="P9" s="198" t="s">
        <v>6917</v>
      </c>
      <c r="Q9" s="69" t="s">
        <v>6918</v>
      </c>
    </row>
    <row r="10">
      <c r="A10" s="69" t="s">
        <v>6911</v>
      </c>
      <c r="B10" s="268">
        <v>1951.0</v>
      </c>
      <c r="C10" s="198" t="s">
        <v>6889</v>
      </c>
      <c r="D10" s="198"/>
      <c r="E10" s="198"/>
      <c r="F10" s="198" t="s">
        <v>6913</v>
      </c>
      <c r="G10" s="198" t="s">
        <v>6919</v>
      </c>
      <c r="H10" s="198"/>
      <c r="I10" s="198"/>
      <c r="J10" s="42" t="s">
        <v>79</v>
      </c>
      <c r="K10" s="268">
        <v>2018.0</v>
      </c>
      <c r="L10" s="69" t="s">
        <v>6920</v>
      </c>
      <c r="M10" s="69" t="s">
        <v>6921</v>
      </c>
      <c r="N10" s="198"/>
      <c r="O10" s="198" t="s">
        <v>6912</v>
      </c>
      <c r="P10" s="198" t="s">
        <v>6917</v>
      </c>
      <c r="Q10" s="69" t="s">
        <v>6922</v>
      </c>
    </row>
    <row r="11">
      <c r="A11" s="69" t="s">
        <v>6923</v>
      </c>
      <c r="B11" s="268">
        <v>1940.0</v>
      </c>
      <c r="C11" s="198" t="s">
        <v>6897</v>
      </c>
      <c r="D11" s="198" t="s">
        <v>654</v>
      </c>
      <c r="E11" s="270" t="s">
        <v>6898</v>
      </c>
      <c r="F11" s="198" t="s">
        <v>6893</v>
      </c>
      <c r="G11" s="198" t="s">
        <v>114</v>
      </c>
      <c r="H11" s="198" t="s">
        <v>22</v>
      </c>
      <c r="I11" s="198"/>
      <c r="J11" s="42" t="s">
        <v>6924</v>
      </c>
      <c r="K11" s="268">
        <v>2018.0</v>
      </c>
      <c r="L11" s="69" t="s">
        <v>6925</v>
      </c>
      <c r="M11" s="69" t="s">
        <v>6926</v>
      </c>
      <c r="N11" s="198"/>
      <c r="O11" s="198" t="s">
        <v>654</v>
      </c>
      <c r="P11" s="198"/>
      <c r="Q11" s="69" t="s">
        <v>6927</v>
      </c>
    </row>
    <row r="12">
      <c r="A12" s="69" t="s">
        <v>6928</v>
      </c>
      <c r="B12" s="268">
        <v>1852.0</v>
      </c>
      <c r="C12" s="198" t="s">
        <v>6892</v>
      </c>
      <c r="D12" s="198" t="s">
        <v>654</v>
      </c>
      <c r="E12" s="198" t="s">
        <v>6929</v>
      </c>
      <c r="F12" s="198" t="s">
        <v>6893</v>
      </c>
      <c r="G12" s="198" t="s">
        <v>6930</v>
      </c>
      <c r="H12" s="198"/>
      <c r="I12" s="198"/>
      <c r="J12" s="42" t="s">
        <v>6931</v>
      </c>
      <c r="K12" s="268">
        <v>1973.0</v>
      </c>
      <c r="L12" s="69" t="s">
        <v>6932</v>
      </c>
      <c r="M12" s="69" t="s">
        <v>6933</v>
      </c>
      <c r="N12" s="198"/>
      <c r="O12" s="198" t="s">
        <v>6912</v>
      </c>
      <c r="P12" s="198" t="s">
        <v>6934</v>
      </c>
      <c r="Q12" s="69"/>
    </row>
    <row r="13">
      <c r="A13" s="69" t="s">
        <v>6935</v>
      </c>
      <c r="B13" s="268">
        <v>1852.0</v>
      </c>
      <c r="C13" s="198" t="s">
        <v>6892</v>
      </c>
      <c r="D13" s="198" t="s">
        <v>654</v>
      </c>
      <c r="E13" s="198" t="s">
        <v>6929</v>
      </c>
      <c r="F13" s="198" t="s">
        <v>6893</v>
      </c>
      <c r="G13" s="198" t="s">
        <v>6930</v>
      </c>
      <c r="H13" s="198"/>
      <c r="I13" s="198"/>
      <c r="J13" s="42" t="s">
        <v>6931</v>
      </c>
      <c r="K13" s="268">
        <v>1973.0</v>
      </c>
      <c r="L13" s="69" t="s">
        <v>6932</v>
      </c>
      <c r="M13" s="69" t="s">
        <v>6933</v>
      </c>
      <c r="N13" s="198"/>
      <c r="O13" s="198" t="s">
        <v>6912</v>
      </c>
      <c r="P13" s="198" t="s">
        <v>6934</v>
      </c>
      <c r="Q13" s="69"/>
    </row>
    <row r="14">
      <c r="A14" s="69" t="s">
        <v>6936</v>
      </c>
      <c r="B14" s="268">
        <v>-150.0</v>
      </c>
      <c r="C14" s="198" t="s">
        <v>6897</v>
      </c>
      <c r="D14" s="198" t="s">
        <v>654</v>
      </c>
      <c r="E14" s="270" t="s">
        <v>6898</v>
      </c>
      <c r="F14" s="198" t="s">
        <v>6893</v>
      </c>
      <c r="G14" s="198" t="s">
        <v>114</v>
      </c>
      <c r="H14" s="198" t="s">
        <v>22</v>
      </c>
      <c r="I14" s="198"/>
      <c r="J14" s="198"/>
      <c r="K14" s="198"/>
      <c r="L14" s="69"/>
      <c r="M14" s="69"/>
      <c r="N14" s="198"/>
      <c r="O14" s="198"/>
      <c r="P14" s="198"/>
      <c r="Q14" s="69"/>
    </row>
    <row r="15">
      <c r="A15" s="69" t="s">
        <v>6937</v>
      </c>
      <c r="B15" s="268">
        <v>1940.0</v>
      </c>
      <c r="C15" s="198" t="s">
        <v>6938</v>
      </c>
      <c r="D15" s="198"/>
      <c r="E15" s="198"/>
      <c r="F15" s="198"/>
      <c r="G15" s="198"/>
      <c r="H15" s="198"/>
      <c r="I15" s="198"/>
      <c r="J15" s="42" t="s">
        <v>6939</v>
      </c>
      <c r="K15" s="268">
        <v>1972.0</v>
      </c>
      <c r="L15" s="69" t="s">
        <v>6940</v>
      </c>
      <c r="M15" s="69" t="s">
        <v>6941</v>
      </c>
      <c r="N15" s="198"/>
      <c r="O15" s="198"/>
      <c r="P15" s="198"/>
      <c r="Q15" s="69"/>
    </row>
    <row r="16">
      <c r="A16" s="69" t="s">
        <v>6937</v>
      </c>
      <c r="B16" s="268">
        <v>1940.0</v>
      </c>
      <c r="C16" s="198" t="s">
        <v>6889</v>
      </c>
      <c r="D16" s="198"/>
      <c r="E16" s="198"/>
      <c r="F16" s="198"/>
      <c r="G16" s="198"/>
      <c r="H16" s="198"/>
      <c r="I16" s="198"/>
      <c r="J16" s="269" t="s">
        <v>6942</v>
      </c>
      <c r="K16" s="198"/>
      <c r="L16" s="69" t="s">
        <v>2429</v>
      </c>
      <c r="M16" s="69" t="s">
        <v>6943</v>
      </c>
      <c r="N16" s="198"/>
      <c r="O16" s="198"/>
      <c r="P16" s="198"/>
      <c r="Q16" s="69"/>
    </row>
    <row r="17">
      <c r="A17" s="69" t="s">
        <v>6937</v>
      </c>
      <c r="B17" s="268">
        <v>1940.0</v>
      </c>
      <c r="C17" s="198" t="s">
        <v>6889</v>
      </c>
      <c r="D17" s="198"/>
      <c r="E17" s="198"/>
      <c r="F17" s="198"/>
      <c r="G17" s="198"/>
      <c r="H17" s="198"/>
      <c r="I17" s="198"/>
      <c r="J17" s="42" t="s">
        <v>6944</v>
      </c>
      <c r="K17" s="268">
        <v>1982.0</v>
      </c>
      <c r="L17" s="69" t="s">
        <v>6945</v>
      </c>
      <c r="M17" s="69" t="s">
        <v>6946</v>
      </c>
      <c r="N17" s="198"/>
      <c r="O17" s="198"/>
      <c r="P17" s="198"/>
      <c r="Q17" s="69"/>
    </row>
    <row r="18">
      <c r="A18" s="69" t="s">
        <v>6937</v>
      </c>
      <c r="B18" s="268">
        <v>1940.0</v>
      </c>
      <c r="C18" s="198" t="s">
        <v>6897</v>
      </c>
      <c r="D18" s="198" t="s">
        <v>654</v>
      </c>
      <c r="E18" s="270" t="s">
        <v>6898</v>
      </c>
      <c r="F18" s="198" t="s">
        <v>6893</v>
      </c>
      <c r="G18" s="198" t="s">
        <v>114</v>
      </c>
      <c r="H18" s="198" t="s">
        <v>22</v>
      </c>
      <c r="I18" s="198"/>
      <c r="J18" s="42"/>
      <c r="K18" s="198"/>
      <c r="L18" s="69"/>
      <c r="M18" s="69"/>
      <c r="N18" s="198"/>
      <c r="O18" s="198"/>
      <c r="P18" s="198"/>
      <c r="Q18" s="69"/>
    </row>
    <row r="19">
      <c r="A19" s="69" t="s">
        <v>6947</v>
      </c>
      <c r="B19" s="268">
        <v>1940.0</v>
      </c>
      <c r="C19" s="198" t="s">
        <v>6892</v>
      </c>
      <c r="D19" s="198" t="s">
        <v>654</v>
      </c>
      <c r="E19" s="198" t="s">
        <v>2019</v>
      </c>
      <c r="F19" s="198" t="s">
        <v>6893</v>
      </c>
      <c r="G19" s="198" t="s">
        <v>6894</v>
      </c>
      <c r="H19" s="198"/>
      <c r="I19" s="198"/>
      <c r="J19" s="42" t="s">
        <v>6948</v>
      </c>
      <c r="K19" s="268">
        <v>1997.0</v>
      </c>
      <c r="L19" s="69" t="s">
        <v>6949</v>
      </c>
      <c r="M19" s="69" t="s">
        <v>6950</v>
      </c>
      <c r="N19" s="198"/>
      <c r="O19" s="198" t="s">
        <v>654</v>
      </c>
      <c r="P19" s="198"/>
      <c r="Q19" s="69"/>
    </row>
    <row r="20">
      <c r="A20" s="272" t="s">
        <v>6951</v>
      </c>
      <c r="B20" s="273">
        <v>1935.0</v>
      </c>
      <c r="C20" s="274" t="s">
        <v>6892</v>
      </c>
      <c r="D20" s="271" t="s">
        <v>6912</v>
      </c>
      <c r="E20" s="274"/>
      <c r="F20" s="274" t="s">
        <v>6893</v>
      </c>
      <c r="G20" s="274" t="s">
        <v>6894</v>
      </c>
      <c r="H20" s="274"/>
      <c r="I20" s="274"/>
      <c r="J20" s="275" t="s">
        <v>6952</v>
      </c>
      <c r="K20" s="273">
        <v>1981.0</v>
      </c>
      <c r="L20" s="272" t="s">
        <v>4106</v>
      </c>
      <c r="M20" s="272" t="s">
        <v>6953</v>
      </c>
      <c r="N20" s="274"/>
      <c r="O20" s="274" t="s">
        <v>654</v>
      </c>
      <c r="P20" s="274"/>
      <c r="Q20" s="272" t="s">
        <v>6954</v>
      </c>
    </row>
    <row r="21">
      <c r="A21" s="272" t="s">
        <v>6951</v>
      </c>
      <c r="B21" s="273">
        <v>1935.0</v>
      </c>
      <c r="C21" s="274"/>
      <c r="D21" s="274"/>
      <c r="E21" s="274"/>
      <c r="F21" s="274" t="s">
        <v>6893</v>
      </c>
      <c r="G21" s="274" t="s">
        <v>6955</v>
      </c>
      <c r="H21" s="274"/>
      <c r="I21" s="274"/>
      <c r="J21" s="275" t="s">
        <v>221</v>
      </c>
      <c r="K21" s="273">
        <v>1983.0</v>
      </c>
      <c r="L21" s="272" t="s">
        <v>6956</v>
      </c>
      <c r="M21" s="272" t="s">
        <v>6957</v>
      </c>
      <c r="N21" s="274"/>
      <c r="O21" s="274" t="s">
        <v>654</v>
      </c>
      <c r="P21" s="274"/>
      <c r="Q21" s="272"/>
    </row>
    <row r="22">
      <c r="A22" s="110" t="s">
        <v>6951</v>
      </c>
      <c r="B22" s="276">
        <v>1935.0</v>
      </c>
      <c r="C22" s="210" t="s">
        <v>6892</v>
      </c>
      <c r="D22" s="210" t="s">
        <v>654</v>
      </c>
      <c r="E22" s="210" t="s">
        <v>2019</v>
      </c>
      <c r="F22" s="210" t="s">
        <v>6893</v>
      </c>
      <c r="G22" s="210" t="s">
        <v>6894</v>
      </c>
      <c r="H22" s="210"/>
      <c r="I22" s="210"/>
      <c r="J22" s="277" t="s">
        <v>6958</v>
      </c>
      <c r="K22" s="276">
        <v>1975.0</v>
      </c>
      <c r="L22" s="110" t="s">
        <v>2429</v>
      </c>
      <c r="M22" s="110" t="s">
        <v>6959</v>
      </c>
      <c r="N22" s="210"/>
      <c r="O22" s="210"/>
      <c r="P22" s="210"/>
      <c r="Q22" s="210"/>
    </row>
    <row r="23">
      <c r="A23" s="69" t="s">
        <v>6960</v>
      </c>
      <c r="B23" s="268">
        <v>1970.0</v>
      </c>
      <c r="C23" s="198" t="s">
        <v>6897</v>
      </c>
      <c r="D23" s="198" t="s">
        <v>654</v>
      </c>
      <c r="E23" s="270" t="s">
        <v>6898</v>
      </c>
      <c r="F23" s="198" t="s">
        <v>6893</v>
      </c>
      <c r="G23" s="198" t="s">
        <v>6961</v>
      </c>
      <c r="H23" s="198"/>
      <c r="I23" s="198"/>
      <c r="J23" s="42" t="s">
        <v>2975</v>
      </c>
      <c r="K23" s="268">
        <v>1972.0</v>
      </c>
      <c r="L23" s="69" t="s">
        <v>6962</v>
      </c>
      <c r="M23" s="69" t="s">
        <v>6963</v>
      </c>
      <c r="N23" s="198"/>
      <c r="O23" s="198" t="s">
        <v>654</v>
      </c>
      <c r="P23" s="198"/>
      <c r="Q23" s="69"/>
    </row>
    <row r="24">
      <c r="A24" s="69" t="s">
        <v>6964</v>
      </c>
      <c r="B24" s="268">
        <v>1926.0</v>
      </c>
      <c r="C24" s="198" t="s">
        <v>6897</v>
      </c>
      <c r="D24" s="198" t="s">
        <v>654</v>
      </c>
      <c r="E24" s="270" t="s">
        <v>6898</v>
      </c>
      <c r="F24" s="198" t="s">
        <v>6893</v>
      </c>
      <c r="G24" s="198" t="s">
        <v>6965</v>
      </c>
      <c r="H24" s="198"/>
      <c r="I24" s="198"/>
      <c r="J24" s="42" t="s">
        <v>6966</v>
      </c>
      <c r="K24" s="268">
        <v>1985.0</v>
      </c>
      <c r="L24" s="69" t="s">
        <v>2940</v>
      </c>
      <c r="M24" s="69" t="s">
        <v>6967</v>
      </c>
      <c r="N24" s="198"/>
      <c r="O24" s="198" t="s">
        <v>654</v>
      </c>
      <c r="P24" s="198"/>
      <c r="Q24" s="69"/>
    </row>
    <row r="25">
      <c r="A25" s="69" t="s">
        <v>6964</v>
      </c>
      <c r="B25" s="268">
        <v>1926.0</v>
      </c>
      <c r="C25" s="198" t="s">
        <v>6892</v>
      </c>
      <c r="D25" s="271" t="s">
        <v>6912</v>
      </c>
      <c r="E25" s="198"/>
      <c r="F25" s="198" t="s">
        <v>6893</v>
      </c>
      <c r="G25" s="198" t="s">
        <v>6930</v>
      </c>
      <c r="H25" s="198"/>
      <c r="I25" s="198"/>
      <c r="J25" s="42" t="s">
        <v>6968</v>
      </c>
      <c r="K25" s="268">
        <v>2006.0</v>
      </c>
      <c r="L25" s="69" t="s">
        <v>6969</v>
      </c>
      <c r="M25" s="69" t="s">
        <v>6970</v>
      </c>
      <c r="N25" s="198"/>
      <c r="O25" s="198" t="s">
        <v>6912</v>
      </c>
      <c r="P25" s="198" t="s">
        <v>6934</v>
      </c>
      <c r="Q25" s="69" t="s">
        <v>6971</v>
      </c>
    </row>
    <row r="26">
      <c r="A26" s="69" t="s">
        <v>6972</v>
      </c>
      <c r="B26" s="268">
        <v>1975.0</v>
      </c>
      <c r="C26" s="198" t="s">
        <v>6892</v>
      </c>
      <c r="D26" s="198" t="s">
        <v>654</v>
      </c>
      <c r="E26" s="198" t="s">
        <v>2019</v>
      </c>
      <c r="F26" s="198" t="s">
        <v>6893</v>
      </c>
      <c r="G26" s="198" t="s">
        <v>6894</v>
      </c>
      <c r="H26" s="198"/>
      <c r="I26" s="198"/>
      <c r="J26" s="42" t="s">
        <v>6958</v>
      </c>
      <c r="K26" s="268">
        <v>1975.0</v>
      </c>
      <c r="L26" s="69" t="s">
        <v>2429</v>
      </c>
      <c r="M26" s="69" t="s">
        <v>6959</v>
      </c>
      <c r="N26" s="198"/>
      <c r="O26" s="198" t="s">
        <v>654</v>
      </c>
      <c r="P26" s="198"/>
      <c r="Q26" s="69"/>
    </row>
    <row r="27">
      <c r="A27" s="69" t="s">
        <v>6973</v>
      </c>
      <c r="B27" s="268">
        <v>1956.0</v>
      </c>
      <c r="C27" s="198" t="s">
        <v>6897</v>
      </c>
      <c r="D27" s="198" t="s">
        <v>654</v>
      </c>
      <c r="E27" s="270" t="s">
        <v>6898</v>
      </c>
      <c r="F27" s="198" t="s">
        <v>6893</v>
      </c>
      <c r="G27" s="198" t="s">
        <v>6961</v>
      </c>
      <c r="H27" s="198"/>
      <c r="I27" s="198"/>
      <c r="J27" s="42" t="s">
        <v>359</v>
      </c>
      <c r="K27" s="268">
        <v>1977.0</v>
      </c>
      <c r="L27" s="69" t="s">
        <v>3721</v>
      </c>
      <c r="M27" s="69" t="s">
        <v>6974</v>
      </c>
      <c r="N27" s="198"/>
      <c r="O27" s="198" t="s">
        <v>654</v>
      </c>
      <c r="P27" s="198"/>
      <c r="Q27" s="69" t="s">
        <v>6437</v>
      </c>
    </row>
    <row r="28">
      <c r="A28" s="69" t="s">
        <v>6973</v>
      </c>
      <c r="B28" s="268">
        <v>1956.0</v>
      </c>
      <c r="C28" s="198" t="s">
        <v>6889</v>
      </c>
      <c r="D28" s="198"/>
      <c r="E28" s="198"/>
      <c r="F28" s="198"/>
      <c r="G28" s="198"/>
      <c r="H28" s="198"/>
      <c r="I28" s="198"/>
      <c r="J28" s="42" t="s">
        <v>6975</v>
      </c>
      <c r="K28" s="268">
        <v>1987.0</v>
      </c>
      <c r="L28" s="69" t="s">
        <v>6976</v>
      </c>
      <c r="M28" s="69" t="s">
        <v>6977</v>
      </c>
      <c r="N28" s="198"/>
      <c r="O28" s="198"/>
      <c r="P28" s="198"/>
      <c r="Q28" s="69"/>
    </row>
    <row r="29">
      <c r="A29" s="69" t="s">
        <v>6973</v>
      </c>
      <c r="B29" s="268">
        <v>1956.0</v>
      </c>
      <c r="C29" s="198" t="s">
        <v>6889</v>
      </c>
      <c r="D29" s="198"/>
      <c r="E29" s="198"/>
      <c r="F29" s="198"/>
      <c r="G29" s="198"/>
      <c r="H29" s="198"/>
      <c r="I29" s="198"/>
      <c r="J29" s="42" t="s">
        <v>6978</v>
      </c>
      <c r="K29" s="268">
        <v>2007.0</v>
      </c>
      <c r="L29" s="69" t="s">
        <v>6979</v>
      </c>
      <c r="M29" s="69" t="s">
        <v>6980</v>
      </c>
      <c r="N29" s="198"/>
      <c r="O29" s="198"/>
      <c r="P29" s="198"/>
      <c r="Q29" s="69"/>
    </row>
    <row r="30">
      <c r="A30" s="69" t="s">
        <v>6981</v>
      </c>
      <c r="B30" s="268">
        <v>1953.0</v>
      </c>
      <c r="C30" s="198" t="s">
        <v>6897</v>
      </c>
      <c r="D30" s="198" t="s">
        <v>654</v>
      </c>
      <c r="E30" s="198"/>
      <c r="F30" s="198" t="s">
        <v>6893</v>
      </c>
      <c r="G30" s="198" t="s">
        <v>114</v>
      </c>
      <c r="H30" s="198"/>
      <c r="I30" s="198"/>
      <c r="J30" s="198"/>
      <c r="K30" s="198"/>
      <c r="L30" s="69"/>
      <c r="M30" s="69" t="s">
        <v>6897</v>
      </c>
      <c r="N30" s="198"/>
      <c r="O30" s="198" t="s">
        <v>654</v>
      </c>
      <c r="P30" s="198"/>
      <c r="Q30" s="69"/>
    </row>
    <row r="31">
      <c r="A31" s="69" t="s">
        <v>6981</v>
      </c>
      <c r="B31" s="268">
        <v>1953.0</v>
      </c>
      <c r="C31" s="198" t="s">
        <v>6892</v>
      </c>
      <c r="D31" s="198" t="s">
        <v>654</v>
      </c>
      <c r="E31" s="198" t="s">
        <v>3114</v>
      </c>
      <c r="F31" s="198" t="s">
        <v>6893</v>
      </c>
      <c r="G31" s="198" t="s">
        <v>6982</v>
      </c>
      <c r="H31" s="198"/>
      <c r="I31" s="198"/>
      <c r="J31" s="42" t="s">
        <v>6983</v>
      </c>
      <c r="K31" s="268">
        <v>1977.0</v>
      </c>
      <c r="L31" s="69" t="s">
        <v>4106</v>
      </c>
      <c r="M31" s="69" t="s">
        <v>6984</v>
      </c>
      <c r="N31" s="198"/>
      <c r="O31" s="198" t="s">
        <v>654</v>
      </c>
      <c r="P31" s="198"/>
      <c r="Q31" s="69"/>
    </row>
    <row r="32">
      <c r="A32" s="278" t="s">
        <v>6981</v>
      </c>
      <c r="B32" s="198"/>
      <c r="C32" s="198" t="s">
        <v>6889</v>
      </c>
      <c r="D32" s="198"/>
      <c r="E32" s="198"/>
      <c r="F32" s="198"/>
      <c r="G32" s="198"/>
      <c r="H32" s="198"/>
      <c r="I32" s="198"/>
      <c r="J32" s="279" t="s">
        <v>6985</v>
      </c>
      <c r="K32" s="280">
        <v>2012.0</v>
      </c>
      <c r="L32" s="198"/>
      <c r="M32" s="198" t="s">
        <v>6986</v>
      </c>
      <c r="N32" s="198"/>
      <c r="O32" s="281" t="s">
        <v>654</v>
      </c>
      <c r="P32" s="198"/>
      <c r="Q32" s="278" t="s">
        <v>6987</v>
      </c>
    </row>
    <row r="33">
      <c r="A33" s="278" t="s">
        <v>6981</v>
      </c>
      <c r="B33" s="198"/>
      <c r="C33" s="198" t="s">
        <v>6889</v>
      </c>
      <c r="D33" s="198"/>
      <c r="E33" s="198"/>
      <c r="F33" s="198" t="s">
        <v>6988</v>
      </c>
      <c r="G33" s="281" t="s">
        <v>6187</v>
      </c>
      <c r="H33" s="281"/>
      <c r="I33" s="281"/>
      <c r="J33" s="279" t="s">
        <v>6989</v>
      </c>
      <c r="K33" s="280">
        <v>2014.0</v>
      </c>
      <c r="L33" s="278" t="s">
        <v>6915</v>
      </c>
      <c r="M33" s="278" t="s">
        <v>6990</v>
      </c>
      <c r="N33" s="198"/>
      <c r="O33" s="281" t="s">
        <v>6912</v>
      </c>
      <c r="P33" s="282" t="s">
        <v>6991</v>
      </c>
      <c r="Q33" s="198"/>
    </row>
    <row r="34">
      <c r="A34" s="69" t="s">
        <v>6992</v>
      </c>
      <c r="B34" s="268">
        <v>1202.0</v>
      </c>
      <c r="C34" s="198" t="s">
        <v>6897</v>
      </c>
      <c r="D34" s="198"/>
      <c r="E34" s="198"/>
      <c r="F34" s="198" t="s">
        <v>6893</v>
      </c>
      <c r="G34" s="198" t="s">
        <v>22</v>
      </c>
      <c r="H34" s="198"/>
      <c r="I34" s="198"/>
      <c r="J34" s="198"/>
      <c r="K34" s="198"/>
      <c r="L34" s="69"/>
      <c r="M34" s="69"/>
      <c r="N34" s="198"/>
      <c r="O34" s="198"/>
      <c r="P34" s="198"/>
      <c r="Q34" s="69" t="s">
        <v>6993</v>
      </c>
    </row>
    <row r="35">
      <c r="A35" s="69" t="s">
        <v>6994</v>
      </c>
      <c r="B35" s="268">
        <v>1931.0</v>
      </c>
      <c r="C35" s="198" t="s">
        <v>6897</v>
      </c>
      <c r="D35" s="198" t="s">
        <v>654</v>
      </c>
      <c r="E35" s="270" t="s">
        <v>6898</v>
      </c>
      <c r="F35" s="198" t="s">
        <v>6893</v>
      </c>
      <c r="G35" s="198" t="s">
        <v>22</v>
      </c>
      <c r="H35" s="198"/>
      <c r="I35" s="198"/>
      <c r="J35" s="269" t="s">
        <v>6995</v>
      </c>
      <c r="K35" s="198"/>
      <c r="L35" s="69" t="s">
        <v>6996</v>
      </c>
      <c r="M35" s="69" t="s">
        <v>6997</v>
      </c>
      <c r="N35" s="198"/>
      <c r="O35" s="198"/>
      <c r="P35" s="198"/>
      <c r="Q35" s="69"/>
    </row>
    <row r="36">
      <c r="A36" s="69" t="s">
        <v>6998</v>
      </c>
      <c r="B36" s="268">
        <v>1940.0</v>
      </c>
      <c r="C36" s="198" t="s">
        <v>6897</v>
      </c>
      <c r="D36" s="198"/>
      <c r="E36" s="270" t="s">
        <v>6898</v>
      </c>
      <c r="F36" s="198" t="s">
        <v>6893</v>
      </c>
      <c r="G36" s="198" t="s">
        <v>114</v>
      </c>
      <c r="H36" s="198" t="s">
        <v>22</v>
      </c>
      <c r="I36" s="198"/>
      <c r="J36" s="198"/>
      <c r="K36" s="198"/>
      <c r="L36" s="69"/>
      <c r="M36" s="69" t="s">
        <v>6897</v>
      </c>
      <c r="N36" s="198"/>
      <c r="O36" s="198"/>
      <c r="P36" s="198"/>
      <c r="Q36" s="69"/>
    </row>
    <row r="37">
      <c r="A37" s="278" t="s">
        <v>6998</v>
      </c>
      <c r="B37" s="198"/>
      <c r="C37" s="198" t="s">
        <v>6889</v>
      </c>
      <c r="D37" s="198"/>
      <c r="E37" s="198"/>
      <c r="F37" s="198"/>
      <c r="G37" s="198"/>
      <c r="H37" s="198"/>
      <c r="I37" s="198"/>
      <c r="J37" s="283" t="s">
        <v>6999</v>
      </c>
      <c r="K37" s="198"/>
      <c r="L37" s="198"/>
      <c r="M37" s="198" t="s">
        <v>7000</v>
      </c>
      <c r="N37" s="198"/>
      <c r="O37" s="198"/>
      <c r="P37" s="198"/>
      <c r="Q37" s="198"/>
    </row>
    <row r="38">
      <c r="A38" s="278" t="s">
        <v>6998</v>
      </c>
      <c r="B38" s="198"/>
      <c r="C38" s="198" t="s">
        <v>6889</v>
      </c>
      <c r="D38" s="198"/>
      <c r="E38" s="198"/>
      <c r="F38" s="198"/>
      <c r="G38" s="198"/>
      <c r="H38" s="198"/>
      <c r="I38" s="198"/>
      <c r="J38" s="283" t="s">
        <v>3262</v>
      </c>
      <c r="K38" s="198"/>
      <c r="L38" s="198"/>
      <c r="M38" s="198" t="s">
        <v>7001</v>
      </c>
      <c r="N38" s="198"/>
      <c r="O38" s="198"/>
      <c r="P38" s="198"/>
      <c r="Q38" s="198"/>
    </row>
    <row r="39">
      <c r="A39" s="278" t="s">
        <v>6998</v>
      </c>
      <c r="B39" s="198"/>
      <c r="C39" s="198" t="s">
        <v>6889</v>
      </c>
      <c r="D39" s="198"/>
      <c r="E39" s="198"/>
      <c r="F39" s="198"/>
      <c r="G39" s="198"/>
      <c r="H39" s="198"/>
      <c r="I39" s="198"/>
      <c r="J39" s="283" t="s">
        <v>7002</v>
      </c>
      <c r="K39" s="198"/>
      <c r="L39" s="278"/>
      <c r="M39" s="278" t="s">
        <v>7003</v>
      </c>
      <c r="N39" s="198"/>
      <c r="O39" s="198"/>
      <c r="P39" s="198"/>
      <c r="Q39" s="198"/>
    </row>
    <row r="40">
      <c r="A40" s="69" t="s">
        <v>7004</v>
      </c>
      <c r="B40" s="268">
        <v>1959.0</v>
      </c>
      <c r="C40" s="198" t="s">
        <v>6897</v>
      </c>
      <c r="D40" s="198" t="s">
        <v>654</v>
      </c>
      <c r="E40" s="270" t="s">
        <v>7005</v>
      </c>
      <c r="F40" s="198"/>
      <c r="G40" s="198" t="s">
        <v>7006</v>
      </c>
      <c r="H40" s="198"/>
      <c r="I40" s="198"/>
      <c r="J40" s="198"/>
      <c r="K40" s="198"/>
      <c r="L40" s="69"/>
      <c r="M40" s="69" t="s">
        <v>7007</v>
      </c>
      <c r="N40" s="198"/>
      <c r="O40" s="198"/>
      <c r="P40" s="198"/>
      <c r="Q40" s="69"/>
    </row>
    <row r="41">
      <c r="A41" s="69" t="s">
        <v>7008</v>
      </c>
      <c r="B41" s="268">
        <v>1940.0</v>
      </c>
      <c r="C41" s="198" t="s">
        <v>6892</v>
      </c>
      <c r="D41" s="198" t="s">
        <v>654</v>
      </c>
      <c r="E41" s="270" t="s">
        <v>6898</v>
      </c>
      <c r="F41" s="198"/>
      <c r="G41" s="198" t="s">
        <v>7009</v>
      </c>
      <c r="H41" s="198"/>
      <c r="I41" s="198"/>
      <c r="J41" s="42" t="s">
        <v>7010</v>
      </c>
      <c r="K41" s="268">
        <v>1994.0</v>
      </c>
      <c r="L41" s="69" t="s">
        <v>7011</v>
      </c>
      <c r="M41" s="69" t="s">
        <v>7012</v>
      </c>
      <c r="N41" s="198"/>
      <c r="O41" s="198"/>
      <c r="P41" s="198"/>
      <c r="Q41" s="69" t="s">
        <v>7013</v>
      </c>
    </row>
    <row r="42">
      <c r="A42" s="69" t="s">
        <v>7008</v>
      </c>
      <c r="B42" s="268">
        <v>1940.0</v>
      </c>
      <c r="C42" s="198" t="s">
        <v>7014</v>
      </c>
      <c r="D42" s="198" t="s">
        <v>654</v>
      </c>
      <c r="E42" s="198"/>
      <c r="F42" s="198"/>
      <c r="G42" s="198" t="s">
        <v>7015</v>
      </c>
      <c r="H42" s="198"/>
      <c r="I42" s="198"/>
      <c r="J42" s="42" t="s">
        <v>7016</v>
      </c>
      <c r="K42" s="268">
        <v>1995.0</v>
      </c>
      <c r="L42" s="69" t="s">
        <v>7011</v>
      </c>
      <c r="M42" s="69" t="s">
        <v>7017</v>
      </c>
      <c r="N42" s="198"/>
      <c r="O42" s="198"/>
      <c r="P42" s="198"/>
      <c r="Q42" s="69" t="s">
        <v>7018</v>
      </c>
    </row>
    <row r="43">
      <c r="A43" s="69" t="s">
        <v>7008</v>
      </c>
      <c r="B43" s="268">
        <v>1940.0</v>
      </c>
      <c r="C43" s="198" t="s">
        <v>6889</v>
      </c>
      <c r="D43" s="198"/>
      <c r="E43" s="198"/>
      <c r="F43" s="198" t="s">
        <v>6893</v>
      </c>
      <c r="G43" s="198" t="s">
        <v>7019</v>
      </c>
      <c r="H43" s="198"/>
      <c r="I43" s="198"/>
      <c r="J43" s="42" t="s">
        <v>7020</v>
      </c>
      <c r="K43" s="268">
        <v>1987.0</v>
      </c>
      <c r="L43" s="69" t="s">
        <v>7021</v>
      </c>
      <c r="M43" s="69" t="s">
        <v>7022</v>
      </c>
      <c r="N43" s="198"/>
      <c r="O43" s="198"/>
      <c r="P43" s="198"/>
      <c r="Q43" s="69" t="s">
        <v>7023</v>
      </c>
    </row>
    <row r="44">
      <c r="A44" s="69" t="s">
        <v>7008</v>
      </c>
      <c r="B44" s="268">
        <v>1940.0</v>
      </c>
      <c r="C44" s="198" t="s">
        <v>6889</v>
      </c>
      <c r="D44" s="198"/>
      <c r="E44" s="198"/>
      <c r="F44" s="198" t="s">
        <v>6893</v>
      </c>
      <c r="G44" s="198" t="s">
        <v>7024</v>
      </c>
      <c r="H44" s="198"/>
      <c r="I44" s="198"/>
      <c r="J44" s="42" t="s">
        <v>7025</v>
      </c>
      <c r="K44" s="268">
        <v>1992.0</v>
      </c>
      <c r="L44" s="69" t="s">
        <v>7026</v>
      </c>
      <c r="M44" s="69" t="s">
        <v>7027</v>
      </c>
      <c r="N44" s="198"/>
      <c r="O44" s="198"/>
      <c r="P44" s="198"/>
      <c r="Q44" s="69" t="s">
        <v>7028</v>
      </c>
    </row>
    <row r="45">
      <c r="A45" s="69" t="s">
        <v>7029</v>
      </c>
      <c r="B45" s="268">
        <v>1970.0</v>
      </c>
      <c r="C45" s="198" t="s">
        <v>6889</v>
      </c>
      <c r="D45" s="198"/>
      <c r="E45" s="198"/>
      <c r="F45" s="198" t="s">
        <v>6893</v>
      </c>
      <c r="G45" s="198" t="s">
        <v>7030</v>
      </c>
      <c r="H45" s="198"/>
      <c r="I45" s="198"/>
      <c r="J45" s="42" t="s">
        <v>7031</v>
      </c>
      <c r="K45" s="268">
        <v>1976.0</v>
      </c>
      <c r="L45" s="69" t="s">
        <v>4998</v>
      </c>
      <c r="M45" s="69" t="s">
        <v>7032</v>
      </c>
      <c r="N45" s="198"/>
      <c r="O45" s="198"/>
      <c r="P45" s="198"/>
      <c r="Q45" s="69" t="s">
        <v>7033</v>
      </c>
    </row>
    <row r="46">
      <c r="A46" s="69" t="s">
        <v>7029</v>
      </c>
      <c r="B46" s="268">
        <v>1970.0</v>
      </c>
      <c r="C46" s="198" t="s">
        <v>6889</v>
      </c>
      <c r="D46" s="198"/>
      <c r="E46" s="198"/>
      <c r="F46" s="198" t="s">
        <v>6893</v>
      </c>
      <c r="G46" s="198" t="s">
        <v>114</v>
      </c>
      <c r="H46" s="198"/>
      <c r="I46" s="198"/>
      <c r="J46" s="42" t="s">
        <v>7031</v>
      </c>
      <c r="K46" s="268">
        <v>1976.0</v>
      </c>
      <c r="L46" s="69" t="s">
        <v>4998</v>
      </c>
      <c r="M46" s="69" t="s">
        <v>7032</v>
      </c>
      <c r="N46" s="198"/>
      <c r="O46" s="198"/>
      <c r="P46" s="198"/>
      <c r="Q46" s="69"/>
    </row>
    <row r="47">
      <c r="A47" s="69" t="s">
        <v>7029</v>
      </c>
      <c r="B47" s="268">
        <v>1970.0</v>
      </c>
      <c r="C47" s="198" t="s">
        <v>6892</v>
      </c>
      <c r="D47" s="198" t="s">
        <v>654</v>
      </c>
      <c r="E47" s="198"/>
      <c r="F47" s="198" t="s">
        <v>6893</v>
      </c>
      <c r="G47" s="198" t="s">
        <v>6894</v>
      </c>
      <c r="H47" s="198"/>
      <c r="I47" s="198"/>
      <c r="J47" s="42" t="s">
        <v>7034</v>
      </c>
      <c r="K47" s="268">
        <v>1978.0</v>
      </c>
      <c r="L47" s="69" t="s">
        <v>3675</v>
      </c>
      <c r="M47" s="69" t="s">
        <v>7035</v>
      </c>
      <c r="N47" s="198"/>
      <c r="O47" s="198"/>
      <c r="P47" s="198"/>
      <c r="Q47" s="69" t="s">
        <v>7036</v>
      </c>
    </row>
    <row r="48">
      <c r="A48" s="69" t="s">
        <v>7029</v>
      </c>
      <c r="B48" s="268">
        <v>1970.0</v>
      </c>
      <c r="C48" s="198" t="s">
        <v>6889</v>
      </c>
      <c r="D48" s="198"/>
      <c r="E48" s="198"/>
      <c r="F48" s="198" t="s">
        <v>6893</v>
      </c>
      <c r="G48" s="198" t="s">
        <v>114</v>
      </c>
      <c r="H48" s="198"/>
      <c r="I48" s="198"/>
      <c r="J48" s="42" t="s">
        <v>7037</v>
      </c>
      <c r="K48" s="268">
        <v>1988.0</v>
      </c>
      <c r="L48" s="69" t="s">
        <v>7038</v>
      </c>
      <c r="M48" s="69" t="s">
        <v>7039</v>
      </c>
      <c r="N48" s="198"/>
      <c r="O48" s="198"/>
      <c r="P48" s="198"/>
      <c r="Q48" s="69" t="s">
        <v>7040</v>
      </c>
    </row>
    <row r="49">
      <c r="A49" s="69" t="s">
        <v>7029</v>
      </c>
      <c r="B49" s="268">
        <v>1970.0</v>
      </c>
      <c r="C49" s="198" t="s">
        <v>7014</v>
      </c>
      <c r="D49" s="198" t="s">
        <v>654</v>
      </c>
      <c r="E49" s="198" t="s">
        <v>2019</v>
      </c>
      <c r="F49" s="198" t="s">
        <v>6893</v>
      </c>
      <c r="G49" s="198" t="s">
        <v>6894</v>
      </c>
      <c r="H49" s="198"/>
      <c r="I49" s="198"/>
      <c r="J49" s="42" t="s">
        <v>7041</v>
      </c>
      <c r="K49" s="268">
        <v>1972.0</v>
      </c>
      <c r="L49" s="69" t="s">
        <v>7042</v>
      </c>
      <c r="M49" s="69" t="s">
        <v>7043</v>
      </c>
      <c r="N49" s="198"/>
      <c r="O49" s="198"/>
      <c r="P49" s="198"/>
      <c r="Q49" s="69" t="s">
        <v>7044</v>
      </c>
    </row>
    <row r="50">
      <c r="A50" s="69" t="s">
        <v>7029</v>
      </c>
      <c r="B50" s="268">
        <v>1970.0</v>
      </c>
      <c r="C50" s="198" t="s">
        <v>6892</v>
      </c>
      <c r="D50" s="198" t="s">
        <v>654</v>
      </c>
      <c r="E50" s="198" t="s">
        <v>2425</v>
      </c>
      <c r="F50" s="198" t="s">
        <v>6913</v>
      </c>
      <c r="G50" s="198" t="s">
        <v>114</v>
      </c>
      <c r="H50" s="198"/>
      <c r="I50" s="198"/>
      <c r="J50" s="42" t="s">
        <v>7045</v>
      </c>
      <c r="K50" s="268">
        <v>2015.0</v>
      </c>
      <c r="L50" s="69" t="s">
        <v>7046</v>
      </c>
      <c r="M50" s="69" t="s">
        <v>7047</v>
      </c>
      <c r="N50" s="198"/>
      <c r="O50" s="198" t="s">
        <v>6912</v>
      </c>
      <c r="P50" s="284" t="s">
        <v>6917</v>
      </c>
      <c r="Q50" s="69"/>
    </row>
    <row r="51">
      <c r="A51" s="69" t="s">
        <v>7029</v>
      </c>
      <c r="B51" s="268">
        <v>1970.0</v>
      </c>
      <c r="C51" s="198" t="s">
        <v>7014</v>
      </c>
      <c r="D51" s="198" t="s">
        <v>654</v>
      </c>
      <c r="E51" s="198"/>
      <c r="F51" s="198" t="s">
        <v>6913</v>
      </c>
      <c r="G51" s="198" t="s">
        <v>114</v>
      </c>
      <c r="H51" s="198"/>
      <c r="I51" s="198"/>
      <c r="J51" s="42" t="s">
        <v>7048</v>
      </c>
      <c r="K51" s="268">
        <v>2015.0</v>
      </c>
      <c r="L51" s="69" t="s">
        <v>7049</v>
      </c>
      <c r="M51" s="69" t="s">
        <v>7050</v>
      </c>
      <c r="N51" s="198"/>
      <c r="O51" s="198" t="s">
        <v>6912</v>
      </c>
      <c r="P51" s="284" t="s">
        <v>6917</v>
      </c>
      <c r="Q51" s="69"/>
    </row>
    <row r="52">
      <c r="A52" s="69" t="s">
        <v>7051</v>
      </c>
      <c r="B52" s="268">
        <v>1960.0</v>
      </c>
      <c r="C52" s="198" t="s">
        <v>6897</v>
      </c>
      <c r="D52" s="198" t="s">
        <v>654</v>
      </c>
      <c r="E52" s="270" t="s">
        <v>6898</v>
      </c>
      <c r="F52" s="198" t="s">
        <v>6893</v>
      </c>
      <c r="G52" s="198" t="s">
        <v>7052</v>
      </c>
      <c r="H52" s="198"/>
      <c r="I52" s="198"/>
      <c r="J52" s="269" t="s">
        <v>3829</v>
      </c>
      <c r="K52" s="198"/>
      <c r="L52" s="69"/>
      <c r="M52" s="69" t="s">
        <v>6897</v>
      </c>
      <c r="N52" s="198"/>
      <c r="O52" s="198"/>
      <c r="P52" s="198"/>
      <c r="Q52" s="69" t="s">
        <v>7053</v>
      </c>
    </row>
    <row r="53">
      <c r="A53" s="69" t="s">
        <v>7054</v>
      </c>
      <c r="B53" s="268">
        <v>1967.0</v>
      </c>
      <c r="C53" s="198" t="s">
        <v>6897</v>
      </c>
      <c r="D53" s="198" t="s">
        <v>654</v>
      </c>
      <c r="E53" s="270" t="s">
        <v>7055</v>
      </c>
      <c r="F53" s="198"/>
      <c r="G53" s="198" t="s">
        <v>22</v>
      </c>
      <c r="H53" s="198"/>
      <c r="I53" s="198"/>
      <c r="J53" s="198"/>
      <c r="K53" s="198"/>
      <c r="L53" s="69"/>
      <c r="M53" s="69" t="s">
        <v>6897</v>
      </c>
      <c r="N53" s="198"/>
      <c r="O53" s="198"/>
      <c r="P53" s="198"/>
      <c r="Q53" s="69" t="s">
        <v>7056</v>
      </c>
    </row>
    <row r="54">
      <c r="A54" s="278" t="s">
        <v>7054</v>
      </c>
      <c r="B54" s="198"/>
      <c r="C54" s="198" t="s">
        <v>6889</v>
      </c>
      <c r="D54" s="198"/>
      <c r="E54" s="198"/>
      <c r="F54" s="198"/>
      <c r="G54" s="281" t="s">
        <v>7057</v>
      </c>
      <c r="H54" s="281"/>
      <c r="I54" s="281"/>
      <c r="J54" s="279" t="s">
        <v>7058</v>
      </c>
      <c r="K54" s="198"/>
      <c r="L54" s="278"/>
      <c r="M54" s="278" t="s">
        <v>7059</v>
      </c>
      <c r="N54" s="198"/>
      <c r="O54" s="198"/>
      <c r="P54" s="198"/>
      <c r="Q54" s="278" t="s">
        <v>7060</v>
      </c>
    </row>
    <row r="55">
      <c r="A55" s="69" t="s">
        <v>7061</v>
      </c>
      <c r="B55" s="268">
        <v>1959.0</v>
      </c>
      <c r="C55" s="198" t="s">
        <v>6892</v>
      </c>
      <c r="D55" s="198" t="s">
        <v>654</v>
      </c>
      <c r="E55" s="198" t="s">
        <v>6929</v>
      </c>
      <c r="F55" s="198" t="s">
        <v>7062</v>
      </c>
      <c r="G55" s="198" t="s">
        <v>7063</v>
      </c>
      <c r="H55" s="198"/>
      <c r="I55" s="198"/>
      <c r="J55" s="42" t="s">
        <v>7064</v>
      </c>
      <c r="K55" s="268">
        <v>1996.0</v>
      </c>
      <c r="L55" s="69" t="s">
        <v>7065</v>
      </c>
      <c r="M55" s="69" t="s">
        <v>7066</v>
      </c>
      <c r="N55" s="198"/>
      <c r="O55" s="198" t="s">
        <v>654</v>
      </c>
      <c r="P55" s="198"/>
      <c r="Q55" s="69" t="s">
        <v>7067</v>
      </c>
    </row>
    <row r="56">
      <c r="A56" s="69" t="s">
        <v>7068</v>
      </c>
      <c r="B56" s="268">
        <v>1940.0</v>
      </c>
      <c r="C56" s="198" t="s">
        <v>6897</v>
      </c>
      <c r="D56" s="198" t="s">
        <v>654</v>
      </c>
      <c r="E56" s="270" t="s">
        <v>6898</v>
      </c>
      <c r="F56" s="198" t="s">
        <v>6893</v>
      </c>
      <c r="G56" s="198" t="s">
        <v>22</v>
      </c>
      <c r="H56" s="198"/>
      <c r="I56" s="198"/>
      <c r="J56" s="198"/>
      <c r="K56" s="198"/>
      <c r="L56" s="69"/>
      <c r="M56" s="69" t="s">
        <v>6897</v>
      </c>
      <c r="N56" s="198"/>
      <c r="O56" s="198"/>
      <c r="P56" s="198"/>
      <c r="Q56" s="69" t="s">
        <v>7069</v>
      </c>
    </row>
    <row r="57">
      <c r="A57" s="69" t="s">
        <v>7068</v>
      </c>
      <c r="B57" s="268">
        <v>1940.0</v>
      </c>
      <c r="C57" s="198" t="s">
        <v>6892</v>
      </c>
      <c r="D57" s="271" t="s">
        <v>6912</v>
      </c>
      <c r="E57" s="198"/>
      <c r="F57" s="198" t="s">
        <v>6893</v>
      </c>
      <c r="G57" s="198" t="s">
        <v>6894</v>
      </c>
      <c r="H57" s="198"/>
      <c r="I57" s="198"/>
      <c r="J57" s="42" t="s">
        <v>2344</v>
      </c>
      <c r="K57" s="268">
        <v>1969.0</v>
      </c>
      <c r="L57" s="69" t="s">
        <v>7070</v>
      </c>
      <c r="M57" s="69" t="s">
        <v>7071</v>
      </c>
      <c r="N57" s="198"/>
      <c r="O57" s="198"/>
      <c r="P57" s="198"/>
      <c r="Q57" s="69" t="s">
        <v>7072</v>
      </c>
    </row>
    <row r="58">
      <c r="A58" s="69" t="s">
        <v>7073</v>
      </c>
      <c r="B58" s="268">
        <v>1973.0</v>
      </c>
      <c r="C58" s="198" t="s">
        <v>6897</v>
      </c>
      <c r="D58" s="198" t="s">
        <v>654</v>
      </c>
      <c r="E58" s="270" t="s">
        <v>6898</v>
      </c>
      <c r="F58" s="198" t="s">
        <v>6893</v>
      </c>
      <c r="G58" s="198" t="s">
        <v>22</v>
      </c>
      <c r="H58" s="198"/>
      <c r="I58" s="198"/>
      <c r="J58" s="198"/>
      <c r="K58" s="198"/>
      <c r="L58" s="69"/>
      <c r="M58" s="69" t="s">
        <v>6897</v>
      </c>
      <c r="N58" s="198"/>
      <c r="O58" s="198"/>
      <c r="P58" s="198"/>
      <c r="Q58" s="69"/>
    </row>
    <row r="59">
      <c r="A59" s="278" t="s">
        <v>7073</v>
      </c>
      <c r="B59" s="198"/>
      <c r="C59" s="198" t="s">
        <v>6889</v>
      </c>
      <c r="D59" s="198"/>
      <c r="E59" s="198"/>
      <c r="F59" s="198"/>
      <c r="G59" s="198"/>
      <c r="H59" s="198"/>
      <c r="I59" s="198"/>
      <c r="J59" s="279" t="s">
        <v>7074</v>
      </c>
      <c r="K59" s="198"/>
      <c r="L59" s="278"/>
      <c r="M59" s="278" t="s">
        <v>7075</v>
      </c>
      <c r="N59" s="198"/>
      <c r="O59" s="198"/>
      <c r="P59" s="198"/>
      <c r="Q59" s="198"/>
    </row>
    <row r="60">
      <c r="A60" s="278" t="s">
        <v>7073</v>
      </c>
      <c r="B60" s="198"/>
      <c r="C60" s="198" t="s">
        <v>6889</v>
      </c>
      <c r="D60" s="198"/>
      <c r="E60" s="198"/>
      <c r="F60" s="198" t="s">
        <v>7076</v>
      </c>
      <c r="G60" s="198"/>
      <c r="H60" s="198"/>
      <c r="I60" s="198"/>
      <c r="J60" s="279" t="s">
        <v>7077</v>
      </c>
      <c r="K60" s="280">
        <v>2016.0</v>
      </c>
      <c r="L60" s="278"/>
      <c r="M60" s="278" t="s">
        <v>7078</v>
      </c>
      <c r="N60" s="281" t="s">
        <v>6912</v>
      </c>
      <c r="O60" s="198"/>
      <c r="P60" s="198"/>
      <c r="Q60" s="278" t="s">
        <v>7079</v>
      </c>
    </row>
    <row r="61">
      <c r="A61" s="278" t="s">
        <v>7073</v>
      </c>
      <c r="B61" s="198"/>
      <c r="C61" s="198" t="s">
        <v>6889</v>
      </c>
      <c r="D61" s="198"/>
      <c r="E61" s="198"/>
      <c r="F61" s="198" t="s">
        <v>7076</v>
      </c>
      <c r="G61" s="281"/>
      <c r="H61" s="281"/>
      <c r="I61" s="281"/>
      <c r="J61" s="279" t="s">
        <v>7080</v>
      </c>
      <c r="K61" s="280">
        <v>2017.0</v>
      </c>
      <c r="L61" s="198"/>
      <c r="M61" s="198" t="s">
        <v>7081</v>
      </c>
      <c r="N61" s="198"/>
      <c r="O61" s="198"/>
      <c r="P61" s="198"/>
      <c r="Q61" s="278" t="s">
        <v>7082</v>
      </c>
    </row>
    <row r="62">
      <c r="A62" s="69" t="s">
        <v>7083</v>
      </c>
      <c r="B62" s="198"/>
      <c r="C62" s="198"/>
      <c r="D62" s="198"/>
      <c r="E62" s="198"/>
      <c r="F62" s="198" t="s">
        <v>7084</v>
      </c>
      <c r="G62" s="198"/>
      <c r="H62" s="198"/>
      <c r="I62" s="198"/>
      <c r="J62" s="42" t="s">
        <v>7085</v>
      </c>
      <c r="K62" s="268">
        <v>1992.0</v>
      </c>
      <c r="L62" s="69" t="s">
        <v>7086</v>
      </c>
      <c r="M62" s="69" t="s">
        <v>7087</v>
      </c>
      <c r="N62" s="198"/>
      <c r="O62" s="198"/>
      <c r="P62" s="198"/>
      <c r="Q62" s="69"/>
    </row>
    <row r="63">
      <c r="A63" s="69" t="s">
        <v>7083</v>
      </c>
      <c r="B63" s="198"/>
      <c r="C63" s="198"/>
      <c r="D63" s="198"/>
      <c r="E63" s="198"/>
      <c r="F63" s="198" t="s">
        <v>7088</v>
      </c>
      <c r="G63" s="198"/>
      <c r="H63" s="198"/>
      <c r="I63" s="198"/>
      <c r="J63" s="42" t="s">
        <v>7089</v>
      </c>
      <c r="K63" s="268">
        <v>2005.0</v>
      </c>
      <c r="L63" s="69" t="s">
        <v>7090</v>
      </c>
      <c r="M63" s="69" t="s">
        <v>7091</v>
      </c>
      <c r="N63" s="198"/>
      <c r="O63" s="198"/>
      <c r="P63" s="198"/>
      <c r="Q63" s="69" t="s">
        <v>7092</v>
      </c>
    </row>
    <row r="64">
      <c r="A64" s="69" t="s">
        <v>7083</v>
      </c>
      <c r="B64" s="198"/>
      <c r="C64" s="198"/>
      <c r="D64" s="198"/>
      <c r="E64" s="198"/>
      <c r="F64" s="198" t="s">
        <v>7093</v>
      </c>
      <c r="G64" s="198"/>
      <c r="H64" s="198"/>
      <c r="I64" s="198"/>
      <c r="J64" s="42" t="s">
        <v>7094</v>
      </c>
      <c r="K64" s="268">
        <v>2005.0</v>
      </c>
      <c r="L64" s="69" t="s">
        <v>7095</v>
      </c>
      <c r="M64" s="69" t="s">
        <v>7096</v>
      </c>
      <c r="N64" s="198"/>
      <c r="O64" s="198"/>
      <c r="P64" s="198"/>
      <c r="Q64" s="69"/>
    </row>
    <row r="65">
      <c r="A65" s="110" t="s">
        <v>7083</v>
      </c>
      <c r="B65" s="276">
        <v>1978.0</v>
      </c>
      <c r="C65" s="210" t="s">
        <v>6897</v>
      </c>
      <c r="D65" s="210" t="s">
        <v>654</v>
      </c>
      <c r="E65" s="285" t="s">
        <v>6898</v>
      </c>
      <c r="F65" s="210" t="s">
        <v>6893</v>
      </c>
      <c r="G65" s="210" t="s">
        <v>22</v>
      </c>
      <c r="H65" s="210"/>
      <c r="I65" s="210"/>
      <c r="J65" s="210"/>
      <c r="K65" s="210"/>
      <c r="L65" s="210"/>
      <c r="M65" s="210"/>
      <c r="N65" s="210"/>
      <c r="O65" s="210"/>
      <c r="P65" s="210"/>
      <c r="Q65" s="210"/>
    </row>
    <row r="66">
      <c r="A66" s="69" t="s">
        <v>7097</v>
      </c>
      <c r="B66" s="268">
        <v>1963.0</v>
      </c>
      <c r="C66" s="198" t="s">
        <v>6897</v>
      </c>
      <c r="D66" s="198" t="s">
        <v>654</v>
      </c>
      <c r="E66" s="270" t="s">
        <v>7055</v>
      </c>
      <c r="F66" s="198" t="s">
        <v>6893</v>
      </c>
      <c r="G66" s="198" t="s">
        <v>7098</v>
      </c>
      <c r="H66" s="198"/>
      <c r="I66" s="198"/>
      <c r="J66" s="198"/>
      <c r="K66" s="198"/>
      <c r="L66" s="69"/>
      <c r="M66" s="69"/>
      <c r="N66" s="198"/>
      <c r="O66" s="198"/>
      <c r="P66" s="198"/>
      <c r="Q66" s="69"/>
    </row>
    <row r="67">
      <c r="A67" s="69" t="s">
        <v>7097</v>
      </c>
      <c r="B67" s="268">
        <v>1963.0</v>
      </c>
      <c r="C67" s="198" t="s">
        <v>6892</v>
      </c>
      <c r="D67" s="271" t="s">
        <v>6912</v>
      </c>
      <c r="E67" s="198"/>
      <c r="F67" s="198" t="s">
        <v>6893</v>
      </c>
      <c r="G67" s="198" t="s">
        <v>7099</v>
      </c>
      <c r="H67" s="198"/>
      <c r="I67" s="198"/>
      <c r="J67" s="42" t="s">
        <v>3354</v>
      </c>
      <c r="K67" s="268">
        <v>1985.0</v>
      </c>
      <c r="L67" s="69" t="s">
        <v>7100</v>
      </c>
      <c r="M67" s="69" t="s">
        <v>7101</v>
      </c>
      <c r="N67" s="198"/>
      <c r="O67" s="198"/>
      <c r="P67" s="198"/>
      <c r="Q67" s="69" t="s">
        <v>7102</v>
      </c>
    </row>
    <row r="68">
      <c r="A68" s="69" t="s">
        <v>7097</v>
      </c>
      <c r="B68" s="268">
        <v>1963.0</v>
      </c>
      <c r="C68" s="198" t="s">
        <v>6889</v>
      </c>
      <c r="D68" s="198"/>
      <c r="E68" s="198"/>
      <c r="F68" s="198" t="s">
        <v>7103</v>
      </c>
      <c r="G68" s="198" t="s">
        <v>7104</v>
      </c>
      <c r="H68" s="198"/>
      <c r="I68" s="198"/>
      <c r="J68" s="42" t="s">
        <v>3359</v>
      </c>
      <c r="K68" s="268">
        <v>1989.0</v>
      </c>
      <c r="L68" s="69" t="s">
        <v>7105</v>
      </c>
      <c r="M68" s="69" t="s">
        <v>7106</v>
      </c>
      <c r="N68" s="198"/>
      <c r="O68" s="198"/>
      <c r="P68" s="198"/>
      <c r="Q68" s="69"/>
    </row>
    <row r="69">
      <c r="A69" s="278" t="s">
        <v>7097</v>
      </c>
      <c r="B69" s="280">
        <v>1963.0</v>
      </c>
      <c r="C69" s="198" t="s">
        <v>6889</v>
      </c>
      <c r="D69" s="198"/>
      <c r="E69" s="198"/>
      <c r="F69" s="198" t="s">
        <v>6893</v>
      </c>
      <c r="G69" s="281" t="s">
        <v>7107</v>
      </c>
      <c r="H69" s="281"/>
      <c r="I69" s="281"/>
      <c r="J69" s="283" t="s">
        <v>3363</v>
      </c>
      <c r="K69" s="281"/>
      <c r="L69" s="278"/>
      <c r="M69" s="278"/>
      <c r="N69" s="198"/>
      <c r="O69" s="198"/>
      <c r="P69" s="198"/>
      <c r="Q69" s="278"/>
    </row>
    <row r="70">
      <c r="A70" s="69" t="s">
        <v>7108</v>
      </c>
      <c r="B70" s="268">
        <v>1940.0</v>
      </c>
      <c r="C70" s="198" t="s">
        <v>6897</v>
      </c>
      <c r="D70" s="198" t="s">
        <v>654</v>
      </c>
      <c r="E70" s="270" t="s">
        <v>6898</v>
      </c>
      <c r="F70" s="198" t="s">
        <v>6893</v>
      </c>
      <c r="G70" s="198" t="s">
        <v>22</v>
      </c>
      <c r="H70" s="198"/>
      <c r="I70" s="198"/>
      <c r="J70" s="198"/>
      <c r="K70" s="198"/>
      <c r="L70" s="69"/>
      <c r="M70" s="69" t="s">
        <v>6897</v>
      </c>
      <c r="N70" s="198"/>
      <c r="O70" s="198"/>
      <c r="P70" s="198"/>
      <c r="Q70" s="69"/>
    </row>
    <row r="71">
      <c r="A71" s="69" t="s">
        <v>7109</v>
      </c>
      <c r="B71" s="268">
        <v>1967.0</v>
      </c>
      <c r="C71" s="198" t="s">
        <v>6892</v>
      </c>
      <c r="D71" s="198" t="s">
        <v>654</v>
      </c>
      <c r="E71" s="270" t="s">
        <v>6898</v>
      </c>
      <c r="F71" s="198" t="s">
        <v>7110</v>
      </c>
      <c r="G71" s="198" t="s">
        <v>22</v>
      </c>
      <c r="H71" s="198"/>
      <c r="I71" s="198"/>
      <c r="J71" s="42" t="s">
        <v>7111</v>
      </c>
      <c r="K71" s="268">
        <v>1982.0</v>
      </c>
      <c r="L71" s="69" t="s">
        <v>7112</v>
      </c>
      <c r="M71" s="69" t="s">
        <v>7113</v>
      </c>
      <c r="N71" s="198"/>
      <c r="O71" s="198"/>
      <c r="P71" s="198"/>
      <c r="Q71" s="69" t="s">
        <v>7114</v>
      </c>
    </row>
    <row r="72">
      <c r="A72" s="69" t="s">
        <v>7109</v>
      </c>
      <c r="B72" s="268">
        <v>1967.0</v>
      </c>
      <c r="C72" s="198" t="s">
        <v>6892</v>
      </c>
      <c r="D72" s="271" t="s">
        <v>6912</v>
      </c>
      <c r="E72" s="198"/>
      <c r="F72" s="198" t="s">
        <v>6893</v>
      </c>
      <c r="G72" s="284" t="s">
        <v>7115</v>
      </c>
      <c r="H72" s="198"/>
      <c r="I72" s="198"/>
      <c r="J72" s="42" t="s">
        <v>7116</v>
      </c>
      <c r="K72" s="268">
        <v>2011.0</v>
      </c>
      <c r="L72" s="69" t="s">
        <v>7117</v>
      </c>
      <c r="M72" s="69" t="s">
        <v>7118</v>
      </c>
      <c r="N72" s="198"/>
      <c r="O72" s="198"/>
      <c r="P72" s="198"/>
      <c r="Q72" s="69" t="s">
        <v>7119</v>
      </c>
    </row>
    <row r="73">
      <c r="A73" s="69" t="s">
        <v>7120</v>
      </c>
      <c r="B73" s="268">
        <v>1887.0</v>
      </c>
      <c r="C73" s="198" t="s">
        <v>6897</v>
      </c>
      <c r="D73" s="198"/>
      <c r="E73" s="270" t="s">
        <v>6898</v>
      </c>
      <c r="F73" s="198" t="s">
        <v>6893</v>
      </c>
      <c r="G73" s="198" t="s">
        <v>22</v>
      </c>
      <c r="H73" s="198"/>
      <c r="I73" s="198"/>
      <c r="J73" s="42"/>
      <c r="K73" s="198"/>
      <c r="L73" s="69"/>
      <c r="M73" s="69" t="s">
        <v>6897</v>
      </c>
      <c r="N73" s="198"/>
      <c r="O73" s="198"/>
      <c r="P73" s="198"/>
      <c r="Q73" s="69"/>
    </row>
    <row r="74">
      <c r="A74" s="286" t="s">
        <v>7121</v>
      </c>
      <c r="B74" s="287"/>
      <c r="C74" s="287"/>
      <c r="D74" s="287"/>
      <c r="E74" s="287"/>
      <c r="F74" s="288" t="s">
        <v>7122</v>
      </c>
      <c r="G74" s="287"/>
      <c r="H74" s="287"/>
      <c r="I74" s="287"/>
      <c r="J74" s="287"/>
      <c r="K74" s="287"/>
      <c r="L74" s="287"/>
      <c r="M74" s="287"/>
      <c r="N74" s="287"/>
      <c r="O74" s="287"/>
      <c r="P74" s="287"/>
      <c r="Q74" s="287"/>
    </row>
    <row r="75">
      <c r="A75" s="210" t="s">
        <v>7123</v>
      </c>
      <c r="B75" s="276">
        <v>1976.0</v>
      </c>
      <c r="C75" s="210" t="s">
        <v>6897</v>
      </c>
      <c r="D75" s="210" t="s">
        <v>654</v>
      </c>
      <c r="E75" s="285" t="s">
        <v>6898</v>
      </c>
      <c r="F75" s="210" t="s">
        <v>6893</v>
      </c>
      <c r="G75" s="210" t="s">
        <v>22</v>
      </c>
      <c r="H75" s="210"/>
      <c r="I75" s="210"/>
      <c r="J75" s="210"/>
      <c r="K75" s="210"/>
      <c r="L75" s="210"/>
      <c r="M75" s="210"/>
      <c r="N75" s="210"/>
      <c r="O75" s="210"/>
      <c r="P75" s="210"/>
      <c r="Q75" s="210"/>
    </row>
    <row r="76">
      <c r="A76" s="69" t="s">
        <v>7124</v>
      </c>
      <c r="B76" s="268">
        <v>1940.0</v>
      </c>
      <c r="C76" s="198" t="s">
        <v>6892</v>
      </c>
      <c r="D76" s="198" t="s">
        <v>654</v>
      </c>
      <c r="E76" s="198" t="s">
        <v>2019</v>
      </c>
      <c r="F76" s="198" t="s">
        <v>7110</v>
      </c>
      <c r="G76" s="284" t="s">
        <v>7125</v>
      </c>
      <c r="H76" s="198"/>
      <c r="I76" s="198"/>
      <c r="J76" s="42" t="s">
        <v>529</v>
      </c>
      <c r="K76" s="268">
        <v>1987.0</v>
      </c>
      <c r="L76" s="69" t="s">
        <v>7126</v>
      </c>
      <c r="M76" s="69" t="s">
        <v>7127</v>
      </c>
      <c r="N76" s="198"/>
      <c r="O76" s="198"/>
      <c r="P76" s="198"/>
      <c r="Q76" s="69"/>
    </row>
    <row r="77">
      <c r="A77" s="69" t="s">
        <v>7128</v>
      </c>
      <c r="B77" s="268">
        <v>1956.0</v>
      </c>
      <c r="C77" s="198"/>
      <c r="D77" s="198"/>
      <c r="E77" s="270" t="s">
        <v>6898</v>
      </c>
      <c r="F77" s="198" t="s">
        <v>6893</v>
      </c>
      <c r="G77" s="198" t="s">
        <v>22</v>
      </c>
      <c r="H77" s="198"/>
      <c r="I77" s="198"/>
      <c r="J77" s="42"/>
      <c r="K77" s="198"/>
      <c r="L77" s="69"/>
      <c r="M77" s="69" t="s">
        <v>6897</v>
      </c>
      <c r="N77" s="198"/>
      <c r="O77" s="198"/>
      <c r="P77" s="198"/>
      <c r="Q77" s="69"/>
    </row>
    <row r="78">
      <c r="A78" s="278" t="s">
        <v>7128</v>
      </c>
      <c r="B78" s="198"/>
      <c r="C78" s="198" t="s">
        <v>6889</v>
      </c>
      <c r="D78" s="198"/>
      <c r="E78" s="198"/>
      <c r="F78" s="198" t="s">
        <v>7129</v>
      </c>
      <c r="G78" s="281" t="s">
        <v>22</v>
      </c>
      <c r="H78" s="281"/>
      <c r="I78" s="281"/>
      <c r="J78" s="279" t="s">
        <v>4080</v>
      </c>
      <c r="K78" s="280">
        <v>1963.0</v>
      </c>
      <c r="L78" s="198"/>
      <c r="M78" s="198" t="s">
        <v>7130</v>
      </c>
      <c r="N78" s="198"/>
      <c r="O78" s="198"/>
      <c r="P78" s="198"/>
      <c r="Q78" s="278" t="s">
        <v>7131</v>
      </c>
    </row>
    <row r="79">
      <c r="A79" s="69" t="s">
        <v>7132</v>
      </c>
      <c r="B79" s="268">
        <v>1952.0</v>
      </c>
      <c r="C79" s="198" t="s">
        <v>6897</v>
      </c>
      <c r="D79" s="198" t="s">
        <v>654</v>
      </c>
      <c r="E79" s="270" t="s">
        <v>6898</v>
      </c>
      <c r="F79" s="198" t="s">
        <v>6893</v>
      </c>
      <c r="G79" s="198" t="s">
        <v>22</v>
      </c>
      <c r="H79" s="198"/>
      <c r="I79" s="198"/>
      <c r="J79" s="198"/>
      <c r="K79" s="198"/>
      <c r="L79" s="69"/>
      <c r="M79" s="69" t="s">
        <v>6897</v>
      </c>
      <c r="N79" s="198"/>
      <c r="O79" s="198"/>
      <c r="P79" s="198"/>
      <c r="Q79" s="69"/>
    </row>
    <row r="80">
      <c r="A80" s="69" t="s">
        <v>7133</v>
      </c>
      <c r="B80" s="268">
        <v>1964.0</v>
      </c>
      <c r="C80" s="198" t="s">
        <v>6938</v>
      </c>
      <c r="D80" s="198"/>
      <c r="E80" s="270" t="s">
        <v>6898</v>
      </c>
      <c r="F80" s="198" t="s">
        <v>7134</v>
      </c>
      <c r="G80" s="198"/>
      <c r="H80" s="198"/>
      <c r="I80" s="198"/>
      <c r="J80" s="198"/>
      <c r="K80" s="198"/>
      <c r="L80" s="69"/>
      <c r="M80" s="69"/>
      <c r="N80" s="198"/>
      <c r="O80" s="198"/>
      <c r="P80" s="198"/>
      <c r="Q80" s="69"/>
    </row>
    <row r="81">
      <c r="A81" s="69" t="s">
        <v>7135</v>
      </c>
      <c r="B81" s="268">
        <v>1955.0</v>
      </c>
      <c r="C81" s="198" t="s">
        <v>6897</v>
      </c>
      <c r="D81" s="198" t="s">
        <v>654</v>
      </c>
      <c r="E81" s="270" t="s">
        <v>6898</v>
      </c>
      <c r="F81" s="198" t="s">
        <v>6893</v>
      </c>
      <c r="G81" s="198" t="s">
        <v>22</v>
      </c>
      <c r="H81" s="198"/>
      <c r="I81" s="198"/>
      <c r="J81" s="198"/>
      <c r="K81" s="198"/>
      <c r="L81" s="69"/>
      <c r="M81" s="69" t="s">
        <v>6897</v>
      </c>
      <c r="N81" s="198"/>
      <c r="O81" s="198"/>
      <c r="P81" s="198"/>
      <c r="Q81" s="69"/>
    </row>
    <row r="82">
      <c r="A82" s="69" t="s">
        <v>7136</v>
      </c>
      <c r="B82" s="268">
        <v>1873.0</v>
      </c>
      <c r="C82" s="198" t="s">
        <v>6897</v>
      </c>
      <c r="D82" s="198" t="s">
        <v>654</v>
      </c>
      <c r="E82" s="270" t="s">
        <v>6898</v>
      </c>
      <c r="F82" s="198" t="s">
        <v>6893</v>
      </c>
      <c r="G82" s="198" t="s">
        <v>6965</v>
      </c>
      <c r="H82" s="198"/>
      <c r="I82" s="198"/>
      <c r="J82" s="198"/>
      <c r="K82" s="198"/>
      <c r="L82" s="69"/>
      <c r="M82" s="69" t="s">
        <v>7137</v>
      </c>
      <c r="N82" s="198"/>
      <c r="O82" s="198"/>
      <c r="P82" s="198"/>
      <c r="Q82" s="69"/>
    </row>
    <row r="83">
      <c r="A83" s="69" t="s">
        <v>7136</v>
      </c>
      <c r="B83" s="198"/>
      <c r="C83" s="198" t="s">
        <v>6889</v>
      </c>
      <c r="D83" s="198"/>
      <c r="E83" s="198"/>
      <c r="F83" s="198"/>
      <c r="G83" s="198"/>
      <c r="H83" s="198"/>
      <c r="I83" s="198"/>
      <c r="J83" s="42" t="s">
        <v>7138</v>
      </c>
      <c r="K83" s="268">
        <v>1873.0</v>
      </c>
      <c r="L83" s="69"/>
      <c r="M83" s="69"/>
      <c r="N83" s="198"/>
      <c r="O83" s="198"/>
      <c r="P83" s="198"/>
      <c r="Q83" s="69"/>
    </row>
    <row r="84">
      <c r="A84" s="69" t="s">
        <v>7139</v>
      </c>
      <c r="B84" s="268">
        <v>1965.0</v>
      </c>
      <c r="C84" s="198" t="s">
        <v>6938</v>
      </c>
      <c r="D84" s="198"/>
      <c r="E84" s="270" t="s">
        <v>6898</v>
      </c>
      <c r="F84" s="198" t="s">
        <v>7134</v>
      </c>
      <c r="G84" s="198"/>
      <c r="H84" s="198"/>
      <c r="I84" s="198"/>
      <c r="J84" s="42" t="s">
        <v>7140</v>
      </c>
      <c r="K84" s="268">
        <v>2012.0</v>
      </c>
      <c r="L84" s="69"/>
      <c r="M84" s="69"/>
      <c r="N84" s="198"/>
      <c r="O84" s="198"/>
      <c r="P84" s="198"/>
      <c r="Q84" s="198"/>
    </row>
    <row r="85">
      <c r="A85" s="69" t="s">
        <v>7141</v>
      </c>
      <c r="B85" s="268">
        <v>1940.0</v>
      </c>
      <c r="C85" s="198" t="s">
        <v>6897</v>
      </c>
      <c r="D85" s="198" t="s">
        <v>654</v>
      </c>
      <c r="E85" s="270" t="s">
        <v>6898</v>
      </c>
      <c r="F85" s="198" t="s">
        <v>6893</v>
      </c>
      <c r="G85" s="198" t="s">
        <v>22</v>
      </c>
      <c r="H85" s="198"/>
      <c r="I85" s="198"/>
      <c r="J85" s="198"/>
      <c r="K85" s="198"/>
      <c r="L85" s="69"/>
      <c r="M85" s="69" t="s">
        <v>6897</v>
      </c>
      <c r="N85" s="198"/>
      <c r="O85" s="198"/>
      <c r="P85" s="198"/>
      <c r="Q85" s="69" t="s">
        <v>7142</v>
      </c>
    </row>
    <row r="86">
      <c r="A86" s="110" t="s">
        <v>7143</v>
      </c>
      <c r="B86" s="276">
        <v>1974.0</v>
      </c>
      <c r="C86" s="210" t="s">
        <v>6892</v>
      </c>
      <c r="D86" s="210" t="s">
        <v>654</v>
      </c>
      <c r="E86" s="210" t="s">
        <v>2019</v>
      </c>
      <c r="F86" s="210" t="s">
        <v>6893</v>
      </c>
      <c r="G86" s="210" t="s">
        <v>6894</v>
      </c>
      <c r="H86" s="210"/>
      <c r="I86" s="210"/>
      <c r="J86" s="210" t="s">
        <v>6942</v>
      </c>
      <c r="K86" s="276">
        <v>1976.0</v>
      </c>
      <c r="L86" s="110" t="s">
        <v>2429</v>
      </c>
      <c r="M86" s="110" t="s">
        <v>6943</v>
      </c>
      <c r="N86" s="210"/>
      <c r="O86" s="210"/>
      <c r="P86" s="210"/>
      <c r="Q86" s="110" t="s">
        <v>7144</v>
      </c>
    </row>
    <row r="87">
      <c r="A87" s="286" t="s">
        <v>7145</v>
      </c>
      <c r="B87" s="287"/>
      <c r="C87" s="287"/>
      <c r="D87" s="287"/>
      <c r="E87" s="287"/>
      <c r="F87" s="287" t="s">
        <v>6893</v>
      </c>
      <c r="G87" s="287" t="s">
        <v>114</v>
      </c>
      <c r="H87" s="287"/>
      <c r="I87" s="287"/>
      <c r="J87" s="287"/>
      <c r="K87" s="287"/>
      <c r="L87" s="286"/>
      <c r="M87" s="286" t="s">
        <v>7146</v>
      </c>
      <c r="N87" s="287"/>
      <c r="O87" s="287"/>
      <c r="P87" s="287"/>
      <c r="Q87" s="286" t="s">
        <v>7147</v>
      </c>
    </row>
    <row r="88">
      <c r="A88" s="287"/>
      <c r="B88" s="287"/>
      <c r="C88" s="287"/>
      <c r="D88" s="287"/>
      <c r="E88" s="287"/>
      <c r="F88" s="287"/>
      <c r="G88" s="287"/>
      <c r="H88" s="287"/>
      <c r="I88" s="287"/>
      <c r="J88" s="289" t="s">
        <v>7148</v>
      </c>
      <c r="K88" s="287"/>
      <c r="L88" s="287"/>
      <c r="M88" s="287"/>
      <c r="N88" s="287"/>
      <c r="O88" s="287"/>
      <c r="P88" s="287"/>
      <c r="Q88" s="287"/>
    </row>
    <row r="89">
      <c r="A89" s="286" t="s">
        <v>7149</v>
      </c>
      <c r="B89" s="287"/>
      <c r="C89" s="287" t="s">
        <v>7146</v>
      </c>
      <c r="D89" s="287"/>
      <c r="E89" s="287"/>
      <c r="F89" s="287" t="s">
        <v>6893</v>
      </c>
      <c r="G89" s="287" t="s">
        <v>22</v>
      </c>
      <c r="H89" s="287"/>
      <c r="I89" s="287"/>
      <c r="J89" s="287"/>
      <c r="K89" s="287"/>
      <c r="L89" s="286"/>
      <c r="M89" s="286" t="s">
        <v>7146</v>
      </c>
      <c r="N89" s="287"/>
      <c r="O89" s="287"/>
      <c r="P89" s="287"/>
      <c r="Q89" s="286" t="s">
        <v>7150</v>
      </c>
    </row>
    <row r="90">
      <c r="A90" s="69" t="s">
        <v>7151</v>
      </c>
      <c r="B90" s="268">
        <v>1940.0</v>
      </c>
      <c r="C90" s="198" t="s">
        <v>6897</v>
      </c>
      <c r="D90" s="198"/>
      <c r="E90" s="198"/>
      <c r="F90" s="198" t="s">
        <v>6893</v>
      </c>
      <c r="G90" s="198" t="s">
        <v>22</v>
      </c>
      <c r="H90" s="198"/>
      <c r="I90" s="198"/>
      <c r="J90" s="198"/>
      <c r="K90" s="198"/>
      <c r="L90" s="69"/>
      <c r="M90" s="69" t="s">
        <v>6897</v>
      </c>
      <c r="N90" s="198"/>
      <c r="O90" s="198"/>
      <c r="P90" s="198"/>
      <c r="Q90" s="69"/>
    </row>
    <row r="91">
      <c r="A91" s="110" t="s">
        <v>7151</v>
      </c>
      <c r="B91" s="276">
        <v>1940.0</v>
      </c>
      <c r="C91" s="210" t="s">
        <v>6892</v>
      </c>
      <c r="D91" s="210"/>
      <c r="E91" s="210" t="s">
        <v>2019</v>
      </c>
      <c r="F91" s="210" t="s">
        <v>6893</v>
      </c>
      <c r="G91" s="210" t="s">
        <v>6894</v>
      </c>
      <c r="H91" s="210"/>
      <c r="I91" s="210"/>
      <c r="J91" s="277" t="s">
        <v>6958</v>
      </c>
      <c r="K91" s="276">
        <v>1975.0</v>
      </c>
      <c r="L91" s="110" t="s">
        <v>2429</v>
      </c>
      <c r="M91" s="110" t="s">
        <v>6959</v>
      </c>
      <c r="N91" s="210"/>
      <c r="O91" s="210"/>
      <c r="P91" s="210"/>
      <c r="Q91" s="210"/>
    </row>
    <row r="92">
      <c r="A92" s="110" t="s">
        <v>7152</v>
      </c>
      <c r="B92" s="276">
        <v>1936.0</v>
      </c>
      <c r="C92" s="210" t="s">
        <v>6892</v>
      </c>
      <c r="D92" s="210" t="s">
        <v>654</v>
      </c>
      <c r="E92" s="210" t="s">
        <v>6929</v>
      </c>
      <c r="F92" s="290" t="s">
        <v>7153</v>
      </c>
      <c r="G92" s="210"/>
      <c r="H92" s="210"/>
      <c r="I92" s="210"/>
      <c r="J92" s="291" t="s">
        <v>7154</v>
      </c>
      <c r="K92" s="276">
        <v>1955.0</v>
      </c>
      <c r="L92" s="110" t="s">
        <v>7155</v>
      </c>
      <c r="M92" s="210" t="s">
        <v>7156</v>
      </c>
      <c r="N92" s="210"/>
      <c r="O92" s="210"/>
      <c r="P92" s="210"/>
      <c r="Q92" s="103" t="s">
        <v>7157</v>
      </c>
    </row>
    <row r="93">
      <c r="A93" s="286" t="s">
        <v>7158</v>
      </c>
      <c r="B93" s="287"/>
      <c r="C93" s="287"/>
      <c r="D93" s="287"/>
      <c r="E93" s="287"/>
      <c r="F93" s="287" t="s">
        <v>7159</v>
      </c>
      <c r="G93" s="287" t="s">
        <v>7160</v>
      </c>
      <c r="H93" s="287"/>
      <c r="I93" s="287"/>
      <c r="J93" s="287"/>
      <c r="K93" s="287"/>
      <c r="L93" s="287"/>
      <c r="M93" s="287"/>
      <c r="N93" s="287"/>
      <c r="O93" s="287"/>
      <c r="P93" s="287"/>
      <c r="Q93" s="287"/>
    </row>
    <row r="94">
      <c r="A94" s="286" t="s">
        <v>7161</v>
      </c>
      <c r="B94" s="287"/>
      <c r="C94" s="287"/>
      <c r="D94" s="287"/>
      <c r="E94" s="287"/>
      <c r="F94" s="288" t="s">
        <v>7162</v>
      </c>
      <c r="G94" s="287"/>
      <c r="H94" s="287"/>
      <c r="I94" s="287"/>
      <c r="J94" s="287"/>
      <c r="K94" s="287"/>
      <c r="L94" s="287"/>
      <c r="M94" s="287"/>
      <c r="N94" s="287"/>
      <c r="O94" s="287"/>
      <c r="P94" s="287"/>
      <c r="Q94" s="287"/>
    </row>
    <row r="95">
      <c r="A95" s="69" t="s">
        <v>7163</v>
      </c>
      <c r="B95" s="268">
        <v>1981.0</v>
      </c>
      <c r="C95" s="198" t="s">
        <v>6897</v>
      </c>
      <c r="D95" s="198"/>
      <c r="E95" s="270" t="s">
        <v>6898</v>
      </c>
      <c r="F95" s="198" t="s">
        <v>6893</v>
      </c>
      <c r="G95" s="198" t="s">
        <v>22</v>
      </c>
      <c r="H95" s="198"/>
      <c r="I95" s="198"/>
      <c r="J95" s="198"/>
      <c r="K95" s="198"/>
      <c r="L95" s="69"/>
      <c r="M95" s="69" t="s">
        <v>7146</v>
      </c>
      <c r="N95" s="198"/>
      <c r="O95" s="198"/>
      <c r="P95" s="198"/>
      <c r="Q95" s="69"/>
    </row>
    <row r="96">
      <c r="A96" s="69" t="s">
        <v>7164</v>
      </c>
      <c r="B96" s="268">
        <v>1980.0</v>
      </c>
      <c r="C96" s="198" t="s">
        <v>6897</v>
      </c>
      <c r="D96" s="198"/>
      <c r="E96" s="198"/>
      <c r="F96" s="198" t="s">
        <v>6893</v>
      </c>
      <c r="G96" s="198" t="s">
        <v>22</v>
      </c>
      <c r="H96" s="198"/>
      <c r="I96" s="198"/>
      <c r="J96" s="198"/>
      <c r="K96" s="198"/>
      <c r="L96" s="69"/>
      <c r="M96" s="69" t="s">
        <v>7146</v>
      </c>
      <c r="N96" s="198"/>
      <c r="O96" s="198"/>
      <c r="P96" s="198"/>
      <c r="Q96" s="69" t="s">
        <v>7165</v>
      </c>
    </row>
    <row r="97">
      <c r="A97" s="278" t="s">
        <v>7164</v>
      </c>
      <c r="B97" s="198"/>
      <c r="C97" s="198" t="s">
        <v>6889</v>
      </c>
      <c r="D97" s="198"/>
      <c r="E97" s="198"/>
      <c r="F97" s="198" t="s">
        <v>7110</v>
      </c>
      <c r="G97" s="281" t="s">
        <v>114</v>
      </c>
      <c r="H97" s="281"/>
      <c r="I97" s="281"/>
      <c r="J97" s="279" t="s">
        <v>7166</v>
      </c>
      <c r="K97" s="280">
        <v>1984.0</v>
      </c>
      <c r="L97" s="198"/>
      <c r="M97" s="198" t="s">
        <v>7167</v>
      </c>
      <c r="N97" s="198"/>
      <c r="O97" s="198"/>
      <c r="P97" s="198"/>
      <c r="Q97" s="278" t="s">
        <v>7168</v>
      </c>
    </row>
    <row r="98">
      <c r="A98" s="110" t="s">
        <v>7164</v>
      </c>
      <c r="B98" s="276">
        <v>1980.0</v>
      </c>
      <c r="C98" s="210" t="s">
        <v>6892</v>
      </c>
      <c r="D98" s="210" t="s">
        <v>654</v>
      </c>
      <c r="E98" s="210" t="s">
        <v>2019</v>
      </c>
      <c r="F98" s="210" t="s">
        <v>6893</v>
      </c>
      <c r="G98" s="210" t="s">
        <v>6894</v>
      </c>
      <c r="H98" s="210"/>
      <c r="I98" s="210"/>
      <c r="J98" s="277" t="s">
        <v>6958</v>
      </c>
      <c r="K98" s="276">
        <v>1975.0</v>
      </c>
      <c r="L98" s="110" t="s">
        <v>2429</v>
      </c>
      <c r="M98" s="110" t="s">
        <v>6959</v>
      </c>
      <c r="N98" s="210"/>
      <c r="O98" s="210"/>
      <c r="P98" s="210"/>
      <c r="Q98" s="210"/>
    </row>
    <row r="99">
      <c r="A99" s="69" t="s">
        <v>7164</v>
      </c>
      <c r="B99" s="268">
        <v>1980.0</v>
      </c>
      <c r="C99" s="198" t="s">
        <v>6889</v>
      </c>
      <c r="D99" s="198" t="s">
        <v>654</v>
      </c>
      <c r="E99" s="198"/>
      <c r="F99" s="198" t="s">
        <v>6893</v>
      </c>
      <c r="G99" s="198" t="s">
        <v>6894</v>
      </c>
      <c r="H99" s="198"/>
      <c r="I99" s="198"/>
      <c r="J99" s="42" t="s">
        <v>7169</v>
      </c>
      <c r="K99" s="268">
        <v>2015.0</v>
      </c>
      <c r="L99" s="69" t="s">
        <v>7170</v>
      </c>
      <c r="M99" s="69" t="s">
        <v>7171</v>
      </c>
      <c r="N99" s="198"/>
      <c r="O99" s="198"/>
      <c r="P99" s="198"/>
      <c r="Q99" s="69"/>
    </row>
    <row r="100">
      <c r="A100" s="286" t="s">
        <v>7172</v>
      </c>
      <c r="B100" s="287"/>
      <c r="C100" s="287" t="s">
        <v>6897</v>
      </c>
      <c r="D100" s="287"/>
      <c r="E100" s="287"/>
      <c r="F100" s="287" t="s">
        <v>6893</v>
      </c>
      <c r="G100" s="287" t="s">
        <v>22</v>
      </c>
      <c r="H100" s="287"/>
      <c r="I100" s="287"/>
      <c r="J100" s="287"/>
      <c r="K100" s="287"/>
      <c r="L100" s="286"/>
      <c r="M100" s="286" t="s">
        <v>6897</v>
      </c>
      <c r="N100" s="287"/>
      <c r="O100" s="287"/>
      <c r="P100" s="287"/>
      <c r="Q100" s="287"/>
    </row>
    <row r="101">
      <c r="A101" s="69" t="s">
        <v>7173</v>
      </c>
      <c r="B101" s="268">
        <v>1962.0</v>
      </c>
      <c r="C101" s="198" t="s">
        <v>6897</v>
      </c>
      <c r="D101" s="198"/>
      <c r="E101" s="270" t="s">
        <v>6898</v>
      </c>
      <c r="F101" s="198" t="s">
        <v>6893</v>
      </c>
      <c r="G101" s="198" t="s">
        <v>81</v>
      </c>
      <c r="H101" s="198"/>
      <c r="I101" s="198"/>
      <c r="J101" s="198"/>
      <c r="K101" s="198"/>
      <c r="L101" s="69"/>
      <c r="M101" s="69" t="s">
        <v>6897</v>
      </c>
      <c r="N101" s="198"/>
      <c r="O101" s="198"/>
      <c r="P101" s="198"/>
      <c r="Q101" s="69" t="s">
        <v>7174</v>
      </c>
    </row>
    <row r="102">
      <c r="A102" s="69" t="s">
        <v>7175</v>
      </c>
      <c r="B102" s="268">
        <v>1956.0</v>
      </c>
      <c r="C102" s="198" t="s">
        <v>6897</v>
      </c>
      <c r="D102" s="198"/>
      <c r="E102" s="270" t="s">
        <v>6898</v>
      </c>
      <c r="F102" s="198" t="s">
        <v>6893</v>
      </c>
      <c r="G102" s="198" t="s">
        <v>22</v>
      </c>
      <c r="H102" s="198"/>
      <c r="I102" s="198"/>
      <c r="J102" s="198"/>
      <c r="K102" s="198"/>
      <c r="L102" s="69"/>
      <c r="M102" s="69" t="s">
        <v>6897</v>
      </c>
      <c r="N102" s="198"/>
      <c r="O102" s="198"/>
      <c r="P102" s="198"/>
      <c r="Q102" s="69" t="s">
        <v>7176</v>
      </c>
    </row>
    <row r="103">
      <c r="A103" s="69" t="s">
        <v>7177</v>
      </c>
      <c r="B103" s="268">
        <v>1984.0</v>
      </c>
      <c r="C103" s="198"/>
      <c r="D103" s="271" t="s">
        <v>6912</v>
      </c>
      <c r="E103" s="198"/>
      <c r="F103" s="198" t="s">
        <v>6893</v>
      </c>
      <c r="G103" s="198" t="s">
        <v>7178</v>
      </c>
      <c r="H103" s="198"/>
      <c r="I103" s="198"/>
      <c r="J103" s="42" t="s">
        <v>7179</v>
      </c>
      <c r="K103" s="268">
        <v>1984.0</v>
      </c>
      <c r="L103" s="69" t="s">
        <v>7180</v>
      </c>
      <c r="M103" s="69" t="s">
        <v>7181</v>
      </c>
      <c r="N103" s="198"/>
      <c r="O103" s="198"/>
      <c r="P103" s="198"/>
      <c r="Q103" s="69" t="s">
        <v>7182</v>
      </c>
    </row>
    <row r="104">
      <c r="A104" s="69" t="s">
        <v>7177</v>
      </c>
      <c r="B104" s="268">
        <v>1984.0</v>
      </c>
      <c r="C104" s="198" t="s">
        <v>6897</v>
      </c>
      <c r="D104" s="198" t="s">
        <v>654</v>
      </c>
      <c r="E104" s="270" t="s">
        <v>6898</v>
      </c>
      <c r="F104" s="198" t="s">
        <v>6893</v>
      </c>
      <c r="G104" s="198" t="s">
        <v>22</v>
      </c>
      <c r="H104" s="198"/>
      <c r="I104" s="198"/>
      <c r="J104" s="42" t="s">
        <v>7179</v>
      </c>
      <c r="K104" s="268">
        <v>1984.0</v>
      </c>
      <c r="L104" s="69" t="s">
        <v>7180</v>
      </c>
      <c r="M104" s="69" t="s">
        <v>7181</v>
      </c>
      <c r="N104" s="198"/>
      <c r="O104" s="198"/>
      <c r="P104" s="198"/>
      <c r="Q104" s="69"/>
    </row>
    <row r="105">
      <c r="A105" s="110" t="s">
        <v>7183</v>
      </c>
      <c r="B105" s="276">
        <v>1997.0</v>
      </c>
      <c r="C105" s="210" t="s">
        <v>6892</v>
      </c>
      <c r="D105" s="210" t="s">
        <v>654</v>
      </c>
      <c r="E105" s="210" t="s">
        <v>6929</v>
      </c>
      <c r="F105" s="210" t="s">
        <v>6893</v>
      </c>
      <c r="G105" s="210" t="s">
        <v>6930</v>
      </c>
      <c r="H105" s="210"/>
      <c r="I105" s="210"/>
      <c r="J105" s="277" t="s">
        <v>7184</v>
      </c>
      <c r="K105" s="276">
        <v>1994.0</v>
      </c>
      <c r="L105" s="110" t="s">
        <v>7185</v>
      </c>
      <c r="M105" s="210" t="s">
        <v>7186</v>
      </c>
      <c r="N105" s="210"/>
      <c r="O105" s="210" t="s">
        <v>6912</v>
      </c>
      <c r="P105" s="210" t="s">
        <v>6934</v>
      </c>
      <c r="Q105" s="110" t="s">
        <v>58</v>
      </c>
    </row>
    <row r="106">
      <c r="A106" s="69" t="s">
        <v>7183</v>
      </c>
      <c r="B106" s="268">
        <v>1997.0</v>
      </c>
      <c r="C106" s="198" t="s">
        <v>6889</v>
      </c>
      <c r="D106" s="198" t="s">
        <v>654</v>
      </c>
      <c r="E106" s="198"/>
      <c r="F106" s="198" t="s">
        <v>6893</v>
      </c>
      <c r="G106" s="198" t="s">
        <v>6930</v>
      </c>
      <c r="H106" s="198"/>
      <c r="I106" s="198"/>
      <c r="J106" s="42" t="s">
        <v>7187</v>
      </c>
      <c r="K106" s="268">
        <v>2009.0</v>
      </c>
      <c r="L106" s="69" t="s">
        <v>7188</v>
      </c>
      <c r="M106" s="69" t="s">
        <v>7189</v>
      </c>
      <c r="N106" s="198"/>
      <c r="O106" s="198" t="s">
        <v>6912</v>
      </c>
      <c r="P106" s="198" t="s">
        <v>6934</v>
      </c>
      <c r="Q106" s="69" t="s">
        <v>7190</v>
      </c>
    </row>
    <row r="107">
      <c r="A107" s="69" t="s">
        <v>7183</v>
      </c>
      <c r="B107" s="268">
        <v>1997.0</v>
      </c>
      <c r="C107" s="198" t="s">
        <v>6892</v>
      </c>
      <c r="D107" s="271" t="s">
        <v>6912</v>
      </c>
      <c r="E107" s="198"/>
      <c r="F107" s="198" t="s">
        <v>6893</v>
      </c>
      <c r="G107" s="198" t="s">
        <v>6187</v>
      </c>
      <c r="H107" s="198"/>
      <c r="I107" s="198"/>
      <c r="J107" s="42" t="s">
        <v>7191</v>
      </c>
      <c r="K107" s="268">
        <v>2007.0</v>
      </c>
      <c r="L107" s="69" t="s">
        <v>7192</v>
      </c>
      <c r="M107" s="69" t="s">
        <v>7193</v>
      </c>
      <c r="N107" s="198"/>
      <c r="O107" s="198"/>
      <c r="P107" s="198"/>
      <c r="Q107" s="69" t="s">
        <v>7194</v>
      </c>
    </row>
    <row r="108">
      <c r="A108" s="69" t="s">
        <v>7195</v>
      </c>
      <c r="B108" s="268">
        <v>1973.0</v>
      </c>
      <c r="C108" s="198" t="s">
        <v>6892</v>
      </c>
      <c r="D108" s="198" t="s">
        <v>654</v>
      </c>
      <c r="E108" s="198" t="s">
        <v>6929</v>
      </c>
      <c r="F108" s="198" t="s">
        <v>6893</v>
      </c>
      <c r="G108" s="198" t="s">
        <v>6930</v>
      </c>
      <c r="H108" s="198"/>
      <c r="I108" s="198"/>
      <c r="J108" s="42" t="s">
        <v>7196</v>
      </c>
      <c r="K108" s="268">
        <v>1980.0</v>
      </c>
      <c r="L108" s="69" t="s">
        <v>2829</v>
      </c>
      <c r="M108" s="69" t="s">
        <v>7197</v>
      </c>
      <c r="N108" s="198"/>
      <c r="O108" s="198" t="s">
        <v>6912</v>
      </c>
      <c r="P108" s="198" t="s">
        <v>6934</v>
      </c>
      <c r="Q108" s="69" t="s">
        <v>7198</v>
      </c>
    </row>
    <row r="109">
      <c r="A109" s="69" t="s">
        <v>7199</v>
      </c>
      <c r="B109" s="268">
        <v>1962.0</v>
      </c>
      <c r="C109" s="198" t="s">
        <v>6892</v>
      </c>
      <c r="D109" s="198" t="s">
        <v>654</v>
      </c>
      <c r="E109" s="198" t="s">
        <v>6929</v>
      </c>
      <c r="F109" s="198" t="s">
        <v>6893</v>
      </c>
      <c r="G109" s="198" t="s">
        <v>6930</v>
      </c>
      <c r="H109" s="198"/>
      <c r="I109" s="198"/>
      <c r="J109" s="42" t="s">
        <v>6939</v>
      </c>
      <c r="K109" s="268">
        <v>1972.0</v>
      </c>
      <c r="L109" s="69" t="s">
        <v>6940</v>
      </c>
      <c r="M109" s="69" t="s">
        <v>6941</v>
      </c>
      <c r="N109" s="198"/>
      <c r="O109" s="198" t="s">
        <v>6912</v>
      </c>
      <c r="P109" s="198" t="s">
        <v>6934</v>
      </c>
      <c r="Q109" s="69" t="s">
        <v>58</v>
      </c>
    </row>
    <row r="110">
      <c r="A110" s="69" t="s">
        <v>7200</v>
      </c>
      <c r="B110" s="268">
        <v>1945.0</v>
      </c>
      <c r="C110" s="198" t="s">
        <v>6892</v>
      </c>
      <c r="D110" s="198" t="s">
        <v>654</v>
      </c>
      <c r="E110" s="198" t="s">
        <v>3114</v>
      </c>
      <c r="F110" s="198" t="s">
        <v>6893</v>
      </c>
      <c r="G110" s="198" t="s">
        <v>114</v>
      </c>
      <c r="H110" s="198"/>
      <c r="I110" s="198"/>
      <c r="J110" s="42" t="s">
        <v>7201</v>
      </c>
      <c r="K110" s="268">
        <v>1972.0</v>
      </c>
      <c r="L110" s="69" t="s">
        <v>7202</v>
      </c>
      <c r="M110" s="69" t="s">
        <v>7203</v>
      </c>
      <c r="N110" s="198"/>
      <c r="O110" s="198" t="s">
        <v>654</v>
      </c>
      <c r="P110" s="198"/>
      <c r="Q110" s="69" t="s">
        <v>7204</v>
      </c>
    </row>
    <row r="111">
      <c r="A111" s="69" t="s">
        <v>7205</v>
      </c>
      <c r="B111" s="268">
        <v>1945.0</v>
      </c>
      <c r="C111" s="198" t="s">
        <v>6892</v>
      </c>
      <c r="D111" s="198" t="s">
        <v>654</v>
      </c>
      <c r="E111" s="198" t="s">
        <v>3114</v>
      </c>
      <c r="F111" s="198" t="s">
        <v>6893</v>
      </c>
      <c r="G111" s="198" t="s">
        <v>114</v>
      </c>
      <c r="H111" s="198"/>
      <c r="I111" s="198"/>
      <c r="J111" s="42" t="s">
        <v>7201</v>
      </c>
      <c r="K111" s="268">
        <v>1972.0</v>
      </c>
      <c r="L111" s="69" t="s">
        <v>7202</v>
      </c>
      <c r="M111" s="69" t="s">
        <v>7203</v>
      </c>
      <c r="N111" s="198"/>
      <c r="O111" s="198" t="s">
        <v>654</v>
      </c>
      <c r="P111" s="198"/>
      <c r="Q111" s="69" t="s">
        <v>7204</v>
      </c>
    </row>
    <row r="112">
      <c r="A112" s="69" t="s">
        <v>7205</v>
      </c>
      <c r="B112" s="268">
        <v>1945.0</v>
      </c>
      <c r="C112" s="198" t="s">
        <v>6889</v>
      </c>
      <c r="D112" s="198"/>
      <c r="E112" s="198"/>
      <c r="F112" s="198" t="s">
        <v>6893</v>
      </c>
      <c r="G112" s="198" t="s">
        <v>6187</v>
      </c>
      <c r="H112" s="198"/>
      <c r="I112" s="198"/>
      <c r="J112" s="269" t="s">
        <v>7206</v>
      </c>
      <c r="K112" s="198"/>
      <c r="L112" s="69" t="s">
        <v>7207</v>
      </c>
      <c r="M112" s="69" t="s">
        <v>7208</v>
      </c>
      <c r="N112" s="198"/>
      <c r="O112" s="198"/>
      <c r="P112" s="198"/>
      <c r="Q112" s="69" t="s">
        <v>7204</v>
      </c>
    </row>
    <row r="113">
      <c r="A113" s="69" t="s">
        <v>7209</v>
      </c>
      <c r="B113" s="268">
        <v>1934.0</v>
      </c>
      <c r="C113" s="198" t="s">
        <v>6897</v>
      </c>
      <c r="D113" s="198" t="s">
        <v>654</v>
      </c>
      <c r="E113" s="198"/>
      <c r="F113" s="198" t="s">
        <v>6893</v>
      </c>
      <c r="G113" s="198" t="s">
        <v>22</v>
      </c>
      <c r="H113" s="198"/>
      <c r="I113" s="198"/>
      <c r="J113" s="198"/>
      <c r="K113" s="198"/>
      <c r="L113" s="69"/>
      <c r="M113" s="69"/>
      <c r="N113" s="198"/>
      <c r="O113" s="198"/>
      <c r="P113" s="198"/>
      <c r="Q113" s="69"/>
    </row>
    <row r="114">
      <c r="A114" s="110" t="s">
        <v>7209</v>
      </c>
      <c r="B114" s="276">
        <v>1934.0</v>
      </c>
      <c r="C114" s="210" t="s">
        <v>6892</v>
      </c>
      <c r="D114" s="210" t="s">
        <v>654</v>
      </c>
      <c r="E114" s="210" t="s">
        <v>2019</v>
      </c>
      <c r="F114" s="210" t="s">
        <v>6893</v>
      </c>
      <c r="G114" s="210" t="s">
        <v>6894</v>
      </c>
      <c r="H114" s="210"/>
      <c r="I114" s="210"/>
      <c r="J114" s="277" t="s">
        <v>6958</v>
      </c>
      <c r="K114" s="276">
        <v>1975.0</v>
      </c>
      <c r="L114" s="110" t="s">
        <v>2429</v>
      </c>
      <c r="M114" s="110" t="s">
        <v>6959</v>
      </c>
      <c r="N114" s="210"/>
      <c r="O114" s="210"/>
      <c r="P114" s="210"/>
      <c r="Q114" s="210"/>
    </row>
    <row r="115">
      <c r="A115" s="69" t="s">
        <v>7210</v>
      </c>
      <c r="B115" s="268">
        <v>1994.0</v>
      </c>
      <c r="C115" s="198" t="s">
        <v>6897</v>
      </c>
      <c r="D115" s="198" t="s">
        <v>654</v>
      </c>
      <c r="E115" s="270" t="s">
        <v>6898</v>
      </c>
      <c r="F115" s="198" t="s">
        <v>6893</v>
      </c>
      <c r="G115" s="198" t="s">
        <v>22</v>
      </c>
      <c r="H115" s="198"/>
      <c r="I115" s="198"/>
      <c r="J115" s="198"/>
      <c r="K115" s="198"/>
      <c r="L115" s="69"/>
      <c r="M115" s="69"/>
      <c r="N115" s="198"/>
      <c r="O115" s="198"/>
      <c r="P115" s="198"/>
      <c r="Q115" s="69"/>
    </row>
    <row r="116">
      <c r="A116" s="69" t="s">
        <v>7211</v>
      </c>
      <c r="B116" s="268">
        <v>1940.0</v>
      </c>
      <c r="C116" s="198" t="s">
        <v>6892</v>
      </c>
      <c r="D116" s="198" t="s">
        <v>654</v>
      </c>
      <c r="E116" s="198" t="s">
        <v>6929</v>
      </c>
      <c r="F116" s="198" t="s">
        <v>6893</v>
      </c>
      <c r="G116" s="198" t="s">
        <v>6930</v>
      </c>
      <c r="H116" s="198"/>
      <c r="I116" s="198"/>
      <c r="J116" s="42" t="s">
        <v>6939</v>
      </c>
      <c r="K116" s="268">
        <v>1972.0</v>
      </c>
      <c r="L116" s="69" t="s">
        <v>6940</v>
      </c>
      <c r="M116" s="69" t="s">
        <v>6941</v>
      </c>
      <c r="N116" s="198"/>
      <c r="O116" s="198" t="s">
        <v>6912</v>
      </c>
      <c r="P116" s="198" t="s">
        <v>6934</v>
      </c>
      <c r="Q116" s="69" t="s">
        <v>7212</v>
      </c>
    </row>
    <row r="117">
      <c r="A117" s="69" t="s">
        <v>7213</v>
      </c>
      <c r="B117" s="268">
        <v>1967.0</v>
      </c>
      <c r="C117" s="198" t="s">
        <v>6892</v>
      </c>
      <c r="D117" s="198" t="s">
        <v>654</v>
      </c>
      <c r="E117" s="198" t="s">
        <v>6929</v>
      </c>
      <c r="F117" s="198" t="s">
        <v>6893</v>
      </c>
      <c r="G117" s="198" t="s">
        <v>6930</v>
      </c>
      <c r="H117" s="198"/>
      <c r="I117" s="198"/>
      <c r="J117" s="42" t="s">
        <v>7214</v>
      </c>
      <c r="K117" s="268">
        <v>1992.0</v>
      </c>
      <c r="L117" s="69" t="s">
        <v>7215</v>
      </c>
      <c r="M117" s="69" t="s">
        <v>7216</v>
      </c>
      <c r="N117" s="198"/>
      <c r="O117" s="198"/>
      <c r="P117" s="198"/>
      <c r="Q117" s="69" t="s">
        <v>7217</v>
      </c>
    </row>
    <row r="118">
      <c r="A118" s="69" t="s">
        <v>7218</v>
      </c>
      <c r="B118" s="268">
        <v>1974.0</v>
      </c>
      <c r="C118" s="198" t="s">
        <v>6892</v>
      </c>
      <c r="D118" s="198" t="s">
        <v>654</v>
      </c>
      <c r="E118" s="198" t="s">
        <v>6929</v>
      </c>
      <c r="F118" s="198" t="s">
        <v>6893</v>
      </c>
      <c r="G118" s="198" t="s">
        <v>6930</v>
      </c>
      <c r="H118" s="198"/>
      <c r="I118" s="198"/>
      <c r="J118" s="42" t="s">
        <v>7219</v>
      </c>
      <c r="K118" s="268">
        <v>1979.0</v>
      </c>
      <c r="L118" s="69" t="s">
        <v>7220</v>
      </c>
      <c r="M118" s="69" t="s">
        <v>7221</v>
      </c>
      <c r="N118" s="198"/>
      <c r="O118" s="198" t="s">
        <v>6912</v>
      </c>
      <c r="P118" s="198" t="s">
        <v>6934</v>
      </c>
      <c r="Q118" s="69" t="s">
        <v>58</v>
      </c>
    </row>
    <row r="119">
      <c r="A119" s="69" t="s">
        <v>7218</v>
      </c>
      <c r="B119" s="268">
        <v>1974.0</v>
      </c>
      <c r="C119" s="198" t="s">
        <v>7014</v>
      </c>
      <c r="D119" s="198" t="s">
        <v>654</v>
      </c>
      <c r="E119" s="198"/>
      <c r="F119" s="198" t="s">
        <v>6893</v>
      </c>
      <c r="G119" s="198" t="s">
        <v>6930</v>
      </c>
      <c r="H119" s="198"/>
      <c r="I119" s="198"/>
      <c r="J119" s="42" t="s">
        <v>7222</v>
      </c>
      <c r="K119" s="268">
        <v>1982.0</v>
      </c>
      <c r="L119" s="69" t="s">
        <v>7223</v>
      </c>
      <c r="M119" s="69" t="s">
        <v>7224</v>
      </c>
      <c r="N119" s="198"/>
      <c r="O119" s="198" t="s">
        <v>6912</v>
      </c>
      <c r="P119" s="198" t="s">
        <v>6934</v>
      </c>
      <c r="Q119" s="69" t="s">
        <v>58</v>
      </c>
    </row>
    <row r="120">
      <c r="A120" s="110" t="s">
        <v>7225</v>
      </c>
      <c r="B120" s="276">
        <v>1977.0</v>
      </c>
      <c r="C120" s="210" t="s">
        <v>6892</v>
      </c>
      <c r="D120" s="210" t="s">
        <v>654</v>
      </c>
      <c r="E120" s="210" t="s">
        <v>6929</v>
      </c>
      <c r="F120" s="210" t="s">
        <v>6893</v>
      </c>
      <c r="G120" s="210" t="s">
        <v>6930</v>
      </c>
      <c r="H120" s="210"/>
      <c r="I120" s="210"/>
      <c r="J120" s="277" t="s">
        <v>7219</v>
      </c>
      <c r="K120" s="276">
        <v>1979.0</v>
      </c>
      <c r="L120" s="110" t="s">
        <v>7220</v>
      </c>
      <c r="M120" s="110" t="s">
        <v>7221</v>
      </c>
      <c r="N120" s="210"/>
      <c r="O120" s="210" t="s">
        <v>6912</v>
      </c>
      <c r="P120" s="210" t="s">
        <v>6934</v>
      </c>
      <c r="Q120" s="110" t="s">
        <v>58</v>
      </c>
    </row>
    <row r="121">
      <c r="A121" s="69" t="s">
        <v>7226</v>
      </c>
      <c r="B121" s="268">
        <v>1977.0</v>
      </c>
      <c r="C121" s="198" t="s">
        <v>6889</v>
      </c>
      <c r="D121" s="198"/>
      <c r="E121" s="198"/>
      <c r="F121" s="284" t="s">
        <v>7227</v>
      </c>
      <c r="G121" s="198"/>
      <c r="H121" s="198"/>
      <c r="I121" s="198"/>
      <c r="J121" s="269" t="s">
        <v>7228</v>
      </c>
      <c r="K121" s="198"/>
      <c r="L121" s="69" t="s">
        <v>7229</v>
      </c>
      <c r="M121" s="69" t="s">
        <v>7230</v>
      </c>
      <c r="N121" s="198"/>
      <c r="O121" s="198"/>
      <c r="P121" s="198"/>
      <c r="Q121" s="69"/>
    </row>
    <row r="122">
      <c r="A122" s="69" t="s">
        <v>7226</v>
      </c>
      <c r="B122" s="268">
        <v>1977.0</v>
      </c>
      <c r="C122" s="198" t="s">
        <v>6892</v>
      </c>
      <c r="D122" s="198" t="s">
        <v>654</v>
      </c>
      <c r="E122" s="198" t="s">
        <v>6929</v>
      </c>
      <c r="F122" s="198" t="s">
        <v>6893</v>
      </c>
      <c r="G122" s="198" t="s">
        <v>6930</v>
      </c>
      <c r="H122" s="198"/>
      <c r="I122" s="198"/>
      <c r="J122" s="42" t="s">
        <v>7214</v>
      </c>
      <c r="K122" s="268">
        <v>1992.0</v>
      </c>
      <c r="L122" s="69" t="s">
        <v>7215</v>
      </c>
      <c r="M122" s="69" t="s">
        <v>7216</v>
      </c>
      <c r="N122" s="198"/>
      <c r="O122" s="198"/>
      <c r="P122" s="198"/>
      <c r="Q122" s="69"/>
    </row>
    <row r="123">
      <c r="A123" s="69" t="s">
        <v>7231</v>
      </c>
      <c r="B123" s="268">
        <v>1979.0</v>
      </c>
      <c r="C123" s="198" t="s">
        <v>6897</v>
      </c>
      <c r="D123" s="198" t="s">
        <v>654</v>
      </c>
      <c r="E123" s="270" t="s">
        <v>6898</v>
      </c>
      <c r="F123" s="198" t="s">
        <v>6893</v>
      </c>
      <c r="G123" s="198" t="s">
        <v>22</v>
      </c>
      <c r="H123" s="198"/>
      <c r="I123" s="198"/>
      <c r="J123" s="198"/>
      <c r="K123" s="198"/>
      <c r="L123" s="69"/>
      <c r="M123" s="69"/>
      <c r="N123" s="198"/>
      <c r="O123" s="198"/>
      <c r="P123" s="198"/>
      <c r="Q123" s="69"/>
    </row>
    <row r="124">
      <c r="A124" s="69" t="s">
        <v>7232</v>
      </c>
      <c r="B124" s="268">
        <v>1940.0</v>
      </c>
      <c r="C124" s="198" t="s">
        <v>6892</v>
      </c>
      <c r="D124" s="198" t="s">
        <v>654</v>
      </c>
      <c r="E124" s="198" t="s">
        <v>6929</v>
      </c>
      <c r="F124" s="198" t="s">
        <v>6893</v>
      </c>
      <c r="G124" s="198" t="s">
        <v>6930</v>
      </c>
      <c r="H124" s="198"/>
      <c r="I124" s="198"/>
      <c r="J124" s="42" t="s">
        <v>6939</v>
      </c>
      <c r="K124" s="268">
        <v>1972.0</v>
      </c>
      <c r="L124" s="69" t="s">
        <v>6940</v>
      </c>
      <c r="M124" s="69" t="s">
        <v>6941</v>
      </c>
      <c r="N124" s="198"/>
      <c r="O124" s="198" t="s">
        <v>6912</v>
      </c>
      <c r="P124" s="198" t="s">
        <v>6934</v>
      </c>
      <c r="Q124" s="69" t="s">
        <v>7212</v>
      </c>
    </row>
    <row r="125">
      <c r="A125" s="69" t="s">
        <v>7233</v>
      </c>
      <c r="B125" s="268">
        <v>1968.0</v>
      </c>
      <c r="C125" s="198" t="s">
        <v>6897</v>
      </c>
      <c r="D125" s="198" t="s">
        <v>654</v>
      </c>
      <c r="E125" s="270" t="s">
        <v>6898</v>
      </c>
      <c r="F125" s="198" t="s">
        <v>6893</v>
      </c>
      <c r="G125" s="198" t="s">
        <v>22</v>
      </c>
      <c r="H125" s="198"/>
      <c r="I125" s="198"/>
      <c r="J125" s="198"/>
      <c r="K125" s="198"/>
      <c r="L125" s="69"/>
      <c r="M125" s="69"/>
      <c r="N125" s="198"/>
      <c r="O125" s="198"/>
      <c r="P125" s="198"/>
      <c r="Q125" s="69"/>
    </row>
    <row r="126">
      <c r="A126" s="69" t="s">
        <v>7233</v>
      </c>
      <c r="B126" s="268">
        <v>1968.0</v>
      </c>
      <c r="C126" s="198" t="s">
        <v>6889</v>
      </c>
      <c r="D126" s="198"/>
      <c r="E126" s="198"/>
      <c r="F126" s="198"/>
      <c r="G126" s="198"/>
      <c r="H126" s="198"/>
      <c r="I126" s="198"/>
      <c r="J126" s="42" t="s">
        <v>7234</v>
      </c>
      <c r="K126" s="268">
        <v>1968.0</v>
      </c>
      <c r="L126" s="69" t="s">
        <v>7235</v>
      </c>
      <c r="M126" s="69"/>
      <c r="N126" s="198"/>
      <c r="O126" s="198"/>
      <c r="P126" s="198"/>
      <c r="Q126" s="69"/>
    </row>
    <row r="127">
      <c r="A127" s="69" t="s">
        <v>7233</v>
      </c>
      <c r="B127" s="268">
        <v>1968.0</v>
      </c>
      <c r="C127" s="198"/>
      <c r="D127" s="198"/>
      <c r="E127" s="198"/>
      <c r="F127" s="198"/>
      <c r="G127" s="198"/>
      <c r="H127" s="198"/>
      <c r="I127" s="198"/>
      <c r="J127" s="269" t="s">
        <v>7236</v>
      </c>
      <c r="K127" s="198"/>
      <c r="L127" s="69"/>
      <c r="M127" s="69"/>
      <c r="N127" s="198"/>
      <c r="O127" s="198"/>
      <c r="P127" s="198"/>
      <c r="Q127" s="69"/>
    </row>
    <row r="128">
      <c r="A128" s="69" t="s">
        <v>7233</v>
      </c>
      <c r="B128" s="268">
        <v>1968.0</v>
      </c>
      <c r="C128" s="198"/>
      <c r="D128" s="198"/>
      <c r="E128" s="198"/>
      <c r="F128" s="198"/>
      <c r="G128" s="198"/>
      <c r="H128" s="198"/>
      <c r="I128" s="198"/>
      <c r="J128" s="269" t="s">
        <v>7237</v>
      </c>
      <c r="K128" s="198"/>
      <c r="L128" s="69"/>
      <c r="M128" s="69"/>
      <c r="N128" s="198"/>
      <c r="O128" s="198"/>
      <c r="P128" s="198"/>
      <c r="Q128" s="69"/>
    </row>
    <row r="129">
      <c r="A129" s="69" t="s">
        <v>7238</v>
      </c>
      <c r="B129" s="268">
        <v>1994.0</v>
      </c>
      <c r="C129" s="198" t="s">
        <v>6897</v>
      </c>
      <c r="D129" s="198" t="s">
        <v>654</v>
      </c>
      <c r="E129" s="198"/>
      <c r="F129" s="198" t="s">
        <v>6893</v>
      </c>
      <c r="G129" s="198" t="s">
        <v>22</v>
      </c>
      <c r="H129" s="198"/>
      <c r="I129" s="198"/>
      <c r="J129" s="198"/>
      <c r="K129" s="198"/>
      <c r="L129" s="69"/>
      <c r="M129" s="69"/>
      <c r="N129" s="198"/>
      <c r="O129" s="198"/>
      <c r="P129" s="198"/>
      <c r="Q129" s="69"/>
    </row>
    <row r="130">
      <c r="A130" s="110" t="s">
        <v>7238</v>
      </c>
      <c r="B130" s="276">
        <v>1994.0</v>
      </c>
      <c r="C130" s="210" t="s">
        <v>6892</v>
      </c>
      <c r="D130" s="210" t="s">
        <v>654</v>
      </c>
      <c r="E130" s="210" t="s">
        <v>6929</v>
      </c>
      <c r="F130" s="210" t="s">
        <v>6893</v>
      </c>
      <c r="G130" s="210" t="s">
        <v>6930</v>
      </c>
      <c r="H130" s="210"/>
      <c r="I130" s="210"/>
      <c r="J130" s="277" t="s">
        <v>7239</v>
      </c>
      <c r="K130" s="276">
        <v>1992.0</v>
      </c>
      <c r="L130" s="110" t="s">
        <v>7240</v>
      </c>
      <c r="M130" s="110" t="s">
        <v>7241</v>
      </c>
      <c r="N130" s="210"/>
      <c r="O130" s="210" t="s">
        <v>6912</v>
      </c>
      <c r="P130" s="210" t="s">
        <v>6934</v>
      </c>
      <c r="Q130" s="110" t="s">
        <v>7242</v>
      </c>
    </row>
    <row r="131">
      <c r="A131" s="110" t="s">
        <v>7238</v>
      </c>
      <c r="B131" s="276">
        <v>1994.0</v>
      </c>
      <c r="C131" s="210"/>
      <c r="D131" s="210"/>
      <c r="E131" s="210"/>
      <c r="F131" s="210"/>
      <c r="G131" s="210" t="s">
        <v>7243</v>
      </c>
      <c r="H131" s="210"/>
      <c r="I131" s="210"/>
      <c r="J131" s="277" t="s">
        <v>7244</v>
      </c>
      <c r="K131" s="276">
        <v>1998.0</v>
      </c>
      <c r="L131" s="110" t="s">
        <v>7245</v>
      </c>
      <c r="M131" s="110" t="s">
        <v>7246</v>
      </c>
      <c r="N131" s="210"/>
      <c r="O131" s="210"/>
      <c r="P131" s="210"/>
      <c r="Q131" s="210"/>
    </row>
    <row r="132">
      <c r="A132" s="69" t="s">
        <v>7247</v>
      </c>
      <c r="B132" s="268">
        <v>1940.0</v>
      </c>
      <c r="C132" s="198" t="s">
        <v>6897</v>
      </c>
      <c r="D132" s="198" t="s">
        <v>654</v>
      </c>
      <c r="E132" s="270" t="s">
        <v>6898</v>
      </c>
      <c r="F132" s="198" t="s">
        <v>6893</v>
      </c>
      <c r="G132" s="198" t="s">
        <v>22</v>
      </c>
      <c r="H132" s="198"/>
      <c r="I132" s="198"/>
      <c r="J132" s="198"/>
      <c r="K132" s="198"/>
      <c r="L132" s="69"/>
      <c r="M132" s="69"/>
      <c r="N132" s="198"/>
      <c r="O132" s="198"/>
      <c r="P132" s="198"/>
      <c r="Q132" s="69"/>
    </row>
    <row r="133">
      <c r="A133" s="69" t="s">
        <v>7248</v>
      </c>
      <c r="B133" s="268">
        <v>1990.0</v>
      </c>
      <c r="C133" s="198" t="s">
        <v>6897</v>
      </c>
      <c r="D133" s="198" t="s">
        <v>654</v>
      </c>
      <c r="E133" s="270" t="s">
        <v>6898</v>
      </c>
      <c r="F133" s="198" t="s">
        <v>6893</v>
      </c>
      <c r="G133" s="198" t="s">
        <v>22</v>
      </c>
      <c r="H133" s="198"/>
      <c r="I133" s="198"/>
      <c r="J133" s="198"/>
      <c r="K133" s="198"/>
      <c r="L133" s="69"/>
      <c r="M133" s="69"/>
      <c r="N133" s="198"/>
      <c r="O133" s="198"/>
      <c r="P133" s="198"/>
      <c r="Q133" s="69"/>
    </row>
    <row r="134">
      <c r="A134" s="110" t="s">
        <v>7249</v>
      </c>
      <c r="B134" s="276">
        <v>1969.0</v>
      </c>
      <c r="C134" s="210" t="s">
        <v>6897</v>
      </c>
      <c r="D134" s="210" t="s">
        <v>654</v>
      </c>
      <c r="E134" s="285" t="s">
        <v>6898</v>
      </c>
      <c r="F134" s="210" t="s">
        <v>6893</v>
      </c>
      <c r="G134" s="210" t="s">
        <v>22</v>
      </c>
      <c r="H134" s="210"/>
      <c r="I134" s="210"/>
      <c r="J134" s="210"/>
      <c r="K134" s="210"/>
      <c r="L134" s="210"/>
      <c r="M134" s="210"/>
      <c r="N134" s="210"/>
      <c r="O134" s="210"/>
      <c r="P134" s="210"/>
      <c r="Q134" s="210"/>
    </row>
    <row r="135">
      <c r="A135" s="110" t="s">
        <v>7249</v>
      </c>
      <c r="B135" s="276">
        <v>1969.0</v>
      </c>
      <c r="C135" s="210" t="s">
        <v>6889</v>
      </c>
      <c r="D135" s="210"/>
      <c r="E135" s="210"/>
      <c r="F135" s="210"/>
      <c r="G135" s="210"/>
      <c r="H135" s="210"/>
      <c r="I135" s="210"/>
      <c r="J135" s="292" t="s">
        <v>7250</v>
      </c>
      <c r="K135" s="210"/>
      <c r="L135" s="210"/>
      <c r="M135" s="210"/>
      <c r="N135" s="210"/>
      <c r="O135" s="210"/>
      <c r="P135" s="210"/>
      <c r="Q135" s="210"/>
    </row>
    <row r="136">
      <c r="A136" s="110" t="s">
        <v>7249</v>
      </c>
      <c r="B136" s="276">
        <v>1969.0</v>
      </c>
      <c r="C136" s="210" t="s">
        <v>6889</v>
      </c>
      <c r="D136" s="210"/>
      <c r="E136" s="210"/>
      <c r="F136" s="210"/>
      <c r="G136" s="210"/>
      <c r="H136" s="210"/>
      <c r="I136" s="210"/>
      <c r="J136" s="292" t="s">
        <v>7251</v>
      </c>
      <c r="K136" s="210"/>
      <c r="L136" s="210"/>
      <c r="M136" s="210"/>
      <c r="N136" s="210"/>
      <c r="O136" s="210"/>
      <c r="P136" s="210"/>
      <c r="Q136" s="210"/>
    </row>
    <row r="137">
      <c r="A137" s="69" t="s">
        <v>7252</v>
      </c>
      <c r="B137" s="268">
        <v>1962.0</v>
      </c>
      <c r="C137" s="198" t="s">
        <v>6897</v>
      </c>
      <c r="D137" s="198" t="s">
        <v>654</v>
      </c>
      <c r="E137" s="270" t="s">
        <v>6898</v>
      </c>
      <c r="F137" s="198" t="s">
        <v>6893</v>
      </c>
      <c r="G137" s="198" t="s">
        <v>114</v>
      </c>
      <c r="H137" s="198" t="s">
        <v>22</v>
      </c>
      <c r="I137" s="198"/>
      <c r="J137" s="198"/>
      <c r="K137" s="198"/>
      <c r="L137" s="69"/>
      <c r="M137" s="69"/>
      <c r="N137" s="198"/>
      <c r="O137" s="198"/>
      <c r="P137" s="198"/>
      <c r="Q137" s="69" t="s">
        <v>7253</v>
      </c>
    </row>
    <row r="138">
      <c r="A138" s="69" t="s">
        <v>7254</v>
      </c>
      <c r="B138" s="268">
        <v>2011.0</v>
      </c>
      <c r="C138" s="198" t="s">
        <v>6897</v>
      </c>
      <c r="D138" s="198" t="s">
        <v>654</v>
      </c>
      <c r="E138" s="270" t="s">
        <v>6898</v>
      </c>
      <c r="F138" s="198" t="s">
        <v>6893</v>
      </c>
      <c r="G138" s="198" t="s">
        <v>22</v>
      </c>
      <c r="H138" s="198"/>
      <c r="I138" s="198"/>
      <c r="J138" s="198"/>
      <c r="K138" s="198"/>
      <c r="L138" s="69"/>
      <c r="M138" s="69"/>
      <c r="N138" s="198"/>
      <c r="O138" s="198"/>
      <c r="P138" s="198"/>
      <c r="Q138" s="69"/>
    </row>
    <row r="139">
      <c r="A139" s="69" t="s">
        <v>7255</v>
      </c>
      <c r="B139" s="268">
        <v>1977.0</v>
      </c>
      <c r="C139" s="198" t="s">
        <v>6897</v>
      </c>
      <c r="D139" s="198" t="s">
        <v>654</v>
      </c>
      <c r="E139" s="270" t="s">
        <v>6898</v>
      </c>
      <c r="F139" s="198" t="s">
        <v>6893</v>
      </c>
      <c r="G139" s="198" t="s">
        <v>22</v>
      </c>
      <c r="H139" s="198"/>
      <c r="I139" s="198"/>
      <c r="J139" s="198"/>
      <c r="K139" s="198"/>
      <c r="L139" s="69"/>
      <c r="M139" s="69"/>
      <c r="N139" s="198"/>
      <c r="O139" s="198"/>
      <c r="P139" s="198"/>
      <c r="Q139" s="69"/>
    </row>
    <row r="140">
      <c r="A140" s="69" t="s">
        <v>7256</v>
      </c>
      <c r="B140" s="268">
        <v>1973.0</v>
      </c>
      <c r="C140" s="198" t="s">
        <v>6897</v>
      </c>
      <c r="D140" s="198" t="s">
        <v>654</v>
      </c>
      <c r="E140" s="270" t="s">
        <v>6898</v>
      </c>
      <c r="F140" s="198" t="s">
        <v>7257</v>
      </c>
      <c r="G140" s="198" t="s">
        <v>22</v>
      </c>
      <c r="H140" s="198"/>
      <c r="I140" s="198"/>
      <c r="J140" s="198"/>
      <c r="K140" s="198"/>
      <c r="L140" s="69"/>
      <c r="M140" s="69"/>
      <c r="N140" s="198"/>
      <c r="O140" s="198"/>
      <c r="P140" s="198"/>
      <c r="Q140" s="69"/>
    </row>
    <row r="141">
      <c r="A141" s="272" t="s">
        <v>7256</v>
      </c>
      <c r="B141" s="273">
        <v>1973.0</v>
      </c>
      <c r="C141" s="274"/>
      <c r="D141" s="274"/>
      <c r="E141" s="274"/>
      <c r="F141" s="274"/>
      <c r="G141" s="274"/>
      <c r="H141" s="274"/>
      <c r="I141" s="274"/>
      <c r="J141" s="293" t="s">
        <v>7258</v>
      </c>
      <c r="K141" s="274"/>
      <c r="L141" s="272"/>
      <c r="M141" s="272"/>
      <c r="N141" s="274"/>
      <c r="O141" s="274"/>
      <c r="P141" s="274"/>
      <c r="Q141" s="272"/>
    </row>
    <row r="142">
      <c r="A142" s="69" t="s">
        <v>7259</v>
      </c>
      <c r="B142" s="268">
        <v>1969.0</v>
      </c>
      <c r="C142" s="198" t="s">
        <v>6897</v>
      </c>
      <c r="D142" s="198" t="s">
        <v>654</v>
      </c>
      <c r="E142" s="270" t="s">
        <v>6898</v>
      </c>
      <c r="F142" s="198" t="s">
        <v>6893</v>
      </c>
      <c r="G142" s="198" t="s">
        <v>7260</v>
      </c>
      <c r="H142" s="198"/>
      <c r="I142" s="198"/>
      <c r="J142" s="198"/>
      <c r="K142" s="198"/>
      <c r="L142" s="69"/>
      <c r="M142" s="69"/>
      <c r="N142" s="198"/>
      <c r="O142" s="198"/>
      <c r="P142" s="198"/>
      <c r="Q142" s="69"/>
    </row>
    <row r="143">
      <c r="A143" s="69" t="s">
        <v>7261</v>
      </c>
      <c r="B143" s="268">
        <v>1940.0</v>
      </c>
      <c r="C143" s="198" t="s">
        <v>6897</v>
      </c>
      <c r="D143" s="198" t="s">
        <v>654</v>
      </c>
      <c r="E143" s="270" t="s">
        <v>6898</v>
      </c>
      <c r="F143" s="198" t="s">
        <v>6893</v>
      </c>
      <c r="G143" s="198" t="s">
        <v>22</v>
      </c>
      <c r="H143" s="198"/>
      <c r="I143" s="198"/>
      <c r="J143" s="198"/>
      <c r="K143" s="198"/>
      <c r="L143" s="69"/>
      <c r="M143" s="69" t="s">
        <v>7007</v>
      </c>
      <c r="N143" s="198"/>
      <c r="O143" s="198"/>
      <c r="P143" s="198"/>
      <c r="Q143" s="69"/>
    </row>
    <row r="144">
      <c r="A144" s="69" t="s">
        <v>7261</v>
      </c>
      <c r="B144" s="268">
        <v>1940.0</v>
      </c>
      <c r="C144" s="198" t="s">
        <v>6889</v>
      </c>
      <c r="D144" s="198"/>
      <c r="E144" s="198"/>
      <c r="F144" s="198"/>
      <c r="G144" s="198"/>
      <c r="H144" s="198"/>
      <c r="I144" s="198"/>
      <c r="J144" s="269" t="s">
        <v>7262</v>
      </c>
      <c r="K144" s="198"/>
      <c r="L144" s="69"/>
      <c r="M144" s="69"/>
      <c r="N144" s="198"/>
      <c r="O144" s="198"/>
      <c r="P144" s="198"/>
      <c r="Q144" s="69"/>
    </row>
    <row r="145">
      <c r="A145" s="69" t="s">
        <v>7263</v>
      </c>
      <c r="B145" s="268">
        <v>1970.0</v>
      </c>
      <c r="C145" s="198" t="s">
        <v>6897</v>
      </c>
      <c r="D145" s="198" t="s">
        <v>654</v>
      </c>
      <c r="E145" s="270" t="s">
        <v>6898</v>
      </c>
      <c r="F145" s="198" t="s">
        <v>6893</v>
      </c>
      <c r="G145" s="198" t="s">
        <v>22</v>
      </c>
      <c r="H145" s="198"/>
      <c r="I145" s="198"/>
      <c r="J145" s="198"/>
      <c r="K145" s="198"/>
      <c r="L145" s="69"/>
      <c r="M145" s="69"/>
      <c r="N145" s="198"/>
      <c r="O145" s="198"/>
      <c r="P145" s="198"/>
      <c r="Q145" s="69"/>
    </row>
    <row r="146">
      <c r="A146" s="69" t="s">
        <v>7264</v>
      </c>
      <c r="B146" s="268">
        <v>1976.0</v>
      </c>
      <c r="C146" s="198" t="s">
        <v>6897</v>
      </c>
      <c r="D146" s="198" t="s">
        <v>654</v>
      </c>
      <c r="E146" s="270" t="s">
        <v>6898</v>
      </c>
      <c r="F146" s="198" t="s">
        <v>6893</v>
      </c>
      <c r="G146" s="198" t="s">
        <v>22</v>
      </c>
      <c r="H146" s="198"/>
      <c r="I146" s="198"/>
      <c r="J146" s="198"/>
      <c r="K146" s="198"/>
      <c r="L146" s="69"/>
      <c r="M146" s="69"/>
      <c r="N146" s="198"/>
      <c r="O146" s="198"/>
      <c r="P146" s="198"/>
      <c r="Q146" s="69"/>
    </row>
    <row r="147">
      <c r="A147" s="69" t="s">
        <v>7264</v>
      </c>
      <c r="B147" s="268">
        <v>1976.0</v>
      </c>
      <c r="C147" s="198" t="s">
        <v>6938</v>
      </c>
      <c r="D147" s="198"/>
      <c r="E147" s="198"/>
      <c r="F147" s="198"/>
      <c r="G147" s="198"/>
      <c r="H147" s="198"/>
      <c r="I147" s="198"/>
      <c r="J147" s="198"/>
      <c r="K147" s="198"/>
      <c r="L147" s="69"/>
      <c r="M147" s="69"/>
      <c r="N147" s="198"/>
      <c r="O147" s="198"/>
      <c r="P147" s="198"/>
      <c r="Q147" s="69" t="s">
        <v>7265</v>
      </c>
    </row>
    <row r="148">
      <c r="A148" s="272" t="s">
        <v>7264</v>
      </c>
      <c r="B148" s="273">
        <v>1976.0</v>
      </c>
      <c r="C148" s="274"/>
      <c r="D148" s="274"/>
      <c r="E148" s="274"/>
      <c r="F148" s="274"/>
      <c r="G148" s="274"/>
      <c r="H148" s="274"/>
      <c r="I148" s="274"/>
      <c r="J148" s="275" t="s">
        <v>7266</v>
      </c>
      <c r="K148" s="274"/>
      <c r="L148" s="272"/>
      <c r="M148" s="272"/>
      <c r="N148" s="274"/>
      <c r="O148" s="274"/>
      <c r="P148" s="274"/>
      <c r="Q148" s="272"/>
    </row>
    <row r="149">
      <c r="A149" s="69" t="s">
        <v>7267</v>
      </c>
      <c r="B149" s="268">
        <v>1973.0</v>
      </c>
      <c r="C149" s="198" t="s">
        <v>6897</v>
      </c>
      <c r="D149" s="198" t="s">
        <v>654</v>
      </c>
      <c r="E149" s="270" t="s">
        <v>6898</v>
      </c>
      <c r="F149" s="198" t="s">
        <v>6893</v>
      </c>
      <c r="G149" s="198" t="s">
        <v>6961</v>
      </c>
      <c r="H149" s="198"/>
      <c r="I149" s="198"/>
      <c r="J149" s="198"/>
      <c r="K149" s="198"/>
      <c r="L149" s="69"/>
      <c r="M149" s="69"/>
      <c r="N149" s="198"/>
      <c r="O149" s="198"/>
      <c r="P149" s="198"/>
      <c r="Q149" s="69"/>
    </row>
    <row r="150">
      <c r="A150" s="69" t="s">
        <v>7268</v>
      </c>
      <c r="B150" s="268">
        <v>1964.0</v>
      </c>
      <c r="C150" s="198" t="s">
        <v>6897</v>
      </c>
      <c r="D150" s="198" t="s">
        <v>654</v>
      </c>
      <c r="E150" s="270" t="s">
        <v>6898</v>
      </c>
      <c r="F150" s="198" t="s">
        <v>6893</v>
      </c>
      <c r="G150" s="198" t="s">
        <v>22</v>
      </c>
      <c r="H150" s="198"/>
      <c r="I150" s="198"/>
      <c r="J150" s="198"/>
      <c r="K150" s="198"/>
      <c r="L150" s="69"/>
      <c r="M150" s="69"/>
      <c r="N150" s="198"/>
      <c r="O150" s="198"/>
      <c r="P150" s="198"/>
      <c r="Q150" s="69"/>
    </row>
    <row r="151">
      <c r="A151" s="286" t="s">
        <v>7269</v>
      </c>
      <c r="B151" s="287"/>
      <c r="C151" s="287" t="s">
        <v>6897</v>
      </c>
      <c r="D151" s="287" t="s">
        <v>654</v>
      </c>
      <c r="E151" s="287"/>
      <c r="F151" s="287" t="s">
        <v>6893</v>
      </c>
      <c r="G151" s="287" t="s">
        <v>7107</v>
      </c>
      <c r="H151" s="287"/>
      <c r="I151" s="287"/>
      <c r="J151" s="287"/>
      <c r="K151" s="287"/>
      <c r="L151" s="287"/>
      <c r="M151" s="287"/>
      <c r="N151" s="287"/>
      <c r="O151" s="287"/>
      <c r="P151" s="287"/>
      <c r="Q151" s="287"/>
    </row>
    <row r="152">
      <c r="A152" s="286" t="s">
        <v>7270</v>
      </c>
      <c r="B152" s="287"/>
      <c r="C152" s="287"/>
      <c r="D152" s="287"/>
      <c r="E152" s="287"/>
      <c r="F152" s="287"/>
      <c r="G152" s="287"/>
      <c r="H152" s="287"/>
      <c r="I152" s="287"/>
      <c r="J152" s="287"/>
      <c r="K152" s="287"/>
      <c r="L152" s="287"/>
      <c r="M152" s="287"/>
      <c r="N152" s="287"/>
      <c r="O152" s="287"/>
      <c r="P152" s="287"/>
      <c r="Q152" s="287"/>
    </row>
    <row r="153">
      <c r="A153" s="69" t="s">
        <v>7271</v>
      </c>
      <c r="B153" s="268">
        <v>1945.0</v>
      </c>
      <c r="C153" s="198" t="s">
        <v>6897</v>
      </c>
      <c r="D153" s="198" t="s">
        <v>654</v>
      </c>
      <c r="E153" s="270" t="s">
        <v>6898</v>
      </c>
      <c r="F153" s="198" t="s">
        <v>6893</v>
      </c>
      <c r="G153" s="198" t="s">
        <v>114</v>
      </c>
      <c r="H153" s="198" t="s">
        <v>22</v>
      </c>
      <c r="I153" s="198"/>
      <c r="J153" s="198"/>
      <c r="K153" s="198"/>
      <c r="L153" s="69"/>
      <c r="M153" s="69" t="s">
        <v>7272</v>
      </c>
      <c r="N153" s="198"/>
      <c r="O153" s="198"/>
      <c r="P153" s="198"/>
      <c r="Q153" s="69"/>
    </row>
    <row r="154">
      <c r="A154" s="286" t="s">
        <v>7273</v>
      </c>
      <c r="B154" s="287"/>
      <c r="C154" s="287" t="s">
        <v>6897</v>
      </c>
      <c r="D154" s="287" t="s">
        <v>654</v>
      </c>
      <c r="E154" s="287"/>
      <c r="F154" s="287" t="s">
        <v>6893</v>
      </c>
      <c r="G154" s="287" t="s">
        <v>22</v>
      </c>
      <c r="H154" s="287"/>
      <c r="I154" s="287"/>
      <c r="J154" s="287"/>
      <c r="K154" s="287"/>
      <c r="L154" s="287"/>
      <c r="M154" s="287"/>
      <c r="N154" s="287"/>
      <c r="O154" s="287"/>
      <c r="P154" s="287"/>
      <c r="Q154" s="287"/>
    </row>
    <row r="155">
      <c r="A155" s="69" t="s">
        <v>7274</v>
      </c>
      <c r="B155" s="268">
        <v>1957.0</v>
      </c>
      <c r="C155" s="198" t="s">
        <v>6897</v>
      </c>
      <c r="D155" s="198" t="s">
        <v>654</v>
      </c>
      <c r="E155" s="270" t="s">
        <v>6898</v>
      </c>
      <c r="F155" s="198" t="s">
        <v>6893</v>
      </c>
      <c r="G155" s="198" t="s">
        <v>22</v>
      </c>
      <c r="H155" s="198"/>
      <c r="I155" s="198"/>
      <c r="J155" s="198"/>
      <c r="K155" s="198"/>
      <c r="L155" s="69"/>
      <c r="M155" s="69"/>
      <c r="N155" s="198"/>
      <c r="O155" s="198"/>
      <c r="P155" s="198"/>
      <c r="Q155" s="69"/>
    </row>
    <row r="156">
      <c r="A156" s="69" t="s">
        <v>7275</v>
      </c>
      <c r="B156" s="268">
        <v>1972.0</v>
      </c>
      <c r="C156" s="198" t="s">
        <v>6892</v>
      </c>
      <c r="D156" s="198" t="s">
        <v>654</v>
      </c>
      <c r="E156" s="198" t="s">
        <v>6929</v>
      </c>
      <c r="F156" s="198" t="s">
        <v>6893</v>
      </c>
      <c r="G156" s="198" t="s">
        <v>6930</v>
      </c>
      <c r="H156" s="198"/>
      <c r="I156" s="198"/>
      <c r="J156" s="42" t="s">
        <v>6939</v>
      </c>
      <c r="K156" s="268">
        <v>1972.0</v>
      </c>
      <c r="L156" s="69" t="s">
        <v>6940</v>
      </c>
      <c r="M156" s="69" t="s">
        <v>6941</v>
      </c>
      <c r="N156" s="198"/>
      <c r="O156" s="198" t="s">
        <v>6912</v>
      </c>
      <c r="P156" s="198" t="s">
        <v>6934</v>
      </c>
      <c r="Q156" s="69" t="s">
        <v>7212</v>
      </c>
    </row>
    <row r="157">
      <c r="A157" s="110" t="s">
        <v>7276</v>
      </c>
      <c r="B157" s="276">
        <v>1988.0</v>
      </c>
      <c r="C157" s="210" t="s">
        <v>6892</v>
      </c>
      <c r="D157" s="210" t="s">
        <v>654</v>
      </c>
      <c r="E157" s="210" t="s">
        <v>6929</v>
      </c>
      <c r="F157" s="210" t="s">
        <v>6893</v>
      </c>
      <c r="G157" s="210" t="s">
        <v>6930</v>
      </c>
      <c r="H157" s="210"/>
      <c r="I157" s="210"/>
      <c r="J157" s="277" t="s">
        <v>7277</v>
      </c>
      <c r="K157" s="276">
        <v>2000.0</v>
      </c>
      <c r="L157" s="110" t="s">
        <v>7278</v>
      </c>
      <c r="M157" s="110" t="s">
        <v>7279</v>
      </c>
      <c r="N157" s="210"/>
      <c r="O157" s="210" t="s">
        <v>7280</v>
      </c>
      <c r="P157" s="210" t="s">
        <v>6934</v>
      </c>
      <c r="Q157" s="110" t="s">
        <v>58</v>
      </c>
    </row>
    <row r="158">
      <c r="A158" s="286" t="s">
        <v>7281</v>
      </c>
      <c r="B158" s="287"/>
      <c r="C158" s="287" t="s">
        <v>6897</v>
      </c>
      <c r="D158" s="287" t="s">
        <v>654</v>
      </c>
      <c r="E158" s="287"/>
      <c r="F158" s="287" t="s">
        <v>6893</v>
      </c>
      <c r="G158" s="287" t="s">
        <v>7282</v>
      </c>
      <c r="H158" s="287"/>
      <c r="I158" s="287"/>
      <c r="J158" s="287"/>
      <c r="K158" s="287"/>
      <c r="L158" s="287"/>
      <c r="M158" s="287"/>
      <c r="N158" s="287"/>
      <c r="O158" s="287"/>
      <c r="P158" s="287"/>
      <c r="Q158" s="287"/>
    </row>
    <row r="159">
      <c r="A159" s="69" t="s">
        <v>7283</v>
      </c>
      <c r="B159" s="268">
        <v>1997.0</v>
      </c>
      <c r="C159" s="198" t="s">
        <v>6897</v>
      </c>
      <c r="D159" s="198" t="s">
        <v>654</v>
      </c>
      <c r="E159" s="270" t="s">
        <v>6898</v>
      </c>
      <c r="F159" s="198" t="s">
        <v>6893</v>
      </c>
      <c r="G159" s="198" t="s">
        <v>7052</v>
      </c>
      <c r="H159" s="198"/>
      <c r="I159" s="198"/>
      <c r="J159" s="198"/>
      <c r="K159" s="198"/>
      <c r="L159" s="69"/>
      <c r="M159" s="69"/>
      <c r="N159" s="198"/>
      <c r="O159" s="198"/>
      <c r="P159" s="198"/>
      <c r="Q159" s="69"/>
    </row>
    <row r="160">
      <c r="A160" s="69" t="s">
        <v>7284</v>
      </c>
      <c r="B160" s="268">
        <v>1998.0</v>
      </c>
      <c r="C160" s="198" t="s">
        <v>6897</v>
      </c>
      <c r="D160" s="198" t="s">
        <v>654</v>
      </c>
      <c r="E160" s="270" t="s">
        <v>6898</v>
      </c>
      <c r="F160" s="198" t="s">
        <v>6893</v>
      </c>
      <c r="G160" s="198" t="s">
        <v>7052</v>
      </c>
      <c r="H160" s="198"/>
      <c r="I160" s="198"/>
      <c r="J160" s="198"/>
      <c r="K160" s="198"/>
      <c r="L160" s="69"/>
      <c r="M160" s="69"/>
      <c r="N160" s="198"/>
      <c r="O160" s="198"/>
      <c r="P160" s="198"/>
      <c r="Q160" s="69"/>
    </row>
    <row r="161">
      <c r="A161" s="286" t="s">
        <v>7285</v>
      </c>
      <c r="B161" s="287"/>
      <c r="C161" s="287" t="s">
        <v>6897</v>
      </c>
      <c r="D161" s="287"/>
      <c r="E161" s="287"/>
      <c r="F161" s="287"/>
      <c r="G161" s="287" t="s">
        <v>7286</v>
      </c>
      <c r="H161" s="287"/>
      <c r="I161" s="287"/>
      <c r="J161" s="287"/>
      <c r="K161" s="287"/>
      <c r="L161" s="287"/>
      <c r="M161" s="287"/>
      <c r="N161" s="287"/>
      <c r="O161" s="287"/>
      <c r="P161" s="287"/>
      <c r="Q161" s="287"/>
    </row>
    <row r="162">
      <c r="A162" s="69" t="s">
        <v>7287</v>
      </c>
      <c r="B162" s="268">
        <v>1987.0</v>
      </c>
      <c r="C162" s="198" t="s">
        <v>6897</v>
      </c>
      <c r="D162" s="198" t="s">
        <v>654</v>
      </c>
      <c r="E162" s="270" t="s">
        <v>6898</v>
      </c>
      <c r="F162" s="198" t="s">
        <v>6893</v>
      </c>
      <c r="G162" s="198" t="s">
        <v>22</v>
      </c>
      <c r="H162" s="198"/>
      <c r="I162" s="198"/>
      <c r="J162" s="198"/>
      <c r="K162" s="198"/>
      <c r="L162" s="69"/>
      <c r="M162" s="69"/>
      <c r="N162" s="198"/>
      <c r="O162" s="198"/>
      <c r="P162" s="198"/>
      <c r="Q162" s="69" t="s">
        <v>7288</v>
      </c>
    </row>
    <row r="163">
      <c r="A163" s="69" t="s">
        <v>7289</v>
      </c>
      <c r="B163" s="268">
        <v>1962.0</v>
      </c>
      <c r="C163" s="198" t="s">
        <v>6897</v>
      </c>
      <c r="D163" s="198" t="s">
        <v>654</v>
      </c>
      <c r="E163" s="270" t="s">
        <v>6898</v>
      </c>
      <c r="F163" s="198" t="s">
        <v>6893</v>
      </c>
      <c r="G163" s="198" t="s">
        <v>22</v>
      </c>
      <c r="H163" s="198"/>
      <c r="I163" s="198"/>
      <c r="J163" s="198"/>
      <c r="K163" s="198"/>
      <c r="L163" s="69"/>
      <c r="M163" s="69" t="s">
        <v>7007</v>
      </c>
      <c r="N163" s="198"/>
      <c r="O163" s="198"/>
      <c r="P163" s="198"/>
      <c r="Q163" s="69"/>
    </row>
    <row r="164">
      <c r="A164" s="286" t="s">
        <v>7290</v>
      </c>
      <c r="B164" s="287"/>
      <c r="C164" s="287"/>
      <c r="D164" s="287"/>
      <c r="E164" s="287"/>
      <c r="F164" s="287"/>
      <c r="G164" s="287" t="s">
        <v>7107</v>
      </c>
      <c r="H164" s="287"/>
      <c r="I164" s="287"/>
      <c r="J164" s="287"/>
      <c r="K164" s="287"/>
      <c r="L164" s="287"/>
      <c r="M164" s="287"/>
      <c r="N164" s="287"/>
      <c r="O164" s="287"/>
      <c r="P164" s="287"/>
      <c r="Q164" s="287"/>
    </row>
    <row r="165">
      <c r="A165" s="286" t="s">
        <v>7291</v>
      </c>
      <c r="B165" s="287"/>
      <c r="C165" s="287"/>
      <c r="D165" s="287"/>
      <c r="E165" s="287"/>
      <c r="F165" s="287"/>
      <c r="G165" s="288" t="s">
        <v>7292</v>
      </c>
      <c r="H165" s="287"/>
      <c r="I165" s="287"/>
      <c r="J165" s="287"/>
      <c r="K165" s="287"/>
      <c r="L165" s="287"/>
      <c r="M165" s="287"/>
      <c r="N165" s="287"/>
      <c r="O165" s="287"/>
      <c r="P165" s="287"/>
      <c r="Q165" s="287"/>
    </row>
    <row r="166">
      <c r="A166" s="286" t="s">
        <v>7293</v>
      </c>
      <c r="B166" s="287"/>
      <c r="C166" s="287"/>
      <c r="D166" s="287"/>
      <c r="E166" s="287"/>
      <c r="F166" s="287"/>
      <c r="G166" s="287" t="s">
        <v>7294</v>
      </c>
      <c r="H166" s="287"/>
      <c r="I166" s="287"/>
      <c r="J166" s="287"/>
      <c r="K166" s="287"/>
      <c r="L166" s="287"/>
      <c r="M166" s="287"/>
      <c r="N166" s="287"/>
      <c r="O166" s="287"/>
      <c r="P166" s="287"/>
      <c r="Q166" s="287"/>
    </row>
    <row r="167">
      <c r="A167" s="69" t="s">
        <v>7295</v>
      </c>
      <c r="B167" s="268">
        <v>1975.0</v>
      </c>
      <c r="C167" s="198" t="s">
        <v>6892</v>
      </c>
      <c r="D167" s="198" t="s">
        <v>654</v>
      </c>
      <c r="E167" s="198" t="s">
        <v>6929</v>
      </c>
      <c r="F167" s="198" t="s">
        <v>6893</v>
      </c>
      <c r="G167" s="198" t="s">
        <v>6930</v>
      </c>
      <c r="H167" s="198"/>
      <c r="I167" s="198"/>
      <c r="J167" s="42" t="s">
        <v>6939</v>
      </c>
      <c r="K167" s="268">
        <v>1972.0</v>
      </c>
      <c r="L167" s="69" t="s">
        <v>6940</v>
      </c>
      <c r="M167" s="69" t="s">
        <v>6941</v>
      </c>
      <c r="N167" s="198"/>
      <c r="O167" s="198" t="s">
        <v>6912</v>
      </c>
      <c r="P167" s="198" t="s">
        <v>6934</v>
      </c>
      <c r="Q167" s="69" t="s">
        <v>7212</v>
      </c>
    </row>
    <row r="168">
      <c r="A168" s="69" t="s">
        <v>7296</v>
      </c>
      <c r="B168" s="268">
        <v>2015.0</v>
      </c>
      <c r="C168" s="198" t="s">
        <v>6892</v>
      </c>
      <c r="D168" s="198" t="s">
        <v>654</v>
      </c>
      <c r="E168" s="198" t="s">
        <v>6929</v>
      </c>
      <c r="F168" s="198" t="s">
        <v>6893</v>
      </c>
      <c r="G168" s="198" t="s">
        <v>6930</v>
      </c>
      <c r="H168" s="198"/>
      <c r="I168" s="198"/>
      <c r="J168" s="42" t="s">
        <v>5398</v>
      </c>
      <c r="K168" s="268">
        <v>2015.0</v>
      </c>
      <c r="L168" s="69" t="s">
        <v>5397</v>
      </c>
      <c r="M168" s="69" t="s">
        <v>7297</v>
      </c>
      <c r="N168" s="198"/>
      <c r="O168" s="198" t="s">
        <v>6912</v>
      </c>
      <c r="P168" s="198" t="s">
        <v>6934</v>
      </c>
      <c r="Q168" s="69" t="s">
        <v>58</v>
      </c>
    </row>
    <row r="169">
      <c r="A169" s="69" t="s">
        <v>7298</v>
      </c>
      <c r="B169" s="268">
        <v>1968.0</v>
      </c>
      <c r="C169" s="198" t="s">
        <v>6897</v>
      </c>
      <c r="D169" s="198" t="s">
        <v>654</v>
      </c>
      <c r="E169" s="270" t="s">
        <v>6898</v>
      </c>
      <c r="F169" s="198" t="s">
        <v>6893</v>
      </c>
      <c r="G169" s="198" t="s">
        <v>114</v>
      </c>
      <c r="H169" s="198" t="s">
        <v>22</v>
      </c>
      <c r="I169" s="198"/>
      <c r="J169" s="198"/>
      <c r="K169" s="198"/>
      <c r="L169" s="69"/>
      <c r="M169" s="69"/>
      <c r="N169" s="198"/>
      <c r="O169" s="198"/>
      <c r="P169" s="198"/>
      <c r="Q169" s="69"/>
    </row>
    <row r="170">
      <c r="A170" s="69" t="s">
        <v>7299</v>
      </c>
      <c r="B170" s="268">
        <v>1979.0</v>
      </c>
      <c r="C170" s="198" t="s">
        <v>6889</v>
      </c>
      <c r="D170" s="198"/>
      <c r="E170" s="198"/>
      <c r="F170" s="198"/>
      <c r="G170" s="198"/>
      <c r="H170" s="198"/>
      <c r="I170" s="198"/>
      <c r="J170" s="269" t="s">
        <v>7300</v>
      </c>
      <c r="K170" s="198"/>
      <c r="L170" s="69"/>
      <c r="M170" s="69"/>
      <c r="N170" s="198"/>
      <c r="O170" s="198"/>
      <c r="P170" s="198"/>
      <c r="Q170" s="69"/>
    </row>
    <row r="171">
      <c r="A171" s="69" t="s">
        <v>7299</v>
      </c>
      <c r="B171" s="268">
        <v>1979.0</v>
      </c>
      <c r="C171" s="198" t="s">
        <v>6897</v>
      </c>
      <c r="D171" s="198" t="s">
        <v>654</v>
      </c>
      <c r="E171" s="270" t="s">
        <v>6898</v>
      </c>
      <c r="F171" s="198" t="s">
        <v>6893</v>
      </c>
      <c r="G171" s="198" t="s">
        <v>22</v>
      </c>
      <c r="H171" s="198"/>
      <c r="I171" s="198"/>
      <c r="J171" s="198"/>
      <c r="K171" s="198"/>
      <c r="L171" s="69"/>
      <c r="M171" s="69"/>
      <c r="N171" s="198"/>
      <c r="O171" s="198"/>
      <c r="P171" s="198"/>
      <c r="Q171" s="69"/>
    </row>
    <row r="172">
      <c r="A172" s="69" t="s">
        <v>7301</v>
      </c>
      <c r="B172" s="268">
        <v>2000.0</v>
      </c>
      <c r="C172" s="198" t="s">
        <v>6897</v>
      </c>
      <c r="D172" s="198" t="s">
        <v>654</v>
      </c>
      <c r="E172" s="270" t="s">
        <v>6898</v>
      </c>
      <c r="F172" s="198" t="s">
        <v>6893</v>
      </c>
      <c r="G172" s="198" t="s">
        <v>7302</v>
      </c>
      <c r="H172" s="198"/>
      <c r="I172" s="198"/>
      <c r="J172" s="198"/>
      <c r="K172" s="198"/>
      <c r="L172" s="69"/>
      <c r="M172" s="69"/>
      <c r="N172" s="198"/>
      <c r="O172" s="198"/>
      <c r="P172" s="198"/>
      <c r="Q172" s="69"/>
    </row>
    <row r="173">
      <c r="A173" s="69" t="s">
        <v>7303</v>
      </c>
      <c r="B173" s="268">
        <v>1922.0</v>
      </c>
      <c r="C173" s="198" t="s">
        <v>6897</v>
      </c>
      <c r="D173" s="198" t="s">
        <v>654</v>
      </c>
      <c r="E173" s="270" t="s">
        <v>6898</v>
      </c>
      <c r="F173" s="198" t="s">
        <v>6893</v>
      </c>
      <c r="G173" s="198" t="s">
        <v>22</v>
      </c>
      <c r="H173" s="198"/>
      <c r="I173" s="198"/>
      <c r="J173" s="198"/>
      <c r="K173" s="198"/>
      <c r="L173" s="69"/>
      <c r="M173" s="69" t="s">
        <v>7304</v>
      </c>
      <c r="N173" s="198"/>
      <c r="O173" s="198"/>
      <c r="P173" s="198"/>
      <c r="Q173" s="69"/>
    </row>
    <row r="174">
      <c r="A174" s="69" t="s">
        <v>7305</v>
      </c>
      <c r="B174" s="268">
        <v>1940.0</v>
      </c>
      <c r="C174" s="198" t="s">
        <v>6897</v>
      </c>
      <c r="D174" s="198" t="s">
        <v>654</v>
      </c>
      <c r="E174" s="270" t="s">
        <v>6898</v>
      </c>
      <c r="F174" s="198" t="s">
        <v>6893</v>
      </c>
      <c r="G174" s="198" t="s">
        <v>22</v>
      </c>
      <c r="H174" s="198"/>
      <c r="I174" s="198"/>
      <c r="J174" s="198"/>
      <c r="K174" s="198"/>
      <c r="L174" s="69"/>
      <c r="M174" s="69" t="s">
        <v>7306</v>
      </c>
      <c r="N174" s="198"/>
      <c r="O174" s="198"/>
      <c r="P174" s="198"/>
      <c r="Q174" s="69"/>
    </row>
    <row r="175">
      <c r="A175" s="69" t="s">
        <v>7307</v>
      </c>
      <c r="B175" s="268">
        <v>1972.0</v>
      </c>
      <c r="C175" s="198" t="s">
        <v>6892</v>
      </c>
      <c r="D175" s="198" t="s">
        <v>654</v>
      </c>
      <c r="E175" s="198" t="s">
        <v>3114</v>
      </c>
      <c r="F175" s="198" t="s">
        <v>6893</v>
      </c>
      <c r="G175" s="198" t="s">
        <v>114</v>
      </c>
      <c r="H175" s="198"/>
      <c r="I175" s="198"/>
      <c r="J175" s="42" t="s">
        <v>7308</v>
      </c>
      <c r="K175" s="268">
        <v>1972.0</v>
      </c>
      <c r="L175" s="69" t="s">
        <v>7309</v>
      </c>
      <c r="M175" s="69" t="s">
        <v>7310</v>
      </c>
      <c r="N175" s="198"/>
      <c r="O175" s="198"/>
      <c r="P175" s="198"/>
      <c r="Q175" s="69" t="s">
        <v>7311</v>
      </c>
    </row>
    <row r="176">
      <c r="A176" s="69" t="s">
        <v>7312</v>
      </c>
      <c r="B176" s="268">
        <v>1940.0</v>
      </c>
      <c r="C176" s="198" t="s">
        <v>6897</v>
      </c>
      <c r="D176" s="198" t="s">
        <v>654</v>
      </c>
      <c r="E176" s="198"/>
      <c r="F176" s="198" t="s">
        <v>6893</v>
      </c>
      <c r="G176" s="198" t="s">
        <v>22</v>
      </c>
      <c r="H176" s="198"/>
      <c r="I176" s="198"/>
      <c r="J176" s="198"/>
      <c r="K176" s="198"/>
      <c r="L176" s="69"/>
      <c r="M176" s="69"/>
      <c r="N176" s="198"/>
      <c r="O176" s="198"/>
      <c r="P176" s="198"/>
      <c r="Q176" s="69" t="s">
        <v>7313</v>
      </c>
    </row>
    <row r="177">
      <c r="A177" s="69" t="s">
        <v>7312</v>
      </c>
      <c r="B177" s="268">
        <v>1940.0</v>
      </c>
      <c r="C177" s="198" t="s">
        <v>6892</v>
      </c>
      <c r="D177" s="198" t="s">
        <v>654</v>
      </c>
      <c r="E177" s="198" t="s">
        <v>6929</v>
      </c>
      <c r="F177" s="198" t="s">
        <v>6893</v>
      </c>
      <c r="G177" s="198" t="s">
        <v>7314</v>
      </c>
      <c r="H177" s="198"/>
      <c r="I177" s="198"/>
      <c r="J177" s="42" t="s">
        <v>7315</v>
      </c>
      <c r="K177" s="268">
        <v>1975.0</v>
      </c>
      <c r="L177" s="69" t="s">
        <v>7316</v>
      </c>
      <c r="M177" s="69" t="s">
        <v>7317</v>
      </c>
      <c r="N177" s="198"/>
      <c r="O177" s="198"/>
      <c r="P177" s="198"/>
      <c r="Q177" s="69"/>
    </row>
    <row r="178">
      <c r="A178" s="69" t="s">
        <v>7318</v>
      </c>
      <c r="B178" s="268">
        <v>1991.0</v>
      </c>
      <c r="C178" s="198" t="s">
        <v>6897</v>
      </c>
      <c r="D178" s="198" t="s">
        <v>654</v>
      </c>
      <c r="E178" s="270" t="s">
        <v>6898</v>
      </c>
      <c r="F178" s="198" t="s">
        <v>6893</v>
      </c>
      <c r="G178" s="198" t="s">
        <v>22</v>
      </c>
      <c r="H178" s="198"/>
      <c r="I178" s="198"/>
      <c r="J178" s="198"/>
      <c r="K178" s="198"/>
      <c r="L178" s="69"/>
      <c r="M178" s="69"/>
      <c r="N178" s="198"/>
      <c r="O178" s="198"/>
      <c r="P178" s="198"/>
      <c r="Q178" s="69"/>
    </row>
    <row r="179">
      <c r="A179" s="69" t="s">
        <v>7318</v>
      </c>
      <c r="B179" s="268">
        <v>1991.0</v>
      </c>
      <c r="C179" s="198" t="s">
        <v>6889</v>
      </c>
      <c r="D179" s="198"/>
      <c r="E179" s="198"/>
      <c r="F179" s="198"/>
      <c r="G179" s="198"/>
      <c r="H179" s="198"/>
      <c r="I179" s="198"/>
      <c r="J179" s="269" t="s">
        <v>7319</v>
      </c>
      <c r="K179" s="198"/>
      <c r="L179" s="69"/>
      <c r="M179" s="69"/>
      <c r="N179" s="198"/>
      <c r="O179" s="198"/>
      <c r="P179" s="198"/>
      <c r="Q179" s="69" t="s">
        <v>7320</v>
      </c>
    </row>
    <row r="180">
      <c r="A180" s="69" t="s">
        <v>7321</v>
      </c>
      <c r="B180" s="268">
        <v>1848.0</v>
      </c>
      <c r="C180" s="198" t="s">
        <v>6897</v>
      </c>
      <c r="D180" s="198" t="s">
        <v>654</v>
      </c>
      <c r="E180" s="198"/>
      <c r="F180" s="198" t="s">
        <v>6893</v>
      </c>
      <c r="G180" s="198" t="s">
        <v>22</v>
      </c>
      <c r="H180" s="198"/>
      <c r="I180" s="198"/>
      <c r="J180" s="198"/>
      <c r="K180" s="198"/>
      <c r="L180" s="69"/>
      <c r="M180" s="69"/>
      <c r="N180" s="198"/>
      <c r="O180" s="198"/>
      <c r="P180" s="198"/>
      <c r="Q180" s="69"/>
    </row>
    <row r="181">
      <c r="A181" s="69" t="s">
        <v>7321</v>
      </c>
      <c r="B181" s="268">
        <v>1848.0</v>
      </c>
      <c r="C181" s="198" t="s">
        <v>6892</v>
      </c>
      <c r="D181" s="198" t="s">
        <v>654</v>
      </c>
      <c r="E181" s="198" t="s">
        <v>6929</v>
      </c>
      <c r="F181" s="198" t="s">
        <v>6893</v>
      </c>
      <c r="G181" s="198" t="s">
        <v>7314</v>
      </c>
      <c r="H181" s="198"/>
      <c r="I181" s="198"/>
      <c r="J181" s="42" t="s">
        <v>7322</v>
      </c>
      <c r="K181" s="268">
        <v>2017.0</v>
      </c>
      <c r="L181" s="69" t="s">
        <v>7323</v>
      </c>
      <c r="M181" s="69" t="s">
        <v>7324</v>
      </c>
      <c r="N181" s="198"/>
      <c r="O181" s="198" t="s">
        <v>6912</v>
      </c>
      <c r="P181" s="198" t="s">
        <v>6934</v>
      </c>
      <c r="Q181" s="69" t="s">
        <v>58</v>
      </c>
    </row>
    <row r="182">
      <c r="A182" s="69" t="s">
        <v>7325</v>
      </c>
      <c r="B182" s="268">
        <v>1965.0</v>
      </c>
      <c r="C182" s="198" t="s">
        <v>6892</v>
      </c>
      <c r="D182" s="198" t="s">
        <v>654</v>
      </c>
      <c r="E182" s="198" t="s">
        <v>6929</v>
      </c>
      <c r="F182" s="198" t="s">
        <v>6893</v>
      </c>
      <c r="G182" s="198" t="s">
        <v>6930</v>
      </c>
      <c r="H182" s="198"/>
      <c r="I182" s="198"/>
      <c r="J182" s="42" t="s">
        <v>7326</v>
      </c>
      <c r="K182" s="268">
        <v>2005.0</v>
      </c>
      <c r="L182" s="69" t="s">
        <v>7327</v>
      </c>
      <c r="M182" s="69" t="s">
        <v>7328</v>
      </c>
      <c r="N182" s="198"/>
      <c r="O182" s="198" t="s">
        <v>6912</v>
      </c>
      <c r="P182" s="198" t="s">
        <v>6934</v>
      </c>
      <c r="Q182" s="69" t="s">
        <v>7212</v>
      </c>
    </row>
    <row r="183">
      <c r="A183" s="286" t="s">
        <v>7329</v>
      </c>
      <c r="B183" s="287"/>
      <c r="C183" s="287"/>
      <c r="D183" s="287"/>
      <c r="E183" s="287"/>
      <c r="F183" s="287" t="s">
        <v>6893</v>
      </c>
      <c r="G183" s="287" t="s">
        <v>22</v>
      </c>
      <c r="H183" s="287"/>
      <c r="I183" s="287"/>
      <c r="J183" s="287"/>
      <c r="K183" s="287"/>
      <c r="L183" s="287"/>
      <c r="M183" s="287"/>
      <c r="N183" s="287"/>
      <c r="O183" s="287"/>
      <c r="P183" s="287"/>
      <c r="Q183" s="286" t="s">
        <v>7330</v>
      </c>
    </row>
    <row r="184">
      <c r="A184" s="286" t="s">
        <v>7331</v>
      </c>
      <c r="B184" s="287"/>
      <c r="C184" s="287"/>
      <c r="D184" s="287"/>
      <c r="E184" s="287"/>
      <c r="F184" s="287"/>
      <c r="G184" s="287" t="s">
        <v>7332</v>
      </c>
      <c r="H184" s="287"/>
      <c r="I184" s="287"/>
      <c r="J184" s="287"/>
      <c r="K184" s="287"/>
      <c r="L184" s="287"/>
      <c r="M184" s="287"/>
      <c r="N184" s="287"/>
      <c r="O184" s="287"/>
      <c r="P184" s="287"/>
      <c r="Q184" s="287"/>
    </row>
    <row r="185">
      <c r="A185" s="69" t="s">
        <v>7333</v>
      </c>
      <c r="B185" s="268">
        <v>1940.0</v>
      </c>
      <c r="C185" s="198" t="s">
        <v>6897</v>
      </c>
      <c r="D185" s="198" t="s">
        <v>654</v>
      </c>
      <c r="E185" s="270" t="s">
        <v>6898</v>
      </c>
      <c r="F185" s="198" t="s">
        <v>6893</v>
      </c>
      <c r="G185" s="198" t="s">
        <v>22</v>
      </c>
      <c r="H185" s="198"/>
      <c r="I185" s="198"/>
      <c r="J185" s="198"/>
      <c r="K185" s="198"/>
      <c r="L185" s="69"/>
      <c r="M185" s="69" t="s">
        <v>7334</v>
      </c>
      <c r="N185" s="198"/>
      <c r="O185" s="198"/>
      <c r="P185" s="198"/>
      <c r="Q185" s="69"/>
    </row>
    <row r="186">
      <c r="A186" s="286" t="s">
        <v>7335</v>
      </c>
      <c r="B186" s="287"/>
      <c r="C186" s="287"/>
      <c r="D186" s="287"/>
      <c r="E186" s="287"/>
      <c r="F186" s="287"/>
      <c r="G186" s="287" t="s">
        <v>1182</v>
      </c>
      <c r="H186" s="287"/>
      <c r="I186" s="287"/>
      <c r="J186" s="287"/>
      <c r="K186" s="287"/>
      <c r="L186" s="287"/>
      <c r="M186" s="287"/>
      <c r="N186" s="287"/>
      <c r="O186" s="287"/>
      <c r="P186" s="287"/>
      <c r="Q186" s="287"/>
    </row>
    <row r="187">
      <c r="A187" s="69" t="s">
        <v>7336</v>
      </c>
      <c r="B187" s="268">
        <v>1979.0</v>
      </c>
      <c r="C187" s="198" t="s">
        <v>7337</v>
      </c>
      <c r="D187" s="198" t="s">
        <v>654</v>
      </c>
      <c r="E187" s="270" t="s">
        <v>6898</v>
      </c>
      <c r="F187" s="198" t="s">
        <v>6893</v>
      </c>
      <c r="G187" s="198" t="s">
        <v>7338</v>
      </c>
      <c r="H187" s="198"/>
      <c r="I187" s="198"/>
      <c r="J187" s="198"/>
      <c r="K187" s="198"/>
      <c r="L187" s="69"/>
      <c r="M187" s="69"/>
      <c r="N187" s="198"/>
      <c r="O187" s="198"/>
      <c r="P187" s="198"/>
      <c r="Q187" s="69" t="s">
        <v>7339</v>
      </c>
    </row>
    <row r="188">
      <c r="A188" s="286" t="s">
        <v>7340</v>
      </c>
      <c r="B188" s="287"/>
      <c r="C188" s="287"/>
      <c r="D188" s="287"/>
      <c r="E188" s="287"/>
      <c r="F188" s="287"/>
      <c r="G188" s="287" t="s">
        <v>1182</v>
      </c>
      <c r="H188" s="287"/>
      <c r="I188" s="287"/>
      <c r="J188" s="287"/>
      <c r="K188" s="287"/>
      <c r="L188" s="287"/>
      <c r="M188" s="287"/>
      <c r="N188" s="287"/>
      <c r="O188" s="287"/>
      <c r="P188" s="287"/>
      <c r="Q188" s="287"/>
    </row>
    <row r="189">
      <c r="A189" s="69" t="s">
        <v>7341</v>
      </c>
      <c r="B189" s="268">
        <v>-150.0</v>
      </c>
      <c r="C189" s="198" t="s">
        <v>6897</v>
      </c>
      <c r="D189" s="198" t="s">
        <v>654</v>
      </c>
      <c r="E189" s="270" t="s">
        <v>7342</v>
      </c>
      <c r="F189" s="198" t="s">
        <v>6893</v>
      </c>
      <c r="G189" s="198" t="s">
        <v>114</v>
      </c>
      <c r="H189" s="198"/>
      <c r="I189" s="198"/>
      <c r="J189" s="198"/>
      <c r="K189" s="198"/>
      <c r="L189" s="69"/>
      <c r="M189" s="69"/>
      <c r="N189" s="198"/>
      <c r="O189" s="198"/>
      <c r="P189" s="198"/>
      <c r="Q189" s="69"/>
    </row>
    <row r="190">
      <c r="A190" s="69" t="s">
        <v>7343</v>
      </c>
      <c r="B190" s="268">
        <v>-300.0</v>
      </c>
      <c r="C190" s="198" t="s">
        <v>6897</v>
      </c>
      <c r="D190" s="198" t="s">
        <v>654</v>
      </c>
      <c r="E190" s="270" t="s">
        <v>6898</v>
      </c>
      <c r="F190" s="198" t="s">
        <v>6893</v>
      </c>
      <c r="G190" s="198" t="s">
        <v>22</v>
      </c>
      <c r="H190" s="198"/>
      <c r="I190" s="198"/>
      <c r="J190" s="198"/>
      <c r="K190" s="198"/>
      <c r="L190" s="69"/>
      <c r="M190" s="69"/>
      <c r="N190" s="198"/>
      <c r="O190" s="198"/>
      <c r="P190" s="198"/>
      <c r="Q190" s="69" t="s">
        <v>7344</v>
      </c>
    </row>
    <row r="191">
      <c r="A191" s="69" t="s">
        <v>7343</v>
      </c>
      <c r="B191" s="268">
        <v>-300.0</v>
      </c>
      <c r="C191" s="198" t="s">
        <v>6889</v>
      </c>
      <c r="D191" s="198"/>
      <c r="E191" s="198"/>
      <c r="F191" s="198"/>
      <c r="G191" s="198"/>
      <c r="H191" s="198"/>
      <c r="I191" s="198"/>
      <c r="J191" s="269" t="s">
        <v>7345</v>
      </c>
      <c r="K191" s="198"/>
      <c r="L191" s="69" t="s">
        <v>7346</v>
      </c>
      <c r="M191" s="69" t="s">
        <v>7347</v>
      </c>
      <c r="N191" s="198"/>
      <c r="O191" s="198"/>
      <c r="P191" s="198"/>
      <c r="Q191" s="69"/>
    </row>
    <row r="192">
      <c r="A192" s="69" t="s">
        <v>7348</v>
      </c>
      <c r="B192" s="268">
        <v>1940.0</v>
      </c>
      <c r="C192" s="198" t="s">
        <v>6897</v>
      </c>
      <c r="D192" s="198" t="s">
        <v>654</v>
      </c>
      <c r="E192" s="198"/>
      <c r="F192" s="198" t="s">
        <v>6893</v>
      </c>
      <c r="G192" s="198" t="s">
        <v>22</v>
      </c>
      <c r="H192" s="198"/>
      <c r="I192" s="198"/>
      <c r="J192" s="198"/>
      <c r="K192" s="198"/>
      <c r="L192" s="69"/>
      <c r="M192" s="69"/>
      <c r="N192" s="198"/>
      <c r="O192" s="198"/>
      <c r="P192" s="198"/>
      <c r="Q192" s="69" t="s">
        <v>7349</v>
      </c>
    </row>
    <row r="193">
      <c r="A193" s="110" t="s">
        <v>7348</v>
      </c>
      <c r="B193" s="276">
        <v>1940.0</v>
      </c>
      <c r="C193" s="290" t="s">
        <v>7350</v>
      </c>
      <c r="D193" s="210"/>
      <c r="E193" s="210"/>
      <c r="F193" s="210"/>
      <c r="G193" s="210" t="s">
        <v>6894</v>
      </c>
      <c r="H193" s="210"/>
      <c r="I193" s="210"/>
      <c r="J193" s="210"/>
      <c r="K193" s="210"/>
      <c r="L193" s="210"/>
      <c r="M193" s="210"/>
      <c r="N193" s="210"/>
      <c r="O193" s="210"/>
      <c r="P193" s="210"/>
      <c r="Q193" s="110"/>
    </row>
    <row r="194">
      <c r="A194" s="110" t="s">
        <v>7348</v>
      </c>
      <c r="B194" s="276">
        <v>1940.0</v>
      </c>
      <c r="C194" s="210" t="s">
        <v>6892</v>
      </c>
      <c r="D194" s="210" t="s">
        <v>654</v>
      </c>
      <c r="E194" s="210" t="s">
        <v>2019</v>
      </c>
      <c r="F194" s="210" t="s">
        <v>6893</v>
      </c>
      <c r="G194" s="210" t="s">
        <v>6894</v>
      </c>
      <c r="H194" s="210"/>
      <c r="I194" s="210"/>
      <c r="J194" s="277" t="s">
        <v>6942</v>
      </c>
      <c r="K194" s="276">
        <v>1976.0</v>
      </c>
      <c r="L194" s="110" t="s">
        <v>2429</v>
      </c>
      <c r="M194" s="110" t="s">
        <v>6943</v>
      </c>
      <c r="N194" s="210"/>
      <c r="O194" s="210"/>
      <c r="P194" s="210"/>
      <c r="Q194" s="210"/>
    </row>
    <row r="195">
      <c r="A195" s="110" t="s">
        <v>7348</v>
      </c>
      <c r="B195" s="276">
        <v>1940.0</v>
      </c>
      <c r="C195" s="210" t="s">
        <v>7014</v>
      </c>
      <c r="D195" s="210" t="s">
        <v>654</v>
      </c>
      <c r="E195" s="210"/>
      <c r="F195" s="210" t="s">
        <v>6893</v>
      </c>
      <c r="G195" s="210" t="s">
        <v>6894</v>
      </c>
      <c r="H195" s="210"/>
      <c r="I195" s="210"/>
      <c r="J195" s="277" t="s">
        <v>7351</v>
      </c>
      <c r="K195" s="276">
        <v>1978.0</v>
      </c>
      <c r="L195" s="110" t="s">
        <v>6976</v>
      </c>
      <c r="M195" s="110" t="s">
        <v>7352</v>
      </c>
      <c r="N195" s="210"/>
      <c r="O195" s="210"/>
      <c r="P195" s="210"/>
      <c r="Q195" s="210"/>
    </row>
    <row r="196">
      <c r="A196" s="69" t="s">
        <v>7353</v>
      </c>
      <c r="B196" s="268">
        <v>1940.0</v>
      </c>
      <c r="C196" s="198" t="s">
        <v>6897</v>
      </c>
      <c r="D196" s="198" t="s">
        <v>654</v>
      </c>
      <c r="E196" s="270" t="s">
        <v>6898</v>
      </c>
      <c r="F196" s="198" t="s">
        <v>6893</v>
      </c>
      <c r="G196" s="198" t="s">
        <v>22</v>
      </c>
      <c r="H196" s="198"/>
      <c r="I196" s="198"/>
      <c r="J196" s="198"/>
      <c r="K196" s="198"/>
      <c r="L196" s="69"/>
      <c r="M196" s="69" t="s">
        <v>7007</v>
      </c>
      <c r="N196" s="198"/>
      <c r="O196" s="198"/>
      <c r="P196" s="198"/>
      <c r="Q196" s="69"/>
    </row>
    <row r="197">
      <c r="A197" s="286" t="s">
        <v>7354</v>
      </c>
      <c r="B197" s="287"/>
      <c r="C197" s="287"/>
      <c r="D197" s="287"/>
      <c r="E197" s="287"/>
      <c r="F197" s="287"/>
      <c r="G197" s="287"/>
      <c r="H197" s="287"/>
      <c r="I197" s="287"/>
      <c r="J197" s="287"/>
      <c r="K197" s="287"/>
      <c r="L197" s="287"/>
      <c r="M197" s="287"/>
      <c r="N197" s="287"/>
      <c r="O197" s="287"/>
      <c r="P197" s="287"/>
      <c r="Q197" s="287"/>
    </row>
    <row r="198">
      <c r="A198" s="69" t="s">
        <v>7355</v>
      </c>
      <c r="B198" s="268">
        <v>1962.0</v>
      </c>
      <c r="C198" s="198" t="s">
        <v>6892</v>
      </c>
      <c r="D198" s="198" t="s">
        <v>654</v>
      </c>
      <c r="E198" s="270" t="s">
        <v>7356</v>
      </c>
      <c r="F198" s="198" t="s">
        <v>6893</v>
      </c>
      <c r="G198" s="198" t="s">
        <v>6894</v>
      </c>
      <c r="H198" s="198"/>
      <c r="I198" s="198"/>
      <c r="J198" s="42" t="s">
        <v>7357</v>
      </c>
      <c r="K198" s="268">
        <v>1962.0</v>
      </c>
      <c r="L198" s="69" t="s">
        <v>7358</v>
      </c>
      <c r="M198" s="69" t="s">
        <v>7359</v>
      </c>
      <c r="N198" s="198"/>
      <c r="O198" s="198"/>
      <c r="P198" s="198"/>
      <c r="Q198" s="69" t="s">
        <v>7360</v>
      </c>
    </row>
    <row r="199">
      <c r="A199" s="69" t="s">
        <v>7355</v>
      </c>
      <c r="B199" s="268">
        <v>1962.0</v>
      </c>
      <c r="C199" s="198"/>
      <c r="D199" s="198"/>
      <c r="E199" s="198"/>
      <c r="F199" s="198"/>
      <c r="G199" s="198"/>
      <c r="H199" s="198"/>
      <c r="I199" s="198"/>
      <c r="J199" s="269" t="s">
        <v>7361</v>
      </c>
      <c r="K199" s="198"/>
      <c r="L199" s="69"/>
      <c r="M199" s="69"/>
      <c r="N199" s="198"/>
      <c r="O199" s="198"/>
      <c r="P199" s="198"/>
      <c r="Q199" s="69"/>
    </row>
    <row r="200">
      <c r="A200" s="69" t="s">
        <v>7362</v>
      </c>
      <c r="B200" s="268">
        <v>1962.0</v>
      </c>
      <c r="C200" s="198" t="s">
        <v>6892</v>
      </c>
      <c r="D200" s="198" t="s">
        <v>654</v>
      </c>
      <c r="E200" s="270" t="s">
        <v>7363</v>
      </c>
      <c r="F200" s="198" t="s">
        <v>6893</v>
      </c>
      <c r="G200" s="198" t="s">
        <v>7104</v>
      </c>
      <c r="H200" s="198"/>
      <c r="I200" s="198"/>
      <c r="J200" s="42" t="s">
        <v>7357</v>
      </c>
      <c r="K200" s="268">
        <v>1962.0</v>
      </c>
      <c r="L200" s="69"/>
      <c r="M200" s="69" t="s">
        <v>7359</v>
      </c>
      <c r="N200" s="198"/>
      <c r="O200" s="198"/>
      <c r="P200" s="198"/>
      <c r="Q200" s="69"/>
    </row>
    <row r="201">
      <c r="A201" s="69" t="s">
        <v>7364</v>
      </c>
      <c r="B201" s="268">
        <v>1962.0</v>
      </c>
      <c r="C201" s="198" t="s">
        <v>6892</v>
      </c>
      <c r="D201" s="198" t="s">
        <v>654</v>
      </c>
      <c r="E201" s="270" t="s">
        <v>7363</v>
      </c>
      <c r="F201" s="198" t="s">
        <v>6893</v>
      </c>
      <c r="G201" s="198" t="s">
        <v>7104</v>
      </c>
      <c r="H201" s="198"/>
      <c r="I201" s="198"/>
      <c r="J201" s="42" t="s">
        <v>7357</v>
      </c>
      <c r="K201" s="268">
        <v>1962.0</v>
      </c>
      <c r="L201" s="69"/>
      <c r="M201" s="69" t="s">
        <v>7359</v>
      </c>
      <c r="N201" s="198"/>
      <c r="O201" s="198"/>
      <c r="P201" s="198"/>
      <c r="Q201" s="69"/>
    </row>
    <row r="202">
      <c r="A202" s="69" t="s">
        <v>7365</v>
      </c>
      <c r="B202" s="268">
        <v>1962.0</v>
      </c>
      <c r="C202" s="198" t="s">
        <v>6892</v>
      </c>
      <c r="D202" s="198" t="s">
        <v>654</v>
      </c>
      <c r="E202" s="270" t="s">
        <v>7363</v>
      </c>
      <c r="F202" s="198" t="s">
        <v>6893</v>
      </c>
      <c r="G202" s="198" t="s">
        <v>7104</v>
      </c>
      <c r="H202" s="198"/>
      <c r="I202" s="198"/>
      <c r="J202" s="42" t="s">
        <v>7357</v>
      </c>
      <c r="K202" s="268">
        <v>1962.0</v>
      </c>
      <c r="L202" s="69"/>
      <c r="M202" s="69" t="s">
        <v>7359</v>
      </c>
      <c r="N202" s="198"/>
      <c r="O202" s="198"/>
      <c r="P202" s="198"/>
      <c r="Q202" s="69"/>
    </row>
    <row r="203">
      <c r="A203" s="69" t="s">
        <v>7366</v>
      </c>
      <c r="B203" s="268">
        <v>1966.0</v>
      </c>
      <c r="C203" s="198" t="s">
        <v>6897</v>
      </c>
      <c r="D203" s="198" t="s">
        <v>654</v>
      </c>
      <c r="E203" s="270" t="s">
        <v>6898</v>
      </c>
      <c r="F203" s="198" t="s">
        <v>6893</v>
      </c>
      <c r="G203" s="198" t="s">
        <v>22</v>
      </c>
      <c r="H203" s="198"/>
      <c r="I203" s="198"/>
      <c r="J203" s="198"/>
      <c r="K203" s="198"/>
      <c r="L203" s="69"/>
      <c r="M203" s="69" t="s">
        <v>7007</v>
      </c>
      <c r="N203" s="198"/>
      <c r="O203" s="198"/>
      <c r="P203" s="198"/>
      <c r="Q203" s="69"/>
    </row>
    <row r="204">
      <c r="A204" s="69" t="s">
        <v>7367</v>
      </c>
      <c r="B204" s="268">
        <v>1940.0</v>
      </c>
      <c r="C204" s="198" t="s">
        <v>6897</v>
      </c>
      <c r="D204" s="198" t="s">
        <v>654</v>
      </c>
      <c r="E204" s="270" t="s">
        <v>6898</v>
      </c>
      <c r="F204" s="198" t="s">
        <v>6893</v>
      </c>
      <c r="G204" s="198" t="s">
        <v>22</v>
      </c>
      <c r="H204" s="198"/>
      <c r="I204" s="198"/>
      <c r="J204" s="198"/>
      <c r="K204" s="198"/>
      <c r="L204" s="69"/>
      <c r="M204" s="69" t="s">
        <v>7007</v>
      </c>
      <c r="N204" s="198"/>
      <c r="O204" s="198"/>
      <c r="P204" s="198"/>
      <c r="Q204" s="69"/>
    </row>
    <row r="205">
      <c r="A205" s="69" t="s">
        <v>7368</v>
      </c>
      <c r="B205" s="268">
        <v>1992.0</v>
      </c>
      <c r="C205" s="198" t="s">
        <v>6897</v>
      </c>
      <c r="D205" s="198" t="s">
        <v>654</v>
      </c>
      <c r="E205" s="270" t="s">
        <v>6898</v>
      </c>
      <c r="F205" s="198" t="s">
        <v>6893</v>
      </c>
      <c r="G205" s="198" t="s">
        <v>22</v>
      </c>
      <c r="H205" s="198"/>
      <c r="I205" s="198"/>
      <c r="J205" s="198"/>
      <c r="K205" s="198"/>
      <c r="L205" s="69"/>
      <c r="M205" s="69"/>
      <c r="N205" s="198"/>
      <c r="O205" s="198"/>
      <c r="P205" s="198"/>
      <c r="Q205" s="69"/>
    </row>
  </sheetData>
  <hyperlinks>
    <hyperlink r:id="rId1" ref="J2"/>
    <hyperlink r:id="rId2" ref="J6"/>
    <hyperlink r:id="rId3" ref="J7"/>
    <hyperlink r:id="rId4" ref="J9"/>
    <hyperlink r:id="rId5" ref="J10"/>
    <hyperlink r:id="rId6" ref="J11"/>
    <hyperlink r:id="rId7" ref="J12"/>
    <hyperlink r:id="rId8" ref="J13"/>
    <hyperlink r:id="rId9" ref="J15"/>
    <hyperlink r:id="rId10" ref="J16"/>
    <hyperlink r:id="rId11" ref="J17"/>
    <hyperlink r:id="rId12" ref="J19"/>
    <hyperlink r:id="rId13" ref="J20"/>
    <hyperlink r:id="rId14" ref="J21"/>
    <hyperlink r:id="rId15" ref="J22"/>
    <hyperlink r:id="rId16" ref="J23"/>
    <hyperlink r:id="rId17" ref="J24"/>
    <hyperlink r:id="rId18" ref="J25"/>
    <hyperlink r:id="rId19" ref="J26"/>
    <hyperlink r:id="rId20" ref="J27"/>
    <hyperlink r:id="rId21" ref="J28"/>
    <hyperlink r:id="rId22" ref="J29"/>
    <hyperlink r:id="rId23" ref="J31"/>
    <hyperlink r:id="rId24" ref="J32"/>
    <hyperlink r:id="rId25" ref="J33"/>
    <hyperlink r:id="rId26" ref="J35"/>
    <hyperlink r:id="rId27" ref="J37"/>
    <hyperlink r:id="rId28" ref="J38"/>
    <hyperlink r:id="rId29" ref="J39"/>
    <hyperlink r:id="rId30" ref="J41"/>
    <hyperlink r:id="rId31" ref="J42"/>
    <hyperlink r:id="rId32" ref="J43"/>
    <hyperlink r:id="rId33" ref="J44"/>
    <hyperlink r:id="rId34" ref="J45"/>
    <hyperlink r:id="rId35" ref="J46"/>
    <hyperlink r:id="rId36" ref="J47"/>
    <hyperlink r:id="rId37" ref="J48"/>
    <hyperlink r:id="rId38" ref="J49"/>
    <hyperlink r:id="rId39" ref="J50"/>
    <hyperlink r:id="rId40" ref="J51"/>
    <hyperlink r:id="rId41" ref="J52"/>
    <hyperlink r:id="rId42" ref="J54"/>
    <hyperlink r:id="rId43" ref="J55"/>
    <hyperlink r:id="rId44" ref="J57"/>
    <hyperlink r:id="rId45" ref="J59"/>
    <hyperlink r:id="rId46" ref="J60"/>
    <hyperlink r:id="rId47" ref="J61"/>
    <hyperlink r:id="rId48" ref="J62"/>
    <hyperlink r:id="rId49" ref="J63"/>
    <hyperlink r:id="rId50" ref="J64"/>
    <hyperlink r:id="rId51" ref="J67"/>
    <hyperlink r:id="rId52" ref="J68"/>
    <hyperlink r:id="rId53" ref="J69"/>
    <hyperlink r:id="rId54" ref="J71"/>
    <hyperlink r:id="rId55" ref="J72"/>
    <hyperlink r:id="rId56" ref="J76"/>
    <hyperlink r:id="rId57" ref="J78"/>
    <hyperlink r:id="rId58" ref="J83"/>
    <hyperlink r:id="rId59" ref="J84"/>
    <hyperlink r:id="rId60" ref="J88"/>
    <hyperlink r:id="rId61" ref="J91"/>
    <hyperlink r:id="rId62" ref="J92"/>
    <hyperlink r:id="rId63" ref="Q92"/>
    <hyperlink r:id="rId64" ref="J97"/>
    <hyperlink r:id="rId65" ref="J98"/>
    <hyperlink r:id="rId66" ref="J99"/>
    <hyperlink r:id="rId67" ref="J103"/>
    <hyperlink r:id="rId68" ref="J104"/>
    <hyperlink r:id="rId69" ref="J105"/>
    <hyperlink r:id="rId70" ref="J106"/>
    <hyperlink r:id="rId71" ref="J107"/>
    <hyperlink r:id="rId72" ref="J108"/>
    <hyperlink r:id="rId73" ref="J109"/>
    <hyperlink r:id="rId74" ref="J110"/>
    <hyperlink r:id="rId75" ref="J111"/>
    <hyperlink r:id="rId76" ref="J112"/>
    <hyperlink r:id="rId77" ref="J114"/>
    <hyperlink r:id="rId78" ref="J116"/>
    <hyperlink r:id="rId79" ref="J117"/>
    <hyperlink r:id="rId80" ref="J118"/>
    <hyperlink r:id="rId81" ref="J119"/>
    <hyperlink r:id="rId82" ref="J120"/>
    <hyperlink r:id="rId83" ref="J121"/>
    <hyperlink r:id="rId84" ref="J122"/>
    <hyperlink r:id="rId85" ref="J124"/>
    <hyperlink r:id="rId86" ref="J126"/>
    <hyperlink r:id="rId87" ref="J127"/>
    <hyperlink r:id="rId88" ref="J128"/>
    <hyperlink r:id="rId89" ref="J130"/>
    <hyperlink r:id="rId90" ref="J131"/>
    <hyperlink r:id="rId91" ref="J135"/>
    <hyperlink r:id="rId92" ref="J136"/>
    <hyperlink r:id="rId93" ref="J141"/>
    <hyperlink r:id="rId94" ref="J144"/>
    <hyperlink r:id="rId95" ref="J148"/>
    <hyperlink r:id="rId96" ref="J156"/>
    <hyperlink r:id="rId97" ref="J157"/>
    <hyperlink r:id="rId98" ref="J167"/>
    <hyperlink r:id="rId99" ref="J168"/>
    <hyperlink r:id="rId100" ref="J170"/>
    <hyperlink r:id="rId101" ref="J175"/>
    <hyperlink r:id="rId102" ref="J177"/>
    <hyperlink r:id="rId103" ref="J179"/>
    <hyperlink r:id="rId104" ref="J181"/>
    <hyperlink r:id="rId105" ref="J182"/>
    <hyperlink r:id="rId106" ref="J191"/>
    <hyperlink r:id="rId107" ref="J194"/>
    <hyperlink r:id="rId108" ref="J195"/>
    <hyperlink r:id="rId109" ref="J198"/>
    <hyperlink r:id="rId110" ref="J199"/>
    <hyperlink r:id="rId111" ref="J200"/>
    <hyperlink r:id="rId112" ref="J201"/>
    <hyperlink r:id="rId113" ref="J202"/>
  </hyperlinks>
  <drawing r:id="rId11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hidden="1" min="1" max="1" width="7.5"/>
    <col customWidth="1" min="2" max="2" width="16.25"/>
    <col customWidth="1" min="3" max="3" width="14.13"/>
  </cols>
  <sheetData>
    <row r="1">
      <c r="A1" s="74" t="s">
        <v>17</v>
      </c>
      <c r="B1" s="74" t="s">
        <v>7369</v>
      </c>
      <c r="C1" s="75" t="s">
        <v>7370</v>
      </c>
      <c r="D1" s="74" t="s">
        <v>1695</v>
      </c>
      <c r="E1" s="74" t="s">
        <v>1697</v>
      </c>
      <c r="F1" s="75" t="s">
        <v>1704</v>
      </c>
      <c r="G1" s="75" t="s">
        <v>1705</v>
      </c>
      <c r="H1" s="75" t="s">
        <v>1706</v>
      </c>
      <c r="I1" s="74" t="s">
        <v>7371</v>
      </c>
      <c r="J1" s="75" t="s">
        <v>1707</v>
      </c>
      <c r="K1" s="16" t="s">
        <v>7372</v>
      </c>
      <c r="L1" s="39" t="s">
        <v>7373</v>
      </c>
      <c r="M1" s="16" t="s">
        <v>7374</v>
      </c>
      <c r="N1" s="16" t="s">
        <v>7375</v>
      </c>
      <c r="O1" s="16" t="s">
        <v>6881</v>
      </c>
      <c r="P1" s="16" t="s">
        <v>9</v>
      </c>
      <c r="Q1" s="16" t="s">
        <v>7376</v>
      </c>
      <c r="R1" s="294" t="s">
        <v>7377</v>
      </c>
      <c r="S1" s="16" t="s">
        <v>7378</v>
      </c>
      <c r="T1" s="16" t="s">
        <v>7379</v>
      </c>
      <c r="U1" s="294" t="s">
        <v>7380</v>
      </c>
      <c r="V1" s="16" t="s">
        <v>7381</v>
      </c>
      <c r="W1" s="16" t="s">
        <v>7382</v>
      </c>
      <c r="X1" s="294" t="s">
        <v>7383</v>
      </c>
      <c r="Y1" s="16" t="s">
        <v>7384</v>
      </c>
      <c r="Z1" s="16" t="s">
        <v>7385</v>
      </c>
      <c r="AA1" s="294" t="s">
        <v>7386</v>
      </c>
      <c r="AB1" s="16" t="s">
        <v>7387</v>
      </c>
      <c r="AC1" s="16" t="s">
        <v>7388</v>
      </c>
      <c r="AD1" s="294" t="s">
        <v>7389</v>
      </c>
      <c r="AE1" s="16" t="s">
        <v>7390</v>
      </c>
      <c r="AF1" s="16" t="s">
        <v>7391</v>
      </c>
      <c r="AG1" s="294" t="s">
        <v>7392</v>
      </c>
      <c r="AH1" s="16" t="s">
        <v>7393</v>
      </c>
      <c r="AI1" s="16" t="s">
        <v>7394</v>
      </c>
      <c r="AJ1" s="294" t="s">
        <v>7395</v>
      </c>
      <c r="AK1" s="16" t="s">
        <v>7396</v>
      </c>
      <c r="AL1" s="295" t="s">
        <v>7397</v>
      </c>
      <c r="AM1" s="294" t="s">
        <v>7398</v>
      </c>
      <c r="AN1" s="16" t="s">
        <v>7399</v>
      </c>
      <c r="AO1" s="295" t="s">
        <v>7400</v>
      </c>
      <c r="AP1" s="296"/>
    </row>
    <row r="2">
      <c r="A2" s="69"/>
      <c r="B2" s="6" t="s">
        <v>7401</v>
      </c>
      <c r="C2" s="69" t="s">
        <v>5510</v>
      </c>
      <c r="D2" s="35">
        <v>1.0</v>
      </c>
      <c r="E2" s="35" t="s">
        <v>7402</v>
      </c>
      <c r="F2" s="69"/>
      <c r="G2" s="35">
        <v>1962.0</v>
      </c>
      <c r="H2" s="106" t="s">
        <v>7357</v>
      </c>
      <c r="I2" s="35" t="s">
        <v>7403</v>
      </c>
      <c r="J2" s="69"/>
      <c r="K2" s="69"/>
      <c r="L2" s="69" t="s">
        <v>35</v>
      </c>
      <c r="M2" s="69"/>
      <c r="N2" s="35" t="s">
        <v>1814</v>
      </c>
      <c r="O2" s="35" t="s">
        <v>1813</v>
      </c>
      <c r="P2" s="35" t="s">
        <v>1773</v>
      </c>
      <c r="Q2" s="35" t="s">
        <v>22</v>
      </c>
      <c r="R2" s="297" t="s">
        <v>7404</v>
      </c>
      <c r="S2" s="69"/>
      <c r="T2" s="69"/>
      <c r="U2" s="297" t="s">
        <v>7405</v>
      </c>
      <c r="V2" s="35"/>
      <c r="W2" s="183" t="s">
        <v>7357</v>
      </c>
      <c r="X2" s="297" t="s">
        <v>7405</v>
      </c>
      <c r="Y2" s="69"/>
      <c r="Z2" s="69"/>
      <c r="AA2" s="297" t="s">
        <v>7405</v>
      </c>
      <c r="AB2" s="69"/>
      <c r="AC2" s="106" t="s">
        <v>7357</v>
      </c>
      <c r="AD2" s="297" t="s">
        <v>7405</v>
      </c>
      <c r="AE2" s="69"/>
      <c r="AF2" s="69"/>
      <c r="AG2" s="297" t="s">
        <v>7406</v>
      </c>
      <c r="AH2" s="35" t="s">
        <v>7407</v>
      </c>
      <c r="AI2" s="106" t="s">
        <v>7408</v>
      </c>
      <c r="AJ2" s="297" t="s">
        <v>7405</v>
      </c>
      <c r="AK2" s="69"/>
      <c r="AL2" s="298"/>
      <c r="AM2" s="299"/>
      <c r="AN2" s="69"/>
      <c r="AO2" s="298"/>
      <c r="AP2" s="299"/>
    </row>
    <row r="3">
      <c r="A3" s="69"/>
      <c r="B3" s="6" t="s">
        <v>7401</v>
      </c>
      <c r="C3" s="35" t="s">
        <v>7409</v>
      </c>
      <c r="D3" s="35">
        <v>1.0</v>
      </c>
      <c r="E3" s="35" t="s">
        <v>7402</v>
      </c>
      <c r="F3" s="69"/>
      <c r="G3" s="35">
        <v>1978.0</v>
      </c>
      <c r="H3" s="106" t="s">
        <v>5514</v>
      </c>
      <c r="I3" s="35"/>
      <c r="J3" s="69"/>
      <c r="K3" s="69"/>
      <c r="L3" s="35" t="s">
        <v>35</v>
      </c>
      <c r="M3" s="69"/>
      <c r="N3" s="35" t="s">
        <v>1814</v>
      </c>
      <c r="O3" s="35" t="s">
        <v>1813</v>
      </c>
      <c r="P3" s="35" t="s">
        <v>1773</v>
      </c>
      <c r="Q3" s="35" t="s">
        <v>22</v>
      </c>
      <c r="R3" s="297" t="s">
        <v>7404</v>
      </c>
      <c r="S3" s="69"/>
      <c r="T3" s="69"/>
      <c r="U3" s="297" t="s">
        <v>7405</v>
      </c>
      <c r="V3" s="35"/>
      <c r="W3" s="183" t="s">
        <v>5514</v>
      </c>
      <c r="X3" s="297" t="s">
        <v>7405</v>
      </c>
      <c r="Y3" s="35"/>
      <c r="Z3" s="106" t="s">
        <v>5514</v>
      </c>
      <c r="AA3" s="297" t="s">
        <v>7405</v>
      </c>
      <c r="AB3" s="69"/>
      <c r="AC3" s="106" t="s">
        <v>5514</v>
      </c>
      <c r="AD3" s="297" t="s">
        <v>7405</v>
      </c>
      <c r="AE3" s="69"/>
      <c r="AF3" s="69"/>
      <c r="AG3" s="297" t="s">
        <v>7406</v>
      </c>
      <c r="AH3" s="35" t="s">
        <v>7407</v>
      </c>
      <c r="AI3" s="106" t="s">
        <v>7410</v>
      </c>
      <c r="AJ3" s="297" t="s">
        <v>7405</v>
      </c>
      <c r="AK3" s="69"/>
      <c r="AL3" s="298"/>
      <c r="AM3" s="299"/>
      <c r="AN3" s="69"/>
      <c r="AO3" s="298"/>
      <c r="AP3" s="299"/>
    </row>
    <row r="4">
      <c r="A4" s="69"/>
      <c r="B4" s="6" t="s">
        <v>7401</v>
      </c>
      <c r="C4" s="35" t="s">
        <v>7411</v>
      </c>
      <c r="D4" s="35">
        <v>1.0</v>
      </c>
      <c r="E4" s="35" t="s">
        <v>7402</v>
      </c>
      <c r="F4" s="69"/>
      <c r="G4" s="35">
        <v>2008.0</v>
      </c>
      <c r="H4" s="106" t="s">
        <v>7412</v>
      </c>
      <c r="I4" s="35"/>
      <c r="J4" s="69"/>
      <c r="K4" s="69"/>
      <c r="L4" s="35" t="s">
        <v>35</v>
      </c>
      <c r="M4" s="69"/>
      <c r="N4" s="35" t="s">
        <v>1814</v>
      </c>
      <c r="O4" s="35" t="s">
        <v>1813</v>
      </c>
      <c r="P4" s="35" t="s">
        <v>1773</v>
      </c>
      <c r="Q4" s="35" t="s">
        <v>22</v>
      </c>
      <c r="R4" s="297" t="s">
        <v>7404</v>
      </c>
      <c r="S4" s="69"/>
      <c r="T4" s="69"/>
      <c r="U4" s="297" t="s">
        <v>7405</v>
      </c>
      <c r="V4" s="35"/>
      <c r="W4" s="30" t="s">
        <v>7412</v>
      </c>
      <c r="X4" s="297" t="s">
        <v>7405</v>
      </c>
      <c r="Y4" s="35"/>
      <c r="Z4" s="106" t="s">
        <v>7412</v>
      </c>
      <c r="AA4" s="297" t="s">
        <v>7405</v>
      </c>
      <c r="AB4" s="69"/>
      <c r="AC4" s="106" t="s">
        <v>7412</v>
      </c>
      <c r="AD4" s="297" t="s">
        <v>7405</v>
      </c>
      <c r="AE4" s="69"/>
      <c r="AF4" s="69"/>
      <c r="AG4" s="297"/>
      <c r="AH4" s="35"/>
      <c r="AI4" s="35"/>
      <c r="AJ4" s="297" t="s">
        <v>7405</v>
      </c>
      <c r="AK4" s="69"/>
      <c r="AL4" s="298"/>
      <c r="AM4" s="299"/>
      <c r="AN4" s="69"/>
      <c r="AO4" s="298"/>
      <c r="AP4" s="299"/>
    </row>
    <row r="5">
      <c r="A5" s="69"/>
      <c r="B5" s="6" t="s">
        <v>7401</v>
      </c>
      <c r="C5" s="35" t="s">
        <v>7413</v>
      </c>
      <c r="D5" s="35">
        <v>1.0</v>
      </c>
      <c r="E5" s="35" t="s">
        <v>7402</v>
      </c>
      <c r="F5" s="69"/>
      <c r="G5" s="35">
        <v>1993.0</v>
      </c>
      <c r="H5" s="106" t="s">
        <v>7414</v>
      </c>
      <c r="I5" s="35"/>
      <c r="J5" s="69"/>
      <c r="K5" s="69"/>
      <c r="L5" s="35" t="s">
        <v>35</v>
      </c>
      <c r="M5" s="69"/>
      <c r="N5" s="35" t="s">
        <v>1814</v>
      </c>
      <c r="O5" s="35" t="s">
        <v>1813</v>
      </c>
      <c r="P5" s="35" t="s">
        <v>1773</v>
      </c>
      <c r="Q5" s="35" t="s">
        <v>22</v>
      </c>
      <c r="R5" s="297" t="s">
        <v>7404</v>
      </c>
      <c r="S5" s="69"/>
      <c r="T5" s="69"/>
      <c r="U5" s="297" t="s">
        <v>7405</v>
      </c>
      <c r="V5" s="35"/>
      <c r="W5" s="69"/>
      <c r="X5" s="297" t="s">
        <v>7405</v>
      </c>
      <c r="Y5" s="35"/>
      <c r="Z5" s="69"/>
      <c r="AA5" s="297" t="s">
        <v>7405</v>
      </c>
      <c r="AB5" s="69"/>
      <c r="AC5" s="35"/>
      <c r="AD5" s="297" t="s">
        <v>7405</v>
      </c>
      <c r="AE5" s="69"/>
      <c r="AF5" s="69"/>
      <c r="AG5" s="297"/>
      <c r="AH5" s="35"/>
      <c r="AI5" s="35"/>
      <c r="AJ5" s="297" t="s">
        <v>7405</v>
      </c>
      <c r="AK5" s="69"/>
      <c r="AL5" s="298"/>
      <c r="AM5" s="299"/>
      <c r="AN5" s="69"/>
      <c r="AO5" s="298"/>
      <c r="AP5" s="299"/>
    </row>
    <row r="6">
      <c r="A6" s="69"/>
      <c r="B6" s="6" t="s">
        <v>7401</v>
      </c>
      <c r="C6" s="35" t="s">
        <v>7415</v>
      </c>
      <c r="D6" s="35">
        <v>1.0</v>
      </c>
      <c r="E6" s="35" t="s">
        <v>7402</v>
      </c>
      <c r="F6" s="69"/>
      <c r="G6" s="35">
        <v>1970.0</v>
      </c>
      <c r="H6" s="35" t="s">
        <v>7416</v>
      </c>
      <c r="I6" s="35"/>
      <c r="J6" s="69"/>
      <c r="K6" s="69"/>
      <c r="L6" s="35" t="s">
        <v>35</v>
      </c>
      <c r="M6" s="69"/>
      <c r="N6" s="35" t="s">
        <v>1814</v>
      </c>
      <c r="O6" s="35" t="s">
        <v>1813</v>
      </c>
      <c r="P6" s="35" t="s">
        <v>1773</v>
      </c>
      <c r="Q6" s="35" t="s">
        <v>22</v>
      </c>
      <c r="R6" s="297" t="s">
        <v>7404</v>
      </c>
      <c r="S6" s="69"/>
      <c r="T6" s="69"/>
      <c r="U6" s="297" t="s">
        <v>7405</v>
      </c>
      <c r="V6" s="35"/>
      <c r="W6" s="69"/>
      <c r="X6" s="297" t="s">
        <v>7405</v>
      </c>
      <c r="Y6" s="35"/>
      <c r="Z6" s="69"/>
      <c r="AA6" s="297" t="s">
        <v>7405</v>
      </c>
      <c r="AB6" s="69"/>
      <c r="AC6" s="35"/>
      <c r="AD6" s="297" t="s">
        <v>7405</v>
      </c>
      <c r="AE6" s="69"/>
      <c r="AF6" s="69"/>
      <c r="AG6" s="297" t="s">
        <v>7406</v>
      </c>
      <c r="AH6" s="35" t="s">
        <v>7417</v>
      </c>
      <c r="AI6" s="106" t="s">
        <v>7408</v>
      </c>
      <c r="AJ6" s="297" t="s">
        <v>7405</v>
      </c>
      <c r="AK6" s="69"/>
      <c r="AL6" s="298"/>
      <c r="AM6" s="299"/>
      <c r="AN6" s="69"/>
      <c r="AO6" s="298"/>
      <c r="AP6" s="299"/>
    </row>
    <row r="7">
      <c r="A7" s="69"/>
      <c r="B7" s="6" t="s">
        <v>7401</v>
      </c>
      <c r="C7" s="35" t="s">
        <v>7418</v>
      </c>
      <c r="D7" s="35">
        <v>1.0</v>
      </c>
      <c r="E7" s="35" t="s">
        <v>7402</v>
      </c>
      <c r="F7" s="69"/>
      <c r="G7" s="35" t="s">
        <v>1182</v>
      </c>
      <c r="H7" s="35" t="s">
        <v>1182</v>
      </c>
      <c r="I7" s="35"/>
      <c r="J7" s="69"/>
      <c r="K7" s="69"/>
      <c r="L7" s="35" t="s">
        <v>35</v>
      </c>
      <c r="M7" s="69"/>
      <c r="N7" s="35" t="s">
        <v>1814</v>
      </c>
      <c r="O7" s="35" t="s">
        <v>1813</v>
      </c>
      <c r="P7" s="35" t="s">
        <v>1773</v>
      </c>
      <c r="Q7" s="35" t="s">
        <v>22</v>
      </c>
      <c r="R7" s="297" t="s">
        <v>7404</v>
      </c>
      <c r="S7" s="69"/>
      <c r="T7" s="69"/>
      <c r="U7" s="297" t="s">
        <v>7405</v>
      </c>
      <c r="V7" s="35"/>
      <c r="W7" s="69"/>
      <c r="X7" s="297" t="s">
        <v>7405</v>
      </c>
      <c r="Y7" s="35"/>
      <c r="Z7" s="69"/>
      <c r="AA7" s="297" t="s">
        <v>7405</v>
      </c>
      <c r="AB7" s="69"/>
      <c r="AC7" s="35"/>
      <c r="AD7" s="297" t="s">
        <v>7405</v>
      </c>
      <c r="AE7" s="69"/>
      <c r="AF7" s="69"/>
      <c r="AG7" s="297"/>
      <c r="AH7" s="69"/>
      <c r="AI7" s="69"/>
      <c r="AJ7" s="297" t="s">
        <v>7405</v>
      </c>
      <c r="AK7" s="69"/>
      <c r="AL7" s="298"/>
      <c r="AM7" s="299"/>
      <c r="AN7" s="69"/>
      <c r="AO7" s="298"/>
      <c r="AP7" s="299"/>
    </row>
    <row r="8">
      <c r="A8" s="69"/>
      <c r="B8" s="6" t="s">
        <v>7401</v>
      </c>
      <c r="C8" s="35" t="s">
        <v>7419</v>
      </c>
      <c r="D8" s="35">
        <v>1.0</v>
      </c>
      <c r="E8" s="35" t="s">
        <v>7402</v>
      </c>
      <c r="F8" s="69"/>
      <c r="G8" s="35" t="s">
        <v>1182</v>
      </c>
      <c r="H8" s="35" t="s">
        <v>1182</v>
      </c>
      <c r="I8" s="35" t="s">
        <v>7420</v>
      </c>
      <c r="J8" s="69"/>
      <c r="K8" s="69"/>
      <c r="L8" s="35" t="s">
        <v>35</v>
      </c>
      <c r="M8" s="69"/>
      <c r="N8" s="35" t="s">
        <v>1814</v>
      </c>
      <c r="O8" s="35" t="s">
        <v>1813</v>
      </c>
      <c r="P8" s="35" t="s">
        <v>7421</v>
      </c>
      <c r="Q8" s="35" t="s">
        <v>22</v>
      </c>
      <c r="R8" s="297" t="s">
        <v>7422</v>
      </c>
      <c r="S8" s="69"/>
      <c r="T8" s="69"/>
      <c r="U8" s="297" t="s">
        <v>7423</v>
      </c>
      <c r="V8" s="35" t="s">
        <v>7424</v>
      </c>
      <c r="W8" s="69"/>
      <c r="X8" s="297" t="s">
        <v>7423</v>
      </c>
      <c r="Y8" s="35" t="s">
        <v>7424</v>
      </c>
      <c r="Z8" s="69"/>
      <c r="AA8" s="297" t="s">
        <v>7423</v>
      </c>
      <c r="AB8" s="35" t="s">
        <v>7424</v>
      </c>
      <c r="AC8" s="69"/>
      <c r="AD8" s="297" t="s">
        <v>7423</v>
      </c>
      <c r="AE8" s="35" t="s">
        <v>7424</v>
      </c>
      <c r="AF8" s="69"/>
      <c r="AG8" s="297"/>
      <c r="AH8" s="69"/>
      <c r="AI8" s="69"/>
      <c r="AJ8" s="297" t="s">
        <v>7423</v>
      </c>
      <c r="AK8" s="35" t="s">
        <v>7424</v>
      </c>
      <c r="AL8" s="298"/>
      <c r="AM8" s="299"/>
      <c r="AN8" s="69"/>
      <c r="AO8" s="298"/>
      <c r="AP8" s="299"/>
    </row>
    <row r="9">
      <c r="A9" s="69"/>
      <c r="B9" s="6" t="s">
        <v>7401</v>
      </c>
      <c r="C9" s="35" t="s">
        <v>7425</v>
      </c>
      <c r="D9" s="35">
        <v>1.0</v>
      </c>
      <c r="E9" s="35" t="s">
        <v>7402</v>
      </c>
      <c r="F9" s="69"/>
      <c r="G9" s="35">
        <v>1970.0</v>
      </c>
      <c r="H9" s="106" t="s">
        <v>7426</v>
      </c>
      <c r="I9" s="35" t="s">
        <v>7427</v>
      </c>
      <c r="J9" s="69"/>
      <c r="K9" s="69"/>
      <c r="L9" s="35" t="s">
        <v>35</v>
      </c>
      <c r="M9" s="69"/>
      <c r="N9" s="35" t="s">
        <v>1814</v>
      </c>
      <c r="O9" s="35" t="s">
        <v>1813</v>
      </c>
      <c r="P9" s="35" t="s">
        <v>7428</v>
      </c>
      <c r="Q9" s="35" t="s">
        <v>22</v>
      </c>
      <c r="R9" s="297" t="s">
        <v>7429</v>
      </c>
      <c r="S9" s="69"/>
      <c r="T9" s="69"/>
      <c r="U9" s="297" t="s">
        <v>7430</v>
      </c>
      <c r="V9" s="69"/>
      <c r="W9" s="106" t="s">
        <v>7426</v>
      </c>
      <c r="X9" s="297" t="s">
        <v>7430</v>
      </c>
      <c r="Y9" s="69"/>
      <c r="Z9" s="106" t="s">
        <v>7426</v>
      </c>
      <c r="AA9" s="297" t="s">
        <v>7430</v>
      </c>
      <c r="AB9" s="69"/>
      <c r="AC9" s="106" t="s">
        <v>7426</v>
      </c>
      <c r="AD9" s="297" t="s">
        <v>7430</v>
      </c>
      <c r="AE9" s="69"/>
      <c r="AF9" s="69"/>
      <c r="AG9" s="299"/>
      <c r="AH9" s="69"/>
      <c r="AI9" s="69"/>
      <c r="AJ9" s="297" t="s">
        <v>7430</v>
      </c>
      <c r="AK9" s="69"/>
      <c r="AL9" s="298"/>
      <c r="AM9" s="299"/>
      <c r="AN9" s="69"/>
      <c r="AO9" s="298"/>
      <c r="AP9" s="299"/>
    </row>
    <row r="10">
      <c r="A10" s="69"/>
      <c r="B10" s="6" t="s">
        <v>7401</v>
      </c>
      <c r="C10" s="35" t="s">
        <v>7431</v>
      </c>
      <c r="D10" s="35">
        <v>1.0</v>
      </c>
      <c r="E10" s="35" t="s">
        <v>7402</v>
      </c>
      <c r="F10" s="69"/>
      <c r="G10" s="35" t="s">
        <v>7432</v>
      </c>
      <c r="H10" s="106" t="s">
        <v>7433</v>
      </c>
      <c r="I10" s="35" t="s">
        <v>7434</v>
      </c>
      <c r="J10" s="69"/>
      <c r="K10" s="69"/>
      <c r="L10" s="35" t="s">
        <v>35</v>
      </c>
      <c r="M10" s="69"/>
      <c r="N10" s="35" t="s">
        <v>1814</v>
      </c>
      <c r="O10" s="35" t="s">
        <v>1813</v>
      </c>
      <c r="P10" s="35" t="s">
        <v>7428</v>
      </c>
      <c r="Q10" s="35" t="s">
        <v>22</v>
      </c>
      <c r="R10" s="297" t="s">
        <v>7429</v>
      </c>
      <c r="S10" s="69"/>
      <c r="T10" s="69"/>
      <c r="U10" s="297" t="s">
        <v>7430</v>
      </c>
      <c r="V10" s="69"/>
      <c r="W10" s="106" t="s">
        <v>7433</v>
      </c>
      <c r="X10" s="297" t="s">
        <v>7430</v>
      </c>
      <c r="Y10" s="69"/>
      <c r="Z10" s="106" t="s">
        <v>7433</v>
      </c>
      <c r="AA10" s="297" t="s">
        <v>7430</v>
      </c>
      <c r="AB10" s="69"/>
      <c r="AC10" s="106" t="s">
        <v>7433</v>
      </c>
      <c r="AD10" s="297" t="s">
        <v>7435</v>
      </c>
      <c r="AE10" s="69"/>
      <c r="AF10" s="106" t="s">
        <v>7433</v>
      </c>
      <c r="AG10" s="299"/>
      <c r="AH10" s="69"/>
      <c r="AI10" s="69"/>
      <c r="AJ10" s="297" t="s">
        <v>7430</v>
      </c>
      <c r="AK10" s="69"/>
      <c r="AL10" s="298"/>
      <c r="AM10" s="299"/>
      <c r="AN10" s="69"/>
      <c r="AO10" s="298"/>
      <c r="AP10" s="299"/>
    </row>
    <row r="11">
      <c r="A11" s="69"/>
      <c r="B11" s="6" t="s">
        <v>7401</v>
      </c>
      <c r="C11" s="35" t="s">
        <v>7436</v>
      </c>
      <c r="D11" s="35">
        <v>1.0</v>
      </c>
      <c r="E11" s="35" t="s">
        <v>7402</v>
      </c>
      <c r="F11" s="69"/>
      <c r="G11" s="35" t="s">
        <v>7432</v>
      </c>
      <c r="H11" s="106" t="s">
        <v>7433</v>
      </c>
      <c r="I11" s="35" t="s">
        <v>7437</v>
      </c>
      <c r="J11" s="69"/>
      <c r="K11" s="69"/>
      <c r="L11" s="35" t="s">
        <v>35</v>
      </c>
      <c r="M11" s="69"/>
      <c r="N11" s="35" t="s">
        <v>1814</v>
      </c>
      <c r="O11" s="35" t="s">
        <v>1813</v>
      </c>
      <c r="P11" s="35" t="s">
        <v>7428</v>
      </c>
      <c r="Q11" s="35" t="s">
        <v>22</v>
      </c>
      <c r="R11" s="297" t="s">
        <v>7429</v>
      </c>
      <c r="S11" s="69"/>
      <c r="T11" s="69"/>
      <c r="U11" s="297" t="s">
        <v>7430</v>
      </c>
      <c r="V11" s="69"/>
      <c r="W11" s="106" t="s">
        <v>7433</v>
      </c>
      <c r="X11" s="297" t="s">
        <v>7430</v>
      </c>
      <c r="Y11" s="69"/>
      <c r="Z11" s="106" t="s">
        <v>7433</v>
      </c>
      <c r="AA11" s="297" t="s">
        <v>7430</v>
      </c>
      <c r="AB11" s="69"/>
      <c r="AC11" s="106" t="s">
        <v>7433</v>
      </c>
      <c r="AD11" s="297" t="s">
        <v>7430</v>
      </c>
      <c r="AE11" s="69"/>
      <c r="AF11" s="35"/>
      <c r="AG11" s="299"/>
      <c r="AH11" s="69"/>
      <c r="AI11" s="69"/>
      <c r="AJ11" s="297" t="s">
        <v>7430</v>
      </c>
      <c r="AK11" s="69"/>
      <c r="AL11" s="298"/>
      <c r="AM11" s="299"/>
      <c r="AN11" s="69"/>
      <c r="AO11" s="298"/>
      <c r="AP11" s="299"/>
    </row>
    <row r="12">
      <c r="A12" s="69"/>
      <c r="B12" s="6" t="s">
        <v>7401</v>
      </c>
      <c r="C12" s="35" t="s">
        <v>7438</v>
      </c>
      <c r="D12" s="35">
        <v>1.0</v>
      </c>
      <c r="E12" s="35" t="s">
        <v>7402</v>
      </c>
      <c r="F12" s="69"/>
      <c r="G12" s="35">
        <v>2019.0</v>
      </c>
      <c r="H12" s="106" t="s">
        <v>7439</v>
      </c>
      <c r="I12" s="35" t="s">
        <v>7440</v>
      </c>
      <c r="J12" s="69"/>
      <c r="K12" s="69"/>
      <c r="L12" s="35" t="s">
        <v>35</v>
      </c>
      <c r="M12" s="69"/>
      <c r="N12" s="35" t="s">
        <v>1814</v>
      </c>
      <c r="O12" s="35" t="s">
        <v>1813</v>
      </c>
      <c r="P12" s="35" t="s">
        <v>7428</v>
      </c>
      <c r="Q12" s="35" t="s">
        <v>22</v>
      </c>
      <c r="R12" s="297" t="s">
        <v>7429</v>
      </c>
      <c r="S12" s="69"/>
      <c r="T12" s="69"/>
      <c r="U12" s="297" t="s">
        <v>7430</v>
      </c>
      <c r="V12" s="69"/>
      <c r="W12" s="35"/>
      <c r="X12" s="297" t="s">
        <v>7430</v>
      </c>
      <c r="Y12" s="69"/>
      <c r="Z12" s="35"/>
      <c r="AA12" s="297" t="s">
        <v>7430</v>
      </c>
      <c r="AB12" s="69"/>
      <c r="AC12" s="35"/>
      <c r="AD12" s="297" t="s">
        <v>7435</v>
      </c>
      <c r="AE12" s="69"/>
      <c r="AF12" s="35"/>
      <c r="AG12" s="299"/>
      <c r="AH12" s="69"/>
      <c r="AI12" s="69"/>
      <c r="AJ12" s="297" t="s">
        <v>7430</v>
      </c>
      <c r="AK12" s="69"/>
      <c r="AL12" s="298"/>
      <c r="AM12" s="299"/>
      <c r="AN12" s="69"/>
      <c r="AO12" s="298"/>
      <c r="AP12" s="299"/>
    </row>
    <row r="13">
      <c r="A13" s="13"/>
      <c r="B13" s="6" t="s">
        <v>7401</v>
      </c>
      <c r="C13" s="6" t="s">
        <v>7441</v>
      </c>
      <c r="D13" s="6">
        <v>1.0</v>
      </c>
      <c r="E13" s="35" t="s">
        <v>7402</v>
      </c>
      <c r="F13" s="13"/>
      <c r="G13" s="6">
        <v>1989.0</v>
      </c>
      <c r="H13" s="18" t="s">
        <v>7442</v>
      </c>
      <c r="I13" s="6"/>
      <c r="J13" s="13"/>
      <c r="K13" s="13"/>
      <c r="L13" s="35" t="s">
        <v>35</v>
      </c>
      <c r="M13" s="69"/>
      <c r="N13" s="35" t="s">
        <v>1814</v>
      </c>
      <c r="O13" s="35" t="s">
        <v>1813</v>
      </c>
      <c r="P13" s="35" t="s">
        <v>1773</v>
      </c>
      <c r="Q13" s="35" t="s">
        <v>22</v>
      </c>
      <c r="R13" s="297" t="s">
        <v>7404</v>
      </c>
      <c r="S13" s="35" t="s">
        <v>7443</v>
      </c>
      <c r="T13" s="13"/>
      <c r="U13" s="297" t="s">
        <v>7405</v>
      </c>
      <c r="V13" s="35" t="s">
        <v>7443</v>
      </c>
      <c r="W13" s="106" t="s">
        <v>7444</v>
      </c>
      <c r="X13" s="297" t="s">
        <v>7405</v>
      </c>
      <c r="Y13" s="35" t="s">
        <v>7443</v>
      </c>
      <c r="Z13" s="106" t="s">
        <v>7444</v>
      </c>
      <c r="AA13" s="297" t="s">
        <v>7405</v>
      </c>
      <c r="AB13" s="35" t="s">
        <v>7443</v>
      </c>
      <c r="AC13" s="106" t="s">
        <v>7444</v>
      </c>
      <c r="AD13" s="297" t="s">
        <v>7405</v>
      </c>
      <c r="AE13" s="69"/>
      <c r="AF13" s="69"/>
      <c r="AG13" s="297"/>
      <c r="AH13" s="69"/>
      <c r="AI13" s="69"/>
      <c r="AJ13" s="297" t="s">
        <v>7405</v>
      </c>
      <c r="AK13" s="69"/>
      <c r="AL13" s="298"/>
      <c r="AM13" s="299"/>
      <c r="AN13" s="69"/>
      <c r="AO13" s="298"/>
      <c r="AP13" s="300"/>
    </row>
    <row r="14">
      <c r="A14" s="13"/>
      <c r="B14" s="6" t="s">
        <v>7401</v>
      </c>
      <c r="C14" s="6" t="s">
        <v>7445</v>
      </c>
      <c r="D14" s="6">
        <v>1.0</v>
      </c>
      <c r="E14" s="35" t="s">
        <v>7402</v>
      </c>
      <c r="F14" s="13"/>
      <c r="G14" s="6">
        <v>1985.0</v>
      </c>
      <c r="H14" s="18" t="s">
        <v>7446</v>
      </c>
      <c r="I14" s="6" t="s">
        <v>7447</v>
      </c>
      <c r="J14" s="13"/>
      <c r="K14" s="13"/>
      <c r="L14" s="35" t="s">
        <v>35</v>
      </c>
      <c r="M14" s="69"/>
      <c r="N14" s="35" t="s">
        <v>1814</v>
      </c>
      <c r="O14" s="35" t="s">
        <v>1813</v>
      </c>
      <c r="P14" s="35" t="s">
        <v>1773</v>
      </c>
      <c r="Q14" s="35" t="s">
        <v>22</v>
      </c>
      <c r="R14" s="297" t="s">
        <v>7404</v>
      </c>
      <c r="S14" s="35" t="s">
        <v>7448</v>
      </c>
      <c r="T14" s="13"/>
      <c r="U14" s="297" t="s">
        <v>7405</v>
      </c>
      <c r="V14" s="35" t="s">
        <v>7448</v>
      </c>
      <c r="W14" s="18" t="s">
        <v>7446</v>
      </c>
      <c r="X14" s="297" t="s">
        <v>7405</v>
      </c>
      <c r="Y14" s="35" t="s">
        <v>7448</v>
      </c>
      <c r="Z14" s="18" t="s">
        <v>7446</v>
      </c>
      <c r="AA14" s="297" t="s">
        <v>7405</v>
      </c>
      <c r="AB14" s="35" t="s">
        <v>7448</v>
      </c>
      <c r="AC14" s="18" t="s">
        <v>7446</v>
      </c>
      <c r="AD14" s="297" t="s">
        <v>7449</v>
      </c>
      <c r="AE14" s="69"/>
      <c r="AF14" s="69"/>
      <c r="AG14" s="297"/>
      <c r="AH14" s="69"/>
      <c r="AI14" s="69"/>
      <c r="AJ14" s="297" t="s">
        <v>2625</v>
      </c>
      <c r="AK14" s="13"/>
      <c r="AL14" s="301"/>
      <c r="AM14" s="300"/>
      <c r="AN14" s="13"/>
      <c r="AO14" s="301"/>
      <c r="AP14" s="300"/>
    </row>
    <row r="15">
      <c r="A15" s="13"/>
      <c r="B15" s="6" t="s">
        <v>7401</v>
      </c>
      <c r="C15" s="6" t="s">
        <v>7450</v>
      </c>
      <c r="D15" s="6">
        <v>1.0</v>
      </c>
      <c r="E15" s="35" t="s">
        <v>7451</v>
      </c>
      <c r="F15" s="13"/>
      <c r="G15" s="6">
        <v>1989.0</v>
      </c>
      <c r="H15" s="18" t="s">
        <v>7452</v>
      </c>
      <c r="I15" s="6"/>
      <c r="J15" s="13"/>
      <c r="K15" s="13"/>
      <c r="L15" s="35" t="s">
        <v>35</v>
      </c>
      <c r="M15" s="69"/>
      <c r="N15" s="35" t="s">
        <v>1814</v>
      </c>
      <c r="O15" s="35" t="s">
        <v>1813</v>
      </c>
      <c r="P15" s="35" t="s">
        <v>1773</v>
      </c>
      <c r="Q15" s="35" t="s">
        <v>22</v>
      </c>
      <c r="R15" s="297" t="s">
        <v>7404</v>
      </c>
      <c r="S15" s="35" t="s">
        <v>7453</v>
      </c>
      <c r="T15" s="13"/>
      <c r="U15" s="297" t="s">
        <v>7405</v>
      </c>
      <c r="V15" s="35" t="s">
        <v>7453</v>
      </c>
      <c r="W15" s="18" t="s">
        <v>7452</v>
      </c>
      <c r="X15" s="297" t="s">
        <v>7405</v>
      </c>
      <c r="Y15" s="35" t="s">
        <v>7453</v>
      </c>
      <c r="Z15" s="18" t="s">
        <v>7452</v>
      </c>
      <c r="AA15" s="297" t="s">
        <v>7405</v>
      </c>
      <c r="AB15" s="35" t="s">
        <v>7453</v>
      </c>
      <c r="AC15" s="18" t="s">
        <v>7452</v>
      </c>
      <c r="AD15" s="297" t="s">
        <v>7405</v>
      </c>
      <c r="AE15" s="35" t="s">
        <v>7453</v>
      </c>
      <c r="AF15" s="69"/>
      <c r="AG15" s="297" t="s">
        <v>7406</v>
      </c>
      <c r="AH15" s="35" t="s">
        <v>7454</v>
      </c>
      <c r="AI15" s="106" t="s">
        <v>7455</v>
      </c>
      <c r="AJ15" s="297" t="s">
        <v>7405</v>
      </c>
      <c r="AK15" s="35" t="s">
        <v>7453</v>
      </c>
      <c r="AL15" s="301"/>
      <c r="AM15" s="300"/>
      <c r="AN15" s="13"/>
      <c r="AO15" s="301"/>
      <c r="AP15" s="300"/>
    </row>
    <row r="16">
      <c r="A16" s="13"/>
      <c r="B16" s="6" t="s">
        <v>7401</v>
      </c>
      <c r="C16" s="6" t="s">
        <v>7456</v>
      </c>
      <c r="D16" s="6">
        <v>1.0</v>
      </c>
      <c r="E16" s="35" t="s">
        <v>7457</v>
      </c>
      <c r="F16" s="6" t="s">
        <v>7458</v>
      </c>
      <c r="G16" s="6">
        <v>2006.0</v>
      </c>
      <c r="H16" s="18" t="s">
        <v>7459</v>
      </c>
      <c r="I16" s="6"/>
      <c r="J16" s="13"/>
      <c r="K16" s="13"/>
      <c r="L16" s="35" t="s">
        <v>35</v>
      </c>
      <c r="M16" s="69"/>
      <c r="N16" s="35" t="s">
        <v>1814</v>
      </c>
      <c r="O16" s="35" t="s">
        <v>1813</v>
      </c>
      <c r="P16" s="35" t="s">
        <v>1773</v>
      </c>
      <c r="Q16" s="35" t="s">
        <v>22</v>
      </c>
      <c r="R16" s="302" t="s">
        <v>2615</v>
      </c>
      <c r="S16" s="6" t="s">
        <v>7460</v>
      </c>
      <c r="T16" s="13"/>
      <c r="U16" s="302" t="s">
        <v>2625</v>
      </c>
      <c r="V16" s="6" t="s">
        <v>7460</v>
      </c>
      <c r="W16" s="13"/>
      <c r="X16" s="302" t="s">
        <v>2625</v>
      </c>
      <c r="Y16" s="6" t="s">
        <v>7460</v>
      </c>
      <c r="Z16" s="13"/>
      <c r="AA16" s="302" t="s">
        <v>2625</v>
      </c>
      <c r="AB16" s="6" t="s">
        <v>7460</v>
      </c>
      <c r="AC16" s="13"/>
      <c r="AD16" s="302" t="s">
        <v>2625</v>
      </c>
      <c r="AE16" s="6" t="s">
        <v>7460</v>
      </c>
      <c r="AF16" s="13"/>
      <c r="AG16" s="300"/>
      <c r="AH16" s="13"/>
      <c r="AI16" s="13"/>
      <c r="AJ16" s="302" t="s">
        <v>2625</v>
      </c>
      <c r="AK16" s="6" t="s">
        <v>7460</v>
      </c>
      <c r="AL16" s="301"/>
      <c r="AM16" s="300"/>
      <c r="AN16" s="13"/>
      <c r="AO16" s="301"/>
      <c r="AP16" s="300"/>
    </row>
    <row r="17">
      <c r="A17" s="13"/>
      <c r="B17" s="6" t="s">
        <v>7401</v>
      </c>
      <c r="C17" s="6" t="s">
        <v>7461</v>
      </c>
      <c r="D17" s="6">
        <v>1.0</v>
      </c>
      <c r="E17" s="35" t="s">
        <v>7402</v>
      </c>
      <c r="F17" s="6"/>
      <c r="G17" s="6">
        <v>2015.0</v>
      </c>
      <c r="H17" s="18" t="s">
        <v>7462</v>
      </c>
      <c r="I17" s="6"/>
      <c r="J17" s="13"/>
      <c r="K17" s="13"/>
      <c r="L17" s="35" t="s">
        <v>35</v>
      </c>
      <c r="M17" s="69"/>
      <c r="N17" s="35" t="s">
        <v>1814</v>
      </c>
      <c r="O17" s="35" t="s">
        <v>1813</v>
      </c>
      <c r="P17" s="35" t="s">
        <v>1773</v>
      </c>
      <c r="Q17" s="35" t="s">
        <v>22</v>
      </c>
      <c r="R17" s="297" t="s">
        <v>7404</v>
      </c>
      <c r="S17" s="69"/>
      <c r="T17" s="69"/>
      <c r="U17" s="297" t="s">
        <v>7405</v>
      </c>
      <c r="V17" s="35" t="s">
        <v>7463</v>
      </c>
      <c r="W17" s="18" t="s">
        <v>7462</v>
      </c>
      <c r="X17" s="297" t="s">
        <v>7405</v>
      </c>
      <c r="Y17" s="35" t="s">
        <v>7463</v>
      </c>
      <c r="Z17" s="18" t="s">
        <v>7462</v>
      </c>
      <c r="AA17" s="297" t="s">
        <v>7405</v>
      </c>
      <c r="AB17" s="35" t="s">
        <v>7464</v>
      </c>
      <c r="AC17" s="18" t="s">
        <v>7462</v>
      </c>
      <c r="AD17" s="297" t="s">
        <v>7405</v>
      </c>
      <c r="AE17" s="69"/>
      <c r="AF17" s="69"/>
      <c r="AG17" s="297"/>
      <c r="AH17" s="69"/>
      <c r="AI17" s="69"/>
      <c r="AJ17" s="297" t="s">
        <v>7405</v>
      </c>
      <c r="AK17" s="69"/>
      <c r="AL17" s="298"/>
      <c r="AM17" s="299"/>
      <c r="AN17" s="69"/>
      <c r="AO17" s="298"/>
      <c r="AP17" s="300"/>
    </row>
    <row r="18">
      <c r="A18" s="13"/>
      <c r="B18" s="6" t="s">
        <v>7401</v>
      </c>
      <c r="C18" s="6" t="s">
        <v>7465</v>
      </c>
      <c r="D18" s="6">
        <v>1.0</v>
      </c>
      <c r="E18" s="35" t="s">
        <v>7402</v>
      </c>
      <c r="F18" s="6"/>
      <c r="G18" s="6">
        <v>2018.0</v>
      </c>
      <c r="H18" s="18" t="s">
        <v>7466</v>
      </c>
      <c r="I18" s="6"/>
      <c r="J18" s="13"/>
      <c r="K18" s="13"/>
      <c r="L18" s="35" t="s">
        <v>35</v>
      </c>
      <c r="M18" s="69"/>
      <c r="N18" s="35" t="s">
        <v>1814</v>
      </c>
      <c r="O18" s="35" t="s">
        <v>1813</v>
      </c>
      <c r="P18" s="35" t="s">
        <v>1773</v>
      </c>
      <c r="Q18" s="35" t="s">
        <v>22</v>
      </c>
      <c r="R18" s="297" t="s">
        <v>7467</v>
      </c>
      <c r="S18" s="35" t="s">
        <v>7468</v>
      </c>
      <c r="T18" s="13"/>
      <c r="U18" s="297" t="s">
        <v>7449</v>
      </c>
      <c r="V18" s="35" t="s">
        <v>7468</v>
      </c>
      <c r="W18" s="18" t="s">
        <v>7466</v>
      </c>
      <c r="X18" s="297" t="s">
        <v>7449</v>
      </c>
      <c r="Y18" s="35" t="s">
        <v>7468</v>
      </c>
      <c r="Z18" s="18" t="s">
        <v>7466</v>
      </c>
      <c r="AA18" s="297" t="s">
        <v>7449</v>
      </c>
      <c r="AB18" s="35" t="s">
        <v>7468</v>
      </c>
      <c r="AC18" s="18" t="s">
        <v>7466</v>
      </c>
      <c r="AD18" s="297" t="s">
        <v>7449</v>
      </c>
      <c r="AE18" s="35" t="s">
        <v>7468</v>
      </c>
      <c r="AF18" s="69"/>
      <c r="AG18" s="297"/>
      <c r="AH18" s="35"/>
      <c r="AI18" s="35"/>
      <c r="AJ18" s="297" t="s">
        <v>7449</v>
      </c>
      <c r="AK18" s="35" t="s">
        <v>7468</v>
      </c>
      <c r="AL18" s="301"/>
      <c r="AM18" s="300"/>
      <c r="AN18" s="13"/>
      <c r="AO18" s="301"/>
      <c r="AP18" s="300"/>
    </row>
    <row r="19">
      <c r="A19" s="13"/>
      <c r="B19" s="6" t="s">
        <v>7401</v>
      </c>
      <c r="C19" s="6" t="s">
        <v>7469</v>
      </c>
      <c r="D19" s="6">
        <v>1.0</v>
      </c>
      <c r="E19" s="35" t="s">
        <v>7402</v>
      </c>
      <c r="F19" s="6"/>
      <c r="G19" s="6">
        <v>2019.0</v>
      </c>
      <c r="H19" s="18" t="s">
        <v>7470</v>
      </c>
      <c r="I19" s="6"/>
      <c r="J19" s="13"/>
      <c r="K19" s="13"/>
      <c r="L19" s="35" t="s">
        <v>35</v>
      </c>
      <c r="M19" s="69"/>
      <c r="N19" s="35" t="s">
        <v>1814</v>
      </c>
      <c r="O19" s="35" t="s">
        <v>1813</v>
      </c>
      <c r="P19" s="35" t="s">
        <v>7471</v>
      </c>
      <c r="Q19" s="35" t="s">
        <v>22</v>
      </c>
      <c r="R19" s="302" t="s">
        <v>7472</v>
      </c>
      <c r="S19" s="13"/>
      <c r="T19" s="13"/>
      <c r="U19" s="302" t="s">
        <v>7473</v>
      </c>
      <c r="V19" s="6" t="s">
        <v>7474</v>
      </c>
      <c r="W19" s="18" t="s">
        <v>7470</v>
      </c>
      <c r="X19" s="302" t="s">
        <v>7473</v>
      </c>
      <c r="Y19" s="6" t="s">
        <v>7474</v>
      </c>
      <c r="Z19" s="18" t="s">
        <v>7470</v>
      </c>
      <c r="AA19" s="302" t="s">
        <v>7473</v>
      </c>
      <c r="AB19" s="6" t="s">
        <v>7475</v>
      </c>
      <c r="AC19" s="18" t="s">
        <v>7470</v>
      </c>
      <c r="AD19" s="302" t="s">
        <v>7473</v>
      </c>
      <c r="AE19" s="6" t="s">
        <v>7475</v>
      </c>
      <c r="AF19" s="6"/>
      <c r="AG19" s="300"/>
      <c r="AH19" s="13"/>
      <c r="AI19" s="13"/>
      <c r="AJ19" s="302" t="s">
        <v>7473</v>
      </c>
      <c r="AK19" s="6" t="s">
        <v>7475</v>
      </c>
      <c r="AL19" s="303"/>
      <c r="AM19" s="300"/>
      <c r="AN19" s="13"/>
      <c r="AO19" s="301"/>
      <c r="AP19" s="300"/>
    </row>
    <row r="20">
      <c r="A20" s="13"/>
      <c r="B20" s="6" t="s">
        <v>7401</v>
      </c>
      <c r="C20" s="6" t="s">
        <v>7476</v>
      </c>
      <c r="D20" s="6">
        <v>1.0</v>
      </c>
      <c r="E20" s="35" t="s">
        <v>7402</v>
      </c>
      <c r="F20" s="6"/>
      <c r="G20" s="6">
        <v>1973.0</v>
      </c>
      <c r="H20" s="18" t="s">
        <v>7477</v>
      </c>
      <c r="I20" s="6"/>
      <c r="J20" s="13"/>
      <c r="K20" s="13"/>
      <c r="L20" s="35" t="s">
        <v>35</v>
      </c>
      <c r="M20" s="69"/>
      <c r="N20" s="35" t="s">
        <v>1814</v>
      </c>
      <c r="O20" s="35" t="s">
        <v>1813</v>
      </c>
      <c r="P20" s="35" t="s">
        <v>7478</v>
      </c>
      <c r="Q20" s="6" t="s">
        <v>22</v>
      </c>
      <c r="R20" s="297" t="s">
        <v>7404</v>
      </c>
      <c r="S20" s="35" t="s">
        <v>7448</v>
      </c>
      <c r="T20" s="18" t="s">
        <v>7479</v>
      </c>
      <c r="U20" s="297" t="s">
        <v>7405</v>
      </c>
      <c r="V20" s="35" t="s">
        <v>7480</v>
      </c>
      <c r="W20" s="18" t="s">
        <v>7479</v>
      </c>
      <c r="X20" s="297" t="s">
        <v>7405</v>
      </c>
      <c r="Y20" s="35" t="s">
        <v>7480</v>
      </c>
      <c r="Z20" s="18" t="s">
        <v>7479</v>
      </c>
      <c r="AA20" s="297" t="s">
        <v>7405</v>
      </c>
      <c r="AB20" s="6"/>
      <c r="AC20" s="18" t="s">
        <v>7477</v>
      </c>
      <c r="AD20" s="297" t="s">
        <v>7405</v>
      </c>
      <c r="AE20" s="6" t="s">
        <v>7475</v>
      </c>
      <c r="AF20" s="6"/>
      <c r="AG20" s="297" t="s">
        <v>7481</v>
      </c>
      <c r="AH20" s="35" t="s">
        <v>7407</v>
      </c>
      <c r="AI20" s="18" t="s">
        <v>7482</v>
      </c>
      <c r="AJ20" s="297" t="s">
        <v>7405</v>
      </c>
      <c r="AK20" s="6" t="s">
        <v>7475</v>
      </c>
      <c r="AL20" s="301"/>
      <c r="AM20" s="300"/>
      <c r="AN20" s="13"/>
      <c r="AO20" s="301"/>
      <c r="AP20" s="300"/>
    </row>
    <row r="21">
      <c r="A21" s="35"/>
      <c r="B21" s="35" t="s">
        <v>7483</v>
      </c>
      <c r="C21" s="35" t="s">
        <v>7484</v>
      </c>
      <c r="D21" s="35">
        <v>1.0</v>
      </c>
      <c r="E21" s="35" t="s">
        <v>2728</v>
      </c>
      <c r="F21" s="69"/>
      <c r="G21" s="35">
        <v>1956.0</v>
      </c>
      <c r="H21" s="35" t="s">
        <v>7485</v>
      </c>
      <c r="I21" s="35"/>
      <c r="J21" s="69"/>
      <c r="K21" s="69"/>
      <c r="L21" s="35" t="s">
        <v>1095</v>
      </c>
      <c r="M21" s="69"/>
      <c r="N21" s="35" t="s">
        <v>1814</v>
      </c>
      <c r="O21" s="35" t="s">
        <v>1813</v>
      </c>
      <c r="P21" s="35" t="s">
        <v>7486</v>
      </c>
      <c r="Q21" s="35" t="s">
        <v>22</v>
      </c>
      <c r="R21" s="299" t="s">
        <v>35</v>
      </c>
      <c r="S21" s="69"/>
      <c r="T21" s="69"/>
      <c r="U21" s="297" t="s">
        <v>34</v>
      </c>
      <c r="V21" s="69"/>
      <c r="W21" s="69"/>
      <c r="X21" s="297" t="s">
        <v>3288</v>
      </c>
      <c r="Y21" s="35" t="s">
        <v>7487</v>
      </c>
      <c r="Z21" s="69"/>
      <c r="AA21" s="297" t="s">
        <v>3288</v>
      </c>
      <c r="AB21" s="35" t="s">
        <v>7487</v>
      </c>
      <c r="AC21" s="69"/>
      <c r="AD21" s="297"/>
      <c r="AE21" s="69"/>
      <c r="AF21" s="69"/>
      <c r="AG21" s="299"/>
      <c r="AH21" s="69"/>
      <c r="AI21" s="69"/>
      <c r="AJ21" s="297"/>
      <c r="AK21" s="69"/>
      <c r="AL21" s="298"/>
      <c r="AM21" s="299"/>
      <c r="AN21" s="69"/>
      <c r="AO21" s="298"/>
      <c r="AP21" s="299"/>
    </row>
    <row r="22">
      <c r="A22" s="35"/>
      <c r="B22" s="35" t="s">
        <v>7483</v>
      </c>
      <c r="C22" s="35" t="s">
        <v>7488</v>
      </c>
      <c r="D22" s="35">
        <v>1.0</v>
      </c>
      <c r="E22" s="35" t="s">
        <v>2728</v>
      </c>
      <c r="F22" s="69"/>
      <c r="G22" s="35">
        <v>1956.0</v>
      </c>
      <c r="H22" s="35" t="s">
        <v>7485</v>
      </c>
      <c r="I22" s="35"/>
      <c r="J22" s="69"/>
      <c r="K22" s="69"/>
      <c r="L22" s="35" t="s">
        <v>1095</v>
      </c>
      <c r="M22" s="69"/>
      <c r="N22" s="35" t="s">
        <v>1814</v>
      </c>
      <c r="O22" s="35" t="s">
        <v>1813</v>
      </c>
      <c r="P22" s="35" t="s">
        <v>7486</v>
      </c>
      <c r="Q22" s="35" t="s">
        <v>22</v>
      </c>
      <c r="R22" s="299" t="s">
        <v>35</v>
      </c>
      <c r="S22" s="69"/>
      <c r="T22" s="69"/>
      <c r="U22" s="297" t="s">
        <v>7489</v>
      </c>
      <c r="V22" s="35" t="s">
        <v>7487</v>
      </c>
      <c r="W22" s="69"/>
      <c r="X22" s="297" t="s">
        <v>7489</v>
      </c>
      <c r="Y22" s="35" t="s">
        <v>7487</v>
      </c>
      <c r="Z22" s="69"/>
      <c r="AA22" s="297" t="s">
        <v>7489</v>
      </c>
      <c r="AB22" s="35" t="s">
        <v>7487</v>
      </c>
      <c r="AC22" s="69"/>
      <c r="AD22" s="297"/>
      <c r="AE22" s="69"/>
      <c r="AF22" s="69"/>
      <c r="AG22" s="299"/>
      <c r="AH22" s="69"/>
      <c r="AI22" s="69"/>
      <c r="AJ22" s="297"/>
      <c r="AK22" s="69"/>
      <c r="AL22" s="298"/>
      <c r="AM22" s="299"/>
      <c r="AN22" s="69"/>
      <c r="AO22" s="298"/>
      <c r="AP22" s="299"/>
    </row>
    <row r="23">
      <c r="A23" s="35"/>
      <c r="B23" s="35" t="s">
        <v>7483</v>
      </c>
      <c r="C23" s="35" t="s">
        <v>7490</v>
      </c>
      <c r="D23" s="35">
        <v>1.0</v>
      </c>
      <c r="E23" s="35" t="s">
        <v>2728</v>
      </c>
      <c r="F23" s="69"/>
      <c r="G23" s="35">
        <v>1994.0</v>
      </c>
      <c r="H23" s="106" t="s">
        <v>7491</v>
      </c>
      <c r="I23" s="35"/>
      <c r="J23" s="69"/>
      <c r="K23" s="69"/>
      <c r="L23" s="35" t="s">
        <v>35</v>
      </c>
      <c r="M23" s="69"/>
      <c r="N23" s="35" t="s">
        <v>1814</v>
      </c>
      <c r="O23" s="35" t="s">
        <v>1813</v>
      </c>
      <c r="P23" s="35" t="s">
        <v>7486</v>
      </c>
      <c r="Q23" s="35" t="s">
        <v>22</v>
      </c>
      <c r="R23" s="299" t="s">
        <v>35</v>
      </c>
      <c r="S23" s="35" t="s">
        <v>7492</v>
      </c>
      <c r="T23" s="106" t="s">
        <v>7491</v>
      </c>
      <c r="U23" s="297" t="s">
        <v>34</v>
      </c>
      <c r="V23" s="35" t="s">
        <v>7492</v>
      </c>
      <c r="W23" s="106" t="s">
        <v>7491</v>
      </c>
      <c r="X23" s="297" t="s">
        <v>34</v>
      </c>
      <c r="Y23" s="35" t="s">
        <v>7492</v>
      </c>
      <c r="Z23" s="106" t="s">
        <v>7491</v>
      </c>
      <c r="AA23" s="297" t="s">
        <v>34</v>
      </c>
      <c r="AB23" s="35" t="s">
        <v>7493</v>
      </c>
      <c r="AC23" s="106" t="s">
        <v>7491</v>
      </c>
      <c r="AD23" s="297"/>
      <c r="AE23" s="69"/>
      <c r="AF23" s="69"/>
      <c r="AG23" s="299"/>
      <c r="AH23" s="69"/>
      <c r="AI23" s="69"/>
      <c r="AJ23" s="297"/>
      <c r="AK23" s="69"/>
      <c r="AL23" s="298"/>
      <c r="AM23" s="299"/>
      <c r="AN23" s="69"/>
      <c r="AO23" s="298"/>
      <c r="AP23" s="299"/>
    </row>
    <row r="24">
      <c r="A24" s="13"/>
      <c r="B24" s="35" t="s">
        <v>7483</v>
      </c>
      <c r="C24" s="35" t="s">
        <v>7494</v>
      </c>
      <c r="D24" s="6">
        <v>1.0</v>
      </c>
      <c r="E24" s="6" t="s">
        <v>2728</v>
      </c>
      <c r="F24" s="13"/>
      <c r="G24" s="6">
        <v>1954.0</v>
      </c>
      <c r="H24" s="18" t="s">
        <v>7495</v>
      </c>
      <c r="I24" s="6" t="s">
        <v>7496</v>
      </c>
      <c r="J24" s="13"/>
      <c r="K24" s="13"/>
      <c r="L24" s="35" t="s">
        <v>1095</v>
      </c>
      <c r="M24" s="69"/>
      <c r="N24" s="35" t="s">
        <v>1814</v>
      </c>
      <c r="O24" s="35" t="s">
        <v>1813</v>
      </c>
      <c r="P24" s="35" t="s">
        <v>7497</v>
      </c>
      <c r="Q24" s="35" t="s">
        <v>22</v>
      </c>
      <c r="R24" s="299" t="s">
        <v>35</v>
      </c>
      <c r="S24" s="35" t="s">
        <v>7492</v>
      </c>
      <c r="T24" s="106" t="s">
        <v>7495</v>
      </c>
      <c r="U24" s="297" t="s">
        <v>34</v>
      </c>
      <c r="V24" s="35" t="s">
        <v>7492</v>
      </c>
      <c r="W24" s="106" t="s">
        <v>7495</v>
      </c>
      <c r="X24" s="297" t="s">
        <v>34</v>
      </c>
      <c r="Y24" s="35" t="s">
        <v>7492</v>
      </c>
      <c r="Z24" s="106" t="s">
        <v>7495</v>
      </c>
      <c r="AA24" s="297" t="s">
        <v>34</v>
      </c>
      <c r="AB24" s="35" t="s">
        <v>7487</v>
      </c>
      <c r="AC24" s="106" t="s">
        <v>7495</v>
      </c>
      <c r="AD24" s="297"/>
      <c r="AE24" s="69"/>
      <c r="AF24" s="69"/>
      <c r="AG24" s="299"/>
      <c r="AH24" s="69"/>
      <c r="AI24" s="69"/>
      <c r="AJ24" s="297"/>
      <c r="AK24" s="69"/>
      <c r="AL24" s="298"/>
      <c r="AM24" s="300"/>
      <c r="AN24" s="13"/>
      <c r="AO24" s="301"/>
      <c r="AP24" s="300"/>
    </row>
    <row r="25">
      <c r="A25" s="13"/>
      <c r="B25" s="35" t="s">
        <v>7483</v>
      </c>
      <c r="C25" s="35" t="s">
        <v>7498</v>
      </c>
      <c r="D25" s="6">
        <v>1.0</v>
      </c>
      <c r="E25" s="6" t="s">
        <v>2728</v>
      </c>
      <c r="F25" s="13"/>
      <c r="G25" s="6" t="s">
        <v>1182</v>
      </c>
      <c r="H25" s="6" t="s">
        <v>1182</v>
      </c>
      <c r="I25" s="6"/>
      <c r="J25" s="13"/>
      <c r="K25" s="13"/>
      <c r="L25" s="35" t="s">
        <v>1095</v>
      </c>
      <c r="M25" s="69"/>
      <c r="N25" s="35" t="s">
        <v>1814</v>
      </c>
      <c r="O25" s="35" t="s">
        <v>1813</v>
      </c>
      <c r="P25" s="35" t="s">
        <v>7497</v>
      </c>
      <c r="Q25" s="35" t="s">
        <v>22</v>
      </c>
      <c r="R25" s="299" t="s">
        <v>35</v>
      </c>
      <c r="S25" s="35" t="s">
        <v>7492</v>
      </c>
      <c r="T25" s="35"/>
      <c r="U25" s="297" t="s">
        <v>34</v>
      </c>
      <c r="V25" s="35" t="s">
        <v>7492</v>
      </c>
      <c r="W25" s="35"/>
      <c r="X25" s="297" t="s">
        <v>34</v>
      </c>
      <c r="Y25" s="35" t="s">
        <v>7492</v>
      </c>
      <c r="Z25" s="35"/>
      <c r="AA25" s="297" t="s">
        <v>34</v>
      </c>
      <c r="AB25" s="35" t="s">
        <v>7487</v>
      </c>
      <c r="AC25" s="35"/>
      <c r="AD25" s="297"/>
      <c r="AE25" s="69"/>
      <c r="AF25" s="69"/>
      <c r="AG25" s="299"/>
      <c r="AH25" s="69"/>
      <c r="AI25" s="69"/>
      <c r="AJ25" s="297"/>
      <c r="AK25" s="13"/>
      <c r="AL25" s="301"/>
      <c r="AM25" s="300"/>
      <c r="AN25" s="13"/>
      <c r="AO25" s="301"/>
      <c r="AP25" s="300"/>
    </row>
    <row r="26">
      <c r="A26" s="13"/>
      <c r="B26" s="35" t="s">
        <v>7483</v>
      </c>
      <c r="C26" s="35" t="s">
        <v>7499</v>
      </c>
      <c r="D26" s="6">
        <v>1.0</v>
      </c>
      <c r="E26" s="6" t="s">
        <v>2728</v>
      </c>
      <c r="F26" s="13"/>
      <c r="G26" s="6" t="s">
        <v>1182</v>
      </c>
      <c r="H26" s="6" t="s">
        <v>1182</v>
      </c>
      <c r="I26" s="6"/>
      <c r="J26" s="13"/>
      <c r="K26" s="13"/>
      <c r="L26" s="35" t="s">
        <v>1095</v>
      </c>
      <c r="M26" s="69"/>
      <c r="N26" s="35" t="s">
        <v>1814</v>
      </c>
      <c r="O26" s="35" t="s">
        <v>1813</v>
      </c>
      <c r="P26" s="35" t="s">
        <v>7497</v>
      </c>
      <c r="Q26" s="35" t="s">
        <v>22</v>
      </c>
      <c r="R26" s="299" t="s">
        <v>35</v>
      </c>
      <c r="S26" s="35" t="s">
        <v>7492</v>
      </c>
      <c r="T26" s="35"/>
      <c r="U26" s="297" t="s">
        <v>34</v>
      </c>
      <c r="V26" s="35" t="s">
        <v>7492</v>
      </c>
      <c r="W26" s="106" t="s">
        <v>7500</v>
      </c>
      <c r="X26" s="297" t="s">
        <v>34</v>
      </c>
      <c r="Y26" s="35" t="s">
        <v>7492</v>
      </c>
      <c r="Z26" s="35"/>
      <c r="AA26" s="297" t="s">
        <v>34</v>
      </c>
      <c r="AB26" s="35" t="s">
        <v>7487</v>
      </c>
      <c r="AC26" s="106" t="s">
        <v>7500</v>
      </c>
      <c r="AD26" s="297"/>
      <c r="AE26" s="69"/>
      <c r="AF26" s="69"/>
      <c r="AG26" s="299"/>
      <c r="AH26" s="69"/>
      <c r="AI26" s="69"/>
      <c r="AJ26" s="297"/>
      <c r="AK26" s="13"/>
      <c r="AL26" s="301"/>
      <c r="AM26" s="300"/>
      <c r="AN26" s="13"/>
      <c r="AO26" s="301"/>
      <c r="AP26" s="300"/>
    </row>
    <row r="27">
      <c r="A27" s="13"/>
      <c r="B27" s="35" t="s">
        <v>7483</v>
      </c>
      <c r="C27" s="35" t="s">
        <v>7501</v>
      </c>
      <c r="D27" s="6">
        <v>1.0</v>
      </c>
      <c r="E27" s="6" t="s">
        <v>2728</v>
      </c>
      <c r="F27" s="13"/>
      <c r="G27" s="6" t="s">
        <v>1182</v>
      </c>
      <c r="H27" s="18" t="s">
        <v>7502</v>
      </c>
      <c r="I27" s="6" t="s">
        <v>7503</v>
      </c>
      <c r="J27" s="13"/>
      <c r="K27" s="13"/>
      <c r="L27" s="35" t="s">
        <v>1095</v>
      </c>
      <c r="M27" s="69"/>
      <c r="N27" s="35" t="s">
        <v>1814</v>
      </c>
      <c r="O27" s="35" t="s">
        <v>1813</v>
      </c>
      <c r="P27" s="35" t="s">
        <v>7486</v>
      </c>
      <c r="Q27" s="35" t="s">
        <v>22</v>
      </c>
      <c r="R27" s="302" t="s">
        <v>2625</v>
      </c>
      <c r="S27" s="6" t="s">
        <v>7504</v>
      </c>
      <c r="T27" s="6" t="s">
        <v>7505</v>
      </c>
      <c r="U27" s="302" t="s">
        <v>34</v>
      </c>
      <c r="V27" s="6" t="s">
        <v>7506</v>
      </c>
      <c r="W27" s="6" t="s">
        <v>7505</v>
      </c>
      <c r="X27" s="302" t="s">
        <v>34</v>
      </c>
      <c r="Y27" s="6" t="s">
        <v>7506</v>
      </c>
      <c r="Z27" s="6" t="s">
        <v>7505</v>
      </c>
      <c r="AA27" s="302" t="s">
        <v>34</v>
      </c>
      <c r="AB27" s="6" t="s">
        <v>7506</v>
      </c>
      <c r="AC27" s="6" t="s">
        <v>7505</v>
      </c>
      <c r="AD27" s="300"/>
      <c r="AE27" s="13"/>
      <c r="AF27" s="13"/>
      <c r="AG27" s="300"/>
      <c r="AH27" s="13"/>
      <c r="AI27" s="13"/>
      <c r="AJ27" s="300"/>
      <c r="AK27" s="13"/>
      <c r="AL27" s="301"/>
      <c r="AM27" s="300"/>
      <c r="AN27" s="13"/>
      <c r="AO27" s="301"/>
      <c r="AP27" s="300"/>
    </row>
    <row r="28">
      <c r="A28" s="13"/>
      <c r="B28" s="35" t="s">
        <v>7483</v>
      </c>
      <c r="C28" s="35" t="s">
        <v>7507</v>
      </c>
      <c r="D28" s="6">
        <v>1.0</v>
      </c>
      <c r="E28" s="6" t="s">
        <v>2728</v>
      </c>
      <c r="F28" s="13"/>
      <c r="G28" s="6" t="s">
        <v>1182</v>
      </c>
      <c r="H28" s="6" t="s">
        <v>1182</v>
      </c>
      <c r="I28" s="6" t="s">
        <v>7508</v>
      </c>
      <c r="J28" s="13"/>
      <c r="K28" s="13"/>
      <c r="L28" s="35" t="s">
        <v>1095</v>
      </c>
      <c r="M28" s="69"/>
      <c r="N28" s="35" t="s">
        <v>1814</v>
      </c>
      <c r="O28" s="35" t="s">
        <v>1813</v>
      </c>
      <c r="P28" s="35" t="s">
        <v>7486</v>
      </c>
      <c r="Q28" s="35" t="s">
        <v>22</v>
      </c>
      <c r="R28" s="299" t="s">
        <v>35</v>
      </c>
      <c r="S28" s="69"/>
      <c r="T28" s="69"/>
      <c r="U28" s="297" t="s">
        <v>34</v>
      </c>
      <c r="V28" s="69"/>
      <c r="W28" s="69"/>
      <c r="X28" s="297" t="s">
        <v>3288</v>
      </c>
      <c r="Y28" s="35" t="s">
        <v>7487</v>
      </c>
      <c r="Z28" s="69"/>
      <c r="AA28" s="297" t="s">
        <v>3288</v>
      </c>
      <c r="AB28" s="35" t="s">
        <v>7487</v>
      </c>
      <c r="AC28" s="69"/>
      <c r="AD28" s="300"/>
      <c r="AE28" s="13"/>
      <c r="AF28" s="13"/>
      <c r="AG28" s="300"/>
      <c r="AH28" s="13"/>
      <c r="AI28" s="13"/>
      <c r="AJ28" s="300"/>
      <c r="AK28" s="13"/>
      <c r="AL28" s="301"/>
      <c r="AM28" s="300"/>
      <c r="AN28" s="13"/>
      <c r="AO28" s="301"/>
      <c r="AP28" s="300"/>
    </row>
    <row r="29">
      <c r="A29" s="13"/>
      <c r="B29" s="35" t="s">
        <v>7483</v>
      </c>
      <c r="C29" s="35" t="s">
        <v>7509</v>
      </c>
      <c r="D29" s="6">
        <v>1.0</v>
      </c>
      <c r="E29" s="6" t="s">
        <v>2728</v>
      </c>
      <c r="F29" s="13"/>
      <c r="G29" s="6">
        <v>2001.0</v>
      </c>
      <c r="H29" s="18" t="s">
        <v>7510</v>
      </c>
      <c r="I29" s="6"/>
      <c r="J29" s="13"/>
      <c r="K29" s="13"/>
      <c r="L29" s="35" t="s">
        <v>35</v>
      </c>
      <c r="M29" s="69"/>
      <c r="N29" s="35" t="s">
        <v>1814</v>
      </c>
      <c r="O29" s="35" t="s">
        <v>1813</v>
      </c>
      <c r="P29" s="35" t="s">
        <v>7486</v>
      </c>
      <c r="Q29" s="35" t="s">
        <v>22</v>
      </c>
      <c r="R29" s="299" t="s">
        <v>35</v>
      </c>
      <c r="S29" s="35" t="s">
        <v>7511</v>
      </c>
      <c r="T29" s="69"/>
      <c r="U29" s="297" t="s">
        <v>34</v>
      </c>
      <c r="V29" s="35" t="s">
        <v>7511</v>
      </c>
      <c r="W29" s="18" t="s">
        <v>7512</v>
      </c>
      <c r="X29" s="297" t="s">
        <v>34</v>
      </c>
      <c r="Y29" s="35" t="s">
        <v>7513</v>
      </c>
      <c r="Z29" s="18" t="s">
        <v>7512</v>
      </c>
      <c r="AA29" s="297" t="s">
        <v>34</v>
      </c>
      <c r="AB29" s="35" t="s">
        <v>7493</v>
      </c>
      <c r="AC29" s="106" t="s">
        <v>7512</v>
      </c>
      <c r="AD29" s="300"/>
      <c r="AE29" s="13"/>
      <c r="AF29" s="13"/>
      <c r="AG29" s="300"/>
      <c r="AH29" s="13"/>
      <c r="AI29" s="13"/>
      <c r="AJ29" s="300"/>
      <c r="AK29" s="13"/>
      <c r="AL29" s="301"/>
      <c r="AM29" s="300"/>
      <c r="AN29" s="13"/>
      <c r="AO29" s="301"/>
      <c r="AP29" s="300"/>
    </row>
    <row r="30">
      <c r="A30" s="13"/>
      <c r="B30" s="35" t="s">
        <v>7483</v>
      </c>
      <c r="C30" s="35" t="s">
        <v>7514</v>
      </c>
      <c r="D30" s="6">
        <v>1.0</v>
      </c>
      <c r="E30" s="6" t="s">
        <v>2728</v>
      </c>
      <c r="F30" s="13"/>
      <c r="G30" s="6">
        <v>2008.0</v>
      </c>
      <c r="H30" s="18" t="s">
        <v>7515</v>
      </c>
      <c r="I30" s="6"/>
      <c r="J30" s="13"/>
      <c r="K30" s="13"/>
      <c r="L30" s="35" t="s">
        <v>35</v>
      </c>
      <c r="M30" s="69"/>
      <c r="N30" s="35" t="s">
        <v>1814</v>
      </c>
      <c r="O30" s="35" t="s">
        <v>1813</v>
      </c>
      <c r="P30" s="35" t="s">
        <v>7486</v>
      </c>
      <c r="Q30" s="35" t="s">
        <v>22</v>
      </c>
      <c r="R30" s="299" t="s">
        <v>35</v>
      </c>
      <c r="S30" s="35" t="s">
        <v>7511</v>
      </c>
      <c r="T30" s="69"/>
      <c r="U30" s="297" t="s">
        <v>34</v>
      </c>
      <c r="V30" s="35" t="s">
        <v>7511</v>
      </c>
      <c r="W30" s="18" t="s">
        <v>7515</v>
      </c>
      <c r="X30" s="297" t="s">
        <v>34</v>
      </c>
      <c r="Y30" s="35" t="s">
        <v>7513</v>
      </c>
      <c r="Z30" s="18" t="s">
        <v>7515</v>
      </c>
      <c r="AA30" s="297" t="s">
        <v>34</v>
      </c>
      <c r="AB30" s="35" t="s">
        <v>7493</v>
      </c>
      <c r="AC30" s="18" t="s">
        <v>7515</v>
      </c>
      <c r="AD30" s="300"/>
      <c r="AE30" s="13"/>
      <c r="AF30" s="13"/>
      <c r="AG30" s="300"/>
      <c r="AH30" s="13"/>
      <c r="AI30" s="13"/>
      <c r="AJ30" s="300"/>
      <c r="AK30" s="13"/>
      <c r="AL30" s="301"/>
      <c r="AM30" s="300"/>
      <c r="AN30" s="13"/>
      <c r="AO30" s="301"/>
      <c r="AP30" s="300"/>
    </row>
    <row r="31">
      <c r="A31" s="13"/>
      <c r="B31" s="35" t="s">
        <v>7483</v>
      </c>
      <c r="C31" s="35" t="s">
        <v>7516</v>
      </c>
      <c r="D31" s="6">
        <v>1.0</v>
      </c>
      <c r="E31" s="6" t="s">
        <v>2728</v>
      </c>
      <c r="F31" s="13"/>
      <c r="G31" s="6">
        <v>2007.0</v>
      </c>
      <c r="H31" s="18" t="s">
        <v>7517</v>
      </c>
      <c r="I31" s="6"/>
      <c r="J31" s="13"/>
      <c r="K31" s="13"/>
      <c r="L31" s="35" t="s">
        <v>35</v>
      </c>
      <c r="M31" s="69"/>
      <c r="N31" s="35" t="s">
        <v>1814</v>
      </c>
      <c r="O31" s="35" t="s">
        <v>1813</v>
      </c>
      <c r="P31" s="35" t="s">
        <v>1773</v>
      </c>
      <c r="Q31" s="35" t="s">
        <v>22</v>
      </c>
      <c r="R31" s="302" t="s">
        <v>35</v>
      </c>
      <c r="S31" s="6" t="s">
        <v>7487</v>
      </c>
      <c r="T31" s="18" t="s">
        <v>7517</v>
      </c>
      <c r="U31" s="302" t="s">
        <v>34</v>
      </c>
      <c r="V31" s="6" t="s">
        <v>7487</v>
      </c>
      <c r="W31" s="18" t="s">
        <v>7517</v>
      </c>
      <c r="X31" s="302" t="s">
        <v>34</v>
      </c>
      <c r="Y31" s="6" t="s">
        <v>7487</v>
      </c>
      <c r="Z31" s="18" t="s">
        <v>7517</v>
      </c>
      <c r="AA31" s="302" t="s">
        <v>34</v>
      </c>
      <c r="AB31" s="6" t="s">
        <v>7493</v>
      </c>
      <c r="AC31" s="18" t="s">
        <v>7517</v>
      </c>
      <c r="AD31" s="300"/>
      <c r="AE31" s="13"/>
      <c r="AF31" s="13"/>
      <c r="AG31" s="300"/>
      <c r="AH31" s="13"/>
      <c r="AI31" s="13"/>
      <c r="AJ31" s="300"/>
      <c r="AK31" s="13"/>
      <c r="AL31" s="301"/>
      <c r="AM31" s="300"/>
      <c r="AN31" s="13"/>
      <c r="AO31" s="301"/>
      <c r="AP31" s="300"/>
    </row>
    <row r="32">
      <c r="A32" s="13"/>
      <c r="B32" s="35" t="s">
        <v>7483</v>
      </c>
      <c r="C32" s="35" t="s">
        <v>7518</v>
      </c>
      <c r="D32" s="6">
        <v>1.0</v>
      </c>
      <c r="E32" s="6" t="s">
        <v>2728</v>
      </c>
      <c r="F32" s="13"/>
      <c r="G32" s="6">
        <v>2021.0</v>
      </c>
      <c r="H32" s="304" t="s">
        <v>7519</v>
      </c>
      <c r="I32" s="6" t="s">
        <v>7520</v>
      </c>
      <c r="J32" s="13"/>
      <c r="K32" s="13"/>
      <c r="L32" s="35" t="s">
        <v>7521</v>
      </c>
      <c r="M32" s="69"/>
      <c r="N32" s="35" t="s">
        <v>1814</v>
      </c>
      <c r="O32" s="35" t="s">
        <v>1813</v>
      </c>
      <c r="P32" s="35" t="s">
        <v>1773</v>
      </c>
      <c r="Q32" s="35" t="s">
        <v>22</v>
      </c>
      <c r="R32" s="302" t="s">
        <v>35</v>
      </c>
      <c r="S32" s="6" t="s">
        <v>7522</v>
      </c>
      <c r="T32" s="6"/>
      <c r="U32" s="302" t="s">
        <v>34</v>
      </c>
      <c r="V32" s="6" t="s">
        <v>7453</v>
      </c>
      <c r="W32" s="18" t="s">
        <v>7523</v>
      </c>
      <c r="X32" s="302" t="s">
        <v>34</v>
      </c>
      <c r="Y32" s="6" t="s">
        <v>7453</v>
      </c>
      <c r="Z32" s="19" t="s">
        <v>7523</v>
      </c>
      <c r="AA32" s="302" t="s">
        <v>34</v>
      </c>
      <c r="AB32" s="6" t="s">
        <v>7453</v>
      </c>
      <c r="AC32" s="19" t="s">
        <v>7523</v>
      </c>
      <c r="AD32" s="300"/>
      <c r="AE32" s="13"/>
      <c r="AF32" s="13"/>
      <c r="AG32" s="300"/>
      <c r="AH32" s="13"/>
      <c r="AI32" s="13"/>
      <c r="AJ32" s="300"/>
      <c r="AK32" s="13"/>
      <c r="AL32" s="301"/>
      <c r="AM32" s="300"/>
      <c r="AN32" s="13"/>
      <c r="AO32" s="301"/>
      <c r="AP32" s="300"/>
    </row>
    <row r="33">
      <c r="A33" s="13"/>
      <c r="B33" s="6" t="s">
        <v>7524</v>
      </c>
      <c r="C33" s="6" t="s">
        <v>7525</v>
      </c>
      <c r="D33" s="6">
        <v>1.0</v>
      </c>
      <c r="E33" s="6" t="s">
        <v>7526</v>
      </c>
      <c r="F33" s="13"/>
      <c r="G33" s="6" t="s">
        <v>1182</v>
      </c>
      <c r="H33" s="6" t="s">
        <v>1182</v>
      </c>
      <c r="I33" s="6"/>
      <c r="J33" s="13"/>
      <c r="K33" s="13"/>
      <c r="L33" s="6" t="s">
        <v>3296</v>
      </c>
      <c r="M33" s="13"/>
      <c r="N33" s="35" t="s">
        <v>1814</v>
      </c>
      <c r="O33" s="35" t="s">
        <v>1813</v>
      </c>
      <c r="P33" s="6" t="s">
        <v>7527</v>
      </c>
      <c r="Q33" s="6" t="s">
        <v>22</v>
      </c>
      <c r="R33" s="302" t="s">
        <v>399</v>
      </c>
      <c r="S33" s="6" t="s">
        <v>7528</v>
      </c>
      <c r="T33" s="13"/>
      <c r="U33" s="302" t="s">
        <v>35</v>
      </c>
      <c r="V33" s="6" t="s">
        <v>7528</v>
      </c>
      <c r="W33" s="13"/>
      <c r="X33" s="302" t="s">
        <v>35</v>
      </c>
      <c r="Y33" s="6" t="s">
        <v>7528</v>
      </c>
      <c r="Z33" s="13"/>
      <c r="AA33" s="302" t="s">
        <v>35</v>
      </c>
      <c r="AB33" s="6" t="s">
        <v>7528</v>
      </c>
      <c r="AC33" s="13"/>
      <c r="AD33" s="300"/>
      <c r="AE33" s="13"/>
      <c r="AF33" s="13"/>
      <c r="AG33" s="300"/>
      <c r="AH33" s="13"/>
      <c r="AI33" s="13"/>
      <c r="AJ33" s="300"/>
      <c r="AK33" s="13"/>
      <c r="AL33" s="301"/>
      <c r="AM33" s="300"/>
      <c r="AN33" s="13"/>
      <c r="AO33" s="301"/>
      <c r="AP33" s="300"/>
    </row>
    <row r="34">
      <c r="A34" s="13"/>
      <c r="B34" s="6" t="s">
        <v>7524</v>
      </c>
      <c r="C34" s="6" t="s">
        <v>7529</v>
      </c>
      <c r="D34" s="6">
        <v>1.0</v>
      </c>
      <c r="E34" s="6" t="s">
        <v>7530</v>
      </c>
      <c r="F34" s="13"/>
      <c r="G34" s="6">
        <v>1959.0</v>
      </c>
      <c r="H34" s="18" t="s">
        <v>7531</v>
      </c>
      <c r="I34" s="6"/>
      <c r="J34" s="13"/>
      <c r="K34" s="13"/>
      <c r="L34" s="6" t="s">
        <v>3296</v>
      </c>
      <c r="M34" s="13"/>
      <c r="N34" s="35" t="s">
        <v>1814</v>
      </c>
      <c r="O34" s="35" t="s">
        <v>1813</v>
      </c>
      <c r="P34" s="6" t="s">
        <v>7527</v>
      </c>
      <c r="Q34" s="6" t="s">
        <v>22</v>
      </c>
      <c r="R34" s="302" t="s">
        <v>399</v>
      </c>
      <c r="S34" s="13"/>
      <c r="T34" s="13"/>
      <c r="U34" s="302" t="s">
        <v>35</v>
      </c>
      <c r="V34" s="13"/>
      <c r="W34" s="13"/>
      <c r="X34" s="302" t="s">
        <v>35</v>
      </c>
      <c r="Y34" s="13"/>
      <c r="Z34" s="13"/>
      <c r="AA34" s="302" t="s">
        <v>35</v>
      </c>
      <c r="AB34" s="13"/>
      <c r="AC34" s="13"/>
      <c r="AD34" s="300"/>
      <c r="AE34" s="13"/>
      <c r="AF34" s="13"/>
      <c r="AG34" s="300"/>
      <c r="AH34" s="13"/>
      <c r="AI34" s="13"/>
      <c r="AJ34" s="300"/>
      <c r="AK34" s="13"/>
      <c r="AL34" s="301"/>
      <c r="AM34" s="300"/>
      <c r="AN34" s="13"/>
      <c r="AO34" s="301"/>
      <c r="AP34" s="300"/>
    </row>
    <row r="35">
      <c r="A35" s="13"/>
      <c r="B35" s="6" t="s">
        <v>7524</v>
      </c>
      <c r="C35" s="6" t="s">
        <v>7532</v>
      </c>
      <c r="D35" s="6">
        <v>1.0</v>
      </c>
      <c r="E35" s="6" t="s">
        <v>7533</v>
      </c>
      <c r="F35" s="13"/>
      <c r="G35" s="6">
        <v>1979.0</v>
      </c>
      <c r="H35" s="18" t="s">
        <v>7534</v>
      </c>
      <c r="I35" s="6"/>
      <c r="J35" s="13"/>
      <c r="K35" s="13"/>
      <c r="L35" s="6" t="s">
        <v>399</v>
      </c>
      <c r="M35" s="18" t="s">
        <v>7534</v>
      </c>
      <c r="N35" s="35" t="s">
        <v>1814</v>
      </c>
      <c r="O35" s="35" t="s">
        <v>1813</v>
      </c>
      <c r="P35" s="6" t="s">
        <v>7527</v>
      </c>
      <c r="Q35" s="6" t="s">
        <v>22</v>
      </c>
      <c r="R35" s="302" t="s">
        <v>7535</v>
      </c>
      <c r="S35" s="6"/>
      <c r="T35" s="13"/>
      <c r="U35" s="302" t="s">
        <v>7536</v>
      </c>
      <c r="V35" s="6" t="s">
        <v>7537</v>
      </c>
      <c r="W35" s="13"/>
      <c r="X35" s="302" t="s">
        <v>7536</v>
      </c>
      <c r="Y35" s="6" t="s">
        <v>7537</v>
      </c>
      <c r="Z35" s="13"/>
      <c r="AA35" s="302" t="s">
        <v>7536</v>
      </c>
      <c r="AB35" s="13"/>
      <c r="AC35" s="18" t="s">
        <v>7534</v>
      </c>
      <c r="AD35" s="300"/>
      <c r="AE35" s="13"/>
      <c r="AF35" s="13"/>
      <c r="AG35" s="300"/>
      <c r="AH35" s="13"/>
      <c r="AI35" s="13"/>
      <c r="AJ35" s="300"/>
      <c r="AK35" s="13"/>
      <c r="AL35" s="301"/>
      <c r="AM35" s="300"/>
      <c r="AN35" s="13"/>
      <c r="AO35" s="301"/>
      <c r="AP35" s="300"/>
    </row>
    <row r="36">
      <c r="A36" s="13"/>
      <c r="B36" s="6" t="s">
        <v>7524</v>
      </c>
      <c r="C36" s="6" t="s">
        <v>7538</v>
      </c>
      <c r="D36" s="6">
        <v>0.001</v>
      </c>
      <c r="E36" s="6" t="s">
        <v>7539</v>
      </c>
      <c r="F36" s="13"/>
      <c r="G36" s="6">
        <v>2000.0</v>
      </c>
      <c r="H36" s="18" t="s">
        <v>7540</v>
      </c>
      <c r="I36" s="6"/>
      <c r="J36" s="13"/>
      <c r="K36" s="13"/>
      <c r="L36" s="6" t="s">
        <v>2625</v>
      </c>
      <c r="M36" s="13"/>
      <c r="N36" s="35" t="s">
        <v>1814</v>
      </c>
      <c r="O36" s="35" t="s">
        <v>1813</v>
      </c>
      <c r="P36" s="6" t="s">
        <v>7541</v>
      </c>
      <c r="Q36" s="6" t="s">
        <v>22</v>
      </c>
      <c r="R36" s="302" t="s">
        <v>7467</v>
      </c>
      <c r="S36" s="6" t="s">
        <v>7542</v>
      </c>
      <c r="T36" s="6"/>
      <c r="U36" s="302" t="s">
        <v>7449</v>
      </c>
      <c r="V36" s="13"/>
      <c r="W36" s="18" t="s">
        <v>7543</v>
      </c>
      <c r="X36" s="302" t="s">
        <v>7449</v>
      </c>
      <c r="Y36" s="13"/>
      <c r="Z36" s="18" t="s">
        <v>7543</v>
      </c>
      <c r="AA36" s="302" t="s">
        <v>7449</v>
      </c>
      <c r="AB36" s="13"/>
      <c r="AC36" s="18" t="s">
        <v>7543</v>
      </c>
      <c r="AD36" s="300"/>
      <c r="AE36" s="13"/>
      <c r="AF36" s="13"/>
      <c r="AG36" s="300"/>
      <c r="AH36" s="13"/>
      <c r="AI36" s="13"/>
      <c r="AJ36" s="300"/>
      <c r="AK36" s="13"/>
      <c r="AL36" s="301"/>
      <c r="AM36" s="300"/>
      <c r="AN36" s="13"/>
      <c r="AO36" s="301"/>
      <c r="AP36" s="300"/>
    </row>
    <row r="37">
      <c r="A37" s="13"/>
      <c r="B37" s="6" t="s">
        <v>7544</v>
      </c>
      <c r="C37" s="6" t="s">
        <v>7545</v>
      </c>
      <c r="D37" s="6">
        <v>1.0</v>
      </c>
      <c r="E37" s="6" t="s">
        <v>7546</v>
      </c>
      <c r="F37" s="13"/>
      <c r="G37" s="6">
        <v>1975.0</v>
      </c>
      <c r="H37" s="18" t="s">
        <v>7547</v>
      </c>
      <c r="I37" s="6"/>
      <c r="J37" s="13"/>
      <c r="K37" s="13"/>
      <c r="L37" s="6" t="s">
        <v>5185</v>
      </c>
      <c r="M37" s="18" t="s">
        <v>7547</v>
      </c>
      <c r="N37" s="35" t="s">
        <v>1814</v>
      </c>
      <c r="O37" s="35" t="s">
        <v>1813</v>
      </c>
      <c r="P37" s="6" t="s">
        <v>7548</v>
      </c>
      <c r="Q37" s="303" t="s">
        <v>7549</v>
      </c>
      <c r="R37" s="6" t="s">
        <v>7550</v>
      </c>
      <c r="S37" s="13"/>
      <c r="T37" s="18" t="s">
        <v>7547</v>
      </c>
      <c r="U37" s="302" t="s">
        <v>7551</v>
      </c>
      <c r="V37" s="13"/>
      <c r="W37" s="18" t="s">
        <v>7547</v>
      </c>
      <c r="X37" s="302" t="s">
        <v>7551</v>
      </c>
      <c r="Y37" s="13"/>
      <c r="Z37" s="18" t="s">
        <v>7547</v>
      </c>
      <c r="AA37" s="302" t="s">
        <v>7551</v>
      </c>
      <c r="AB37" s="13"/>
      <c r="AC37" s="18" t="s">
        <v>7547</v>
      </c>
      <c r="AD37" s="302" t="s">
        <v>7551</v>
      </c>
      <c r="AE37" s="13"/>
      <c r="AF37" s="18" t="s">
        <v>7547</v>
      </c>
      <c r="AG37" s="302" t="s">
        <v>7552</v>
      </c>
      <c r="AH37" s="13"/>
      <c r="AI37" s="13"/>
      <c r="AJ37" s="302" t="s">
        <v>34</v>
      </c>
      <c r="AK37" s="6" t="s">
        <v>7553</v>
      </c>
      <c r="AL37" s="301"/>
      <c r="AM37" s="300"/>
      <c r="AN37" s="13"/>
      <c r="AO37" s="301"/>
      <c r="AP37" s="300"/>
    </row>
    <row r="38">
      <c r="A38" s="13"/>
      <c r="B38" s="6" t="s">
        <v>7544</v>
      </c>
      <c r="C38" s="6" t="s">
        <v>7554</v>
      </c>
      <c r="D38" s="6">
        <v>1.0</v>
      </c>
      <c r="E38" s="6" t="s">
        <v>7546</v>
      </c>
      <c r="F38" s="13"/>
      <c r="G38" s="6">
        <v>1982.0</v>
      </c>
      <c r="H38" s="18" t="s">
        <v>7555</v>
      </c>
      <c r="I38" s="6" t="s">
        <v>7556</v>
      </c>
      <c r="J38" s="13"/>
      <c r="K38" s="13"/>
      <c r="L38" s="6" t="s">
        <v>7557</v>
      </c>
      <c r="M38" s="18" t="s">
        <v>7555</v>
      </c>
      <c r="N38" s="35" t="s">
        <v>1814</v>
      </c>
      <c r="O38" s="35" t="s">
        <v>1813</v>
      </c>
      <c r="P38" s="6" t="s">
        <v>7548</v>
      </c>
      <c r="Q38" s="303" t="s">
        <v>7549</v>
      </c>
      <c r="R38" s="302" t="s">
        <v>7557</v>
      </c>
      <c r="S38" s="13"/>
      <c r="T38" s="13"/>
      <c r="U38" s="302" t="s">
        <v>7558</v>
      </c>
      <c r="V38" s="13"/>
      <c r="W38" s="18" t="s">
        <v>7559</v>
      </c>
      <c r="X38" s="302" t="s">
        <v>7558</v>
      </c>
      <c r="Y38" s="13"/>
      <c r="Z38" s="18" t="s">
        <v>7559</v>
      </c>
      <c r="AA38" s="302" t="s">
        <v>7551</v>
      </c>
      <c r="AB38" s="13"/>
      <c r="AC38" s="18" t="s">
        <v>7555</v>
      </c>
      <c r="AD38" s="302" t="s">
        <v>7551</v>
      </c>
      <c r="AE38" s="13"/>
      <c r="AF38" s="18" t="s">
        <v>7555</v>
      </c>
      <c r="AG38" s="302" t="s">
        <v>7560</v>
      </c>
      <c r="AH38" s="13"/>
      <c r="AI38" s="13"/>
      <c r="AJ38" s="302" t="s">
        <v>7561</v>
      </c>
      <c r="AK38" s="13"/>
      <c r="AL38" s="305"/>
      <c r="AM38" s="300"/>
      <c r="AN38" s="13"/>
      <c r="AO38" s="301"/>
      <c r="AP38" s="300"/>
    </row>
    <row r="39">
      <c r="A39" s="13"/>
      <c r="B39" s="6" t="s">
        <v>7544</v>
      </c>
      <c r="C39" s="6" t="s">
        <v>7562</v>
      </c>
      <c r="D39" s="6">
        <v>1.0</v>
      </c>
      <c r="E39" s="6" t="s">
        <v>7546</v>
      </c>
      <c r="F39" s="13"/>
      <c r="G39" s="6">
        <v>1982.0</v>
      </c>
      <c r="H39" s="18" t="s">
        <v>7555</v>
      </c>
      <c r="I39" s="6"/>
      <c r="J39" s="13"/>
      <c r="K39" s="13"/>
      <c r="L39" s="6" t="s">
        <v>35</v>
      </c>
      <c r="M39" s="18" t="s">
        <v>7555</v>
      </c>
      <c r="N39" s="35" t="s">
        <v>1814</v>
      </c>
      <c r="O39" s="35" t="s">
        <v>1813</v>
      </c>
      <c r="P39" s="6" t="s">
        <v>7548</v>
      </c>
      <c r="Q39" s="303" t="s">
        <v>7549</v>
      </c>
      <c r="R39" s="302" t="s">
        <v>7563</v>
      </c>
      <c r="S39" s="6" t="s">
        <v>7564</v>
      </c>
      <c r="T39" s="13"/>
      <c r="U39" s="302" t="s">
        <v>7551</v>
      </c>
      <c r="V39" s="6" t="s">
        <v>7564</v>
      </c>
      <c r="W39" s="18" t="s">
        <v>7559</v>
      </c>
      <c r="X39" s="302" t="s">
        <v>7551</v>
      </c>
      <c r="Y39" s="6" t="s">
        <v>7564</v>
      </c>
      <c r="Z39" s="18" t="s">
        <v>7559</v>
      </c>
      <c r="AA39" s="302" t="s">
        <v>7551</v>
      </c>
      <c r="AB39" s="13"/>
      <c r="AC39" s="18" t="s">
        <v>7555</v>
      </c>
      <c r="AD39" s="302" t="s">
        <v>7551</v>
      </c>
      <c r="AE39" s="13"/>
      <c r="AF39" s="18" t="s">
        <v>7555</v>
      </c>
      <c r="AG39" s="302" t="s">
        <v>7552</v>
      </c>
      <c r="AH39" s="13"/>
      <c r="AI39" s="13"/>
      <c r="AJ39" s="302" t="s">
        <v>7561</v>
      </c>
      <c r="AK39" s="13"/>
      <c r="AL39" s="301"/>
      <c r="AM39" s="300"/>
      <c r="AN39" s="13"/>
      <c r="AO39" s="301"/>
      <c r="AP39" s="300"/>
    </row>
    <row r="40">
      <c r="A40" s="13"/>
      <c r="B40" s="34" t="s">
        <v>7544</v>
      </c>
      <c r="C40" s="35" t="s">
        <v>7565</v>
      </c>
      <c r="D40" s="196">
        <v>1.0</v>
      </c>
      <c r="E40" s="6" t="s">
        <v>7546</v>
      </c>
      <c r="F40" s="13"/>
      <c r="G40" s="6">
        <v>1981.0</v>
      </c>
      <c r="H40" s="18" t="s">
        <v>7566</v>
      </c>
      <c r="I40" s="6" t="s">
        <v>7567</v>
      </c>
      <c r="J40" s="13"/>
      <c r="K40" s="13"/>
      <c r="L40" s="6" t="s">
        <v>7568</v>
      </c>
      <c r="M40" s="18" t="s">
        <v>7566</v>
      </c>
      <c r="N40" s="35" t="s">
        <v>1814</v>
      </c>
      <c r="O40" s="35" t="s">
        <v>1813</v>
      </c>
      <c r="P40" s="6" t="s">
        <v>7548</v>
      </c>
      <c r="Q40" s="303" t="s">
        <v>7549</v>
      </c>
      <c r="R40" s="6" t="s">
        <v>7569</v>
      </c>
      <c r="S40" s="13"/>
      <c r="T40" s="301"/>
      <c r="U40" s="6" t="s">
        <v>7570</v>
      </c>
      <c r="V40" s="13"/>
      <c r="W40" s="306" t="s">
        <v>7566</v>
      </c>
      <c r="X40" s="6" t="s">
        <v>7570</v>
      </c>
      <c r="Y40" s="13"/>
      <c r="Z40" s="18" t="s">
        <v>7566</v>
      </c>
      <c r="AA40" s="302" t="s">
        <v>7570</v>
      </c>
      <c r="AB40" s="13"/>
      <c r="AC40" s="18" t="s">
        <v>7566</v>
      </c>
      <c r="AD40" s="302" t="s">
        <v>7570</v>
      </c>
      <c r="AE40" s="13"/>
      <c r="AF40" s="6"/>
      <c r="AG40" s="302" t="s">
        <v>7569</v>
      </c>
      <c r="AH40" s="13"/>
      <c r="AI40" s="13"/>
      <c r="AJ40" s="302" t="s">
        <v>7571</v>
      </c>
      <c r="AK40" s="13"/>
      <c r="AL40" s="301"/>
      <c r="AM40" s="300"/>
      <c r="AN40" s="13"/>
      <c r="AO40" s="301"/>
      <c r="AP40" s="300"/>
    </row>
    <row r="41">
      <c r="A41" s="13"/>
      <c r="B41" s="34" t="s">
        <v>7544</v>
      </c>
      <c r="C41" s="35" t="s">
        <v>7572</v>
      </c>
      <c r="D41" s="196">
        <v>1.0</v>
      </c>
      <c r="E41" s="6" t="s">
        <v>7546</v>
      </c>
      <c r="F41" s="13"/>
      <c r="G41" s="6">
        <v>1981.0</v>
      </c>
      <c r="H41" s="18" t="s">
        <v>7566</v>
      </c>
      <c r="I41" s="6"/>
      <c r="J41" s="13"/>
      <c r="K41" s="13"/>
      <c r="L41" s="6" t="s">
        <v>35</v>
      </c>
      <c r="M41" s="18" t="s">
        <v>7566</v>
      </c>
      <c r="N41" s="35" t="s">
        <v>1814</v>
      </c>
      <c r="O41" s="35" t="s">
        <v>1813</v>
      </c>
      <c r="P41" s="6" t="s">
        <v>7548</v>
      </c>
      <c r="Q41" s="303" t="s">
        <v>7549</v>
      </c>
      <c r="R41" s="6" t="s">
        <v>7569</v>
      </c>
      <c r="S41" s="13"/>
      <c r="T41" s="301"/>
      <c r="U41" s="6" t="s">
        <v>7570</v>
      </c>
      <c r="V41" s="13"/>
      <c r="W41" s="306" t="s">
        <v>7566</v>
      </c>
      <c r="X41" s="6" t="s">
        <v>7570</v>
      </c>
      <c r="Y41" s="13"/>
      <c r="Z41" s="18" t="s">
        <v>7566</v>
      </c>
      <c r="AA41" s="302" t="s">
        <v>7570</v>
      </c>
      <c r="AB41" s="13"/>
      <c r="AC41" s="18" t="s">
        <v>7566</v>
      </c>
      <c r="AD41" s="302" t="s">
        <v>7570</v>
      </c>
      <c r="AE41" s="13"/>
      <c r="AF41" s="6"/>
      <c r="AG41" s="302" t="s">
        <v>7569</v>
      </c>
      <c r="AH41" s="13"/>
      <c r="AI41" s="13"/>
      <c r="AJ41" s="302" t="s">
        <v>7571</v>
      </c>
      <c r="AK41" s="13"/>
      <c r="AL41" s="301"/>
      <c r="AM41" s="300"/>
      <c r="AN41" s="13"/>
      <c r="AO41" s="301"/>
      <c r="AP41" s="300"/>
    </row>
    <row r="42">
      <c r="A42" s="13"/>
      <c r="B42" s="6" t="s">
        <v>7544</v>
      </c>
      <c r="C42" s="6" t="s">
        <v>7573</v>
      </c>
      <c r="D42" s="6">
        <v>1.0</v>
      </c>
      <c r="E42" s="6" t="s">
        <v>7546</v>
      </c>
      <c r="F42" s="13"/>
      <c r="G42" s="6">
        <v>1990.0</v>
      </c>
      <c r="H42" s="18" t="s">
        <v>7574</v>
      </c>
      <c r="I42" s="6"/>
      <c r="J42" s="13"/>
      <c r="K42" s="13"/>
      <c r="L42" s="6" t="s">
        <v>35</v>
      </c>
      <c r="M42" s="18" t="s">
        <v>7574</v>
      </c>
      <c r="N42" s="35" t="s">
        <v>1814</v>
      </c>
      <c r="O42" s="35" t="s">
        <v>1813</v>
      </c>
      <c r="P42" s="6" t="s">
        <v>7548</v>
      </c>
      <c r="Q42" s="303" t="s">
        <v>22</v>
      </c>
      <c r="R42" s="302" t="s">
        <v>7575</v>
      </c>
      <c r="S42" s="13"/>
      <c r="T42" s="13"/>
      <c r="U42" s="302" t="s">
        <v>7576</v>
      </c>
      <c r="V42" s="13"/>
      <c r="W42" s="19" t="s">
        <v>7574</v>
      </c>
      <c r="X42" s="302" t="s">
        <v>7576</v>
      </c>
      <c r="Y42" s="13"/>
      <c r="Z42" s="19" t="s">
        <v>7574</v>
      </c>
      <c r="AA42" s="302" t="s">
        <v>7576</v>
      </c>
      <c r="AB42" s="13"/>
      <c r="AC42" s="19" t="s">
        <v>7574</v>
      </c>
      <c r="AD42" s="302" t="s">
        <v>7576</v>
      </c>
      <c r="AE42" s="13"/>
      <c r="AF42" s="19" t="s">
        <v>7574</v>
      </c>
      <c r="AG42" s="302" t="s">
        <v>7577</v>
      </c>
      <c r="AH42" s="13"/>
      <c r="AI42" s="13"/>
      <c r="AJ42" s="302" t="s">
        <v>7578</v>
      </c>
      <c r="AK42" s="13"/>
      <c r="AL42" s="301"/>
      <c r="AM42" s="300"/>
      <c r="AN42" s="13"/>
      <c r="AO42" s="301"/>
      <c r="AP42" s="300"/>
    </row>
    <row r="43">
      <c r="A43" s="13"/>
      <c r="B43" s="6" t="s">
        <v>7544</v>
      </c>
      <c r="C43" s="6" t="s">
        <v>7579</v>
      </c>
      <c r="D43" s="6">
        <v>1.0</v>
      </c>
      <c r="E43" s="6" t="s">
        <v>7546</v>
      </c>
      <c r="F43" s="13"/>
      <c r="G43" s="6">
        <v>1996.0</v>
      </c>
      <c r="H43" s="18" t="s">
        <v>7580</v>
      </c>
      <c r="I43" s="6"/>
      <c r="J43" s="13"/>
      <c r="K43" s="13"/>
      <c r="L43" s="6" t="s">
        <v>35</v>
      </c>
      <c r="M43" s="18" t="s">
        <v>7580</v>
      </c>
      <c r="N43" s="35" t="s">
        <v>1814</v>
      </c>
      <c r="O43" s="35" t="s">
        <v>1813</v>
      </c>
      <c r="P43" s="6" t="s">
        <v>7548</v>
      </c>
      <c r="Q43" s="303" t="s">
        <v>22</v>
      </c>
      <c r="R43" s="302" t="s">
        <v>7581</v>
      </c>
      <c r="S43" s="13"/>
      <c r="T43" s="19" t="s">
        <v>7580</v>
      </c>
      <c r="U43" s="302" t="s">
        <v>7582</v>
      </c>
      <c r="V43" s="6" t="s">
        <v>7448</v>
      </c>
      <c r="W43" s="19" t="s">
        <v>7580</v>
      </c>
      <c r="X43" s="302" t="s">
        <v>7582</v>
      </c>
      <c r="Y43" s="6" t="s">
        <v>7448</v>
      </c>
      <c r="Z43" s="19" t="s">
        <v>7580</v>
      </c>
      <c r="AA43" s="302" t="s">
        <v>7582</v>
      </c>
      <c r="AB43" s="6"/>
      <c r="AC43" s="19" t="s">
        <v>7580</v>
      </c>
      <c r="AD43" s="302" t="s">
        <v>7582</v>
      </c>
      <c r="AE43" s="6"/>
      <c r="AF43" s="19" t="s">
        <v>7580</v>
      </c>
      <c r="AG43" s="302" t="s">
        <v>7581</v>
      </c>
      <c r="AH43" s="13"/>
      <c r="AI43" s="44"/>
      <c r="AJ43" s="302" t="s">
        <v>7582</v>
      </c>
      <c r="AK43" s="6"/>
      <c r="AL43" s="305"/>
      <c r="AM43" s="300"/>
      <c r="AN43" s="13"/>
      <c r="AO43" s="301"/>
      <c r="AP43" s="300"/>
    </row>
    <row r="44">
      <c r="A44" s="13"/>
      <c r="B44" s="6" t="s">
        <v>7544</v>
      </c>
      <c r="C44" s="6" t="s">
        <v>7583</v>
      </c>
      <c r="D44" s="6">
        <v>1.0</v>
      </c>
      <c r="E44" s="6" t="s">
        <v>7546</v>
      </c>
      <c r="F44" s="13"/>
      <c r="G44" s="6">
        <v>2007.0</v>
      </c>
      <c r="H44" s="304" t="s">
        <v>7584</v>
      </c>
      <c r="I44" s="6"/>
      <c r="J44" s="13"/>
      <c r="K44" s="13"/>
      <c r="L44" s="6" t="s">
        <v>35</v>
      </c>
      <c r="M44" s="18" t="s">
        <v>7584</v>
      </c>
      <c r="N44" s="35" t="s">
        <v>1814</v>
      </c>
      <c r="O44" s="35" t="s">
        <v>1813</v>
      </c>
      <c r="P44" s="6" t="s">
        <v>7548</v>
      </c>
      <c r="Q44" s="303" t="s">
        <v>22</v>
      </c>
      <c r="R44" s="302" t="s">
        <v>7585</v>
      </c>
      <c r="S44" s="13"/>
      <c r="T44" s="13"/>
      <c r="U44" s="302" t="s">
        <v>7586</v>
      </c>
      <c r="V44" s="13"/>
      <c r="W44" s="19" t="s">
        <v>7587</v>
      </c>
      <c r="X44" s="302" t="s">
        <v>7586</v>
      </c>
      <c r="Y44" s="13"/>
      <c r="Z44" s="19" t="s">
        <v>7588</v>
      </c>
      <c r="AA44" s="302" t="s">
        <v>7586</v>
      </c>
      <c r="AB44" s="13"/>
      <c r="AC44" s="19" t="s">
        <v>7589</v>
      </c>
      <c r="AD44" s="302" t="s">
        <v>7586</v>
      </c>
      <c r="AE44" s="13"/>
      <c r="AF44" s="19" t="s">
        <v>7590</v>
      </c>
      <c r="AG44" s="302" t="s">
        <v>7585</v>
      </c>
      <c r="AH44" s="13"/>
      <c r="AI44" s="13"/>
      <c r="AJ44" s="302" t="s">
        <v>7586</v>
      </c>
      <c r="AK44" s="13"/>
      <c r="AL44" s="307" t="s">
        <v>7591</v>
      </c>
      <c r="AM44" s="300"/>
      <c r="AN44" s="13"/>
      <c r="AO44" s="301"/>
      <c r="AP44" s="300"/>
    </row>
    <row r="45">
      <c r="A45" s="13"/>
      <c r="B45" s="6" t="s">
        <v>7544</v>
      </c>
      <c r="C45" s="6" t="s">
        <v>7592</v>
      </c>
      <c r="D45" s="6">
        <v>1.0</v>
      </c>
      <c r="E45" s="6" t="s">
        <v>7546</v>
      </c>
      <c r="F45" s="13"/>
      <c r="G45" s="6">
        <v>2014.0</v>
      </c>
      <c r="H45" s="18" t="s">
        <v>7593</v>
      </c>
      <c r="I45" s="6"/>
      <c r="J45" s="13"/>
      <c r="K45" s="13"/>
      <c r="L45" s="6" t="s">
        <v>35</v>
      </c>
      <c r="M45" s="18" t="s">
        <v>7593</v>
      </c>
      <c r="N45" s="35" t="s">
        <v>1814</v>
      </c>
      <c r="O45" s="35" t="s">
        <v>1813</v>
      </c>
      <c r="P45" s="6" t="s">
        <v>7548</v>
      </c>
      <c r="Q45" s="303" t="s">
        <v>22</v>
      </c>
      <c r="R45" s="302" t="s">
        <v>7594</v>
      </c>
      <c r="S45" s="13"/>
      <c r="T45" s="13"/>
      <c r="U45" s="302" t="s">
        <v>7595</v>
      </c>
      <c r="V45" s="13"/>
      <c r="W45" s="19" t="s">
        <v>7593</v>
      </c>
      <c r="X45" s="302" t="s">
        <v>7595</v>
      </c>
      <c r="Y45" s="13"/>
      <c r="Z45" s="19" t="s">
        <v>7593</v>
      </c>
      <c r="AA45" s="302" t="s">
        <v>7595</v>
      </c>
      <c r="AB45" s="13"/>
      <c r="AC45" s="19" t="s">
        <v>7593</v>
      </c>
      <c r="AD45" s="302" t="s">
        <v>7595</v>
      </c>
      <c r="AE45" s="13"/>
      <c r="AF45" s="19" t="s">
        <v>7593</v>
      </c>
      <c r="AG45" s="302" t="s">
        <v>7596</v>
      </c>
      <c r="AH45" s="13"/>
      <c r="AI45" s="13"/>
      <c r="AJ45" s="302" t="s">
        <v>7595</v>
      </c>
      <c r="AK45" s="13"/>
      <c r="AL45" s="307" t="s">
        <v>7593</v>
      </c>
      <c r="AM45" s="300"/>
      <c r="AN45" s="13"/>
      <c r="AO45" s="301"/>
      <c r="AP45" s="300"/>
    </row>
    <row r="46">
      <c r="A46" s="13"/>
      <c r="B46" s="6" t="s">
        <v>7597</v>
      </c>
      <c r="C46" s="6" t="s">
        <v>7598</v>
      </c>
      <c r="D46" s="6">
        <v>1.0</v>
      </c>
      <c r="E46" s="6" t="s">
        <v>7599</v>
      </c>
      <c r="F46" s="13"/>
      <c r="G46" s="6" t="s">
        <v>1182</v>
      </c>
      <c r="H46" s="6" t="s">
        <v>1182</v>
      </c>
      <c r="I46" s="6"/>
      <c r="J46" s="13"/>
      <c r="K46" s="13"/>
      <c r="L46" s="6" t="s">
        <v>35</v>
      </c>
      <c r="M46" s="13"/>
      <c r="N46" s="35" t="s">
        <v>1814</v>
      </c>
      <c r="O46" s="35" t="s">
        <v>1813</v>
      </c>
      <c r="P46" s="35" t="s">
        <v>1773</v>
      </c>
      <c r="Q46" s="35" t="s">
        <v>22</v>
      </c>
      <c r="R46" s="302" t="s">
        <v>35</v>
      </c>
      <c r="S46" s="13"/>
      <c r="T46" s="18" t="s">
        <v>7600</v>
      </c>
      <c r="U46" s="302" t="s">
        <v>34</v>
      </c>
      <c r="V46" s="13"/>
      <c r="W46" s="18" t="s">
        <v>7600</v>
      </c>
      <c r="X46" s="302" t="s">
        <v>35</v>
      </c>
      <c r="Y46" s="6"/>
      <c r="Z46" s="183" t="s">
        <v>7600</v>
      </c>
      <c r="AA46" s="300"/>
      <c r="AB46" s="13"/>
      <c r="AC46" s="13"/>
      <c r="AD46" s="300"/>
      <c r="AE46" s="13"/>
      <c r="AF46" s="13"/>
      <c r="AG46" s="302" t="s">
        <v>2625</v>
      </c>
      <c r="AH46" s="13"/>
      <c r="AI46" s="13"/>
      <c r="AJ46" s="302" t="s">
        <v>35</v>
      </c>
      <c r="AK46" s="6"/>
      <c r="AL46" s="301"/>
      <c r="AM46" s="302" t="s">
        <v>35</v>
      </c>
      <c r="AN46" s="13"/>
      <c r="AO46" s="301"/>
      <c r="AP46" s="300"/>
    </row>
    <row r="47">
      <c r="A47" s="13"/>
      <c r="B47" s="6" t="s">
        <v>7597</v>
      </c>
      <c r="C47" s="6" t="s">
        <v>7601</v>
      </c>
      <c r="D47" s="6">
        <v>1.0</v>
      </c>
      <c r="E47" s="6" t="s">
        <v>7602</v>
      </c>
      <c r="F47" s="13"/>
      <c r="G47" s="6" t="s">
        <v>1182</v>
      </c>
      <c r="H47" s="6" t="s">
        <v>1182</v>
      </c>
      <c r="I47" s="6"/>
      <c r="J47" s="13"/>
      <c r="K47" s="13"/>
      <c r="L47" s="6" t="s">
        <v>35</v>
      </c>
      <c r="M47" s="13"/>
      <c r="N47" s="35" t="s">
        <v>1814</v>
      </c>
      <c r="O47" s="35" t="s">
        <v>1813</v>
      </c>
      <c r="P47" s="35" t="s">
        <v>1773</v>
      </c>
      <c r="Q47" s="35" t="s">
        <v>22</v>
      </c>
      <c r="R47" s="302" t="s">
        <v>7404</v>
      </c>
      <c r="S47" s="13"/>
      <c r="T47" s="13"/>
      <c r="U47" s="302" t="s">
        <v>7405</v>
      </c>
      <c r="V47" s="13"/>
      <c r="W47" s="13"/>
      <c r="X47" s="302" t="s">
        <v>34</v>
      </c>
      <c r="Y47" s="6"/>
      <c r="Z47" s="183" t="s">
        <v>7600</v>
      </c>
      <c r="AA47" s="300"/>
      <c r="AB47" s="13"/>
      <c r="AC47" s="13"/>
      <c r="AD47" s="300"/>
      <c r="AE47" s="13"/>
      <c r="AF47" s="13"/>
      <c r="AG47" s="302" t="s">
        <v>2625</v>
      </c>
      <c r="AH47" s="6" t="s">
        <v>7603</v>
      </c>
      <c r="AI47" s="13"/>
      <c r="AJ47" s="302" t="s">
        <v>34</v>
      </c>
      <c r="AK47" s="13"/>
      <c r="AL47" s="301"/>
      <c r="AM47" s="302" t="s">
        <v>7449</v>
      </c>
      <c r="AN47" s="13"/>
      <c r="AO47" s="301"/>
      <c r="AP47" s="300"/>
    </row>
    <row r="48">
      <c r="A48" s="13"/>
      <c r="B48" s="6" t="s">
        <v>7597</v>
      </c>
      <c r="C48" s="6" t="s">
        <v>7604</v>
      </c>
      <c r="D48" s="6">
        <v>1.0</v>
      </c>
      <c r="E48" s="6" t="s">
        <v>7605</v>
      </c>
      <c r="F48" s="13"/>
      <c r="G48" s="6">
        <v>1964.0</v>
      </c>
      <c r="H48" s="18" t="s">
        <v>7606</v>
      </c>
      <c r="I48" s="6"/>
      <c r="J48" s="13"/>
      <c r="K48" s="13"/>
      <c r="L48" s="6" t="s">
        <v>35</v>
      </c>
      <c r="M48" s="6" t="s">
        <v>7607</v>
      </c>
      <c r="N48" s="35" t="s">
        <v>1814</v>
      </c>
      <c r="O48" s="35" t="s">
        <v>1813</v>
      </c>
      <c r="P48" s="35" t="s">
        <v>1773</v>
      </c>
      <c r="Q48" s="35" t="s">
        <v>22</v>
      </c>
      <c r="R48" s="302" t="s">
        <v>35</v>
      </c>
      <c r="S48" s="13"/>
      <c r="T48" s="18" t="s">
        <v>7608</v>
      </c>
      <c r="U48" s="302" t="s">
        <v>7405</v>
      </c>
      <c r="V48" s="13"/>
      <c r="W48" s="18" t="s">
        <v>7609</v>
      </c>
      <c r="X48" s="302" t="s">
        <v>7405</v>
      </c>
      <c r="Y48" s="6"/>
      <c r="Z48" s="18" t="s">
        <v>7610</v>
      </c>
      <c r="AA48" s="302"/>
      <c r="AB48" s="13"/>
      <c r="AC48" s="13"/>
      <c r="AD48" s="300"/>
      <c r="AE48" s="13"/>
      <c r="AF48" s="13"/>
      <c r="AG48" s="302" t="s">
        <v>35</v>
      </c>
      <c r="AH48" s="13"/>
      <c r="AI48" s="18" t="s">
        <v>7611</v>
      </c>
      <c r="AJ48" s="302" t="s">
        <v>34</v>
      </c>
      <c r="AK48" s="6" t="s">
        <v>7612</v>
      </c>
      <c r="AL48" s="301"/>
      <c r="AM48" s="302" t="s">
        <v>7405</v>
      </c>
      <c r="AN48" s="13"/>
      <c r="AO48" s="306" t="s">
        <v>7609</v>
      </c>
      <c r="AP48" s="300"/>
    </row>
    <row r="49">
      <c r="A49" s="13"/>
      <c r="B49" s="6" t="s">
        <v>7597</v>
      </c>
      <c r="C49" s="6" t="s">
        <v>7613</v>
      </c>
      <c r="D49" s="6">
        <v>1.0</v>
      </c>
      <c r="E49" s="6" t="s">
        <v>7605</v>
      </c>
      <c r="F49" s="13"/>
      <c r="G49" s="6">
        <v>1975.0</v>
      </c>
      <c r="H49" s="18" t="s">
        <v>7610</v>
      </c>
      <c r="I49" s="6"/>
      <c r="J49" s="13"/>
      <c r="K49" s="13"/>
      <c r="L49" s="6" t="s">
        <v>35</v>
      </c>
      <c r="M49" s="13"/>
      <c r="N49" s="35" t="s">
        <v>1814</v>
      </c>
      <c r="O49" s="35" t="s">
        <v>1813</v>
      </c>
      <c r="P49" s="35" t="s">
        <v>7614</v>
      </c>
      <c r="Q49" s="35" t="s">
        <v>22</v>
      </c>
      <c r="R49" s="302" t="s">
        <v>7615</v>
      </c>
      <c r="S49" s="13"/>
      <c r="T49" s="6"/>
      <c r="U49" s="302" t="s">
        <v>7616</v>
      </c>
      <c r="V49" s="13"/>
      <c r="W49" s="306" t="s">
        <v>7610</v>
      </c>
      <c r="X49" s="6" t="s">
        <v>7617</v>
      </c>
      <c r="Y49" s="6"/>
      <c r="Z49" s="18" t="s">
        <v>7610</v>
      </c>
      <c r="AA49" s="302"/>
      <c r="AB49" s="13"/>
      <c r="AC49" s="13"/>
      <c r="AD49" s="300"/>
      <c r="AE49" s="13"/>
      <c r="AF49" s="13"/>
      <c r="AG49" s="302" t="s">
        <v>2625</v>
      </c>
      <c r="AH49" s="13"/>
      <c r="AI49" s="6"/>
      <c r="AJ49" s="302" t="s">
        <v>34</v>
      </c>
      <c r="AK49" s="6" t="s">
        <v>7618</v>
      </c>
      <c r="AL49" s="303"/>
      <c r="AM49" s="302" t="s">
        <v>7616</v>
      </c>
      <c r="AN49" s="13"/>
      <c r="AO49" s="306" t="s">
        <v>7610</v>
      </c>
      <c r="AP49" s="300"/>
    </row>
    <row r="50">
      <c r="A50" s="13"/>
      <c r="B50" s="6" t="s">
        <v>7597</v>
      </c>
      <c r="C50" s="6" t="s">
        <v>7619</v>
      </c>
      <c r="D50" s="6">
        <v>1.0</v>
      </c>
      <c r="E50" s="6" t="s">
        <v>7605</v>
      </c>
      <c r="F50" s="13"/>
      <c r="G50" s="6">
        <v>1972.0</v>
      </c>
      <c r="H50" s="18" t="s">
        <v>7620</v>
      </c>
      <c r="I50" s="6"/>
      <c r="J50" s="13"/>
      <c r="K50" s="13"/>
      <c r="L50" s="6" t="s">
        <v>35</v>
      </c>
      <c r="M50" s="13"/>
      <c r="N50" s="35" t="s">
        <v>1814</v>
      </c>
      <c r="O50" s="35" t="s">
        <v>1813</v>
      </c>
      <c r="P50" s="35" t="s">
        <v>1773</v>
      </c>
      <c r="Q50" s="35" t="s">
        <v>22</v>
      </c>
      <c r="R50" s="302" t="s">
        <v>35</v>
      </c>
      <c r="S50" s="6" t="s">
        <v>7621</v>
      </c>
      <c r="T50" s="13"/>
      <c r="U50" s="302" t="s">
        <v>7405</v>
      </c>
      <c r="V50" s="13"/>
      <c r="W50" s="18" t="s">
        <v>7620</v>
      </c>
      <c r="X50" s="302" t="s">
        <v>7405</v>
      </c>
      <c r="Y50" s="6"/>
      <c r="Z50" s="18" t="s">
        <v>7620</v>
      </c>
      <c r="AA50" s="300"/>
      <c r="AB50" s="13"/>
      <c r="AC50" s="13"/>
      <c r="AD50" s="300"/>
      <c r="AE50" s="13"/>
      <c r="AF50" s="13"/>
      <c r="AG50" s="302" t="s">
        <v>7405</v>
      </c>
      <c r="AH50" s="13"/>
      <c r="AI50" s="18" t="s">
        <v>7620</v>
      </c>
      <c r="AJ50" s="302" t="s">
        <v>34</v>
      </c>
      <c r="AK50" s="6" t="s">
        <v>7618</v>
      </c>
      <c r="AL50" s="301"/>
      <c r="AM50" s="302" t="s">
        <v>7405</v>
      </c>
      <c r="AN50" s="6" t="s">
        <v>7622</v>
      </c>
      <c r="AO50" s="303"/>
      <c r="AP50" s="300"/>
    </row>
    <row r="51">
      <c r="A51" s="13"/>
      <c r="B51" s="6" t="s">
        <v>7597</v>
      </c>
      <c r="C51" s="6" t="s">
        <v>7623</v>
      </c>
      <c r="D51" s="6">
        <v>1.0</v>
      </c>
      <c r="E51" s="6" t="s">
        <v>7605</v>
      </c>
      <c r="F51" s="13"/>
      <c r="G51" s="6">
        <v>1998.0</v>
      </c>
      <c r="H51" s="18" t="s">
        <v>7624</v>
      </c>
      <c r="I51" s="6"/>
      <c r="J51" s="13"/>
      <c r="K51" s="13"/>
      <c r="L51" s="6" t="s">
        <v>35</v>
      </c>
      <c r="M51" s="13"/>
      <c r="N51" s="35" t="s">
        <v>1814</v>
      </c>
      <c r="O51" s="35" t="s">
        <v>1813</v>
      </c>
      <c r="P51" s="35" t="s">
        <v>1773</v>
      </c>
      <c r="Q51" s="35" t="s">
        <v>22</v>
      </c>
      <c r="R51" s="302" t="s">
        <v>35</v>
      </c>
      <c r="S51" s="6" t="s">
        <v>7621</v>
      </c>
      <c r="T51" s="13"/>
      <c r="U51" s="302" t="s">
        <v>7405</v>
      </c>
      <c r="V51" s="13"/>
      <c r="W51" s="18" t="s">
        <v>7624</v>
      </c>
      <c r="X51" s="302" t="s">
        <v>7405</v>
      </c>
      <c r="Y51" s="6" t="s">
        <v>7625</v>
      </c>
      <c r="Z51" s="18" t="s">
        <v>7624</v>
      </c>
      <c r="AA51" s="300"/>
      <c r="AB51" s="13"/>
      <c r="AC51" s="13"/>
      <c r="AD51" s="300"/>
      <c r="AE51" s="13"/>
      <c r="AF51" s="13"/>
      <c r="AG51" s="302" t="s">
        <v>7405</v>
      </c>
      <c r="AH51" s="13"/>
      <c r="AI51" s="18" t="s">
        <v>7624</v>
      </c>
      <c r="AJ51" s="302" t="s">
        <v>34</v>
      </c>
      <c r="AK51" s="6" t="s">
        <v>7618</v>
      </c>
      <c r="AL51" s="301"/>
      <c r="AM51" s="302" t="s">
        <v>2625</v>
      </c>
      <c r="AN51" s="6" t="s">
        <v>7622</v>
      </c>
      <c r="AO51" s="303"/>
      <c r="AP51" s="300"/>
    </row>
    <row r="52">
      <c r="A52" s="13"/>
      <c r="B52" s="6" t="s">
        <v>7597</v>
      </c>
      <c r="C52" s="6" t="s">
        <v>7626</v>
      </c>
      <c r="D52" s="6">
        <v>1.0</v>
      </c>
      <c r="E52" s="6" t="s">
        <v>7605</v>
      </c>
      <c r="F52" s="13"/>
      <c r="G52" s="6">
        <v>1978.0</v>
      </c>
      <c r="H52" s="18" t="s">
        <v>7627</v>
      </c>
      <c r="I52" s="6"/>
      <c r="J52" s="13"/>
      <c r="K52" s="13"/>
      <c r="L52" s="6" t="s">
        <v>35</v>
      </c>
      <c r="M52" s="18" t="s">
        <v>7628</v>
      </c>
      <c r="N52" s="35" t="s">
        <v>1814</v>
      </c>
      <c r="O52" s="35" t="s">
        <v>1813</v>
      </c>
      <c r="P52" s="35" t="s">
        <v>1773</v>
      </c>
      <c r="Q52" s="35" t="s">
        <v>22</v>
      </c>
      <c r="R52" s="302" t="s">
        <v>35</v>
      </c>
      <c r="S52" s="6" t="s">
        <v>7621</v>
      </c>
      <c r="T52" s="13"/>
      <c r="U52" s="302" t="s">
        <v>34</v>
      </c>
      <c r="V52" s="6" t="s">
        <v>7448</v>
      </c>
      <c r="W52" s="18" t="s">
        <v>7629</v>
      </c>
      <c r="X52" s="302" t="s">
        <v>7405</v>
      </c>
      <c r="Y52" s="6"/>
      <c r="Z52" s="308" t="s">
        <v>7607</v>
      </c>
      <c r="AA52" s="300"/>
      <c r="AB52" s="13"/>
      <c r="AC52" s="13"/>
      <c r="AD52" s="300"/>
      <c r="AE52" s="13"/>
      <c r="AF52" s="13"/>
      <c r="AG52" s="302" t="s">
        <v>7405</v>
      </c>
      <c r="AH52" s="13"/>
      <c r="AI52" s="18" t="s">
        <v>7629</v>
      </c>
      <c r="AJ52" s="302" t="s">
        <v>34</v>
      </c>
      <c r="AK52" s="6" t="s">
        <v>7618</v>
      </c>
      <c r="AL52" s="301"/>
      <c r="AM52" s="302" t="s">
        <v>7405</v>
      </c>
      <c r="AN52" s="13"/>
      <c r="AO52" s="306" t="s">
        <v>7629</v>
      </c>
      <c r="AP52" s="300"/>
    </row>
    <row r="53">
      <c r="A53" s="13"/>
      <c r="B53" s="6" t="s">
        <v>7597</v>
      </c>
      <c r="C53" s="6" t="s">
        <v>7630</v>
      </c>
      <c r="D53" s="6">
        <v>1.0</v>
      </c>
      <c r="E53" s="6" t="s">
        <v>7605</v>
      </c>
      <c r="F53" s="13"/>
      <c r="G53" s="6">
        <v>1987.0</v>
      </c>
      <c r="H53" s="18" t="s">
        <v>6975</v>
      </c>
      <c r="I53" s="6"/>
      <c r="J53" s="13"/>
      <c r="K53" s="13"/>
      <c r="L53" s="6" t="s">
        <v>35</v>
      </c>
      <c r="M53" s="13"/>
      <c r="N53" s="35" t="s">
        <v>1814</v>
      </c>
      <c r="O53" s="35" t="s">
        <v>1813</v>
      </c>
      <c r="P53" s="35" t="s">
        <v>1773</v>
      </c>
      <c r="Q53" s="35" t="s">
        <v>22</v>
      </c>
      <c r="R53" s="302" t="s">
        <v>35</v>
      </c>
      <c r="S53" s="6" t="s">
        <v>7631</v>
      </c>
      <c r="T53" s="13"/>
      <c r="U53" s="302" t="s">
        <v>34</v>
      </c>
      <c r="V53" s="6" t="s">
        <v>7448</v>
      </c>
      <c r="W53" s="18" t="s">
        <v>6975</v>
      </c>
      <c r="X53" s="302" t="s">
        <v>7405</v>
      </c>
      <c r="Y53" s="6" t="s">
        <v>7632</v>
      </c>
      <c r="Z53" s="18" t="s">
        <v>6975</v>
      </c>
      <c r="AA53" s="300"/>
      <c r="AB53" s="13"/>
      <c r="AC53" s="13"/>
      <c r="AD53" s="300"/>
      <c r="AE53" s="13"/>
      <c r="AF53" s="13"/>
      <c r="AG53" s="299" t="s">
        <v>34</v>
      </c>
      <c r="AH53" s="69" t="s">
        <v>7448</v>
      </c>
      <c r="AI53" s="309" t="s">
        <v>6975</v>
      </c>
      <c r="AJ53" s="299" t="s">
        <v>34</v>
      </c>
      <c r="AK53" s="35" t="s">
        <v>7618</v>
      </c>
      <c r="AL53" s="309" t="s">
        <v>6975</v>
      </c>
      <c r="AM53" s="299" t="s">
        <v>34</v>
      </c>
      <c r="AN53" s="69" t="s">
        <v>7448</v>
      </c>
      <c r="AO53" s="309" t="s">
        <v>6975</v>
      </c>
      <c r="AP53" s="300"/>
    </row>
    <row r="54">
      <c r="A54" s="13"/>
      <c r="B54" s="6" t="s">
        <v>7597</v>
      </c>
      <c r="C54" s="6" t="s">
        <v>7633</v>
      </c>
      <c r="D54" s="6">
        <v>1.0</v>
      </c>
      <c r="E54" s="6" t="s">
        <v>7605</v>
      </c>
      <c r="F54" s="13"/>
      <c r="G54" s="6">
        <v>1988.0</v>
      </c>
      <c r="H54" s="18" t="s">
        <v>7634</v>
      </c>
      <c r="I54" s="6" t="s">
        <v>7635</v>
      </c>
      <c r="J54" s="13"/>
      <c r="K54" s="13"/>
      <c r="L54" s="6" t="s">
        <v>35</v>
      </c>
      <c r="M54" s="18" t="s">
        <v>7634</v>
      </c>
      <c r="N54" s="35" t="s">
        <v>1814</v>
      </c>
      <c r="O54" s="35" t="s">
        <v>1813</v>
      </c>
      <c r="P54" s="35" t="s">
        <v>1773</v>
      </c>
      <c r="Q54" s="35" t="s">
        <v>22</v>
      </c>
      <c r="R54" s="302" t="s">
        <v>35</v>
      </c>
      <c r="S54" s="6" t="s">
        <v>7631</v>
      </c>
      <c r="T54" s="13"/>
      <c r="U54" s="302" t="s">
        <v>34</v>
      </c>
      <c r="V54" s="6" t="s">
        <v>7636</v>
      </c>
      <c r="W54" s="19" t="s">
        <v>7634</v>
      </c>
      <c r="X54" s="302" t="s">
        <v>7405</v>
      </c>
      <c r="Y54" s="6" t="s">
        <v>7448</v>
      </c>
      <c r="Z54" s="19" t="s">
        <v>7634</v>
      </c>
      <c r="AA54" s="300"/>
      <c r="AB54" s="13"/>
      <c r="AC54" s="13"/>
      <c r="AD54" s="300"/>
      <c r="AE54" s="13"/>
      <c r="AF54" s="13"/>
      <c r="AG54" s="299" t="s">
        <v>34</v>
      </c>
      <c r="AH54" s="69" t="s">
        <v>7448</v>
      </c>
      <c r="AI54" s="307" t="s">
        <v>7634</v>
      </c>
      <c r="AJ54" s="297" t="s">
        <v>7405</v>
      </c>
      <c r="AK54" s="35" t="s">
        <v>7618</v>
      </c>
      <c r="AL54" s="307" t="s">
        <v>7634</v>
      </c>
      <c r="AM54" s="302" t="s">
        <v>34</v>
      </c>
      <c r="AN54" s="6" t="s">
        <v>7448</v>
      </c>
      <c r="AO54" s="307" t="s">
        <v>7634</v>
      </c>
      <c r="AP54" s="300"/>
    </row>
    <row r="55">
      <c r="A55" s="13"/>
      <c r="B55" s="6" t="s">
        <v>7597</v>
      </c>
      <c r="C55" s="6" t="s">
        <v>7637</v>
      </c>
      <c r="D55" s="6">
        <v>1.0</v>
      </c>
      <c r="E55" s="6" t="s">
        <v>7605</v>
      </c>
      <c r="F55" s="13"/>
      <c r="G55" s="6">
        <v>1988.0</v>
      </c>
      <c r="H55" s="18" t="s">
        <v>7634</v>
      </c>
      <c r="I55" s="6" t="s">
        <v>7638</v>
      </c>
      <c r="J55" s="13"/>
      <c r="K55" s="13"/>
      <c r="L55" s="6" t="s">
        <v>35</v>
      </c>
      <c r="M55" s="18" t="s">
        <v>7634</v>
      </c>
      <c r="N55" s="35" t="s">
        <v>1814</v>
      </c>
      <c r="O55" s="35" t="s">
        <v>1813</v>
      </c>
      <c r="P55" s="35" t="s">
        <v>1773</v>
      </c>
      <c r="Q55" s="35" t="s">
        <v>22</v>
      </c>
      <c r="R55" s="302" t="s">
        <v>35</v>
      </c>
      <c r="S55" s="6" t="s">
        <v>7631</v>
      </c>
      <c r="T55" s="13"/>
      <c r="U55" s="302" t="s">
        <v>34</v>
      </c>
      <c r="V55" s="6" t="s">
        <v>7639</v>
      </c>
      <c r="W55" s="19" t="s">
        <v>7634</v>
      </c>
      <c r="X55" s="302" t="s">
        <v>7405</v>
      </c>
      <c r="Y55" s="6"/>
      <c r="Z55" s="19" t="s">
        <v>7634</v>
      </c>
      <c r="AA55" s="300"/>
      <c r="AB55" s="13"/>
      <c r="AC55" s="13"/>
      <c r="AD55" s="300"/>
      <c r="AE55" s="13"/>
      <c r="AF55" s="13"/>
      <c r="AG55" s="297" t="s">
        <v>7449</v>
      </c>
      <c r="AH55" s="69" t="s">
        <v>7448</v>
      </c>
      <c r="AI55" s="307" t="s">
        <v>7634</v>
      </c>
      <c r="AJ55" s="297" t="s">
        <v>7405</v>
      </c>
      <c r="AK55" s="35" t="s">
        <v>7618</v>
      </c>
      <c r="AL55" s="307" t="s">
        <v>7634</v>
      </c>
      <c r="AM55" s="302" t="s">
        <v>34</v>
      </c>
      <c r="AN55" s="6"/>
      <c r="AO55" s="307" t="s">
        <v>7634</v>
      </c>
      <c r="AP55" s="300"/>
    </row>
    <row r="56">
      <c r="A56" s="13"/>
      <c r="B56" s="6" t="s">
        <v>7597</v>
      </c>
      <c r="C56" s="6" t="s">
        <v>7640</v>
      </c>
      <c r="D56" s="6">
        <v>1.0</v>
      </c>
      <c r="E56" s="6" t="s">
        <v>7605</v>
      </c>
      <c r="F56" s="6"/>
      <c r="G56" s="6">
        <v>1986.0</v>
      </c>
      <c r="H56" s="18" t="s">
        <v>7641</v>
      </c>
      <c r="I56" s="6" t="s">
        <v>7642</v>
      </c>
      <c r="J56" s="13"/>
      <c r="K56" s="13"/>
      <c r="L56" s="6" t="s">
        <v>35</v>
      </c>
      <c r="M56" s="13"/>
      <c r="N56" s="35" t="s">
        <v>1814</v>
      </c>
      <c r="O56" s="35" t="s">
        <v>1813</v>
      </c>
      <c r="P56" s="35" t="s">
        <v>1773</v>
      </c>
      <c r="Q56" s="35" t="s">
        <v>22</v>
      </c>
      <c r="R56" s="302" t="s">
        <v>35</v>
      </c>
      <c r="S56" s="6" t="s">
        <v>7621</v>
      </c>
      <c r="T56" s="13"/>
      <c r="U56" s="302" t="s">
        <v>7643</v>
      </c>
      <c r="V56" s="6" t="s">
        <v>7448</v>
      </c>
      <c r="W56" s="18" t="s">
        <v>7644</v>
      </c>
      <c r="X56" s="302" t="s">
        <v>7405</v>
      </c>
      <c r="Y56" s="6" t="s">
        <v>7448</v>
      </c>
      <c r="Z56" s="18" t="s">
        <v>7641</v>
      </c>
      <c r="AA56" s="300"/>
      <c r="AB56" s="13"/>
      <c r="AC56" s="13"/>
      <c r="AD56" s="300"/>
      <c r="AE56" s="13"/>
      <c r="AF56" s="13"/>
      <c r="AG56" s="302" t="s">
        <v>7643</v>
      </c>
      <c r="AH56" s="6" t="s">
        <v>7448</v>
      </c>
      <c r="AI56" s="18" t="s">
        <v>7644</v>
      </c>
      <c r="AJ56" s="302" t="s">
        <v>34</v>
      </c>
      <c r="AK56" s="35" t="s">
        <v>7618</v>
      </c>
      <c r="AL56" s="306" t="s">
        <v>7641</v>
      </c>
      <c r="AM56" s="302" t="s">
        <v>7643</v>
      </c>
      <c r="AN56" s="6" t="s">
        <v>7448</v>
      </c>
      <c r="AO56" s="306" t="s">
        <v>7644</v>
      </c>
      <c r="AP56" s="300"/>
    </row>
    <row r="57">
      <c r="A57" s="13"/>
      <c r="B57" s="6" t="s">
        <v>7597</v>
      </c>
      <c r="C57" s="6" t="s">
        <v>7645</v>
      </c>
      <c r="D57" s="6">
        <v>1.0</v>
      </c>
      <c r="E57" s="6" t="s">
        <v>7605</v>
      </c>
      <c r="F57" s="6"/>
      <c r="G57" s="6">
        <v>2017.0</v>
      </c>
      <c r="H57" s="18" t="s">
        <v>7646</v>
      </c>
      <c r="I57" s="6" t="s">
        <v>7647</v>
      </c>
      <c r="J57" s="13"/>
      <c r="K57" s="13"/>
      <c r="L57" s="6" t="s">
        <v>35</v>
      </c>
      <c r="M57" s="13"/>
      <c r="N57" s="35" t="s">
        <v>1814</v>
      </c>
      <c r="O57" s="35" t="s">
        <v>1813</v>
      </c>
      <c r="P57" s="35" t="s">
        <v>1773</v>
      </c>
      <c r="Q57" s="35" t="s">
        <v>22</v>
      </c>
      <c r="R57" s="302" t="s">
        <v>35</v>
      </c>
      <c r="S57" s="6" t="s">
        <v>7631</v>
      </c>
      <c r="T57" s="18" t="s">
        <v>7646</v>
      </c>
      <c r="U57" s="302" t="s">
        <v>34</v>
      </c>
      <c r="V57" s="6" t="s">
        <v>7448</v>
      </c>
      <c r="W57" s="18" t="s">
        <v>7646</v>
      </c>
      <c r="X57" s="302" t="s">
        <v>7405</v>
      </c>
      <c r="Y57" s="6" t="s">
        <v>7448</v>
      </c>
      <c r="Z57" s="18" t="s">
        <v>7646</v>
      </c>
      <c r="AA57" s="300"/>
      <c r="AB57" s="13"/>
      <c r="AC57" s="13"/>
      <c r="AD57" s="300"/>
      <c r="AE57" s="13"/>
      <c r="AF57" s="13"/>
      <c r="AG57" s="302" t="s">
        <v>7648</v>
      </c>
      <c r="AH57" s="6" t="s">
        <v>7448</v>
      </c>
      <c r="AI57" s="18" t="s">
        <v>7646</v>
      </c>
      <c r="AJ57" s="302" t="s">
        <v>34</v>
      </c>
      <c r="AK57" s="35" t="s">
        <v>7618</v>
      </c>
      <c r="AL57" s="306" t="s">
        <v>7646</v>
      </c>
      <c r="AM57" s="302" t="s">
        <v>7648</v>
      </c>
      <c r="AN57" s="6" t="s">
        <v>7448</v>
      </c>
      <c r="AO57" s="306" t="s">
        <v>7646</v>
      </c>
      <c r="AP57" s="300"/>
    </row>
    <row r="58">
      <c r="A58" s="13"/>
      <c r="B58" s="6" t="s">
        <v>7597</v>
      </c>
      <c r="C58" s="6" t="s">
        <v>7649</v>
      </c>
      <c r="D58" s="6">
        <v>1.0</v>
      </c>
      <c r="E58" s="6" t="s">
        <v>7605</v>
      </c>
      <c r="F58" s="13"/>
      <c r="G58" s="6">
        <v>1996.0</v>
      </c>
      <c r="H58" s="18" t="s">
        <v>7650</v>
      </c>
      <c r="I58" s="6" t="s">
        <v>7651</v>
      </c>
      <c r="J58" s="13"/>
      <c r="K58" s="13"/>
      <c r="L58" s="6" t="s">
        <v>35</v>
      </c>
      <c r="M58" s="18" t="s">
        <v>7650</v>
      </c>
      <c r="N58" s="35" t="s">
        <v>1814</v>
      </c>
      <c r="O58" s="35" t="s">
        <v>1813</v>
      </c>
      <c r="P58" s="35" t="s">
        <v>1773</v>
      </c>
      <c r="Q58" s="35" t="s">
        <v>22</v>
      </c>
      <c r="R58" s="302" t="s">
        <v>35</v>
      </c>
      <c r="S58" s="6" t="s">
        <v>7631</v>
      </c>
      <c r="T58" s="13"/>
      <c r="U58" s="302" t="s">
        <v>34</v>
      </c>
      <c r="V58" s="13"/>
      <c r="W58" s="18" t="s">
        <v>7650</v>
      </c>
      <c r="X58" s="302" t="s">
        <v>7405</v>
      </c>
      <c r="Y58" s="13"/>
      <c r="Z58" s="18" t="s">
        <v>7650</v>
      </c>
      <c r="AA58" s="300"/>
      <c r="AB58" s="13"/>
      <c r="AC58" s="13"/>
      <c r="AD58" s="300"/>
      <c r="AE58" s="13"/>
      <c r="AF58" s="13"/>
      <c r="AG58" s="302" t="s">
        <v>34</v>
      </c>
      <c r="AH58" s="13"/>
      <c r="AI58" s="18" t="s">
        <v>7650</v>
      </c>
      <c r="AJ58" s="302" t="s">
        <v>34</v>
      </c>
      <c r="AK58" s="35" t="s">
        <v>7618</v>
      </c>
      <c r="AL58" s="306" t="s">
        <v>7650</v>
      </c>
      <c r="AM58" s="302" t="s">
        <v>34</v>
      </c>
      <c r="AN58" s="13"/>
      <c r="AO58" s="18" t="s">
        <v>7650</v>
      </c>
      <c r="AP58" s="300"/>
    </row>
    <row r="59">
      <c r="A59" s="13"/>
      <c r="B59" s="6" t="s">
        <v>7597</v>
      </c>
      <c r="C59" s="6" t="s">
        <v>7652</v>
      </c>
      <c r="D59" s="6">
        <v>1.0</v>
      </c>
      <c r="E59" s="6" t="s">
        <v>7605</v>
      </c>
      <c r="F59" s="13"/>
      <c r="G59" s="6">
        <v>2009.0</v>
      </c>
      <c r="H59" s="18" t="s">
        <v>7653</v>
      </c>
      <c r="I59" s="13"/>
      <c r="J59" s="13"/>
      <c r="K59" s="13"/>
      <c r="L59" s="6" t="s">
        <v>35</v>
      </c>
      <c r="M59" s="13"/>
      <c r="N59" s="35" t="s">
        <v>1814</v>
      </c>
      <c r="O59" s="35" t="s">
        <v>1813</v>
      </c>
      <c r="P59" s="35" t="s">
        <v>1773</v>
      </c>
      <c r="Q59" s="35" t="s">
        <v>22</v>
      </c>
      <c r="R59" s="302" t="s">
        <v>35</v>
      </c>
      <c r="S59" s="6" t="s">
        <v>7631</v>
      </c>
      <c r="T59" s="13"/>
      <c r="U59" s="302" t="s">
        <v>34</v>
      </c>
      <c r="V59" s="6" t="s">
        <v>7448</v>
      </c>
      <c r="W59" s="18" t="s">
        <v>7653</v>
      </c>
      <c r="X59" s="302" t="s">
        <v>7405</v>
      </c>
      <c r="Y59" s="6" t="s">
        <v>7448</v>
      </c>
      <c r="Z59" s="18" t="s">
        <v>7653</v>
      </c>
      <c r="AA59" s="300"/>
      <c r="AB59" s="13"/>
      <c r="AC59" s="13"/>
      <c r="AD59" s="300"/>
      <c r="AE59" s="13"/>
      <c r="AF59" s="13"/>
      <c r="AG59" s="302" t="s">
        <v>34</v>
      </c>
      <c r="AH59" s="6" t="s">
        <v>7448</v>
      </c>
      <c r="AI59" s="18" t="s">
        <v>7653</v>
      </c>
      <c r="AJ59" s="302" t="s">
        <v>34</v>
      </c>
      <c r="AK59" s="6" t="s">
        <v>7618</v>
      </c>
      <c r="AL59" s="306" t="s">
        <v>7653</v>
      </c>
      <c r="AM59" s="302" t="s">
        <v>7449</v>
      </c>
      <c r="AN59" s="6" t="s">
        <v>7448</v>
      </c>
      <c r="AO59" s="13"/>
      <c r="AP59" s="300"/>
    </row>
    <row r="60">
      <c r="A60" s="13"/>
      <c r="B60" s="6" t="s">
        <v>7597</v>
      </c>
      <c r="C60" s="6" t="s">
        <v>7654</v>
      </c>
      <c r="D60" s="6">
        <v>1.0</v>
      </c>
      <c r="E60" s="6" t="s">
        <v>7605</v>
      </c>
      <c r="F60" s="13"/>
      <c r="G60" s="6">
        <v>2009.0</v>
      </c>
      <c r="H60" s="18" t="s">
        <v>7653</v>
      </c>
      <c r="I60" s="13"/>
      <c r="J60" s="13"/>
      <c r="K60" s="13"/>
      <c r="L60" s="6" t="s">
        <v>35</v>
      </c>
      <c r="M60" s="13"/>
      <c r="N60" s="35" t="s">
        <v>1814</v>
      </c>
      <c r="O60" s="35" t="s">
        <v>1813</v>
      </c>
      <c r="P60" s="35" t="s">
        <v>1773</v>
      </c>
      <c r="Q60" s="35" t="s">
        <v>22</v>
      </c>
      <c r="R60" s="302" t="s">
        <v>35</v>
      </c>
      <c r="S60" s="6" t="s">
        <v>7631</v>
      </c>
      <c r="T60" s="13"/>
      <c r="U60" s="302" t="s">
        <v>34</v>
      </c>
      <c r="V60" s="6" t="s">
        <v>7448</v>
      </c>
      <c r="W60" s="18" t="s">
        <v>7653</v>
      </c>
      <c r="X60" s="302" t="s">
        <v>7405</v>
      </c>
      <c r="Y60" s="6" t="s">
        <v>7448</v>
      </c>
      <c r="Z60" s="18" t="s">
        <v>7653</v>
      </c>
      <c r="AA60" s="300"/>
      <c r="AB60" s="13"/>
      <c r="AC60" s="13"/>
      <c r="AD60" s="300"/>
      <c r="AE60" s="13"/>
      <c r="AF60" s="13"/>
      <c r="AG60" s="302" t="s">
        <v>34</v>
      </c>
      <c r="AH60" s="6" t="s">
        <v>7448</v>
      </c>
      <c r="AI60" s="18" t="s">
        <v>7653</v>
      </c>
      <c r="AJ60" s="302" t="s">
        <v>34</v>
      </c>
      <c r="AK60" s="6" t="s">
        <v>7618</v>
      </c>
      <c r="AL60" s="306" t="s">
        <v>7653</v>
      </c>
      <c r="AM60" s="302" t="s">
        <v>34</v>
      </c>
      <c r="AN60" s="6" t="s">
        <v>7448</v>
      </c>
      <c r="AO60" s="306" t="s">
        <v>7653</v>
      </c>
      <c r="AP60" s="300"/>
    </row>
    <row r="61">
      <c r="A61" s="13"/>
      <c r="B61" s="6" t="s">
        <v>7597</v>
      </c>
      <c r="C61" s="6" t="s">
        <v>7655</v>
      </c>
      <c r="D61" s="6">
        <v>1.0</v>
      </c>
      <c r="E61" s="6" t="s">
        <v>7605</v>
      </c>
      <c r="F61" s="13"/>
      <c r="G61" s="6">
        <v>2012.0</v>
      </c>
      <c r="H61" s="18" t="s">
        <v>7656</v>
      </c>
      <c r="I61" s="6" t="s">
        <v>7657</v>
      </c>
      <c r="J61" s="13"/>
      <c r="K61" s="13"/>
      <c r="L61" s="6" t="s">
        <v>35</v>
      </c>
      <c r="M61" s="13"/>
      <c r="N61" s="35" t="s">
        <v>1814</v>
      </c>
      <c r="O61" s="35" t="s">
        <v>1813</v>
      </c>
      <c r="P61" s="35" t="s">
        <v>1773</v>
      </c>
      <c r="Q61" s="35" t="s">
        <v>22</v>
      </c>
      <c r="R61" s="302" t="s">
        <v>35</v>
      </c>
      <c r="S61" s="6" t="s">
        <v>7631</v>
      </c>
      <c r="T61" s="13"/>
      <c r="U61" s="302" t="s">
        <v>34</v>
      </c>
      <c r="V61" s="6"/>
      <c r="W61" s="18" t="s">
        <v>7656</v>
      </c>
      <c r="X61" s="302" t="s">
        <v>7405</v>
      </c>
      <c r="Y61" s="13"/>
      <c r="Z61" s="18" t="s">
        <v>7656</v>
      </c>
      <c r="AA61" s="300"/>
      <c r="AB61" s="13"/>
      <c r="AC61" s="13"/>
      <c r="AD61" s="300"/>
      <c r="AE61" s="13"/>
      <c r="AF61" s="13"/>
      <c r="AG61" s="302" t="s">
        <v>34</v>
      </c>
      <c r="AH61" s="13"/>
      <c r="AI61" s="18" t="s">
        <v>7656</v>
      </c>
      <c r="AJ61" s="302" t="s">
        <v>34</v>
      </c>
      <c r="AK61" s="6" t="s">
        <v>7618</v>
      </c>
      <c r="AL61" s="18" t="s">
        <v>7656</v>
      </c>
      <c r="AM61" s="302" t="s">
        <v>34</v>
      </c>
      <c r="AN61" s="13"/>
      <c r="AO61" s="18" t="s">
        <v>7656</v>
      </c>
      <c r="AP61" s="300"/>
    </row>
    <row r="62">
      <c r="A62" s="13"/>
      <c r="B62" s="6" t="s">
        <v>7597</v>
      </c>
      <c r="C62" s="6" t="s">
        <v>7658</v>
      </c>
      <c r="D62" s="6">
        <v>1.0</v>
      </c>
      <c r="E62" s="6" t="s">
        <v>7605</v>
      </c>
      <c r="F62" s="13"/>
      <c r="G62" s="6">
        <v>2013.0</v>
      </c>
      <c r="H62" s="18" t="s">
        <v>7659</v>
      </c>
      <c r="I62" s="6" t="s">
        <v>7660</v>
      </c>
      <c r="J62" s="13"/>
      <c r="K62" s="13"/>
      <c r="L62" s="6" t="s">
        <v>2625</v>
      </c>
      <c r="M62" s="13"/>
      <c r="N62" s="35" t="s">
        <v>1814</v>
      </c>
      <c r="O62" s="35" t="s">
        <v>1813</v>
      </c>
      <c r="P62" s="35" t="s">
        <v>1773</v>
      </c>
      <c r="Q62" s="35" t="s">
        <v>22</v>
      </c>
      <c r="R62" s="302" t="s">
        <v>35</v>
      </c>
      <c r="S62" s="6" t="s">
        <v>7631</v>
      </c>
      <c r="T62" s="13"/>
      <c r="U62" s="302" t="s">
        <v>34</v>
      </c>
      <c r="V62" s="6" t="s">
        <v>7448</v>
      </c>
      <c r="W62" s="19" t="s">
        <v>7659</v>
      </c>
      <c r="X62" s="302" t="s">
        <v>7405</v>
      </c>
      <c r="Y62" s="6" t="s">
        <v>7661</v>
      </c>
      <c r="Z62" s="19" t="s">
        <v>7659</v>
      </c>
      <c r="AA62" s="300"/>
      <c r="AB62" s="13"/>
      <c r="AC62" s="13"/>
      <c r="AD62" s="300"/>
      <c r="AE62" s="13"/>
      <c r="AF62" s="13"/>
      <c r="AG62" s="299" t="s">
        <v>34</v>
      </c>
      <c r="AH62" s="69" t="s">
        <v>7448</v>
      </c>
      <c r="AI62" s="307" t="s">
        <v>7659</v>
      </c>
      <c r="AJ62" s="299" t="s">
        <v>34</v>
      </c>
      <c r="AK62" s="35" t="s">
        <v>7618</v>
      </c>
      <c r="AL62" s="307" t="s">
        <v>7659</v>
      </c>
      <c r="AM62" s="302" t="s">
        <v>34</v>
      </c>
      <c r="AN62" s="6" t="s">
        <v>7448</v>
      </c>
      <c r="AO62" s="307" t="s">
        <v>7659</v>
      </c>
      <c r="AP62" s="300"/>
    </row>
    <row r="63">
      <c r="A63" s="13"/>
      <c r="B63" s="6" t="s">
        <v>7597</v>
      </c>
      <c r="C63" s="6" t="s">
        <v>7662</v>
      </c>
      <c r="D63" s="6">
        <v>1.0</v>
      </c>
      <c r="E63" s="6" t="s">
        <v>7605</v>
      </c>
      <c r="F63" s="13"/>
      <c r="G63" s="6">
        <v>2010.0</v>
      </c>
      <c r="H63" s="18" t="s">
        <v>7663</v>
      </c>
      <c r="I63" s="6" t="s">
        <v>7664</v>
      </c>
      <c r="J63" s="13"/>
      <c r="K63" s="13"/>
      <c r="L63" s="6" t="s">
        <v>2625</v>
      </c>
      <c r="M63" s="13"/>
      <c r="N63" s="35" t="s">
        <v>1814</v>
      </c>
      <c r="O63" s="35" t="s">
        <v>1813</v>
      </c>
      <c r="P63" s="35" t="s">
        <v>1773</v>
      </c>
      <c r="Q63" s="35" t="s">
        <v>22</v>
      </c>
      <c r="R63" s="302" t="s">
        <v>35</v>
      </c>
      <c r="S63" s="6" t="s">
        <v>7631</v>
      </c>
      <c r="T63" s="13"/>
      <c r="U63" s="302" t="s">
        <v>34</v>
      </c>
      <c r="V63" s="6" t="s">
        <v>7448</v>
      </c>
      <c r="W63" s="18" t="s">
        <v>7663</v>
      </c>
      <c r="X63" s="302" t="s">
        <v>7405</v>
      </c>
      <c r="Y63" s="6" t="s">
        <v>7661</v>
      </c>
      <c r="Z63" s="18" t="s">
        <v>7663</v>
      </c>
      <c r="AA63" s="300"/>
      <c r="AB63" s="13"/>
      <c r="AC63" s="13"/>
      <c r="AD63" s="300"/>
      <c r="AE63" s="13"/>
      <c r="AF63" s="13"/>
      <c r="AG63" s="302" t="s">
        <v>34</v>
      </c>
      <c r="AH63" s="6" t="s">
        <v>7448</v>
      </c>
      <c r="AI63" s="18" t="s">
        <v>7663</v>
      </c>
      <c r="AJ63" s="302" t="s">
        <v>34</v>
      </c>
      <c r="AK63" s="6" t="s">
        <v>7618</v>
      </c>
      <c r="AL63" s="18" t="s">
        <v>7663</v>
      </c>
      <c r="AM63" s="302" t="s">
        <v>34</v>
      </c>
      <c r="AN63" s="6" t="s">
        <v>7448</v>
      </c>
      <c r="AO63" s="306" t="s">
        <v>7663</v>
      </c>
      <c r="AP63" s="300"/>
    </row>
    <row r="64">
      <c r="A64" s="13"/>
      <c r="B64" s="6" t="s">
        <v>7597</v>
      </c>
      <c r="C64" s="6" t="s">
        <v>7665</v>
      </c>
      <c r="D64" s="6">
        <v>1.0</v>
      </c>
      <c r="E64" s="6" t="s">
        <v>7605</v>
      </c>
      <c r="F64" s="13"/>
      <c r="G64" s="6">
        <v>1999.0</v>
      </c>
      <c r="H64" s="19" t="s">
        <v>7666</v>
      </c>
      <c r="I64" s="6" t="s">
        <v>7667</v>
      </c>
      <c r="J64" s="13"/>
      <c r="K64" s="13"/>
      <c r="L64" s="6" t="s">
        <v>2625</v>
      </c>
      <c r="M64" s="13"/>
      <c r="N64" s="35" t="s">
        <v>1814</v>
      </c>
      <c r="O64" s="35" t="s">
        <v>1813</v>
      </c>
      <c r="P64" s="35" t="s">
        <v>1773</v>
      </c>
      <c r="Q64" s="35" t="s">
        <v>22</v>
      </c>
      <c r="R64" s="302" t="s">
        <v>35</v>
      </c>
      <c r="S64" s="6" t="s">
        <v>7631</v>
      </c>
      <c r="T64" s="13"/>
      <c r="U64" s="302" t="s">
        <v>34</v>
      </c>
      <c r="V64" s="6" t="s">
        <v>7448</v>
      </c>
      <c r="W64" s="19" t="s">
        <v>7666</v>
      </c>
      <c r="X64" s="302" t="s">
        <v>7405</v>
      </c>
      <c r="Y64" s="6" t="s">
        <v>7668</v>
      </c>
      <c r="Z64" s="19" t="s">
        <v>7669</v>
      </c>
      <c r="AA64" s="300"/>
      <c r="AB64" s="13"/>
      <c r="AC64" s="13"/>
      <c r="AD64" s="300"/>
      <c r="AE64" s="13"/>
      <c r="AF64" s="13"/>
      <c r="AG64" s="299" t="s">
        <v>34</v>
      </c>
      <c r="AH64" s="69"/>
      <c r="AI64" s="19" t="s">
        <v>7669</v>
      </c>
      <c r="AJ64" s="299" t="s">
        <v>34</v>
      </c>
      <c r="AK64" s="35" t="s">
        <v>7618</v>
      </c>
      <c r="AL64" s="19" t="s">
        <v>7666</v>
      </c>
      <c r="AM64" s="299" t="s">
        <v>34</v>
      </c>
      <c r="AN64" s="69" t="s">
        <v>7448</v>
      </c>
      <c r="AO64" s="19" t="s">
        <v>7666</v>
      </c>
      <c r="AP64" s="300"/>
    </row>
    <row r="65">
      <c r="A65" s="13"/>
      <c r="B65" s="6" t="s">
        <v>7597</v>
      </c>
      <c r="C65" s="6" t="s">
        <v>7670</v>
      </c>
      <c r="D65" s="6">
        <v>1.0</v>
      </c>
      <c r="E65" s="6" t="s">
        <v>7605</v>
      </c>
      <c r="F65" s="13"/>
      <c r="G65" s="6">
        <v>1999.0</v>
      </c>
      <c r="H65" s="18" t="s">
        <v>7666</v>
      </c>
      <c r="I65" s="6" t="s">
        <v>7671</v>
      </c>
      <c r="J65" s="13"/>
      <c r="K65" s="13"/>
      <c r="L65" s="6" t="s">
        <v>2625</v>
      </c>
      <c r="M65" s="6"/>
      <c r="N65" s="35" t="s">
        <v>1814</v>
      </c>
      <c r="O65" s="35" t="s">
        <v>1813</v>
      </c>
      <c r="P65" s="35" t="s">
        <v>1773</v>
      </c>
      <c r="Q65" s="35" t="s">
        <v>22</v>
      </c>
      <c r="R65" s="302" t="s">
        <v>35</v>
      </c>
      <c r="S65" s="6" t="s">
        <v>7631</v>
      </c>
      <c r="T65" s="13"/>
      <c r="U65" s="302" t="s">
        <v>34</v>
      </c>
      <c r="V65" s="6"/>
      <c r="W65" s="18" t="s">
        <v>7666</v>
      </c>
      <c r="X65" s="302" t="s">
        <v>7405</v>
      </c>
      <c r="Y65" s="6"/>
      <c r="Z65" s="18" t="s">
        <v>7666</v>
      </c>
      <c r="AA65" s="300"/>
      <c r="AB65" s="13"/>
      <c r="AC65" s="13"/>
      <c r="AD65" s="300"/>
      <c r="AE65" s="13"/>
      <c r="AF65" s="13"/>
      <c r="AG65" s="297" t="s">
        <v>7405</v>
      </c>
      <c r="AH65" s="69"/>
      <c r="AI65" s="18" t="s">
        <v>7666</v>
      </c>
      <c r="AJ65" s="297" t="s">
        <v>7405</v>
      </c>
      <c r="AK65" s="35" t="s">
        <v>7618</v>
      </c>
      <c r="AL65" s="18" t="s">
        <v>7666</v>
      </c>
      <c r="AM65" s="302" t="s">
        <v>34</v>
      </c>
      <c r="AN65" s="6"/>
      <c r="AO65" s="18" t="s">
        <v>7666</v>
      </c>
      <c r="AP65" s="300"/>
    </row>
    <row r="66">
      <c r="A66" s="13"/>
      <c r="B66" s="6" t="s">
        <v>7597</v>
      </c>
      <c r="C66" s="6" t="s">
        <v>7672</v>
      </c>
      <c r="D66" s="6">
        <v>1.0</v>
      </c>
      <c r="E66" s="6" t="s">
        <v>7605</v>
      </c>
      <c r="F66" s="13"/>
      <c r="G66" s="6">
        <v>2008.0</v>
      </c>
      <c r="H66" s="18" t="s">
        <v>7669</v>
      </c>
      <c r="I66" s="6" t="s">
        <v>7673</v>
      </c>
      <c r="J66" s="13"/>
      <c r="K66" s="13"/>
      <c r="L66" s="6" t="s">
        <v>2625</v>
      </c>
      <c r="M66" s="6"/>
      <c r="N66" s="35" t="s">
        <v>1814</v>
      </c>
      <c r="O66" s="35" t="s">
        <v>1813</v>
      </c>
      <c r="P66" s="35" t="s">
        <v>1773</v>
      </c>
      <c r="Q66" s="35" t="s">
        <v>22</v>
      </c>
      <c r="R66" s="302" t="s">
        <v>2625</v>
      </c>
      <c r="S66" s="6" t="s">
        <v>7631</v>
      </c>
      <c r="T66" s="13"/>
      <c r="U66" s="302" t="s">
        <v>7435</v>
      </c>
      <c r="V66" s="6" t="s">
        <v>7448</v>
      </c>
      <c r="W66" s="18" t="s">
        <v>7669</v>
      </c>
      <c r="X66" s="302" t="s">
        <v>7405</v>
      </c>
      <c r="Y66" s="6" t="s">
        <v>7668</v>
      </c>
      <c r="Z66" s="19" t="s">
        <v>7669</v>
      </c>
      <c r="AA66" s="300"/>
      <c r="AB66" s="13"/>
      <c r="AC66" s="13"/>
      <c r="AD66" s="300"/>
      <c r="AE66" s="13"/>
      <c r="AF66" s="13"/>
      <c r="AG66" s="297" t="s">
        <v>7435</v>
      </c>
      <c r="AH66" s="69"/>
      <c r="AI66" s="18" t="s">
        <v>7669</v>
      </c>
      <c r="AJ66" s="297" t="s">
        <v>34</v>
      </c>
      <c r="AK66" s="35" t="s">
        <v>7618</v>
      </c>
      <c r="AL66" s="18" t="s">
        <v>7669</v>
      </c>
      <c r="AM66" s="297" t="s">
        <v>7435</v>
      </c>
      <c r="AN66" s="69" t="s">
        <v>7448</v>
      </c>
      <c r="AO66" s="18" t="s">
        <v>7669</v>
      </c>
      <c r="AP66" s="300"/>
    </row>
    <row r="67">
      <c r="A67" s="13"/>
      <c r="B67" s="6" t="s">
        <v>7597</v>
      </c>
      <c r="C67" s="6" t="s">
        <v>7674</v>
      </c>
      <c r="D67" s="6">
        <v>1.0</v>
      </c>
      <c r="E67" s="6" t="s">
        <v>7605</v>
      </c>
      <c r="F67" s="13"/>
      <c r="G67" s="6">
        <v>2000.0</v>
      </c>
      <c r="H67" s="18" t="s">
        <v>7675</v>
      </c>
      <c r="I67" s="6" t="s">
        <v>7676</v>
      </c>
      <c r="J67" s="13"/>
      <c r="K67" s="13"/>
      <c r="L67" s="6" t="s">
        <v>2625</v>
      </c>
      <c r="M67" s="6"/>
      <c r="N67" s="35" t="s">
        <v>1814</v>
      </c>
      <c r="O67" s="35" t="s">
        <v>1813</v>
      </c>
      <c r="P67" s="35" t="s">
        <v>1773</v>
      </c>
      <c r="Q67" s="35" t="s">
        <v>22</v>
      </c>
      <c r="R67" s="302" t="s">
        <v>35</v>
      </c>
      <c r="S67" s="13"/>
      <c r="T67" s="18" t="s">
        <v>7675</v>
      </c>
      <c r="U67" s="302" t="s">
        <v>34</v>
      </c>
      <c r="V67" s="6" t="s">
        <v>7448</v>
      </c>
      <c r="W67" s="18" t="s">
        <v>7675</v>
      </c>
      <c r="X67" s="302" t="s">
        <v>7405</v>
      </c>
      <c r="Y67" s="13"/>
      <c r="Z67" s="18" t="s">
        <v>7675</v>
      </c>
      <c r="AA67" s="300"/>
      <c r="AB67" s="13"/>
      <c r="AC67" s="13"/>
      <c r="AD67" s="300"/>
      <c r="AE67" s="13"/>
      <c r="AF67" s="13"/>
      <c r="AG67" s="302" t="s">
        <v>7677</v>
      </c>
      <c r="AH67" s="13"/>
      <c r="AI67" s="18" t="s">
        <v>7675</v>
      </c>
      <c r="AJ67" s="302" t="s">
        <v>34</v>
      </c>
      <c r="AK67" s="6" t="s">
        <v>7618</v>
      </c>
      <c r="AL67" s="306" t="s">
        <v>7675</v>
      </c>
      <c r="AM67" s="302" t="s">
        <v>34</v>
      </c>
      <c r="AN67" s="13"/>
      <c r="AO67" s="18" t="s">
        <v>7675</v>
      </c>
      <c r="AP67" s="300"/>
    </row>
    <row r="68">
      <c r="A68" s="13"/>
      <c r="B68" s="6" t="s">
        <v>7597</v>
      </c>
      <c r="C68" s="6" t="s">
        <v>7678</v>
      </c>
      <c r="D68" s="6">
        <v>1.0</v>
      </c>
      <c r="E68" s="6" t="s">
        <v>7605</v>
      </c>
      <c r="F68" s="13"/>
      <c r="G68" s="6">
        <v>1986.0</v>
      </c>
      <c r="H68" s="18" t="s">
        <v>7679</v>
      </c>
      <c r="I68" s="13"/>
      <c r="J68" s="13"/>
      <c r="K68" s="13"/>
      <c r="L68" s="6" t="s">
        <v>2625</v>
      </c>
      <c r="M68" s="6"/>
      <c r="N68" s="35" t="s">
        <v>1814</v>
      </c>
      <c r="O68" s="35" t="s">
        <v>1813</v>
      </c>
      <c r="P68" s="35" t="s">
        <v>1773</v>
      </c>
      <c r="Q68" s="35" t="s">
        <v>22</v>
      </c>
      <c r="R68" s="302" t="s">
        <v>35</v>
      </c>
      <c r="S68" s="6" t="s">
        <v>7621</v>
      </c>
      <c r="T68" s="6"/>
      <c r="U68" s="302" t="s">
        <v>7405</v>
      </c>
      <c r="V68" s="6" t="s">
        <v>7448</v>
      </c>
      <c r="W68" s="18" t="s">
        <v>7679</v>
      </c>
      <c r="X68" s="302" t="s">
        <v>7405</v>
      </c>
      <c r="Y68" s="6" t="s">
        <v>7448</v>
      </c>
      <c r="Z68" s="18" t="s">
        <v>7679</v>
      </c>
      <c r="AA68" s="300"/>
      <c r="AB68" s="13"/>
      <c r="AC68" s="13"/>
      <c r="AD68" s="300"/>
      <c r="AE68" s="13"/>
      <c r="AF68" s="13"/>
      <c r="AG68" s="302" t="s">
        <v>7405</v>
      </c>
      <c r="AH68" s="6" t="s">
        <v>7448</v>
      </c>
      <c r="AI68" s="18" t="s">
        <v>7679</v>
      </c>
      <c r="AJ68" s="302" t="s">
        <v>34</v>
      </c>
      <c r="AK68" s="6" t="s">
        <v>7618</v>
      </c>
      <c r="AL68" s="18" t="s">
        <v>7679</v>
      </c>
      <c r="AM68" s="302" t="s">
        <v>7449</v>
      </c>
      <c r="AN68" s="6" t="s">
        <v>7680</v>
      </c>
      <c r="AO68" s="301"/>
      <c r="AP68" s="300"/>
    </row>
    <row r="69">
      <c r="A69" s="13"/>
      <c r="B69" s="6" t="s">
        <v>7597</v>
      </c>
      <c r="C69" s="6" t="s">
        <v>7681</v>
      </c>
      <c r="D69" s="6">
        <v>1.0</v>
      </c>
      <c r="E69" s="6" t="s">
        <v>7605</v>
      </c>
      <c r="F69" s="13"/>
      <c r="G69" s="6">
        <v>1986.0</v>
      </c>
      <c r="H69" s="18" t="s">
        <v>7679</v>
      </c>
      <c r="I69" s="13"/>
      <c r="J69" s="13"/>
      <c r="K69" s="13"/>
      <c r="L69" s="6" t="s">
        <v>2625</v>
      </c>
      <c r="M69" s="6"/>
      <c r="N69" s="35" t="s">
        <v>1814</v>
      </c>
      <c r="O69" s="35" t="s">
        <v>1813</v>
      </c>
      <c r="P69" s="35" t="s">
        <v>1773</v>
      </c>
      <c r="Q69" s="35" t="s">
        <v>22</v>
      </c>
      <c r="R69" s="302" t="s">
        <v>35</v>
      </c>
      <c r="S69" s="6" t="s">
        <v>7631</v>
      </c>
      <c r="T69" s="13"/>
      <c r="U69" s="302" t="s">
        <v>34</v>
      </c>
      <c r="V69" s="6" t="s">
        <v>7448</v>
      </c>
      <c r="W69" s="18" t="s">
        <v>7679</v>
      </c>
      <c r="X69" s="302" t="s">
        <v>7405</v>
      </c>
      <c r="Y69" s="6" t="s">
        <v>7448</v>
      </c>
      <c r="Z69" s="18" t="s">
        <v>7679</v>
      </c>
      <c r="AA69" s="300"/>
      <c r="AB69" s="13"/>
      <c r="AC69" s="13"/>
      <c r="AD69" s="300"/>
      <c r="AE69" s="13"/>
      <c r="AF69" s="13"/>
      <c r="AG69" s="302" t="s">
        <v>34</v>
      </c>
      <c r="AH69" s="6" t="s">
        <v>7448</v>
      </c>
      <c r="AI69" s="18" t="s">
        <v>7679</v>
      </c>
      <c r="AJ69" s="302" t="s">
        <v>34</v>
      </c>
      <c r="AK69" s="6" t="s">
        <v>7618</v>
      </c>
      <c r="AL69" s="18" t="s">
        <v>7679</v>
      </c>
      <c r="AM69" s="302" t="s">
        <v>7449</v>
      </c>
      <c r="AN69" s="6" t="s">
        <v>7680</v>
      </c>
      <c r="AO69" s="301"/>
      <c r="AP69" s="300"/>
    </row>
    <row r="70">
      <c r="A70" s="13"/>
      <c r="B70" s="6" t="s">
        <v>7597</v>
      </c>
      <c r="C70" s="6" t="s">
        <v>7682</v>
      </c>
      <c r="D70" s="6">
        <v>1.0</v>
      </c>
      <c r="E70" s="6" t="s">
        <v>7605</v>
      </c>
      <c r="F70" s="13"/>
      <c r="G70" s="6">
        <v>1993.0</v>
      </c>
      <c r="H70" s="18" t="s">
        <v>7683</v>
      </c>
      <c r="I70" s="13"/>
      <c r="J70" s="13"/>
      <c r="K70" s="13"/>
      <c r="L70" s="6" t="s">
        <v>35</v>
      </c>
      <c r="M70" s="18" t="s">
        <v>7683</v>
      </c>
      <c r="N70" s="6" t="s">
        <v>1814</v>
      </c>
      <c r="O70" s="35" t="s">
        <v>1813</v>
      </c>
      <c r="P70" s="35" t="s">
        <v>1773</v>
      </c>
      <c r="Q70" s="35" t="s">
        <v>22</v>
      </c>
      <c r="R70" s="302" t="s">
        <v>35</v>
      </c>
      <c r="S70" s="6" t="s">
        <v>7684</v>
      </c>
      <c r="T70" s="18" t="s">
        <v>7683</v>
      </c>
      <c r="U70" s="302" t="s">
        <v>7405</v>
      </c>
      <c r="V70" s="13"/>
      <c r="W70" s="18" t="s">
        <v>7685</v>
      </c>
      <c r="X70" s="302" t="s">
        <v>7405</v>
      </c>
      <c r="Y70" s="13"/>
      <c r="Z70" s="18" t="s">
        <v>7685</v>
      </c>
      <c r="AA70" s="300"/>
      <c r="AB70" s="13"/>
      <c r="AC70" s="13"/>
      <c r="AD70" s="300"/>
      <c r="AE70" s="13"/>
      <c r="AF70" s="13"/>
      <c r="AG70" s="302" t="s">
        <v>34</v>
      </c>
      <c r="AH70" s="13"/>
      <c r="AI70" s="18" t="s">
        <v>7683</v>
      </c>
      <c r="AJ70" s="302" t="s">
        <v>34</v>
      </c>
      <c r="AK70" s="6" t="s">
        <v>7612</v>
      </c>
      <c r="AL70" s="306" t="s">
        <v>7683</v>
      </c>
      <c r="AM70" s="302" t="s">
        <v>7405</v>
      </c>
      <c r="AN70" s="13"/>
      <c r="AO70" s="306" t="s">
        <v>7685</v>
      </c>
      <c r="AP70" s="300"/>
    </row>
    <row r="71">
      <c r="A71" s="13"/>
      <c r="B71" s="6" t="s">
        <v>7597</v>
      </c>
      <c r="C71" s="6" t="s">
        <v>7686</v>
      </c>
      <c r="D71" s="6">
        <v>1.0</v>
      </c>
      <c r="E71" s="6" t="s">
        <v>7605</v>
      </c>
      <c r="F71" s="13"/>
      <c r="G71" s="6">
        <v>2012.0</v>
      </c>
      <c r="H71" s="18" t="s">
        <v>7687</v>
      </c>
      <c r="I71" s="13"/>
      <c r="J71" s="13"/>
      <c r="K71" s="13"/>
      <c r="L71" s="6" t="s">
        <v>35</v>
      </c>
      <c r="M71" s="6"/>
      <c r="N71" s="6" t="s">
        <v>1814</v>
      </c>
      <c r="O71" s="35" t="s">
        <v>1813</v>
      </c>
      <c r="P71" s="35" t="s">
        <v>1773</v>
      </c>
      <c r="Q71" s="35" t="s">
        <v>22</v>
      </c>
      <c r="R71" s="302" t="s">
        <v>35</v>
      </c>
      <c r="S71" s="6" t="s">
        <v>7684</v>
      </c>
      <c r="T71" s="18" t="s">
        <v>7687</v>
      </c>
      <c r="U71" s="302" t="s">
        <v>34</v>
      </c>
      <c r="V71" s="6" t="s">
        <v>7688</v>
      </c>
      <c r="W71" s="18" t="s">
        <v>7687</v>
      </c>
      <c r="X71" s="302" t="s">
        <v>7405</v>
      </c>
      <c r="Y71" s="13"/>
      <c r="Z71" s="18" t="s">
        <v>7687</v>
      </c>
      <c r="AA71" s="300"/>
      <c r="AB71" s="13"/>
      <c r="AC71" s="13"/>
      <c r="AD71" s="300"/>
      <c r="AE71" s="13"/>
      <c r="AF71" s="13"/>
      <c r="AG71" s="302" t="s">
        <v>34</v>
      </c>
      <c r="AH71" s="13"/>
      <c r="AI71" s="18" t="s">
        <v>7683</v>
      </c>
      <c r="AJ71" s="302" t="s">
        <v>34</v>
      </c>
      <c r="AK71" s="6" t="s">
        <v>7612</v>
      </c>
      <c r="AL71" s="306" t="s">
        <v>7683</v>
      </c>
      <c r="AM71" s="302" t="s">
        <v>7449</v>
      </c>
      <c r="AN71" s="13"/>
      <c r="AO71" s="6"/>
      <c r="AP71" s="300"/>
    </row>
    <row r="72">
      <c r="A72" s="13"/>
      <c r="B72" s="6" t="s">
        <v>7597</v>
      </c>
      <c r="C72" s="6" t="s">
        <v>7689</v>
      </c>
      <c r="D72" s="6">
        <v>1.0</v>
      </c>
      <c r="E72" s="6" t="s">
        <v>7605</v>
      </c>
      <c r="F72" s="13"/>
      <c r="G72" s="6">
        <v>2012.0</v>
      </c>
      <c r="H72" s="18" t="s">
        <v>7687</v>
      </c>
      <c r="I72" s="6"/>
      <c r="J72" s="13"/>
      <c r="K72" s="13"/>
      <c r="L72" s="6" t="s">
        <v>35</v>
      </c>
      <c r="M72" s="6"/>
      <c r="N72" s="6" t="s">
        <v>1814</v>
      </c>
      <c r="O72" s="35" t="s">
        <v>1813</v>
      </c>
      <c r="P72" s="35" t="s">
        <v>1773</v>
      </c>
      <c r="Q72" s="35" t="s">
        <v>22</v>
      </c>
      <c r="R72" s="302" t="s">
        <v>35</v>
      </c>
      <c r="S72" s="6" t="s">
        <v>7690</v>
      </c>
      <c r="T72" s="13"/>
      <c r="U72" s="302" t="s">
        <v>34</v>
      </c>
      <c r="V72" s="6" t="s">
        <v>7691</v>
      </c>
      <c r="W72" s="18" t="s">
        <v>7687</v>
      </c>
      <c r="X72" s="302" t="s">
        <v>7405</v>
      </c>
      <c r="Y72" s="6" t="s">
        <v>7692</v>
      </c>
      <c r="Z72" s="18" t="s">
        <v>7687</v>
      </c>
      <c r="AA72" s="300"/>
      <c r="AB72" s="13"/>
      <c r="AC72" s="13"/>
      <c r="AD72" s="300"/>
      <c r="AE72" s="13"/>
      <c r="AF72" s="13"/>
      <c r="AG72" s="302" t="s">
        <v>34</v>
      </c>
      <c r="AH72" s="6" t="s">
        <v>7693</v>
      </c>
      <c r="AI72" s="18" t="s">
        <v>7683</v>
      </c>
      <c r="AJ72" s="302" t="s">
        <v>7435</v>
      </c>
      <c r="AK72" s="6" t="s">
        <v>7612</v>
      </c>
      <c r="AL72" s="301"/>
      <c r="AM72" s="302" t="s">
        <v>34</v>
      </c>
      <c r="AN72" s="6" t="s">
        <v>7691</v>
      </c>
      <c r="AO72" s="18" t="s">
        <v>7687</v>
      </c>
      <c r="AP72" s="300"/>
    </row>
    <row r="73">
      <c r="A73" s="13"/>
      <c r="B73" s="6" t="s">
        <v>7597</v>
      </c>
      <c r="C73" s="6" t="s">
        <v>7694</v>
      </c>
      <c r="D73" s="6">
        <v>1.0</v>
      </c>
      <c r="E73" s="6" t="s">
        <v>7605</v>
      </c>
      <c r="F73" s="13"/>
      <c r="G73" s="6">
        <v>2012.0</v>
      </c>
      <c r="H73" s="18" t="s">
        <v>7687</v>
      </c>
      <c r="I73" s="6"/>
      <c r="J73" s="13"/>
      <c r="K73" s="13"/>
      <c r="L73" s="6" t="s">
        <v>7695</v>
      </c>
      <c r="M73" s="18" t="s">
        <v>7687</v>
      </c>
      <c r="N73" s="6" t="s">
        <v>1814</v>
      </c>
      <c r="O73" s="35" t="s">
        <v>1813</v>
      </c>
      <c r="P73" s="35" t="s">
        <v>1773</v>
      </c>
      <c r="Q73" s="35" t="s">
        <v>22</v>
      </c>
      <c r="R73" s="302" t="s">
        <v>35</v>
      </c>
      <c r="S73" s="6" t="s">
        <v>7690</v>
      </c>
      <c r="T73" s="13"/>
      <c r="U73" s="302" t="s">
        <v>34</v>
      </c>
      <c r="V73" s="6" t="s">
        <v>7691</v>
      </c>
      <c r="W73" s="18" t="s">
        <v>7687</v>
      </c>
      <c r="X73" s="302" t="s">
        <v>7405</v>
      </c>
      <c r="Y73" s="6" t="s">
        <v>7696</v>
      </c>
      <c r="Z73" s="18" t="s">
        <v>7687</v>
      </c>
      <c r="AA73" s="300"/>
      <c r="AB73" s="13"/>
      <c r="AC73" s="13"/>
      <c r="AD73" s="300"/>
      <c r="AE73" s="13"/>
      <c r="AF73" s="13"/>
      <c r="AG73" s="302" t="s">
        <v>34</v>
      </c>
      <c r="AH73" s="6" t="s">
        <v>7693</v>
      </c>
      <c r="AI73" s="18" t="s">
        <v>7683</v>
      </c>
      <c r="AJ73" s="302" t="s">
        <v>7435</v>
      </c>
      <c r="AK73" s="6" t="s">
        <v>7612</v>
      </c>
      <c r="AL73" s="301"/>
      <c r="AM73" s="302" t="s">
        <v>34</v>
      </c>
      <c r="AN73" s="6" t="s">
        <v>7691</v>
      </c>
      <c r="AO73" s="18" t="s">
        <v>7687</v>
      </c>
      <c r="AP73" s="300"/>
    </row>
    <row r="74">
      <c r="A74" s="13"/>
      <c r="B74" s="6" t="s">
        <v>7597</v>
      </c>
      <c r="C74" s="6" t="s">
        <v>7697</v>
      </c>
      <c r="D74" s="6">
        <v>0.0</v>
      </c>
      <c r="E74" s="6" t="s">
        <v>7605</v>
      </c>
      <c r="F74" s="13"/>
      <c r="G74" s="13"/>
      <c r="H74" s="13"/>
      <c r="I74" s="13"/>
      <c r="J74" s="13"/>
      <c r="K74" s="13"/>
      <c r="L74" s="13"/>
      <c r="M74" s="13"/>
      <c r="N74" s="13"/>
      <c r="O74" s="13"/>
      <c r="P74" s="13"/>
      <c r="Q74" s="13"/>
      <c r="R74" s="300"/>
      <c r="S74" s="13"/>
      <c r="T74" s="13"/>
      <c r="U74" s="300"/>
      <c r="V74" s="13"/>
      <c r="W74" s="13"/>
      <c r="X74" s="300"/>
      <c r="Y74" s="13"/>
      <c r="Z74" s="13"/>
      <c r="AA74" s="300"/>
      <c r="AB74" s="13"/>
      <c r="AC74" s="13"/>
      <c r="AD74" s="300"/>
      <c r="AE74" s="13"/>
      <c r="AF74" s="13"/>
      <c r="AG74" s="300"/>
      <c r="AH74" s="13"/>
      <c r="AI74" s="13"/>
      <c r="AJ74" s="300"/>
      <c r="AK74" s="13"/>
      <c r="AL74" s="301"/>
      <c r="AM74" s="300"/>
      <c r="AN74" s="13"/>
      <c r="AO74" s="301"/>
      <c r="AP74" s="300"/>
    </row>
    <row r="75">
      <c r="A75" s="13"/>
      <c r="B75" s="6" t="s">
        <v>7597</v>
      </c>
      <c r="C75" s="6" t="s">
        <v>7698</v>
      </c>
      <c r="D75" s="6">
        <v>0.0</v>
      </c>
      <c r="E75" s="6" t="s">
        <v>7605</v>
      </c>
      <c r="F75" s="13"/>
      <c r="G75" s="13"/>
      <c r="H75" s="13"/>
      <c r="I75" s="13"/>
      <c r="J75" s="13"/>
      <c r="K75" s="13"/>
      <c r="L75" s="13"/>
      <c r="M75" s="13"/>
      <c r="N75" s="13"/>
      <c r="O75" s="13"/>
      <c r="P75" s="13"/>
      <c r="Q75" s="13"/>
      <c r="R75" s="300"/>
      <c r="S75" s="13"/>
      <c r="T75" s="13"/>
      <c r="U75" s="300"/>
      <c r="V75" s="13"/>
      <c r="W75" s="13"/>
      <c r="X75" s="300"/>
      <c r="Y75" s="13"/>
      <c r="Z75" s="13"/>
      <c r="AA75" s="300"/>
      <c r="AB75" s="13"/>
      <c r="AC75" s="13"/>
      <c r="AD75" s="300"/>
      <c r="AE75" s="13"/>
      <c r="AF75" s="13"/>
      <c r="AG75" s="300"/>
      <c r="AH75" s="13"/>
      <c r="AI75" s="13"/>
      <c r="AJ75" s="300"/>
      <c r="AK75" s="13"/>
      <c r="AL75" s="301"/>
      <c r="AM75" s="300"/>
      <c r="AN75" s="13"/>
      <c r="AO75" s="301"/>
      <c r="AP75" s="300"/>
    </row>
    <row r="76">
      <c r="A76" s="13"/>
      <c r="B76" s="6" t="s">
        <v>7597</v>
      </c>
      <c r="C76" s="6" t="s">
        <v>7699</v>
      </c>
      <c r="D76" s="6">
        <v>0.0</v>
      </c>
      <c r="E76" s="6" t="s">
        <v>7605</v>
      </c>
      <c r="F76" s="13"/>
      <c r="G76" s="13"/>
      <c r="H76" s="13"/>
      <c r="I76" s="13"/>
      <c r="J76" s="13"/>
      <c r="K76" s="13"/>
      <c r="L76" s="13"/>
      <c r="M76" s="13"/>
      <c r="N76" s="13"/>
      <c r="O76" s="13"/>
      <c r="P76" s="13"/>
      <c r="Q76" s="13"/>
      <c r="R76" s="300"/>
      <c r="S76" s="13"/>
      <c r="T76" s="13"/>
      <c r="U76" s="300"/>
      <c r="V76" s="13"/>
      <c r="W76" s="13"/>
      <c r="X76" s="300"/>
      <c r="Y76" s="13"/>
      <c r="Z76" s="13"/>
      <c r="AA76" s="300"/>
      <c r="AB76" s="13"/>
      <c r="AC76" s="13"/>
      <c r="AD76" s="300"/>
      <c r="AE76" s="13"/>
      <c r="AF76" s="13"/>
      <c r="AG76" s="300"/>
      <c r="AH76" s="13"/>
      <c r="AI76" s="13"/>
      <c r="AJ76" s="300"/>
      <c r="AK76" s="13"/>
      <c r="AL76" s="301"/>
      <c r="AM76" s="300"/>
      <c r="AN76" s="13"/>
      <c r="AO76" s="301"/>
      <c r="AP76" s="300"/>
    </row>
    <row r="77">
      <c r="A77" s="13"/>
      <c r="B77" s="6" t="s">
        <v>7597</v>
      </c>
      <c r="C77" s="6" t="s">
        <v>7700</v>
      </c>
      <c r="D77" s="6">
        <v>0.0</v>
      </c>
      <c r="E77" s="6" t="s">
        <v>7605</v>
      </c>
      <c r="F77" s="13"/>
      <c r="G77" s="13"/>
      <c r="H77" s="13"/>
      <c r="I77" s="13"/>
      <c r="J77" s="13"/>
      <c r="K77" s="13"/>
      <c r="L77" s="13"/>
      <c r="M77" s="13"/>
      <c r="N77" s="13"/>
      <c r="O77" s="13"/>
      <c r="P77" s="13"/>
      <c r="Q77" s="13"/>
      <c r="R77" s="300"/>
      <c r="S77" s="13"/>
      <c r="T77" s="13"/>
      <c r="U77" s="300"/>
      <c r="V77" s="13"/>
      <c r="W77" s="13"/>
      <c r="X77" s="300"/>
      <c r="Y77" s="13"/>
      <c r="Z77" s="13"/>
      <c r="AA77" s="300"/>
      <c r="AB77" s="13"/>
      <c r="AC77" s="13"/>
      <c r="AD77" s="300"/>
      <c r="AE77" s="13"/>
      <c r="AF77" s="13"/>
      <c r="AG77" s="300"/>
      <c r="AH77" s="13"/>
      <c r="AI77" s="13"/>
      <c r="AJ77" s="300"/>
      <c r="AK77" s="13"/>
      <c r="AL77" s="301"/>
      <c r="AM77" s="300"/>
      <c r="AN77" s="13"/>
      <c r="AO77" s="301"/>
      <c r="AP77" s="300"/>
    </row>
    <row r="78">
      <c r="A78" s="13"/>
      <c r="B78" s="6" t="s">
        <v>7597</v>
      </c>
      <c r="C78" s="6" t="s">
        <v>7701</v>
      </c>
      <c r="D78" s="6">
        <v>0.0</v>
      </c>
      <c r="E78" s="6" t="s">
        <v>7605</v>
      </c>
      <c r="F78" s="13"/>
      <c r="G78" s="13"/>
      <c r="H78" s="13"/>
      <c r="I78" s="13"/>
      <c r="J78" s="13"/>
      <c r="K78" s="13"/>
      <c r="L78" s="13"/>
      <c r="M78" s="13"/>
      <c r="N78" s="13"/>
      <c r="O78" s="13"/>
      <c r="P78" s="13"/>
      <c r="Q78" s="13"/>
      <c r="R78" s="300"/>
      <c r="S78" s="13"/>
      <c r="T78" s="13"/>
      <c r="U78" s="300"/>
      <c r="V78" s="13"/>
      <c r="W78" s="13"/>
      <c r="X78" s="300"/>
      <c r="Y78" s="13"/>
      <c r="Z78" s="13"/>
      <c r="AA78" s="300"/>
      <c r="AB78" s="13"/>
      <c r="AC78" s="13"/>
      <c r="AD78" s="300"/>
      <c r="AE78" s="13"/>
      <c r="AF78" s="13"/>
      <c r="AG78" s="300"/>
      <c r="AH78" s="13"/>
      <c r="AI78" s="13"/>
      <c r="AJ78" s="300"/>
      <c r="AK78" s="13"/>
      <c r="AL78" s="301"/>
      <c r="AM78" s="300"/>
      <c r="AN78" s="13"/>
      <c r="AO78" s="301"/>
      <c r="AP78" s="300"/>
    </row>
    <row r="79">
      <c r="A79" s="13"/>
      <c r="B79" s="6" t="s">
        <v>7597</v>
      </c>
      <c r="C79" s="6" t="s">
        <v>7702</v>
      </c>
      <c r="D79" s="6">
        <v>0.0</v>
      </c>
      <c r="E79" s="6" t="s">
        <v>7605</v>
      </c>
      <c r="F79" s="13"/>
      <c r="G79" s="13"/>
      <c r="H79" s="13"/>
      <c r="I79" s="13"/>
      <c r="J79" s="13"/>
      <c r="K79" s="13"/>
      <c r="L79" s="13"/>
      <c r="M79" s="13"/>
      <c r="N79" s="13"/>
      <c r="O79" s="13"/>
      <c r="P79" s="13"/>
      <c r="Q79" s="13"/>
      <c r="R79" s="300"/>
      <c r="S79" s="13"/>
      <c r="T79" s="13"/>
      <c r="U79" s="300"/>
      <c r="V79" s="13"/>
      <c r="W79" s="13"/>
      <c r="X79" s="300"/>
      <c r="Y79" s="13"/>
      <c r="Z79" s="13"/>
      <c r="AA79" s="300"/>
      <c r="AB79" s="13"/>
      <c r="AC79" s="13"/>
      <c r="AD79" s="300"/>
      <c r="AE79" s="13"/>
      <c r="AF79" s="13"/>
      <c r="AG79" s="300"/>
      <c r="AH79" s="13"/>
      <c r="AI79" s="13"/>
      <c r="AJ79" s="300"/>
      <c r="AK79" s="13"/>
      <c r="AL79" s="301"/>
      <c r="AM79" s="300"/>
      <c r="AN79" s="13"/>
      <c r="AO79" s="301"/>
      <c r="AP79" s="300"/>
    </row>
    <row r="80">
      <c r="A80" s="13"/>
      <c r="B80" s="6" t="s">
        <v>7597</v>
      </c>
      <c r="C80" s="6" t="s">
        <v>7703</v>
      </c>
      <c r="D80" s="6">
        <v>0.0</v>
      </c>
      <c r="E80" s="6" t="s">
        <v>7605</v>
      </c>
      <c r="F80" s="13"/>
      <c r="G80" s="13"/>
      <c r="H80" s="13"/>
      <c r="I80" s="13"/>
      <c r="J80" s="13"/>
      <c r="K80" s="13"/>
      <c r="L80" s="13"/>
      <c r="M80" s="13"/>
      <c r="N80" s="13"/>
      <c r="O80" s="13"/>
      <c r="P80" s="13"/>
      <c r="Q80" s="13"/>
      <c r="R80" s="300"/>
      <c r="S80" s="13"/>
      <c r="T80" s="13"/>
      <c r="U80" s="300"/>
      <c r="V80" s="13"/>
      <c r="W80" s="13"/>
      <c r="X80" s="300"/>
      <c r="Y80" s="13"/>
      <c r="Z80" s="13"/>
      <c r="AA80" s="300"/>
      <c r="AB80" s="13"/>
      <c r="AC80" s="13"/>
      <c r="AD80" s="300"/>
      <c r="AE80" s="13"/>
      <c r="AF80" s="13"/>
      <c r="AG80" s="300"/>
      <c r="AH80" s="13"/>
      <c r="AI80" s="13"/>
      <c r="AJ80" s="300"/>
      <c r="AK80" s="13"/>
      <c r="AL80" s="301"/>
      <c r="AM80" s="300"/>
      <c r="AN80" s="13"/>
      <c r="AO80" s="301"/>
      <c r="AP80" s="300"/>
    </row>
    <row r="81">
      <c r="A81" s="13"/>
      <c r="B81" s="6" t="s">
        <v>7597</v>
      </c>
      <c r="C81" s="6" t="s">
        <v>7704</v>
      </c>
      <c r="D81" s="6">
        <v>0.0</v>
      </c>
      <c r="E81" s="6" t="s">
        <v>7605</v>
      </c>
      <c r="F81" s="13"/>
      <c r="G81" s="6">
        <v>1995.0</v>
      </c>
      <c r="H81" s="18" t="s">
        <v>7705</v>
      </c>
      <c r="I81" s="13"/>
      <c r="J81" s="13"/>
      <c r="K81" s="13"/>
      <c r="L81" s="13"/>
      <c r="M81" s="13"/>
      <c r="N81" s="13"/>
      <c r="O81" s="13"/>
      <c r="P81" s="13"/>
      <c r="Q81" s="13"/>
      <c r="R81" s="300"/>
      <c r="S81" s="13"/>
      <c r="T81" s="13"/>
      <c r="U81" s="300"/>
      <c r="V81" s="13"/>
      <c r="W81" s="13"/>
      <c r="X81" s="300"/>
      <c r="Y81" s="13"/>
      <c r="Z81" s="13"/>
      <c r="AA81" s="300"/>
      <c r="AB81" s="13"/>
      <c r="AC81" s="13"/>
      <c r="AD81" s="300"/>
      <c r="AE81" s="13"/>
      <c r="AF81" s="13"/>
      <c r="AG81" s="300"/>
      <c r="AH81" s="13"/>
      <c r="AI81" s="13"/>
      <c r="AJ81" s="300"/>
      <c r="AK81" s="13"/>
      <c r="AL81" s="301"/>
      <c r="AM81" s="300"/>
      <c r="AN81" s="13"/>
      <c r="AO81" s="301"/>
      <c r="AP81" s="300"/>
    </row>
    <row r="82">
      <c r="A82" s="13"/>
      <c r="B82" s="6" t="s">
        <v>7597</v>
      </c>
      <c r="C82" s="6" t="s">
        <v>7706</v>
      </c>
      <c r="D82" s="6">
        <v>0.0</v>
      </c>
      <c r="E82" s="6" t="s">
        <v>7605</v>
      </c>
      <c r="F82" s="13"/>
      <c r="G82" s="6">
        <v>1995.0</v>
      </c>
      <c r="H82" s="18" t="s">
        <v>7705</v>
      </c>
      <c r="I82" s="13"/>
      <c r="J82" s="13"/>
      <c r="K82" s="13"/>
      <c r="L82" s="13"/>
      <c r="M82" s="13"/>
      <c r="N82" s="13"/>
      <c r="O82" s="13"/>
      <c r="P82" s="13"/>
      <c r="Q82" s="13"/>
      <c r="R82" s="300"/>
      <c r="S82" s="13"/>
      <c r="T82" s="13"/>
      <c r="U82" s="300"/>
      <c r="V82" s="13"/>
      <c r="W82" s="13"/>
      <c r="X82" s="300"/>
      <c r="Y82" s="13"/>
      <c r="Z82" s="13"/>
      <c r="AA82" s="300"/>
      <c r="AB82" s="13"/>
      <c r="AC82" s="13"/>
      <c r="AD82" s="300"/>
      <c r="AE82" s="13"/>
      <c r="AF82" s="13"/>
      <c r="AG82" s="300"/>
      <c r="AH82" s="13"/>
      <c r="AI82" s="13"/>
      <c r="AJ82" s="300"/>
      <c r="AK82" s="13"/>
      <c r="AL82" s="301"/>
      <c r="AM82" s="300"/>
      <c r="AN82" s="13"/>
      <c r="AO82" s="301"/>
      <c r="AP82" s="300"/>
    </row>
    <row r="83">
      <c r="A83" s="13"/>
      <c r="B83" s="6" t="s">
        <v>7597</v>
      </c>
      <c r="C83" s="6" t="s">
        <v>7707</v>
      </c>
      <c r="D83" s="6">
        <v>0.0</v>
      </c>
      <c r="E83" s="6" t="s">
        <v>7605</v>
      </c>
      <c r="F83" s="13"/>
      <c r="G83" s="6">
        <v>1995.0</v>
      </c>
      <c r="H83" s="18" t="s">
        <v>7705</v>
      </c>
      <c r="I83" s="13"/>
      <c r="J83" s="13"/>
      <c r="K83" s="13"/>
      <c r="L83" s="13"/>
      <c r="M83" s="13"/>
      <c r="N83" s="13"/>
      <c r="O83" s="13"/>
      <c r="P83" s="13"/>
      <c r="Q83" s="13"/>
      <c r="R83" s="300"/>
      <c r="S83" s="13"/>
      <c r="T83" s="13"/>
      <c r="U83" s="300"/>
      <c r="V83" s="13"/>
      <c r="W83" s="13"/>
      <c r="X83" s="300"/>
      <c r="Y83" s="13"/>
      <c r="Z83" s="13"/>
      <c r="AA83" s="300"/>
      <c r="AB83" s="13"/>
      <c r="AC83" s="13"/>
      <c r="AD83" s="300"/>
      <c r="AE83" s="13"/>
      <c r="AF83" s="13"/>
      <c r="AG83" s="300"/>
      <c r="AH83" s="13"/>
      <c r="AI83" s="13"/>
      <c r="AJ83" s="300"/>
      <c r="AK83" s="13"/>
      <c r="AL83" s="301"/>
      <c r="AM83" s="300"/>
      <c r="AN83" s="13"/>
      <c r="AO83" s="301"/>
      <c r="AP83" s="300"/>
    </row>
    <row r="84">
      <c r="A84" s="13"/>
      <c r="B84" s="6" t="s">
        <v>7597</v>
      </c>
      <c r="C84" s="6" t="s">
        <v>7708</v>
      </c>
      <c r="D84" s="6">
        <v>0.0</v>
      </c>
      <c r="E84" s="6" t="s">
        <v>7605</v>
      </c>
      <c r="F84" s="13"/>
      <c r="G84" s="6">
        <v>1995.0</v>
      </c>
      <c r="H84" s="18" t="s">
        <v>7705</v>
      </c>
      <c r="I84" s="13"/>
      <c r="J84" s="13"/>
      <c r="K84" s="13"/>
      <c r="L84" s="13"/>
      <c r="M84" s="13"/>
      <c r="N84" s="13"/>
      <c r="O84" s="13"/>
      <c r="P84" s="13"/>
      <c r="Q84" s="13"/>
      <c r="R84" s="300"/>
      <c r="S84" s="13"/>
      <c r="T84" s="13"/>
      <c r="U84" s="300"/>
      <c r="V84" s="13"/>
      <c r="W84" s="13"/>
      <c r="X84" s="300"/>
      <c r="Y84" s="13"/>
      <c r="Z84" s="13"/>
      <c r="AA84" s="300"/>
      <c r="AB84" s="13"/>
      <c r="AC84" s="13"/>
      <c r="AD84" s="300"/>
      <c r="AE84" s="13"/>
      <c r="AF84" s="13"/>
      <c r="AG84" s="300"/>
      <c r="AH84" s="13"/>
      <c r="AI84" s="13"/>
      <c r="AJ84" s="300"/>
      <c r="AK84" s="13"/>
      <c r="AL84" s="301"/>
      <c r="AM84" s="300"/>
      <c r="AN84" s="13"/>
      <c r="AO84" s="301"/>
      <c r="AP84" s="300"/>
    </row>
    <row r="85">
      <c r="A85" s="13"/>
      <c r="B85" s="6" t="s">
        <v>7597</v>
      </c>
      <c r="C85" s="6" t="s">
        <v>7709</v>
      </c>
      <c r="D85" s="6">
        <v>0.0</v>
      </c>
      <c r="E85" s="6" t="s">
        <v>7605</v>
      </c>
      <c r="F85" s="13"/>
      <c r="G85" s="13"/>
      <c r="H85" s="13"/>
      <c r="I85" s="13"/>
      <c r="J85" s="13"/>
      <c r="K85" s="13"/>
      <c r="L85" s="13"/>
      <c r="M85" s="13"/>
      <c r="N85" s="13"/>
      <c r="O85" s="13"/>
      <c r="P85" s="13"/>
      <c r="Q85" s="13"/>
      <c r="R85" s="300"/>
      <c r="S85" s="13"/>
      <c r="T85" s="13"/>
      <c r="U85" s="300"/>
      <c r="V85" s="13"/>
      <c r="W85" s="13"/>
      <c r="X85" s="300"/>
      <c r="Y85" s="13"/>
      <c r="Z85" s="13"/>
      <c r="AA85" s="300"/>
      <c r="AB85" s="13"/>
      <c r="AC85" s="13"/>
      <c r="AD85" s="300"/>
      <c r="AE85" s="13"/>
      <c r="AF85" s="13"/>
      <c r="AG85" s="300"/>
      <c r="AH85" s="13"/>
      <c r="AI85" s="13"/>
      <c r="AJ85" s="300"/>
      <c r="AK85" s="13"/>
      <c r="AL85" s="301"/>
      <c r="AM85" s="300"/>
      <c r="AN85" s="13"/>
      <c r="AO85" s="301"/>
      <c r="AP85" s="300"/>
    </row>
    <row r="86">
      <c r="A86" s="13"/>
      <c r="B86" s="6" t="s">
        <v>7597</v>
      </c>
      <c r="C86" s="6" t="s">
        <v>7710</v>
      </c>
      <c r="D86" s="6">
        <v>0.0</v>
      </c>
      <c r="E86" s="13"/>
      <c r="F86" s="13"/>
      <c r="G86" s="13"/>
      <c r="H86" s="13"/>
      <c r="I86" s="13"/>
      <c r="J86" s="13"/>
      <c r="K86" s="13"/>
      <c r="L86" s="13"/>
      <c r="M86" s="13"/>
      <c r="N86" s="13"/>
      <c r="O86" s="13"/>
      <c r="P86" s="13"/>
      <c r="Q86" s="13"/>
      <c r="R86" s="300"/>
      <c r="S86" s="13"/>
      <c r="T86" s="13"/>
      <c r="U86" s="300"/>
      <c r="V86" s="13"/>
      <c r="W86" s="13"/>
      <c r="X86" s="300"/>
      <c r="Y86" s="13"/>
      <c r="Z86" s="13"/>
      <c r="AA86" s="300"/>
      <c r="AB86" s="13"/>
      <c r="AC86" s="13"/>
      <c r="AD86" s="300"/>
      <c r="AE86" s="13"/>
      <c r="AF86" s="13"/>
      <c r="AG86" s="300"/>
      <c r="AH86" s="13"/>
      <c r="AI86" s="13"/>
      <c r="AJ86" s="300"/>
      <c r="AK86" s="13"/>
      <c r="AL86" s="301"/>
      <c r="AM86" s="300"/>
      <c r="AN86" s="13"/>
      <c r="AO86" s="301"/>
      <c r="AP86" s="300"/>
    </row>
    <row r="87">
      <c r="A87" s="13"/>
      <c r="B87" s="6" t="s">
        <v>7711</v>
      </c>
      <c r="C87" s="6" t="s">
        <v>7712</v>
      </c>
      <c r="D87" s="6">
        <v>0.0</v>
      </c>
      <c r="E87" s="13"/>
      <c r="F87" s="13"/>
      <c r="G87" s="13"/>
      <c r="H87" s="13"/>
      <c r="I87" s="13"/>
      <c r="J87" s="13"/>
      <c r="K87" s="13"/>
      <c r="L87" s="13"/>
      <c r="M87" s="13"/>
      <c r="N87" s="13"/>
      <c r="O87" s="13"/>
      <c r="P87" s="13"/>
      <c r="Q87" s="13"/>
      <c r="R87" s="300"/>
      <c r="S87" s="13"/>
      <c r="T87" s="13"/>
      <c r="U87" s="300"/>
      <c r="V87" s="13"/>
      <c r="W87" s="13"/>
      <c r="X87" s="300"/>
      <c r="Y87" s="13"/>
      <c r="Z87" s="13"/>
      <c r="AA87" s="300"/>
      <c r="AB87" s="13"/>
      <c r="AC87" s="13"/>
      <c r="AD87" s="300"/>
      <c r="AE87" s="13"/>
      <c r="AF87" s="13"/>
      <c r="AG87" s="300"/>
      <c r="AH87" s="13"/>
      <c r="AI87" s="13"/>
      <c r="AJ87" s="300"/>
      <c r="AK87" s="13"/>
      <c r="AL87" s="301"/>
      <c r="AM87" s="300"/>
      <c r="AN87" s="13"/>
      <c r="AO87" s="301"/>
      <c r="AP87" s="300"/>
    </row>
    <row r="88">
      <c r="A88" s="13"/>
      <c r="B88" s="6" t="s">
        <v>7597</v>
      </c>
      <c r="C88" s="6" t="s">
        <v>7713</v>
      </c>
      <c r="D88" s="6">
        <v>0.0</v>
      </c>
      <c r="E88" s="13"/>
      <c r="F88" s="13"/>
      <c r="G88" s="6">
        <v>1996.0</v>
      </c>
      <c r="H88" s="18" t="s">
        <v>7714</v>
      </c>
      <c r="I88" s="6"/>
      <c r="J88" s="13"/>
      <c r="K88" s="13"/>
      <c r="L88" s="13"/>
      <c r="M88" s="13"/>
      <c r="N88" s="13"/>
      <c r="O88" s="13"/>
      <c r="P88" s="13"/>
      <c r="Q88" s="13"/>
      <c r="R88" s="300"/>
      <c r="S88" s="13"/>
      <c r="T88" s="13"/>
      <c r="U88" s="300"/>
      <c r="V88" s="13"/>
      <c r="W88" s="13"/>
      <c r="X88" s="300"/>
      <c r="Y88" s="13"/>
      <c r="Z88" s="13"/>
      <c r="AA88" s="300"/>
      <c r="AB88" s="13"/>
      <c r="AC88" s="13"/>
      <c r="AD88" s="300"/>
      <c r="AE88" s="13"/>
      <c r="AF88" s="13"/>
      <c r="AG88" s="300"/>
      <c r="AH88" s="13"/>
      <c r="AI88" s="13"/>
      <c r="AJ88" s="300"/>
      <c r="AK88" s="13"/>
      <c r="AL88" s="301"/>
      <c r="AM88" s="300"/>
      <c r="AN88" s="13"/>
      <c r="AO88" s="301"/>
      <c r="AP88" s="300"/>
    </row>
    <row r="89">
      <c r="A89" s="13"/>
      <c r="B89" s="6" t="s">
        <v>7715</v>
      </c>
      <c r="C89" s="6" t="s">
        <v>7716</v>
      </c>
      <c r="D89" s="6">
        <v>0.0</v>
      </c>
      <c r="E89" s="13"/>
      <c r="F89" s="13"/>
      <c r="G89" s="13"/>
      <c r="H89" s="13"/>
      <c r="I89" s="13"/>
      <c r="J89" s="13"/>
      <c r="K89" s="13"/>
      <c r="L89" s="13"/>
      <c r="M89" s="13"/>
      <c r="N89" s="13"/>
      <c r="O89" s="13"/>
      <c r="P89" s="13"/>
      <c r="Q89" s="13"/>
      <c r="R89" s="300"/>
      <c r="S89" s="13"/>
      <c r="T89" s="13"/>
      <c r="U89" s="300"/>
      <c r="V89" s="13"/>
      <c r="W89" s="13"/>
      <c r="X89" s="300"/>
      <c r="Y89" s="13"/>
      <c r="Z89" s="13"/>
      <c r="AA89" s="300"/>
      <c r="AB89" s="13"/>
      <c r="AC89" s="13"/>
      <c r="AD89" s="300"/>
      <c r="AE89" s="13"/>
      <c r="AF89" s="13"/>
      <c r="AG89" s="300"/>
      <c r="AH89" s="13"/>
      <c r="AI89" s="13"/>
      <c r="AJ89" s="300"/>
      <c r="AK89" s="13"/>
      <c r="AL89" s="301"/>
      <c r="AM89" s="300"/>
      <c r="AN89" s="13"/>
      <c r="AO89" s="301"/>
      <c r="AP89" s="300"/>
    </row>
    <row r="90">
      <c r="A90" s="13"/>
      <c r="B90" s="6" t="s">
        <v>7715</v>
      </c>
      <c r="C90" s="6" t="s">
        <v>7717</v>
      </c>
      <c r="D90" s="6">
        <v>0.0</v>
      </c>
      <c r="E90" s="13"/>
      <c r="F90" s="13"/>
      <c r="G90" s="13"/>
      <c r="H90" s="13"/>
      <c r="I90" s="13"/>
      <c r="J90" s="13"/>
      <c r="K90" s="13"/>
      <c r="L90" s="13"/>
      <c r="M90" s="13"/>
      <c r="N90" s="13"/>
      <c r="O90" s="13"/>
      <c r="P90" s="13"/>
      <c r="Q90" s="13"/>
      <c r="R90" s="300"/>
      <c r="S90" s="13"/>
      <c r="T90" s="13"/>
      <c r="U90" s="300"/>
      <c r="V90" s="13"/>
      <c r="W90" s="13"/>
      <c r="X90" s="300"/>
      <c r="Y90" s="13"/>
      <c r="Z90" s="13"/>
      <c r="AA90" s="300"/>
      <c r="AB90" s="13"/>
      <c r="AC90" s="13"/>
      <c r="AD90" s="300"/>
      <c r="AE90" s="13"/>
      <c r="AF90" s="13"/>
      <c r="AG90" s="300"/>
      <c r="AH90" s="13"/>
      <c r="AI90" s="13"/>
      <c r="AJ90" s="300"/>
      <c r="AK90" s="13"/>
      <c r="AL90" s="301"/>
      <c r="AM90" s="300"/>
      <c r="AN90" s="13"/>
      <c r="AO90" s="301"/>
      <c r="AP90" s="300"/>
    </row>
    <row r="91">
      <c r="A91" s="13"/>
      <c r="B91" s="6" t="s">
        <v>7715</v>
      </c>
      <c r="C91" s="6" t="s">
        <v>7718</v>
      </c>
      <c r="D91" s="6">
        <v>0.0</v>
      </c>
      <c r="E91" s="13"/>
      <c r="F91" s="13"/>
      <c r="G91" s="13"/>
      <c r="H91" s="13"/>
      <c r="I91" s="13"/>
      <c r="J91" s="13"/>
      <c r="K91" s="13"/>
      <c r="L91" s="13"/>
      <c r="M91" s="13"/>
      <c r="N91" s="13"/>
      <c r="O91" s="13"/>
      <c r="P91" s="13"/>
      <c r="Q91" s="13"/>
      <c r="R91" s="300"/>
      <c r="S91" s="13"/>
      <c r="T91" s="13"/>
      <c r="U91" s="300"/>
      <c r="V91" s="13"/>
      <c r="W91" s="13"/>
      <c r="X91" s="300"/>
      <c r="Y91" s="13"/>
      <c r="Z91" s="13"/>
      <c r="AA91" s="300"/>
      <c r="AB91" s="13"/>
      <c r="AC91" s="13"/>
      <c r="AD91" s="300"/>
      <c r="AE91" s="13"/>
      <c r="AF91" s="13"/>
      <c r="AG91" s="300"/>
      <c r="AH91" s="13"/>
      <c r="AI91" s="13"/>
      <c r="AJ91" s="300"/>
      <c r="AK91" s="13"/>
      <c r="AL91" s="301"/>
      <c r="AM91" s="300"/>
      <c r="AN91" s="13"/>
      <c r="AO91" s="301"/>
      <c r="AP91" s="300"/>
    </row>
    <row r="92">
      <c r="A92" s="13"/>
      <c r="B92" s="6" t="s">
        <v>7719</v>
      </c>
      <c r="C92" s="6" t="s">
        <v>7720</v>
      </c>
      <c r="D92" s="6">
        <v>0.0</v>
      </c>
      <c r="E92" s="13"/>
      <c r="F92" s="13"/>
      <c r="G92" s="13"/>
      <c r="H92" s="13"/>
      <c r="I92" s="13"/>
      <c r="J92" s="13"/>
      <c r="K92" s="13"/>
      <c r="L92" s="13"/>
      <c r="M92" s="13"/>
      <c r="N92" s="13"/>
      <c r="O92" s="13"/>
      <c r="P92" s="13"/>
      <c r="Q92" s="13"/>
      <c r="R92" s="300"/>
      <c r="S92" s="13"/>
      <c r="T92" s="13"/>
      <c r="U92" s="300"/>
      <c r="V92" s="13"/>
      <c r="W92" s="13"/>
      <c r="X92" s="300"/>
      <c r="Y92" s="13"/>
      <c r="Z92" s="13"/>
      <c r="AA92" s="300"/>
      <c r="AB92" s="13"/>
      <c r="AC92" s="13"/>
      <c r="AD92" s="300"/>
      <c r="AE92" s="13"/>
      <c r="AF92" s="13"/>
      <c r="AG92" s="300"/>
      <c r="AH92" s="13"/>
      <c r="AI92" s="13"/>
      <c r="AJ92" s="300"/>
      <c r="AK92" s="13"/>
      <c r="AL92" s="301"/>
      <c r="AM92" s="300"/>
      <c r="AN92" s="13"/>
      <c r="AO92" s="301"/>
      <c r="AP92" s="300"/>
    </row>
    <row r="93">
      <c r="A93" s="13"/>
      <c r="B93" s="6" t="s">
        <v>7401</v>
      </c>
      <c r="C93" s="6" t="s">
        <v>7721</v>
      </c>
      <c r="D93" s="6">
        <v>0.0</v>
      </c>
      <c r="E93" s="13"/>
      <c r="F93" s="13"/>
      <c r="G93" s="13"/>
      <c r="H93" s="13"/>
      <c r="I93" s="13"/>
      <c r="J93" s="13"/>
      <c r="K93" s="13"/>
      <c r="L93" s="13"/>
      <c r="M93" s="13"/>
      <c r="N93" s="13"/>
      <c r="O93" s="13"/>
      <c r="P93" s="13"/>
      <c r="Q93" s="13"/>
      <c r="R93" s="300"/>
      <c r="S93" s="13"/>
      <c r="T93" s="13"/>
      <c r="U93" s="300"/>
      <c r="V93" s="13"/>
      <c r="W93" s="13"/>
      <c r="X93" s="300"/>
      <c r="Y93" s="13"/>
      <c r="Z93" s="13"/>
      <c r="AA93" s="300"/>
      <c r="AB93" s="13"/>
      <c r="AC93" s="13"/>
      <c r="AD93" s="300"/>
      <c r="AE93" s="13"/>
      <c r="AF93" s="13"/>
      <c r="AG93" s="300"/>
      <c r="AH93" s="13"/>
      <c r="AI93" s="13"/>
      <c r="AJ93" s="300"/>
      <c r="AK93" s="13"/>
      <c r="AL93" s="301"/>
      <c r="AM93" s="300"/>
      <c r="AN93" s="13"/>
      <c r="AO93" s="301"/>
      <c r="AP93" s="300"/>
    </row>
    <row r="94">
      <c r="A94" s="13"/>
      <c r="B94" s="6" t="s">
        <v>7401</v>
      </c>
      <c r="C94" s="6" t="s">
        <v>7722</v>
      </c>
      <c r="D94" s="6">
        <v>0.0</v>
      </c>
      <c r="E94" s="13"/>
      <c r="F94" s="13"/>
      <c r="G94" s="13"/>
      <c r="H94" s="18" t="s">
        <v>7723</v>
      </c>
      <c r="I94" s="6"/>
      <c r="J94" s="13"/>
      <c r="K94" s="13"/>
      <c r="L94" s="13"/>
      <c r="M94" s="13"/>
      <c r="N94" s="13"/>
      <c r="O94" s="13"/>
      <c r="P94" s="13"/>
      <c r="Q94" s="13"/>
      <c r="R94" s="300"/>
      <c r="S94" s="13"/>
      <c r="T94" s="13"/>
      <c r="U94" s="300"/>
      <c r="V94" s="13"/>
      <c r="W94" s="13"/>
      <c r="X94" s="300"/>
      <c r="Y94" s="13"/>
      <c r="Z94" s="13"/>
      <c r="AA94" s="300"/>
      <c r="AB94" s="13"/>
      <c r="AC94" s="13"/>
      <c r="AD94" s="300"/>
      <c r="AE94" s="13"/>
      <c r="AF94" s="13"/>
      <c r="AG94" s="300"/>
      <c r="AH94" s="13"/>
      <c r="AI94" s="13"/>
      <c r="AJ94" s="300"/>
      <c r="AK94" s="13"/>
      <c r="AL94" s="301"/>
      <c r="AM94" s="300"/>
      <c r="AN94" s="13"/>
      <c r="AO94" s="301"/>
      <c r="AP94" s="300"/>
    </row>
    <row r="95">
      <c r="A95" s="13"/>
      <c r="B95" s="6" t="s">
        <v>7719</v>
      </c>
      <c r="C95" s="6" t="s">
        <v>7724</v>
      </c>
      <c r="D95" s="6">
        <v>0.0</v>
      </c>
      <c r="E95" s="6" t="s">
        <v>7725</v>
      </c>
      <c r="F95" s="13"/>
      <c r="G95" s="6">
        <v>2015.0</v>
      </c>
      <c r="H95" s="18" t="s">
        <v>7726</v>
      </c>
      <c r="I95" s="6"/>
      <c r="J95" s="13"/>
      <c r="K95" s="13"/>
      <c r="L95" s="13"/>
      <c r="M95" s="13"/>
      <c r="N95" s="13"/>
      <c r="O95" s="13"/>
      <c r="P95" s="13"/>
      <c r="Q95" s="13"/>
      <c r="R95" s="300"/>
      <c r="S95" s="13"/>
      <c r="T95" s="13"/>
      <c r="U95" s="300"/>
      <c r="V95" s="13"/>
      <c r="W95" s="13"/>
      <c r="X95" s="300"/>
      <c r="Y95" s="13"/>
      <c r="Z95" s="13"/>
      <c r="AA95" s="300"/>
      <c r="AB95" s="13"/>
      <c r="AC95" s="13"/>
      <c r="AD95" s="300"/>
      <c r="AE95" s="13"/>
      <c r="AF95" s="13"/>
      <c r="AG95" s="300"/>
      <c r="AH95" s="13"/>
      <c r="AI95" s="13"/>
      <c r="AJ95" s="300"/>
      <c r="AK95" s="13"/>
      <c r="AL95" s="301"/>
      <c r="AM95" s="300"/>
      <c r="AN95" s="13"/>
      <c r="AO95" s="301"/>
      <c r="AP95" s="300"/>
    </row>
    <row r="96">
      <c r="A96" s="13"/>
      <c r="B96" s="6" t="s">
        <v>7719</v>
      </c>
      <c r="C96" s="6" t="s">
        <v>7727</v>
      </c>
      <c r="D96" s="6">
        <v>0.0</v>
      </c>
      <c r="E96" s="35" t="s">
        <v>7728</v>
      </c>
      <c r="F96" s="6"/>
      <c r="G96" s="6">
        <v>1994.0</v>
      </c>
      <c r="H96" s="18" t="s">
        <v>7729</v>
      </c>
      <c r="I96" s="6"/>
      <c r="J96" s="13"/>
      <c r="K96" s="13"/>
      <c r="L96" s="13"/>
      <c r="M96" s="13"/>
      <c r="N96" s="13"/>
      <c r="O96" s="13"/>
      <c r="P96" s="13"/>
      <c r="Q96" s="13"/>
      <c r="R96" s="300"/>
      <c r="S96" s="13"/>
      <c r="T96" s="13"/>
      <c r="U96" s="300"/>
      <c r="V96" s="13"/>
      <c r="W96" s="13"/>
      <c r="X96" s="300"/>
      <c r="Y96" s="13"/>
      <c r="Z96" s="13"/>
      <c r="AA96" s="300"/>
      <c r="AB96" s="13"/>
      <c r="AC96" s="13"/>
      <c r="AD96" s="300"/>
      <c r="AE96" s="13"/>
      <c r="AF96" s="13"/>
      <c r="AG96" s="300"/>
      <c r="AH96" s="13"/>
      <c r="AI96" s="13"/>
      <c r="AJ96" s="300"/>
      <c r="AK96" s="13"/>
      <c r="AL96" s="301"/>
      <c r="AM96" s="300"/>
      <c r="AN96" s="13"/>
      <c r="AO96" s="301"/>
      <c r="AP96" s="300"/>
    </row>
    <row r="97">
      <c r="A97" s="13"/>
      <c r="B97" s="6" t="s">
        <v>7730</v>
      </c>
      <c r="C97" s="6" t="s">
        <v>7731</v>
      </c>
      <c r="D97" s="6">
        <v>0.0</v>
      </c>
      <c r="E97" s="13"/>
      <c r="F97" s="13"/>
      <c r="G97" s="13"/>
      <c r="H97" s="19" t="s">
        <v>7732</v>
      </c>
      <c r="I97" s="44"/>
      <c r="J97" s="13"/>
      <c r="K97" s="13"/>
      <c r="L97" s="13"/>
      <c r="M97" s="13"/>
      <c r="N97" s="13"/>
      <c r="O97" s="13"/>
      <c r="P97" s="13"/>
      <c r="Q97" s="13"/>
      <c r="R97" s="300"/>
      <c r="S97" s="13"/>
      <c r="T97" s="13"/>
      <c r="U97" s="300"/>
      <c r="V97" s="13"/>
      <c r="W97" s="13"/>
      <c r="X97" s="300"/>
      <c r="Y97" s="13"/>
      <c r="Z97" s="13"/>
      <c r="AA97" s="300"/>
      <c r="AB97" s="13"/>
      <c r="AC97" s="13"/>
      <c r="AD97" s="300"/>
      <c r="AE97" s="13"/>
      <c r="AF97" s="13"/>
      <c r="AG97" s="300"/>
      <c r="AH97" s="13"/>
      <c r="AI97" s="13"/>
      <c r="AJ97" s="300"/>
      <c r="AK97" s="13"/>
      <c r="AL97" s="301"/>
      <c r="AM97" s="300"/>
      <c r="AN97" s="13"/>
      <c r="AO97" s="301"/>
      <c r="AP97" s="300"/>
    </row>
    <row r="98">
      <c r="A98" s="13"/>
      <c r="B98" s="6" t="s">
        <v>7733</v>
      </c>
      <c r="C98" s="6" t="s">
        <v>7734</v>
      </c>
      <c r="D98" s="6">
        <v>0.0</v>
      </c>
      <c r="E98" s="35" t="s">
        <v>7735</v>
      </c>
      <c r="F98" s="13"/>
      <c r="G98" s="6">
        <v>2007.0</v>
      </c>
      <c r="H98" s="18" t="s">
        <v>7736</v>
      </c>
      <c r="I98" s="6" t="s">
        <v>7737</v>
      </c>
      <c r="J98" s="13"/>
      <c r="K98" s="13"/>
      <c r="L98" s="35"/>
      <c r="M98" s="69"/>
      <c r="N98" s="35" t="s">
        <v>1814</v>
      </c>
      <c r="O98" s="35" t="s">
        <v>1813</v>
      </c>
      <c r="P98" s="35" t="s">
        <v>1773</v>
      </c>
      <c r="Q98" s="35" t="s">
        <v>22</v>
      </c>
      <c r="R98" s="300"/>
      <c r="S98" s="13"/>
      <c r="T98" s="13"/>
      <c r="U98" s="300"/>
      <c r="V98" s="13"/>
      <c r="W98" s="13"/>
      <c r="X98" s="300"/>
      <c r="Y98" s="13"/>
      <c r="Z98" s="13"/>
      <c r="AA98" s="300"/>
      <c r="AB98" s="13"/>
      <c r="AC98" s="13"/>
      <c r="AD98" s="300"/>
      <c r="AE98" s="13"/>
      <c r="AF98" s="13"/>
      <c r="AG98" s="300"/>
      <c r="AH98" s="13"/>
      <c r="AI98" s="13"/>
      <c r="AJ98" s="300"/>
      <c r="AK98" s="13"/>
      <c r="AL98" s="301"/>
      <c r="AM98" s="300"/>
      <c r="AN98" s="13"/>
      <c r="AO98" s="301"/>
      <c r="AP98" s="300"/>
    </row>
    <row r="99">
      <c r="A99" s="13"/>
      <c r="B99" s="13"/>
      <c r="C99" s="13"/>
      <c r="D99" s="13"/>
      <c r="E99" s="13"/>
      <c r="F99" s="13"/>
      <c r="G99" s="13"/>
      <c r="H99" s="13"/>
      <c r="I99" s="13"/>
      <c r="J99" s="13"/>
      <c r="K99" s="13"/>
      <c r="L99" s="13"/>
      <c r="M99" s="13"/>
      <c r="N99" s="13"/>
      <c r="O99" s="13"/>
      <c r="P99" s="13"/>
      <c r="Q99" s="13"/>
      <c r="R99" s="300"/>
      <c r="S99" s="13"/>
      <c r="T99" s="13"/>
      <c r="U99" s="300"/>
      <c r="V99" s="13"/>
      <c r="W99" s="13"/>
      <c r="X99" s="300"/>
      <c r="Y99" s="13"/>
      <c r="Z99" s="13"/>
      <c r="AA99" s="300"/>
      <c r="AB99" s="13"/>
      <c r="AC99" s="13"/>
      <c r="AD99" s="300"/>
      <c r="AE99" s="13"/>
      <c r="AF99" s="13"/>
      <c r="AG99" s="300"/>
      <c r="AH99" s="13"/>
      <c r="AI99" s="13"/>
      <c r="AJ99" s="300"/>
      <c r="AK99" s="13"/>
      <c r="AL99" s="301"/>
      <c r="AM99" s="300"/>
      <c r="AN99" s="13"/>
      <c r="AO99" s="301"/>
      <c r="AP99" s="300"/>
    </row>
    <row r="100">
      <c r="A100" s="13"/>
      <c r="B100" s="13"/>
      <c r="C100" s="13"/>
      <c r="D100" s="13"/>
      <c r="E100" s="13"/>
      <c r="F100" s="13"/>
      <c r="G100" s="13"/>
      <c r="H100" s="13"/>
      <c r="I100" s="13"/>
      <c r="J100" s="13"/>
      <c r="K100" s="13"/>
      <c r="L100" s="13"/>
      <c r="M100" s="13"/>
      <c r="N100" s="13"/>
      <c r="O100" s="13"/>
      <c r="P100" s="13"/>
      <c r="Q100" s="13"/>
      <c r="R100" s="300"/>
      <c r="S100" s="13"/>
      <c r="T100" s="13"/>
      <c r="U100" s="300"/>
      <c r="V100" s="13"/>
      <c r="W100" s="13"/>
      <c r="X100" s="300"/>
      <c r="Y100" s="13"/>
      <c r="Z100" s="13"/>
      <c r="AA100" s="300"/>
      <c r="AB100" s="13"/>
      <c r="AC100" s="13"/>
      <c r="AD100" s="300"/>
      <c r="AE100" s="13"/>
      <c r="AF100" s="13"/>
      <c r="AG100" s="300"/>
      <c r="AH100" s="13"/>
      <c r="AI100" s="13"/>
      <c r="AJ100" s="300"/>
      <c r="AK100" s="13"/>
      <c r="AL100" s="301"/>
      <c r="AM100" s="300"/>
      <c r="AN100" s="13"/>
      <c r="AO100" s="301"/>
      <c r="AP100" s="300"/>
    </row>
    <row r="101">
      <c r="A101" s="13"/>
      <c r="B101" s="13"/>
      <c r="C101" s="13"/>
      <c r="D101" s="13"/>
      <c r="E101" s="13"/>
      <c r="F101" s="13"/>
      <c r="G101" s="13"/>
      <c r="H101" s="13"/>
      <c r="I101" s="13"/>
      <c r="J101" s="13"/>
      <c r="K101" s="13"/>
      <c r="L101" s="13"/>
      <c r="M101" s="13"/>
      <c r="N101" s="13"/>
      <c r="O101" s="13"/>
      <c r="P101" s="13"/>
      <c r="Q101" s="13"/>
      <c r="R101" s="300"/>
      <c r="S101" s="13"/>
      <c r="T101" s="13"/>
      <c r="U101" s="300"/>
      <c r="V101" s="13"/>
      <c r="W101" s="13"/>
      <c r="X101" s="300"/>
      <c r="Y101" s="13"/>
      <c r="Z101" s="13"/>
      <c r="AA101" s="300"/>
      <c r="AB101" s="13"/>
      <c r="AC101" s="13"/>
      <c r="AD101" s="300"/>
      <c r="AE101" s="13"/>
      <c r="AF101" s="13"/>
      <c r="AG101" s="300"/>
      <c r="AH101" s="13"/>
      <c r="AI101" s="13"/>
      <c r="AJ101" s="300"/>
      <c r="AK101" s="13"/>
      <c r="AL101" s="301"/>
      <c r="AM101" s="300"/>
      <c r="AN101" s="13"/>
      <c r="AO101" s="301"/>
      <c r="AP101" s="300"/>
    </row>
    <row r="102">
      <c r="A102" s="13"/>
      <c r="B102" s="13"/>
      <c r="C102" s="13"/>
      <c r="D102" s="13"/>
      <c r="E102" s="13"/>
      <c r="F102" s="13"/>
      <c r="G102" s="13"/>
      <c r="H102" s="13"/>
      <c r="I102" s="13"/>
      <c r="J102" s="13"/>
      <c r="K102" s="13"/>
      <c r="L102" s="13"/>
      <c r="M102" s="13"/>
      <c r="N102" s="13"/>
      <c r="O102" s="13"/>
      <c r="P102" s="13"/>
      <c r="Q102" s="13"/>
      <c r="R102" s="300"/>
      <c r="S102" s="13"/>
      <c r="T102" s="13"/>
      <c r="U102" s="300"/>
      <c r="V102" s="13"/>
      <c r="W102" s="13"/>
      <c r="X102" s="300"/>
      <c r="Y102" s="13"/>
      <c r="Z102" s="13"/>
      <c r="AA102" s="300"/>
      <c r="AB102" s="13"/>
      <c r="AC102" s="13"/>
      <c r="AD102" s="300"/>
      <c r="AE102" s="13"/>
      <c r="AF102" s="13"/>
      <c r="AG102" s="300"/>
      <c r="AH102" s="13"/>
      <c r="AI102" s="13"/>
      <c r="AJ102" s="300"/>
      <c r="AK102" s="13"/>
      <c r="AL102" s="301"/>
      <c r="AM102" s="300"/>
      <c r="AN102" s="13"/>
      <c r="AO102" s="301"/>
      <c r="AP102" s="300"/>
    </row>
    <row r="103">
      <c r="A103" s="13"/>
      <c r="B103" s="13"/>
      <c r="C103" s="13"/>
      <c r="D103" s="13"/>
      <c r="E103" s="13"/>
      <c r="F103" s="13"/>
      <c r="G103" s="13"/>
      <c r="H103" s="13"/>
      <c r="I103" s="13"/>
      <c r="J103" s="13"/>
      <c r="K103" s="13"/>
      <c r="L103" s="13"/>
      <c r="M103" s="13"/>
      <c r="N103" s="13"/>
      <c r="O103" s="13"/>
      <c r="P103" s="13"/>
      <c r="Q103" s="13"/>
      <c r="R103" s="300"/>
      <c r="S103" s="13"/>
      <c r="T103" s="13"/>
      <c r="U103" s="300"/>
      <c r="V103" s="13"/>
      <c r="W103" s="13"/>
      <c r="X103" s="300"/>
      <c r="Y103" s="13"/>
      <c r="Z103" s="13"/>
      <c r="AA103" s="300"/>
      <c r="AB103" s="13"/>
      <c r="AC103" s="13"/>
      <c r="AD103" s="300"/>
      <c r="AE103" s="13"/>
      <c r="AF103" s="13"/>
      <c r="AG103" s="300"/>
      <c r="AH103" s="13"/>
      <c r="AI103" s="13"/>
      <c r="AJ103" s="300"/>
      <c r="AK103" s="13"/>
      <c r="AL103" s="301"/>
      <c r="AM103" s="300"/>
      <c r="AN103" s="13"/>
      <c r="AO103" s="301"/>
      <c r="AP103" s="300"/>
    </row>
    <row r="104">
      <c r="A104" s="13"/>
      <c r="B104" s="13"/>
      <c r="C104" s="13"/>
      <c r="D104" s="13"/>
      <c r="E104" s="13"/>
      <c r="F104" s="13"/>
      <c r="G104" s="13"/>
      <c r="H104" s="13"/>
      <c r="I104" s="13"/>
      <c r="J104" s="13"/>
      <c r="K104" s="13"/>
      <c r="L104" s="13"/>
      <c r="M104" s="13"/>
      <c r="N104" s="13"/>
      <c r="O104" s="13"/>
      <c r="P104" s="13"/>
      <c r="Q104" s="13"/>
      <c r="R104" s="300"/>
      <c r="S104" s="13"/>
      <c r="T104" s="13"/>
      <c r="U104" s="300"/>
      <c r="V104" s="13"/>
      <c r="W104" s="13"/>
      <c r="X104" s="300"/>
      <c r="Y104" s="13"/>
      <c r="Z104" s="13"/>
      <c r="AA104" s="300"/>
      <c r="AB104" s="13"/>
      <c r="AC104" s="13"/>
      <c r="AD104" s="300"/>
      <c r="AE104" s="13"/>
      <c r="AF104" s="13"/>
      <c r="AG104" s="300"/>
      <c r="AH104" s="13"/>
      <c r="AI104" s="13"/>
      <c r="AJ104" s="300"/>
      <c r="AK104" s="13"/>
      <c r="AL104" s="301"/>
      <c r="AM104" s="300"/>
      <c r="AN104" s="13"/>
      <c r="AO104" s="301"/>
      <c r="AP104" s="300"/>
    </row>
    <row r="105">
      <c r="A105" s="13"/>
      <c r="B105" s="13"/>
      <c r="C105" s="13"/>
      <c r="D105" s="13"/>
      <c r="E105" s="13"/>
      <c r="F105" s="13"/>
      <c r="G105" s="13"/>
      <c r="H105" s="13"/>
      <c r="I105" s="13"/>
      <c r="J105" s="13"/>
      <c r="K105" s="13"/>
      <c r="L105" s="13"/>
      <c r="M105" s="13"/>
      <c r="N105" s="13"/>
      <c r="O105" s="13"/>
      <c r="P105" s="13"/>
      <c r="Q105" s="13"/>
      <c r="R105" s="300"/>
      <c r="S105" s="13"/>
      <c r="T105" s="13"/>
      <c r="U105" s="300"/>
      <c r="V105" s="13"/>
      <c r="W105" s="13"/>
      <c r="X105" s="300"/>
      <c r="Y105" s="13"/>
      <c r="Z105" s="13"/>
      <c r="AA105" s="300"/>
      <c r="AB105" s="13"/>
      <c r="AC105" s="13"/>
      <c r="AD105" s="300"/>
      <c r="AE105" s="13"/>
      <c r="AF105" s="13"/>
      <c r="AG105" s="300"/>
      <c r="AH105" s="13"/>
      <c r="AI105" s="13"/>
      <c r="AJ105" s="300"/>
      <c r="AK105" s="13"/>
      <c r="AL105" s="301"/>
      <c r="AM105" s="300"/>
      <c r="AN105" s="13"/>
      <c r="AO105" s="301"/>
      <c r="AP105" s="300"/>
    </row>
    <row r="106">
      <c r="A106" s="13"/>
      <c r="B106" s="13"/>
      <c r="C106" s="13"/>
      <c r="D106" s="13"/>
      <c r="E106" s="13"/>
      <c r="F106" s="13"/>
      <c r="G106" s="13"/>
      <c r="H106" s="13"/>
      <c r="I106" s="13"/>
      <c r="J106" s="13"/>
      <c r="K106" s="13"/>
      <c r="L106" s="13"/>
      <c r="M106" s="13"/>
      <c r="N106" s="13"/>
      <c r="O106" s="13"/>
      <c r="P106" s="13"/>
      <c r="Q106" s="13"/>
      <c r="R106" s="300"/>
      <c r="S106" s="13"/>
      <c r="T106" s="13"/>
      <c r="U106" s="300"/>
      <c r="V106" s="13"/>
      <c r="W106" s="13"/>
      <c r="X106" s="300"/>
      <c r="Y106" s="13"/>
      <c r="Z106" s="13"/>
      <c r="AA106" s="300"/>
      <c r="AB106" s="13"/>
      <c r="AC106" s="13"/>
      <c r="AD106" s="300"/>
      <c r="AE106" s="13"/>
      <c r="AF106" s="13"/>
      <c r="AG106" s="300"/>
      <c r="AH106" s="13"/>
      <c r="AI106" s="13"/>
      <c r="AJ106" s="300"/>
      <c r="AK106" s="13"/>
      <c r="AL106" s="301"/>
      <c r="AM106" s="300"/>
      <c r="AN106" s="13"/>
      <c r="AO106" s="301"/>
      <c r="AP106" s="300"/>
    </row>
    <row r="107">
      <c r="A107" s="13"/>
      <c r="B107" s="13"/>
      <c r="C107" s="13"/>
      <c r="D107" s="13"/>
      <c r="E107" s="13"/>
      <c r="F107" s="13"/>
      <c r="G107" s="13"/>
      <c r="H107" s="13"/>
      <c r="I107" s="13"/>
      <c r="J107" s="13"/>
      <c r="K107" s="13"/>
      <c r="L107" s="13"/>
      <c r="M107" s="13"/>
      <c r="N107" s="13"/>
      <c r="O107" s="13"/>
      <c r="P107" s="13"/>
      <c r="Q107" s="13"/>
      <c r="R107" s="300"/>
      <c r="S107" s="13"/>
      <c r="T107" s="13"/>
      <c r="U107" s="300"/>
      <c r="V107" s="13"/>
      <c r="W107" s="13"/>
      <c r="X107" s="300"/>
      <c r="Y107" s="13"/>
      <c r="Z107" s="13"/>
      <c r="AA107" s="300"/>
      <c r="AB107" s="13"/>
      <c r="AC107" s="13"/>
      <c r="AD107" s="300"/>
      <c r="AE107" s="13"/>
      <c r="AF107" s="13"/>
      <c r="AG107" s="300"/>
      <c r="AH107" s="13"/>
      <c r="AI107" s="13"/>
      <c r="AJ107" s="300"/>
      <c r="AK107" s="13"/>
      <c r="AL107" s="301"/>
      <c r="AM107" s="300"/>
      <c r="AN107" s="13"/>
      <c r="AO107" s="301"/>
      <c r="AP107" s="300"/>
    </row>
    <row r="108">
      <c r="A108" s="13"/>
      <c r="B108" s="13"/>
      <c r="C108" s="13"/>
      <c r="D108" s="13"/>
      <c r="E108" s="13"/>
      <c r="F108" s="13"/>
      <c r="G108" s="13"/>
      <c r="H108" s="13"/>
      <c r="I108" s="13"/>
      <c r="J108" s="13"/>
      <c r="K108" s="13"/>
      <c r="L108" s="13"/>
      <c r="M108" s="13"/>
      <c r="N108" s="13"/>
      <c r="O108" s="13"/>
      <c r="P108" s="13"/>
      <c r="Q108" s="13"/>
      <c r="R108" s="300"/>
      <c r="S108" s="13"/>
      <c r="T108" s="13"/>
      <c r="U108" s="300"/>
      <c r="V108" s="13"/>
      <c r="W108" s="13"/>
      <c r="X108" s="300"/>
      <c r="Y108" s="13"/>
      <c r="Z108" s="13"/>
      <c r="AA108" s="300"/>
      <c r="AB108" s="13"/>
      <c r="AC108" s="13"/>
      <c r="AD108" s="300"/>
      <c r="AE108" s="13"/>
      <c r="AF108" s="13"/>
      <c r="AG108" s="300"/>
      <c r="AH108" s="13"/>
      <c r="AI108" s="13"/>
      <c r="AJ108" s="300"/>
      <c r="AK108" s="13"/>
      <c r="AL108" s="301"/>
      <c r="AM108" s="300"/>
      <c r="AN108" s="13"/>
      <c r="AO108" s="301"/>
      <c r="AP108" s="300"/>
    </row>
    <row r="109">
      <c r="A109" s="13"/>
      <c r="B109" s="13"/>
      <c r="C109" s="13"/>
      <c r="D109" s="13"/>
      <c r="E109" s="13"/>
      <c r="F109" s="13"/>
      <c r="G109" s="13"/>
      <c r="H109" s="13"/>
      <c r="I109" s="13"/>
      <c r="J109" s="13"/>
      <c r="K109" s="13"/>
      <c r="L109" s="13"/>
      <c r="M109" s="13"/>
      <c r="N109" s="13"/>
      <c r="O109" s="13"/>
      <c r="P109" s="13"/>
      <c r="Q109" s="13"/>
      <c r="R109" s="300"/>
      <c r="S109" s="13"/>
      <c r="T109" s="13"/>
      <c r="U109" s="300"/>
      <c r="V109" s="13"/>
      <c r="W109" s="13"/>
      <c r="X109" s="300"/>
      <c r="Y109" s="13"/>
      <c r="Z109" s="13"/>
      <c r="AA109" s="300"/>
      <c r="AB109" s="13"/>
      <c r="AC109" s="13"/>
      <c r="AD109" s="300"/>
      <c r="AE109" s="13"/>
      <c r="AF109" s="13"/>
      <c r="AG109" s="300"/>
      <c r="AH109" s="13"/>
      <c r="AI109" s="13"/>
      <c r="AJ109" s="300"/>
      <c r="AK109" s="13"/>
      <c r="AL109" s="301"/>
      <c r="AM109" s="300"/>
      <c r="AN109" s="13"/>
      <c r="AO109" s="301"/>
      <c r="AP109" s="300"/>
    </row>
    <row r="110">
      <c r="A110" s="13"/>
      <c r="B110" s="13"/>
      <c r="C110" s="13"/>
      <c r="D110" s="13"/>
      <c r="E110" s="13"/>
      <c r="F110" s="13"/>
      <c r="G110" s="13"/>
      <c r="H110" s="13"/>
      <c r="I110" s="13"/>
      <c r="J110" s="13"/>
      <c r="K110" s="13"/>
      <c r="L110" s="13"/>
      <c r="M110" s="13"/>
      <c r="N110" s="13"/>
      <c r="O110" s="13"/>
      <c r="P110" s="13"/>
      <c r="Q110" s="13"/>
      <c r="R110" s="300"/>
      <c r="S110" s="13"/>
      <c r="T110" s="13"/>
      <c r="U110" s="300"/>
      <c r="V110" s="13"/>
      <c r="W110" s="13"/>
      <c r="X110" s="300"/>
      <c r="Y110" s="13"/>
      <c r="Z110" s="13"/>
      <c r="AA110" s="300"/>
      <c r="AB110" s="13"/>
      <c r="AC110" s="13"/>
      <c r="AD110" s="300"/>
      <c r="AE110" s="13"/>
      <c r="AF110" s="13"/>
      <c r="AG110" s="300"/>
      <c r="AH110" s="13"/>
      <c r="AI110" s="13"/>
      <c r="AJ110" s="300"/>
      <c r="AK110" s="13"/>
      <c r="AL110" s="301"/>
      <c r="AM110" s="300"/>
      <c r="AN110" s="13"/>
      <c r="AO110" s="301"/>
      <c r="AP110" s="300"/>
    </row>
    <row r="111">
      <c r="A111" s="13"/>
      <c r="B111" s="13"/>
      <c r="C111" s="13"/>
      <c r="D111" s="13"/>
      <c r="E111" s="13"/>
      <c r="F111" s="13"/>
      <c r="G111" s="13"/>
      <c r="H111" s="13"/>
      <c r="I111" s="13"/>
      <c r="J111" s="13"/>
      <c r="K111" s="13"/>
      <c r="L111" s="13"/>
      <c r="M111" s="13"/>
      <c r="N111" s="13"/>
      <c r="O111" s="13"/>
      <c r="P111" s="13"/>
      <c r="Q111" s="13"/>
      <c r="R111" s="300"/>
      <c r="S111" s="13"/>
      <c r="T111" s="13"/>
      <c r="U111" s="300"/>
      <c r="V111" s="13"/>
      <c r="W111" s="13"/>
      <c r="X111" s="300"/>
      <c r="Y111" s="13"/>
      <c r="Z111" s="13"/>
      <c r="AA111" s="300"/>
      <c r="AB111" s="13"/>
      <c r="AC111" s="13"/>
      <c r="AD111" s="300"/>
      <c r="AE111" s="13"/>
      <c r="AF111" s="13"/>
      <c r="AG111" s="300"/>
      <c r="AH111" s="13"/>
      <c r="AI111" s="13"/>
      <c r="AJ111" s="300"/>
      <c r="AK111" s="13"/>
      <c r="AL111" s="301"/>
      <c r="AM111" s="300"/>
      <c r="AN111" s="13"/>
      <c r="AO111" s="301"/>
      <c r="AP111" s="300"/>
    </row>
    <row r="112">
      <c r="A112" s="13"/>
      <c r="B112" s="13"/>
      <c r="C112" s="13"/>
      <c r="D112" s="13"/>
      <c r="E112" s="13"/>
      <c r="F112" s="13"/>
      <c r="G112" s="13"/>
      <c r="H112" s="13"/>
      <c r="I112" s="13"/>
      <c r="J112" s="13"/>
      <c r="K112" s="13"/>
      <c r="L112" s="13"/>
      <c r="M112" s="13"/>
      <c r="N112" s="13"/>
      <c r="O112" s="13"/>
      <c r="P112" s="13"/>
      <c r="Q112" s="13"/>
      <c r="R112" s="300"/>
      <c r="S112" s="13"/>
      <c r="T112" s="13"/>
      <c r="U112" s="300"/>
      <c r="V112" s="13"/>
      <c r="W112" s="13"/>
      <c r="X112" s="300"/>
      <c r="Y112" s="13"/>
      <c r="Z112" s="13"/>
      <c r="AA112" s="300"/>
      <c r="AB112" s="13"/>
      <c r="AC112" s="13"/>
      <c r="AD112" s="300"/>
      <c r="AE112" s="13"/>
      <c r="AF112" s="13"/>
      <c r="AG112" s="300"/>
      <c r="AH112" s="13"/>
      <c r="AI112" s="13"/>
      <c r="AJ112" s="300"/>
      <c r="AK112" s="13"/>
      <c r="AL112" s="301"/>
      <c r="AM112" s="300"/>
      <c r="AN112" s="13"/>
      <c r="AO112" s="301"/>
      <c r="AP112" s="300"/>
    </row>
    <row r="113">
      <c r="A113" s="13"/>
      <c r="B113" s="13"/>
      <c r="C113" s="13"/>
      <c r="D113" s="13"/>
      <c r="E113" s="13"/>
      <c r="F113" s="13"/>
      <c r="G113" s="13"/>
      <c r="H113" s="13"/>
      <c r="I113" s="13"/>
      <c r="J113" s="13"/>
      <c r="K113" s="13"/>
      <c r="L113" s="13"/>
      <c r="M113" s="13"/>
      <c r="N113" s="13"/>
      <c r="O113" s="13"/>
      <c r="P113" s="13"/>
      <c r="Q113" s="13"/>
      <c r="R113" s="300"/>
      <c r="S113" s="13"/>
      <c r="T113" s="13"/>
      <c r="U113" s="300"/>
      <c r="V113" s="13"/>
      <c r="W113" s="13"/>
      <c r="X113" s="300"/>
      <c r="Y113" s="13"/>
      <c r="Z113" s="13"/>
      <c r="AA113" s="300"/>
      <c r="AB113" s="13"/>
      <c r="AC113" s="13"/>
      <c r="AD113" s="300"/>
      <c r="AE113" s="13"/>
      <c r="AF113" s="13"/>
      <c r="AG113" s="300"/>
      <c r="AH113" s="13"/>
      <c r="AI113" s="13"/>
      <c r="AJ113" s="300"/>
      <c r="AK113" s="13"/>
      <c r="AL113" s="301"/>
      <c r="AM113" s="300"/>
      <c r="AN113" s="13"/>
      <c r="AO113" s="301"/>
      <c r="AP113" s="300"/>
    </row>
    <row r="114">
      <c r="A114" s="13"/>
      <c r="B114" s="13"/>
      <c r="C114" s="13"/>
      <c r="D114" s="13"/>
      <c r="E114" s="13"/>
      <c r="F114" s="13"/>
      <c r="G114" s="13"/>
      <c r="H114" s="13"/>
      <c r="I114" s="13"/>
      <c r="J114" s="13"/>
      <c r="K114" s="13"/>
      <c r="L114" s="13"/>
      <c r="M114" s="13"/>
      <c r="N114" s="13"/>
      <c r="O114" s="13"/>
      <c r="P114" s="13"/>
      <c r="Q114" s="13"/>
      <c r="R114" s="300"/>
      <c r="S114" s="13"/>
      <c r="T114" s="13"/>
      <c r="U114" s="300"/>
      <c r="V114" s="13"/>
      <c r="W114" s="13"/>
      <c r="X114" s="300"/>
      <c r="Y114" s="13"/>
      <c r="Z114" s="13"/>
      <c r="AA114" s="300"/>
      <c r="AB114" s="13"/>
      <c r="AC114" s="13"/>
      <c r="AD114" s="300"/>
      <c r="AE114" s="13"/>
      <c r="AF114" s="13"/>
      <c r="AG114" s="300"/>
      <c r="AH114" s="13"/>
      <c r="AI114" s="13"/>
      <c r="AJ114" s="300"/>
      <c r="AK114" s="13"/>
      <c r="AL114" s="301"/>
      <c r="AM114" s="300"/>
      <c r="AN114" s="13"/>
      <c r="AO114" s="301"/>
      <c r="AP114" s="300"/>
    </row>
    <row r="115">
      <c r="A115" s="13"/>
      <c r="B115" s="13"/>
      <c r="C115" s="13"/>
      <c r="D115" s="13"/>
      <c r="E115" s="13"/>
      <c r="F115" s="13"/>
      <c r="G115" s="13"/>
      <c r="H115" s="13"/>
      <c r="I115" s="13"/>
      <c r="J115" s="13"/>
      <c r="K115" s="13"/>
      <c r="L115" s="13"/>
      <c r="M115" s="13"/>
      <c r="N115" s="13"/>
      <c r="O115" s="13"/>
      <c r="P115" s="13"/>
      <c r="Q115" s="13"/>
      <c r="R115" s="300"/>
      <c r="S115" s="13"/>
      <c r="T115" s="13"/>
      <c r="U115" s="300"/>
      <c r="V115" s="13"/>
      <c r="W115" s="13"/>
      <c r="X115" s="300"/>
      <c r="Y115" s="13"/>
      <c r="Z115" s="13"/>
      <c r="AA115" s="300"/>
      <c r="AB115" s="13"/>
      <c r="AC115" s="13"/>
      <c r="AD115" s="300"/>
      <c r="AE115" s="13"/>
      <c r="AF115" s="13"/>
      <c r="AG115" s="300"/>
      <c r="AH115" s="13"/>
      <c r="AI115" s="13"/>
      <c r="AJ115" s="300"/>
      <c r="AK115" s="13"/>
      <c r="AL115" s="301"/>
      <c r="AM115" s="300"/>
      <c r="AN115" s="13"/>
      <c r="AO115" s="301"/>
      <c r="AP115" s="300"/>
    </row>
    <row r="116">
      <c r="A116" s="13"/>
      <c r="B116" s="13"/>
      <c r="C116" s="13"/>
      <c r="D116" s="13"/>
      <c r="E116" s="13"/>
      <c r="F116" s="13"/>
      <c r="G116" s="13"/>
      <c r="H116" s="13"/>
      <c r="I116" s="13"/>
      <c r="J116" s="13"/>
      <c r="K116" s="13"/>
      <c r="L116" s="13"/>
      <c r="M116" s="13"/>
      <c r="N116" s="13"/>
      <c r="O116" s="13"/>
      <c r="P116" s="13"/>
      <c r="Q116" s="13"/>
      <c r="R116" s="300"/>
      <c r="S116" s="13"/>
      <c r="T116" s="13"/>
      <c r="U116" s="300"/>
      <c r="V116" s="13"/>
      <c r="W116" s="13"/>
      <c r="X116" s="300"/>
      <c r="Y116" s="13"/>
      <c r="Z116" s="13"/>
      <c r="AA116" s="300"/>
      <c r="AB116" s="13"/>
      <c r="AC116" s="13"/>
      <c r="AD116" s="300"/>
      <c r="AE116" s="13"/>
      <c r="AF116" s="13"/>
      <c r="AG116" s="300"/>
      <c r="AH116" s="13"/>
      <c r="AI116" s="13"/>
      <c r="AJ116" s="300"/>
      <c r="AK116" s="13"/>
      <c r="AL116" s="301"/>
      <c r="AM116" s="300"/>
      <c r="AN116" s="13"/>
      <c r="AO116" s="301"/>
      <c r="AP116" s="300"/>
    </row>
    <row r="117">
      <c r="A117" s="13"/>
      <c r="B117" s="13"/>
      <c r="C117" s="13"/>
      <c r="D117" s="13"/>
      <c r="E117" s="13"/>
      <c r="F117" s="13"/>
      <c r="G117" s="13"/>
      <c r="H117" s="13"/>
      <c r="I117" s="13"/>
      <c r="J117" s="13"/>
      <c r="K117" s="13"/>
      <c r="L117" s="13"/>
      <c r="M117" s="13"/>
      <c r="N117" s="13"/>
      <c r="O117" s="13"/>
      <c r="P117" s="13"/>
      <c r="Q117" s="13"/>
      <c r="R117" s="300"/>
      <c r="S117" s="13"/>
      <c r="T117" s="13"/>
      <c r="U117" s="300"/>
      <c r="V117" s="13"/>
      <c r="W117" s="13"/>
      <c r="X117" s="300"/>
      <c r="Y117" s="13"/>
      <c r="Z117" s="13"/>
      <c r="AA117" s="300"/>
      <c r="AB117" s="13"/>
      <c r="AC117" s="13"/>
      <c r="AD117" s="300"/>
      <c r="AE117" s="13"/>
      <c r="AF117" s="13"/>
      <c r="AG117" s="300"/>
      <c r="AH117" s="13"/>
      <c r="AI117" s="13"/>
      <c r="AJ117" s="300"/>
      <c r="AK117" s="13"/>
      <c r="AL117" s="301"/>
      <c r="AM117" s="300"/>
      <c r="AN117" s="13"/>
      <c r="AO117" s="301"/>
      <c r="AP117" s="300"/>
    </row>
    <row r="118">
      <c r="A118" s="13"/>
      <c r="B118" s="13"/>
      <c r="C118" s="13"/>
      <c r="D118" s="13"/>
      <c r="E118" s="13"/>
      <c r="F118" s="13"/>
      <c r="G118" s="13"/>
      <c r="H118" s="13"/>
      <c r="I118" s="13"/>
      <c r="J118" s="13"/>
      <c r="K118" s="13"/>
      <c r="L118" s="13"/>
      <c r="M118" s="13"/>
      <c r="N118" s="13"/>
      <c r="O118" s="13"/>
      <c r="P118" s="13"/>
      <c r="Q118" s="13"/>
      <c r="R118" s="300"/>
      <c r="S118" s="13"/>
      <c r="T118" s="13"/>
      <c r="U118" s="300"/>
      <c r="V118" s="13"/>
      <c r="W118" s="13"/>
      <c r="X118" s="300"/>
      <c r="Y118" s="13"/>
      <c r="Z118" s="13"/>
      <c r="AA118" s="300"/>
      <c r="AB118" s="13"/>
      <c r="AC118" s="13"/>
      <c r="AD118" s="300"/>
      <c r="AE118" s="13"/>
      <c r="AF118" s="13"/>
      <c r="AG118" s="300"/>
      <c r="AH118" s="13"/>
      <c r="AI118" s="13"/>
      <c r="AJ118" s="300"/>
      <c r="AK118" s="13"/>
      <c r="AL118" s="301"/>
      <c r="AM118" s="300"/>
      <c r="AN118" s="13"/>
      <c r="AO118" s="301"/>
      <c r="AP118" s="300"/>
    </row>
    <row r="119">
      <c r="A119" s="13"/>
      <c r="B119" s="13"/>
      <c r="C119" s="13"/>
      <c r="D119" s="13"/>
      <c r="E119" s="13"/>
      <c r="F119" s="13"/>
      <c r="G119" s="13"/>
      <c r="H119" s="13"/>
      <c r="I119" s="13"/>
      <c r="J119" s="13"/>
      <c r="K119" s="13"/>
      <c r="L119" s="13"/>
      <c r="M119" s="13"/>
      <c r="N119" s="13"/>
      <c r="O119" s="13"/>
      <c r="P119" s="13"/>
      <c r="Q119" s="13"/>
      <c r="R119" s="300"/>
      <c r="S119" s="13"/>
      <c r="T119" s="13"/>
      <c r="U119" s="300"/>
      <c r="V119" s="13"/>
      <c r="W119" s="13"/>
      <c r="X119" s="300"/>
      <c r="Y119" s="13"/>
      <c r="Z119" s="13"/>
      <c r="AA119" s="300"/>
      <c r="AB119" s="13"/>
      <c r="AC119" s="13"/>
      <c r="AD119" s="300"/>
      <c r="AE119" s="13"/>
      <c r="AF119" s="13"/>
      <c r="AG119" s="300"/>
      <c r="AH119" s="13"/>
      <c r="AI119" s="13"/>
      <c r="AJ119" s="300"/>
      <c r="AK119" s="13"/>
      <c r="AL119" s="301"/>
      <c r="AM119" s="300"/>
      <c r="AN119" s="13"/>
      <c r="AO119" s="301"/>
      <c r="AP119" s="300"/>
    </row>
    <row r="120">
      <c r="A120" s="13"/>
      <c r="B120" s="13"/>
      <c r="C120" s="13"/>
      <c r="D120" s="13"/>
      <c r="E120" s="13"/>
      <c r="F120" s="13"/>
      <c r="G120" s="13"/>
      <c r="H120" s="13"/>
      <c r="I120" s="13"/>
      <c r="J120" s="13"/>
      <c r="K120" s="13"/>
      <c r="L120" s="13"/>
      <c r="M120" s="13"/>
      <c r="N120" s="13"/>
      <c r="O120" s="13"/>
      <c r="P120" s="13"/>
      <c r="Q120" s="13"/>
      <c r="R120" s="300"/>
      <c r="S120" s="13"/>
      <c r="T120" s="13"/>
      <c r="U120" s="300"/>
      <c r="V120" s="13"/>
      <c r="W120" s="13"/>
      <c r="X120" s="300"/>
      <c r="Y120" s="13"/>
      <c r="Z120" s="13"/>
      <c r="AA120" s="300"/>
      <c r="AB120" s="13"/>
      <c r="AC120" s="13"/>
      <c r="AD120" s="300"/>
      <c r="AE120" s="13"/>
      <c r="AF120" s="13"/>
      <c r="AG120" s="300"/>
      <c r="AH120" s="13"/>
      <c r="AI120" s="13"/>
      <c r="AJ120" s="300"/>
      <c r="AK120" s="13"/>
      <c r="AL120" s="301"/>
      <c r="AM120" s="300"/>
      <c r="AN120" s="13"/>
      <c r="AO120" s="301"/>
      <c r="AP120" s="300"/>
    </row>
    <row r="121">
      <c r="A121" s="13"/>
      <c r="B121" s="13"/>
      <c r="C121" s="13"/>
      <c r="D121" s="13"/>
      <c r="E121" s="13"/>
      <c r="F121" s="13"/>
      <c r="G121" s="13"/>
      <c r="H121" s="13"/>
      <c r="I121" s="13"/>
      <c r="J121" s="13"/>
      <c r="K121" s="13"/>
      <c r="L121" s="13"/>
      <c r="M121" s="13"/>
      <c r="N121" s="13"/>
      <c r="O121" s="13"/>
      <c r="P121" s="13"/>
      <c r="Q121" s="13"/>
      <c r="R121" s="300"/>
      <c r="S121" s="13"/>
      <c r="T121" s="13"/>
      <c r="U121" s="300"/>
      <c r="V121" s="13"/>
      <c r="W121" s="13"/>
      <c r="X121" s="300"/>
      <c r="Y121" s="13"/>
      <c r="Z121" s="13"/>
      <c r="AA121" s="300"/>
      <c r="AB121" s="13"/>
      <c r="AC121" s="13"/>
      <c r="AD121" s="300"/>
      <c r="AE121" s="13"/>
      <c r="AF121" s="13"/>
      <c r="AG121" s="300"/>
      <c r="AH121" s="13"/>
      <c r="AI121" s="13"/>
      <c r="AJ121" s="300"/>
      <c r="AK121" s="13"/>
      <c r="AL121" s="301"/>
      <c r="AM121" s="300"/>
      <c r="AN121" s="13"/>
      <c r="AO121" s="301"/>
      <c r="AP121" s="300"/>
    </row>
    <row r="122">
      <c r="A122" s="13"/>
      <c r="B122" s="13"/>
      <c r="C122" s="13"/>
      <c r="D122" s="13"/>
      <c r="E122" s="13"/>
      <c r="F122" s="13"/>
      <c r="G122" s="13"/>
      <c r="H122" s="13"/>
      <c r="I122" s="13"/>
      <c r="J122" s="13"/>
      <c r="K122" s="13"/>
      <c r="L122" s="13"/>
      <c r="M122" s="13"/>
      <c r="N122" s="13"/>
      <c r="O122" s="13"/>
      <c r="P122" s="13"/>
      <c r="Q122" s="13"/>
      <c r="R122" s="300"/>
      <c r="S122" s="13"/>
      <c r="T122" s="13"/>
      <c r="U122" s="300"/>
      <c r="V122" s="13"/>
      <c r="W122" s="13"/>
      <c r="X122" s="300"/>
      <c r="Y122" s="13"/>
      <c r="Z122" s="13"/>
      <c r="AA122" s="300"/>
      <c r="AB122" s="13"/>
      <c r="AC122" s="13"/>
      <c r="AD122" s="300"/>
      <c r="AE122" s="13"/>
      <c r="AF122" s="13"/>
      <c r="AG122" s="300"/>
      <c r="AH122" s="13"/>
      <c r="AI122" s="13"/>
      <c r="AJ122" s="300"/>
      <c r="AK122" s="13"/>
      <c r="AL122" s="301"/>
      <c r="AM122" s="300"/>
      <c r="AN122" s="13"/>
      <c r="AO122" s="301"/>
      <c r="AP122" s="300"/>
    </row>
    <row r="123">
      <c r="A123" s="13"/>
      <c r="B123" s="13"/>
      <c r="C123" s="13"/>
      <c r="D123" s="13"/>
      <c r="E123" s="13"/>
      <c r="F123" s="13"/>
      <c r="G123" s="13"/>
      <c r="H123" s="13"/>
      <c r="I123" s="13"/>
      <c r="J123" s="13"/>
      <c r="K123" s="13"/>
      <c r="L123" s="13"/>
      <c r="M123" s="13"/>
      <c r="N123" s="13"/>
      <c r="O123" s="13"/>
      <c r="P123" s="13"/>
      <c r="Q123" s="13"/>
      <c r="R123" s="300"/>
      <c r="S123" s="13"/>
      <c r="T123" s="13"/>
      <c r="U123" s="300"/>
      <c r="V123" s="13"/>
      <c r="W123" s="13"/>
      <c r="X123" s="300"/>
      <c r="Y123" s="13"/>
      <c r="Z123" s="13"/>
      <c r="AA123" s="300"/>
      <c r="AB123" s="13"/>
      <c r="AC123" s="13"/>
      <c r="AD123" s="300"/>
      <c r="AE123" s="13"/>
      <c r="AF123" s="13"/>
      <c r="AG123" s="300"/>
      <c r="AH123" s="13"/>
      <c r="AI123" s="13"/>
      <c r="AJ123" s="300"/>
      <c r="AK123" s="13"/>
      <c r="AL123" s="301"/>
      <c r="AM123" s="300"/>
      <c r="AN123" s="13"/>
      <c r="AO123" s="301"/>
      <c r="AP123" s="300"/>
    </row>
    <row r="124">
      <c r="A124" s="13"/>
      <c r="B124" s="13"/>
      <c r="C124" s="13"/>
      <c r="D124" s="13"/>
      <c r="E124" s="13"/>
      <c r="F124" s="13"/>
      <c r="G124" s="13"/>
      <c r="H124" s="13"/>
      <c r="I124" s="13"/>
      <c r="J124" s="13"/>
      <c r="K124" s="13"/>
      <c r="L124" s="13"/>
      <c r="M124" s="13"/>
      <c r="N124" s="13"/>
      <c r="O124" s="13"/>
      <c r="P124" s="13"/>
      <c r="Q124" s="13"/>
      <c r="R124" s="300"/>
      <c r="S124" s="13"/>
      <c r="T124" s="13"/>
      <c r="U124" s="300"/>
      <c r="V124" s="13"/>
      <c r="W124" s="13"/>
      <c r="X124" s="300"/>
      <c r="Y124" s="13"/>
      <c r="Z124" s="13"/>
      <c r="AA124" s="300"/>
      <c r="AB124" s="13"/>
      <c r="AC124" s="13"/>
      <c r="AD124" s="300"/>
      <c r="AE124" s="13"/>
      <c r="AF124" s="13"/>
      <c r="AG124" s="300"/>
      <c r="AH124" s="13"/>
      <c r="AI124" s="13"/>
      <c r="AJ124" s="300"/>
      <c r="AK124" s="13"/>
      <c r="AL124" s="301"/>
      <c r="AM124" s="300"/>
      <c r="AN124" s="13"/>
      <c r="AO124" s="301"/>
      <c r="AP124" s="300"/>
    </row>
    <row r="125">
      <c r="A125" s="13"/>
      <c r="B125" s="13"/>
      <c r="C125" s="13"/>
      <c r="D125" s="13"/>
      <c r="E125" s="13"/>
      <c r="F125" s="13"/>
      <c r="G125" s="13"/>
      <c r="H125" s="13"/>
      <c r="I125" s="13"/>
      <c r="J125" s="13"/>
      <c r="K125" s="13"/>
      <c r="L125" s="13"/>
      <c r="M125" s="13"/>
      <c r="N125" s="13"/>
      <c r="O125" s="13"/>
      <c r="P125" s="13"/>
      <c r="Q125" s="13"/>
      <c r="R125" s="300"/>
      <c r="S125" s="13"/>
      <c r="T125" s="13"/>
      <c r="U125" s="300"/>
      <c r="V125" s="13"/>
      <c r="W125" s="13"/>
      <c r="X125" s="300"/>
      <c r="Y125" s="13"/>
      <c r="Z125" s="13"/>
      <c r="AA125" s="300"/>
      <c r="AB125" s="13"/>
      <c r="AC125" s="13"/>
      <c r="AD125" s="300"/>
      <c r="AE125" s="13"/>
      <c r="AF125" s="13"/>
      <c r="AG125" s="300"/>
      <c r="AH125" s="13"/>
      <c r="AI125" s="13"/>
      <c r="AJ125" s="300"/>
      <c r="AK125" s="13"/>
      <c r="AL125" s="301"/>
      <c r="AM125" s="300"/>
      <c r="AN125" s="13"/>
      <c r="AO125" s="301"/>
      <c r="AP125" s="300"/>
    </row>
    <row r="126">
      <c r="A126" s="13"/>
      <c r="B126" s="13"/>
      <c r="C126" s="13"/>
      <c r="D126" s="13"/>
      <c r="E126" s="13"/>
      <c r="F126" s="13"/>
      <c r="G126" s="13"/>
      <c r="H126" s="13"/>
      <c r="I126" s="13"/>
      <c r="J126" s="13"/>
      <c r="K126" s="13"/>
      <c r="L126" s="13"/>
      <c r="M126" s="13"/>
      <c r="N126" s="13"/>
      <c r="O126" s="13"/>
      <c r="P126" s="13"/>
      <c r="Q126" s="13"/>
      <c r="R126" s="300"/>
      <c r="S126" s="13"/>
      <c r="T126" s="13"/>
      <c r="U126" s="300"/>
      <c r="V126" s="13"/>
      <c r="W126" s="13"/>
      <c r="X126" s="300"/>
      <c r="Y126" s="13"/>
      <c r="Z126" s="13"/>
      <c r="AA126" s="300"/>
      <c r="AB126" s="13"/>
      <c r="AC126" s="13"/>
      <c r="AD126" s="300"/>
      <c r="AE126" s="13"/>
      <c r="AF126" s="13"/>
      <c r="AG126" s="300"/>
      <c r="AH126" s="13"/>
      <c r="AI126" s="13"/>
      <c r="AJ126" s="300"/>
      <c r="AK126" s="13"/>
      <c r="AL126" s="301"/>
      <c r="AM126" s="300"/>
      <c r="AN126" s="13"/>
      <c r="AO126" s="301"/>
      <c r="AP126" s="300"/>
    </row>
    <row r="127">
      <c r="A127" s="13"/>
      <c r="B127" s="13"/>
      <c r="C127" s="13"/>
      <c r="D127" s="13"/>
      <c r="E127" s="13"/>
      <c r="F127" s="13"/>
      <c r="G127" s="13"/>
      <c r="H127" s="13"/>
      <c r="I127" s="13"/>
      <c r="J127" s="13"/>
      <c r="K127" s="13"/>
      <c r="L127" s="13"/>
      <c r="M127" s="13"/>
      <c r="N127" s="13"/>
      <c r="O127" s="13"/>
      <c r="P127" s="13"/>
      <c r="Q127" s="13"/>
      <c r="R127" s="300"/>
      <c r="S127" s="13"/>
      <c r="T127" s="13"/>
      <c r="U127" s="300"/>
      <c r="V127" s="13"/>
      <c r="W127" s="13"/>
      <c r="X127" s="300"/>
      <c r="Y127" s="13"/>
      <c r="Z127" s="13"/>
      <c r="AA127" s="300"/>
      <c r="AB127" s="13"/>
      <c r="AC127" s="13"/>
      <c r="AD127" s="300"/>
      <c r="AE127" s="13"/>
      <c r="AF127" s="13"/>
      <c r="AG127" s="300"/>
      <c r="AH127" s="13"/>
      <c r="AI127" s="13"/>
      <c r="AJ127" s="300"/>
      <c r="AK127" s="13"/>
      <c r="AL127" s="301"/>
      <c r="AM127" s="300"/>
      <c r="AN127" s="13"/>
      <c r="AO127" s="301"/>
      <c r="AP127" s="300"/>
    </row>
    <row r="128">
      <c r="A128" s="13"/>
      <c r="B128" s="13"/>
      <c r="C128" s="13"/>
      <c r="D128" s="13"/>
      <c r="E128" s="13"/>
      <c r="F128" s="13"/>
      <c r="G128" s="13"/>
      <c r="H128" s="13"/>
      <c r="I128" s="13"/>
      <c r="J128" s="13"/>
      <c r="K128" s="13"/>
      <c r="L128" s="13"/>
      <c r="M128" s="13"/>
      <c r="N128" s="13"/>
      <c r="O128" s="13"/>
      <c r="P128" s="13"/>
      <c r="Q128" s="13"/>
      <c r="R128" s="300"/>
      <c r="S128" s="13"/>
      <c r="T128" s="13"/>
      <c r="U128" s="300"/>
      <c r="V128" s="13"/>
      <c r="W128" s="13"/>
      <c r="X128" s="300"/>
      <c r="Y128" s="13"/>
      <c r="Z128" s="13"/>
      <c r="AA128" s="300"/>
      <c r="AB128" s="13"/>
      <c r="AC128" s="13"/>
      <c r="AD128" s="300"/>
      <c r="AE128" s="13"/>
      <c r="AF128" s="13"/>
      <c r="AG128" s="300"/>
      <c r="AH128" s="13"/>
      <c r="AI128" s="13"/>
      <c r="AJ128" s="300"/>
      <c r="AK128" s="13"/>
      <c r="AL128" s="301"/>
      <c r="AM128" s="300"/>
      <c r="AN128" s="13"/>
      <c r="AO128" s="301"/>
      <c r="AP128" s="300"/>
    </row>
    <row r="129">
      <c r="A129" s="13"/>
      <c r="B129" s="13"/>
      <c r="C129" s="13"/>
      <c r="D129" s="13"/>
      <c r="E129" s="13"/>
      <c r="F129" s="13"/>
      <c r="G129" s="13"/>
      <c r="H129" s="13"/>
      <c r="I129" s="13"/>
      <c r="J129" s="13"/>
      <c r="K129" s="13"/>
      <c r="L129" s="13"/>
      <c r="M129" s="13"/>
      <c r="N129" s="13"/>
      <c r="O129" s="13"/>
      <c r="P129" s="13"/>
      <c r="Q129" s="13"/>
      <c r="R129" s="300"/>
      <c r="S129" s="13"/>
      <c r="T129" s="13"/>
      <c r="U129" s="300"/>
      <c r="V129" s="13"/>
      <c r="W129" s="13"/>
      <c r="X129" s="300"/>
      <c r="Y129" s="13"/>
      <c r="Z129" s="13"/>
      <c r="AA129" s="300"/>
      <c r="AB129" s="13"/>
      <c r="AC129" s="13"/>
      <c r="AD129" s="300"/>
      <c r="AE129" s="13"/>
      <c r="AF129" s="13"/>
      <c r="AG129" s="300"/>
      <c r="AH129" s="13"/>
      <c r="AI129" s="13"/>
      <c r="AJ129" s="300"/>
      <c r="AK129" s="13"/>
      <c r="AL129" s="301"/>
      <c r="AM129" s="300"/>
      <c r="AN129" s="13"/>
      <c r="AO129" s="301"/>
      <c r="AP129" s="300"/>
    </row>
    <row r="130">
      <c r="A130" s="13"/>
      <c r="B130" s="13"/>
      <c r="C130" s="13"/>
      <c r="D130" s="13"/>
      <c r="E130" s="13"/>
      <c r="F130" s="13"/>
      <c r="G130" s="13"/>
      <c r="H130" s="13"/>
      <c r="I130" s="13"/>
      <c r="J130" s="13"/>
      <c r="K130" s="13"/>
      <c r="L130" s="13"/>
      <c r="M130" s="13"/>
      <c r="N130" s="13"/>
      <c r="O130" s="13"/>
      <c r="P130" s="13"/>
      <c r="Q130" s="13"/>
      <c r="R130" s="300"/>
      <c r="S130" s="13"/>
      <c r="T130" s="13"/>
      <c r="U130" s="300"/>
      <c r="V130" s="13"/>
      <c r="W130" s="13"/>
      <c r="X130" s="300"/>
      <c r="Y130" s="13"/>
      <c r="Z130" s="13"/>
      <c r="AA130" s="300"/>
      <c r="AB130" s="13"/>
      <c r="AC130" s="13"/>
      <c r="AD130" s="300"/>
      <c r="AE130" s="13"/>
      <c r="AF130" s="13"/>
      <c r="AG130" s="300"/>
      <c r="AH130" s="13"/>
      <c r="AI130" s="13"/>
      <c r="AJ130" s="300"/>
      <c r="AK130" s="13"/>
      <c r="AL130" s="301"/>
      <c r="AM130" s="300"/>
      <c r="AN130" s="13"/>
      <c r="AO130" s="301"/>
      <c r="AP130" s="300"/>
    </row>
    <row r="131">
      <c r="A131" s="13"/>
      <c r="B131" s="13"/>
      <c r="C131" s="13"/>
      <c r="D131" s="13"/>
      <c r="E131" s="13"/>
      <c r="F131" s="13"/>
      <c r="G131" s="13"/>
      <c r="H131" s="13"/>
      <c r="I131" s="13"/>
      <c r="J131" s="13"/>
      <c r="K131" s="13"/>
      <c r="L131" s="13"/>
      <c r="M131" s="13"/>
      <c r="N131" s="13"/>
      <c r="O131" s="13"/>
      <c r="P131" s="13"/>
      <c r="Q131" s="13"/>
      <c r="R131" s="300"/>
      <c r="S131" s="13"/>
      <c r="T131" s="13"/>
      <c r="U131" s="300"/>
      <c r="V131" s="13"/>
      <c r="W131" s="13"/>
      <c r="X131" s="300"/>
      <c r="Y131" s="13"/>
      <c r="Z131" s="13"/>
      <c r="AA131" s="300"/>
      <c r="AB131" s="13"/>
      <c r="AC131" s="13"/>
      <c r="AD131" s="300"/>
      <c r="AE131" s="13"/>
      <c r="AF131" s="13"/>
      <c r="AG131" s="300"/>
      <c r="AH131" s="13"/>
      <c r="AI131" s="13"/>
      <c r="AJ131" s="300"/>
      <c r="AK131" s="13"/>
      <c r="AL131" s="301"/>
      <c r="AM131" s="300"/>
      <c r="AN131" s="13"/>
      <c r="AO131" s="301"/>
      <c r="AP131" s="300"/>
    </row>
    <row r="132">
      <c r="A132" s="13"/>
      <c r="B132" s="13"/>
      <c r="C132" s="13"/>
      <c r="D132" s="13"/>
      <c r="E132" s="13"/>
      <c r="F132" s="13"/>
      <c r="G132" s="13"/>
      <c r="H132" s="13"/>
      <c r="I132" s="13"/>
      <c r="J132" s="13"/>
      <c r="K132" s="13"/>
      <c r="L132" s="13"/>
      <c r="M132" s="13"/>
      <c r="N132" s="13"/>
      <c r="O132" s="13"/>
      <c r="P132" s="13"/>
      <c r="Q132" s="13"/>
      <c r="R132" s="300"/>
      <c r="S132" s="13"/>
      <c r="T132" s="13"/>
      <c r="U132" s="300"/>
      <c r="V132" s="13"/>
      <c r="W132" s="13"/>
      <c r="X132" s="300"/>
      <c r="Y132" s="13"/>
      <c r="Z132" s="13"/>
      <c r="AA132" s="300"/>
      <c r="AB132" s="13"/>
      <c r="AC132" s="13"/>
      <c r="AD132" s="300"/>
      <c r="AE132" s="13"/>
      <c r="AF132" s="13"/>
      <c r="AG132" s="300"/>
      <c r="AH132" s="13"/>
      <c r="AI132" s="13"/>
      <c r="AJ132" s="300"/>
      <c r="AK132" s="13"/>
      <c r="AL132" s="301"/>
      <c r="AM132" s="300"/>
      <c r="AN132" s="13"/>
      <c r="AO132" s="301"/>
      <c r="AP132" s="300"/>
    </row>
    <row r="133">
      <c r="A133" s="13"/>
      <c r="B133" s="13"/>
      <c r="C133" s="13"/>
      <c r="D133" s="13"/>
      <c r="E133" s="13"/>
      <c r="F133" s="13"/>
      <c r="G133" s="13"/>
      <c r="H133" s="13"/>
      <c r="I133" s="13"/>
      <c r="J133" s="13"/>
      <c r="K133" s="13"/>
      <c r="L133" s="13"/>
      <c r="M133" s="13"/>
      <c r="N133" s="13"/>
      <c r="O133" s="13"/>
      <c r="P133" s="13"/>
      <c r="Q133" s="13"/>
      <c r="R133" s="300"/>
      <c r="S133" s="13"/>
      <c r="T133" s="13"/>
      <c r="U133" s="300"/>
      <c r="V133" s="13"/>
      <c r="W133" s="13"/>
      <c r="X133" s="300"/>
      <c r="Y133" s="13"/>
      <c r="Z133" s="13"/>
      <c r="AA133" s="300"/>
      <c r="AB133" s="13"/>
      <c r="AC133" s="13"/>
      <c r="AD133" s="300"/>
      <c r="AE133" s="13"/>
      <c r="AF133" s="13"/>
      <c r="AG133" s="300"/>
      <c r="AH133" s="13"/>
      <c r="AI133" s="13"/>
      <c r="AJ133" s="300"/>
      <c r="AK133" s="13"/>
      <c r="AL133" s="301"/>
      <c r="AM133" s="300"/>
      <c r="AN133" s="13"/>
      <c r="AO133" s="301"/>
      <c r="AP133" s="300"/>
    </row>
    <row r="134">
      <c r="A134" s="13"/>
      <c r="B134" s="13"/>
      <c r="C134" s="13"/>
      <c r="D134" s="13"/>
      <c r="E134" s="13"/>
      <c r="F134" s="13"/>
      <c r="G134" s="13"/>
      <c r="H134" s="13"/>
      <c r="I134" s="13"/>
      <c r="J134" s="13"/>
      <c r="K134" s="13"/>
      <c r="L134" s="13"/>
      <c r="M134" s="13"/>
      <c r="N134" s="13"/>
      <c r="O134" s="13"/>
      <c r="P134" s="13"/>
      <c r="Q134" s="13"/>
      <c r="R134" s="300"/>
      <c r="S134" s="13"/>
      <c r="T134" s="13"/>
      <c r="U134" s="300"/>
      <c r="V134" s="13"/>
      <c r="W134" s="13"/>
      <c r="X134" s="300"/>
      <c r="Y134" s="13"/>
      <c r="Z134" s="13"/>
      <c r="AA134" s="300"/>
      <c r="AB134" s="13"/>
      <c r="AC134" s="13"/>
      <c r="AD134" s="300"/>
      <c r="AE134" s="13"/>
      <c r="AF134" s="13"/>
      <c r="AG134" s="300"/>
      <c r="AH134" s="13"/>
      <c r="AI134" s="13"/>
      <c r="AJ134" s="300"/>
      <c r="AK134" s="13"/>
      <c r="AL134" s="301"/>
      <c r="AM134" s="300"/>
      <c r="AN134" s="13"/>
      <c r="AO134" s="301"/>
      <c r="AP134" s="300"/>
    </row>
    <row r="135">
      <c r="A135" s="13"/>
      <c r="B135" s="13"/>
      <c r="C135" s="13"/>
      <c r="D135" s="13"/>
      <c r="E135" s="13"/>
      <c r="F135" s="13"/>
      <c r="G135" s="13"/>
      <c r="H135" s="13"/>
      <c r="I135" s="13"/>
      <c r="J135" s="13"/>
      <c r="K135" s="13"/>
      <c r="L135" s="13"/>
      <c r="M135" s="13"/>
      <c r="N135" s="13"/>
      <c r="O135" s="13"/>
      <c r="P135" s="13"/>
      <c r="Q135" s="13"/>
      <c r="R135" s="300"/>
      <c r="S135" s="13"/>
      <c r="T135" s="13"/>
      <c r="U135" s="300"/>
      <c r="V135" s="13"/>
      <c r="W135" s="13"/>
      <c r="X135" s="300"/>
      <c r="Y135" s="13"/>
      <c r="Z135" s="13"/>
      <c r="AA135" s="300"/>
      <c r="AB135" s="13"/>
      <c r="AC135" s="13"/>
      <c r="AD135" s="300"/>
      <c r="AE135" s="13"/>
      <c r="AF135" s="13"/>
      <c r="AG135" s="300"/>
      <c r="AH135" s="13"/>
      <c r="AI135" s="13"/>
      <c r="AJ135" s="300"/>
      <c r="AK135" s="13"/>
      <c r="AL135" s="301"/>
      <c r="AM135" s="300"/>
      <c r="AN135" s="13"/>
      <c r="AO135" s="301"/>
      <c r="AP135" s="300"/>
    </row>
    <row r="136">
      <c r="A136" s="13"/>
      <c r="B136" s="13"/>
      <c r="C136" s="13"/>
      <c r="D136" s="13"/>
      <c r="E136" s="13"/>
      <c r="F136" s="13"/>
      <c r="G136" s="13"/>
      <c r="H136" s="13"/>
      <c r="I136" s="13"/>
      <c r="J136" s="13"/>
      <c r="K136" s="13"/>
      <c r="L136" s="13"/>
      <c r="M136" s="13"/>
      <c r="N136" s="13"/>
      <c r="O136" s="13"/>
      <c r="P136" s="13"/>
      <c r="Q136" s="13"/>
      <c r="R136" s="300"/>
      <c r="S136" s="13"/>
      <c r="T136" s="13"/>
      <c r="U136" s="300"/>
      <c r="V136" s="13"/>
      <c r="W136" s="13"/>
      <c r="X136" s="300"/>
      <c r="Y136" s="13"/>
      <c r="Z136" s="13"/>
      <c r="AA136" s="300"/>
      <c r="AB136" s="13"/>
      <c r="AC136" s="13"/>
      <c r="AD136" s="300"/>
      <c r="AE136" s="13"/>
      <c r="AF136" s="13"/>
      <c r="AG136" s="300"/>
      <c r="AH136" s="13"/>
      <c r="AI136" s="13"/>
      <c r="AJ136" s="300"/>
      <c r="AK136" s="13"/>
      <c r="AL136" s="301"/>
      <c r="AM136" s="300"/>
      <c r="AN136" s="13"/>
      <c r="AO136" s="301"/>
      <c r="AP136" s="300"/>
    </row>
    <row r="137">
      <c r="A137" s="13"/>
      <c r="B137" s="13"/>
      <c r="C137" s="13"/>
      <c r="D137" s="13"/>
      <c r="E137" s="13"/>
      <c r="F137" s="13"/>
      <c r="G137" s="13"/>
      <c r="H137" s="13"/>
      <c r="I137" s="13"/>
      <c r="J137" s="13"/>
      <c r="K137" s="13"/>
      <c r="L137" s="13"/>
      <c r="M137" s="13"/>
      <c r="N137" s="13"/>
      <c r="O137" s="13"/>
      <c r="P137" s="13"/>
      <c r="Q137" s="13"/>
      <c r="R137" s="300"/>
      <c r="S137" s="13"/>
      <c r="T137" s="13"/>
      <c r="U137" s="300"/>
      <c r="V137" s="13"/>
      <c r="W137" s="13"/>
      <c r="X137" s="300"/>
      <c r="Y137" s="13"/>
      <c r="Z137" s="13"/>
      <c r="AA137" s="300"/>
      <c r="AB137" s="13"/>
      <c r="AC137" s="13"/>
      <c r="AD137" s="300"/>
      <c r="AE137" s="13"/>
      <c r="AF137" s="13"/>
      <c r="AG137" s="300"/>
      <c r="AH137" s="13"/>
      <c r="AI137" s="13"/>
      <c r="AJ137" s="300"/>
      <c r="AK137" s="13"/>
      <c r="AL137" s="301"/>
      <c r="AM137" s="300"/>
      <c r="AN137" s="13"/>
      <c r="AO137" s="301"/>
      <c r="AP137" s="300"/>
    </row>
    <row r="138">
      <c r="A138" s="13"/>
      <c r="B138" s="13"/>
      <c r="C138" s="13"/>
      <c r="D138" s="13"/>
      <c r="E138" s="13"/>
      <c r="F138" s="13"/>
      <c r="G138" s="13"/>
      <c r="H138" s="13"/>
      <c r="I138" s="13"/>
      <c r="J138" s="13"/>
      <c r="K138" s="13"/>
      <c r="L138" s="13"/>
      <c r="M138" s="13"/>
      <c r="N138" s="13"/>
      <c r="O138" s="13"/>
      <c r="P138" s="13"/>
      <c r="Q138" s="13"/>
      <c r="R138" s="300"/>
      <c r="S138" s="13"/>
      <c r="T138" s="13"/>
      <c r="U138" s="300"/>
      <c r="V138" s="13"/>
      <c r="W138" s="13"/>
      <c r="X138" s="300"/>
      <c r="Y138" s="13"/>
      <c r="Z138" s="13"/>
      <c r="AA138" s="300"/>
      <c r="AB138" s="13"/>
      <c r="AC138" s="13"/>
      <c r="AD138" s="300"/>
      <c r="AE138" s="13"/>
      <c r="AF138" s="13"/>
      <c r="AG138" s="300"/>
      <c r="AH138" s="13"/>
      <c r="AI138" s="13"/>
      <c r="AJ138" s="300"/>
      <c r="AK138" s="13"/>
      <c r="AL138" s="301"/>
      <c r="AM138" s="300"/>
      <c r="AN138" s="13"/>
      <c r="AO138" s="301"/>
      <c r="AP138" s="300"/>
    </row>
    <row r="139">
      <c r="A139" s="13"/>
      <c r="B139" s="13"/>
      <c r="C139" s="13"/>
      <c r="D139" s="13"/>
      <c r="E139" s="13"/>
      <c r="F139" s="13"/>
      <c r="G139" s="13"/>
      <c r="H139" s="13"/>
      <c r="I139" s="13"/>
      <c r="J139" s="13"/>
      <c r="K139" s="13"/>
      <c r="L139" s="13"/>
      <c r="M139" s="13"/>
      <c r="N139" s="13"/>
      <c r="O139" s="13"/>
      <c r="P139" s="13"/>
      <c r="Q139" s="13"/>
      <c r="R139" s="300"/>
      <c r="S139" s="13"/>
      <c r="T139" s="13"/>
      <c r="U139" s="300"/>
      <c r="V139" s="13"/>
      <c r="W139" s="13"/>
      <c r="X139" s="300"/>
      <c r="Y139" s="13"/>
      <c r="Z139" s="13"/>
      <c r="AA139" s="300"/>
      <c r="AB139" s="13"/>
      <c r="AC139" s="13"/>
      <c r="AD139" s="300"/>
      <c r="AE139" s="13"/>
      <c r="AF139" s="13"/>
      <c r="AG139" s="300"/>
      <c r="AH139" s="13"/>
      <c r="AI139" s="13"/>
      <c r="AJ139" s="300"/>
      <c r="AK139" s="13"/>
      <c r="AL139" s="301"/>
      <c r="AM139" s="300"/>
      <c r="AN139" s="13"/>
      <c r="AO139" s="301"/>
      <c r="AP139" s="300"/>
    </row>
    <row r="140">
      <c r="A140" s="13"/>
      <c r="B140" s="13"/>
      <c r="C140" s="13"/>
      <c r="D140" s="13"/>
      <c r="E140" s="13"/>
      <c r="F140" s="13"/>
      <c r="G140" s="13"/>
      <c r="H140" s="13"/>
      <c r="I140" s="13"/>
      <c r="J140" s="13"/>
      <c r="K140" s="13"/>
      <c r="L140" s="13"/>
      <c r="M140" s="13"/>
      <c r="N140" s="13"/>
      <c r="O140" s="13"/>
      <c r="P140" s="13"/>
      <c r="Q140" s="13"/>
      <c r="R140" s="300"/>
      <c r="S140" s="13"/>
      <c r="T140" s="13"/>
      <c r="U140" s="300"/>
      <c r="V140" s="13"/>
      <c r="W140" s="13"/>
      <c r="X140" s="300"/>
      <c r="Y140" s="13"/>
      <c r="Z140" s="13"/>
      <c r="AA140" s="300"/>
      <c r="AB140" s="13"/>
      <c r="AC140" s="13"/>
      <c r="AD140" s="300"/>
      <c r="AE140" s="13"/>
      <c r="AF140" s="13"/>
      <c r="AG140" s="300"/>
      <c r="AH140" s="13"/>
      <c r="AI140" s="13"/>
      <c r="AJ140" s="300"/>
      <c r="AK140" s="13"/>
      <c r="AL140" s="301"/>
      <c r="AM140" s="300"/>
      <c r="AN140" s="13"/>
      <c r="AO140" s="301"/>
      <c r="AP140" s="300"/>
    </row>
    <row r="141">
      <c r="A141" s="13"/>
      <c r="B141" s="13"/>
      <c r="C141" s="13"/>
      <c r="D141" s="13"/>
      <c r="E141" s="13"/>
      <c r="F141" s="13"/>
      <c r="G141" s="13"/>
      <c r="H141" s="13"/>
      <c r="I141" s="13"/>
      <c r="J141" s="13"/>
      <c r="K141" s="13"/>
      <c r="L141" s="13"/>
      <c r="M141" s="13"/>
      <c r="N141" s="13"/>
      <c r="O141" s="13"/>
      <c r="P141" s="13"/>
      <c r="Q141" s="13"/>
      <c r="R141" s="300"/>
      <c r="S141" s="13"/>
      <c r="T141" s="13"/>
      <c r="U141" s="300"/>
      <c r="V141" s="13"/>
      <c r="W141" s="13"/>
      <c r="X141" s="300"/>
      <c r="Y141" s="13"/>
      <c r="Z141" s="13"/>
      <c r="AA141" s="300"/>
      <c r="AB141" s="13"/>
      <c r="AC141" s="13"/>
      <c r="AD141" s="300"/>
      <c r="AE141" s="13"/>
      <c r="AF141" s="13"/>
      <c r="AG141" s="300"/>
      <c r="AH141" s="13"/>
      <c r="AI141" s="13"/>
      <c r="AJ141" s="300"/>
      <c r="AK141" s="13"/>
      <c r="AL141" s="301"/>
      <c r="AM141" s="300"/>
      <c r="AN141" s="13"/>
      <c r="AO141" s="301"/>
      <c r="AP141" s="300"/>
    </row>
    <row r="142">
      <c r="A142" s="13"/>
      <c r="B142" s="13"/>
      <c r="C142" s="13"/>
      <c r="D142" s="13"/>
      <c r="E142" s="13"/>
      <c r="F142" s="13"/>
      <c r="G142" s="13"/>
      <c r="H142" s="13"/>
      <c r="I142" s="13"/>
      <c r="J142" s="13"/>
      <c r="K142" s="13"/>
      <c r="L142" s="13"/>
      <c r="M142" s="13"/>
      <c r="N142" s="13"/>
      <c r="O142" s="13"/>
      <c r="P142" s="13"/>
      <c r="Q142" s="13"/>
      <c r="R142" s="300"/>
      <c r="S142" s="13"/>
      <c r="T142" s="13"/>
      <c r="U142" s="300"/>
      <c r="V142" s="13"/>
      <c r="W142" s="13"/>
      <c r="X142" s="300"/>
      <c r="Y142" s="13"/>
      <c r="Z142" s="13"/>
      <c r="AA142" s="300"/>
      <c r="AB142" s="13"/>
      <c r="AC142" s="13"/>
      <c r="AD142" s="300"/>
      <c r="AE142" s="13"/>
      <c r="AF142" s="13"/>
      <c r="AG142" s="300"/>
      <c r="AH142" s="13"/>
      <c r="AI142" s="13"/>
      <c r="AJ142" s="300"/>
      <c r="AK142" s="13"/>
      <c r="AL142" s="301"/>
      <c r="AM142" s="300"/>
      <c r="AN142" s="13"/>
      <c r="AO142" s="301"/>
      <c r="AP142" s="300"/>
    </row>
    <row r="143">
      <c r="A143" s="13"/>
      <c r="B143" s="13"/>
      <c r="C143" s="13"/>
      <c r="D143" s="13"/>
      <c r="E143" s="13"/>
      <c r="F143" s="13"/>
      <c r="G143" s="13"/>
      <c r="H143" s="13"/>
      <c r="I143" s="13"/>
      <c r="J143" s="13"/>
      <c r="K143" s="13"/>
      <c r="L143" s="13"/>
      <c r="M143" s="13"/>
      <c r="N143" s="13"/>
      <c r="O143" s="13"/>
      <c r="P143" s="13"/>
      <c r="Q143" s="13"/>
      <c r="R143" s="300"/>
      <c r="S143" s="13"/>
      <c r="T143" s="13"/>
      <c r="U143" s="300"/>
      <c r="V143" s="13"/>
      <c r="W143" s="13"/>
      <c r="X143" s="300"/>
      <c r="Y143" s="13"/>
      <c r="Z143" s="13"/>
      <c r="AA143" s="300"/>
      <c r="AB143" s="13"/>
      <c r="AC143" s="13"/>
      <c r="AD143" s="300"/>
      <c r="AE143" s="13"/>
      <c r="AF143" s="13"/>
      <c r="AG143" s="300"/>
      <c r="AH143" s="13"/>
      <c r="AI143" s="13"/>
      <c r="AJ143" s="300"/>
      <c r="AK143" s="13"/>
      <c r="AL143" s="301"/>
      <c r="AM143" s="300"/>
      <c r="AN143" s="13"/>
      <c r="AO143" s="301"/>
      <c r="AP143" s="300"/>
    </row>
    <row r="144">
      <c r="A144" s="13"/>
      <c r="B144" s="13"/>
      <c r="C144" s="13"/>
      <c r="D144" s="13"/>
      <c r="E144" s="13"/>
      <c r="F144" s="13"/>
      <c r="G144" s="13"/>
      <c r="H144" s="13"/>
      <c r="I144" s="13"/>
      <c r="J144" s="13"/>
      <c r="K144" s="13"/>
      <c r="L144" s="13"/>
      <c r="M144" s="13"/>
      <c r="N144" s="13"/>
      <c r="O144" s="13"/>
      <c r="P144" s="13"/>
      <c r="Q144" s="13"/>
      <c r="R144" s="300"/>
      <c r="S144" s="13"/>
      <c r="T144" s="13"/>
      <c r="U144" s="300"/>
      <c r="V144" s="13"/>
      <c r="W144" s="13"/>
      <c r="X144" s="300"/>
      <c r="Y144" s="13"/>
      <c r="Z144" s="13"/>
      <c r="AA144" s="300"/>
      <c r="AB144" s="13"/>
      <c r="AC144" s="13"/>
      <c r="AD144" s="300"/>
      <c r="AE144" s="13"/>
      <c r="AF144" s="13"/>
      <c r="AG144" s="300"/>
      <c r="AH144" s="13"/>
      <c r="AI144" s="13"/>
      <c r="AJ144" s="300"/>
      <c r="AK144" s="13"/>
      <c r="AL144" s="301"/>
      <c r="AM144" s="300"/>
      <c r="AN144" s="13"/>
      <c r="AO144" s="301"/>
      <c r="AP144" s="300"/>
    </row>
    <row r="145">
      <c r="A145" s="13"/>
      <c r="B145" s="13"/>
      <c r="C145" s="13"/>
      <c r="D145" s="13"/>
      <c r="E145" s="13"/>
      <c r="F145" s="13"/>
      <c r="G145" s="13"/>
      <c r="H145" s="13"/>
      <c r="I145" s="13"/>
      <c r="J145" s="13"/>
      <c r="K145" s="13"/>
      <c r="L145" s="13"/>
      <c r="M145" s="13"/>
      <c r="N145" s="13"/>
      <c r="O145" s="13"/>
      <c r="P145" s="13"/>
      <c r="Q145" s="13"/>
      <c r="R145" s="300"/>
      <c r="S145" s="13"/>
      <c r="T145" s="13"/>
      <c r="U145" s="300"/>
      <c r="V145" s="13"/>
      <c r="W145" s="13"/>
      <c r="X145" s="300"/>
      <c r="Y145" s="13"/>
      <c r="Z145" s="13"/>
      <c r="AA145" s="300"/>
      <c r="AB145" s="13"/>
      <c r="AC145" s="13"/>
      <c r="AD145" s="300"/>
      <c r="AE145" s="13"/>
      <c r="AF145" s="13"/>
      <c r="AG145" s="300"/>
      <c r="AH145" s="13"/>
      <c r="AI145" s="13"/>
      <c r="AJ145" s="300"/>
      <c r="AK145" s="13"/>
      <c r="AL145" s="301"/>
      <c r="AM145" s="300"/>
      <c r="AN145" s="13"/>
      <c r="AO145" s="301"/>
      <c r="AP145" s="300"/>
    </row>
    <row r="146">
      <c r="A146" s="13"/>
      <c r="B146" s="13"/>
      <c r="C146" s="13"/>
      <c r="D146" s="13"/>
      <c r="E146" s="13"/>
      <c r="F146" s="13"/>
      <c r="G146" s="13"/>
      <c r="H146" s="13"/>
      <c r="I146" s="13"/>
      <c r="J146" s="13"/>
      <c r="K146" s="13"/>
      <c r="L146" s="13"/>
      <c r="M146" s="13"/>
      <c r="N146" s="13"/>
      <c r="O146" s="13"/>
      <c r="P146" s="13"/>
      <c r="Q146" s="13"/>
      <c r="R146" s="300"/>
      <c r="S146" s="13"/>
      <c r="T146" s="13"/>
      <c r="U146" s="300"/>
      <c r="V146" s="13"/>
      <c r="W146" s="13"/>
      <c r="X146" s="300"/>
      <c r="Y146" s="13"/>
      <c r="Z146" s="13"/>
      <c r="AA146" s="300"/>
      <c r="AB146" s="13"/>
      <c r="AC146" s="13"/>
      <c r="AD146" s="300"/>
      <c r="AE146" s="13"/>
      <c r="AF146" s="13"/>
      <c r="AG146" s="300"/>
      <c r="AH146" s="13"/>
      <c r="AI146" s="13"/>
      <c r="AJ146" s="300"/>
      <c r="AK146" s="13"/>
      <c r="AL146" s="301"/>
      <c r="AM146" s="300"/>
      <c r="AN146" s="13"/>
      <c r="AO146" s="301"/>
      <c r="AP146" s="300"/>
    </row>
    <row r="147">
      <c r="A147" s="13"/>
      <c r="B147" s="13"/>
      <c r="C147" s="13"/>
      <c r="D147" s="13"/>
      <c r="E147" s="13"/>
      <c r="F147" s="13"/>
      <c r="G147" s="13"/>
      <c r="H147" s="13"/>
      <c r="I147" s="13"/>
      <c r="J147" s="13"/>
      <c r="K147" s="13"/>
      <c r="L147" s="13"/>
      <c r="M147" s="13"/>
      <c r="N147" s="13"/>
      <c r="O147" s="13"/>
      <c r="P147" s="13"/>
      <c r="Q147" s="13"/>
      <c r="R147" s="300"/>
      <c r="S147" s="13"/>
      <c r="T147" s="13"/>
      <c r="U147" s="300"/>
      <c r="V147" s="13"/>
      <c r="W147" s="13"/>
      <c r="X147" s="300"/>
      <c r="Y147" s="13"/>
      <c r="Z147" s="13"/>
      <c r="AA147" s="300"/>
      <c r="AB147" s="13"/>
      <c r="AC147" s="13"/>
      <c r="AD147" s="300"/>
      <c r="AE147" s="13"/>
      <c r="AF147" s="13"/>
      <c r="AG147" s="300"/>
      <c r="AH147" s="13"/>
      <c r="AI147" s="13"/>
      <c r="AJ147" s="300"/>
      <c r="AK147" s="13"/>
      <c r="AL147" s="301"/>
      <c r="AM147" s="300"/>
      <c r="AN147" s="13"/>
      <c r="AO147" s="301"/>
      <c r="AP147" s="300"/>
    </row>
    <row r="148">
      <c r="A148" s="13"/>
      <c r="B148" s="13"/>
      <c r="C148" s="13"/>
      <c r="D148" s="13"/>
      <c r="E148" s="13"/>
      <c r="F148" s="13"/>
      <c r="G148" s="13"/>
      <c r="H148" s="13"/>
      <c r="I148" s="13"/>
      <c r="J148" s="13"/>
      <c r="K148" s="13"/>
      <c r="L148" s="13"/>
      <c r="M148" s="13"/>
      <c r="N148" s="13"/>
      <c r="O148" s="13"/>
      <c r="P148" s="13"/>
      <c r="Q148" s="13"/>
      <c r="R148" s="300"/>
      <c r="S148" s="13"/>
      <c r="T148" s="13"/>
      <c r="U148" s="300"/>
      <c r="V148" s="13"/>
      <c r="W148" s="13"/>
      <c r="X148" s="300"/>
      <c r="Y148" s="13"/>
      <c r="Z148" s="13"/>
      <c r="AA148" s="300"/>
      <c r="AB148" s="13"/>
      <c r="AC148" s="13"/>
      <c r="AD148" s="300"/>
      <c r="AE148" s="13"/>
      <c r="AF148" s="13"/>
      <c r="AG148" s="300"/>
      <c r="AH148" s="13"/>
      <c r="AI148" s="13"/>
      <c r="AJ148" s="300"/>
      <c r="AK148" s="13"/>
      <c r="AL148" s="301"/>
      <c r="AM148" s="300"/>
      <c r="AN148" s="13"/>
      <c r="AO148" s="301"/>
      <c r="AP148" s="300"/>
    </row>
    <row r="149">
      <c r="A149" s="13"/>
      <c r="B149" s="13"/>
      <c r="C149" s="13"/>
      <c r="D149" s="13"/>
      <c r="E149" s="13"/>
      <c r="F149" s="13"/>
      <c r="G149" s="13"/>
      <c r="H149" s="13"/>
      <c r="I149" s="13"/>
      <c r="J149" s="13"/>
      <c r="K149" s="13"/>
      <c r="L149" s="13"/>
      <c r="M149" s="13"/>
      <c r="N149" s="13"/>
      <c r="O149" s="13"/>
      <c r="P149" s="13"/>
      <c r="Q149" s="13"/>
      <c r="R149" s="300"/>
      <c r="S149" s="13"/>
      <c r="T149" s="13"/>
      <c r="U149" s="300"/>
      <c r="V149" s="13"/>
      <c r="W149" s="13"/>
      <c r="X149" s="300"/>
      <c r="Y149" s="13"/>
      <c r="Z149" s="13"/>
      <c r="AA149" s="300"/>
      <c r="AB149" s="13"/>
      <c r="AC149" s="13"/>
      <c r="AD149" s="300"/>
      <c r="AE149" s="13"/>
      <c r="AF149" s="13"/>
      <c r="AG149" s="300"/>
      <c r="AH149" s="13"/>
      <c r="AI149" s="13"/>
      <c r="AJ149" s="300"/>
      <c r="AK149" s="13"/>
      <c r="AL149" s="301"/>
      <c r="AM149" s="300"/>
      <c r="AN149" s="13"/>
      <c r="AO149" s="301"/>
      <c r="AP149" s="300"/>
    </row>
    <row r="150">
      <c r="A150" s="13"/>
      <c r="B150" s="13"/>
      <c r="C150" s="13"/>
      <c r="D150" s="13"/>
      <c r="E150" s="13"/>
      <c r="F150" s="13"/>
      <c r="G150" s="13"/>
      <c r="H150" s="13"/>
      <c r="I150" s="13"/>
      <c r="J150" s="13"/>
      <c r="K150" s="13"/>
      <c r="L150" s="13"/>
      <c r="M150" s="13"/>
      <c r="N150" s="13"/>
      <c r="O150" s="13"/>
      <c r="P150" s="13"/>
      <c r="Q150" s="13"/>
      <c r="R150" s="300"/>
      <c r="S150" s="13"/>
      <c r="T150" s="13"/>
      <c r="U150" s="300"/>
      <c r="V150" s="13"/>
      <c r="W150" s="13"/>
      <c r="X150" s="300"/>
      <c r="Y150" s="13"/>
      <c r="Z150" s="13"/>
      <c r="AA150" s="300"/>
      <c r="AB150" s="13"/>
      <c r="AC150" s="13"/>
      <c r="AD150" s="300"/>
      <c r="AE150" s="13"/>
      <c r="AF150" s="13"/>
      <c r="AG150" s="300"/>
      <c r="AH150" s="13"/>
      <c r="AI150" s="13"/>
      <c r="AJ150" s="300"/>
      <c r="AK150" s="13"/>
      <c r="AL150" s="301"/>
      <c r="AM150" s="300"/>
      <c r="AN150" s="13"/>
      <c r="AO150" s="301"/>
      <c r="AP150" s="300"/>
    </row>
    <row r="151">
      <c r="A151" s="13"/>
      <c r="B151" s="13"/>
      <c r="C151" s="13"/>
      <c r="D151" s="13"/>
      <c r="E151" s="13"/>
      <c r="F151" s="13"/>
      <c r="G151" s="13"/>
      <c r="H151" s="13"/>
      <c r="I151" s="13"/>
      <c r="J151" s="13"/>
      <c r="K151" s="13"/>
      <c r="L151" s="13"/>
      <c r="M151" s="13"/>
      <c r="N151" s="13"/>
      <c r="O151" s="13"/>
      <c r="P151" s="13"/>
      <c r="Q151" s="13"/>
      <c r="R151" s="300"/>
      <c r="S151" s="13"/>
      <c r="T151" s="13"/>
      <c r="U151" s="300"/>
      <c r="V151" s="13"/>
      <c r="W151" s="13"/>
      <c r="X151" s="300"/>
      <c r="Y151" s="13"/>
      <c r="Z151" s="13"/>
      <c r="AA151" s="300"/>
      <c r="AB151" s="13"/>
      <c r="AC151" s="13"/>
      <c r="AD151" s="300"/>
      <c r="AE151" s="13"/>
      <c r="AF151" s="13"/>
      <c r="AG151" s="300"/>
      <c r="AH151" s="13"/>
      <c r="AI151" s="13"/>
      <c r="AJ151" s="300"/>
      <c r="AK151" s="13"/>
      <c r="AL151" s="301"/>
      <c r="AM151" s="300"/>
      <c r="AN151" s="13"/>
      <c r="AO151" s="301"/>
      <c r="AP151" s="300"/>
    </row>
    <row r="152">
      <c r="A152" s="13"/>
      <c r="B152" s="13"/>
      <c r="C152" s="13"/>
      <c r="D152" s="13"/>
      <c r="E152" s="13"/>
      <c r="F152" s="13"/>
      <c r="G152" s="13"/>
      <c r="H152" s="13"/>
      <c r="I152" s="13"/>
      <c r="J152" s="13"/>
      <c r="K152" s="13"/>
      <c r="L152" s="13"/>
      <c r="M152" s="13"/>
      <c r="N152" s="13"/>
      <c r="O152" s="13"/>
      <c r="P152" s="13"/>
      <c r="Q152" s="13"/>
      <c r="R152" s="300"/>
      <c r="S152" s="13"/>
      <c r="T152" s="13"/>
      <c r="U152" s="300"/>
      <c r="V152" s="13"/>
      <c r="W152" s="13"/>
      <c r="X152" s="300"/>
      <c r="Y152" s="13"/>
      <c r="Z152" s="13"/>
      <c r="AA152" s="300"/>
      <c r="AB152" s="13"/>
      <c r="AC152" s="13"/>
      <c r="AD152" s="300"/>
      <c r="AE152" s="13"/>
      <c r="AF152" s="13"/>
      <c r="AG152" s="300"/>
      <c r="AH152" s="13"/>
      <c r="AI152" s="13"/>
      <c r="AJ152" s="300"/>
      <c r="AK152" s="13"/>
      <c r="AL152" s="301"/>
      <c r="AM152" s="300"/>
      <c r="AN152" s="13"/>
      <c r="AO152" s="301"/>
      <c r="AP152" s="300"/>
    </row>
    <row r="153">
      <c r="A153" s="13"/>
      <c r="B153" s="13"/>
      <c r="C153" s="13"/>
      <c r="D153" s="13"/>
      <c r="E153" s="13"/>
      <c r="F153" s="13"/>
      <c r="G153" s="13"/>
      <c r="H153" s="13"/>
      <c r="I153" s="13"/>
      <c r="J153" s="13"/>
      <c r="K153" s="13"/>
      <c r="L153" s="13"/>
      <c r="M153" s="13"/>
      <c r="N153" s="13"/>
      <c r="O153" s="13"/>
      <c r="P153" s="13"/>
      <c r="Q153" s="13"/>
      <c r="R153" s="300"/>
      <c r="S153" s="13"/>
      <c r="T153" s="13"/>
      <c r="U153" s="300"/>
      <c r="V153" s="13"/>
      <c r="W153" s="13"/>
      <c r="X153" s="300"/>
      <c r="Y153" s="13"/>
      <c r="Z153" s="13"/>
      <c r="AA153" s="300"/>
      <c r="AB153" s="13"/>
      <c r="AC153" s="13"/>
      <c r="AD153" s="300"/>
      <c r="AE153" s="13"/>
      <c r="AF153" s="13"/>
      <c r="AG153" s="300"/>
      <c r="AH153" s="13"/>
      <c r="AI153" s="13"/>
      <c r="AJ153" s="300"/>
      <c r="AK153" s="13"/>
      <c r="AL153" s="301"/>
      <c r="AM153" s="300"/>
      <c r="AN153" s="13"/>
      <c r="AO153" s="301"/>
      <c r="AP153" s="300"/>
    </row>
    <row r="154">
      <c r="A154" s="13"/>
      <c r="B154" s="13"/>
      <c r="C154" s="13"/>
      <c r="D154" s="13"/>
      <c r="E154" s="13"/>
      <c r="F154" s="13"/>
      <c r="G154" s="13"/>
      <c r="H154" s="13"/>
      <c r="I154" s="13"/>
      <c r="J154" s="13"/>
      <c r="K154" s="13"/>
      <c r="L154" s="13"/>
      <c r="M154" s="13"/>
      <c r="N154" s="13"/>
      <c r="O154" s="13"/>
      <c r="P154" s="13"/>
      <c r="Q154" s="13"/>
      <c r="R154" s="300"/>
      <c r="S154" s="13"/>
      <c r="T154" s="13"/>
      <c r="U154" s="300"/>
      <c r="V154" s="13"/>
      <c r="W154" s="13"/>
      <c r="X154" s="300"/>
      <c r="Y154" s="13"/>
      <c r="Z154" s="13"/>
      <c r="AA154" s="300"/>
      <c r="AB154" s="13"/>
      <c r="AC154" s="13"/>
      <c r="AD154" s="300"/>
      <c r="AE154" s="13"/>
      <c r="AF154" s="13"/>
      <c r="AG154" s="300"/>
      <c r="AH154" s="13"/>
      <c r="AI154" s="13"/>
      <c r="AJ154" s="300"/>
      <c r="AK154" s="13"/>
      <c r="AL154" s="301"/>
      <c r="AM154" s="300"/>
      <c r="AN154" s="13"/>
      <c r="AO154" s="301"/>
      <c r="AP154" s="300"/>
    </row>
    <row r="155">
      <c r="A155" s="13"/>
      <c r="B155" s="13"/>
      <c r="C155" s="13"/>
      <c r="D155" s="13"/>
      <c r="E155" s="13"/>
      <c r="F155" s="13"/>
      <c r="G155" s="13"/>
      <c r="H155" s="13"/>
      <c r="I155" s="13"/>
      <c r="J155" s="13"/>
      <c r="K155" s="13"/>
      <c r="L155" s="13"/>
      <c r="M155" s="13"/>
      <c r="N155" s="13"/>
      <c r="O155" s="13"/>
      <c r="P155" s="13"/>
      <c r="Q155" s="13"/>
      <c r="R155" s="300"/>
      <c r="S155" s="13"/>
      <c r="T155" s="13"/>
      <c r="U155" s="300"/>
      <c r="V155" s="13"/>
      <c r="W155" s="13"/>
      <c r="X155" s="300"/>
      <c r="Y155" s="13"/>
      <c r="Z155" s="13"/>
      <c r="AA155" s="300"/>
      <c r="AB155" s="13"/>
      <c r="AC155" s="13"/>
      <c r="AD155" s="300"/>
      <c r="AE155" s="13"/>
      <c r="AF155" s="13"/>
      <c r="AG155" s="300"/>
      <c r="AH155" s="13"/>
      <c r="AI155" s="13"/>
      <c r="AJ155" s="300"/>
      <c r="AK155" s="13"/>
      <c r="AL155" s="301"/>
      <c r="AM155" s="300"/>
      <c r="AN155" s="13"/>
      <c r="AO155" s="301"/>
      <c r="AP155" s="300"/>
    </row>
    <row r="156">
      <c r="A156" s="13"/>
      <c r="B156" s="13"/>
      <c r="C156" s="13"/>
      <c r="D156" s="13"/>
      <c r="E156" s="13"/>
      <c r="F156" s="13"/>
      <c r="G156" s="13"/>
      <c r="H156" s="13"/>
      <c r="I156" s="13"/>
      <c r="J156" s="13"/>
      <c r="K156" s="13"/>
      <c r="L156" s="13"/>
      <c r="M156" s="13"/>
      <c r="N156" s="13"/>
      <c r="O156" s="13"/>
      <c r="P156" s="13"/>
      <c r="Q156" s="13"/>
      <c r="R156" s="300"/>
      <c r="S156" s="13"/>
      <c r="T156" s="13"/>
      <c r="U156" s="300"/>
      <c r="V156" s="13"/>
      <c r="W156" s="13"/>
      <c r="X156" s="300"/>
      <c r="Y156" s="13"/>
      <c r="Z156" s="13"/>
      <c r="AA156" s="300"/>
      <c r="AB156" s="13"/>
      <c r="AC156" s="13"/>
      <c r="AD156" s="300"/>
      <c r="AE156" s="13"/>
      <c r="AF156" s="13"/>
      <c r="AG156" s="300"/>
      <c r="AH156" s="13"/>
      <c r="AI156" s="13"/>
      <c r="AJ156" s="300"/>
      <c r="AK156" s="13"/>
      <c r="AL156" s="301"/>
      <c r="AM156" s="300"/>
      <c r="AN156" s="13"/>
      <c r="AO156" s="301"/>
      <c r="AP156" s="300"/>
    </row>
    <row r="157">
      <c r="A157" s="13"/>
      <c r="B157" s="13"/>
      <c r="C157" s="13"/>
      <c r="D157" s="13"/>
      <c r="E157" s="13"/>
      <c r="F157" s="13"/>
      <c r="G157" s="13"/>
      <c r="H157" s="13"/>
      <c r="I157" s="13"/>
      <c r="J157" s="13"/>
      <c r="K157" s="13"/>
      <c r="L157" s="13"/>
      <c r="M157" s="13"/>
      <c r="N157" s="13"/>
      <c r="O157" s="13"/>
      <c r="P157" s="13"/>
      <c r="Q157" s="13"/>
      <c r="R157" s="300"/>
      <c r="S157" s="13"/>
      <c r="T157" s="13"/>
      <c r="U157" s="300"/>
      <c r="V157" s="13"/>
      <c r="W157" s="13"/>
      <c r="X157" s="300"/>
      <c r="Y157" s="13"/>
      <c r="Z157" s="13"/>
      <c r="AA157" s="300"/>
      <c r="AB157" s="13"/>
      <c r="AC157" s="13"/>
      <c r="AD157" s="300"/>
      <c r="AE157" s="13"/>
      <c r="AF157" s="13"/>
      <c r="AG157" s="300"/>
      <c r="AH157" s="13"/>
      <c r="AI157" s="13"/>
      <c r="AJ157" s="300"/>
      <c r="AK157" s="13"/>
      <c r="AL157" s="301"/>
      <c r="AM157" s="300"/>
      <c r="AN157" s="13"/>
      <c r="AO157" s="301"/>
      <c r="AP157" s="300"/>
    </row>
    <row r="158">
      <c r="A158" s="13"/>
      <c r="B158" s="13"/>
      <c r="C158" s="13"/>
      <c r="D158" s="13"/>
      <c r="E158" s="13"/>
      <c r="F158" s="13"/>
      <c r="G158" s="13"/>
      <c r="H158" s="13"/>
      <c r="I158" s="13"/>
      <c r="J158" s="13"/>
      <c r="K158" s="13"/>
      <c r="L158" s="13"/>
      <c r="M158" s="13"/>
      <c r="N158" s="13"/>
      <c r="O158" s="13"/>
      <c r="P158" s="13"/>
      <c r="Q158" s="13"/>
      <c r="R158" s="300"/>
      <c r="S158" s="13"/>
      <c r="T158" s="13"/>
      <c r="U158" s="300"/>
      <c r="V158" s="13"/>
      <c r="W158" s="13"/>
      <c r="X158" s="300"/>
      <c r="Y158" s="13"/>
      <c r="Z158" s="13"/>
      <c r="AA158" s="300"/>
      <c r="AB158" s="13"/>
      <c r="AC158" s="13"/>
      <c r="AD158" s="300"/>
      <c r="AE158" s="13"/>
      <c r="AF158" s="13"/>
      <c r="AG158" s="300"/>
      <c r="AH158" s="13"/>
      <c r="AI158" s="13"/>
      <c r="AJ158" s="300"/>
      <c r="AK158" s="13"/>
      <c r="AL158" s="301"/>
      <c r="AM158" s="300"/>
      <c r="AN158" s="13"/>
      <c r="AO158" s="301"/>
      <c r="AP158" s="300"/>
    </row>
    <row r="159">
      <c r="A159" s="13"/>
      <c r="B159" s="13"/>
      <c r="C159" s="13"/>
      <c r="D159" s="13"/>
      <c r="E159" s="13"/>
      <c r="F159" s="13"/>
      <c r="G159" s="13"/>
      <c r="H159" s="13"/>
      <c r="I159" s="13"/>
      <c r="J159" s="13"/>
      <c r="K159" s="13"/>
      <c r="L159" s="13"/>
      <c r="M159" s="13"/>
      <c r="N159" s="13"/>
      <c r="O159" s="13"/>
      <c r="P159" s="13"/>
      <c r="Q159" s="13"/>
      <c r="R159" s="300"/>
      <c r="S159" s="13"/>
      <c r="T159" s="13"/>
      <c r="U159" s="300"/>
      <c r="V159" s="13"/>
      <c r="W159" s="13"/>
      <c r="X159" s="300"/>
      <c r="Y159" s="13"/>
      <c r="Z159" s="13"/>
      <c r="AA159" s="300"/>
      <c r="AB159" s="13"/>
      <c r="AC159" s="13"/>
      <c r="AD159" s="300"/>
      <c r="AE159" s="13"/>
      <c r="AF159" s="13"/>
      <c r="AG159" s="300"/>
      <c r="AH159" s="13"/>
      <c r="AI159" s="13"/>
      <c r="AJ159" s="300"/>
      <c r="AK159" s="13"/>
      <c r="AL159" s="301"/>
      <c r="AM159" s="300"/>
      <c r="AN159" s="13"/>
      <c r="AO159" s="301"/>
      <c r="AP159" s="300"/>
    </row>
    <row r="160">
      <c r="A160" s="13"/>
      <c r="B160" s="13"/>
      <c r="C160" s="13"/>
      <c r="D160" s="13"/>
      <c r="E160" s="13"/>
      <c r="F160" s="13"/>
      <c r="G160" s="13"/>
      <c r="H160" s="13"/>
      <c r="I160" s="13"/>
      <c r="J160" s="13"/>
      <c r="K160" s="13"/>
      <c r="L160" s="13"/>
      <c r="M160" s="13"/>
      <c r="N160" s="13"/>
      <c r="O160" s="13"/>
      <c r="P160" s="13"/>
      <c r="Q160" s="13"/>
      <c r="R160" s="300"/>
      <c r="S160" s="13"/>
      <c r="T160" s="13"/>
      <c r="U160" s="300"/>
      <c r="V160" s="13"/>
      <c r="W160" s="13"/>
      <c r="X160" s="300"/>
      <c r="Y160" s="13"/>
      <c r="Z160" s="13"/>
      <c r="AA160" s="300"/>
      <c r="AB160" s="13"/>
      <c r="AC160" s="13"/>
      <c r="AD160" s="300"/>
      <c r="AE160" s="13"/>
      <c r="AF160" s="13"/>
      <c r="AG160" s="300"/>
      <c r="AH160" s="13"/>
      <c r="AI160" s="13"/>
      <c r="AJ160" s="300"/>
      <c r="AK160" s="13"/>
      <c r="AL160" s="301"/>
      <c r="AM160" s="300"/>
      <c r="AN160" s="13"/>
      <c r="AO160" s="301"/>
      <c r="AP160" s="300"/>
    </row>
    <row r="161">
      <c r="A161" s="13"/>
      <c r="B161" s="13"/>
      <c r="C161" s="13"/>
      <c r="D161" s="13"/>
      <c r="E161" s="13"/>
      <c r="F161" s="13"/>
      <c r="G161" s="13"/>
      <c r="H161" s="13"/>
      <c r="I161" s="13"/>
      <c r="J161" s="13"/>
      <c r="K161" s="13"/>
      <c r="L161" s="13"/>
      <c r="M161" s="13"/>
      <c r="N161" s="13"/>
      <c r="O161" s="13"/>
      <c r="P161" s="13"/>
      <c r="Q161" s="13"/>
      <c r="R161" s="300"/>
      <c r="S161" s="13"/>
      <c r="T161" s="13"/>
      <c r="U161" s="300"/>
      <c r="V161" s="13"/>
      <c r="W161" s="13"/>
      <c r="X161" s="300"/>
      <c r="Y161" s="13"/>
      <c r="Z161" s="13"/>
      <c r="AA161" s="300"/>
      <c r="AB161" s="13"/>
      <c r="AC161" s="13"/>
      <c r="AD161" s="300"/>
      <c r="AE161" s="13"/>
      <c r="AF161" s="13"/>
      <c r="AG161" s="300"/>
      <c r="AH161" s="13"/>
      <c r="AI161" s="13"/>
      <c r="AJ161" s="300"/>
      <c r="AK161" s="13"/>
      <c r="AL161" s="301"/>
      <c r="AM161" s="300"/>
      <c r="AN161" s="13"/>
      <c r="AO161" s="301"/>
      <c r="AP161" s="300"/>
    </row>
    <row r="162">
      <c r="A162" s="13"/>
      <c r="B162" s="13"/>
      <c r="C162" s="13"/>
      <c r="D162" s="13"/>
      <c r="E162" s="13"/>
      <c r="F162" s="13"/>
      <c r="G162" s="13"/>
      <c r="H162" s="13"/>
      <c r="I162" s="13"/>
      <c r="J162" s="13"/>
      <c r="K162" s="13"/>
      <c r="L162" s="13"/>
      <c r="M162" s="13"/>
      <c r="N162" s="13"/>
      <c r="O162" s="13"/>
      <c r="P162" s="13"/>
      <c r="Q162" s="13"/>
      <c r="R162" s="300"/>
      <c r="S162" s="13"/>
      <c r="T162" s="13"/>
      <c r="U162" s="300"/>
      <c r="V162" s="13"/>
      <c r="W162" s="13"/>
      <c r="X162" s="300"/>
      <c r="Y162" s="13"/>
      <c r="Z162" s="13"/>
      <c r="AA162" s="300"/>
      <c r="AB162" s="13"/>
      <c r="AC162" s="13"/>
      <c r="AD162" s="300"/>
      <c r="AE162" s="13"/>
      <c r="AF162" s="13"/>
      <c r="AG162" s="300"/>
      <c r="AH162" s="13"/>
      <c r="AI162" s="13"/>
      <c r="AJ162" s="300"/>
      <c r="AK162" s="13"/>
      <c r="AL162" s="301"/>
      <c r="AM162" s="300"/>
      <c r="AN162" s="13"/>
      <c r="AO162" s="301"/>
      <c r="AP162" s="300"/>
    </row>
    <row r="163">
      <c r="A163" s="13"/>
      <c r="B163" s="13"/>
      <c r="C163" s="13"/>
      <c r="D163" s="13"/>
      <c r="E163" s="13"/>
      <c r="F163" s="13"/>
      <c r="G163" s="13"/>
      <c r="H163" s="13"/>
      <c r="I163" s="13"/>
      <c r="J163" s="13"/>
      <c r="K163" s="13"/>
      <c r="L163" s="13"/>
      <c r="M163" s="13"/>
      <c r="N163" s="13"/>
      <c r="O163" s="13"/>
      <c r="P163" s="13"/>
      <c r="Q163" s="13"/>
      <c r="R163" s="300"/>
      <c r="S163" s="13"/>
      <c r="T163" s="13"/>
      <c r="U163" s="300"/>
      <c r="V163" s="13"/>
      <c r="W163" s="13"/>
      <c r="X163" s="300"/>
      <c r="Y163" s="13"/>
      <c r="Z163" s="13"/>
      <c r="AA163" s="300"/>
      <c r="AB163" s="13"/>
      <c r="AC163" s="13"/>
      <c r="AD163" s="300"/>
      <c r="AE163" s="13"/>
      <c r="AF163" s="13"/>
      <c r="AG163" s="300"/>
      <c r="AH163" s="13"/>
      <c r="AI163" s="13"/>
      <c r="AJ163" s="300"/>
      <c r="AK163" s="13"/>
      <c r="AL163" s="301"/>
      <c r="AM163" s="300"/>
      <c r="AN163" s="13"/>
      <c r="AO163" s="301"/>
      <c r="AP163" s="300"/>
    </row>
    <row r="164">
      <c r="A164" s="13"/>
      <c r="B164" s="13"/>
      <c r="C164" s="13"/>
      <c r="D164" s="13"/>
      <c r="E164" s="13"/>
      <c r="F164" s="13"/>
      <c r="G164" s="13"/>
      <c r="H164" s="13"/>
      <c r="I164" s="13"/>
      <c r="J164" s="13"/>
      <c r="K164" s="13"/>
      <c r="L164" s="13"/>
      <c r="M164" s="13"/>
      <c r="N164" s="13"/>
      <c r="O164" s="13"/>
      <c r="P164" s="13"/>
      <c r="Q164" s="13"/>
      <c r="R164" s="300"/>
      <c r="S164" s="13"/>
      <c r="T164" s="13"/>
      <c r="U164" s="300"/>
      <c r="V164" s="13"/>
      <c r="W164" s="13"/>
      <c r="X164" s="300"/>
      <c r="Y164" s="13"/>
      <c r="Z164" s="13"/>
      <c r="AA164" s="300"/>
      <c r="AB164" s="13"/>
      <c r="AC164" s="13"/>
      <c r="AD164" s="300"/>
      <c r="AE164" s="13"/>
      <c r="AF164" s="13"/>
      <c r="AG164" s="300"/>
      <c r="AH164" s="13"/>
      <c r="AI164" s="13"/>
      <c r="AJ164" s="300"/>
      <c r="AK164" s="13"/>
      <c r="AL164" s="301"/>
      <c r="AM164" s="300"/>
      <c r="AN164" s="13"/>
      <c r="AO164" s="301"/>
      <c r="AP164" s="300"/>
    </row>
    <row r="165">
      <c r="A165" s="13"/>
      <c r="B165" s="13"/>
      <c r="C165" s="13"/>
      <c r="D165" s="13"/>
      <c r="E165" s="13"/>
      <c r="F165" s="13"/>
      <c r="G165" s="13"/>
      <c r="H165" s="13"/>
      <c r="I165" s="13"/>
      <c r="J165" s="13"/>
      <c r="K165" s="13"/>
      <c r="L165" s="13"/>
      <c r="M165" s="13"/>
      <c r="N165" s="13"/>
      <c r="O165" s="13"/>
      <c r="P165" s="13"/>
      <c r="Q165" s="13"/>
      <c r="R165" s="300"/>
      <c r="S165" s="13"/>
      <c r="T165" s="13"/>
      <c r="U165" s="300"/>
      <c r="V165" s="13"/>
      <c r="W165" s="13"/>
      <c r="X165" s="300"/>
      <c r="Y165" s="13"/>
      <c r="Z165" s="13"/>
      <c r="AA165" s="300"/>
      <c r="AB165" s="13"/>
      <c r="AC165" s="13"/>
      <c r="AD165" s="300"/>
      <c r="AE165" s="13"/>
      <c r="AF165" s="13"/>
      <c r="AG165" s="300"/>
      <c r="AH165" s="13"/>
      <c r="AI165" s="13"/>
      <c r="AJ165" s="300"/>
      <c r="AK165" s="13"/>
      <c r="AL165" s="301"/>
      <c r="AM165" s="300"/>
      <c r="AN165" s="13"/>
      <c r="AO165" s="301"/>
      <c r="AP165" s="300"/>
    </row>
    <row r="166">
      <c r="A166" s="13"/>
      <c r="B166" s="13"/>
      <c r="C166" s="13"/>
      <c r="D166" s="13"/>
      <c r="E166" s="13"/>
      <c r="F166" s="13"/>
      <c r="G166" s="13"/>
      <c r="H166" s="13"/>
      <c r="I166" s="13"/>
      <c r="J166" s="13"/>
      <c r="K166" s="13"/>
      <c r="L166" s="13"/>
      <c r="M166" s="13"/>
      <c r="N166" s="13"/>
      <c r="O166" s="13"/>
      <c r="P166" s="13"/>
      <c r="Q166" s="13"/>
      <c r="R166" s="300"/>
      <c r="S166" s="13"/>
      <c r="T166" s="13"/>
      <c r="U166" s="300"/>
      <c r="V166" s="13"/>
      <c r="W166" s="13"/>
      <c r="X166" s="300"/>
      <c r="Y166" s="13"/>
      <c r="Z166" s="13"/>
      <c r="AA166" s="300"/>
      <c r="AB166" s="13"/>
      <c r="AC166" s="13"/>
      <c r="AD166" s="300"/>
      <c r="AE166" s="13"/>
      <c r="AF166" s="13"/>
      <c r="AG166" s="300"/>
      <c r="AH166" s="13"/>
      <c r="AI166" s="13"/>
      <c r="AJ166" s="300"/>
      <c r="AK166" s="13"/>
      <c r="AL166" s="301"/>
      <c r="AM166" s="300"/>
      <c r="AN166" s="13"/>
      <c r="AO166" s="301"/>
      <c r="AP166" s="300"/>
    </row>
    <row r="167">
      <c r="A167" s="13"/>
      <c r="B167" s="13"/>
      <c r="C167" s="13"/>
      <c r="D167" s="13"/>
      <c r="E167" s="13"/>
      <c r="F167" s="13"/>
      <c r="G167" s="13"/>
      <c r="H167" s="13"/>
      <c r="I167" s="13"/>
      <c r="J167" s="13"/>
      <c r="K167" s="13"/>
      <c r="L167" s="13"/>
      <c r="M167" s="13"/>
      <c r="N167" s="13"/>
      <c r="O167" s="13"/>
      <c r="P167" s="13"/>
      <c r="Q167" s="13"/>
      <c r="R167" s="300"/>
      <c r="S167" s="13"/>
      <c r="T167" s="13"/>
      <c r="U167" s="300"/>
      <c r="V167" s="13"/>
      <c r="W167" s="13"/>
      <c r="X167" s="300"/>
      <c r="Y167" s="13"/>
      <c r="Z167" s="13"/>
      <c r="AA167" s="300"/>
      <c r="AB167" s="13"/>
      <c r="AC167" s="13"/>
      <c r="AD167" s="300"/>
      <c r="AE167" s="13"/>
      <c r="AF167" s="13"/>
      <c r="AG167" s="300"/>
      <c r="AH167" s="13"/>
      <c r="AI167" s="13"/>
      <c r="AJ167" s="300"/>
      <c r="AK167" s="13"/>
      <c r="AL167" s="301"/>
      <c r="AM167" s="300"/>
      <c r="AN167" s="13"/>
      <c r="AO167" s="301"/>
      <c r="AP167" s="300"/>
    </row>
    <row r="168">
      <c r="A168" s="13"/>
      <c r="B168" s="13"/>
      <c r="C168" s="13"/>
      <c r="D168" s="13"/>
      <c r="E168" s="13"/>
      <c r="F168" s="13"/>
      <c r="G168" s="13"/>
      <c r="H168" s="13"/>
      <c r="I168" s="13"/>
      <c r="J168" s="13"/>
      <c r="K168" s="13"/>
      <c r="L168" s="13"/>
      <c r="M168" s="13"/>
      <c r="N168" s="13"/>
      <c r="O168" s="13"/>
      <c r="P168" s="13"/>
      <c r="Q168" s="13"/>
      <c r="R168" s="300"/>
      <c r="S168" s="13"/>
      <c r="T168" s="13"/>
      <c r="U168" s="300"/>
      <c r="V168" s="13"/>
      <c r="W168" s="13"/>
      <c r="X168" s="300"/>
      <c r="Y168" s="13"/>
      <c r="Z168" s="13"/>
      <c r="AA168" s="300"/>
      <c r="AB168" s="13"/>
      <c r="AC168" s="13"/>
      <c r="AD168" s="300"/>
      <c r="AE168" s="13"/>
      <c r="AF168" s="13"/>
      <c r="AG168" s="300"/>
      <c r="AH168" s="13"/>
      <c r="AI168" s="13"/>
      <c r="AJ168" s="300"/>
      <c r="AK168" s="13"/>
      <c r="AL168" s="301"/>
      <c r="AM168" s="300"/>
      <c r="AN168" s="13"/>
      <c r="AO168" s="301"/>
      <c r="AP168" s="300"/>
    </row>
    <row r="169">
      <c r="A169" s="13"/>
      <c r="B169" s="13"/>
      <c r="C169" s="13"/>
      <c r="D169" s="13"/>
      <c r="E169" s="13"/>
      <c r="F169" s="13"/>
      <c r="G169" s="13"/>
      <c r="H169" s="13"/>
      <c r="I169" s="13"/>
      <c r="J169" s="13"/>
      <c r="K169" s="13"/>
      <c r="L169" s="13"/>
      <c r="M169" s="13"/>
      <c r="N169" s="13"/>
      <c r="O169" s="13"/>
      <c r="P169" s="13"/>
      <c r="Q169" s="13"/>
      <c r="R169" s="300"/>
      <c r="S169" s="13"/>
      <c r="T169" s="13"/>
      <c r="U169" s="300"/>
      <c r="V169" s="13"/>
      <c r="W169" s="13"/>
      <c r="X169" s="300"/>
      <c r="Y169" s="13"/>
      <c r="Z169" s="13"/>
      <c r="AA169" s="300"/>
      <c r="AB169" s="13"/>
      <c r="AC169" s="13"/>
      <c r="AD169" s="300"/>
      <c r="AE169" s="13"/>
      <c r="AF169" s="13"/>
      <c r="AG169" s="300"/>
      <c r="AH169" s="13"/>
      <c r="AI169" s="13"/>
      <c r="AJ169" s="300"/>
      <c r="AK169" s="13"/>
      <c r="AL169" s="301"/>
      <c r="AM169" s="300"/>
      <c r="AN169" s="13"/>
      <c r="AO169" s="301"/>
      <c r="AP169" s="300"/>
    </row>
    <row r="170">
      <c r="A170" s="13"/>
      <c r="B170" s="13"/>
      <c r="C170" s="13"/>
      <c r="D170" s="13"/>
      <c r="E170" s="13"/>
      <c r="F170" s="13"/>
      <c r="G170" s="13"/>
      <c r="H170" s="13"/>
      <c r="I170" s="13"/>
      <c r="J170" s="13"/>
      <c r="K170" s="13"/>
      <c r="L170" s="13"/>
      <c r="M170" s="13"/>
      <c r="N170" s="13"/>
      <c r="O170" s="13"/>
      <c r="P170" s="13"/>
      <c r="Q170" s="13"/>
      <c r="R170" s="300"/>
      <c r="S170" s="13"/>
      <c r="T170" s="13"/>
      <c r="U170" s="300"/>
      <c r="V170" s="13"/>
      <c r="W170" s="13"/>
      <c r="X170" s="300"/>
      <c r="Y170" s="13"/>
      <c r="Z170" s="13"/>
      <c r="AA170" s="300"/>
      <c r="AB170" s="13"/>
      <c r="AC170" s="13"/>
      <c r="AD170" s="300"/>
      <c r="AE170" s="13"/>
      <c r="AF170" s="13"/>
      <c r="AG170" s="300"/>
      <c r="AH170" s="13"/>
      <c r="AI170" s="13"/>
      <c r="AJ170" s="300"/>
      <c r="AK170" s="13"/>
      <c r="AL170" s="301"/>
      <c r="AM170" s="300"/>
      <c r="AN170" s="13"/>
      <c r="AO170" s="301"/>
      <c r="AP170" s="300"/>
    </row>
    <row r="171">
      <c r="A171" s="13"/>
      <c r="B171" s="13"/>
      <c r="C171" s="13"/>
      <c r="D171" s="13"/>
      <c r="E171" s="13"/>
      <c r="F171" s="13"/>
      <c r="G171" s="13"/>
      <c r="H171" s="13"/>
      <c r="I171" s="13"/>
      <c r="J171" s="13"/>
      <c r="K171" s="13"/>
      <c r="L171" s="13"/>
      <c r="M171" s="13"/>
      <c r="N171" s="13"/>
      <c r="O171" s="13"/>
      <c r="P171" s="13"/>
      <c r="Q171" s="13"/>
      <c r="R171" s="300"/>
      <c r="S171" s="13"/>
      <c r="T171" s="13"/>
      <c r="U171" s="300"/>
      <c r="V171" s="13"/>
      <c r="W171" s="13"/>
      <c r="X171" s="300"/>
      <c r="Y171" s="13"/>
      <c r="Z171" s="13"/>
      <c r="AA171" s="300"/>
      <c r="AB171" s="13"/>
      <c r="AC171" s="13"/>
      <c r="AD171" s="300"/>
      <c r="AE171" s="13"/>
      <c r="AF171" s="13"/>
      <c r="AG171" s="300"/>
      <c r="AH171" s="13"/>
      <c r="AI171" s="13"/>
      <c r="AJ171" s="300"/>
      <c r="AK171" s="13"/>
      <c r="AL171" s="301"/>
      <c r="AM171" s="300"/>
      <c r="AN171" s="13"/>
      <c r="AO171" s="301"/>
      <c r="AP171" s="300"/>
    </row>
    <row r="172">
      <c r="A172" s="13"/>
      <c r="B172" s="13"/>
      <c r="C172" s="13"/>
      <c r="D172" s="13"/>
      <c r="E172" s="13"/>
      <c r="F172" s="13"/>
      <c r="G172" s="13"/>
      <c r="H172" s="13"/>
      <c r="I172" s="13"/>
      <c r="J172" s="13"/>
      <c r="K172" s="13"/>
      <c r="L172" s="13"/>
      <c r="M172" s="13"/>
      <c r="N172" s="13"/>
      <c r="O172" s="13"/>
      <c r="P172" s="13"/>
      <c r="Q172" s="13"/>
      <c r="R172" s="300"/>
      <c r="S172" s="13"/>
      <c r="T172" s="13"/>
      <c r="U172" s="300"/>
      <c r="V172" s="13"/>
      <c r="W172" s="13"/>
      <c r="X172" s="300"/>
      <c r="Y172" s="13"/>
      <c r="Z172" s="13"/>
      <c r="AA172" s="300"/>
      <c r="AB172" s="13"/>
      <c r="AC172" s="13"/>
      <c r="AD172" s="300"/>
      <c r="AE172" s="13"/>
      <c r="AF172" s="13"/>
      <c r="AG172" s="300"/>
      <c r="AH172" s="13"/>
      <c r="AI172" s="13"/>
      <c r="AJ172" s="300"/>
      <c r="AK172" s="13"/>
      <c r="AL172" s="301"/>
      <c r="AM172" s="300"/>
      <c r="AN172" s="13"/>
      <c r="AO172" s="301"/>
      <c r="AP172" s="300"/>
    </row>
    <row r="173">
      <c r="A173" s="13"/>
      <c r="B173" s="13"/>
      <c r="C173" s="13"/>
      <c r="D173" s="13"/>
      <c r="E173" s="13"/>
      <c r="F173" s="13"/>
      <c r="G173" s="13"/>
      <c r="H173" s="13"/>
      <c r="I173" s="13"/>
      <c r="J173" s="13"/>
      <c r="K173" s="13"/>
      <c r="L173" s="13"/>
      <c r="M173" s="13"/>
      <c r="N173" s="13"/>
      <c r="O173" s="13"/>
      <c r="P173" s="13"/>
      <c r="Q173" s="13"/>
      <c r="R173" s="300"/>
      <c r="S173" s="13"/>
      <c r="T173" s="13"/>
      <c r="U173" s="300"/>
      <c r="V173" s="13"/>
      <c r="W173" s="13"/>
      <c r="X173" s="300"/>
      <c r="Y173" s="13"/>
      <c r="Z173" s="13"/>
      <c r="AA173" s="300"/>
      <c r="AB173" s="13"/>
      <c r="AC173" s="13"/>
      <c r="AD173" s="300"/>
      <c r="AE173" s="13"/>
      <c r="AF173" s="13"/>
      <c r="AG173" s="300"/>
      <c r="AH173" s="13"/>
      <c r="AI173" s="13"/>
      <c r="AJ173" s="300"/>
      <c r="AK173" s="13"/>
      <c r="AL173" s="301"/>
      <c r="AM173" s="300"/>
      <c r="AN173" s="13"/>
      <c r="AO173" s="301"/>
      <c r="AP173" s="300"/>
    </row>
    <row r="174">
      <c r="A174" s="13"/>
      <c r="B174" s="13"/>
      <c r="C174" s="13"/>
      <c r="D174" s="13"/>
      <c r="E174" s="13"/>
      <c r="F174" s="13"/>
      <c r="G174" s="13"/>
      <c r="H174" s="13"/>
      <c r="I174" s="13"/>
      <c r="J174" s="13"/>
      <c r="K174" s="13"/>
      <c r="L174" s="13"/>
      <c r="M174" s="13"/>
      <c r="N174" s="13"/>
      <c r="O174" s="13"/>
      <c r="P174" s="13"/>
      <c r="Q174" s="13"/>
      <c r="R174" s="300"/>
      <c r="S174" s="13"/>
      <c r="T174" s="13"/>
      <c r="U174" s="300"/>
      <c r="V174" s="13"/>
      <c r="W174" s="13"/>
      <c r="X174" s="300"/>
      <c r="Y174" s="13"/>
      <c r="Z174" s="13"/>
      <c r="AA174" s="300"/>
      <c r="AB174" s="13"/>
      <c r="AC174" s="13"/>
      <c r="AD174" s="300"/>
      <c r="AE174" s="13"/>
      <c r="AF174" s="13"/>
      <c r="AG174" s="300"/>
      <c r="AH174" s="13"/>
      <c r="AI174" s="13"/>
      <c r="AJ174" s="300"/>
      <c r="AK174" s="13"/>
      <c r="AL174" s="301"/>
      <c r="AM174" s="300"/>
      <c r="AN174" s="13"/>
      <c r="AO174" s="301"/>
      <c r="AP174" s="300"/>
    </row>
    <row r="175">
      <c r="A175" s="13"/>
      <c r="B175" s="13"/>
      <c r="C175" s="13"/>
      <c r="D175" s="13"/>
      <c r="E175" s="13"/>
      <c r="F175" s="13"/>
      <c r="G175" s="13"/>
      <c r="H175" s="13"/>
      <c r="I175" s="13"/>
      <c r="J175" s="13"/>
      <c r="K175" s="13"/>
      <c r="L175" s="13"/>
      <c r="M175" s="13"/>
      <c r="N175" s="13"/>
      <c r="O175" s="13"/>
      <c r="P175" s="13"/>
      <c r="Q175" s="13"/>
      <c r="R175" s="300"/>
      <c r="S175" s="13"/>
      <c r="T175" s="13"/>
      <c r="U175" s="300"/>
      <c r="V175" s="13"/>
      <c r="W175" s="13"/>
      <c r="X175" s="300"/>
      <c r="Y175" s="13"/>
      <c r="Z175" s="13"/>
      <c r="AA175" s="300"/>
      <c r="AB175" s="13"/>
      <c r="AC175" s="13"/>
      <c r="AD175" s="300"/>
      <c r="AE175" s="13"/>
      <c r="AF175" s="13"/>
      <c r="AG175" s="300"/>
      <c r="AH175" s="13"/>
      <c r="AI175" s="13"/>
      <c r="AJ175" s="300"/>
      <c r="AK175" s="13"/>
      <c r="AL175" s="301"/>
      <c r="AM175" s="300"/>
      <c r="AN175" s="13"/>
      <c r="AO175" s="301"/>
      <c r="AP175" s="300"/>
    </row>
    <row r="176">
      <c r="A176" s="13"/>
      <c r="B176" s="13"/>
      <c r="C176" s="13"/>
      <c r="D176" s="13"/>
      <c r="E176" s="13"/>
      <c r="F176" s="13"/>
      <c r="G176" s="13"/>
      <c r="H176" s="13"/>
      <c r="I176" s="13"/>
      <c r="J176" s="13"/>
      <c r="K176" s="13"/>
      <c r="L176" s="13"/>
      <c r="M176" s="13"/>
      <c r="N176" s="13"/>
      <c r="O176" s="13"/>
      <c r="P176" s="13"/>
      <c r="Q176" s="13"/>
      <c r="R176" s="300"/>
      <c r="S176" s="13"/>
      <c r="T176" s="13"/>
      <c r="U176" s="300"/>
      <c r="V176" s="13"/>
      <c r="W176" s="13"/>
      <c r="X176" s="300"/>
      <c r="Y176" s="13"/>
      <c r="Z176" s="13"/>
      <c r="AA176" s="300"/>
      <c r="AB176" s="13"/>
      <c r="AC176" s="13"/>
      <c r="AD176" s="300"/>
      <c r="AE176" s="13"/>
      <c r="AF176" s="13"/>
      <c r="AG176" s="300"/>
      <c r="AH176" s="13"/>
      <c r="AI176" s="13"/>
      <c r="AJ176" s="300"/>
      <c r="AK176" s="13"/>
      <c r="AL176" s="301"/>
      <c r="AM176" s="300"/>
      <c r="AN176" s="13"/>
      <c r="AO176" s="301"/>
      <c r="AP176" s="300"/>
    </row>
    <row r="177">
      <c r="A177" s="13"/>
      <c r="B177" s="13"/>
      <c r="C177" s="13"/>
      <c r="D177" s="13"/>
      <c r="E177" s="13"/>
      <c r="F177" s="13"/>
      <c r="G177" s="13"/>
      <c r="H177" s="13"/>
      <c r="I177" s="13"/>
      <c r="J177" s="13"/>
      <c r="K177" s="13"/>
      <c r="L177" s="13"/>
      <c r="M177" s="13"/>
      <c r="N177" s="13"/>
      <c r="O177" s="13"/>
      <c r="P177" s="13"/>
      <c r="Q177" s="13"/>
      <c r="R177" s="300"/>
      <c r="S177" s="13"/>
      <c r="T177" s="13"/>
      <c r="U177" s="300"/>
      <c r="V177" s="13"/>
      <c r="W177" s="13"/>
      <c r="X177" s="300"/>
      <c r="Y177" s="13"/>
      <c r="Z177" s="13"/>
      <c r="AA177" s="300"/>
      <c r="AB177" s="13"/>
      <c r="AC177" s="13"/>
      <c r="AD177" s="300"/>
      <c r="AE177" s="13"/>
      <c r="AF177" s="13"/>
      <c r="AG177" s="300"/>
      <c r="AH177" s="13"/>
      <c r="AI177" s="13"/>
      <c r="AJ177" s="300"/>
      <c r="AK177" s="13"/>
      <c r="AL177" s="301"/>
      <c r="AM177" s="300"/>
      <c r="AN177" s="13"/>
      <c r="AO177" s="301"/>
      <c r="AP177" s="300"/>
    </row>
    <row r="178">
      <c r="A178" s="13"/>
      <c r="B178" s="13"/>
      <c r="C178" s="13"/>
      <c r="D178" s="13"/>
      <c r="E178" s="13"/>
      <c r="F178" s="13"/>
      <c r="G178" s="13"/>
      <c r="H178" s="13"/>
      <c r="I178" s="13"/>
      <c r="J178" s="13"/>
      <c r="K178" s="13"/>
      <c r="L178" s="13"/>
      <c r="M178" s="13"/>
      <c r="N178" s="13"/>
      <c r="O178" s="13"/>
      <c r="P178" s="13"/>
      <c r="Q178" s="13"/>
      <c r="R178" s="300"/>
      <c r="S178" s="13"/>
      <c r="T178" s="13"/>
      <c r="U178" s="300"/>
      <c r="V178" s="13"/>
      <c r="W178" s="13"/>
      <c r="X178" s="300"/>
      <c r="Y178" s="13"/>
      <c r="Z178" s="13"/>
      <c r="AA178" s="300"/>
      <c r="AB178" s="13"/>
      <c r="AC178" s="13"/>
      <c r="AD178" s="300"/>
      <c r="AE178" s="13"/>
      <c r="AF178" s="13"/>
      <c r="AG178" s="300"/>
      <c r="AH178" s="13"/>
      <c r="AI178" s="13"/>
      <c r="AJ178" s="300"/>
      <c r="AK178" s="13"/>
      <c r="AL178" s="301"/>
      <c r="AM178" s="300"/>
      <c r="AN178" s="13"/>
      <c r="AO178" s="301"/>
      <c r="AP178" s="300"/>
    </row>
    <row r="179">
      <c r="A179" s="13"/>
      <c r="B179" s="13"/>
      <c r="C179" s="13"/>
      <c r="D179" s="13"/>
      <c r="E179" s="13"/>
      <c r="F179" s="13"/>
      <c r="G179" s="13"/>
      <c r="H179" s="13"/>
      <c r="I179" s="13"/>
      <c r="J179" s="13"/>
      <c r="K179" s="13"/>
      <c r="L179" s="13"/>
      <c r="M179" s="13"/>
      <c r="N179" s="13"/>
      <c r="O179" s="13"/>
      <c r="P179" s="13"/>
      <c r="Q179" s="13"/>
      <c r="R179" s="300"/>
      <c r="S179" s="13"/>
      <c r="T179" s="13"/>
      <c r="U179" s="300"/>
      <c r="V179" s="13"/>
      <c r="W179" s="13"/>
      <c r="X179" s="300"/>
      <c r="Y179" s="13"/>
      <c r="Z179" s="13"/>
      <c r="AA179" s="300"/>
      <c r="AB179" s="13"/>
      <c r="AC179" s="13"/>
      <c r="AD179" s="300"/>
      <c r="AE179" s="13"/>
      <c r="AF179" s="13"/>
      <c r="AG179" s="300"/>
      <c r="AH179" s="13"/>
      <c r="AI179" s="13"/>
      <c r="AJ179" s="300"/>
      <c r="AK179" s="13"/>
      <c r="AL179" s="301"/>
      <c r="AM179" s="300"/>
      <c r="AN179" s="13"/>
      <c r="AO179" s="301"/>
      <c r="AP179" s="300"/>
    </row>
    <row r="180">
      <c r="A180" s="13"/>
      <c r="B180" s="13"/>
      <c r="C180" s="13"/>
      <c r="D180" s="13"/>
      <c r="E180" s="13"/>
      <c r="F180" s="13"/>
      <c r="G180" s="13"/>
      <c r="H180" s="13"/>
      <c r="I180" s="13"/>
      <c r="J180" s="13"/>
      <c r="K180" s="13"/>
      <c r="L180" s="13"/>
      <c r="M180" s="13"/>
      <c r="N180" s="13"/>
      <c r="O180" s="13"/>
      <c r="P180" s="13"/>
      <c r="Q180" s="13"/>
      <c r="R180" s="300"/>
      <c r="S180" s="13"/>
      <c r="T180" s="13"/>
      <c r="U180" s="300"/>
      <c r="V180" s="13"/>
      <c r="W180" s="13"/>
      <c r="X180" s="300"/>
      <c r="Y180" s="13"/>
      <c r="Z180" s="13"/>
      <c r="AA180" s="300"/>
      <c r="AB180" s="13"/>
      <c r="AC180" s="13"/>
      <c r="AD180" s="300"/>
      <c r="AE180" s="13"/>
      <c r="AF180" s="13"/>
      <c r="AG180" s="300"/>
      <c r="AH180" s="13"/>
      <c r="AI180" s="13"/>
      <c r="AJ180" s="300"/>
      <c r="AK180" s="13"/>
      <c r="AL180" s="301"/>
      <c r="AM180" s="300"/>
      <c r="AN180" s="13"/>
      <c r="AO180" s="301"/>
      <c r="AP180" s="300"/>
    </row>
    <row r="181">
      <c r="A181" s="13"/>
      <c r="B181" s="13"/>
      <c r="C181" s="13"/>
      <c r="D181" s="13"/>
      <c r="E181" s="13"/>
      <c r="F181" s="13"/>
      <c r="G181" s="13"/>
      <c r="H181" s="13"/>
      <c r="I181" s="13"/>
      <c r="J181" s="13"/>
      <c r="K181" s="13"/>
      <c r="L181" s="13"/>
      <c r="M181" s="13"/>
      <c r="N181" s="13"/>
      <c r="O181" s="13"/>
      <c r="P181" s="13"/>
      <c r="Q181" s="13"/>
      <c r="R181" s="300"/>
      <c r="S181" s="13"/>
      <c r="T181" s="13"/>
      <c r="U181" s="300"/>
      <c r="V181" s="13"/>
      <c r="W181" s="13"/>
      <c r="X181" s="300"/>
      <c r="Y181" s="13"/>
      <c r="Z181" s="13"/>
      <c r="AA181" s="300"/>
      <c r="AB181" s="13"/>
      <c r="AC181" s="13"/>
      <c r="AD181" s="300"/>
      <c r="AE181" s="13"/>
      <c r="AF181" s="13"/>
      <c r="AG181" s="300"/>
      <c r="AH181" s="13"/>
      <c r="AI181" s="13"/>
      <c r="AJ181" s="300"/>
      <c r="AK181" s="13"/>
      <c r="AL181" s="301"/>
      <c r="AM181" s="300"/>
      <c r="AN181" s="13"/>
      <c r="AO181" s="301"/>
      <c r="AP181" s="300"/>
    </row>
    <row r="182">
      <c r="A182" s="13"/>
      <c r="B182" s="13"/>
      <c r="C182" s="13"/>
      <c r="D182" s="13"/>
      <c r="E182" s="13"/>
      <c r="F182" s="13"/>
      <c r="G182" s="13"/>
      <c r="H182" s="13"/>
      <c r="I182" s="13"/>
      <c r="J182" s="13"/>
      <c r="K182" s="13"/>
      <c r="L182" s="13"/>
      <c r="M182" s="13"/>
      <c r="N182" s="13"/>
      <c r="O182" s="13"/>
      <c r="P182" s="13"/>
      <c r="Q182" s="13"/>
      <c r="R182" s="300"/>
      <c r="S182" s="13"/>
      <c r="T182" s="13"/>
      <c r="U182" s="300"/>
      <c r="V182" s="13"/>
      <c r="W182" s="13"/>
      <c r="X182" s="300"/>
      <c r="Y182" s="13"/>
      <c r="Z182" s="13"/>
      <c r="AA182" s="300"/>
      <c r="AB182" s="13"/>
      <c r="AC182" s="13"/>
      <c r="AD182" s="300"/>
      <c r="AE182" s="13"/>
      <c r="AF182" s="13"/>
      <c r="AG182" s="300"/>
      <c r="AH182" s="13"/>
      <c r="AI182" s="13"/>
      <c r="AJ182" s="300"/>
      <c r="AK182" s="13"/>
      <c r="AL182" s="301"/>
      <c r="AM182" s="300"/>
      <c r="AN182" s="13"/>
      <c r="AO182" s="301"/>
      <c r="AP182" s="300"/>
    </row>
    <row r="183">
      <c r="A183" s="13"/>
      <c r="B183" s="13"/>
      <c r="C183" s="13"/>
      <c r="D183" s="13"/>
      <c r="E183" s="13"/>
      <c r="F183" s="13"/>
      <c r="G183" s="13"/>
      <c r="H183" s="13"/>
      <c r="I183" s="13"/>
      <c r="J183" s="13"/>
      <c r="K183" s="13"/>
      <c r="L183" s="13"/>
      <c r="M183" s="13"/>
      <c r="N183" s="13"/>
      <c r="O183" s="13"/>
      <c r="P183" s="13"/>
      <c r="Q183" s="13"/>
      <c r="R183" s="300"/>
      <c r="S183" s="13"/>
      <c r="T183" s="13"/>
      <c r="U183" s="300"/>
      <c r="V183" s="13"/>
      <c r="W183" s="13"/>
      <c r="X183" s="300"/>
      <c r="Y183" s="13"/>
      <c r="Z183" s="13"/>
      <c r="AA183" s="300"/>
      <c r="AB183" s="13"/>
      <c r="AC183" s="13"/>
      <c r="AD183" s="300"/>
      <c r="AE183" s="13"/>
      <c r="AF183" s="13"/>
      <c r="AG183" s="300"/>
      <c r="AH183" s="13"/>
      <c r="AI183" s="13"/>
      <c r="AJ183" s="300"/>
      <c r="AK183" s="13"/>
      <c r="AL183" s="301"/>
      <c r="AM183" s="300"/>
      <c r="AN183" s="13"/>
      <c r="AO183" s="301"/>
      <c r="AP183" s="300"/>
    </row>
    <row r="184">
      <c r="A184" s="13"/>
      <c r="B184" s="13"/>
      <c r="C184" s="13"/>
      <c r="D184" s="13"/>
      <c r="E184" s="13"/>
      <c r="F184" s="13"/>
      <c r="G184" s="13"/>
      <c r="H184" s="13"/>
      <c r="I184" s="13"/>
      <c r="J184" s="13"/>
      <c r="K184" s="13"/>
      <c r="L184" s="13"/>
      <c r="M184" s="13"/>
      <c r="N184" s="13"/>
      <c r="O184" s="13"/>
      <c r="P184" s="13"/>
      <c r="Q184" s="13"/>
      <c r="R184" s="300"/>
      <c r="S184" s="13"/>
      <c r="T184" s="13"/>
      <c r="U184" s="300"/>
      <c r="V184" s="13"/>
      <c r="W184" s="13"/>
      <c r="X184" s="300"/>
      <c r="Y184" s="13"/>
      <c r="Z184" s="13"/>
      <c r="AA184" s="300"/>
      <c r="AB184" s="13"/>
      <c r="AC184" s="13"/>
      <c r="AD184" s="300"/>
      <c r="AE184" s="13"/>
      <c r="AF184" s="13"/>
      <c r="AG184" s="300"/>
      <c r="AH184" s="13"/>
      <c r="AI184" s="13"/>
      <c r="AJ184" s="300"/>
      <c r="AK184" s="13"/>
      <c r="AL184" s="301"/>
      <c r="AM184" s="300"/>
      <c r="AN184" s="13"/>
      <c r="AO184" s="301"/>
      <c r="AP184" s="300"/>
    </row>
    <row r="185">
      <c r="A185" s="13"/>
      <c r="B185" s="13"/>
      <c r="C185" s="13"/>
      <c r="D185" s="13"/>
      <c r="E185" s="13"/>
      <c r="F185" s="13"/>
      <c r="G185" s="13"/>
      <c r="H185" s="13"/>
      <c r="I185" s="13"/>
      <c r="J185" s="13"/>
      <c r="K185" s="13"/>
      <c r="L185" s="13"/>
      <c r="M185" s="13"/>
      <c r="N185" s="13"/>
      <c r="O185" s="13"/>
      <c r="P185" s="13"/>
      <c r="Q185" s="13"/>
      <c r="R185" s="300"/>
      <c r="S185" s="13"/>
      <c r="T185" s="13"/>
      <c r="U185" s="300"/>
      <c r="V185" s="13"/>
      <c r="W185" s="13"/>
      <c r="X185" s="300"/>
      <c r="Y185" s="13"/>
      <c r="Z185" s="13"/>
      <c r="AA185" s="300"/>
      <c r="AB185" s="13"/>
      <c r="AC185" s="13"/>
      <c r="AD185" s="300"/>
      <c r="AE185" s="13"/>
      <c r="AF185" s="13"/>
      <c r="AG185" s="300"/>
      <c r="AH185" s="13"/>
      <c r="AI185" s="13"/>
      <c r="AJ185" s="300"/>
      <c r="AK185" s="13"/>
      <c r="AL185" s="301"/>
      <c r="AM185" s="300"/>
      <c r="AN185" s="13"/>
      <c r="AO185" s="301"/>
      <c r="AP185" s="300"/>
    </row>
    <row r="186">
      <c r="A186" s="13"/>
      <c r="B186" s="13"/>
      <c r="C186" s="13"/>
      <c r="D186" s="13"/>
      <c r="E186" s="13"/>
      <c r="F186" s="13"/>
      <c r="G186" s="13"/>
      <c r="H186" s="13"/>
      <c r="I186" s="13"/>
      <c r="J186" s="13"/>
      <c r="K186" s="13"/>
      <c r="L186" s="13"/>
      <c r="M186" s="13"/>
      <c r="N186" s="13"/>
      <c r="O186" s="13"/>
      <c r="P186" s="13"/>
      <c r="Q186" s="13"/>
      <c r="R186" s="300"/>
      <c r="S186" s="13"/>
      <c r="T186" s="13"/>
      <c r="U186" s="300"/>
      <c r="V186" s="13"/>
      <c r="W186" s="13"/>
      <c r="X186" s="300"/>
      <c r="Y186" s="13"/>
      <c r="Z186" s="13"/>
      <c r="AA186" s="300"/>
      <c r="AB186" s="13"/>
      <c r="AC186" s="13"/>
      <c r="AD186" s="300"/>
      <c r="AE186" s="13"/>
      <c r="AF186" s="13"/>
      <c r="AG186" s="300"/>
      <c r="AH186" s="13"/>
      <c r="AI186" s="13"/>
      <c r="AJ186" s="300"/>
      <c r="AK186" s="13"/>
      <c r="AL186" s="301"/>
      <c r="AM186" s="300"/>
      <c r="AN186" s="13"/>
      <c r="AO186" s="301"/>
      <c r="AP186" s="300"/>
    </row>
    <row r="187">
      <c r="A187" s="13"/>
      <c r="B187" s="13"/>
      <c r="C187" s="13"/>
      <c r="D187" s="13"/>
      <c r="E187" s="13"/>
      <c r="F187" s="13"/>
      <c r="G187" s="13"/>
      <c r="H187" s="13"/>
      <c r="I187" s="13"/>
      <c r="J187" s="13"/>
      <c r="K187" s="13"/>
      <c r="L187" s="13"/>
      <c r="M187" s="13"/>
      <c r="N187" s="13"/>
      <c r="O187" s="13"/>
      <c r="P187" s="13"/>
      <c r="Q187" s="13"/>
      <c r="R187" s="300"/>
      <c r="S187" s="13"/>
      <c r="T187" s="13"/>
      <c r="U187" s="300"/>
      <c r="V187" s="13"/>
      <c r="W187" s="13"/>
      <c r="X187" s="300"/>
      <c r="Y187" s="13"/>
      <c r="Z187" s="13"/>
      <c r="AA187" s="300"/>
      <c r="AB187" s="13"/>
      <c r="AC187" s="13"/>
      <c r="AD187" s="300"/>
      <c r="AE187" s="13"/>
      <c r="AF187" s="13"/>
      <c r="AG187" s="300"/>
      <c r="AH187" s="13"/>
      <c r="AI187" s="13"/>
      <c r="AJ187" s="300"/>
      <c r="AK187" s="13"/>
      <c r="AL187" s="301"/>
      <c r="AM187" s="300"/>
      <c r="AN187" s="13"/>
      <c r="AO187" s="301"/>
      <c r="AP187" s="300"/>
    </row>
    <row r="188">
      <c r="A188" s="13"/>
      <c r="B188" s="13"/>
      <c r="C188" s="13"/>
      <c r="D188" s="13"/>
      <c r="E188" s="13"/>
      <c r="F188" s="13"/>
      <c r="G188" s="13"/>
      <c r="H188" s="13"/>
      <c r="I188" s="13"/>
      <c r="J188" s="13"/>
      <c r="K188" s="13"/>
      <c r="L188" s="13"/>
      <c r="M188" s="13"/>
      <c r="N188" s="13"/>
      <c r="O188" s="13"/>
      <c r="P188" s="13"/>
      <c r="Q188" s="13"/>
      <c r="R188" s="300"/>
      <c r="S188" s="13"/>
      <c r="T188" s="13"/>
      <c r="U188" s="300"/>
      <c r="V188" s="13"/>
      <c r="W188" s="13"/>
      <c r="X188" s="300"/>
      <c r="Y188" s="13"/>
      <c r="Z188" s="13"/>
      <c r="AA188" s="300"/>
      <c r="AB188" s="13"/>
      <c r="AC188" s="13"/>
      <c r="AD188" s="300"/>
      <c r="AE188" s="13"/>
      <c r="AF188" s="13"/>
      <c r="AG188" s="300"/>
      <c r="AH188" s="13"/>
      <c r="AI188" s="13"/>
      <c r="AJ188" s="300"/>
      <c r="AK188" s="13"/>
      <c r="AL188" s="301"/>
      <c r="AM188" s="300"/>
      <c r="AN188" s="13"/>
      <c r="AO188" s="301"/>
      <c r="AP188" s="300"/>
    </row>
    <row r="189">
      <c r="A189" s="13"/>
      <c r="B189" s="13"/>
      <c r="C189" s="13"/>
      <c r="D189" s="13"/>
      <c r="E189" s="13"/>
      <c r="F189" s="13"/>
      <c r="G189" s="13"/>
      <c r="H189" s="13"/>
      <c r="I189" s="13"/>
      <c r="J189" s="13"/>
      <c r="K189" s="13"/>
      <c r="L189" s="13"/>
      <c r="M189" s="13"/>
      <c r="N189" s="13"/>
      <c r="O189" s="13"/>
      <c r="P189" s="13"/>
      <c r="Q189" s="13"/>
      <c r="R189" s="300"/>
      <c r="S189" s="13"/>
      <c r="T189" s="13"/>
      <c r="U189" s="300"/>
      <c r="V189" s="13"/>
      <c r="W189" s="13"/>
      <c r="X189" s="300"/>
      <c r="Y189" s="13"/>
      <c r="Z189" s="13"/>
      <c r="AA189" s="300"/>
      <c r="AB189" s="13"/>
      <c r="AC189" s="13"/>
      <c r="AD189" s="300"/>
      <c r="AE189" s="13"/>
      <c r="AF189" s="13"/>
      <c r="AG189" s="300"/>
      <c r="AH189" s="13"/>
      <c r="AI189" s="13"/>
      <c r="AJ189" s="300"/>
      <c r="AK189" s="13"/>
      <c r="AL189" s="301"/>
      <c r="AM189" s="300"/>
      <c r="AN189" s="13"/>
      <c r="AO189" s="301"/>
      <c r="AP189" s="300"/>
    </row>
    <row r="190">
      <c r="A190" s="13"/>
      <c r="B190" s="13"/>
      <c r="C190" s="13"/>
      <c r="D190" s="13"/>
      <c r="E190" s="13"/>
      <c r="F190" s="13"/>
      <c r="G190" s="13"/>
      <c r="H190" s="13"/>
      <c r="I190" s="13"/>
      <c r="J190" s="13"/>
      <c r="K190" s="13"/>
      <c r="L190" s="13"/>
      <c r="M190" s="13"/>
      <c r="N190" s="13"/>
      <c r="O190" s="13"/>
      <c r="P190" s="13"/>
      <c r="Q190" s="13"/>
      <c r="R190" s="300"/>
      <c r="S190" s="13"/>
      <c r="T190" s="13"/>
      <c r="U190" s="300"/>
      <c r="V190" s="13"/>
      <c r="W190" s="13"/>
      <c r="X190" s="300"/>
      <c r="Y190" s="13"/>
      <c r="Z190" s="13"/>
      <c r="AA190" s="300"/>
      <c r="AB190" s="13"/>
      <c r="AC190" s="13"/>
      <c r="AD190" s="300"/>
      <c r="AE190" s="13"/>
      <c r="AF190" s="13"/>
      <c r="AG190" s="300"/>
      <c r="AH190" s="13"/>
      <c r="AI190" s="13"/>
      <c r="AJ190" s="300"/>
      <c r="AK190" s="13"/>
      <c r="AL190" s="301"/>
      <c r="AM190" s="300"/>
      <c r="AN190" s="13"/>
      <c r="AO190" s="301"/>
      <c r="AP190" s="300"/>
    </row>
    <row r="191">
      <c r="A191" s="13"/>
      <c r="B191" s="13"/>
      <c r="C191" s="13"/>
      <c r="D191" s="13"/>
      <c r="E191" s="13"/>
      <c r="F191" s="13"/>
      <c r="G191" s="13"/>
      <c r="H191" s="13"/>
      <c r="I191" s="13"/>
      <c r="J191" s="13"/>
      <c r="K191" s="13"/>
      <c r="L191" s="13"/>
      <c r="M191" s="13"/>
      <c r="N191" s="13"/>
      <c r="O191" s="13"/>
      <c r="P191" s="13"/>
      <c r="Q191" s="13"/>
      <c r="R191" s="300"/>
      <c r="S191" s="13"/>
      <c r="T191" s="13"/>
      <c r="U191" s="300"/>
      <c r="V191" s="13"/>
      <c r="W191" s="13"/>
      <c r="X191" s="300"/>
      <c r="Y191" s="13"/>
      <c r="Z191" s="13"/>
      <c r="AA191" s="300"/>
      <c r="AB191" s="13"/>
      <c r="AC191" s="13"/>
      <c r="AD191" s="300"/>
      <c r="AE191" s="13"/>
      <c r="AF191" s="13"/>
      <c r="AG191" s="300"/>
      <c r="AH191" s="13"/>
      <c r="AI191" s="13"/>
      <c r="AJ191" s="300"/>
      <c r="AK191" s="13"/>
      <c r="AL191" s="301"/>
      <c r="AM191" s="300"/>
      <c r="AN191" s="13"/>
      <c r="AO191" s="301"/>
      <c r="AP191" s="300"/>
    </row>
    <row r="192">
      <c r="A192" s="13"/>
      <c r="B192" s="13"/>
      <c r="C192" s="13"/>
      <c r="D192" s="13"/>
      <c r="E192" s="13"/>
      <c r="F192" s="13"/>
      <c r="G192" s="13"/>
      <c r="H192" s="13"/>
      <c r="I192" s="13"/>
      <c r="J192" s="13"/>
      <c r="K192" s="13"/>
      <c r="L192" s="13"/>
      <c r="M192" s="13"/>
      <c r="N192" s="13"/>
      <c r="O192" s="13"/>
      <c r="P192" s="13"/>
      <c r="Q192" s="13"/>
      <c r="R192" s="300"/>
      <c r="S192" s="13"/>
      <c r="T192" s="13"/>
      <c r="U192" s="300"/>
      <c r="V192" s="13"/>
      <c r="W192" s="13"/>
      <c r="X192" s="300"/>
      <c r="Y192" s="13"/>
      <c r="Z192" s="13"/>
      <c r="AA192" s="300"/>
      <c r="AB192" s="13"/>
      <c r="AC192" s="13"/>
      <c r="AD192" s="300"/>
      <c r="AE192" s="13"/>
      <c r="AF192" s="13"/>
      <c r="AG192" s="300"/>
      <c r="AH192" s="13"/>
      <c r="AI192" s="13"/>
      <c r="AJ192" s="300"/>
      <c r="AK192" s="13"/>
      <c r="AL192" s="301"/>
      <c r="AM192" s="300"/>
      <c r="AN192" s="13"/>
      <c r="AO192" s="301"/>
      <c r="AP192" s="300"/>
    </row>
    <row r="193">
      <c r="A193" s="13"/>
      <c r="B193" s="13"/>
      <c r="C193" s="13"/>
      <c r="D193" s="13"/>
      <c r="E193" s="13"/>
      <c r="F193" s="13"/>
      <c r="G193" s="13"/>
      <c r="H193" s="13"/>
      <c r="I193" s="13"/>
      <c r="J193" s="13"/>
      <c r="K193" s="13"/>
      <c r="L193" s="13"/>
      <c r="M193" s="13"/>
      <c r="N193" s="13"/>
      <c r="O193" s="13"/>
      <c r="P193" s="13"/>
      <c r="Q193" s="13"/>
      <c r="R193" s="300"/>
      <c r="S193" s="13"/>
      <c r="T193" s="13"/>
      <c r="U193" s="300"/>
      <c r="V193" s="13"/>
      <c r="W193" s="13"/>
      <c r="X193" s="300"/>
      <c r="Y193" s="13"/>
      <c r="Z193" s="13"/>
      <c r="AA193" s="300"/>
      <c r="AB193" s="13"/>
      <c r="AC193" s="13"/>
      <c r="AD193" s="300"/>
      <c r="AE193" s="13"/>
      <c r="AF193" s="13"/>
      <c r="AG193" s="300"/>
      <c r="AH193" s="13"/>
      <c r="AI193" s="13"/>
      <c r="AJ193" s="300"/>
      <c r="AK193" s="13"/>
      <c r="AL193" s="301"/>
      <c r="AM193" s="300"/>
      <c r="AN193" s="13"/>
      <c r="AO193" s="301"/>
      <c r="AP193" s="300"/>
    </row>
    <row r="194">
      <c r="A194" s="13"/>
      <c r="B194" s="13"/>
      <c r="C194" s="13"/>
      <c r="D194" s="13"/>
      <c r="E194" s="13"/>
      <c r="F194" s="13"/>
      <c r="G194" s="13"/>
      <c r="H194" s="13"/>
      <c r="I194" s="13"/>
      <c r="J194" s="13"/>
      <c r="K194" s="13"/>
      <c r="L194" s="13"/>
      <c r="M194" s="13"/>
      <c r="N194" s="13"/>
      <c r="O194" s="13"/>
      <c r="P194" s="13"/>
      <c r="Q194" s="13"/>
      <c r="R194" s="300"/>
      <c r="S194" s="13"/>
      <c r="T194" s="13"/>
      <c r="U194" s="300"/>
      <c r="V194" s="13"/>
      <c r="W194" s="13"/>
      <c r="X194" s="300"/>
      <c r="Y194" s="13"/>
      <c r="Z194" s="13"/>
      <c r="AA194" s="300"/>
      <c r="AB194" s="13"/>
      <c r="AC194" s="13"/>
      <c r="AD194" s="300"/>
      <c r="AE194" s="13"/>
      <c r="AF194" s="13"/>
      <c r="AG194" s="300"/>
      <c r="AH194" s="13"/>
      <c r="AI194" s="13"/>
      <c r="AJ194" s="300"/>
      <c r="AK194" s="13"/>
      <c r="AL194" s="301"/>
      <c r="AM194" s="300"/>
      <c r="AN194" s="13"/>
      <c r="AO194" s="301"/>
      <c r="AP194" s="300"/>
    </row>
    <row r="195">
      <c r="A195" s="13"/>
      <c r="B195" s="13"/>
      <c r="C195" s="13"/>
      <c r="D195" s="13"/>
      <c r="E195" s="13"/>
      <c r="F195" s="13"/>
      <c r="G195" s="13"/>
      <c r="H195" s="13"/>
      <c r="I195" s="13"/>
      <c r="J195" s="13"/>
      <c r="K195" s="13"/>
      <c r="L195" s="13"/>
      <c r="M195" s="13"/>
      <c r="N195" s="13"/>
      <c r="O195" s="13"/>
      <c r="P195" s="13"/>
      <c r="Q195" s="13"/>
      <c r="R195" s="300"/>
      <c r="S195" s="13"/>
      <c r="T195" s="13"/>
      <c r="U195" s="300"/>
      <c r="V195" s="13"/>
      <c r="W195" s="13"/>
      <c r="X195" s="300"/>
      <c r="Y195" s="13"/>
      <c r="Z195" s="13"/>
      <c r="AA195" s="300"/>
      <c r="AB195" s="13"/>
      <c r="AC195" s="13"/>
      <c r="AD195" s="300"/>
      <c r="AE195" s="13"/>
      <c r="AF195" s="13"/>
      <c r="AG195" s="300"/>
      <c r="AH195" s="13"/>
      <c r="AI195" s="13"/>
      <c r="AJ195" s="300"/>
      <c r="AK195" s="13"/>
      <c r="AL195" s="301"/>
      <c r="AM195" s="300"/>
      <c r="AN195" s="13"/>
      <c r="AO195" s="301"/>
      <c r="AP195" s="300"/>
    </row>
    <row r="196">
      <c r="A196" s="13"/>
      <c r="B196" s="13"/>
      <c r="C196" s="13"/>
      <c r="D196" s="13"/>
      <c r="E196" s="13"/>
      <c r="F196" s="13"/>
      <c r="G196" s="13"/>
      <c r="H196" s="13"/>
      <c r="I196" s="13"/>
      <c r="J196" s="13"/>
      <c r="K196" s="13"/>
      <c r="L196" s="13"/>
      <c r="M196" s="13"/>
      <c r="N196" s="13"/>
      <c r="O196" s="13"/>
      <c r="P196" s="13"/>
      <c r="Q196" s="13"/>
      <c r="R196" s="300"/>
      <c r="S196" s="13"/>
      <c r="T196" s="13"/>
      <c r="U196" s="300"/>
      <c r="V196" s="13"/>
      <c r="W196" s="13"/>
      <c r="X196" s="300"/>
      <c r="Y196" s="13"/>
      <c r="Z196" s="13"/>
      <c r="AA196" s="300"/>
      <c r="AB196" s="13"/>
      <c r="AC196" s="13"/>
      <c r="AD196" s="300"/>
      <c r="AE196" s="13"/>
      <c r="AF196" s="13"/>
      <c r="AG196" s="300"/>
      <c r="AH196" s="13"/>
      <c r="AI196" s="13"/>
      <c r="AJ196" s="300"/>
      <c r="AK196" s="13"/>
      <c r="AL196" s="301"/>
      <c r="AM196" s="300"/>
      <c r="AN196" s="13"/>
      <c r="AO196" s="301"/>
      <c r="AP196" s="300"/>
    </row>
    <row r="197">
      <c r="A197" s="13"/>
      <c r="B197" s="13"/>
      <c r="C197" s="13"/>
      <c r="D197" s="13"/>
      <c r="E197" s="13"/>
      <c r="F197" s="13"/>
      <c r="G197" s="13"/>
      <c r="H197" s="13"/>
      <c r="I197" s="13"/>
      <c r="J197" s="13"/>
      <c r="K197" s="13"/>
      <c r="L197" s="13"/>
      <c r="M197" s="13"/>
      <c r="N197" s="13"/>
      <c r="O197" s="13"/>
      <c r="P197" s="13"/>
      <c r="Q197" s="13"/>
      <c r="R197" s="300"/>
      <c r="S197" s="13"/>
      <c r="T197" s="13"/>
      <c r="U197" s="300"/>
      <c r="V197" s="13"/>
      <c r="W197" s="13"/>
      <c r="X197" s="300"/>
      <c r="Y197" s="13"/>
      <c r="Z197" s="13"/>
      <c r="AA197" s="300"/>
      <c r="AB197" s="13"/>
      <c r="AC197" s="13"/>
      <c r="AD197" s="300"/>
      <c r="AE197" s="13"/>
      <c r="AF197" s="13"/>
      <c r="AG197" s="300"/>
      <c r="AH197" s="13"/>
      <c r="AI197" s="13"/>
      <c r="AJ197" s="300"/>
      <c r="AK197" s="13"/>
      <c r="AL197" s="301"/>
      <c r="AM197" s="300"/>
      <c r="AN197" s="13"/>
      <c r="AO197" s="301"/>
      <c r="AP197" s="300"/>
    </row>
    <row r="198">
      <c r="A198" s="13"/>
      <c r="B198" s="13"/>
      <c r="C198" s="13"/>
      <c r="D198" s="13"/>
      <c r="E198" s="13"/>
      <c r="F198" s="13"/>
      <c r="G198" s="13"/>
      <c r="H198" s="13"/>
      <c r="I198" s="13"/>
      <c r="J198" s="13"/>
      <c r="K198" s="13"/>
      <c r="L198" s="13"/>
      <c r="M198" s="13"/>
      <c r="N198" s="13"/>
      <c r="O198" s="13"/>
      <c r="P198" s="13"/>
      <c r="Q198" s="13"/>
      <c r="R198" s="300"/>
      <c r="S198" s="13"/>
      <c r="T198" s="13"/>
      <c r="U198" s="300"/>
      <c r="V198" s="13"/>
      <c r="W198" s="13"/>
      <c r="X198" s="300"/>
      <c r="Y198" s="13"/>
      <c r="Z198" s="13"/>
      <c r="AA198" s="300"/>
      <c r="AB198" s="13"/>
      <c r="AC198" s="13"/>
      <c r="AD198" s="300"/>
      <c r="AE198" s="13"/>
      <c r="AF198" s="13"/>
      <c r="AG198" s="300"/>
      <c r="AH198" s="13"/>
      <c r="AI198" s="13"/>
      <c r="AJ198" s="300"/>
      <c r="AK198" s="13"/>
      <c r="AL198" s="301"/>
      <c r="AM198" s="300"/>
      <c r="AN198" s="13"/>
      <c r="AO198" s="301"/>
      <c r="AP198" s="300"/>
    </row>
    <row r="199">
      <c r="A199" s="13"/>
      <c r="B199" s="13"/>
      <c r="C199" s="13"/>
      <c r="D199" s="13"/>
      <c r="E199" s="13"/>
      <c r="F199" s="13"/>
      <c r="G199" s="13"/>
      <c r="H199" s="13"/>
      <c r="I199" s="13"/>
      <c r="J199" s="13"/>
      <c r="K199" s="13"/>
      <c r="L199" s="13"/>
      <c r="M199" s="13"/>
      <c r="N199" s="13"/>
      <c r="O199" s="13"/>
      <c r="P199" s="13"/>
      <c r="Q199" s="13"/>
      <c r="R199" s="300"/>
      <c r="S199" s="13"/>
      <c r="T199" s="13"/>
      <c r="U199" s="300"/>
      <c r="V199" s="13"/>
      <c r="W199" s="13"/>
      <c r="X199" s="300"/>
      <c r="Y199" s="13"/>
      <c r="Z199" s="13"/>
      <c r="AA199" s="300"/>
      <c r="AB199" s="13"/>
      <c r="AC199" s="13"/>
      <c r="AD199" s="300"/>
      <c r="AE199" s="13"/>
      <c r="AF199" s="13"/>
      <c r="AG199" s="300"/>
      <c r="AH199" s="13"/>
      <c r="AI199" s="13"/>
      <c r="AJ199" s="300"/>
      <c r="AK199" s="13"/>
      <c r="AL199" s="301"/>
      <c r="AM199" s="300"/>
      <c r="AN199" s="13"/>
      <c r="AO199" s="301"/>
      <c r="AP199" s="300"/>
    </row>
    <row r="200">
      <c r="A200" s="13"/>
      <c r="B200" s="13"/>
      <c r="C200" s="13"/>
      <c r="D200" s="13"/>
      <c r="E200" s="13"/>
      <c r="F200" s="13"/>
      <c r="G200" s="13"/>
      <c r="H200" s="13"/>
      <c r="I200" s="13"/>
      <c r="J200" s="13"/>
      <c r="K200" s="13"/>
      <c r="L200" s="13"/>
      <c r="M200" s="13"/>
      <c r="N200" s="13"/>
      <c r="O200" s="13"/>
      <c r="P200" s="13"/>
      <c r="Q200" s="13"/>
      <c r="R200" s="300"/>
      <c r="S200" s="13"/>
      <c r="T200" s="13"/>
      <c r="U200" s="300"/>
      <c r="V200" s="13"/>
      <c r="W200" s="13"/>
      <c r="X200" s="300"/>
      <c r="Y200" s="13"/>
      <c r="Z200" s="13"/>
      <c r="AA200" s="300"/>
      <c r="AB200" s="13"/>
      <c r="AC200" s="13"/>
      <c r="AD200" s="300"/>
      <c r="AE200" s="13"/>
      <c r="AF200" s="13"/>
      <c r="AG200" s="300"/>
      <c r="AH200" s="13"/>
      <c r="AI200" s="13"/>
      <c r="AJ200" s="300"/>
      <c r="AK200" s="13"/>
      <c r="AL200" s="301"/>
      <c r="AM200" s="300"/>
      <c r="AN200" s="13"/>
      <c r="AO200" s="301"/>
      <c r="AP200" s="300"/>
    </row>
    <row r="201">
      <c r="A201" s="13"/>
      <c r="B201" s="13"/>
      <c r="C201" s="13"/>
      <c r="D201" s="13"/>
      <c r="E201" s="13"/>
      <c r="F201" s="13"/>
      <c r="G201" s="13"/>
      <c r="H201" s="13"/>
      <c r="I201" s="13"/>
      <c r="J201" s="13"/>
      <c r="K201" s="13"/>
      <c r="L201" s="13"/>
      <c r="M201" s="13"/>
      <c r="N201" s="13"/>
      <c r="O201" s="13"/>
      <c r="P201" s="13"/>
      <c r="Q201" s="13"/>
      <c r="R201" s="300"/>
      <c r="S201" s="13"/>
      <c r="T201" s="13"/>
      <c r="U201" s="300"/>
      <c r="V201" s="13"/>
      <c r="W201" s="13"/>
      <c r="X201" s="300"/>
      <c r="Y201" s="13"/>
      <c r="Z201" s="13"/>
      <c r="AA201" s="300"/>
      <c r="AB201" s="13"/>
      <c r="AC201" s="13"/>
      <c r="AD201" s="300"/>
      <c r="AE201" s="13"/>
      <c r="AF201" s="13"/>
      <c r="AG201" s="300"/>
      <c r="AH201" s="13"/>
      <c r="AI201" s="13"/>
      <c r="AJ201" s="300"/>
      <c r="AK201" s="13"/>
      <c r="AL201" s="301"/>
      <c r="AM201" s="300"/>
      <c r="AN201" s="13"/>
      <c r="AO201" s="301"/>
      <c r="AP201" s="300"/>
    </row>
    <row r="202">
      <c r="A202" s="13"/>
      <c r="B202" s="13"/>
      <c r="C202" s="13"/>
      <c r="D202" s="13"/>
      <c r="E202" s="13"/>
      <c r="F202" s="13"/>
      <c r="G202" s="13"/>
      <c r="H202" s="13"/>
      <c r="I202" s="13"/>
      <c r="J202" s="13"/>
      <c r="K202" s="13"/>
      <c r="L202" s="13"/>
      <c r="M202" s="13"/>
      <c r="N202" s="13"/>
      <c r="O202" s="13"/>
      <c r="P202" s="13"/>
      <c r="Q202" s="13"/>
      <c r="R202" s="300"/>
      <c r="S202" s="13"/>
      <c r="T202" s="13"/>
      <c r="U202" s="300"/>
      <c r="V202" s="13"/>
      <c r="W202" s="13"/>
      <c r="X202" s="300"/>
      <c r="Y202" s="13"/>
      <c r="Z202" s="13"/>
      <c r="AA202" s="300"/>
      <c r="AB202" s="13"/>
      <c r="AC202" s="13"/>
      <c r="AD202" s="300"/>
      <c r="AE202" s="13"/>
      <c r="AF202" s="13"/>
      <c r="AG202" s="300"/>
      <c r="AH202" s="13"/>
      <c r="AI202" s="13"/>
      <c r="AJ202" s="300"/>
      <c r="AK202" s="13"/>
      <c r="AL202" s="301"/>
      <c r="AM202" s="300"/>
      <c r="AN202" s="13"/>
      <c r="AO202" s="301"/>
      <c r="AP202" s="300"/>
    </row>
    <row r="203">
      <c r="A203" s="13"/>
      <c r="B203" s="13"/>
      <c r="C203" s="13"/>
      <c r="D203" s="13"/>
      <c r="E203" s="13"/>
      <c r="F203" s="13"/>
      <c r="G203" s="13"/>
      <c r="H203" s="13"/>
      <c r="I203" s="13"/>
      <c r="J203" s="13"/>
      <c r="K203" s="13"/>
      <c r="L203" s="13"/>
      <c r="M203" s="13"/>
      <c r="N203" s="13"/>
      <c r="O203" s="13"/>
      <c r="P203" s="13"/>
      <c r="Q203" s="13"/>
      <c r="R203" s="300"/>
      <c r="S203" s="13"/>
      <c r="T203" s="13"/>
      <c r="U203" s="300"/>
      <c r="V203" s="13"/>
      <c r="W203" s="13"/>
      <c r="X203" s="300"/>
      <c r="Y203" s="13"/>
      <c r="Z203" s="13"/>
      <c r="AA203" s="300"/>
      <c r="AB203" s="13"/>
      <c r="AC203" s="13"/>
      <c r="AD203" s="300"/>
      <c r="AE203" s="13"/>
      <c r="AF203" s="13"/>
      <c r="AG203" s="300"/>
      <c r="AH203" s="13"/>
      <c r="AI203" s="13"/>
      <c r="AJ203" s="300"/>
      <c r="AK203" s="13"/>
      <c r="AL203" s="301"/>
      <c r="AM203" s="300"/>
      <c r="AN203" s="13"/>
      <c r="AO203" s="301"/>
      <c r="AP203" s="300"/>
    </row>
    <row r="204">
      <c r="A204" s="13"/>
      <c r="B204" s="13"/>
      <c r="C204" s="13"/>
      <c r="D204" s="13"/>
      <c r="E204" s="13"/>
      <c r="F204" s="13"/>
      <c r="G204" s="13"/>
      <c r="H204" s="13"/>
      <c r="I204" s="13"/>
      <c r="J204" s="13"/>
      <c r="K204" s="13"/>
      <c r="L204" s="13"/>
      <c r="M204" s="13"/>
      <c r="N204" s="13"/>
      <c r="O204" s="13"/>
      <c r="P204" s="13"/>
      <c r="Q204" s="13"/>
      <c r="R204" s="300"/>
      <c r="S204" s="13"/>
      <c r="T204" s="13"/>
      <c r="U204" s="300"/>
      <c r="V204" s="13"/>
      <c r="W204" s="13"/>
      <c r="X204" s="300"/>
      <c r="Y204" s="13"/>
      <c r="Z204" s="13"/>
      <c r="AA204" s="300"/>
      <c r="AB204" s="13"/>
      <c r="AC204" s="13"/>
      <c r="AD204" s="300"/>
      <c r="AE204" s="13"/>
      <c r="AF204" s="13"/>
      <c r="AG204" s="300"/>
      <c r="AH204" s="13"/>
      <c r="AI204" s="13"/>
      <c r="AJ204" s="300"/>
      <c r="AK204" s="13"/>
      <c r="AL204" s="301"/>
      <c r="AM204" s="300"/>
      <c r="AN204" s="13"/>
      <c r="AO204" s="301"/>
      <c r="AP204" s="300"/>
    </row>
    <row r="205">
      <c r="A205" s="13"/>
      <c r="B205" s="13"/>
      <c r="C205" s="13"/>
      <c r="D205" s="13"/>
      <c r="E205" s="13"/>
      <c r="F205" s="13"/>
      <c r="G205" s="13"/>
      <c r="H205" s="13"/>
      <c r="I205" s="13"/>
      <c r="J205" s="13"/>
      <c r="K205" s="13"/>
      <c r="L205" s="13"/>
      <c r="M205" s="13"/>
      <c r="N205" s="13"/>
      <c r="O205" s="13"/>
      <c r="P205" s="13"/>
      <c r="Q205" s="13"/>
      <c r="R205" s="300"/>
      <c r="S205" s="13"/>
      <c r="T205" s="13"/>
      <c r="U205" s="300"/>
      <c r="V205" s="13"/>
      <c r="W205" s="13"/>
      <c r="X205" s="300"/>
      <c r="Y205" s="13"/>
      <c r="Z205" s="13"/>
      <c r="AA205" s="300"/>
      <c r="AB205" s="13"/>
      <c r="AC205" s="13"/>
      <c r="AD205" s="300"/>
      <c r="AE205" s="13"/>
      <c r="AF205" s="13"/>
      <c r="AG205" s="300"/>
      <c r="AH205" s="13"/>
      <c r="AI205" s="13"/>
      <c r="AJ205" s="300"/>
      <c r="AK205" s="13"/>
      <c r="AL205" s="301"/>
      <c r="AM205" s="300"/>
      <c r="AN205" s="13"/>
      <c r="AO205" s="301"/>
      <c r="AP205" s="300"/>
    </row>
    <row r="206">
      <c r="A206" s="13"/>
      <c r="B206" s="13"/>
      <c r="C206" s="13"/>
      <c r="D206" s="13"/>
      <c r="E206" s="13"/>
      <c r="F206" s="13"/>
      <c r="G206" s="13"/>
      <c r="H206" s="13"/>
      <c r="I206" s="13"/>
      <c r="J206" s="13"/>
      <c r="K206" s="13"/>
      <c r="L206" s="13"/>
      <c r="M206" s="13"/>
      <c r="N206" s="13"/>
      <c r="O206" s="13"/>
      <c r="P206" s="13"/>
      <c r="Q206" s="13"/>
      <c r="R206" s="300"/>
      <c r="S206" s="13"/>
      <c r="T206" s="13"/>
      <c r="U206" s="300"/>
      <c r="V206" s="13"/>
      <c r="W206" s="13"/>
      <c r="X206" s="300"/>
      <c r="Y206" s="13"/>
      <c r="Z206" s="13"/>
      <c r="AA206" s="300"/>
      <c r="AB206" s="13"/>
      <c r="AC206" s="13"/>
      <c r="AD206" s="300"/>
      <c r="AE206" s="13"/>
      <c r="AF206" s="13"/>
      <c r="AG206" s="300"/>
      <c r="AH206" s="13"/>
      <c r="AI206" s="13"/>
      <c r="AJ206" s="300"/>
      <c r="AK206" s="13"/>
      <c r="AL206" s="301"/>
      <c r="AM206" s="300"/>
      <c r="AN206" s="13"/>
      <c r="AO206" s="301"/>
      <c r="AP206" s="300"/>
    </row>
    <row r="207">
      <c r="A207" s="13"/>
      <c r="B207" s="13"/>
      <c r="C207" s="13"/>
      <c r="D207" s="13"/>
      <c r="E207" s="13"/>
      <c r="F207" s="13"/>
      <c r="G207" s="13"/>
      <c r="H207" s="13"/>
      <c r="I207" s="13"/>
      <c r="J207" s="13"/>
      <c r="K207" s="13"/>
      <c r="L207" s="13"/>
      <c r="M207" s="13"/>
      <c r="N207" s="13"/>
      <c r="O207" s="13"/>
      <c r="P207" s="13"/>
      <c r="Q207" s="13"/>
      <c r="R207" s="300"/>
      <c r="S207" s="13"/>
      <c r="T207" s="13"/>
      <c r="U207" s="300"/>
      <c r="V207" s="13"/>
      <c r="W207" s="13"/>
      <c r="X207" s="300"/>
      <c r="Y207" s="13"/>
      <c r="Z207" s="13"/>
      <c r="AA207" s="300"/>
      <c r="AB207" s="13"/>
      <c r="AC207" s="13"/>
      <c r="AD207" s="300"/>
      <c r="AE207" s="13"/>
      <c r="AF207" s="13"/>
      <c r="AG207" s="300"/>
      <c r="AH207" s="13"/>
      <c r="AI207" s="13"/>
      <c r="AJ207" s="300"/>
      <c r="AK207" s="13"/>
      <c r="AL207" s="301"/>
      <c r="AM207" s="300"/>
      <c r="AN207" s="13"/>
      <c r="AO207" s="301"/>
      <c r="AP207" s="300"/>
    </row>
    <row r="208">
      <c r="A208" s="13"/>
      <c r="B208" s="13"/>
      <c r="C208" s="13"/>
      <c r="D208" s="13"/>
      <c r="E208" s="13"/>
      <c r="F208" s="13"/>
      <c r="G208" s="13"/>
      <c r="H208" s="13"/>
      <c r="I208" s="13"/>
      <c r="J208" s="13"/>
      <c r="K208" s="13"/>
      <c r="L208" s="13"/>
      <c r="M208" s="13"/>
      <c r="N208" s="13"/>
      <c r="O208" s="13"/>
      <c r="P208" s="13"/>
      <c r="Q208" s="13"/>
      <c r="R208" s="300"/>
      <c r="S208" s="13"/>
      <c r="T208" s="13"/>
      <c r="U208" s="300"/>
      <c r="V208" s="13"/>
      <c r="W208" s="13"/>
      <c r="X208" s="300"/>
      <c r="Y208" s="13"/>
      <c r="Z208" s="13"/>
      <c r="AA208" s="300"/>
      <c r="AB208" s="13"/>
      <c r="AC208" s="13"/>
      <c r="AD208" s="300"/>
      <c r="AE208" s="13"/>
      <c r="AF208" s="13"/>
      <c r="AG208" s="300"/>
      <c r="AH208" s="13"/>
      <c r="AI208" s="13"/>
      <c r="AJ208" s="300"/>
      <c r="AK208" s="13"/>
      <c r="AL208" s="301"/>
      <c r="AM208" s="300"/>
      <c r="AN208" s="13"/>
      <c r="AO208" s="301"/>
      <c r="AP208" s="300"/>
    </row>
    <row r="209">
      <c r="A209" s="13"/>
      <c r="B209" s="13"/>
      <c r="C209" s="13"/>
      <c r="D209" s="13"/>
      <c r="E209" s="13"/>
      <c r="F209" s="13"/>
      <c r="G209" s="13"/>
      <c r="H209" s="13"/>
      <c r="I209" s="13"/>
      <c r="J209" s="13"/>
      <c r="K209" s="13"/>
      <c r="L209" s="13"/>
      <c r="M209" s="13"/>
      <c r="N209" s="13"/>
      <c r="O209" s="13"/>
      <c r="P209" s="13"/>
      <c r="Q209" s="13"/>
      <c r="R209" s="300"/>
      <c r="S209" s="13"/>
      <c r="T209" s="13"/>
      <c r="U209" s="300"/>
      <c r="V209" s="13"/>
      <c r="W209" s="13"/>
      <c r="X209" s="300"/>
      <c r="Y209" s="13"/>
      <c r="Z209" s="13"/>
      <c r="AA209" s="300"/>
      <c r="AB209" s="13"/>
      <c r="AC209" s="13"/>
      <c r="AD209" s="300"/>
      <c r="AE209" s="13"/>
      <c r="AF209" s="13"/>
      <c r="AG209" s="300"/>
      <c r="AH209" s="13"/>
      <c r="AI209" s="13"/>
      <c r="AJ209" s="300"/>
      <c r="AK209" s="13"/>
      <c r="AL209" s="301"/>
      <c r="AM209" s="300"/>
      <c r="AN209" s="13"/>
      <c r="AO209" s="301"/>
      <c r="AP209" s="300"/>
    </row>
    <row r="210">
      <c r="A210" s="13"/>
      <c r="B210" s="13"/>
      <c r="C210" s="13"/>
      <c r="D210" s="13"/>
      <c r="E210" s="13"/>
      <c r="F210" s="13"/>
      <c r="G210" s="13"/>
      <c r="H210" s="13"/>
      <c r="I210" s="13"/>
      <c r="J210" s="13"/>
      <c r="K210" s="13"/>
      <c r="L210" s="13"/>
      <c r="M210" s="13"/>
      <c r="N210" s="13"/>
      <c r="O210" s="13"/>
      <c r="P210" s="13"/>
      <c r="Q210" s="13"/>
      <c r="R210" s="300"/>
      <c r="S210" s="13"/>
      <c r="T210" s="13"/>
      <c r="U210" s="300"/>
      <c r="V210" s="13"/>
      <c r="W210" s="13"/>
      <c r="X210" s="300"/>
      <c r="Y210" s="13"/>
      <c r="Z210" s="13"/>
      <c r="AA210" s="300"/>
      <c r="AB210" s="13"/>
      <c r="AC210" s="13"/>
      <c r="AD210" s="300"/>
      <c r="AE210" s="13"/>
      <c r="AF210" s="13"/>
      <c r="AG210" s="300"/>
      <c r="AH210" s="13"/>
      <c r="AI210" s="13"/>
      <c r="AJ210" s="300"/>
      <c r="AK210" s="13"/>
      <c r="AL210" s="301"/>
      <c r="AM210" s="300"/>
      <c r="AN210" s="13"/>
      <c r="AO210" s="301"/>
      <c r="AP210" s="300"/>
    </row>
    <row r="211">
      <c r="A211" s="13"/>
      <c r="B211" s="13"/>
      <c r="C211" s="13"/>
      <c r="D211" s="13"/>
      <c r="E211" s="13"/>
      <c r="F211" s="13"/>
      <c r="G211" s="13"/>
      <c r="H211" s="13"/>
      <c r="I211" s="13"/>
      <c r="J211" s="13"/>
      <c r="K211" s="13"/>
      <c r="L211" s="13"/>
      <c r="M211" s="13"/>
      <c r="N211" s="13"/>
      <c r="O211" s="13"/>
      <c r="P211" s="13"/>
      <c r="Q211" s="13"/>
      <c r="R211" s="300"/>
      <c r="S211" s="13"/>
      <c r="T211" s="13"/>
      <c r="U211" s="300"/>
      <c r="V211" s="13"/>
      <c r="W211" s="13"/>
      <c r="X211" s="300"/>
      <c r="Y211" s="13"/>
      <c r="Z211" s="13"/>
      <c r="AA211" s="300"/>
      <c r="AB211" s="13"/>
      <c r="AC211" s="13"/>
      <c r="AD211" s="300"/>
      <c r="AE211" s="13"/>
      <c r="AF211" s="13"/>
      <c r="AG211" s="300"/>
      <c r="AH211" s="13"/>
      <c r="AI211" s="13"/>
      <c r="AJ211" s="300"/>
      <c r="AK211" s="13"/>
      <c r="AL211" s="301"/>
      <c r="AM211" s="300"/>
      <c r="AN211" s="13"/>
      <c r="AO211" s="301"/>
      <c r="AP211" s="300"/>
    </row>
    <row r="212">
      <c r="A212" s="13"/>
      <c r="B212" s="13"/>
      <c r="C212" s="13"/>
      <c r="D212" s="13"/>
      <c r="E212" s="13"/>
      <c r="F212" s="13"/>
      <c r="G212" s="13"/>
      <c r="H212" s="13"/>
      <c r="I212" s="13"/>
      <c r="J212" s="13"/>
      <c r="K212" s="13"/>
      <c r="L212" s="13"/>
      <c r="M212" s="13"/>
      <c r="N212" s="13"/>
      <c r="O212" s="13"/>
      <c r="P212" s="13"/>
      <c r="Q212" s="13"/>
      <c r="R212" s="300"/>
      <c r="S212" s="13"/>
      <c r="T212" s="13"/>
      <c r="U212" s="300"/>
      <c r="V212" s="13"/>
      <c r="W212" s="13"/>
      <c r="X212" s="300"/>
      <c r="Y212" s="13"/>
      <c r="Z212" s="13"/>
      <c r="AA212" s="300"/>
      <c r="AB212" s="13"/>
      <c r="AC212" s="13"/>
      <c r="AD212" s="300"/>
      <c r="AE212" s="13"/>
      <c r="AF212" s="13"/>
      <c r="AG212" s="300"/>
      <c r="AH212" s="13"/>
      <c r="AI212" s="13"/>
      <c r="AJ212" s="300"/>
      <c r="AK212" s="13"/>
      <c r="AL212" s="301"/>
      <c r="AM212" s="300"/>
      <c r="AN212" s="13"/>
      <c r="AO212" s="301"/>
      <c r="AP212" s="300"/>
    </row>
    <row r="213">
      <c r="A213" s="13"/>
      <c r="B213" s="13"/>
      <c r="C213" s="13"/>
      <c r="D213" s="13"/>
      <c r="E213" s="13"/>
      <c r="F213" s="13"/>
      <c r="G213" s="13"/>
      <c r="H213" s="13"/>
      <c r="I213" s="13"/>
      <c r="J213" s="13"/>
      <c r="K213" s="13"/>
      <c r="L213" s="13"/>
      <c r="M213" s="13"/>
      <c r="N213" s="13"/>
      <c r="O213" s="13"/>
      <c r="P213" s="13"/>
      <c r="Q213" s="13"/>
      <c r="R213" s="300"/>
      <c r="S213" s="13"/>
      <c r="T213" s="13"/>
      <c r="U213" s="300"/>
      <c r="V213" s="13"/>
      <c r="W213" s="13"/>
      <c r="X213" s="300"/>
      <c r="Y213" s="13"/>
      <c r="Z213" s="13"/>
      <c r="AA213" s="300"/>
      <c r="AB213" s="13"/>
      <c r="AC213" s="13"/>
      <c r="AD213" s="300"/>
      <c r="AE213" s="13"/>
      <c r="AF213" s="13"/>
      <c r="AG213" s="300"/>
      <c r="AH213" s="13"/>
      <c r="AI213" s="13"/>
      <c r="AJ213" s="300"/>
      <c r="AK213" s="13"/>
      <c r="AL213" s="301"/>
      <c r="AM213" s="300"/>
      <c r="AN213" s="13"/>
      <c r="AO213" s="301"/>
      <c r="AP213" s="300"/>
    </row>
    <row r="214">
      <c r="A214" s="13"/>
      <c r="B214" s="13"/>
      <c r="C214" s="13"/>
      <c r="D214" s="13"/>
      <c r="E214" s="13"/>
      <c r="F214" s="13"/>
      <c r="G214" s="13"/>
      <c r="H214" s="13"/>
      <c r="I214" s="13"/>
      <c r="J214" s="13"/>
      <c r="K214" s="13"/>
      <c r="L214" s="13"/>
      <c r="M214" s="13"/>
      <c r="N214" s="13"/>
      <c r="O214" s="13"/>
      <c r="P214" s="13"/>
      <c r="Q214" s="13"/>
      <c r="R214" s="300"/>
      <c r="S214" s="13"/>
      <c r="T214" s="13"/>
      <c r="U214" s="300"/>
      <c r="V214" s="13"/>
      <c r="W214" s="13"/>
      <c r="X214" s="300"/>
      <c r="Y214" s="13"/>
      <c r="Z214" s="13"/>
      <c r="AA214" s="300"/>
      <c r="AB214" s="13"/>
      <c r="AC214" s="13"/>
      <c r="AD214" s="300"/>
      <c r="AE214" s="13"/>
      <c r="AF214" s="13"/>
      <c r="AG214" s="300"/>
      <c r="AH214" s="13"/>
      <c r="AI214" s="13"/>
      <c r="AJ214" s="300"/>
      <c r="AK214" s="13"/>
      <c r="AL214" s="301"/>
      <c r="AM214" s="300"/>
      <c r="AN214" s="13"/>
      <c r="AO214" s="301"/>
      <c r="AP214" s="300"/>
    </row>
    <row r="215">
      <c r="A215" s="13"/>
      <c r="B215" s="13"/>
      <c r="C215" s="13"/>
      <c r="D215" s="13"/>
      <c r="E215" s="13"/>
      <c r="F215" s="13"/>
      <c r="G215" s="13"/>
      <c r="H215" s="13"/>
      <c r="I215" s="13"/>
      <c r="J215" s="13"/>
      <c r="K215" s="13"/>
      <c r="L215" s="13"/>
      <c r="M215" s="13"/>
      <c r="N215" s="13"/>
      <c r="O215" s="13"/>
      <c r="P215" s="13"/>
      <c r="Q215" s="13"/>
      <c r="R215" s="300"/>
      <c r="S215" s="13"/>
      <c r="T215" s="13"/>
      <c r="U215" s="300"/>
      <c r="V215" s="13"/>
      <c r="W215" s="13"/>
      <c r="X215" s="300"/>
      <c r="Y215" s="13"/>
      <c r="Z215" s="13"/>
      <c r="AA215" s="300"/>
      <c r="AB215" s="13"/>
      <c r="AC215" s="13"/>
      <c r="AD215" s="300"/>
      <c r="AE215" s="13"/>
      <c r="AF215" s="13"/>
      <c r="AG215" s="300"/>
      <c r="AH215" s="13"/>
      <c r="AI215" s="13"/>
      <c r="AJ215" s="300"/>
      <c r="AK215" s="13"/>
      <c r="AL215" s="301"/>
      <c r="AM215" s="300"/>
      <c r="AN215" s="13"/>
      <c r="AO215" s="301"/>
      <c r="AP215" s="300"/>
    </row>
    <row r="216">
      <c r="A216" s="13"/>
      <c r="B216" s="13"/>
      <c r="C216" s="13"/>
      <c r="D216" s="13"/>
      <c r="E216" s="13"/>
      <c r="F216" s="13"/>
      <c r="G216" s="13"/>
      <c r="H216" s="13"/>
      <c r="I216" s="13"/>
      <c r="J216" s="13"/>
      <c r="K216" s="13"/>
      <c r="L216" s="13"/>
      <c r="M216" s="13"/>
      <c r="N216" s="13"/>
      <c r="O216" s="13"/>
      <c r="P216" s="13"/>
      <c r="Q216" s="13"/>
      <c r="R216" s="300"/>
      <c r="S216" s="13"/>
      <c r="T216" s="13"/>
      <c r="U216" s="300"/>
      <c r="V216" s="13"/>
      <c r="W216" s="13"/>
      <c r="X216" s="300"/>
      <c r="Y216" s="13"/>
      <c r="Z216" s="13"/>
      <c r="AA216" s="300"/>
      <c r="AB216" s="13"/>
      <c r="AC216" s="13"/>
      <c r="AD216" s="300"/>
      <c r="AE216" s="13"/>
      <c r="AF216" s="13"/>
      <c r="AG216" s="300"/>
      <c r="AH216" s="13"/>
      <c r="AI216" s="13"/>
      <c r="AJ216" s="300"/>
      <c r="AK216" s="13"/>
      <c r="AL216" s="301"/>
      <c r="AM216" s="300"/>
      <c r="AN216" s="13"/>
      <c r="AO216" s="301"/>
      <c r="AP216" s="300"/>
    </row>
    <row r="217">
      <c r="A217" s="13"/>
      <c r="B217" s="13"/>
      <c r="C217" s="13"/>
      <c r="D217" s="13"/>
      <c r="E217" s="13"/>
      <c r="F217" s="13"/>
      <c r="G217" s="13"/>
      <c r="H217" s="13"/>
      <c r="I217" s="13"/>
      <c r="J217" s="13"/>
      <c r="K217" s="13"/>
      <c r="L217" s="13"/>
      <c r="M217" s="13"/>
      <c r="N217" s="13"/>
      <c r="O217" s="13"/>
      <c r="P217" s="13"/>
      <c r="Q217" s="13"/>
      <c r="R217" s="300"/>
      <c r="S217" s="13"/>
      <c r="T217" s="13"/>
      <c r="U217" s="300"/>
      <c r="V217" s="13"/>
      <c r="W217" s="13"/>
      <c r="X217" s="300"/>
      <c r="Y217" s="13"/>
      <c r="Z217" s="13"/>
      <c r="AA217" s="300"/>
      <c r="AB217" s="13"/>
      <c r="AC217" s="13"/>
      <c r="AD217" s="300"/>
      <c r="AE217" s="13"/>
      <c r="AF217" s="13"/>
      <c r="AG217" s="300"/>
      <c r="AH217" s="13"/>
      <c r="AI217" s="13"/>
      <c r="AJ217" s="300"/>
      <c r="AK217" s="13"/>
      <c r="AL217" s="301"/>
      <c r="AM217" s="300"/>
      <c r="AN217" s="13"/>
      <c r="AO217" s="301"/>
      <c r="AP217" s="300"/>
    </row>
    <row r="218">
      <c r="A218" s="13"/>
      <c r="B218" s="13"/>
      <c r="C218" s="13"/>
      <c r="D218" s="13"/>
      <c r="E218" s="13"/>
      <c r="F218" s="13"/>
      <c r="G218" s="13"/>
      <c r="H218" s="13"/>
      <c r="I218" s="13"/>
      <c r="J218" s="13"/>
      <c r="K218" s="13"/>
      <c r="L218" s="13"/>
      <c r="M218" s="13"/>
      <c r="N218" s="13"/>
      <c r="O218" s="13"/>
      <c r="P218" s="13"/>
      <c r="Q218" s="13"/>
      <c r="R218" s="300"/>
      <c r="S218" s="13"/>
      <c r="T218" s="13"/>
      <c r="U218" s="300"/>
      <c r="V218" s="13"/>
      <c r="W218" s="13"/>
      <c r="X218" s="300"/>
      <c r="Y218" s="13"/>
      <c r="Z218" s="13"/>
      <c r="AA218" s="300"/>
      <c r="AB218" s="13"/>
      <c r="AC218" s="13"/>
      <c r="AD218" s="300"/>
      <c r="AE218" s="13"/>
      <c r="AF218" s="13"/>
      <c r="AG218" s="300"/>
      <c r="AH218" s="13"/>
      <c r="AI218" s="13"/>
      <c r="AJ218" s="300"/>
      <c r="AK218" s="13"/>
      <c r="AL218" s="301"/>
      <c r="AM218" s="300"/>
      <c r="AN218" s="13"/>
      <c r="AO218" s="301"/>
      <c r="AP218" s="300"/>
    </row>
    <row r="219">
      <c r="A219" s="13"/>
      <c r="B219" s="13"/>
      <c r="C219" s="13"/>
      <c r="D219" s="13"/>
      <c r="E219" s="13"/>
      <c r="F219" s="13"/>
      <c r="G219" s="13"/>
      <c r="H219" s="13"/>
      <c r="I219" s="13"/>
      <c r="J219" s="13"/>
      <c r="K219" s="13"/>
      <c r="L219" s="13"/>
      <c r="M219" s="13"/>
      <c r="N219" s="13"/>
      <c r="O219" s="13"/>
      <c r="P219" s="13"/>
      <c r="Q219" s="13"/>
      <c r="R219" s="300"/>
      <c r="S219" s="13"/>
      <c r="T219" s="13"/>
      <c r="U219" s="300"/>
      <c r="V219" s="13"/>
      <c r="W219" s="13"/>
      <c r="X219" s="300"/>
      <c r="Y219" s="13"/>
      <c r="Z219" s="13"/>
      <c r="AA219" s="300"/>
      <c r="AB219" s="13"/>
      <c r="AC219" s="13"/>
      <c r="AD219" s="300"/>
      <c r="AE219" s="13"/>
      <c r="AF219" s="13"/>
      <c r="AG219" s="300"/>
      <c r="AH219" s="13"/>
      <c r="AI219" s="13"/>
      <c r="AJ219" s="300"/>
      <c r="AK219" s="13"/>
      <c r="AL219" s="301"/>
      <c r="AM219" s="300"/>
      <c r="AN219" s="13"/>
      <c r="AO219" s="301"/>
      <c r="AP219" s="300"/>
    </row>
    <row r="220">
      <c r="A220" s="13"/>
      <c r="B220" s="13"/>
      <c r="C220" s="13"/>
      <c r="D220" s="13"/>
      <c r="E220" s="13"/>
      <c r="F220" s="13"/>
      <c r="G220" s="13"/>
      <c r="H220" s="13"/>
      <c r="I220" s="13"/>
      <c r="J220" s="13"/>
      <c r="K220" s="13"/>
      <c r="L220" s="13"/>
      <c r="M220" s="13"/>
      <c r="N220" s="13"/>
      <c r="O220" s="13"/>
      <c r="P220" s="13"/>
      <c r="Q220" s="13"/>
      <c r="R220" s="300"/>
      <c r="S220" s="13"/>
      <c r="T220" s="13"/>
      <c r="U220" s="300"/>
      <c r="V220" s="13"/>
      <c r="W220" s="13"/>
      <c r="X220" s="300"/>
      <c r="Y220" s="13"/>
      <c r="Z220" s="13"/>
      <c r="AA220" s="300"/>
      <c r="AB220" s="13"/>
      <c r="AC220" s="13"/>
      <c r="AD220" s="300"/>
      <c r="AE220" s="13"/>
      <c r="AF220" s="13"/>
      <c r="AG220" s="300"/>
      <c r="AH220" s="13"/>
      <c r="AI220" s="13"/>
      <c r="AJ220" s="300"/>
      <c r="AK220" s="13"/>
      <c r="AL220" s="301"/>
      <c r="AM220" s="300"/>
      <c r="AN220" s="13"/>
      <c r="AO220" s="301"/>
      <c r="AP220" s="300"/>
    </row>
    <row r="221">
      <c r="A221" s="13"/>
      <c r="B221" s="13"/>
      <c r="C221" s="13"/>
      <c r="D221" s="13"/>
      <c r="E221" s="13"/>
      <c r="F221" s="13"/>
      <c r="G221" s="13"/>
      <c r="H221" s="13"/>
      <c r="I221" s="13"/>
      <c r="J221" s="13"/>
      <c r="K221" s="13"/>
      <c r="L221" s="13"/>
      <c r="M221" s="13"/>
      <c r="N221" s="13"/>
      <c r="O221" s="13"/>
      <c r="P221" s="13"/>
      <c r="Q221" s="13"/>
      <c r="R221" s="300"/>
      <c r="S221" s="13"/>
      <c r="T221" s="13"/>
      <c r="U221" s="300"/>
      <c r="V221" s="13"/>
      <c r="W221" s="13"/>
      <c r="X221" s="300"/>
      <c r="Y221" s="13"/>
      <c r="Z221" s="13"/>
      <c r="AA221" s="300"/>
      <c r="AB221" s="13"/>
      <c r="AC221" s="13"/>
      <c r="AD221" s="300"/>
      <c r="AE221" s="13"/>
      <c r="AF221" s="13"/>
      <c r="AG221" s="300"/>
      <c r="AH221" s="13"/>
      <c r="AI221" s="13"/>
      <c r="AJ221" s="300"/>
      <c r="AK221" s="13"/>
      <c r="AL221" s="301"/>
      <c r="AM221" s="300"/>
      <c r="AN221" s="13"/>
      <c r="AO221" s="301"/>
      <c r="AP221" s="300"/>
    </row>
    <row r="222">
      <c r="A222" s="13"/>
      <c r="B222" s="13"/>
      <c r="C222" s="13"/>
      <c r="D222" s="13"/>
      <c r="E222" s="13"/>
      <c r="F222" s="13"/>
      <c r="G222" s="13"/>
      <c r="H222" s="13"/>
      <c r="I222" s="13"/>
      <c r="J222" s="13"/>
      <c r="K222" s="13"/>
      <c r="L222" s="13"/>
      <c r="M222" s="13"/>
      <c r="N222" s="13"/>
      <c r="O222" s="13"/>
      <c r="P222" s="13"/>
      <c r="Q222" s="13"/>
      <c r="R222" s="300"/>
      <c r="S222" s="13"/>
      <c r="T222" s="13"/>
      <c r="U222" s="300"/>
      <c r="V222" s="13"/>
      <c r="W222" s="13"/>
      <c r="X222" s="300"/>
      <c r="Y222" s="13"/>
      <c r="Z222" s="13"/>
      <c r="AA222" s="300"/>
      <c r="AB222" s="13"/>
      <c r="AC222" s="13"/>
      <c r="AD222" s="300"/>
      <c r="AE222" s="13"/>
      <c r="AF222" s="13"/>
      <c r="AG222" s="300"/>
      <c r="AH222" s="13"/>
      <c r="AI222" s="13"/>
      <c r="AJ222" s="300"/>
      <c r="AK222" s="13"/>
      <c r="AL222" s="301"/>
      <c r="AM222" s="300"/>
      <c r="AN222" s="13"/>
      <c r="AO222" s="301"/>
      <c r="AP222" s="300"/>
    </row>
    <row r="223">
      <c r="A223" s="13"/>
      <c r="B223" s="13"/>
      <c r="C223" s="13"/>
      <c r="D223" s="13"/>
      <c r="E223" s="13"/>
      <c r="F223" s="13"/>
      <c r="G223" s="13"/>
      <c r="H223" s="13"/>
      <c r="I223" s="13"/>
      <c r="J223" s="13"/>
      <c r="K223" s="13"/>
      <c r="L223" s="13"/>
      <c r="M223" s="13"/>
      <c r="N223" s="13"/>
      <c r="O223" s="13"/>
      <c r="P223" s="13"/>
      <c r="Q223" s="13"/>
      <c r="R223" s="300"/>
      <c r="S223" s="13"/>
      <c r="T223" s="13"/>
      <c r="U223" s="300"/>
      <c r="V223" s="13"/>
      <c r="W223" s="13"/>
      <c r="X223" s="300"/>
      <c r="Y223" s="13"/>
      <c r="Z223" s="13"/>
      <c r="AA223" s="300"/>
      <c r="AB223" s="13"/>
      <c r="AC223" s="13"/>
      <c r="AD223" s="300"/>
      <c r="AE223" s="13"/>
      <c r="AF223" s="13"/>
      <c r="AG223" s="300"/>
      <c r="AH223" s="13"/>
      <c r="AI223" s="13"/>
      <c r="AJ223" s="300"/>
      <c r="AK223" s="13"/>
      <c r="AL223" s="301"/>
      <c r="AM223" s="300"/>
      <c r="AN223" s="13"/>
      <c r="AO223" s="301"/>
      <c r="AP223" s="300"/>
    </row>
    <row r="224">
      <c r="A224" s="13"/>
      <c r="B224" s="13"/>
      <c r="C224" s="13"/>
      <c r="D224" s="13"/>
      <c r="E224" s="13"/>
      <c r="F224" s="13"/>
      <c r="G224" s="13"/>
      <c r="H224" s="13"/>
      <c r="I224" s="13"/>
      <c r="J224" s="13"/>
      <c r="K224" s="13"/>
      <c r="L224" s="13"/>
      <c r="M224" s="13"/>
      <c r="N224" s="13"/>
      <c r="O224" s="13"/>
      <c r="P224" s="13"/>
      <c r="Q224" s="13"/>
      <c r="R224" s="300"/>
      <c r="S224" s="13"/>
      <c r="T224" s="13"/>
      <c r="U224" s="300"/>
      <c r="V224" s="13"/>
      <c r="W224" s="13"/>
      <c r="X224" s="300"/>
      <c r="Y224" s="13"/>
      <c r="Z224" s="13"/>
      <c r="AA224" s="300"/>
      <c r="AB224" s="13"/>
      <c r="AC224" s="13"/>
      <c r="AD224" s="300"/>
      <c r="AE224" s="13"/>
      <c r="AF224" s="13"/>
      <c r="AG224" s="300"/>
      <c r="AH224" s="13"/>
      <c r="AI224" s="13"/>
      <c r="AJ224" s="300"/>
      <c r="AK224" s="13"/>
      <c r="AL224" s="301"/>
      <c r="AM224" s="300"/>
      <c r="AN224" s="13"/>
      <c r="AO224" s="301"/>
      <c r="AP224" s="300"/>
    </row>
    <row r="225">
      <c r="A225" s="13"/>
      <c r="B225" s="13"/>
      <c r="C225" s="13"/>
      <c r="D225" s="13"/>
      <c r="E225" s="13"/>
      <c r="F225" s="13"/>
      <c r="G225" s="13"/>
      <c r="H225" s="13"/>
      <c r="I225" s="13"/>
      <c r="J225" s="13"/>
      <c r="K225" s="13"/>
      <c r="L225" s="13"/>
      <c r="M225" s="13"/>
      <c r="N225" s="13"/>
      <c r="O225" s="13"/>
      <c r="P225" s="13"/>
      <c r="Q225" s="13"/>
      <c r="R225" s="300"/>
      <c r="S225" s="13"/>
      <c r="T225" s="13"/>
      <c r="U225" s="300"/>
      <c r="V225" s="13"/>
      <c r="W225" s="13"/>
      <c r="X225" s="300"/>
      <c r="Y225" s="13"/>
      <c r="Z225" s="13"/>
      <c r="AA225" s="300"/>
      <c r="AB225" s="13"/>
      <c r="AC225" s="13"/>
      <c r="AD225" s="300"/>
      <c r="AE225" s="13"/>
      <c r="AF225" s="13"/>
      <c r="AG225" s="300"/>
      <c r="AH225" s="13"/>
      <c r="AI225" s="13"/>
      <c r="AJ225" s="300"/>
      <c r="AK225" s="13"/>
      <c r="AL225" s="301"/>
      <c r="AM225" s="300"/>
      <c r="AN225" s="13"/>
      <c r="AO225" s="301"/>
      <c r="AP225" s="300"/>
    </row>
    <row r="226">
      <c r="A226" s="13"/>
      <c r="B226" s="13"/>
      <c r="C226" s="13"/>
      <c r="D226" s="13"/>
      <c r="E226" s="13"/>
      <c r="F226" s="13"/>
      <c r="G226" s="13"/>
      <c r="H226" s="13"/>
      <c r="I226" s="13"/>
      <c r="J226" s="13"/>
      <c r="K226" s="13"/>
      <c r="L226" s="13"/>
      <c r="M226" s="13"/>
      <c r="N226" s="13"/>
      <c r="O226" s="13"/>
      <c r="P226" s="13"/>
      <c r="Q226" s="13"/>
      <c r="R226" s="300"/>
      <c r="S226" s="13"/>
      <c r="T226" s="13"/>
      <c r="U226" s="300"/>
      <c r="V226" s="13"/>
      <c r="W226" s="13"/>
      <c r="X226" s="300"/>
      <c r="Y226" s="13"/>
      <c r="Z226" s="13"/>
      <c r="AA226" s="300"/>
      <c r="AB226" s="13"/>
      <c r="AC226" s="13"/>
      <c r="AD226" s="300"/>
      <c r="AE226" s="13"/>
      <c r="AF226" s="13"/>
      <c r="AG226" s="300"/>
      <c r="AH226" s="13"/>
      <c r="AI226" s="13"/>
      <c r="AJ226" s="300"/>
      <c r="AK226" s="13"/>
      <c r="AL226" s="301"/>
      <c r="AM226" s="300"/>
      <c r="AN226" s="13"/>
      <c r="AO226" s="301"/>
      <c r="AP226" s="300"/>
    </row>
    <row r="227">
      <c r="A227" s="13"/>
      <c r="B227" s="13"/>
      <c r="C227" s="13"/>
      <c r="D227" s="13"/>
      <c r="E227" s="13"/>
      <c r="F227" s="13"/>
      <c r="G227" s="13"/>
      <c r="H227" s="13"/>
      <c r="I227" s="13"/>
      <c r="J227" s="13"/>
      <c r="K227" s="13"/>
      <c r="L227" s="13"/>
      <c r="M227" s="13"/>
      <c r="N227" s="13"/>
      <c r="O227" s="13"/>
      <c r="P227" s="13"/>
      <c r="Q227" s="13"/>
      <c r="R227" s="300"/>
      <c r="S227" s="13"/>
      <c r="T227" s="13"/>
      <c r="U227" s="300"/>
      <c r="V227" s="13"/>
      <c r="W227" s="13"/>
      <c r="X227" s="300"/>
      <c r="Y227" s="13"/>
      <c r="Z227" s="13"/>
      <c r="AA227" s="300"/>
      <c r="AB227" s="13"/>
      <c r="AC227" s="13"/>
      <c r="AD227" s="300"/>
      <c r="AE227" s="13"/>
      <c r="AF227" s="13"/>
      <c r="AG227" s="300"/>
      <c r="AH227" s="13"/>
      <c r="AI227" s="13"/>
      <c r="AJ227" s="300"/>
      <c r="AK227" s="13"/>
      <c r="AL227" s="301"/>
      <c r="AM227" s="300"/>
      <c r="AN227" s="13"/>
      <c r="AO227" s="301"/>
      <c r="AP227" s="300"/>
    </row>
    <row r="228">
      <c r="A228" s="13"/>
      <c r="B228" s="13"/>
      <c r="C228" s="13"/>
      <c r="D228" s="13"/>
      <c r="E228" s="13"/>
      <c r="F228" s="13"/>
      <c r="G228" s="13"/>
      <c r="H228" s="13"/>
      <c r="I228" s="13"/>
      <c r="J228" s="13"/>
      <c r="K228" s="13"/>
      <c r="L228" s="13"/>
      <c r="M228" s="13"/>
      <c r="N228" s="13"/>
      <c r="O228" s="13"/>
      <c r="P228" s="13"/>
      <c r="Q228" s="13"/>
      <c r="R228" s="300"/>
      <c r="S228" s="13"/>
      <c r="T228" s="13"/>
      <c r="U228" s="300"/>
      <c r="V228" s="13"/>
      <c r="W228" s="13"/>
      <c r="X228" s="300"/>
      <c r="Y228" s="13"/>
      <c r="Z228" s="13"/>
      <c r="AA228" s="300"/>
      <c r="AB228" s="13"/>
      <c r="AC228" s="13"/>
      <c r="AD228" s="300"/>
      <c r="AE228" s="13"/>
      <c r="AF228" s="13"/>
      <c r="AG228" s="300"/>
      <c r="AH228" s="13"/>
      <c r="AI228" s="13"/>
      <c r="AJ228" s="300"/>
      <c r="AK228" s="13"/>
      <c r="AL228" s="301"/>
      <c r="AM228" s="300"/>
      <c r="AN228" s="13"/>
      <c r="AO228" s="301"/>
      <c r="AP228" s="300"/>
    </row>
    <row r="229">
      <c r="A229" s="13"/>
      <c r="B229" s="13"/>
      <c r="C229" s="13"/>
      <c r="D229" s="13"/>
      <c r="E229" s="13"/>
      <c r="F229" s="13"/>
      <c r="G229" s="13"/>
      <c r="H229" s="13"/>
      <c r="I229" s="13"/>
      <c r="J229" s="13"/>
      <c r="K229" s="13"/>
      <c r="L229" s="13"/>
      <c r="M229" s="13"/>
      <c r="N229" s="13"/>
      <c r="O229" s="13"/>
      <c r="P229" s="13"/>
      <c r="Q229" s="13"/>
      <c r="R229" s="300"/>
      <c r="S229" s="13"/>
      <c r="T229" s="13"/>
      <c r="U229" s="300"/>
      <c r="V229" s="13"/>
      <c r="W229" s="13"/>
      <c r="X229" s="300"/>
      <c r="Y229" s="13"/>
      <c r="Z229" s="13"/>
      <c r="AA229" s="300"/>
      <c r="AB229" s="13"/>
      <c r="AC229" s="13"/>
      <c r="AD229" s="300"/>
      <c r="AE229" s="13"/>
      <c r="AF229" s="13"/>
      <c r="AG229" s="300"/>
      <c r="AH229" s="13"/>
      <c r="AI229" s="13"/>
      <c r="AJ229" s="300"/>
      <c r="AK229" s="13"/>
      <c r="AL229" s="301"/>
      <c r="AM229" s="300"/>
      <c r="AN229" s="13"/>
      <c r="AO229" s="301"/>
      <c r="AP229" s="300"/>
    </row>
    <row r="230">
      <c r="A230" s="13"/>
      <c r="B230" s="13"/>
      <c r="C230" s="13"/>
      <c r="D230" s="13"/>
      <c r="E230" s="13"/>
      <c r="F230" s="13"/>
      <c r="G230" s="13"/>
      <c r="H230" s="13"/>
      <c r="I230" s="13"/>
      <c r="J230" s="13"/>
      <c r="K230" s="13"/>
      <c r="L230" s="13"/>
      <c r="M230" s="13"/>
      <c r="N230" s="13"/>
      <c r="O230" s="13"/>
      <c r="P230" s="13"/>
      <c r="Q230" s="13"/>
      <c r="R230" s="300"/>
      <c r="S230" s="13"/>
      <c r="T230" s="13"/>
      <c r="U230" s="300"/>
      <c r="V230" s="13"/>
      <c r="W230" s="13"/>
      <c r="X230" s="300"/>
      <c r="Y230" s="13"/>
      <c r="Z230" s="13"/>
      <c r="AA230" s="300"/>
      <c r="AB230" s="13"/>
      <c r="AC230" s="13"/>
      <c r="AD230" s="300"/>
      <c r="AE230" s="13"/>
      <c r="AF230" s="13"/>
      <c r="AG230" s="300"/>
      <c r="AH230" s="13"/>
      <c r="AI230" s="13"/>
      <c r="AJ230" s="300"/>
      <c r="AK230" s="13"/>
      <c r="AL230" s="301"/>
      <c r="AM230" s="300"/>
      <c r="AN230" s="13"/>
      <c r="AO230" s="301"/>
      <c r="AP230" s="300"/>
    </row>
    <row r="231">
      <c r="A231" s="13"/>
      <c r="B231" s="13"/>
      <c r="C231" s="13"/>
      <c r="D231" s="13"/>
      <c r="E231" s="13"/>
      <c r="F231" s="13"/>
      <c r="G231" s="13"/>
      <c r="H231" s="13"/>
      <c r="I231" s="13"/>
      <c r="J231" s="13"/>
      <c r="K231" s="13"/>
      <c r="L231" s="13"/>
      <c r="M231" s="13"/>
      <c r="N231" s="13"/>
      <c r="O231" s="13"/>
      <c r="P231" s="13"/>
      <c r="Q231" s="13"/>
      <c r="R231" s="300"/>
      <c r="S231" s="13"/>
      <c r="T231" s="13"/>
      <c r="U231" s="300"/>
      <c r="V231" s="13"/>
      <c r="W231" s="13"/>
      <c r="X231" s="300"/>
      <c r="Y231" s="13"/>
      <c r="Z231" s="13"/>
      <c r="AA231" s="300"/>
      <c r="AB231" s="13"/>
      <c r="AC231" s="13"/>
      <c r="AD231" s="300"/>
      <c r="AE231" s="13"/>
      <c r="AF231" s="13"/>
      <c r="AG231" s="300"/>
      <c r="AH231" s="13"/>
      <c r="AI231" s="13"/>
      <c r="AJ231" s="300"/>
      <c r="AK231" s="13"/>
      <c r="AL231" s="301"/>
      <c r="AM231" s="300"/>
      <c r="AN231" s="13"/>
      <c r="AO231" s="301"/>
      <c r="AP231" s="300"/>
    </row>
    <row r="232">
      <c r="A232" s="13"/>
      <c r="B232" s="13"/>
      <c r="C232" s="13"/>
      <c r="D232" s="13"/>
      <c r="E232" s="13"/>
      <c r="F232" s="13"/>
      <c r="G232" s="13"/>
      <c r="H232" s="13"/>
      <c r="I232" s="13"/>
      <c r="J232" s="13"/>
      <c r="K232" s="13"/>
      <c r="L232" s="13"/>
      <c r="M232" s="13"/>
      <c r="N232" s="13"/>
      <c r="O232" s="13"/>
      <c r="P232" s="13"/>
      <c r="Q232" s="13"/>
      <c r="R232" s="300"/>
      <c r="S232" s="13"/>
      <c r="T232" s="13"/>
      <c r="U232" s="300"/>
      <c r="V232" s="13"/>
      <c r="W232" s="13"/>
      <c r="X232" s="300"/>
      <c r="Y232" s="13"/>
      <c r="Z232" s="13"/>
      <c r="AA232" s="300"/>
      <c r="AB232" s="13"/>
      <c r="AC232" s="13"/>
      <c r="AD232" s="300"/>
      <c r="AE232" s="13"/>
      <c r="AF232" s="13"/>
      <c r="AG232" s="300"/>
      <c r="AH232" s="13"/>
      <c r="AI232" s="13"/>
      <c r="AJ232" s="300"/>
      <c r="AK232" s="13"/>
      <c r="AL232" s="301"/>
      <c r="AM232" s="300"/>
      <c r="AN232" s="13"/>
      <c r="AO232" s="301"/>
      <c r="AP232" s="300"/>
    </row>
    <row r="233">
      <c r="A233" s="13"/>
      <c r="B233" s="13"/>
      <c r="C233" s="13"/>
      <c r="D233" s="13"/>
      <c r="E233" s="13"/>
      <c r="F233" s="13"/>
      <c r="G233" s="13"/>
      <c r="H233" s="13"/>
      <c r="I233" s="13"/>
      <c r="J233" s="13"/>
      <c r="K233" s="13"/>
      <c r="L233" s="13"/>
      <c r="M233" s="13"/>
      <c r="N233" s="13"/>
      <c r="O233" s="13"/>
      <c r="P233" s="13"/>
      <c r="Q233" s="13"/>
      <c r="R233" s="300"/>
      <c r="S233" s="13"/>
      <c r="T233" s="13"/>
      <c r="U233" s="300"/>
      <c r="V233" s="13"/>
      <c r="W233" s="13"/>
      <c r="X233" s="300"/>
      <c r="Y233" s="13"/>
      <c r="Z233" s="13"/>
      <c r="AA233" s="300"/>
      <c r="AB233" s="13"/>
      <c r="AC233" s="13"/>
      <c r="AD233" s="300"/>
      <c r="AE233" s="13"/>
      <c r="AF233" s="13"/>
      <c r="AG233" s="300"/>
      <c r="AH233" s="13"/>
      <c r="AI233" s="13"/>
      <c r="AJ233" s="300"/>
      <c r="AK233" s="13"/>
      <c r="AL233" s="301"/>
      <c r="AM233" s="300"/>
      <c r="AN233" s="13"/>
      <c r="AO233" s="301"/>
      <c r="AP233" s="300"/>
    </row>
    <row r="234">
      <c r="A234" s="13"/>
      <c r="B234" s="13"/>
      <c r="C234" s="13"/>
      <c r="D234" s="13"/>
      <c r="E234" s="13"/>
      <c r="F234" s="13"/>
      <c r="G234" s="13"/>
      <c r="H234" s="13"/>
      <c r="I234" s="13"/>
      <c r="J234" s="13"/>
      <c r="K234" s="13"/>
      <c r="L234" s="13"/>
      <c r="M234" s="13"/>
      <c r="N234" s="13"/>
      <c r="O234" s="13"/>
      <c r="P234" s="13"/>
      <c r="Q234" s="13"/>
      <c r="R234" s="300"/>
      <c r="S234" s="13"/>
      <c r="T234" s="13"/>
      <c r="U234" s="300"/>
      <c r="V234" s="13"/>
      <c r="W234" s="13"/>
      <c r="X234" s="300"/>
      <c r="Y234" s="13"/>
      <c r="Z234" s="13"/>
      <c r="AA234" s="300"/>
      <c r="AB234" s="13"/>
      <c r="AC234" s="13"/>
      <c r="AD234" s="300"/>
      <c r="AE234" s="13"/>
      <c r="AF234" s="13"/>
      <c r="AG234" s="300"/>
      <c r="AH234" s="13"/>
      <c r="AI234" s="13"/>
      <c r="AJ234" s="300"/>
      <c r="AK234" s="13"/>
      <c r="AL234" s="301"/>
      <c r="AM234" s="300"/>
      <c r="AN234" s="13"/>
      <c r="AO234" s="301"/>
      <c r="AP234" s="300"/>
    </row>
    <row r="235">
      <c r="A235" s="13"/>
      <c r="B235" s="13"/>
      <c r="C235" s="13"/>
      <c r="D235" s="13"/>
      <c r="E235" s="13"/>
      <c r="F235" s="13"/>
      <c r="G235" s="13"/>
      <c r="H235" s="13"/>
      <c r="I235" s="13"/>
      <c r="J235" s="13"/>
      <c r="K235" s="13"/>
      <c r="L235" s="13"/>
      <c r="M235" s="13"/>
      <c r="N235" s="13"/>
      <c r="O235" s="13"/>
      <c r="P235" s="13"/>
      <c r="Q235" s="13"/>
      <c r="R235" s="300"/>
      <c r="S235" s="13"/>
      <c r="T235" s="13"/>
      <c r="U235" s="300"/>
      <c r="V235" s="13"/>
      <c r="W235" s="13"/>
      <c r="X235" s="300"/>
      <c r="Y235" s="13"/>
      <c r="Z235" s="13"/>
      <c r="AA235" s="300"/>
      <c r="AB235" s="13"/>
      <c r="AC235" s="13"/>
      <c r="AD235" s="300"/>
      <c r="AE235" s="13"/>
      <c r="AF235" s="13"/>
      <c r="AG235" s="300"/>
      <c r="AH235" s="13"/>
      <c r="AI235" s="13"/>
      <c r="AJ235" s="300"/>
      <c r="AK235" s="13"/>
      <c r="AL235" s="301"/>
      <c r="AM235" s="300"/>
      <c r="AN235" s="13"/>
      <c r="AO235" s="301"/>
      <c r="AP235" s="300"/>
    </row>
    <row r="236">
      <c r="A236" s="13"/>
      <c r="B236" s="13"/>
      <c r="C236" s="13"/>
      <c r="D236" s="13"/>
      <c r="E236" s="13"/>
      <c r="F236" s="13"/>
      <c r="G236" s="13"/>
      <c r="H236" s="13"/>
      <c r="I236" s="13"/>
      <c r="J236" s="13"/>
      <c r="K236" s="13"/>
      <c r="L236" s="13"/>
      <c r="M236" s="13"/>
      <c r="N236" s="13"/>
      <c r="O236" s="13"/>
      <c r="P236" s="13"/>
      <c r="Q236" s="13"/>
      <c r="R236" s="300"/>
      <c r="S236" s="13"/>
      <c r="T236" s="13"/>
      <c r="U236" s="300"/>
      <c r="V236" s="13"/>
      <c r="W236" s="13"/>
      <c r="X236" s="300"/>
      <c r="Y236" s="13"/>
      <c r="Z236" s="13"/>
      <c r="AA236" s="300"/>
      <c r="AB236" s="13"/>
      <c r="AC236" s="13"/>
      <c r="AD236" s="300"/>
      <c r="AE236" s="13"/>
      <c r="AF236" s="13"/>
      <c r="AG236" s="300"/>
      <c r="AH236" s="13"/>
      <c r="AI236" s="13"/>
      <c r="AJ236" s="300"/>
      <c r="AK236" s="13"/>
      <c r="AL236" s="301"/>
      <c r="AM236" s="300"/>
      <c r="AN236" s="13"/>
      <c r="AO236" s="301"/>
      <c r="AP236" s="300"/>
    </row>
    <row r="237">
      <c r="A237" s="13"/>
      <c r="B237" s="13"/>
      <c r="C237" s="13"/>
      <c r="D237" s="13"/>
      <c r="E237" s="13"/>
      <c r="F237" s="13"/>
      <c r="G237" s="13"/>
      <c r="H237" s="13"/>
      <c r="I237" s="13"/>
      <c r="J237" s="13"/>
      <c r="K237" s="13"/>
      <c r="L237" s="13"/>
      <c r="M237" s="13"/>
      <c r="N237" s="13"/>
      <c r="O237" s="13"/>
      <c r="P237" s="13"/>
      <c r="Q237" s="13"/>
      <c r="R237" s="300"/>
      <c r="S237" s="13"/>
      <c r="T237" s="13"/>
      <c r="U237" s="300"/>
      <c r="V237" s="13"/>
      <c r="W237" s="13"/>
      <c r="X237" s="300"/>
      <c r="Y237" s="13"/>
      <c r="Z237" s="13"/>
      <c r="AA237" s="300"/>
      <c r="AB237" s="13"/>
      <c r="AC237" s="13"/>
      <c r="AD237" s="300"/>
      <c r="AE237" s="13"/>
      <c r="AF237" s="13"/>
      <c r="AG237" s="300"/>
      <c r="AH237" s="13"/>
      <c r="AI237" s="13"/>
      <c r="AJ237" s="300"/>
      <c r="AK237" s="13"/>
      <c r="AL237" s="301"/>
      <c r="AM237" s="300"/>
      <c r="AN237" s="13"/>
      <c r="AO237" s="301"/>
      <c r="AP237" s="300"/>
    </row>
    <row r="238">
      <c r="A238" s="13"/>
      <c r="B238" s="13"/>
      <c r="C238" s="13"/>
      <c r="D238" s="13"/>
      <c r="E238" s="13"/>
      <c r="F238" s="13"/>
      <c r="G238" s="13"/>
      <c r="H238" s="13"/>
      <c r="I238" s="13"/>
      <c r="J238" s="13"/>
      <c r="K238" s="13"/>
      <c r="L238" s="13"/>
      <c r="M238" s="13"/>
      <c r="N238" s="13"/>
      <c r="O238" s="13"/>
      <c r="P238" s="13"/>
      <c r="Q238" s="13"/>
      <c r="R238" s="300"/>
      <c r="S238" s="13"/>
      <c r="T238" s="13"/>
      <c r="U238" s="300"/>
      <c r="V238" s="13"/>
      <c r="W238" s="13"/>
      <c r="X238" s="300"/>
      <c r="Y238" s="13"/>
      <c r="Z238" s="13"/>
      <c r="AA238" s="300"/>
      <c r="AB238" s="13"/>
      <c r="AC238" s="13"/>
      <c r="AD238" s="300"/>
      <c r="AE238" s="13"/>
      <c r="AF238" s="13"/>
      <c r="AG238" s="300"/>
      <c r="AH238" s="13"/>
      <c r="AI238" s="13"/>
      <c r="AJ238" s="300"/>
      <c r="AK238" s="13"/>
      <c r="AL238" s="301"/>
      <c r="AM238" s="300"/>
      <c r="AN238" s="13"/>
      <c r="AO238" s="301"/>
      <c r="AP238" s="300"/>
    </row>
    <row r="239">
      <c r="A239" s="13"/>
      <c r="B239" s="13"/>
      <c r="C239" s="13"/>
      <c r="D239" s="13"/>
      <c r="E239" s="13"/>
      <c r="F239" s="13"/>
      <c r="G239" s="13"/>
      <c r="H239" s="13"/>
      <c r="I239" s="13"/>
      <c r="J239" s="13"/>
      <c r="K239" s="13"/>
      <c r="L239" s="13"/>
      <c r="M239" s="13"/>
      <c r="N239" s="13"/>
      <c r="O239" s="13"/>
      <c r="P239" s="13"/>
      <c r="Q239" s="13"/>
      <c r="R239" s="300"/>
      <c r="S239" s="13"/>
      <c r="T239" s="13"/>
      <c r="U239" s="300"/>
      <c r="V239" s="13"/>
      <c r="W239" s="13"/>
      <c r="X239" s="300"/>
      <c r="Y239" s="13"/>
      <c r="Z239" s="13"/>
      <c r="AA239" s="300"/>
      <c r="AB239" s="13"/>
      <c r="AC239" s="13"/>
      <c r="AD239" s="300"/>
      <c r="AE239" s="13"/>
      <c r="AF239" s="13"/>
      <c r="AG239" s="300"/>
      <c r="AH239" s="13"/>
      <c r="AI239" s="13"/>
      <c r="AJ239" s="300"/>
      <c r="AK239" s="13"/>
      <c r="AL239" s="301"/>
      <c r="AM239" s="300"/>
      <c r="AN239" s="13"/>
      <c r="AO239" s="301"/>
      <c r="AP239" s="300"/>
    </row>
    <row r="240">
      <c r="A240" s="13"/>
      <c r="B240" s="13"/>
      <c r="C240" s="13"/>
      <c r="D240" s="13"/>
      <c r="E240" s="13"/>
      <c r="F240" s="13"/>
      <c r="G240" s="13"/>
      <c r="H240" s="13"/>
      <c r="I240" s="13"/>
      <c r="J240" s="13"/>
      <c r="K240" s="13"/>
      <c r="L240" s="13"/>
      <c r="M240" s="13"/>
      <c r="N240" s="13"/>
      <c r="O240" s="13"/>
      <c r="P240" s="13"/>
      <c r="Q240" s="13"/>
      <c r="R240" s="300"/>
      <c r="S240" s="13"/>
      <c r="T240" s="13"/>
      <c r="U240" s="300"/>
      <c r="V240" s="13"/>
      <c r="W240" s="13"/>
      <c r="X240" s="300"/>
      <c r="Y240" s="13"/>
      <c r="Z240" s="13"/>
      <c r="AA240" s="300"/>
      <c r="AB240" s="13"/>
      <c r="AC240" s="13"/>
      <c r="AD240" s="300"/>
      <c r="AE240" s="13"/>
      <c r="AF240" s="13"/>
      <c r="AG240" s="300"/>
      <c r="AH240" s="13"/>
      <c r="AI240" s="13"/>
      <c r="AJ240" s="300"/>
      <c r="AK240" s="13"/>
      <c r="AL240" s="301"/>
      <c r="AM240" s="300"/>
      <c r="AN240" s="13"/>
      <c r="AO240" s="301"/>
      <c r="AP240" s="300"/>
    </row>
    <row r="241">
      <c r="A241" s="13"/>
      <c r="B241" s="13"/>
      <c r="C241" s="13"/>
      <c r="D241" s="13"/>
      <c r="E241" s="13"/>
      <c r="F241" s="13"/>
      <c r="G241" s="13"/>
      <c r="H241" s="13"/>
      <c r="I241" s="13"/>
      <c r="J241" s="13"/>
      <c r="K241" s="13"/>
      <c r="L241" s="13"/>
      <c r="M241" s="13"/>
      <c r="N241" s="13"/>
      <c r="O241" s="13"/>
      <c r="P241" s="13"/>
      <c r="Q241" s="13"/>
      <c r="R241" s="300"/>
      <c r="S241" s="13"/>
      <c r="T241" s="13"/>
      <c r="U241" s="300"/>
      <c r="V241" s="13"/>
      <c r="W241" s="13"/>
      <c r="X241" s="300"/>
      <c r="Y241" s="13"/>
      <c r="Z241" s="13"/>
      <c r="AA241" s="300"/>
      <c r="AB241" s="13"/>
      <c r="AC241" s="13"/>
      <c r="AD241" s="300"/>
      <c r="AE241" s="13"/>
      <c r="AF241" s="13"/>
      <c r="AG241" s="300"/>
      <c r="AH241" s="13"/>
      <c r="AI241" s="13"/>
      <c r="AJ241" s="300"/>
      <c r="AK241" s="13"/>
      <c r="AL241" s="301"/>
      <c r="AM241" s="300"/>
      <c r="AN241" s="13"/>
      <c r="AO241" s="301"/>
      <c r="AP241" s="300"/>
    </row>
    <row r="242">
      <c r="A242" s="13"/>
      <c r="B242" s="13"/>
      <c r="C242" s="13"/>
      <c r="D242" s="13"/>
      <c r="E242" s="13"/>
      <c r="F242" s="13"/>
      <c r="G242" s="13"/>
      <c r="H242" s="13"/>
      <c r="I242" s="13"/>
      <c r="J242" s="13"/>
      <c r="K242" s="13"/>
      <c r="L242" s="13"/>
      <c r="M242" s="13"/>
      <c r="N242" s="13"/>
      <c r="O242" s="13"/>
      <c r="P242" s="13"/>
      <c r="Q242" s="13"/>
      <c r="R242" s="300"/>
      <c r="S242" s="13"/>
      <c r="T242" s="13"/>
      <c r="U242" s="300"/>
      <c r="V242" s="13"/>
      <c r="W242" s="13"/>
      <c r="X242" s="300"/>
      <c r="Y242" s="13"/>
      <c r="Z242" s="13"/>
      <c r="AA242" s="300"/>
      <c r="AB242" s="13"/>
      <c r="AC242" s="13"/>
      <c r="AD242" s="300"/>
      <c r="AE242" s="13"/>
      <c r="AF242" s="13"/>
      <c r="AG242" s="300"/>
      <c r="AH242" s="13"/>
      <c r="AI242" s="13"/>
      <c r="AJ242" s="300"/>
      <c r="AK242" s="13"/>
      <c r="AL242" s="301"/>
      <c r="AM242" s="300"/>
      <c r="AN242" s="13"/>
      <c r="AO242" s="301"/>
      <c r="AP242" s="300"/>
    </row>
    <row r="243">
      <c r="A243" s="13"/>
      <c r="B243" s="13"/>
      <c r="C243" s="13"/>
      <c r="D243" s="13"/>
      <c r="E243" s="13"/>
      <c r="F243" s="13"/>
      <c r="G243" s="13"/>
      <c r="H243" s="13"/>
      <c r="I243" s="13"/>
      <c r="J243" s="13"/>
      <c r="K243" s="13"/>
      <c r="L243" s="13"/>
      <c r="M243" s="13"/>
      <c r="N243" s="13"/>
      <c r="O243" s="13"/>
      <c r="P243" s="13"/>
      <c r="Q243" s="13"/>
      <c r="R243" s="300"/>
      <c r="S243" s="13"/>
      <c r="T243" s="13"/>
      <c r="U243" s="300"/>
      <c r="V243" s="13"/>
      <c r="W243" s="13"/>
      <c r="X243" s="300"/>
      <c r="Y243" s="13"/>
      <c r="Z243" s="13"/>
      <c r="AA243" s="300"/>
      <c r="AB243" s="13"/>
      <c r="AC243" s="13"/>
      <c r="AD243" s="300"/>
      <c r="AE243" s="13"/>
      <c r="AF243" s="13"/>
      <c r="AG243" s="300"/>
      <c r="AH243" s="13"/>
      <c r="AI243" s="13"/>
      <c r="AJ243" s="300"/>
      <c r="AK243" s="13"/>
      <c r="AL243" s="301"/>
      <c r="AM243" s="300"/>
      <c r="AN243" s="13"/>
      <c r="AO243" s="301"/>
      <c r="AP243" s="300"/>
    </row>
    <row r="244">
      <c r="A244" s="13"/>
      <c r="B244" s="13"/>
      <c r="C244" s="13"/>
      <c r="D244" s="13"/>
      <c r="E244" s="13"/>
      <c r="F244" s="13"/>
      <c r="G244" s="13"/>
      <c r="H244" s="13"/>
      <c r="I244" s="13"/>
      <c r="J244" s="13"/>
      <c r="K244" s="13"/>
      <c r="L244" s="13"/>
      <c r="M244" s="13"/>
      <c r="N244" s="13"/>
      <c r="O244" s="13"/>
      <c r="P244" s="13"/>
      <c r="Q244" s="13"/>
      <c r="R244" s="300"/>
      <c r="S244" s="13"/>
      <c r="T244" s="13"/>
      <c r="U244" s="300"/>
      <c r="V244" s="13"/>
      <c r="W244" s="13"/>
      <c r="X244" s="300"/>
      <c r="Y244" s="13"/>
      <c r="Z244" s="13"/>
      <c r="AA244" s="300"/>
      <c r="AB244" s="13"/>
      <c r="AC244" s="13"/>
      <c r="AD244" s="300"/>
      <c r="AE244" s="13"/>
      <c r="AF244" s="13"/>
      <c r="AG244" s="300"/>
      <c r="AH244" s="13"/>
      <c r="AI244" s="13"/>
      <c r="AJ244" s="300"/>
      <c r="AK244" s="13"/>
      <c r="AL244" s="301"/>
      <c r="AM244" s="300"/>
      <c r="AN244" s="13"/>
      <c r="AO244" s="301"/>
      <c r="AP244" s="300"/>
    </row>
    <row r="245">
      <c r="A245" s="13"/>
      <c r="B245" s="13"/>
      <c r="C245" s="13"/>
      <c r="D245" s="13"/>
      <c r="E245" s="13"/>
      <c r="F245" s="13"/>
      <c r="G245" s="13"/>
      <c r="H245" s="13"/>
      <c r="I245" s="13"/>
      <c r="J245" s="13"/>
      <c r="K245" s="13"/>
      <c r="L245" s="13"/>
      <c r="M245" s="13"/>
      <c r="N245" s="13"/>
      <c r="O245" s="13"/>
      <c r="P245" s="13"/>
      <c r="Q245" s="13"/>
      <c r="R245" s="300"/>
      <c r="S245" s="13"/>
      <c r="T245" s="13"/>
      <c r="U245" s="300"/>
      <c r="V245" s="13"/>
      <c r="W245" s="13"/>
      <c r="X245" s="300"/>
      <c r="Y245" s="13"/>
      <c r="Z245" s="13"/>
      <c r="AA245" s="300"/>
      <c r="AB245" s="13"/>
      <c r="AC245" s="13"/>
      <c r="AD245" s="300"/>
      <c r="AE245" s="13"/>
      <c r="AF245" s="13"/>
      <c r="AG245" s="300"/>
      <c r="AH245" s="13"/>
      <c r="AI245" s="13"/>
      <c r="AJ245" s="300"/>
      <c r="AK245" s="13"/>
      <c r="AL245" s="301"/>
      <c r="AM245" s="300"/>
      <c r="AN245" s="13"/>
      <c r="AO245" s="301"/>
      <c r="AP245" s="300"/>
    </row>
    <row r="246">
      <c r="A246" s="13"/>
      <c r="B246" s="13"/>
      <c r="C246" s="13"/>
      <c r="D246" s="13"/>
      <c r="E246" s="13"/>
      <c r="F246" s="13"/>
      <c r="G246" s="13"/>
      <c r="H246" s="13"/>
      <c r="I246" s="13"/>
      <c r="J246" s="13"/>
      <c r="K246" s="13"/>
      <c r="L246" s="13"/>
      <c r="M246" s="13"/>
      <c r="N246" s="13"/>
      <c r="O246" s="13"/>
      <c r="P246" s="13"/>
      <c r="Q246" s="13"/>
      <c r="R246" s="300"/>
      <c r="S246" s="13"/>
      <c r="T246" s="13"/>
      <c r="U246" s="300"/>
      <c r="V246" s="13"/>
      <c r="W246" s="13"/>
      <c r="X246" s="300"/>
      <c r="Y246" s="13"/>
      <c r="Z246" s="13"/>
      <c r="AA246" s="300"/>
      <c r="AB246" s="13"/>
      <c r="AC246" s="13"/>
      <c r="AD246" s="300"/>
      <c r="AE246" s="13"/>
      <c r="AF246" s="13"/>
      <c r="AG246" s="300"/>
      <c r="AH246" s="13"/>
      <c r="AI246" s="13"/>
      <c r="AJ246" s="300"/>
      <c r="AK246" s="13"/>
      <c r="AL246" s="301"/>
      <c r="AM246" s="300"/>
      <c r="AN246" s="13"/>
      <c r="AO246" s="301"/>
      <c r="AP246" s="300"/>
    </row>
    <row r="247">
      <c r="A247" s="13"/>
      <c r="B247" s="13"/>
      <c r="C247" s="13"/>
      <c r="D247" s="13"/>
      <c r="E247" s="13"/>
      <c r="F247" s="13"/>
      <c r="G247" s="13"/>
      <c r="H247" s="13"/>
      <c r="I247" s="13"/>
      <c r="J247" s="13"/>
      <c r="K247" s="13"/>
      <c r="L247" s="13"/>
      <c r="M247" s="13"/>
      <c r="N247" s="13"/>
      <c r="O247" s="13"/>
      <c r="P247" s="13"/>
      <c r="Q247" s="13"/>
      <c r="R247" s="300"/>
      <c r="S247" s="13"/>
      <c r="T247" s="13"/>
      <c r="U247" s="300"/>
      <c r="V247" s="13"/>
      <c r="W247" s="13"/>
      <c r="X247" s="300"/>
      <c r="Y247" s="13"/>
      <c r="Z247" s="13"/>
      <c r="AA247" s="300"/>
      <c r="AB247" s="13"/>
      <c r="AC247" s="13"/>
      <c r="AD247" s="300"/>
      <c r="AE247" s="13"/>
      <c r="AF247" s="13"/>
      <c r="AG247" s="300"/>
      <c r="AH247" s="13"/>
      <c r="AI247" s="13"/>
      <c r="AJ247" s="300"/>
      <c r="AK247" s="13"/>
      <c r="AL247" s="301"/>
      <c r="AM247" s="300"/>
      <c r="AN247" s="13"/>
      <c r="AO247" s="301"/>
      <c r="AP247" s="300"/>
    </row>
    <row r="248">
      <c r="A248" s="13"/>
      <c r="B248" s="13"/>
      <c r="C248" s="13"/>
      <c r="D248" s="13"/>
      <c r="E248" s="13"/>
      <c r="F248" s="13"/>
      <c r="G248" s="13"/>
      <c r="H248" s="13"/>
      <c r="I248" s="13"/>
      <c r="J248" s="13"/>
      <c r="K248" s="13"/>
      <c r="L248" s="13"/>
      <c r="M248" s="13"/>
      <c r="N248" s="13"/>
      <c r="O248" s="13"/>
      <c r="P248" s="13"/>
      <c r="Q248" s="13"/>
      <c r="R248" s="300"/>
      <c r="S248" s="13"/>
      <c r="T248" s="13"/>
      <c r="U248" s="300"/>
      <c r="V248" s="13"/>
      <c r="W248" s="13"/>
      <c r="X248" s="300"/>
      <c r="Y248" s="13"/>
      <c r="Z248" s="13"/>
      <c r="AA248" s="300"/>
      <c r="AB248" s="13"/>
      <c r="AC248" s="13"/>
      <c r="AD248" s="300"/>
      <c r="AE248" s="13"/>
      <c r="AF248" s="13"/>
      <c r="AG248" s="300"/>
      <c r="AH248" s="13"/>
      <c r="AI248" s="13"/>
      <c r="AJ248" s="300"/>
      <c r="AK248" s="13"/>
      <c r="AL248" s="301"/>
      <c r="AM248" s="300"/>
      <c r="AN248" s="13"/>
      <c r="AO248" s="301"/>
      <c r="AP248" s="300"/>
    </row>
    <row r="249">
      <c r="A249" s="13"/>
      <c r="B249" s="13"/>
      <c r="C249" s="13"/>
      <c r="D249" s="13"/>
      <c r="E249" s="13"/>
      <c r="F249" s="13"/>
      <c r="G249" s="13"/>
      <c r="H249" s="13"/>
      <c r="I249" s="13"/>
      <c r="J249" s="13"/>
      <c r="K249" s="13"/>
      <c r="L249" s="13"/>
      <c r="M249" s="13"/>
      <c r="N249" s="13"/>
      <c r="O249" s="13"/>
      <c r="P249" s="13"/>
      <c r="Q249" s="13"/>
      <c r="R249" s="300"/>
      <c r="S249" s="13"/>
      <c r="T249" s="13"/>
      <c r="U249" s="300"/>
      <c r="V249" s="13"/>
      <c r="W249" s="13"/>
      <c r="X249" s="300"/>
      <c r="Y249" s="13"/>
      <c r="Z249" s="13"/>
      <c r="AA249" s="300"/>
      <c r="AB249" s="13"/>
      <c r="AC249" s="13"/>
      <c r="AD249" s="300"/>
      <c r="AE249" s="13"/>
      <c r="AF249" s="13"/>
      <c r="AG249" s="300"/>
      <c r="AH249" s="13"/>
      <c r="AI249" s="13"/>
      <c r="AJ249" s="300"/>
      <c r="AK249" s="13"/>
      <c r="AL249" s="301"/>
      <c r="AM249" s="300"/>
      <c r="AN249" s="13"/>
      <c r="AO249" s="301"/>
      <c r="AP249" s="300"/>
    </row>
    <row r="250">
      <c r="A250" s="13"/>
      <c r="B250" s="13"/>
      <c r="C250" s="13"/>
      <c r="D250" s="13"/>
      <c r="E250" s="13"/>
      <c r="F250" s="13"/>
      <c r="G250" s="13"/>
      <c r="H250" s="13"/>
      <c r="I250" s="13"/>
      <c r="J250" s="13"/>
      <c r="K250" s="13"/>
      <c r="L250" s="13"/>
      <c r="M250" s="13"/>
      <c r="N250" s="13"/>
      <c r="O250" s="13"/>
      <c r="P250" s="13"/>
      <c r="Q250" s="13"/>
      <c r="R250" s="300"/>
      <c r="S250" s="13"/>
      <c r="T250" s="13"/>
      <c r="U250" s="300"/>
      <c r="V250" s="13"/>
      <c r="W250" s="13"/>
      <c r="X250" s="300"/>
      <c r="Y250" s="13"/>
      <c r="Z250" s="13"/>
      <c r="AA250" s="300"/>
      <c r="AB250" s="13"/>
      <c r="AC250" s="13"/>
      <c r="AD250" s="300"/>
      <c r="AE250" s="13"/>
      <c r="AF250" s="13"/>
      <c r="AG250" s="300"/>
      <c r="AH250" s="13"/>
      <c r="AI250" s="13"/>
      <c r="AJ250" s="300"/>
      <c r="AK250" s="13"/>
      <c r="AL250" s="301"/>
      <c r="AM250" s="300"/>
      <c r="AN250" s="13"/>
      <c r="AO250" s="301"/>
      <c r="AP250" s="300"/>
    </row>
    <row r="251">
      <c r="A251" s="13"/>
      <c r="B251" s="13"/>
      <c r="C251" s="13"/>
      <c r="D251" s="13"/>
      <c r="E251" s="13"/>
      <c r="F251" s="13"/>
      <c r="G251" s="13"/>
      <c r="H251" s="13"/>
      <c r="I251" s="13"/>
      <c r="J251" s="13"/>
      <c r="K251" s="13"/>
      <c r="L251" s="13"/>
      <c r="M251" s="13"/>
      <c r="N251" s="13"/>
      <c r="O251" s="13"/>
      <c r="P251" s="13"/>
      <c r="Q251" s="13"/>
      <c r="R251" s="300"/>
      <c r="S251" s="13"/>
      <c r="T251" s="13"/>
      <c r="U251" s="300"/>
      <c r="V251" s="13"/>
      <c r="W251" s="13"/>
      <c r="X251" s="300"/>
      <c r="Y251" s="13"/>
      <c r="Z251" s="13"/>
      <c r="AA251" s="300"/>
      <c r="AB251" s="13"/>
      <c r="AC251" s="13"/>
      <c r="AD251" s="300"/>
      <c r="AE251" s="13"/>
      <c r="AF251" s="13"/>
      <c r="AG251" s="300"/>
      <c r="AH251" s="13"/>
      <c r="AI251" s="13"/>
      <c r="AJ251" s="300"/>
      <c r="AK251" s="13"/>
      <c r="AL251" s="301"/>
      <c r="AM251" s="300"/>
      <c r="AN251" s="13"/>
      <c r="AO251" s="301"/>
      <c r="AP251" s="300"/>
    </row>
    <row r="252">
      <c r="A252" s="13"/>
      <c r="B252" s="13"/>
      <c r="C252" s="13"/>
      <c r="D252" s="13"/>
      <c r="E252" s="13"/>
      <c r="F252" s="13"/>
      <c r="G252" s="13"/>
      <c r="H252" s="13"/>
      <c r="I252" s="13"/>
      <c r="J252" s="13"/>
      <c r="K252" s="13"/>
      <c r="L252" s="13"/>
      <c r="M252" s="13"/>
      <c r="N252" s="13"/>
      <c r="O252" s="13"/>
      <c r="P252" s="13"/>
      <c r="Q252" s="13"/>
      <c r="R252" s="300"/>
      <c r="S252" s="13"/>
      <c r="T252" s="13"/>
      <c r="U252" s="300"/>
      <c r="V252" s="13"/>
      <c r="W252" s="13"/>
      <c r="X252" s="300"/>
      <c r="Y252" s="13"/>
      <c r="Z252" s="13"/>
      <c r="AA252" s="300"/>
      <c r="AB252" s="13"/>
      <c r="AC252" s="13"/>
      <c r="AD252" s="300"/>
      <c r="AE252" s="13"/>
      <c r="AF252" s="13"/>
      <c r="AG252" s="300"/>
      <c r="AH252" s="13"/>
      <c r="AI252" s="13"/>
      <c r="AJ252" s="300"/>
      <c r="AK252" s="13"/>
      <c r="AL252" s="301"/>
      <c r="AM252" s="300"/>
      <c r="AN252" s="13"/>
      <c r="AO252" s="301"/>
      <c r="AP252" s="300"/>
    </row>
    <row r="253">
      <c r="A253" s="13"/>
      <c r="B253" s="13"/>
      <c r="C253" s="13"/>
      <c r="D253" s="13"/>
      <c r="E253" s="13"/>
      <c r="F253" s="13"/>
      <c r="G253" s="13"/>
      <c r="H253" s="13"/>
      <c r="I253" s="13"/>
      <c r="J253" s="13"/>
      <c r="K253" s="13"/>
      <c r="L253" s="13"/>
      <c r="M253" s="13"/>
      <c r="N253" s="13"/>
      <c r="O253" s="13"/>
      <c r="P253" s="13"/>
      <c r="Q253" s="13"/>
      <c r="R253" s="300"/>
      <c r="S253" s="13"/>
      <c r="T253" s="13"/>
      <c r="U253" s="300"/>
      <c r="V253" s="13"/>
      <c r="W253" s="13"/>
      <c r="X253" s="300"/>
      <c r="Y253" s="13"/>
      <c r="Z253" s="13"/>
      <c r="AA253" s="300"/>
      <c r="AB253" s="13"/>
      <c r="AC253" s="13"/>
      <c r="AD253" s="300"/>
      <c r="AE253" s="13"/>
      <c r="AF253" s="13"/>
      <c r="AG253" s="300"/>
      <c r="AH253" s="13"/>
      <c r="AI253" s="13"/>
      <c r="AJ253" s="300"/>
      <c r="AK253" s="13"/>
      <c r="AL253" s="301"/>
      <c r="AM253" s="300"/>
      <c r="AN253" s="13"/>
      <c r="AO253" s="301"/>
      <c r="AP253" s="300"/>
    </row>
    <row r="254">
      <c r="A254" s="13"/>
      <c r="B254" s="13"/>
      <c r="C254" s="13"/>
      <c r="D254" s="13"/>
      <c r="E254" s="13"/>
      <c r="F254" s="13"/>
      <c r="G254" s="13"/>
      <c r="H254" s="13"/>
      <c r="I254" s="13"/>
      <c r="J254" s="13"/>
      <c r="K254" s="13"/>
      <c r="L254" s="13"/>
      <c r="M254" s="13"/>
      <c r="N254" s="13"/>
      <c r="O254" s="13"/>
      <c r="P254" s="13"/>
      <c r="Q254" s="13"/>
      <c r="R254" s="300"/>
      <c r="S254" s="13"/>
      <c r="T254" s="13"/>
      <c r="U254" s="300"/>
      <c r="V254" s="13"/>
      <c r="W254" s="13"/>
      <c r="X254" s="300"/>
      <c r="Y254" s="13"/>
      <c r="Z254" s="13"/>
      <c r="AA254" s="300"/>
      <c r="AB254" s="13"/>
      <c r="AC254" s="13"/>
      <c r="AD254" s="300"/>
      <c r="AE254" s="13"/>
      <c r="AF254" s="13"/>
      <c r="AG254" s="300"/>
      <c r="AH254" s="13"/>
      <c r="AI254" s="13"/>
      <c r="AJ254" s="300"/>
      <c r="AK254" s="13"/>
      <c r="AL254" s="301"/>
      <c r="AM254" s="300"/>
      <c r="AN254" s="13"/>
      <c r="AO254" s="301"/>
      <c r="AP254" s="300"/>
    </row>
    <row r="255">
      <c r="A255" s="13"/>
      <c r="B255" s="13"/>
      <c r="C255" s="13"/>
      <c r="D255" s="13"/>
      <c r="E255" s="13"/>
      <c r="F255" s="13"/>
      <c r="G255" s="13"/>
      <c r="H255" s="13"/>
      <c r="I255" s="13"/>
      <c r="J255" s="13"/>
      <c r="K255" s="13"/>
      <c r="L255" s="13"/>
      <c r="M255" s="13"/>
      <c r="N255" s="13"/>
      <c r="O255" s="13"/>
      <c r="P255" s="13"/>
      <c r="Q255" s="13"/>
      <c r="R255" s="300"/>
      <c r="S255" s="13"/>
      <c r="T255" s="13"/>
      <c r="U255" s="300"/>
      <c r="V255" s="13"/>
      <c r="W255" s="13"/>
      <c r="X255" s="300"/>
      <c r="Y255" s="13"/>
      <c r="Z255" s="13"/>
      <c r="AA255" s="300"/>
      <c r="AB255" s="13"/>
      <c r="AC255" s="13"/>
      <c r="AD255" s="300"/>
      <c r="AE255" s="13"/>
      <c r="AF255" s="13"/>
      <c r="AG255" s="300"/>
      <c r="AH255" s="13"/>
      <c r="AI255" s="13"/>
      <c r="AJ255" s="300"/>
      <c r="AK255" s="13"/>
      <c r="AL255" s="301"/>
      <c r="AM255" s="300"/>
      <c r="AN255" s="13"/>
      <c r="AO255" s="301"/>
      <c r="AP255" s="300"/>
    </row>
    <row r="256">
      <c r="A256" s="13"/>
      <c r="B256" s="13"/>
      <c r="C256" s="13"/>
      <c r="D256" s="13"/>
      <c r="E256" s="13"/>
      <c r="F256" s="13"/>
      <c r="G256" s="13"/>
      <c r="H256" s="13"/>
      <c r="I256" s="13"/>
      <c r="J256" s="13"/>
      <c r="K256" s="13"/>
      <c r="L256" s="13"/>
      <c r="M256" s="13"/>
      <c r="N256" s="13"/>
      <c r="O256" s="13"/>
      <c r="P256" s="13"/>
      <c r="Q256" s="13"/>
      <c r="R256" s="300"/>
      <c r="S256" s="13"/>
      <c r="T256" s="13"/>
      <c r="U256" s="300"/>
      <c r="V256" s="13"/>
      <c r="W256" s="13"/>
      <c r="X256" s="300"/>
      <c r="Y256" s="13"/>
      <c r="Z256" s="13"/>
      <c r="AA256" s="300"/>
      <c r="AB256" s="13"/>
      <c r="AC256" s="13"/>
      <c r="AD256" s="300"/>
      <c r="AE256" s="13"/>
      <c r="AF256" s="13"/>
      <c r="AG256" s="300"/>
      <c r="AH256" s="13"/>
      <c r="AI256" s="13"/>
      <c r="AJ256" s="300"/>
      <c r="AK256" s="13"/>
      <c r="AL256" s="301"/>
      <c r="AM256" s="300"/>
      <c r="AN256" s="13"/>
      <c r="AO256" s="301"/>
      <c r="AP256" s="300"/>
    </row>
    <row r="257">
      <c r="A257" s="13"/>
      <c r="B257" s="13"/>
      <c r="C257" s="13"/>
      <c r="D257" s="13"/>
      <c r="E257" s="13"/>
      <c r="F257" s="13"/>
      <c r="G257" s="13"/>
      <c r="H257" s="13"/>
      <c r="I257" s="13"/>
      <c r="J257" s="13"/>
      <c r="K257" s="13"/>
      <c r="L257" s="13"/>
      <c r="M257" s="13"/>
      <c r="N257" s="13"/>
      <c r="O257" s="13"/>
      <c r="P257" s="13"/>
      <c r="Q257" s="13"/>
      <c r="R257" s="300"/>
      <c r="S257" s="13"/>
      <c r="T257" s="13"/>
      <c r="U257" s="300"/>
      <c r="V257" s="13"/>
      <c r="W257" s="13"/>
      <c r="X257" s="300"/>
      <c r="Y257" s="13"/>
      <c r="Z257" s="13"/>
      <c r="AA257" s="300"/>
      <c r="AB257" s="13"/>
      <c r="AC257" s="13"/>
      <c r="AD257" s="300"/>
      <c r="AE257" s="13"/>
      <c r="AF257" s="13"/>
      <c r="AG257" s="300"/>
      <c r="AH257" s="13"/>
      <c r="AI257" s="13"/>
      <c r="AJ257" s="300"/>
      <c r="AK257" s="13"/>
      <c r="AL257" s="301"/>
      <c r="AM257" s="300"/>
      <c r="AN257" s="13"/>
      <c r="AO257" s="301"/>
      <c r="AP257" s="300"/>
    </row>
    <row r="258">
      <c r="A258" s="13"/>
      <c r="B258" s="13"/>
      <c r="C258" s="13"/>
      <c r="D258" s="13"/>
      <c r="E258" s="13"/>
      <c r="F258" s="13"/>
      <c r="G258" s="13"/>
      <c r="H258" s="13"/>
      <c r="I258" s="13"/>
      <c r="J258" s="13"/>
      <c r="K258" s="13"/>
      <c r="L258" s="13"/>
      <c r="M258" s="13"/>
      <c r="N258" s="13"/>
      <c r="O258" s="13"/>
      <c r="P258" s="13"/>
      <c r="Q258" s="13"/>
      <c r="R258" s="300"/>
      <c r="S258" s="13"/>
      <c r="T258" s="13"/>
      <c r="U258" s="300"/>
      <c r="V258" s="13"/>
      <c r="W258" s="13"/>
      <c r="X258" s="300"/>
      <c r="Y258" s="13"/>
      <c r="Z258" s="13"/>
      <c r="AA258" s="300"/>
      <c r="AB258" s="13"/>
      <c r="AC258" s="13"/>
      <c r="AD258" s="300"/>
      <c r="AE258" s="13"/>
      <c r="AF258" s="13"/>
      <c r="AG258" s="300"/>
      <c r="AH258" s="13"/>
      <c r="AI258" s="13"/>
      <c r="AJ258" s="300"/>
      <c r="AK258" s="13"/>
      <c r="AL258" s="301"/>
      <c r="AM258" s="300"/>
      <c r="AN258" s="13"/>
      <c r="AO258" s="301"/>
      <c r="AP258" s="300"/>
    </row>
    <row r="259">
      <c r="A259" s="13"/>
      <c r="B259" s="13"/>
      <c r="C259" s="13"/>
      <c r="D259" s="13"/>
      <c r="E259" s="13"/>
      <c r="F259" s="13"/>
      <c r="G259" s="13"/>
      <c r="H259" s="13"/>
      <c r="I259" s="13"/>
      <c r="J259" s="13"/>
      <c r="K259" s="13"/>
      <c r="L259" s="13"/>
      <c r="M259" s="13"/>
      <c r="N259" s="13"/>
      <c r="O259" s="13"/>
      <c r="P259" s="13"/>
      <c r="Q259" s="13"/>
      <c r="R259" s="300"/>
      <c r="S259" s="13"/>
      <c r="T259" s="13"/>
      <c r="U259" s="300"/>
      <c r="V259" s="13"/>
      <c r="W259" s="13"/>
      <c r="X259" s="300"/>
      <c r="Y259" s="13"/>
      <c r="Z259" s="13"/>
      <c r="AA259" s="300"/>
      <c r="AB259" s="13"/>
      <c r="AC259" s="13"/>
      <c r="AD259" s="300"/>
      <c r="AE259" s="13"/>
      <c r="AF259" s="13"/>
      <c r="AG259" s="300"/>
      <c r="AH259" s="13"/>
      <c r="AI259" s="13"/>
      <c r="AJ259" s="300"/>
      <c r="AK259" s="13"/>
      <c r="AL259" s="301"/>
      <c r="AM259" s="300"/>
      <c r="AN259" s="13"/>
      <c r="AO259" s="301"/>
      <c r="AP259" s="300"/>
    </row>
    <row r="260">
      <c r="A260" s="13"/>
      <c r="B260" s="13"/>
      <c r="C260" s="13"/>
      <c r="D260" s="13"/>
      <c r="E260" s="13"/>
      <c r="F260" s="13"/>
      <c r="G260" s="13"/>
      <c r="H260" s="13"/>
      <c r="I260" s="13"/>
      <c r="J260" s="13"/>
      <c r="K260" s="13"/>
      <c r="L260" s="13"/>
      <c r="M260" s="13"/>
      <c r="N260" s="13"/>
      <c r="O260" s="13"/>
      <c r="P260" s="13"/>
      <c r="Q260" s="13"/>
      <c r="R260" s="300"/>
      <c r="S260" s="13"/>
      <c r="T260" s="13"/>
      <c r="U260" s="300"/>
      <c r="V260" s="13"/>
      <c r="W260" s="13"/>
      <c r="X260" s="300"/>
      <c r="Y260" s="13"/>
      <c r="Z260" s="13"/>
      <c r="AA260" s="300"/>
      <c r="AB260" s="13"/>
      <c r="AC260" s="13"/>
      <c r="AD260" s="300"/>
      <c r="AE260" s="13"/>
      <c r="AF260" s="13"/>
      <c r="AG260" s="300"/>
      <c r="AH260" s="13"/>
      <c r="AI260" s="13"/>
      <c r="AJ260" s="300"/>
      <c r="AK260" s="13"/>
      <c r="AL260" s="301"/>
      <c r="AM260" s="300"/>
      <c r="AN260" s="13"/>
      <c r="AO260" s="301"/>
      <c r="AP260" s="300"/>
    </row>
    <row r="261">
      <c r="A261" s="13"/>
      <c r="B261" s="13"/>
      <c r="C261" s="13"/>
      <c r="D261" s="13"/>
      <c r="E261" s="13"/>
      <c r="F261" s="13"/>
      <c r="G261" s="13"/>
      <c r="H261" s="13"/>
      <c r="I261" s="13"/>
      <c r="J261" s="13"/>
      <c r="K261" s="13"/>
      <c r="L261" s="13"/>
      <c r="M261" s="13"/>
      <c r="N261" s="13"/>
      <c r="O261" s="13"/>
      <c r="P261" s="13"/>
      <c r="Q261" s="13"/>
      <c r="R261" s="300"/>
      <c r="S261" s="13"/>
      <c r="T261" s="13"/>
      <c r="U261" s="300"/>
      <c r="V261" s="13"/>
      <c r="W261" s="13"/>
      <c r="X261" s="300"/>
      <c r="Y261" s="13"/>
      <c r="Z261" s="13"/>
      <c r="AA261" s="300"/>
      <c r="AB261" s="13"/>
      <c r="AC261" s="13"/>
      <c r="AD261" s="300"/>
      <c r="AE261" s="13"/>
      <c r="AF261" s="13"/>
      <c r="AG261" s="300"/>
      <c r="AH261" s="13"/>
      <c r="AI261" s="13"/>
      <c r="AJ261" s="300"/>
      <c r="AK261" s="13"/>
      <c r="AL261" s="301"/>
      <c r="AM261" s="300"/>
      <c r="AN261" s="13"/>
      <c r="AO261" s="301"/>
      <c r="AP261" s="300"/>
    </row>
    <row r="262">
      <c r="A262" s="13"/>
      <c r="B262" s="13"/>
      <c r="C262" s="13"/>
      <c r="D262" s="13"/>
      <c r="E262" s="13"/>
      <c r="F262" s="13"/>
      <c r="G262" s="13"/>
      <c r="H262" s="13"/>
      <c r="I262" s="13"/>
      <c r="J262" s="13"/>
      <c r="K262" s="13"/>
      <c r="L262" s="13"/>
      <c r="M262" s="13"/>
      <c r="N262" s="13"/>
      <c r="O262" s="13"/>
      <c r="P262" s="13"/>
      <c r="Q262" s="13"/>
      <c r="R262" s="300"/>
      <c r="S262" s="13"/>
      <c r="T262" s="13"/>
      <c r="U262" s="300"/>
      <c r="V262" s="13"/>
      <c r="W262" s="13"/>
      <c r="X262" s="300"/>
      <c r="Y262" s="13"/>
      <c r="Z262" s="13"/>
      <c r="AA262" s="300"/>
      <c r="AB262" s="13"/>
      <c r="AC262" s="13"/>
      <c r="AD262" s="300"/>
      <c r="AE262" s="13"/>
      <c r="AF262" s="13"/>
      <c r="AG262" s="300"/>
      <c r="AH262" s="13"/>
      <c r="AI262" s="13"/>
      <c r="AJ262" s="300"/>
      <c r="AK262" s="13"/>
      <c r="AL262" s="301"/>
      <c r="AM262" s="300"/>
      <c r="AN262" s="13"/>
      <c r="AO262" s="301"/>
      <c r="AP262" s="300"/>
    </row>
    <row r="263">
      <c r="A263" s="13"/>
      <c r="B263" s="13"/>
      <c r="C263" s="13"/>
      <c r="D263" s="13"/>
      <c r="E263" s="13"/>
      <c r="F263" s="13"/>
      <c r="G263" s="13"/>
      <c r="H263" s="13"/>
      <c r="I263" s="13"/>
      <c r="J263" s="13"/>
      <c r="K263" s="13"/>
      <c r="L263" s="13"/>
      <c r="M263" s="13"/>
      <c r="N263" s="13"/>
      <c r="O263" s="13"/>
      <c r="P263" s="13"/>
      <c r="Q263" s="13"/>
      <c r="R263" s="300"/>
      <c r="S263" s="13"/>
      <c r="T263" s="13"/>
      <c r="U263" s="300"/>
      <c r="V263" s="13"/>
      <c r="W263" s="13"/>
      <c r="X263" s="300"/>
      <c r="Y263" s="13"/>
      <c r="Z263" s="13"/>
      <c r="AA263" s="300"/>
      <c r="AB263" s="13"/>
      <c r="AC263" s="13"/>
      <c r="AD263" s="300"/>
      <c r="AE263" s="13"/>
      <c r="AF263" s="13"/>
      <c r="AG263" s="300"/>
      <c r="AH263" s="13"/>
      <c r="AI263" s="13"/>
      <c r="AJ263" s="300"/>
      <c r="AK263" s="13"/>
      <c r="AL263" s="301"/>
      <c r="AM263" s="300"/>
      <c r="AN263" s="13"/>
      <c r="AO263" s="301"/>
      <c r="AP263" s="300"/>
    </row>
    <row r="264">
      <c r="A264" s="13"/>
      <c r="B264" s="13"/>
      <c r="C264" s="13"/>
      <c r="D264" s="13"/>
      <c r="E264" s="13"/>
      <c r="F264" s="13"/>
      <c r="G264" s="13"/>
      <c r="H264" s="13"/>
      <c r="I264" s="13"/>
      <c r="J264" s="13"/>
      <c r="K264" s="13"/>
      <c r="L264" s="13"/>
      <c r="M264" s="13"/>
      <c r="N264" s="13"/>
      <c r="O264" s="13"/>
      <c r="P264" s="13"/>
      <c r="Q264" s="13"/>
      <c r="R264" s="300"/>
      <c r="S264" s="13"/>
      <c r="T264" s="13"/>
      <c r="U264" s="300"/>
      <c r="V264" s="13"/>
      <c r="W264" s="13"/>
      <c r="X264" s="300"/>
      <c r="Y264" s="13"/>
      <c r="Z264" s="13"/>
      <c r="AA264" s="300"/>
      <c r="AB264" s="13"/>
      <c r="AC264" s="13"/>
      <c r="AD264" s="300"/>
      <c r="AE264" s="13"/>
      <c r="AF264" s="13"/>
      <c r="AG264" s="300"/>
      <c r="AH264" s="13"/>
      <c r="AI264" s="13"/>
      <c r="AJ264" s="300"/>
      <c r="AK264" s="13"/>
      <c r="AL264" s="301"/>
      <c r="AM264" s="300"/>
      <c r="AN264" s="13"/>
      <c r="AO264" s="301"/>
      <c r="AP264" s="300"/>
    </row>
    <row r="265">
      <c r="A265" s="13"/>
      <c r="B265" s="13"/>
      <c r="C265" s="13"/>
      <c r="D265" s="13"/>
      <c r="E265" s="13"/>
      <c r="F265" s="13"/>
      <c r="G265" s="13"/>
      <c r="H265" s="13"/>
      <c r="I265" s="13"/>
      <c r="J265" s="13"/>
      <c r="K265" s="13"/>
      <c r="L265" s="13"/>
      <c r="M265" s="13"/>
      <c r="N265" s="13"/>
      <c r="O265" s="13"/>
      <c r="P265" s="13"/>
      <c r="Q265" s="13"/>
      <c r="R265" s="300"/>
      <c r="S265" s="13"/>
      <c r="T265" s="13"/>
      <c r="U265" s="300"/>
      <c r="V265" s="13"/>
      <c r="W265" s="13"/>
      <c r="X265" s="300"/>
      <c r="Y265" s="13"/>
      <c r="Z265" s="13"/>
      <c r="AA265" s="300"/>
      <c r="AB265" s="13"/>
      <c r="AC265" s="13"/>
      <c r="AD265" s="300"/>
      <c r="AE265" s="13"/>
      <c r="AF265" s="13"/>
      <c r="AG265" s="300"/>
      <c r="AH265" s="13"/>
      <c r="AI265" s="13"/>
      <c r="AJ265" s="300"/>
      <c r="AK265" s="13"/>
      <c r="AL265" s="301"/>
      <c r="AM265" s="300"/>
      <c r="AN265" s="13"/>
      <c r="AO265" s="301"/>
      <c r="AP265" s="300"/>
    </row>
    <row r="266">
      <c r="A266" s="13"/>
      <c r="B266" s="13"/>
      <c r="C266" s="13"/>
      <c r="D266" s="13"/>
      <c r="E266" s="13"/>
      <c r="F266" s="13"/>
      <c r="G266" s="13"/>
      <c r="H266" s="13"/>
      <c r="I266" s="13"/>
      <c r="J266" s="13"/>
      <c r="K266" s="13"/>
      <c r="L266" s="13"/>
      <c r="M266" s="13"/>
      <c r="N266" s="13"/>
      <c r="O266" s="13"/>
      <c r="P266" s="13"/>
      <c r="Q266" s="13"/>
      <c r="R266" s="300"/>
      <c r="S266" s="13"/>
      <c r="T266" s="13"/>
      <c r="U266" s="300"/>
      <c r="V266" s="13"/>
      <c r="W266" s="13"/>
      <c r="X266" s="300"/>
      <c r="Y266" s="13"/>
      <c r="Z266" s="13"/>
      <c r="AA266" s="300"/>
      <c r="AB266" s="13"/>
      <c r="AC266" s="13"/>
      <c r="AD266" s="300"/>
      <c r="AE266" s="13"/>
      <c r="AF266" s="13"/>
      <c r="AG266" s="300"/>
      <c r="AH266" s="13"/>
      <c r="AI266" s="13"/>
      <c r="AJ266" s="300"/>
      <c r="AK266" s="13"/>
      <c r="AL266" s="301"/>
      <c r="AM266" s="300"/>
      <c r="AN266" s="13"/>
      <c r="AO266" s="301"/>
      <c r="AP266" s="300"/>
    </row>
    <row r="267">
      <c r="A267" s="13"/>
      <c r="B267" s="13"/>
      <c r="C267" s="13"/>
      <c r="D267" s="13"/>
      <c r="E267" s="13"/>
      <c r="F267" s="13"/>
      <c r="G267" s="13"/>
      <c r="H267" s="13"/>
      <c r="I267" s="13"/>
      <c r="J267" s="13"/>
      <c r="K267" s="13"/>
      <c r="L267" s="13"/>
      <c r="M267" s="13"/>
      <c r="N267" s="13"/>
      <c r="O267" s="13"/>
      <c r="P267" s="13"/>
      <c r="Q267" s="13"/>
      <c r="R267" s="300"/>
      <c r="S267" s="13"/>
      <c r="T267" s="13"/>
      <c r="U267" s="300"/>
      <c r="V267" s="13"/>
      <c r="W267" s="13"/>
      <c r="X267" s="300"/>
      <c r="Y267" s="13"/>
      <c r="Z267" s="13"/>
      <c r="AA267" s="300"/>
      <c r="AB267" s="13"/>
      <c r="AC267" s="13"/>
      <c r="AD267" s="300"/>
      <c r="AE267" s="13"/>
      <c r="AF267" s="13"/>
      <c r="AG267" s="300"/>
      <c r="AH267" s="13"/>
      <c r="AI267" s="13"/>
      <c r="AJ267" s="300"/>
      <c r="AK267" s="13"/>
      <c r="AL267" s="301"/>
      <c r="AM267" s="300"/>
      <c r="AN267" s="13"/>
      <c r="AO267" s="301"/>
      <c r="AP267" s="300"/>
    </row>
    <row r="268">
      <c r="A268" s="13"/>
      <c r="B268" s="13"/>
      <c r="C268" s="13"/>
      <c r="D268" s="13"/>
      <c r="E268" s="13"/>
      <c r="F268" s="13"/>
      <c r="G268" s="13"/>
      <c r="H268" s="13"/>
      <c r="I268" s="13"/>
      <c r="J268" s="13"/>
      <c r="K268" s="13"/>
      <c r="L268" s="13"/>
      <c r="M268" s="13"/>
      <c r="N268" s="13"/>
      <c r="O268" s="13"/>
      <c r="P268" s="13"/>
      <c r="Q268" s="13"/>
      <c r="R268" s="300"/>
      <c r="S268" s="13"/>
      <c r="T268" s="13"/>
      <c r="U268" s="300"/>
      <c r="V268" s="13"/>
      <c r="W268" s="13"/>
      <c r="X268" s="300"/>
      <c r="Y268" s="13"/>
      <c r="Z268" s="13"/>
      <c r="AA268" s="300"/>
      <c r="AB268" s="13"/>
      <c r="AC268" s="13"/>
      <c r="AD268" s="300"/>
      <c r="AE268" s="13"/>
      <c r="AF268" s="13"/>
      <c r="AG268" s="300"/>
      <c r="AH268" s="13"/>
      <c r="AI268" s="13"/>
      <c r="AJ268" s="300"/>
      <c r="AK268" s="13"/>
      <c r="AL268" s="301"/>
      <c r="AM268" s="300"/>
      <c r="AN268" s="13"/>
      <c r="AO268" s="301"/>
      <c r="AP268" s="300"/>
    </row>
    <row r="269">
      <c r="A269" s="13"/>
      <c r="B269" s="13"/>
      <c r="C269" s="13"/>
      <c r="D269" s="13"/>
      <c r="E269" s="13"/>
      <c r="F269" s="13"/>
      <c r="G269" s="13"/>
      <c r="H269" s="13"/>
      <c r="I269" s="13"/>
      <c r="J269" s="13"/>
      <c r="K269" s="13"/>
      <c r="L269" s="13"/>
      <c r="M269" s="13"/>
      <c r="N269" s="13"/>
      <c r="O269" s="13"/>
      <c r="P269" s="13"/>
      <c r="Q269" s="13"/>
      <c r="R269" s="300"/>
      <c r="S269" s="13"/>
      <c r="T269" s="13"/>
      <c r="U269" s="300"/>
      <c r="V269" s="13"/>
      <c r="W269" s="13"/>
      <c r="X269" s="300"/>
      <c r="Y269" s="13"/>
      <c r="Z269" s="13"/>
      <c r="AA269" s="300"/>
      <c r="AB269" s="13"/>
      <c r="AC269" s="13"/>
      <c r="AD269" s="300"/>
      <c r="AE269" s="13"/>
      <c r="AF269" s="13"/>
      <c r="AG269" s="300"/>
      <c r="AH269" s="13"/>
      <c r="AI269" s="13"/>
      <c r="AJ269" s="300"/>
      <c r="AK269" s="13"/>
      <c r="AL269" s="301"/>
      <c r="AM269" s="300"/>
      <c r="AN269" s="13"/>
      <c r="AO269" s="301"/>
      <c r="AP269" s="300"/>
    </row>
    <row r="270">
      <c r="A270" s="13"/>
      <c r="B270" s="13"/>
      <c r="C270" s="13"/>
      <c r="D270" s="13"/>
      <c r="E270" s="13"/>
      <c r="F270" s="13"/>
      <c r="G270" s="13"/>
      <c r="H270" s="13"/>
      <c r="I270" s="13"/>
      <c r="J270" s="13"/>
      <c r="K270" s="13"/>
      <c r="L270" s="13"/>
      <c r="M270" s="13"/>
      <c r="N270" s="13"/>
      <c r="O270" s="13"/>
      <c r="P270" s="13"/>
      <c r="Q270" s="13"/>
      <c r="R270" s="300"/>
      <c r="S270" s="13"/>
      <c r="T270" s="13"/>
      <c r="U270" s="300"/>
      <c r="V270" s="13"/>
      <c r="W270" s="13"/>
      <c r="X270" s="300"/>
      <c r="Y270" s="13"/>
      <c r="Z270" s="13"/>
      <c r="AA270" s="300"/>
      <c r="AB270" s="13"/>
      <c r="AC270" s="13"/>
      <c r="AD270" s="300"/>
      <c r="AE270" s="13"/>
      <c r="AF270" s="13"/>
      <c r="AG270" s="300"/>
      <c r="AH270" s="13"/>
      <c r="AI270" s="13"/>
      <c r="AJ270" s="300"/>
      <c r="AK270" s="13"/>
      <c r="AL270" s="301"/>
      <c r="AM270" s="300"/>
      <c r="AN270" s="13"/>
      <c r="AO270" s="301"/>
      <c r="AP270" s="300"/>
    </row>
    <row r="271">
      <c r="A271" s="13"/>
      <c r="B271" s="13"/>
      <c r="C271" s="13"/>
      <c r="D271" s="13"/>
      <c r="E271" s="13"/>
      <c r="F271" s="13"/>
      <c r="G271" s="13"/>
      <c r="H271" s="13"/>
      <c r="I271" s="13"/>
      <c r="J271" s="13"/>
      <c r="K271" s="13"/>
      <c r="L271" s="13"/>
      <c r="M271" s="13"/>
      <c r="N271" s="13"/>
      <c r="O271" s="13"/>
      <c r="P271" s="13"/>
      <c r="Q271" s="13"/>
      <c r="R271" s="300"/>
      <c r="S271" s="13"/>
      <c r="T271" s="13"/>
      <c r="U271" s="300"/>
      <c r="V271" s="13"/>
      <c r="W271" s="13"/>
      <c r="X271" s="300"/>
      <c r="Y271" s="13"/>
      <c r="Z271" s="13"/>
      <c r="AA271" s="300"/>
      <c r="AB271" s="13"/>
      <c r="AC271" s="13"/>
      <c r="AD271" s="300"/>
      <c r="AE271" s="13"/>
      <c r="AF271" s="13"/>
      <c r="AG271" s="300"/>
      <c r="AH271" s="13"/>
      <c r="AI271" s="13"/>
      <c r="AJ271" s="300"/>
      <c r="AK271" s="13"/>
      <c r="AL271" s="301"/>
      <c r="AM271" s="300"/>
      <c r="AN271" s="13"/>
      <c r="AO271" s="301"/>
      <c r="AP271" s="300"/>
    </row>
    <row r="272">
      <c r="A272" s="13"/>
      <c r="B272" s="13"/>
      <c r="C272" s="13"/>
      <c r="D272" s="13"/>
      <c r="E272" s="13"/>
      <c r="F272" s="13"/>
      <c r="G272" s="13"/>
      <c r="H272" s="13"/>
      <c r="I272" s="13"/>
      <c r="J272" s="13"/>
      <c r="K272" s="13"/>
      <c r="L272" s="13"/>
      <c r="M272" s="13"/>
      <c r="N272" s="13"/>
      <c r="O272" s="13"/>
      <c r="P272" s="13"/>
      <c r="Q272" s="13"/>
      <c r="R272" s="300"/>
      <c r="S272" s="13"/>
      <c r="T272" s="13"/>
      <c r="U272" s="300"/>
      <c r="V272" s="13"/>
      <c r="W272" s="13"/>
      <c r="X272" s="300"/>
      <c r="Y272" s="13"/>
      <c r="Z272" s="13"/>
      <c r="AA272" s="300"/>
      <c r="AB272" s="13"/>
      <c r="AC272" s="13"/>
      <c r="AD272" s="300"/>
      <c r="AE272" s="13"/>
      <c r="AF272" s="13"/>
      <c r="AG272" s="300"/>
      <c r="AH272" s="13"/>
      <c r="AI272" s="13"/>
      <c r="AJ272" s="300"/>
      <c r="AK272" s="13"/>
      <c r="AL272" s="301"/>
      <c r="AM272" s="300"/>
      <c r="AN272" s="13"/>
      <c r="AO272" s="301"/>
      <c r="AP272" s="300"/>
    </row>
    <row r="273">
      <c r="A273" s="13"/>
      <c r="B273" s="13"/>
      <c r="C273" s="13"/>
      <c r="D273" s="13"/>
      <c r="E273" s="13"/>
      <c r="F273" s="13"/>
      <c r="G273" s="13"/>
      <c r="H273" s="13"/>
      <c r="I273" s="13"/>
      <c r="J273" s="13"/>
      <c r="K273" s="13"/>
      <c r="L273" s="13"/>
      <c r="M273" s="13"/>
      <c r="N273" s="13"/>
      <c r="O273" s="13"/>
      <c r="P273" s="13"/>
      <c r="Q273" s="13"/>
      <c r="R273" s="300"/>
      <c r="S273" s="13"/>
      <c r="T273" s="13"/>
      <c r="U273" s="300"/>
      <c r="V273" s="13"/>
      <c r="W273" s="13"/>
      <c r="X273" s="300"/>
      <c r="Y273" s="13"/>
      <c r="Z273" s="13"/>
      <c r="AA273" s="300"/>
      <c r="AB273" s="13"/>
      <c r="AC273" s="13"/>
      <c r="AD273" s="300"/>
      <c r="AE273" s="13"/>
      <c r="AF273" s="13"/>
      <c r="AG273" s="300"/>
      <c r="AH273" s="13"/>
      <c r="AI273" s="13"/>
      <c r="AJ273" s="300"/>
      <c r="AK273" s="13"/>
      <c r="AL273" s="301"/>
      <c r="AM273" s="300"/>
      <c r="AN273" s="13"/>
      <c r="AO273" s="301"/>
      <c r="AP273" s="300"/>
    </row>
    <row r="274">
      <c r="A274" s="13"/>
      <c r="B274" s="13"/>
      <c r="C274" s="13"/>
      <c r="D274" s="13"/>
      <c r="E274" s="13"/>
      <c r="F274" s="13"/>
      <c r="G274" s="13"/>
      <c r="H274" s="13"/>
      <c r="I274" s="13"/>
      <c r="J274" s="13"/>
      <c r="K274" s="13"/>
      <c r="L274" s="13"/>
      <c r="M274" s="13"/>
      <c r="N274" s="13"/>
      <c r="O274" s="13"/>
      <c r="P274" s="13"/>
      <c r="Q274" s="13"/>
      <c r="R274" s="300"/>
      <c r="S274" s="13"/>
      <c r="T274" s="13"/>
      <c r="U274" s="300"/>
      <c r="V274" s="13"/>
      <c r="W274" s="13"/>
      <c r="X274" s="300"/>
      <c r="Y274" s="13"/>
      <c r="Z274" s="13"/>
      <c r="AA274" s="300"/>
      <c r="AB274" s="13"/>
      <c r="AC274" s="13"/>
      <c r="AD274" s="300"/>
      <c r="AE274" s="13"/>
      <c r="AF274" s="13"/>
      <c r="AG274" s="300"/>
      <c r="AH274" s="13"/>
      <c r="AI274" s="13"/>
      <c r="AJ274" s="300"/>
      <c r="AK274" s="13"/>
      <c r="AL274" s="301"/>
      <c r="AM274" s="300"/>
      <c r="AN274" s="13"/>
      <c r="AO274" s="301"/>
      <c r="AP274" s="300"/>
    </row>
    <row r="275">
      <c r="A275" s="13"/>
      <c r="B275" s="13"/>
      <c r="C275" s="13"/>
      <c r="D275" s="13"/>
      <c r="E275" s="13"/>
      <c r="F275" s="13"/>
      <c r="G275" s="13"/>
      <c r="H275" s="13"/>
      <c r="I275" s="13"/>
      <c r="J275" s="13"/>
      <c r="K275" s="13"/>
      <c r="L275" s="13"/>
      <c r="M275" s="13"/>
      <c r="N275" s="13"/>
      <c r="O275" s="13"/>
      <c r="P275" s="13"/>
      <c r="Q275" s="13"/>
      <c r="R275" s="300"/>
      <c r="S275" s="13"/>
      <c r="T275" s="13"/>
      <c r="U275" s="300"/>
      <c r="V275" s="13"/>
      <c r="W275" s="13"/>
      <c r="X275" s="300"/>
      <c r="Y275" s="13"/>
      <c r="Z275" s="13"/>
      <c r="AA275" s="300"/>
      <c r="AB275" s="13"/>
      <c r="AC275" s="13"/>
      <c r="AD275" s="300"/>
      <c r="AE275" s="13"/>
      <c r="AF275" s="13"/>
      <c r="AG275" s="300"/>
      <c r="AH275" s="13"/>
      <c r="AI275" s="13"/>
      <c r="AJ275" s="300"/>
      <c r="AK275" s="13"/>
      <c r="AL275" s="301"/>
      <c r="AM275" s="300"/>
      <c r="AN275" s="13"/>
      <c r="AO275" s="301"/>
      <c r="AP275" s="300"/>
    </row>
    <row r="276">
      <c r="A276" s="13"/>
      <c r="B276" s="13"/>
      <c r="C276" s="13"/>
      <c r="D276" s="13"/>
      <c r="E276" s="13"/>
      <c r="F276" s="13"/>
      <c r="G276" s="13"/>
      <c r="H276" s="13"/>
      <c r="I276" s="13"/>
      <c r="J276" s="13"/>
      <c r="K276" s="13"/>
      <c r="L276" s="13"/>
      <c r="M276" s="13"/>
      <c r="N276" s="13"/>
      <c r="O276" s="13"/>
      <c r="P276" s="13"/>
      <c r="Q276" s="13"/>
      <c r="R276" s="300"/>
      <c r="S276" s="13"/>
      <c r="T276" s="13"/>
      <c r="U276" s="300"/>
      <c r="V276" s="13"/>
      <c r="W276" s="13"/>
      <c r="X276" s="300"/>
      <c r="Y276" s="13"/>
      <c r="Z276" s="13"/>
      <c r="AA276" s="300"/>
      <c r="AB276" s="13"/>
      <c r="AC276" s="13"/>
      <c r="AD276" s="300"/>
      <c r="AE276" s="13"/>
      <c r="AF276" s="13"/>
      <c r="AG276" s="300"/>
      <c r="AH276" s="13"/>
      <c r="AI276" s="13"/>
      <c r="AJ276" s="300"/>
      <c r="AK276" s="13"/>
      <c r="AL276" s="301"/>
      <c r="AM276" s="300"/>
      <c r="AN276" s="13"/>
      <c r="AO276" s="301"/>
      <c r="AP276" s="300"/>
    </row>
    <row r="277">
      <c r="A277" s="13"/>
      <c r="B277" s="13"/>
      <c r="C277" s="13"/>
      <c r="D277" s="13"/>
      <c r="E277" s="13"/>
      <c r="F277" s="13"/>
      <c r="G277" s="13"/>
      <c r="H277" s="13"/>
      <c r="I277" s="13"/>
      <c r="J277" s="13"/>
      <c r="K277" s="13"/>
      <c r="L277" s="13"/>
      <c r="M277" s="13"/>
      <c r="N277" s="13"/>
      <c r="O277" s="13"/>
      <c r="P277" s="13"/>
      <c r="Q277" s="13"/>
      <c r="R277" s="300"/>
      <c r="S277" s="13"/>
      <c r="T277" s="13"/>
      <c r="U277" s="300"/>
      <c r="V277" s="13"/>
      <c r="W277" s="13"/>
      <c r="X277" s="300"/>
      <c r="Y277" s="13"/>
      <c r="Z277" s="13"/>
      <c r="AA277" s="300"/>
      <c r="AB277" s="13"/>
      <c r="AC277" s="13"/>
      <c r="AD277" s="300"/>
      <c r="AE277" s="13"/>
      <c r="AF277" s="13"/>
      <c r="AG277" s="300"/>
      <c r="AH277" s="13"/>
      <c r="AI277" s="13"/>
      <c r="AJ277" s="300"/>
      <c r="AK277" s="13"/>
      <c r="AL277" s="301"/>
      <c r="AM277" s="300"/>
      <c r="AN277" s="13"/>
      <c r="AO277" s="301"/>
      <c r="AP277" s="300"/>
    </row>
    <row r="278">
      <c r="A278" s="13"/>
      <c r="B278" s="13"/>
      <c r="C278" s="13"/>
      <c r="D278" s="13"/>
      <c r="E278" s="13"/>
      <c r="F278" s="13"/>
      <c r="G278" s="13"/>
      <c r="H278" s="13"/>
      <c r="I278" s="13"/>
      <c r="J278" s="13"/>
      <c r="K278" s="13"/>
      <c r="L278" s="13"/>
      <c r="M278" s="13"/>
      <c r="N278" s="13"/>
      <c r="O278" s="13"/>
      <c r="P278" s="13"/>
      <c r="Q278" s="13"/>
      <c r="R278" s="300"/>
      <c r="S278" s="13"/>
      <c r="T278" s="13"/>
      <c r="U278" s="300"/>
      <c r="V278" s="13"/>
      <c r="W278" s="13"/>
      <c r="X278" s="300"/>
      <c r="Y278" s="13"/>
      <c r="Z278" s="13"/>
      <c r="AA278" s="300"/>
      <c r="AB278" s="13"/>
      <c r="AC278" s="13"/>
      <c r="AD278" s="300"/>
      <c r="AE278" s="13"/>
      <c r="AF278" s="13"/>
      <c r="AG278" s="300"/>
      <c r="AH278" s="13"/>
      <c r="AI278" s="13"/>
      <c r="AJ278" s="300"/>
      <c r="AK278" s="13"/>
      <c r="AL278" s="301"/>
      <c r="AM278" s="300"/>
      <c r="AN278" s="13"/>
      <c r="AO278" s="301"/>
      <c r="AP278" s="300"/>
    </row>
    <row r="279">
      <c r="A279" s="13"/>
      <c r="B279" s="13"/>
      <c r="C279" s="13"/>
      <c r="D279" s="13"/>
      <c r="E279" s="13"/>
      <c r="F279" s="13"/>
      <c r="G279" s="13"/>
      <c r="H279" s="13"/>
      <c r="I279" s="13"/>
      <c r="J279" s="13"/>
      <c r="K279" s="13"/>
      <c r="L279" s="13"/>
      <c r="M279" s="13"/>
      <c r="N279" s="13"/>
      <c r="O279" s="13"/>
      <c r="P279" s="13"/>
      <c r="Q279" s="13"/>
      <c r="R279" s="300"/>
      <c r="S279" s="13"/>
      <c r="T279" s="13"/>
      <c r="U279" s="300"/>
      <c r="V279" s="13"/>
      <c r="W279" s="13"/>
      <c r="X279" s="300"/>
      <c r="Y279" s="13"/>
      <c r="Z279" s="13"/>
      <c r="AA279" s="300"/>
      <c r="AB279" s="13"/>
      <c r="AC279" s="13"/>
      <c r="AD279" s="300"/>
      <c r="AE279" s="13"/>
      <c r="AF279" s="13"/>
      <c r="AG279" s="300"/>
      <c r="AH279" s="13"/>
      <c r="AI279" s="13"/>
      <c r="AJ279" s="300"/>
      <c r="AK279" s="13"/>
      <c r="AL279" s="301"/>
      <c r="AM279" s="300"/>
      <c r="AN279" s="13"/>
      <c r="AO279" s="301"/>
      <c r="AP279" s="300"/>
    </row>
    <row r="280">
      <c r="A280" s="13"/>
      <c r="B280" s="13"/>
      <c r="C280" s="13"/>
      <c r="D280" s="13"/>
      <c r="E280" s="13"/>
      <c r="F280" s="13"/>
      <c r="G280" s="13"/>
      <c r="H280" s="13"/>
      <c r="I280" s="13"/>
      <c r="J280" s="13"/>
      <c r="K280" s="13"/>
      <c r="L280" s="13"/>
      <c r="M280" s="13"/>
      <c r="N280" s="13"/>
      <c r="O280" s="13"/>
      <c r="P280" s="13"/>
      <c r="Q280" s="13"/>
      <c r="R280" s="300"/>
      <c r="S280" s="13"/>
      <c r="T280" s="13"/>
      <c r="U280" s="300"/>
      <c r="V280" s="13"/>
      <c r="W280" s="13"/>
      <c r="X280" s="300"/>
      <c r="Y280" s="13"/>
      <c r="Z280" s="13"/>
      <c r="AA280" s="300"/>
      <c r="AB280" s="13"/>
      <c r="AC280" s="13"/>
      <c r="AD280" s="300"/>
      <c r="AE280" s="13"/>
      <c r="AF280" s="13"/>
      <c r="AG280" s="300"/>
      <c r="AH280" s="13"/>
      <c r="AI280" s="13"/>
      <c r="AJ280" s="300"/>
      <c r="AK280" s="13"/>
      <c r="AL280" s="301"/>
      <c r="AM280" s="300"/>
      <c r="AN280" s="13"/>
      <c r="AO280" s="301"/>
      <c r="AP280" s="300"/>
    </row>
    <row r="281">
      <c r="A281" s="13"/>
      <c r="B281" s="13"/>
      <c r="C281" s="13"/>
      <c r="D281" s="13"/>
      <c r="E281" s="13"/>
      <c r="F281" s="13"/>
      <c r="G281" s="13"/>
      <c r="H281" s="13"/>
      <c r="I281" s="13"/>
      <c r="J281" s="13"/>
      <c r="K281" s="13"/>
      <c r="L281" s="13"/>
      <c r="M281" s="13"/>
      <c r="N281" s="13"/>
      <c r="O281" s="13"/>
      <c r="P281" s="13"/>
      <c r="Q281" s="13"/>
      <c r="R281" s="300"/>
      <c r="S281" s="13"/>
      <c r="T281" s="13"/>
      <c r="U281" s="300"/>
      <c r="V281" s="13"/>
      <c r="W281" s="13"/>
      <c r="X281" s="300"/>
      <c r="Y281" s="13"/>
      <c r="Z281" s="13"/>
      <c r="AA281" s="300"/>
      <c r="AB281" s="13"/>
      <c r="AC281" s="13"/>
      <c r="AD281" s="300"/>
      <c r="AE281" s="13"/>
      <c r="AF281" s="13"/>
      <c r="AG281" s="300"/>
      <c r="AH281" s="13"/>
      <c r="AI281" s="13"/>
      <c r="AJ281" s="300"/>
      <c r="AK281" s="13"/>
      <c r="AL281" s="301"/>
      <c r="AM281" s="300"/>
      <c r="AN281" s="13"/>
      <c r="AO281" s="301"/>
      <c r="AP281" s="300"/>
    </row>
    <row r="282">
      <c r="A282" s="13"/>
      <c r="B282" s="13"/>
      <c r="C282" s="13"/>
      <c r="D282" s="13"/>
      <c r="E282" s="13"/>
      <c r="F282" s="13"/>
      <c r="G282" s="13"/>
      <c r="H282" s="13"/>
      <c r="I282" s="13"/>
      <c r="J282" s="13"/>
      <c r="K282" s="13"/>
      <c r="L282" s="13"/>
      <c r="M282" s="13"/>
      <c r="N282" s="13"/>
      <c r="O282" s="13"/>
      <c r="P282" s="13"/>
      <c r="Q282" s="13"/>
      <c r="R282" s="300"/>
      <c r="S282" s="13"/>
      <c r="T282" s="13"/>
      <c r="U282" s="300"/>
      <c r="V282" s="13"/>
      <c r="W282" s="13"/>
      <c r="X282" s="300"/>
      <c r="Y282" s="13"/>
      <c r="Z282" s="13"/>
      <c r="AA282" s="300"/>
      <c r="AB282" s="13"/>
      <c r="AC282" s="13"/>
      <c r="AD282" s="300"/>
      <c r="AE282" s="13"/>
      <c r="AF282" s="13"/>
      <c r="AG282" s="300"/>
      <c r="AH282" s="13"/>
      <c r="AI282" s="13"/>
      <c r="AJ282" s="300"/>
      <c r="AK282" s="13"/>
      <c r="AL282" s="301"/>
      <c r="AM282" s="300"/>
      <c r="AN282" s="13"/>
      <c r="AO282" s="301"/>
      <c r="AP282" s="300"/>
    </row>
    <row r="283">
      <c r="A283" s="13"/>
      <c r="B283" s="13"/>
      <c r="C283" s="13"/>
      <c r="D283" s="13"/>
      <c r="E283" s="13"/>
      <c r="F283" s="13"/>
      <c r="G283" s="13"/>
      <c r="H283" s="13"/>
      <c r="I283" s="13"/>
      <c r="J283" s="13"/>
      <c r="K283" s="13"/>
      <c r="L283" s="13"/>
      <c r="M283" s="13"/>
      <c r="N283" s="13"/>
      <c r="O283" s="13"/>
      <c r="P283" s="13"/>
      <c r="Q283" s="13"/>
      <c r="R283" s="300"/>
      <c r="S283" s="13"/>
      <c r="T283" s="13"/>
      <c r="U283" s="300"/>
      <c r="V283" s="13"/>
      <c r="W283" s="13"/>
      <c r="X283" s="300"/>
      <c r="Y283" s="13"/>
      <c r="Z283" s="13"/>
      <c r="AA283" s="300"/>
      <c r="AB283" s="13"/>
      <c r="AC283" s="13"/>
      <c r="AD283" s="300"/>
      <c r="AE283" s="13"/>
      <c r="AF283" s="13"/>
      <c r="AG283" s="300"/>
      <c r="AH283" s="13"/>
      <c r="AI283" s="13"/>
      <c r="AJ283" s="300"/>
      <c r="AK283" s="13"/>
      <c r="AL283" s="301"/>
      <c r="AM283" s="300"/>
      <c r="AN283" s="13"/>
      <c r="AO283" s="301"/>
      <c r="AP283" s="300"/>
    </row>
    <row r="284">
      <c r="A284" s="13"/>
      <c r="B284" s="13"/>
      <c r="C284" s="13"/>
      <c r="D284" s="13"/>
      <c r="E284" s="13"/>
      <c r="F284" s="13"/>
      <c r="G284" s="13"/>
      <c r="H284" s="13"/>
      <c r="I284" s="13"/>
      <c r="J284" s="13"/>
      <c r="K284" s="13"/>
      <c r="L284" s="13"/>
      <c r="M284" s="13"/>
      <c r="N284" s="13"/>
      <c r="O284" s="13"/>
      <c r="P284" s="13"/>
      <c r="Q284" s="13"/>
      <c r="R284" s="300"/>
      <c r="S284" s="13"/>
      <c r="T284" s="13"/>
      <c r="U284" s="300"/>
      <c r="V284" s="13"/>
      <c r="W284" s="13"/>
      <c r="X284" s="300"/>
      <c r="Y284" s="13"/>
      <c r="Z284" s="13"/>
      <c r="AA284" s="300"/>
      <c r="AB284" s="13"/>
      <c r="AC284" s="13"/>
      <c r="AD284" s="300"/>
      <c r="AE284" s="13"/>
      <c r="AF284" s="13"/>
      <c r="AG284" s="300"/>
      <c r="AH284" s="13"/>
      <c r="AI284" s="13"/>
      <c r="AJ284" s="300"/>
      <c r="AK284" s="13"/>
      <c r="AL284" s="301"/>
      <c r="AM284" s="300"/>
      <c r="AN284" s="13"/>
      <c r="AO284" s="301"/>
      <c r="AP284" s="300"/>
    </row>
    <row r="285">
      <c r="A285" s="13"/>
      <c r="B285" s="13"/>
      <c r="C285" s="13"/>
      <c r="D285" s="13"/>
      <c r="E285" s="13"/>
      <c r="F285" s="13"/>
      <c r="G285" s="13"/>
      <c r="H285" s="13"/>
      <c r="I285" s="13"/>
      <c r="J285" s="13"/>
      <c r="K285" s="13"/>
      <c r="L285" s="13"/>
      <c r="M285" s="13"/>
      <c r="N285" s="13"/>
      <c r="O285" s="13"/>
      <c r="P285" s="13"/>
      <c r="Q285" s="13"/>
      <c r="R285" s="300"/>
      <c r="S285" s="13"/>
      <c r="T285" s="13"/>
      <c r="U285" s="300"/>
      <c r="V285" s="13"/>
      <c r="W285" s="13"/>
      <c r="X285" s="300"/>
      <c r="Y285" s="13"/>
      <c r="Z285" s="13"/>
      <c r="AA285" s="300"/>
      <c r="AB285" s="13"/>
      <c r="AC285" s="13"/>
      <c r="AD285" s="300"/>
      <c r="AE285" s="13"/>
      <c r="AF285" s="13"/>
      <c r="AG285" s="300"/>
      <c r="AH285" s="13"/>
      <c r="AI285" s="13"/>
      <c r="AJ285" s="300"/>
      <c r="AK285" s="13"/>
      <c r="AL285" s="301"/>
      <c r="AM285" s="300"/>
      <c r="AN285" s="13"/>
      <c r="AO285" s="301"/>
      <c r="AP285" s="300"/>
    </row>
    <row r="286">
      <c r="A286" s="13"/>
      <c r="B286" s="13"/>
      <c r="C286" s="13"/>
      <c r="D286" s="13"/>
      <c r="E286" s="13"/>
      <c r="F286" s="13"/>
      <c r="G286" s="13"/>
      <c r="H286" s="13"/>
      <c r="I286" s="13"/>
      <c r="J286" s="13"/>
      <c r="K286" s="13"/>
      <c r="L286" s="13"/>
      <c r="M286" s="13"/>
      <c r="N286" s="13"/>
      <c r="O286" s="13"/>
      <c r="P286" s="13"/>
      <c r="Q286" s="13"/>
      <c r="R286" s="300"/>
      <c r="S286" s="13"/>
      <c r="T286" s="13"/>
      <c r="U286" s="300"/>
      <c r="V286" s="13"/>
      <c r="W286" s="13"/>
      <c r="X286" s="300"/>
      <c r="Y286" s="13"/>
      <c r="Z286" s="13"/>
      <c r="AA286" s="300"/>
      <c r="AB286" s="13"/>
      <c r="AC286" s="13"/>
      <c r="AD286" s="300"/>
      <c r="AE286" s="13"/>
      <c r="AF286" s="13"/>
      <c r="AG286" s="300"/>
      <c r="AH286" s="13"/>
      <c r="AI286" s="13"/>
      <c r="AJ286" s="300"/>
      <c r="AK286" s="13"/>
      <c r="AL286" s="301"/>
      <c r="AM286" s="300"/>
      <c r="AN286" s="13"/>
      <c r="AO286" s="301"/>
      <c r="AP286" s="300"/>
    </row>
    <row r="287">
      <c r="A287" s="13"/>
      <c r="B287" s="13"/>
      <c r="C287" s="13"/>
      <c r="D287" s="13"/>
      <c r="E287" s="13"/>
      <c r="F287" s="13"/>
      <c r="G287" s="13"/>
      <c r="H287" s="13"/>
      <c r="I287" s="13"/>
      <c r="J287" s="13"/>
      <c r="K287" s="13"/>
      <c r="L287" s="13"/>
      <c r="M287" s="13"/>
      <c r="N287" s="13"/>
      <c r="O287" s="13"/>
      <c r="P287" s="13"/>
      <c r="Q287" s="13"/>
      <c r="R287" s="300"/>
      <c r="S287" s="13"/>
      <c r="T287" s="13"/>
      <c r="U287" s="300"/>
      <c r="V287" s="13"/>
      <c r="W287" s="13"/>
      <c r="X287" s="300"/>
      <c r="Y287" s="13"/>
      <c r="Z287" s="13"/>
      <c r="AA287" s="300"/>
      <c r="AB287" s="13"/>
      <c r="AC287" s="13"/>
      <c r="AD287" s="300"/>
      <c r="AE287" s="13"/>
      <c r="AF287" s="13"/>
      <c r="AG287" s="300"/>
      <c r="AH287" s="13"/>
      <c r="AI287" s="13"/>
      <c r="AJ287" s="300"/>
      <c r="AK287" s="13"/>
      <c r="AL287" s="301"/>
      <c r="AM287" s="300"/>
      <c r="AN287" s="13"/>
      <c r="AO287" s="301"/>
      <c r="AP287" s="300"/>
    </row>
    <row r="288">
      <c r="A288" s="13"/>
      <c r="B288" s="13"/>
      <c r="C288" s="13"/>
      <c r="D288" s="13"/>
      <c r="E288" s="13"/>
      <c r="F288" s="13"/>
      <c r="G288" s="13"/>
      <c r="H288" s="13"/>
      <c r="I288" s="13"/>
      <c r="J288" s="13"/>
      <c r="K288" s="13"/>
      <c r="L288" s="13"/>
      <c r="M288" s="13"/>
      <c r="N288" s="13"/>
      <c r="O288" s="13"/>
      <c r="P288" s="13"/>
      <c r="Q288" s="13"/>
      <c r="R288" s="300"/>
      <c r="S288" s="13"/>
      <c r="T288" s="13"/>
      <c r="U288" s="300"/>
      <c r="V288" s="13"/>
      <c r="W288" s="13"/>
      <c r="X288" s="300"/>
      <c r="Y288" s="13"/>
      <c r="Z288" s="13"/>
      <c r="AA288" s="300"/>
      <c r="AB288" s="13"/>
      <c r="AC288" s="13"/>
      <c r="AD288" s="300"/>
      <c r="AE288" s="13"/>
      <c r="AF288" s="13"/>
      <c r="AG288" s="300"/>
      <c r="AH288" s="13"/>
      <c r="AI288" s="13"/>
      <c r="AJ288" s="300"/>
      <c r="AK288" s="13"/>
      <c r="AL288" s="301"/>
      <c r="AM288" s="300"/>
      <c r="AN288" s="13"/>
      <c r="AO288" s="301"/>
      <c r="AP288" s="300"/>
    </row>
    <row r="289">
      <c r="A289" s="13"/>
      <c r="B289" s="13"/>
      <c r="C289" s="13"/>
      <c r="D289" s="13"/>
      <c r="E289" s="13"/>
      <c r="F289" s="13"/>
      <c r="G289" s="13"/>
      <c r="H289" s="13"/>
      <c r="I289" s="13"/>
      <c r="J289" s="13"/>
      <c r="K289" s="13"/>
      <c r="L289" s="13"/>
      <c r="M289" s="13"/>
      <c r="N289" s="13"/>
      <c r="O289" s="13"/>
      <c r="P289" s="13"/>
      <c r="Q289" s="13"/>
      <c r="R289" s="300"/>
      <c r="S289" s="13"/>
      <c r="T289" s="13"/>
      <c r="U289" s="300"/>
      <c r="V289" s="13"/>
      <c r="W289" s="13"/>
      <c r="X289" s="300"/>
      <c r="Y289" s="13"/>
      <c r="Z289" s="13"/>
      <c r="AA289" s="300"/>
      <c r="AB289" s="13"/>
      <c r="AC289" s="13"/>
      <c r="AD289" s="300"/>
      <c r="AE289" s="13"/>
      <c r="AF289" s="13"/>
      <c r="AG289" s="300"/>
      <c r="AH289" s="13"/>
      <c r="AI289" s="13"/>
      <c r="AJ289" s="300"/>
      <c r="AK289" s="13"/>
      <c r="AL289" s="301"/>
      <c r="AM289" s="300"/>
      <c r="AN289" s="13"/>
      <c r="AO289" s="301"/>
      <c r="AP289" s="300"/>
    </row>
    <row r="290">
      <c r="A290" s="13"/>
      <c r="B290" s="13"/>
      <c r="C290" s="13"/>
      <c r="D290" s="13"/>
      <c r="E290" s="13"/>
      <c r="F290" s="13"/>
      <c r="G290" s="13"/>
      <c r="H290" s="13"/>
      <c r="I290" s="13"/>
      <c r="J290" s="13"/>
      <c r="K290" s="13"/>
      <c r="L290" s="13"/>
      <c r="M290" s="13"/>
      <c r="N290" s="13"/>
      <c r="O290" s="13"/>
      <c r="P290" s="13"/>
      <c r="Q290" s="13"/>
      <c r="R290" s="300"/>
      <c r="S290" s="13"/>
      <c r="T290" s="13"/>
      <c r="U290" s="300"/>
      <c r="V290" s="13"/>
      <c r="W290" s="13"/>
      <c r="X290" s="300"/>
      <c r="Y290" s="13"/>
      <c r="Z290" s="13"/>
      <c r="AA290" s="300"/>
      <c r="AB290" s="13"/>
      <c r="AC290" s="13"/>
      <c r="AD290" s="300"/>
      <c r="AE290" s="13"/>
      <c r="AF290" s="13"/>
      <c r="AG290" s="300"/>
      <c r="AH290" s="13"/>
      <c r="AI290" s="13"/>
      <c r="AJ290" s="300"/>
      <c r="AK290" s="13"/>
      <c r="AL290" s="301"/>
      <c r="AM290" s="300"/>
      <c r="AN290" s="13"/>
      <c r="AO290" s="301"/>
      <c r="AP290" s="300"/>
    </row>
    <row r="291">
      <c r="A291" s="13"/>
      <c r="B291" s="13"/>
      <c r="C291" s="13"/>
      <c r="D291" s="13"/>
      <c r="E291" s="13"/>
      <c r="F291" s="13"/>
      <c r="G291" s="13"/>
      <c r="H291" s="13"/>
      <c r="I291" s="13"/>
      <c r="J291" s="13"/>
      <c r="K291" s="13"/>
      <c r="L291" s="13"/>
      <c r="M291" s="13"/>
      <c r="N291" s="13"/>
      <c r="O291" s="13"/>
      <c r="P291" s="13"/>
      <c r="Q291" s="13"/>
      <c r="R291" s="300"/>
      <c r="S291" s="13"/>
      <c r="T291" s="13"/>
      <c r="U291" s="300"/>
      <c r="V291" s="13"/>
      <c r="W291" s="13"/>
      <c r="X291" s="300"/>
      <c r="Y291" s="13"/>
      <c r="Z291" s="13"/>
      <c r="AA291" s="300"/>
      <c r="AB291" s="13"/>
      <c r="AC291" s="13"/>
      <c r="AD291" s="300"/>
      <c r="AE291" s="13"/>
      <c r="AF291" s="13"/>
      <c r="AG291" s="300"/>
      <c r="AH291" s="13"/>
      <c r="AI291" s="13"/>
      <c r="AJ291" s="300"/>
      <c r="AK291" s="13"/>
      <c r="AL291" s="301"/>
      <c r="AM291" s="300"/>
      <c r="AN291" s="13"/>
      <c r="AO291" s="301"/>
      <c r="AP291" s="300"/>
    </row>
    <row r="292">
      <c r="A292" s="13"/>
      <c r="B292" s="13"/>
      <c r="C292" s="13"/>
      <c r="D292" s="13"/>
      <c r="E292" s="13"/>
      <c r="F292" s="13"/>
      <c r="G292" s="13"/>
      <c r="H292" s="13"/>
      <c r="I292" s="13"/>
      <c r="J292" s="13"/>
      <c r="K292" s="13"/>
      <c r="L292" s="13"/>
      <c r="M292" s="13"/>
      <c r="N292" s="13"/>
      <c r="O292" s="13"/>
      <c r="P292" s="13"/>
      <c r="Q292" s="13"/>
      <c r="R292" s="300"/>
      <c r="S292" s="13"/>
      <c r="T292" s="13"/>
      <c r="U292" s="300"/>
      <c r="V292" s="13"/>
      <c r="W292" s="13"/>
      <c r="X292" s="300"/>
      <c r="Y292" s="13"/>
      <c r="Z292" s="13"/>
      <c r="AA292" s="300"/>
      <c r="AB292" s="13"/>
      <c r="AC292" s="13"/>
      <c r="AD292" s="300"/>
      <c r="AE292" s="13"/>
      <c r="AF292" s="13"/>
      <c r="AG292" s="300"/>
      <c r="AH292" s="13"/>
      <c r="AI292" s="13"/>
      <c r="AJ292" s="300"/>
      <c r="AK292" s="13"/>
      <c r="AL292" s="301"/>
      <c r="AM292" s="300"/>
      <c r="AN292" s="13"/>
      <c r="AO292" s="301"/>
      <c r="AP292" s="300"/>
    </row>
    <row r="293">
      <c r="A293" s="13"/>
      <c r="B293" s="13"/>
      <c r="C293" s="13"/>
      <c r="D293" s="13"/>
      <c r="E293" s="13"/>
      <c r="F293" s="13"/>
      <c r="G293" s="13"/>
      <c r="H293" s="13"/>
      <c r="I293" s="13"/>
      <c r="J293" s="13"/>
      <c r="K293" s="13"/>
      <c r="L293" s="13"/>
      <c r="M293" s="13"/>
      <c r="N293" s="13"/>
      <c r="O293" s="13"/>
      <c r="P293" s="13"/>
      <c r="Q293" s="13"/>
      <c r="R293" s="300"/>
      <c r="S293" s="13"/>
      <c r="T293" s="13"/>
      <c r="U293" s="300"/>
      <c r="V293" s="13"/>
      <c r="W293" s="13"/>
      <c r="X293" s="300"/>
      <c r="Y293" s="13"/>
      <c r="Z293" s="13"/>
      <c r="AA293" s="300"/>
      <c r="AB293" s="13"/>
      <c r="AC293" s="13"/>
      <c r="AD293" s="300"/>
      <c r="AE293" s="13"/>
      <c r="AF293" s="13"/>
      <c r="AG293" s="300"/>
      <c r="AH293" s="13"/>
      <c r="AI293" s="13"/>
      <c r="AJ293" s="300"/>
      <c r="AK293" s="13"/>
      <c r="AL293" s="301"/>
      <c r="AM293" s="300"/>
      <c r="AN293" s="13"/>
      <c r="AO293" s="301"/>
      <c r="AP293" s="300"/>
    </row>
    <row r="294">
      <c r="A294" s="13"/>
      <c r="B294" s="13"/>
      <c r="C294" s="13"/>
      <c r="D294" s="13"/>
      <c r="E294" s="13"/>
      <c r="F294" s="13"/>
      <c r="G294" s="13"/>
      <c r="H294" s="13"/>
      <c r="I294" s="13"/>
      <c r="J294" s="13"/>
      <c r="K294" s="13"/>
      <c r="L294" s="13"/>
      <c r="M294" s="13"/>
      <c r="N294" s="13"/>
      <c r="O294" s="13"/>
      <c r="P294" s="13"/>
      <c r="Q294" s="13"/>
      <c r="R294" s="300"/>
      <c r="S294" s="13"/>
      <c r="T294" s="13"/>
      <c r="U294" s="300"/>
      <c r="V294" s="13"/>
      <c r="W294" s="13"/>
      <c r="X294" s="300"/>
      <c r="Y294" s="13"/>
      <c r="Z294" s="13"/>
      <c r="AA294" s="300"/>
      <c r="AB294" s="13"/>
      <c r="AC294" s="13"/>
      <c r="AD294" s="300"/>
      <c r="AE294" s="13"/>
      <c r="AF294" s="13"/>
      <c r="AG294" s="300"/>
      <c r="AH294" s="13"/>
      <c r="AI294" s="13"/>
      <c r="AJ294" s="300"/>
      <c r="AK294" s="13"/>
      <c r="AL294" s="301"/>
      <c r="AM294" s="300"/>
      <c r="AN294" s="13"/>
      <c r="AO294" s="301"/>
      <c r="AP294" s="300"/>
    </row>
    <row r="295">
      <c r="A295" s="13"/>
      <c r="B295" s="13"/>
      <c r="C295" s="13"/>
      <c r="D295" s="13"/>
      <c r="E295" s="13"/>
      <c r="F295" s="13"/>
      <c r="G295" s="13"/>
      <c r="H295" s="13"/>
      <c r="I295" s="13"/>
      <c r="J295" s="13"/>
      <c r="K295" s="13"/>
      <c r="L295" s="13"/>
      <c r="M295" s="13"/>
      <c r="N295" s="13"/>
      <c r="O295" s="13"/>
      <c r="P295" s="13"/>
      <c r="Q295" s="13"/>
      <c r="R295" s="300"/>
      <c r="S295" s="13"/>
      <c r="T295" s="13"/>
      <c r="U295" s="300"/>
      <c r="V295" s="13"/>
      <c r="W295" s="13"/>
      <c r="X295" s="300"/>
      <c r="Y295" s="13"/>
      <c r="Z295" s="13"/>
      <c r="AA295" s="300"/>
      <c r="AB295" s="13"/>
      <c r="AC295" s="13"/>
      <c r="AD295" s="300"/>
      <c r="AE295" s="13"/>
      <c r="AF295" s="13"/>
      <c r="AG295" s="300"/>
      <c r="AH295" s="13"/>
      <c r="AI295" s="13"/>
      <c r="AJ295" s="300"/>
      <c r="AK295" s="13"/>
      <c r="AL295" s="301"/>
      <c r="AM295" s="300"/>
      <c r="AN295" s="13"/>
      <c r="AO295" s="301"/>
      <c r="AP295" s="300"/>
    </row>
    <row r="296">
      <c r="A296" s="13"/>
      <c r="B296" s="13"/>
      <c r="C296" s="13"/>
      <c r="D296" s="13"/>
      <c r="E296" s="13"/>
      <c r="F296" s="13"/>
      <c r="G296" s="13"/>
      <c r="H296" s="13"/>
      <c r="I296" s="13"/>
      <c r="J296" s="13"/>
      <c r="K296" s="13"/>
      <c r="L296" s="13"/>
      <c r="M296" s="13"/>
      <c r="N296" s="13"/>
      <c r="O296" s="13"/>
      <c r="P296" s="13"/>
      <c r="Q296" s="13"/>
      <c r="R296" s="300"/>
      <c r="S296" s="13"/>
      <c r="T296" s="13"/>
      <c r="U296" s="300"/>
      <c r="V296" s="13"/>
      <c r="W296" s="13"/>
      <c r="X296" s="300"/>
      <c r="Y296" s="13"/>
      <c r="Z296" s="13"/>
      <c r="AA296" s="300"/>
      <c r="AB296" s="13"/>
      <c r="AC296" s="13"/>
      <c r="AD296" s="300"/>
      <c r="AE296" s="13"/>
      <c r="AF296" s="13"/>
      <c r="AG296" s="300"/>
      <c r="AH296" s="13"/>
      <c r="AI296" s="13"/>
      <c r="AJ296" s="300"/>
      <c r="AK296" s="13"/>
      <c r="AL296" s="301"/>
      <c r="AM296" s="300"/>
      <c r="AN296" s="13"/>
      <c r="AO296" s="301"/>
      <c r="AP296" s="300"/>
    </row>
    <row r="297">
      <c r="A297" s="13"/>
      <c r="B297" s="13"/>
      <c r="C297" s="13"/>
      <c r="D297" s="13"/>
      <c r="E297" s="13"/>
      <c r="F297" s="13"/>
      <c r="G297" s="13"/>
      <c r="H297" s="13"/>
      <c r="I297" s="13"/>
      <c r="J297" s="13"/>
      <c r="K297" s="13"/>
      <c r="L297" s="13"/>
      <c r="M297" s="13"/>
      <c r="N297" s="13"/>
      <c r="O297" s="13"/>
      <c r="P297" s="13"/>
      <c r="Q297" s="13"/>
      <c r="R297" s="300"/>
      <c r="S297" s="13"/>
      <c r="T297" s="13"/>
      <c r="U297" s="300"/>
      <c r="V297" s="13"/>
      <c r="W297" s="13"/>
      <c r="X297" s="300"/>
      <c r="Y297" s="13"/>
      <c r="Z297" s="13"/>
      <c r="AA297" s="300"/>
      <c r="AB297" s="13"/>
      <c r="AC297" s="13"/>
      <c r="AD297" s="300"/>
      <c r="AE297" s="13"/>
      <c r="AF297" s="13"/>
      <c r="AG297" s="300"/>
      <c r="AH297" s="13"/>
      <c r="AI297" s="13"/>
      <c r="AJ297" s="300"/>
      <c r="AK297" s="13"/>
      <c r="AL297" s="301"/>
      <c r="AM297" s="300"/>
      <c r="AN297" s="13"/>
      <c r="AO297" s="301"/>
      <c r="AP297" s="300"/>
    </row>
    <row r="298">
      <c r="A298" s="13"/>
      <c r="B298" s="13"/>
      <c r="C298" s="13"/>
      <c r="D298" s="13"/>
      <c r="E298" s="13"/>
      <c r="F298" s="13"/>
      <c r="G298" s="13"/>
      <c r="H298" s="13"/>
      <c r="I298" s="13"/>
      <c r="J298" s="13"/>
      <c r="K298" s="13"/>
      <c r="L298" s="13"/>
      <c r="M298" s="13"/>
      <c r="N298" s="13"/>
      <c r="O298" s="13"/>
      <c r="P298" s="13"/>
      <c r="Q298" s="13"/>
      <c r="R298" s="300"/>
      <c r="S298" s="13"/>
      <c r="T298" s="13"/>
      <c r="U298" s="300"/>
      <c r="V298" s="13"/>
      <c r="W298" s="13"/>
      <c r="X298" s="300"/>
      <c r="Y298" s="13"/>
      <c r="Z298" s="13"/>
      <c r="AA298" s="300"/>
      <c r="AB298" s="13"/>
      <c r="AC298" s="13"/>
      <c r="AD298" s="300"/>
      <c r="AE298" s="13"/>
      <c r="AF298" s="13"/>
      <c r="AG298" s="300"/>
      <c r="AH298" s="13"/>
      <c r="AI298" s="13"/>
      <c r="AJ298" s="300"/>
      <c r="AK298" s="13"/>
      <c r="AL298" s="301"/>
      <c r="AM298" s="300"/>
      <c r="AN298" s="13"/>
      <c r="AO298" s="301"/>
      <c r="AP298" s="300"/>
    </row>
    <row r="299">
      <c r="A299" s="13"/>
      <c r="B299" s="13"/>
      <c r="C299" s="13"/>
      <c r="D299" s="13"/>
      <c r="E299" s="13"/>
      <c r="F299" s="13"/>
      <c r="G299" s="13"/>
      <c r="H299" s="13"/>
      <c r="I299" s="13"/>
      <c r="J299" s="13"/>
      <c r="K299" s="13"/>
      <c r="L299" s="13"/>
      <c r="M299" s="13"/>
      <c r="N299" s="13"/>
      <c r="O299" s="13"/>
      <c r="P299" s="13"/>
      <c r="Q299" s="13"/>
      <c r="R299" s="300"/>
      <c r="S299" s="13"/>
      <c r="T299" s="13"/>
      <c r="U299" s="300"/>
      <c r="V299" s="13"/>
      <c r="W299" s="13"/>
      <c r="X299" s="300"/>
      <c r="Y299" s="13"/>
      <c r="Z299" s="13"/>
      <c r="AA299" s="300"/>
      <c r="AB299" s="13"/>
      <c r="AC299" s="13"/>
      <c r="AD299" s="300"/>
      <c r="AE299" s="13"/>
      <c r="AF299" s="13"/>
      <c r="AG299" s="300"/>
      <c r="AH299" s="13"/>
      <c r="AI299" s="13"/>
      <c r="AJ299" s="300"/>
      <c r="AK299" s="13"/>
      <c r="AL299" s="301"/>
      <c r="AM299" s="300"/>
      <c r="AN299" s="13"/>
      <c r="AO299" s="301"/>
      <c r="AP299" s="300"/>
    </row>
    <row r="300">
      <c r="A300" s="13"/>
      <c r="B300" s="13"/>
      <c r="C300" s="13"/>
      <c r="D300" s="13"/>
      <c r="E300" s="13"/>
      <c r="F300" s="13"/>
      <c r="G300" s="13"/>
      <c r="H300" s="13"/>
      <c r="I300" s="13"/>
      <c r="J300" s="13"/>
      <c r="K300" s="13"/>
      <c r="L300" s="13"/>
      <c r="M300" s="13"/>
      <c r="N300" s="13"/>
      <c r="O300" s="13"/>
      <c r="P300" s="13"/>
      <c r="Q300" s="13"/>
      <c r="R300" s="300"/>
      <c r="S300" s="13"/>
      <c r="T300" s="13"/>
      <c r="U300" s="300"/>
      <c r="V300" s="13"/>
      <c r="W300" s="13"/>
      <c r="X300" s="300"/>
      <c r="Y300" s="13"/>
      <c r="Z300" s="13"/>
      <c r="AA300" s="300"/>
      <c r="AB300" s="13"/>
      <c r="AC300" s="13"/>
      <c r="AD300" s="300"/>
      <c r="AE300" s="13"/>
      <c r="AF300" s="13"/>
      <c r="AG300" s="300"/>
      <c r="AH300" s="13"/>
      <c r="AI300" s="13"/>
      <c r="AJ300" s="300"/>
      <c r="AK300" s="13"/>
      <c r="AL300" s="301"/>
      <c r="AM300" s="300"/>
      <c r="AN300" s="13"/>
      <c r="AO300" s="301"/>
      <c r="AP300" s="300"/>
    </row>
    <row r="301">
      <c r="A301" s="13"/>
      <c r="B301" s="13"/>
      <c r="C301" s="13"/>
      <c r="D301" s="13"/>
      <c r="E301" s="13"/>
      <c r="F301" s="13"/>
      <c r="G301" s="13"/>
      <c r="H301" s="13"/>
      <c r="I301" s="13"/>
      <c r="J301" s="13"/>
      <c r="K301" s="13"/>
      <c r="L301" s="13"/>
      <c r="M301" s="13"/>
      <c r="N301" s="13"/>
      <c r="O301" s="13"/>
      <c r="P301" s="13"/>
      <c r="Q301" s="13"/>
      <c r="R301" s="300"/>
      <c r="S301" s="13"/>
      <c r="T301" s="13"/>
      <c r="U301" s="300"/>
      <c r="V301" s="13"/>
      <c r="W301" s="13"/>
      <c r="X301" s="300"/>
      <c r="Y301" s="13"/>
      <c r="Z301" s="13"/>
      <c r="AA301" s="300"/>
      <c r="AB301" s="13"/>
      <c r="AC301" s="13"/>
      <c r="AD301" s="300"/>
      <c r="AE301" s="13"/>
      <c r="AF301" s="13"/>
      <c r="AG301" s="300"/>
      <c r="AH301" s="13"/>
      <c r="AI301" s="13"/>
      <c r="AJ301" s="300"/>
      <c r="AK301" s="13"/>
      <c r="AL301" s="301"/>
      <c r="AM301" s="300"/>
      <c r="AN301" s="13"/>
      <c r="AO301" s="301"/>
      <c r="AP301" s="300"/>
    </row>
    <row r="302">
      <c r="A302" s="13"/>
      <c r="B302" s="13"/>
      <c r="C302" s="13"/>
      <c r="D302" s="13"/>
      <c r="E302" s="13"/>
      <c r="F302" s="13"/>
      <c r="G302" s="13"/>
      <c r="H302" s="13"/>
      <c r="I302" s="13"/>
      <c r="J302" s="13"/>
      <c r="K302" s="13"/>
      <c r="L302" s="13"/>
      <c r="M302" s="13"/>
      <c r="N302" s="13"/>
      <c r="O302" s="13"/>
      <c r="P302" s="13"/>
      <c r="Q302" s="13"/>
      <c r="R302" s="300"/>
      <c r="S302" s="13"/>
      <c r="T302" s="13"/>
      <c r="U302" s="300"/>
      <c r="V302" s="13"/>
      <c r="W302" s="13"/>
      <c r="X302" s="300"/>
      <c r="Y302" s="13"/>
      <c r="Z302" s="13"/>
      <c r="AA302" s="300"/>
      <c r="AB302" s="13"/>
      <c r="AC302" s="13"/>
      <c r="AD302" s="300"/>
      <c r="AE302" s="13"/>
      <c r="AF302" s="13"/>
      <c r="AG302" s="300"/>
      <c r="AH302" s="13"/>
      <c r="AI302" s="13"/>
      <c r="AJ302" s="300"/>
      <c r="AK302" s="13"/>
      <c r="AL302" s="301"/>
      <c r="AM302" s="300"/>
      <c r="AN302" s="13"/>
      <c r="AO302" s="301"/>
      <c r="AP302" s="300"/>
    </row>
    <row r="303">
      <c r="A303" s="13"/>
      <c r="B303" s="13"/>
      <c r="C303" s="13"/>
      <c r="D303" s="13"/>
      <c r="E303" s="13"/>
      <c r="F303" s="13"/>
      <c r="G303" s="13"/>
      <c r="H303" s="13"/>
      <c r="I303" s="13"/>
      <c r="J303" s="13"/>
      <c r="K303" s="13"/>
      <c r="L303" s="13"/>
      <c r="M303" s="13"/>
      <c r="N303" s="13"/>
      <c r="O303" s="13"/>
      <c r="P303" s="13"/>
      <c r="Q303" s="13"/>
      <c r="R303" s="300"/>
      <c r="S303" s="13"/>
      <c r="T303" s="13"/>
      <c r="U303" s="300"/>
      <c r="V303" s="13"/>
      <c r="W303" s="13"/>
      <c r="X303" s="300"/>
      <c r="Y303" s="13"/>
      <c r="Z303" s="13"/>
      <c r="AA303" s="300"/>
      <c r="AB303" s="13"/>
      <c r="AC303" s="13"/>
      <c r="AD303" s="300"/>
      <c r="AE303" s="13"/>
      <c r="AF303" s="13"/>
      <c r="AG303" s="300"/>
      <c r="AH303" s="13"/>
      <c r="AI303" s="13"/>
      <c r="AJ303" s="300"/>
      <c r="AK303" s="13"/>
      <c r="AL303" s="301"/>
      <c r="AM303" s="300"/>
      <c r="AN303" s="13"/>
      <c r="AO303" s="301"/>
      <c r="AP303" s="300"/>
    </row>
    <row r="304">
      <c r="A304" s="13"/>
      <c r="B304" s="13"/>
      <c r="C304" s="13"/>
      <c r="D304" s="13"/>
      <c r="E304" s="13"/>
      <c r="F304" s="13"/>
      <c r="G304" s="13"/>
      <c r="H304" s="13"/>
      <c r="I304" s="13"/>
      <c r="J304" s="13"/>
      <c r="K304" s="13"/>
      <c r="L304" s="13"/>
      <c r="M304" s="13"/>
      <c r="N304" s="13"/>
      <c r="O304" s="13"/>
      <c r="P304" s="13"/>
      <c r="Q304" s="13"/>
      <c r="R304" s="300"/>
      <c r="S304" s="13"/>
      <c r="T304" s="13"/>
      <c r="U304" s="300"/>
      <c r="V304" s="13"/>
      <c r="W304" s="13"/>
      <c r="X304" s="300"/>
      <c r="Y304" s="13"/>
      <c r="Z304" s="13"/>
      <c r="AA304" s="300"/>
      <c r="AB304" s="13"/>
      <c r="AC304" s="13"/>
      <c r="AD304" s="300"/>
      <c r="AE304" s="13"/>
      <c r="AF304" s="13"/>
      <c r="AG304" s="300"/>
      <c r="AH304" s="13"/>
      <c r="AI304" s="13"/>
      <c r="AJ304" s="300"/>
      <c r="AK304" s="13"/>
      <c r="AL304" s="301"/>
      <c r="AM304" s="300"/>
      <c r="AN304" s="13"/>
      <c r="AO304" s="301"/>
      <c r="AP304" s="300"/>
    </row>
    <row r="305">
      <c r="A305" s="13"/>
      <c r="B305" s="13"/>
      <c r="C305" s="13"/>
      <c r="D305" s="13"/>
      <c r="E305" s="13"/>
      <c r="F305" s="13"/>
      <c r="G305" s="13"/>
      <c r="H305" s="13"/>
      <c r="I305" s="13"/>
      <c r="J305" s="13"/>
      <c r="K305" s="13"/>
      <c r="L305" s="13"/>
      <c r="M305" s="13"/>
      <c r="N305" s="13"/>
      <c r="O305" s="13"/>
      <c r="P305" s="13"/>
      <c r="Q305" s="13"/>
      <c r="R305" s="300"/>
      <c r="S305" s="13"/>
      <c r="T305" s="13"/>
      <c r="U305" s="300"/>
      <c r="V305" s="13"/>
      <c r="W305" s="13"/>
      <c r="X305" s="300"/>
      <c r="Y305" s="13"/>
      <c r="Z305" s="13"/>
      <c r="AA305" s="300"/>
      <c r="AB305" s="13"/>
      <c r="AC305" s="13"/>
      <c r="AD305" s="300"/>
      <c r="AE305" s="13"/>
      <c r="AF305" s="13"/>
      <c r="AG305" s="300"/>
      <c r="AH305" s="13"/>
      <c r="AI305" s="13"/>
      <c r="AJ305" s="300"/>
      <c r="AK305" s="13"/>
      <c r="AL305" s="301"/>
      <c r="AM305" s="300"/>
      <c r="AN305" s="13"/>
      <c r="AO305" s="301"/>
      <c r="AP305" s="300"/>
    </row>
    <row r="306">
      <c r="A306" s="13"/>
      <c r="B306" s="13"/>
      <c r="C306" s="13"/>
      <c r="D306" s="13"/>
      <c r="E306" s="13"/>
      <c r="F306" s="13"/>
      <c r="G306" s="13"/>
      <c r="H306" s="13"/>
      <c r="I306" s="13"/>
      <c r="J306" s="13"/>
      <c r="K306" s="13"/>
      <c r="L306" s="13"/>
      <c r="M306" s="13"/>
      <c r="N306" s="13"/>
      <c r="O306" s="13"/>
      <c r="P306" s="13"/>
      <c r="Q306" s="13"/>
      <c r="R306" s="300"/>
      <c r="S306" s="13"/>
      <c r="T306" s="13"/>
      <c r="U306" s="300"/>
      <c r="V306" s="13"/>
      <c r="W306" s="13"/>
      <c r="X306" s="300"/>
      <c r="Y306" s="13"/>
      <c r="Z306" s="13"/>
      <c r="AA306" s="300"/>
      <c r="AB306" s="13"/>
      <c r="AC306" s="13"/>
      <c r="AD306" s="300"/>
      <c r="AE306" s="13"/>
      <c r="AF306" s="13"/>
      <c r="AG306" s="300"/>
      <c r="AH306" s="13"/>
      <c r="AI306" s="13"/>
      <c r="AJ306" s="300"/>
      <c r="AK306" s="13"/>
      <c r="AL306" s="301"/>
      <c r="AM306" s="300"/>
      <c r="AN306" s="13"/>
      <c r="AO306" s="301"/>
      <c r="AP306" s="300"/>
    </row>
    <row r="307">
      <c r="A307" s="13"/>
      <c r="B307" s="13"/>
      <c r="C307" s="13"/>
      <c r="D307" s="13"/>
      <c r="E307" s="13"/>
      <c r="F307" s="13"/>
      <c r="G307" s="13"/>
      <c r="H307" s="13"/>
      <c r="I307" s="13"/>
      <c r="J307" s="13"/>
      <c r="K307" s="13"/>
      <c r="L307" s="13"/>
      <c r="M307" s="13"/>
      <c r="N307" s="13"/>
      <c r="O307" s="13"/>
      <c r="P307" s="13"/>
      <c r="Q307" s="13"/>
      <c r="R307" s="300"/>
      <c r="S307" s="13"/>
      <c r="T307" s="13"/>
      <c r="U307" s="300"/>
      <c r="V307" s="13"/>
      <c r="W307" s="13"/>
      <c r="X307" s="300"/>
      <c r="Y307" s="13"/>
      <c r="Z307" s="13"/>
      <c r="AA307" s="300"/>
      <c r="AB307" s="13"/>
      <c r="AC307" s="13"/>
      <c r="AD307" s="300"/>
      <c r="AE307" s="13"/>
      <c r="AF307" s="13"/>
      <c r="AG307" s="300"/>
      <c r="AH307" s="13"/>
      <c r="AI307" s="13"/>
      <c r="AJ307" s="300"/>
      <c r="AK307" s="13"/>
      <c r="AL307" s="301"/>
      <c r="AM307" s="300"/>
      <c r="AN307" s="13"/>
      <c r="AO307" s="301"/>
      <c r="AP307" s="300"/>
    </row>
    <row r="308">
      <c r="A308" s="13"/>
      <c r="B308" s="13"/>
      <c r="C308" s="13"/>
      <c r="D308" s="13"/>
      <c r="E308" s="13"/>
      <c r="F308" s="13"/>
      <c r="G308" s="13"/>
      <c r="H308" s="13"/>
      <c r="I308" s="13"/>
      <c r="J308" s="13"/>
      <c r="K308" s="13"/>
      <c r="L308" s="13"/>
      <c r="M308" s="13"/>
      <c r="N308" s="13"/>
      <c r="O308" s="13"/>
      <c r="P308" s="13"/>
      <c r="Q308" s="13"/>
      <c r="R308" s="300"/>
      <c r="S308" s="13"/>
      <c r="T308" s="13"/>
      <c r="U308" s="300"/>
      <c r="V308" s="13"/>
      <c r="W308" s="13"/>
      <c r="X308" s="300"/>
      <c r="Y308" s="13"/>
      <c r="Z308" s="13"/>
      <c r="AA308" s="300"/>
      <c r="AB308" s="13"/>
      <c r="AC308" s="13"/>
      <c r="AD308" s="300"/>
      <c r="AE308" s="13"/>
      <c r="AF308" s="13"/>
      <c r="AG308" s="300"/>
      <c r="AH308" s="13"/>
      <c r="AI308" s="13"/>
      <c r="AJ308" s="300"/>
      <c r="AK308" s="13"/>
      <c r="AL308" s="301"/>
      <c r="AM308" s="300"/>
      <c r="AN308" s="13"/>
      <c r="AO308" s="301"/>
      <c r="AP308" s="300"/>
    </row>
    <row r="309">
      <c r="A309" s="13"/>
      <c r="B309" s="13"/>
      <c r="C309" s="13"/>
      <c r="D309" s="13"/>
      <c r="E309" s="13"/>
      <c r="F309" s="13"/>
      <c r="G309" s="13"/>
      <c r="H309" s="13"/>
      <c r="I309" s="13"/>
      <c r="J309" s="13"/>
      <c r="K309" s="13"/>
      <c r="L309" s="13"/>
      <c r="M309" s="13"/>
      <c r="N309" s="13"/>
      <c r="O309" s="13"/>
      <c r="P309" s="13"/>
      <c r="Q309" s="13"/>
      <c r="R309" s="300"/>
      <c r="S309" s="13"/>
      <c r="T309" s="13"/>
      <c r="U309" s="300"/>
      <c r="V309" s="13"/>
      <c r="W309" s="13"/>
      <c r="X309" s="300"/>
      <c r="Y309" s="13"/>
      <c r="Z309" s="13"/>
      <c r="AA309" s="300"/>
      <c r="AB309" s="13"/>
      <c r="AC309" s="13"/>
      <c r="AD309" s="300"/>
      <c r="AE309" s="13"/>
      <c r="AF309" s="13"/>
      <c r="AG309" s="300"/>
      <c r="AH309" s="13"/>
      <c r="AI309" s="13"/>
      <c r="AJ309" s="300"/>
      <c r="AK309" s="13"/>
      <c r="AL309" s="301"/>
      <c r="AM309" s="300"/>
      <c r="AN309" s="13"/>
      <c r="AO309" s="301"/>
      <c r="AP309" s="300"/>
    </row>
    <row r="310">
      <c r="A310" s="13"/>
      <c r="B310" s="13"/>
      <c r="C310" s="13"/>
      <c r="D310" s="13"/>
      <c r="E310" s="13"/>
      <c r="F310" s="13"/>
      <c r="G310" s="13"/>
      <c r="H310" s="13"/>
      <c r="I310" s="13"/>
      <c r="J310" s="13"/>
      <c r="K310" s="13"/>
      <c r="L310" s="13"/>
      <c r="M310" s="13"/>
      <c r="N310" s="13"/>
      <c r="O310" s="13"/>
      <c r="P310" s="13"/>
      <c r="Q310" s="13"/>
      <c r="R310" s="300"/>
      <c r="S310" s="13"/>
      <c r="T310" s="13"/>
      <c r="U310" s="300"/>
      <c r="V310" s="13"/>
      <c r="W310" s="13"/>
      <c r="X310" s="300"/>
      <c r="Y310" s="13"/>
      <c r="Z310" s="13"/>
      <c r="AA310" s="300"/>
      <c r="AB310" s="13"/>
      <c r="AC310" s="13"/>
      <c r="AD310" s="300"/>
      <c r="AE310" s="13"/>
      <c r="AF310" s="13"/>
      <c r="AG310" s="300"/>
      <c r="AH310" s="13"/>
      <c r="AI310" s="13"/>
      <c r="AJ310" s="300"/>
      <c r="AK310" s="13"/>
      <c r="AL310" s="301"/>
      <c r="AM310" s="300"/>
      <c r="AN310" s="13"/>
      <c r="AO310" s="301"/>
      <c r="AP310" s="300"/>
    </row>
    <row r="311">
      <c r="A311" s="13"/>
      <c r="B311" s="13"/>
      <c r="C311" s="13"/>
      <c r="D311" s="13"/>
      <c r="E311" s="13"/>
      <c r="F311" s="13"/>
      <c r="G311" s="13"/>
      <c r="H311" s="13"/>
      <c r="I311" s="13"/>
      <c r="J311" s="13"/>
      <c r="K311" s="13"/>
      <c r="L311" s="13"/>
      <c r="M311" s="13"/>
      <c r="N311" s="13"/>
      <c r="O311" s="13"/>
      <c r="P311" s="13"/>
      <c r="Q311" s="13"/>
      <c r="R311" s="300"/>
      <c r="S311" s="13"/>
      <c r="T311" s="13"/>
      <c r="U311" s="300"/>
      <c r="V311" s="13"/>
      <c r="W311" s="13"/>
      <c r="X311" s="300"/>
      <c r="Y311" s="13"/>
      <c r="Z311" s="13"/>
      <c r="AA311" s="300"/>
      <c r="AB311" s="13"/>
      <c r="AC311" s="13"/>
      <c r="AD311" s="300"/>
      <c r="AE311" s="13"/>
      <c r="AF311" s="13"/>
      <c r="AG311" s="300"/>
      <c r="AH311" s="13"/>
      <c r="AI311" s="13"/>
      <c r="AJ311" s="300"/>
      <c r="AK311" s="13"/>
      <c r="AL311" s="301"/>
      <c r="AM311" s="300"/>
      <c r="AN311" s="13"/>
      <c r="AO311" s="301"/>
      <c r="AP311" s="300"/>
    </row>
    <row r="312">
      <c r="A312" s="13"/>
      <c r="B312" s="13"/>
      <c r="C312" s="13"/>
      <c r="D312" s="13"/>
      <c r="E312" s="13"/>
      <c r="F312" s="13"/>
      <c r="G312" s="13"/>
      <c r="H312" s="13"/>
      <c r="I312" s="13"/>
      <c r="J312" s="13"/>
      <c r="K312" s="13"/>
      <c r="L312" s="13"/>
      <c r="M312" s="13"/>
      <c r="N312" s="13"/>
      <c r="O312" s="13"/>
      <c r="P312" s="13"/>
      <c r="Q312" s="13"/>
      <c r="R312" s="300"/>
      <c r="S312" s="13"/>
      <c r="T312" s="13"/>
      <c r="U312" s="300"/>
      <c r="V312" s="13"/>
      <c r="W312" s="13"/>
      <c r="X312" s="300"/>
      <c r="Y312" s="13"/>
      <c r="Z312" s="13"/>
      <c r="AA312" s="300"/>
      <c r="AB312" s="13"/>
      <c r="AC312" s="13"/>
      <c r="AD312" s="300"/>
      <c r="AE312" s="13"/>
      <c r="AF312" s="13"/>
      <c r="AG312" s="300"/>
      <c r="AH312" s="13"/>
      <c r="AI312" s="13"/>
      <c r="AJ312" s="300"/>
      <c r="AK312" s="13"/>
      <c r="AL312" s="301"/>
      <c r="AM312" s="300"/>
      <c r="AN312" s="13"/>
      <c r="AO312" s="301"/>
      <c r="AP312" s="300"/>
    </row>
    <row r="313">
      <c r="A313" s="13"/>
      <c r="B313" s="13"/>
      <c r="C313" s="13"/>
      <c r="D313" s="13"/>
      <c r="E313" s="13"/>
      <c r="F313" s="13"/>
      <c r="G313" s="13"/>
      <c r="H313" s="13"/>
      <c r="I313" s="13"/>
      <c r="J313" s="13"/>
      <c r="K313" s="13"/>
      <c r="L313" s="13"/>
      <c r="M313" s="13"/>
      <c r="N313" s="13"/>
      <c r="O313" s="13"/>
      <c r="P313" s="13"/>
      <c r="Q313" s="13"/>
      <c r="R313" s="300"/>
      <c r="S313" s="13"/>
      <c r="T313" s="13"/>
      <c r="U313" s="300"/>
      <c r="V313" s="13"/>
      <c r="W313" s="13"/>
      <c r="X313" s="300"/>
      <c r="Y313" s="13"/>
      <c r="Z313" s="13"/>
      <c r="AA313" s="300"/>
      <c r="AB313" s="13"/>
      <c r="AC313" s="13"/>
      <c r="AD313" s="300"/>
      <c r="AE313" s="13"/>
      <c r="AF313" s="13"/>
      <c r="AG313" s="300"/>
      <c r="AH313" s="13"/>
      <c r="AI313" s="13"/>
      <c r="AJ313" s="300"/>
      <c r="AK313" s="13"/>
      <c r="AL313" s="301"/>
      <c r="AM313" s="300"/>
      <c r="AN313" s="13"/>
      <c r="AO313" s="301"/>
      <c r="AP313" s="300"/>
    </row>
    <row r="314">
      <c r="A314" s="13"/>
      <c r="B314" s="13"/>
      <c r="C314" s="13"/>
      <c r="D314" s="13"/>
      <c r="E314" s="13"/>
      <c r="F314" s="13"/>
      <c r="G314" s="13"/>
      <c r="H314" s="13"/>
      <c r="I314" s="13"/>
      <c r="J314" s="13"/>
      <c r="K314" s="13"/>
      <c r="L314" s="13"/>
      <c r="M314" s="13"/>
      <c r="N314" s="13"/>
      <c r="O314" s="13"/>
      <c r="P314" s="13"/>
      <c r="Q314" s="13"/>
      <c r="R314" s="300"/>
      <c r="S314" s="13"/>
      <c r="T314" s="13"/>
      <c r="U314" s="300"/>
      <c r="V314" s="13"/>
      <c r="W314" s="13"/>
      <c r="X314" s="300"/>
      <c r="Y314" s="13"/>
      <c r="Z314" s="13"/>
      <c r="AA314" s="300"/>
      <c r="AB314" s="13"/>
      <c r="AC314" s="13"/>
      <c r="AD314" s="300"/>
      <c r="AE314" s="13"/>
      <c r="AF314" s="13"/>
      <c r="AG314" s="300"/>
      <c r="AH314" s="13"/>
      <c r="AI314" s="13"/>
      <c r="AJ314" s="300"/>
      <c r="AK314" s="13"/>
      <c r="AL314" s="301"/>
      <c r="AM314" s="300"/>
      <c r="AN314" s="13"/>
      <c r="AO314" s="301"/>
      <c r="AP314" s="300"/>
    </row>
    <row r="315">
      <c r="A315" s="13"/>
      <c r="B315" s="13"/>
      <c r="C315" s="13"/>
      <c r="D315" s="13"/>
      <c r="E315" s="13"/>
      <c r="F315" s="13"/>
      <c r="G315" s="13"/>
      <c r="H315" s="13"/>
      <c r="I315" s="13"/>
      <c r="J315" s="13"/>
      <c r="K315" s="13"/>
      <c r="L315" s="13"/>
      <c r="M315" s="13"/>
      <c r="N315" s="13"/>
      <c r="O315" s="13"/>
      <c r="P315" s="13"/>
      <c r="Q315" s="13"/>
      <c r="R315" s="300"/>
      <c r="S315" s="13"/>
      <c r="T315" s="13"/>
      <c r="U315" s="300"/>
      <c r="V315" s="13"/>
      <c r="W315" s="13"/>
      <c r="X315" s="300"/>
      <c r="Y315" s="13"/>
      <c r="Z315" s="13"/>
      <c r="AA315" s="300"/>
      <c r="AB315" s="13"/>
      <c r="AC315" s="13"/>
      <c r="AD315" s="300"/>
      <c r="AE315" s="13"/>
      <c r="AF315" s="13"/>
      <c r="AG315" s="300"/>
      <c r="AH315" s="13"/>
      <c r="AI315" s="13"/>
      <c r="AJ315" s="300"/>
      <c r="AK315" s="13"/>
      <c r="AL315" s="301"/>
      <c r="AM315" s="300"/>
      <c r="AN315" s="13"/>
      <c r="AO315" s="301"/>
      <c r="AP315" s="300"/>
    </row>
    <row r="316">
      <c r="A316" s="13"/>
      <c r="B316" s="13"/>
      <c r="C316" s="13"/>
      <c r="D316" s="13"/>
      <c r="E316" s="13"/>
      <c r="F316" s="13"/>
      <c r="G316" s="13"/>
      <c r="H316" s="13"/>
      <c r="I316" s="13"/>
      <c r="J316" s="13"/>
      <c r="K316" s="13"/>
      <c r="L316" s="13"/>
      <c r="M316" s="13"/>
      <c r="N316" s="13"/>
      <c r="O316" s="13"/>
      <c r="P316" s="13"/>
      <c r="Q316" s="13"/>
      <c r="R316" s="300"/>
      <c r="S316" s="13"/>
      <c r="T316" s="13"/>
      <c r="U316" s="300"/>
      <c r="V316" s="13"/>
      <c r="W316" s="13"/>
      <c r="X316" s="300"/>
      <c r="Y316" s="13"/>
      <c r="Z316" s="13"/>
      <c r="AA316" s="300"/>
      <c r="AB316" s="13"/>
      <c r="AC316" s="13"/>
      <c r="AD316" s="300"/>
      <c r="AE316" s="13"/>
      <c r="AF316" s="13"/>
      <c r="AG316" s="300"/>
      <c r="AH316" s="13"/>
      <c r="AI316" s="13"/>
      <c r="AJ316" s="300"/>
      <c r="AK316" s="13"/>
      <c r="AL316" s="301"/>
      <c r="AM316" s="300"/>
      <c r="AN316" s="13"/>
      <c r="AO316" s="301"/>
      <c r="AP316" s="300"/>
    </row>
    <row r="317">
      <c r="A317" s="13"/>
      <c r="B317" s="13"/>
      <c r="C317" s="13"/>
      <c r="D317" s="13"/>
      <c r="E317" s="13"/>
      <c r="F317" s="13"/>
      <c r="G317" s="13"/>
      <c r="H317" s="13"/>
      <c r="I317" s="13"/>
      <c r="J317" s="13"/>
      <c r="K317" s="13"/>
      <c r="L317" s="13"/>
      <c r="M317" s="13"/>
      <c r="N317" s="13"/>
      <c r="O317" s="13"/>
      <c r="P317" s="13"/>
      <c r="Q317" s="13"/>
      <c r="R317" s="300"/>
      <c r="S317" s="13"/>
      <c r="T317" s="13"/>
      <c r="U317" s="300"/>
      <c r="V317" s="13"/>
      <c r="W317" s="13"/>
      <c r="X317" s="300"/>
      <c r="Y317" s="13"/>
      <c r="Z317" s="13"/>
      <c r="AA317" s="300"/>
      <c r="AB317" s="13"/>
      <c r="AC317" s="13"/>
      <c r="AD317" s="300"/>
      <c r="AE317" s="13"/>
      <c r="AF317" s="13"/>
      <c r="AG317" s="300"/>
      <c r="AH317" s="13"/>
      <c r="AI317" s="13"/>
      <c r="AJ317" s="300"/>
      <c r="AK317" s="13"/>
      <c r="AL317" s="301"/>
      <c r="AM317" s="300"/>
      <c r="AN317" s="13"/>
      <c r="AO317" s="301"/>
      <c r="AP317" s="300"/>
    </row>
    <row r="318">
      <c r="A318" s="13"/>
      <c r="B318" s="13"/>
      <c r="C318" s="13"/>
      <c r="D318" s="13"/>
      <c r="E318" s="13"/>
      <c r="F318" s="13"/>
      <c r="G318" s="13"/>
      <c r="H318" s="13"/>
      <c r="I318" s="13"/>
      <c r="J318" s="13"/>
      <c r="K318" s="13"/>
      <c r="L318" s="13"/>
      <c r="M318" s="13"/>
      <c r="N318" s="13"/>
      <c r="O318" s="13"/>
      <c r="P318" s="13"/>
      <c r="Q318" s="13"/>
      <c r="R318" s="300"/>
      <c r="S318" s="13"/>
      <c r="T318" s="13"/>
      <c r="U318" s="300"/>
      <c r="V318" s="13"/>
      <c r="W318" s="13"/>
      <c r="X318" s="300"/>
      <c r="Y318" s="13"/>
      <c r="Z318" s="13"/>
      <c r="AA318" s="300"/>
      <c r="AB318" s="13"/>
      <c r="AC318" s="13"/>
      <c r="AD318" s="300"/>
      <c r="AE318" s="13"/>
      <c r="AF318" s="13"/>
      <c r="AG318" s="300"/>
      <c r="AH318" s="13"/>
      <c r="AI318" s="13"/>
      <c r="AJ318" s="300"/>
      <c r="AK318" s="13"/>
      <c r="AL318" s="301"/>
      <c r="AM318" s="300"/>
      <c r="AN318" s="13"/>
      <c r="AO318" s="301"/>
      <c r="AP318" s="300"/>
    </row>
    <row r="319">
      <c r="A319" s="13"/>
      <c r="B319" s="13"/>
      <c r="C319" s="13"/>
      <c r="D319" s="13"/>
      <c r="E319" s="13"/>
      <c r="F319" s="13"/>
      <c r="G319" s="13"/>
      <c r="H319" s="13"/>
      <c r="I319" s="13"/>
      <c r="J319" s="13"/>
      <c r="K319" s="13"/>
      <c r="L319" s="13"/>
      <c r="M319" s="13"/>
      <c r="N319" s="13"/>
      <c r="O319" s="13"/>
      <c r="P319" s="13"/>
      <c r="Q319" s="13"/>
      <c r="R319" s="300"/>
      <c r="S319" s="13"/>
      <c r="T319" s="13"/>
      <c r="U319" s="300"/>
      <c r="V319" s="13"/>
      <c r="W319" s="13"/>
      <c r="X319" s="300"/>
      <c r="Y319" s="13"/>
      <c r="Z319" s="13"/>
      <c r="AA319" s="300"/>
      <c r="AB319" s="13"/>
      <c r="AC319" s="13"/>
      <c r="AD319" s="300"/>
      <c r="AE319" s="13"/>
      <c r="AF319" s="13"/>
      <c r="AG319" s="300"/>
      <c r="AH319" s="13"/>
      <c r="AI319" s="13"/>
      <c r="AJ319" s="300"/>
      <c r="AK319" s="13"/>
      <c r="AL319" s="301"/>
      <c r="AM319" s="300"/>
      <c r="AN319" s="13"/>
      <c r="AO319" s="301"/>
      <c r="AP319" s="300"/>
    </row>
    <row r="320">
      <c r="A320" s="13"/>
      <c r="B320" s="13"/>
      <c r="C320" s="13"/>
      <c r="D320" s="13"/>
      <c r="E320" s="13"/>
      <c r="F320" s="13"/>
      <c r="G320" s="13"/>
      <c r="H320" s="13"/>
      <c r="I320" s="13"/>
      <c r="J320" s="13"/>
      <c r="K320" s="13"/>
      <c r="L320" s="13"/>
      <c r="M320" s="13"/>
      <c r="N320" s="13"/>
      <c r="O320" s="13"/>
      <c r="P320" s="13"/>
      <c r="Q320" s="13"/>
      <c r="R320" s="300"/>
      <c r="S320" s="13"/>
      <c r="T320" s="13"/>
      <c r="U320" s="300"/>
      <c r="V320" s="13"/>
      <c r="W320" s="13"/>
      <c r="X320" s="300"/>
      <c r="Y320" s="13"/>
      <c r="Z320" s="13"/>
      <c r="AA320" s="300"/>
      <c r="AB320" s="13"/>
      <c r="AC320" s="13"/>
      <c r="AD320" s="300"/>
      <c r="AE320" s="13"/>
      <c r="AF320" s="13"/>
      <c r="AG320" s="300"/>
      <c r="AH320" s="13"/>
      <c r="AI320" s="13"/>
      <c r="AJ320" s="300"/>
      <c r="AK320" s="13"/>
      <c r="AL320" s="301"/>
      <c r="AM320" s="300"/>
      <c r="AN320" s="13"/>
      <c r="AO320" s="301"/>
      <c r="AP320" s="300"/>
    </row>
    <row r="321">
      <c r="A321" s="13"/>
      <c r="B321" s="13"/>
      <c r="C321" s="13"/>
      <c r="D321" s="13"/>
      <c r="E321" s="13"/>
      <c r="F321" s="13"/>
      <c r="G321" s="13"/>
      <c r="H321" s="13"/>
      <c r="I321" s="13"/>
      <c r="J321" s="13"/>
      <c r="K321" s="13"/>
      <c r="L321" s="13"/>
      <c r="M321" s="13"/>
      <c r="N321" s="13"/>
      <c r="O321" s="13"/>
      <c r="P321" s="13"/>
      <c r="Q321" s="13"/>
      <c r="R321" s="300"/>
      <c r="S321" s="13"/>
      <c r="T321" s="13"/>
      <c r="U321" s="300"/>
      <c r="V321" s="13"/>
      <c r="W321" s="13"/>
      <c r="X321" s="300"/>
      <c r="Y321" s="13"/>
      <c r="Z321" s="13"/>
      <c r="AA321" s="300"/>
      <c r="AB321" s="13"/>
      <c r="AC321" s="13"/>
      <c r="AD321" s="300"/>
      <c r="AE321" s="13"/>
      <c r="AF321" s="13"/>
      <c r="AG321" s="300"/>
      <c r="AH321" s="13"/>
      <c r="AI321" s="13"/>
      <c r="AJ321" s="300"/>
      <c r="AK321" s="13"/>
      <c r="AL321" s="301"/>
      <c r="AM321" s="300"/>
      <c r="AN321" s="13"/>
      <c r="AO321" s="301"/>
      <c r="AP321" s="300"/>
    </row>
    <row r="322">
      <c r="A322" s="13"/>
      <c r="B322" s="13"/>
      <c r="C322" s="13"/>
      <c r="D322" s="13"/>
      <c r="E322" s="13"/>
      <c r="F322" s="13"/>
      <c r="G322" s="13"/>
      <c r="H322" s="13"/>
      <c r="I322" s="13"/>
      <c r="J322" s="13"/>
      <c r="K322" s="13"/>
      <c r="L322" s="13"/>
      <c r="M322" s="13"/>
      <c r="N322" s="13"/>
      <c r="O322" s="13"/>
      <c r="P322" s="13"/>
      <c r="Q322" s="13"/>
      <c r="R322" s="300"/>
      <c r="S322" s="13"/>
      <c r="T322" s="13"/>
      <c r="U322" s="300"/>
      <c r="V322" s="13"/>
      <c r="W322" s="13"/>
      <c r="X322" s="300"/>
      <c r="Y322" s="13"/>
      <c r="Z322" s="13"/>
      <c r="AA322" s="300"/>
      <c r="AB322" s="13"/>
      <c r="AC322" s="13"/>
      <c r="AD322" s="300"/>
      <c r="AE322" s="13"/>
      <c r="AF322" s="13"/>
      <c r="AG322" s="300"/>
      <c r="AH322" s="13"/>
      <c r="AI322" s="13"/>
      <c r="AJ322" s="300"/>
      <c r="AK322" s="13"/>
      <c r="AL322" s="301"/>
      <c r="AM322" s="300"/>
      <c r="AN322" s="13"/>
      <c r="AO322" s="301"/>
      <c r="AP322" s="300"/>
    </row>
    <row r="323">
      <c r="A323" s="13"/>
      <c r="B323" s="13"/>
      <c r="C323" s="13"/>
      <c r="D323" s="13"/>
      <c r="E323" s="13"/>
      <c r="F323" s="13"/>
      <c r="G323" s="13"/>
      <c r="H323" s="13"/>
      <c r="I323" s="13"/>
      <c r="J323" s="13"/>
      <c r="K323" s="13"/>
      <c r="L323" s="13"/>
      <c r="M323" s="13"/>
      <c r="N323" s="13"/>
      <c r="O323" s="13"/>
      <c r="P323" s="13"/>
      <c r="Q323" s="13"/>
      <c r="R323" s="300"/>
      <c r="S323" s="13"/>
      <c r="T323" s="13"/>
      <c r="U323" s="300"/>
      <c r="V323" s="13"/>
      <c r="W323" s="13"/>
      <c r="X323" s="300"/>
      <c r="Y323" s="13"/>
      <c r="Z323" s="13"/>
      <c r="AA323" s="300"/>
      <c r="AB323" s="13"/>
      <c r="AC323" s="13"/>
      <c r="AD323" s="300"/>
      <c r="AE323" s="13"/>
      <c r="AF323" s="13"/>
      <c r="AG323" s="300"/>
      <c r="AH323" s="13"/>
      <c r="AI323" s="13"/>
      <c r="AJ323" s="300"/>
      <c r="AK323" s="13"/>
      <c r="AL323" s="301"/>
      <c r="AM323" s="300"/>
      <c r="AN323" s="13"/>
      <c r="AO323" s="301"/>
      <c r="AP323" s="300"/>
    </row>
    <row r="324">
      <c r="A324" s="13"/>
      <c r="B324" s="13"/>
      <c r="C324" s="13"/>
      <c r="D324" s="13"/>
      <c r="E324" s="13"/>
      <c r="F324" s="13"/>
      <c r="G324" s="13"/>
      <c r="H324" s="13"/>
      <c r="I324" s="13"/>
      <c r="J324" s="13"/>
      <c r="K324" s="13"/>
      <c r="L324" s="13"/>
      <c r="M324" s="13"/>
      <c r="N324" s="13"/>
      <c r="O324" s="13"/>
      <c r="P324" s="13"/>
      <c r="Q324" s="13"/>
      <c r="R324" s="300"/>
      <c r="S324" s="13"/>
      <c r="T324" s="13"/>
      <c r="U324" s="300"/>
      <c r="V324" s="13"/>
      <c r="W324" s="13"/>
      <c r="X324" s="300"/>
      <c r="Y324" s="13"/>
      <c r="Z324" s="13"/>
      <c r="AA324" s="300"/>
      <c r="AB324" s="13"/>
      <c r="AC324" s="13"/>
      <c r="AD324" s="300"/>
      <c r="AE324" s="13"/>
      <c r="AF324" s="13"/>
      <c r="AG324" s="300"/>
      <c r="AH324" s="13"/>
      <c r="AI324" s="13"/>
      <c r="AJ324" s="300"/>
      <c r="AK324" s="13"/>
      <c r="AL324" s="301"/>
      <c r="AM324" s="300"/>
      <c r="AN324" s="13"/>
      <c r="AO324" s="301"/>
      <c r="AP324" s="300"/>
    </row>
    <row r="325">
      <c r="A325" s="13"/>
      <c r="B325" s="13"/>
      <c r="C325" s="13"/>
      <c r="D325" s="13"/>
      <c r="E325" s="13"/>
      <c r="F325" s="13"/>
      <c r="G325" s="13"/>
      <c r="H325" s="13"/>
      <c r="I325" s="13"/>
      <c r="J325" s="13"/>
      <c r="K325" s="13"/>
      <c r="L325" s="13"/>
      <c r="M325" s="13"/>
      <c r="N325" s="13"/>
      <c r="O325" s="13"/>
      <c r="P325" s="13"/>
      <c r="Q325" s="13"/>
      <c r="R325" s="300"/>
      <c r="S325" s="13"/>
      <c r="T325" s="13"/>
      <c r="U325" s="300"/>
      <c r="V325" s="13"/>
      <c r="W325" s="13"/>
      <c r="X325" s="300"/>
      <c r="Y325" s="13"/>
      <c r="Z325" s="13"/>
      <c r="AA325" s="300"/>
      <c r="AB325" s="13"/>
      <c r="AC325" s="13"/>
      <c r="AD325" s="300"/>
      <c r="AE325" s="13"/>
      <c r="AF325" s="13"/>
      <c r="AG325" s="300"/>
      <c r="AH325" s="13"/>
      <c r="AI325" s="13"/>
      <c r="AJ325" s="300"/>
      <c r="AK325" s="13"/>
      <c r="AL325" s="301"/>
      <c r="AM325" s="300"/>
      <c r="AN325" s="13"/>
      <c r="AO325" s="301"/>
      <c r="AP325" s="300"/>
    </row>
    <row r="326">
      <c r="A326" s="13"/>
      <c r="B326" s="13"/>
      <c r="C326" s="13"/>
      <c r="D326" s="13"/>
      <c r="E326" s="13"/>
      <c r="F326" s="13"/>
      <c r="G326" s="13"/>
      <c r="H326" s="13"/>
      <c r="I326" s="13"/>
      <c r="J326" s="13"/>
      <c r="K326" s="13"/>
      <c r="L326" s="13"/>
      <c r="M326" s="13"/>
      <c r="N326" s="13"/>
      <c r="O326" s="13"/>
      <c r="P326" s="13"/>
      <c r="Q326" s="13"/>
      <c r="R326" s="300"/>
      <c r="S326" s="13"/>
      <c r="T326" s="13"/>
      <c r="U326" s="300"/>
      <c r="V326" s="13"/>
      <c r="W326" s="13"/>
      <c r="X326" s="300"/>
      <c r="Y326" s="13"/>
      <c r="Z326" s="13"/>
      <c r="AA326" s="300"/>
      <c r="AB326" s="13"/>
      <c r="AC326" s="13"/>
      <c r="AD326" s="300"/>
      <c r="AE326" s="13"/>
      <c r="AF326" s="13"/>
      <c r="AG326" s="300"/>
      <c r="AH326" s="13"/>
      <c r="AI326" s="13"/>
      <c r="AJ326" s="300"/>
      <c r="AK326" s="13"/>
      <c r="AL326" s="301"/>
      <c r="AM326" s="300"/>
      <c r="AN326" s="13"/>
      <c r="AO326" s="301"/>
      <c r="AP326" s="300"/>
    </row>
    <row r="327">
      <c r="A327" s="13"/>
      <c r="B327" s="13"/>
      <c r="C327" s="13"/>
      <c r="D327" s="13"/>
      <c r="E327" s="13"/>
      <c r="F327" s="13"/>
      <c r="G327" s="13"/>
      <c r="H327" s="13"/>
      <c r="I327" s="13"/>
      <c r="J327" s="13"/>
      <c r="K327" s="13"/>
      <c r="L327" s="13"/>
      <c r="M327" s="13"/>
      <c r="N327" s="13"/>
      <c r="O327" s="13"/>
      <c r="P327" s="13"/>
      <c r="Q327" s="13"/>
      <c r="R327" s="300"/>
      <c r="S327" s="13"/>
      <c r="T327" s="13"/>
      <c r="U327" s="300"/>
      <c r="V327" s="13"/>
      <c r="W327" s="13"/>
      <c r="X327" s="300"/>
      <c r="Y327" s="13"/>
      <c r="Z327" s="13"/>
      <c r="AA327" s="300"/>
      <c r="AB327" s="13"/>
      <c r="AC327" s="13"/>
      <c r="AD327" s="300"/>
      <c r="AE327" s="13"/>
      <c r="AF327" s="13"/>
      <c r="AG327" s="300"/>
      <c r="AH327" s="13"/>
      <c r="AI327" s="13"/>
      <c r="AJ327" s="300"/>
      <c r="AK327" s="13"/>
      <c r="AL327" s="301"/>
      <c r="AM327" s="300"/>
      <c r="AN327" s="13"/>
      <c r="AO327" s="301"/>
      <c r="AP327" s="300"/>
    </row>
    <row r="328">
      <c r="A328" s="13"/>
      <c r="B328" s="13"/>
      <c r="C328" s="13"/>
      <c r="D328" s="13"/>
      <c r="E328" s="13"/>
      <c r="F328" s="13"/>
      <c r="G328" s="13"/>
      <c r="H328" s="13"/>
      <c r="I328" s="13"/>
      <c r="J328" s="13"/>
      <c r="K328" s="13"/>
      <c r="L328" s="13"/>
      <c r="M328" s="13"/>
      <c r="N328" s="13"/>
      <c r="O328" s="13"/>
      <c r="P328" s="13"/>
      <c r="Q328" s="13"/>
      <c r="R328" s="300"/>
      <c r="S328" s="13"/>
      <c r="T328" s="13"/>
      <c r="U328" s="300"/>
      <c r="V328" s="13"/>
      <c r="W328" s="13"/>
      <c r="X328" s="300"/>
      <c r="Y328" s="13"/>
      <c r="Z328" s="13"/>
      <c r="AA328" s="300"/>
      <c r="AB328" s="13"/>
      <c r="AC328" s="13"/>
      <c r="AD328" s="300"/>
      <c r="AE328" s="13"/>
      <c r="AF328" s="13"/>
      <c r="AG328" s="300"/>
      <c r="AH328" s="13"/>
      <c r="AI328" s="13"/>
      <c r="AJ328" s="300"/>
      <c r="AK328" s="13"/>
      <c r="AL328" s="301"/>
      <c r="AM328" s="300"/>
      <c r="AN328" s="13"/>
      <c r="AO328" s="301"/>
      <c r="AP328" s="300"/>
    </row>
    <row r="329">
      <c r="A329" s="13"/>
      <c r="B329" s="13"/>
      <c r="C329" s="13"/>
      <c r="D329" s="13"/>
      <c r="E329" s="13"/>
      <c r="F329" s="13"/>
      <c r="G329" s="13"/>
      <c r="H329" s="13"/>
      <c r="I329" s="13"/>
      <c r="J329" s="13"/>
      <c r="K329" s="13"/>
      <c r="L329" s="13"/>
      <c r="M329" s="13"/>
      <c r="N329" s="13"/>
      <c r="O329" s="13"/>
      <c r="P329" s="13"/>
      <c r="Q329" s="13"/>
      <c r="R329" s="300"/>
      <c r="S329" s="13"/>
      <c r="T329" s="13"/>
      <c r="U329" s="300"/>
      <c r="V329" s="13"/>
      <c r="W329" s="13"/>
      <c r="X329" s="300"/>
      <c r="Y329" s="13"/>
      <c r="Z329" s="13"/>
      <c r="AA329" s="300"/>
      <c r="AB329" s="13"/>
      <c r="AC329" s="13"/>
      <c r="AD329" s="300"/>
      <c r="AE329" s="13"/>
      <c r="AF329" s="13"/>
      <c r="AG329" s="300"/>
      <c r="AH329" s="13"/>
      <c r="AI329" s="13"/>
      <c r="AJ329" s="300"/>
      <c r="AK329" s="13"/>
      <c r="AL329" s="301"/>
      <c r="AM329" s="300"/>
      <c r="AN329" s="13"/>
      <c r="AO329" s="301"/>
      <c r="AP329" s="300"/>
    </row>
    <row r="330">
      <c r="A330" s="13"/>
      <c r="B330" s="13"/>
      <c r="C330" s="13"/>
      <c r="D330" s="13"/>
      <c r="E330" s="13"/>
      <c r="F330" s="13"/>
      <c r="G330" s="13"/>
      <c r="H330" s="13"/>
      <c r="I330" s="13"/>
      <c r="J330" s="13"/>
      <c r="K330" s="13"/>
      <c r="L330" s="13"/>
      <c r="M330" s="13"/>
      <c r="N330" s="13"/>
      <c r="O330" s="13"/>
      <c r="P330" s="13"/>
      <c r="Q330" s="13"/>
      <c r="R330" s="300"/>
      <c r="S330" s="13"/>
      <c r="T330" s="13"/>
      <c r="U330" s="300"/>
      <c r="V330" s="13"/>
      <c r="W330" s="13"/>
      <c r="X330" s="300"/>
      <c r="Y330" s="13"/>
      <c r="Z330" s="13"/>
      <c r="AA330" s="300"/>
      <c r="AB330" s="13"/>
      <c r="AC330" s="13"/>
      <c r="AD330" s="300"/>
      <c r="AE330" s="13"/>
      <c r="AF330" s="13"/>
      <c r="AG330" s="300"/>
      <c r="AH330" s="13"/>
      <c r="AI330" s="13"/>
      <c r="AJ330" s="300"/>
      <c r="AK330" s="13"/>
      <c r="AL330" s="301"/>
      <c r="AM330" s="300"/>
      <c r="AN330" s="13"/>
      <c r="AO330" s="301"/>
      <c r="AP330" s="300"/>
    </row>
    <row r="331">
      <c r="A331" s="13"/>
      <c r="B331" s="13"/>
      <c r="C331" s="13"/>
      <c r="D331" s="13"/>
      <c r="E331" s="13"/>
      <c r="F331" s="13"/>
      <c r="G331" s="13"/>
      <c r="H331" s="13"/>
      <c r="I331" s="13"/>
      <c r="J331" s="13"/>
      <c r="K331" s="13"/>
      <c r="L331" s="13"/>
      <c r="M331" s="13"/>
      <c r="N331" s="13"/>
      <c r="O331" s="13"/>
      <c r="P331" s="13"/>
      <c r="Q331" s="13"/>
      <c r="R331" s="300"/>
      <c r="S331" s="13"/>
      <c r="T331" s="13"/>
      <c r="U331" s="300"/>
      <c r="V331" s="13"/>
      <c r="W331" s="13"/>
      <c r="X331" s="300"/>
      <c r="Y331" s="13"/>
      <c r="Z331" s="13"/>
      <c r="AA331" s="300"/>
      <c r="AB331" s="13"/>
      <c r="AC331" s="13"/>
      <c r="AD331" s="300"/>
      <c r="AE331" s="13"/>
      <c r="AF331" s="13"/>
      <c r="AG331" s="300"/>
      <c r="AH331" s="13"/>
      <c r="AI331" s="13"/>
      <c r="AJ331" s="300"/>
      <c r="AK331" s="13"/>
      <c r="AL331" s="301"/>
      <c r="AM331" s="300"/>
      <c r="AN331" s="13"/>
      <c r="AO331" s="301"/>
      <c r="AP331" s="300"/>
    </row>
    <row r="332">
      <c r="A332" s="13"/>
      <c r="B332" s="13"/>
      <c r="C332" s="13"/>
      <c r="D332" s="13"/>
      <c r="E332" s="13"/>
      <c r="F332" s="13"/>
      <c r="G332" s="13"/>
      <c r="H332" s="13"/>
      <c r="I332" s="13"/>
      <c r="J332" s="13"/>
      <c r="K332" s="13"/>
      <c r="L332" s="13"/>
      <c r="M332" s="13"/>
      <c r="N332" s="13"/>
      <c r="O332" s="13"/>
      <c r="P332" s="13"/>
      <c r="Q332" s="13"/>
      <c r="R332" s="300"/>
      <c r="S332" s="13"/>
      <c r="T332" s="13"/>
      <c r="U332" s="300"/>
      <c r="V332" s="13"/>
      <c r="W332" s="13"/>
      <c r="X332" s="300"/>
      <c r="Y332" s="13"/>
      <c r="Z332" s="13"/>
      <c r="AA332" s="300"/>
      <c r="AB332" s="13"/>
      <c r="AC332" s="13"/>
      <c r="AD332" s="300"/>
      <c r="AE332" s="13"/>
      <c r="AF332" s="13"/>
      <c r="AG332" s="300"/>
      <c r="AH332" s="13"/>
      <c r="AI332" s="13"/>
      <c r="AJ332" s="300"/>
      <c r="AK332" s="13"/>
      <c r="AL332" s="301"/>
      <c r="AM332" s="300"/>
      <c r="AN332" s="13"/>
      <c r="AO332" s="301"/>
      <c r="AP332" s="300"/>
    </row>
    <row r="333">
      <c r="A333" s="13"/>
      <c r="B333" s="13"/>
      <c r="C333" s="13"/>
      <c r="D333" s="13"/>
      <c r="E333" s="13"/>
      <c r="F333" s="13"/>
      <c r="G333" s="13"/>
      <c r="H333" s="13"/>
      <c r="I333" s="13"/>
      <c r="J333" s="13"/>
      <c r="K333" s="13"/>
      <c r="L333" s="13"/>
      <c r="M333" s="13"/>
      <c r="N333" s="13"/>
      <c r="O333" s="13"/>
      <c r="P333" s="13"/>
      <c r="Q333" s="13"/>
      <c r="R333" s="300"/>
      <c r="S333" s="13"/>
      <c r="T333" s="13"/>
      <c r="U333" s="300"/>
      <c r="V333" s="13"/>
      <c r="W333" s="13"/>
      <c r="X333" s="300"/>
      <c r="Y333" s="13"/>
      <c r="Z333" s="13"/>
      <c r="AA333" s="300"/>
      <c r="AB333" s="13"/>
      <c r="AC333" s="13"/>
      <c r="AD333" s="300"/>
      <c r="AE333" s="13"/>
      <c r="AF333" s="13"/>
      <c r="AG333" s="300"/>
      <c r="AH333" s="13"/>
      <c r="AI333" s="13"/>
      <c r="AJ333" s="300"/>
      <c r="AK333" s="13"/>
      <c r="AL333" s="301"/>
      <c r="AM333" s="300"/>
      <c r="AN333" s="13"/>
      <c r="AO333" s="301"/>
      <c r="AP333" s="300"/>
    </row>
    <row r="334">
      <c r="A334" s="13"/>
      <c r="B334" s="13"/>
      <c r="C334" s="13"/>
      <c r="D334" s="13"/>
      <c r="E334" s="13"/>
      <c r="F334" s="13"/>
      <c r="G334" s="13"/>
      <c r="H334" s="13"/>
      <c r="I334" s="13"/>
      <c r="J334" s="13"/>
      <c r="K334" s="13"/>
      <c r="L334" s="13"/>
      <c r="M334" s="13"/>
      <c r="N334" s="13"/>
      <c r="O334" s="13"/>
      <c r="P334" s="13"/>
      <c r="Q334" s="13"/>
      <c r="R334" s="300"/>
      <c r="S334" s="13"/>
      <c r="T334" s="13"/>
      <c r="U334" s="300"/>
      <c r="V334" s="13"/>
      <c r="W334" s="13"/>
      <c r="X334" s="300"/>
      <c r="Y334" s="13"/>
      <c r="Z334" s="13"/>
      <c r="AA334" s="300"/>
      <c r="AB334" s="13"/>
      <c r="AC334" s="13"/>
      <c r="AD334" s="300"/>
      <c r="AE334" s="13"/>
      <c r="AF334" s="13"/>
      <c r="AG334" s="300"/>
      <c r="AH334" s="13"/>
      <c r="AI334" s="13"/>
      <c r="AJ334" s="300"/>
      <c r="AK334" s="13"/>
      <c r="AL334" s="301"/>
      <c r="AM334" s="300"/>
      <c r="AN334" s="13"/>
      <c r="AO334" s="301"/>
      <c r="AP334" s="300"/>
    </row>
    <row r="335">
      <c r="A335" s="13"/>
      <c r="B335" s="13"/>
      <c r="C335" s="13"/>
      <c r="D335" s="13"/>
      <c r="E335" s="13"/>
      <c r="F335" s="13"/>
      <c r="G335" s="13"/>
      <c r="H335" s="13"/>
      <c r="I335" s="13"/>
      <c r="J335" s="13"/>
      <c r="K335" s="13"/>
      <c r="L335" s="13"/>
      <c r="M335" s="13"/>
      <c r="N335" s="13"/>
      <c r="O335" s="13"/>
      <c r="P335" s="13"/>
      <c r="Q335" s="13"/>
      <c r="R335" s="300"/>
      <c r="S335" s="13"/>
      <c r="T335" s="13"/>
      <c r="U335" s="300"/>
      <c r="V335" s="13"/>
      <c r="W335" s="13"/>
      <c r="X335" s="300"/>
      <c r="Y335" s="13"/>
      <c r="Z335" s="13"/>
      <c r="AA335" s="300"/>
      <c r="AB335" s="13"/>
      <c r="AC335" s="13"/>
      <c r="AD335" s="300"/>
      <c r="AE335" s="13"/>
      <c r="AF335" s="13"/>
      <c r="AG335" s="300"/>
      <c r="AH335" s="13"/>
      <c r="AI335" s="13"/>
      <c r="AJ335" s="300"/>
      <c r="AK335" s="13"/>
      <c r="AL335" s="301"/>
      <c r="AM335" s="300"/>
      <c r="AN335" s="13"/>
      <c r="AO335" s="301"/>
      <c r="AP335" s="300"/>
    </row>
    <row r="336">
      <c r="A336" s="13"/>
      <c r="B336" s="13"/>
      <c r="C336" s="13"/>
      <c r="D336" s="13"/>
      <c r="E336" s="13"/>
      <c r="F336" s="13"/>
      <c r="G336" s="13"/>
      <c r="H336" s="13"/>
      <c r="I336" s="13"/>
      <c r="J336" s="13"/>
      <c r="K336" s="13"/>
      <c r="L336" s="13"/>
      <c r="M336" s="13"/>
      <c r="N336" s="13"/>
      <c r="O336" s="13"/>
      <c r="P336" s="13"/>
      <c r="Q336" s="13"/>
      <c r="R336" s="300"/>
      <c r="S336" s="13"/>
      <c r="T336" s="13"/>
      <c r="U336" s="300"/>
      <c r="V336" s="13"/>
      <c r="W336" s="13"/>
      <c r="X336" s="300"/>
      <c r="Y336" s="13"/>
      <c r="Z336" s="13"/>
      <c r="AA336" s="300"/>
      <c r="AB336" s="13"/>
      <c r="AC336" s="13"/>
      <c r="AD336" s="300"/>
      <c r="AE336" s="13"/>
      <c r="AF336" s="13"/>
      <c r="AG336" s="300"/>
      <c r="AH336" s="13"/>
      <c r="AI336" s="13"/>
      <c r="AJ336" s="300"/>
      <c r="AK336" s="13"/>
      <c r="AL336" s="301"/>
      <c r="AM336" s="300"/>
      <c r="AN336" s="13"/>
      <c r="AO336" s="301"/>
      <c r="AP336" s="300"/>
    </row>
    <row r="337">
      <c r="A337" s="13"/>
      <c r="B337" s="13"/>
      <c r="C337" s="13"/>
      <c r="D337" s="13"/>
      <c r="E337" s="13"/>
      <c r="F337" s="13"/>
      <c r="G337" s="13"/>
      <c r="H337" s="13"/>
      <c r="I337" s="13"/>
      <c r="J337" s="13"/>
      <c r="K337" s="13"/>
      <c r="L337" s="13"/>
      <c r="M337" s="13"/>
      <c r="N337" s="13"/>
      <c r="O337" s="13"/>
      <c r="P337" s="13"/>
      <c r="Q337" s="13"/>
      <c r="R337" s="300"/>
      <c r="S337" s="13"/>
      <c r="T337" s="13"/>
      <c r="U337" s="300"/>
      <c r="V337" s="13"/>
      <c r="W337" s="13"/>
      <c r="X337" s="300"/>
      <c r="Y337" s="13"/>
      <c r="Z337" s="13"/>
      <c r="AA337" s="300"/>
      <c r="AB337" s="13"/>
      <c r="AC337" s="13"/>
      <c r="AD337" s="300"/>
      <c r="AE337" s="13"/>
      <c r="AF337" s="13"/>
      <c r="AG337" s="300"/>
      <c r="AH337" s="13"/>
      <c r="AI337" s="13"/>
      <c r="AJ337" s="300"/>
      <c r="AK337" s="13"/>
      <c r="AL337" s="301"/>
      <c r="AM337" s="300"/>
      <c r="AN337" s="13"/>
      <c r="AO337" s="301"/>
      <c r="AP337" s="300"/>
    </row>
    <row r="338">
      <c r="A338" s="13"/>
      <c r="B338" s="13"/>
      <c r="C338" s="13"/>
      <c r="D338" s="13"/>
      <c r="E338" s="13"/>
      <c r="F338" s="13"/>
      <c r="G338" s="13"/>
      <c r="H338" s="13"/>
      <c r="I338" s="13"/>
      <c r="J338" s="13"/>
      <c r="K338" s="13"/>
      <c r="L338" s="13"/>
      <c r="M338" s="13"/>
      <c r="N338" s="13"/>
      <c r="O338" s="13"/>
      <c r="P338" s="13"/>
      <c r="Q338" s="13"/>
      <c r="R338" s="300"/>
      <c r="S338" s="13"/>
      <c r="T338" s="13"/>
      <c r="U338" s="300"/>
      <c r="V338" s="13"/>
      <c r="W338" s="13"/>
      <c r="X338" s="300"/>
      <c r="Y338" s="13"/>
      <c r="Z338" s="13"/>
      <c r="AA338" s="300"/>
      <c r="AB338" s="13"/>
      <c r="AC338" s="13"/>
      <c r="AD338" s="300"/>
      <c r="AE338" s="13"/>
      <c r="AF338" s="13"/>
      <c r="AG338" s="300"/>
      <c r="AH338" s="13"/>
      <c r="AI338" s="13"/>
      <c r="AJ338" s="300"/>
      <c r="AK338" s="13"/>
      <c r="AL338" s="301"/>
      <c r="AM338" s="300"/>
      <c r="AN338" s="13"/>
      <c r="AO338" s="301"/>
      <c r="AP338" s="300"/>
    </row>
    <row r="339">
      <c r="A339" s="13"/>
      <c r="B339" s="13"/>
      <c r="C339" s="13"/>
      <c r="D339" s="13"/>
      <c r="E339" s="13"/>
      <c r="F339" s="13"/>
      <c r="G339" s="13"/>
      <c r="H339" s="13"/>
      <c r="I339" s="13"/>
      <c r="J339" s="13"/>
      <c r="K339" s="13"/>
      <c r="L339" s="13"/>
      <c r="M339" s="13"/>
      <c r="N339" s="13"/>
      <c r="O339" s="13"/>
      <c r="P339" s="13"/>
      <c r="Q339" s="13"/>
      <c r="R339" s="300"/>
      <c r="S339" s="13"/>
      <c r="T339" s="13"/>
      <c r="U339" s="300"/>
      <c r="V339" s="13"/>
      <c r="W339" s="13"/>
      <c r="X339" s="300"/>
      <c r="Y339" s="13"/>
      <c r="Z339" s="13"/>
      <c r="AA339" s="300"/>
      <c r="AB339" s="13"/>
      <c r="AC339" s="13"/>
      <c r="AD339" s="300"/>
      <c r="AE339" s="13"/>
      <c r="AF339" s="13"/>
      <c r="AG339" s="300"/>
      <c r="AH339" s="13"/>
      <c r="AI339" s="13"/>
      <c r="AJ339" s="300"/>
      <c r="AK339" s="13"/>
      <c r="AL339" s="301"/>
      <c r="AM339" s="300"/>
      <c r="AN339" s="13"/>
      <c r="AO339" s="301"/>
      <c r="AP339" s="300"/>
    </row>
    <row r="340">
      <c r="A340" s="13"/>
      <c r="B340" s="13"/>
      <c r="C340" s="13"/>
      <c r="D340" s="13"/>
      <c r="E340" s="13"/>
      <c r="F340" s="13"/>
      <c r="G340" s="13"/>
      <c r="H340" s="13"/>
      <c r="I340" s="13"/>
      <c r="J340" s="13"/>
      <c r="K340" s="13"/>
      <c r="L340" s="13"/>
      <c r="M340" s="13"/>
      <c r="N340" s="13"/>
      <c r="O340" s="13"/>
      <c r="P340" s="13"/>
      <c r="Q340" s="13"/>
      <c r="R340" s="300"/>
      <c r="S340" s="13"/>
      <c r="T340" s="13"/>
      <c r="U340" s="300"/>
      <c r="V340" s="13"/>
      <c r="W340" s="13"/>
      <c r="X340" s="300"/>
      <c r="Y340" s="13"/>
      <c r="Z340" s="13"/>
      <c r="AA340" s="300"/>
      <c r="AB340" s="13"/>
      <c r="AC340" s="13"/>
      <c r="AD340" s="300"/>
      <c r="AE340" s="13"/>
      <c r="AF340" s="13"/>
      <c r="AG340" s="300"/>
      <c r="AH340" s="13"/>
      <c r="AI340" s="13"/>
      <c r="AJ340" s="300"/>
      <c r="AK340" s="13"/>
      <c r="AL340" s="301"/>
      <c r="AM340" s="300"/>
      <c r="AN340" s="13"/>
      <c r="AO340" s="301"/>
      <c r="AP340" s="300"/>
    </row>
    <row r="341">
      <c r="A341" s="13"/>
      <c r="B341" s="13"/>
      <c r="C341" s="13"/>
      <c r="D341" s="13"/>
      <c r="E341" s="13"/>
      <c r="F341" s="13"/>
      <c r="G341" s="13"/>
      <c r="H341" s="13"/>
      <c r="I341" s="13"/>
      <c r="J341" s="13"/>
      <c r="K341" s="13"/>
      <c r="L341" s="13"/>
      <c r="M341" s="13"/>
      <c r="N341" s="13"/>
      <c r="O341" s="13"/>
      <c r="P341" s="13"/>
      <c r="Q341" s="13"/>
      <c r="R341" s="300"/>
      <c r="S341" s="13"/>
      <c r="T341" s="13"/>
      <c r="U341" s="300"/>
      <c r="V341" s="13"/>
      <c r="W341" s="13"/>
      <c r="X341" s="300"/>
      <c r="Y341" s="13"/>
      <c r="Z341" s="13"/>
      <c r="AA341" s="300"/>
      <c r="AB341" s="13"/>
      <c r="AC341" s="13"/>
      <c r="AD341" s="300"/>
      <c r="AE341" s="13"/>
      <c r="AF341" s="13"/>
      <c r="AG341" s="300"/>
      <c r="AH341" s="13"/>
      <c r="AI341" s="13"/>
      <c r="AJ341" s="300"/>
      <c r="AK341" s="13"/>
      <c r="AL341" s="301"/>
      <c r="AM341" s="300"/>
      <c r="AN341" s="13"/>
      <c r="AO341" s="301"/>
      <c r="AP341" s="300"/>
    </row>
    <row r="342">
      <c r="A342" s="13"/>
      <c r="B342" s="13"/>
      <c r="C342" s="13"/>
      <c r="D342" s="13"/>
      <c r="E342" s="13"/>
      <c r="F342" s="13"/>
      <c r="G342" s="13"/>
      <c r="H342" s="13"/>
      <c r="I342" s="13"/>
      <c r="J342" s="13"/>
      <c r="K342" s="13"/>
      <c r="L342" s="13"/>
      <c r="M342" s="13"/>
      <c r="N342" s="13"/>
      <c r="O342" s="13"/>
      <c r="P342" s="13"/>
      <c r="Q342" s="13"/>
      <c r="R342" s="300"/>
      <c r="S342" s="13"/>
      <c r="T342" s="13"/>
      <c r="U342" s="300"/>
      <c r="V342" s="13"/>
      <c r="W342" s="13"/>
      <c r="X342" s="300"/>
      <c r="Y342" s="13"/>
      <c r="Z342" s="13"/>
      <c r="AA342" s="300"/>
      <c r="AB342" s="13"/>
      <c r="AC342" s="13"/>
      <c r="AD342" s="300"/>
      <c r="AE342" s="13"/>
      <c r="AF342" s="13"/>
      <c r="AG342" s="300"/>
      <c r="AH342" s="13"/>
      <c r="AI342" s="13"/>
      <c r="AJ342" s="300"/>
      <c r="AK342" s="13"/>
      <c r="AL342" s="301"/>
      <c r="AM342" s="300"/>
      <c r="AN342" s="13"/>
      <c r="AO342" s="301"/>
      <c r="AP342" s="300"/>
    </row>
    <row r="343">
      <c r="A343" s="13"/>
      <c r="B343" s="13"/>
      <c r="C343" s="13"/>
      <c r="D343" s="13"/>
      <c r="E343" s="13"/>
      <c r="F343" s="13"/>
      <c r="G343" s="13"/>
      <c r="H343" s="13"/>
      <c r="I343" s="13"/>
      <c r="J343" s="13"/>
      <c r="K343" s="13"/>
      <c r="L343" s="13"/>
      <c r="M343" s="13"/>
      <c r="N343" s="13"/>
      <c r="O343" s="13"/>
      <c r="P343" s="13"/>
      <c r="Q343" s="13"/>
      <c r="R343" s="300"/>
      <c r="S343" s="13"/>
      <c r="T343" s="13"/>
      <c r="U343" s="300"/>
      <c r="V343" s="13"/>
      <c r="W343" s="13"/>
      <c r="X343" s="300"/>
      <c r="Y343" s="13"/>
      <c r="Z343" s="13"/>
      <c r="AA343" s="300"/>
      <c r="AB343" s="13"/>
      <c r="AC343" s="13"/>
      <c r="AD343" s="300"/>
      <c r="AE343" s="13"/>
      <c r="AF343" s="13"/>
      <c r="AG343" s="300"/>
      <c r="AH343" s="13"/>
      <c r="AI343" s="13"/>
      <c r="AJ343" s="300"/>
      <c r="AK343" s="13"/>
      <c r="AL343" s="301"/>
      <c r="AM343" s="300"/>
      <c r="AN343" s="13"/>
      <c r="AO343" s="301"/>
      <c r="AP343" s="300"/>
    </row>
    <row r="344">
      <c r="A344" s="13"/>
      <c r="B344" s="13"/>
      <c r="C344" s="13"/>
      <c r="D344" s="13"/>
      <c r="E344" s="13"/>
      <c r="F344" s="13"/>
      <c r="G344" s="13"/>
      <c r="H344" s="13"/>
      <c r="I344" s="13"/>
      <c r="J344" s="13"/>
      <c r="K344" s="13"/>
      <c r="L344" s="13"/>
      <c r="M344" s="13"/>
      <c r="N344" s="13"/>
      <c r="O344" s="13"/>
      <c r="P344" s="13"/>
      <c r="Q344" s="13"/>
      <c r="R344" s="300"/>
      <c r="S344" s="13"/>
      <c r="T344" s="13"/>
      <c r="U344" s="300"/>
      <c r="V344" s="13"/>
      <c r="W344" s="13"/>
      <c r="X344" s="300"/>
      <c r="Y344" s="13"/>
      <c r="Z344" s="13"/>
      <c r="AA344" s="300"/>
      <c r="AB344" s="13"/>
      <c r="AC344" s="13"/>
      <c r="AD344" s="300"/>
      <c r="AE344" s="13"/>
      <c r="AF344" s="13"/>
      <c r="AG344" s="300"/>
      <c r="AH344" s="13"/>
      <c r="AI344" s="13"/>
      <c r="AJ344" s="300"/>
      <c r="AK344" s="13"/>
      <c r="AL344" s="301"/>
      <c r="AM344" s="300"/>
      <c r="AN344" s="13"/>
      <c r="AO344" s="301"/>
      <c r="AP344" s="300"/>
    </row>
    <row r="345">
      <c r="A345" s="13"/>
      <c r="B345" s="13"/>
      <c r="C345" s="13"/>
      <c r="D345" s="13"/>
      <c r="E345" s="13"/>
      <c r="F345" s="13"/>
      <c r="G345" s="13"/>
      <c r="H345" s="13"/>
      <c r="I345" s="13"/>
      <c r="J345" s="13"/>
      <c r="K345" s="13"/>
      <c r="L345" s="13"/>
      <c r="M345" s="13"/>
      <c r="N345" s="13"/>
      <c r="O345" s="13"/>
      <c r="P345" s="13"/>
      <c r="Q345" s="13"/>
      <c r="R345" s="300"/>
      <c r="S345" s="13"/>
      <c r="T345" s="13"/>
      <c r="U345" s="300"/>
      <c r="V345" s="13"/>
      <c r="W345" s="13"/>
      <c r="X345" s="300"/>
      <c r="Y345" s="13"/>
      <c r="Z345" s="13"/>
      <c r="AA345" s="300"/>
      <c r="AB345" s="13"/>
      <c r="AC345" s="13"/>
      <c r="AD345" s="300"/>
      <c r="AE345" s="13"/>
      <c r="AF345" s="13"/>
      <c r="AG345" s="300"/>
      <c r="AH345" s="13"/>
      <c r="AI345" s="13"/>
      <c r="AJ345" s="300"/>
      <c r="AK345" s="13"/>
      <c r="AL345" s="301"/>
      <c r="AM345" s="300"/>
      <c r="AN345" s="13"/>
      <c r="AO345" s="301"/>
      <c r="AP345" s="300"/>
    </row>
    <row r="346">
      <c r="A346" s="13"/>
      <c r="B346" s="13"/>
      <c r="C346" s="13"/>
      <c r="D346" s="13"/>
      <c r="E346" s="13"/>
      <c r="F346" s="13"/>
      <c r="G346" s="13"/>
      <c r="H346" s="13"/>
      <c r="I346" s="13"/>
      <c r="J346" s="13"/>
      <c r="K346" s="13"/>
      <c r="L346" s="13"/>
      <c r="M346" s="13"/>
      <c r="N346" s="13"/>
      <c r="O346" s="13"/>
      <c r="P346" s="13"/>
      <c r="Q346" s="13"/>
      <c r="R346" s="300"/>
      <c r="S346" s="13"/>
      <c r="T346" s="13"/>
      <c r="U346" s="300"/>
      <c r="V346" s="13"/>
      <c r="W346" s="13"/>
      <c r="X346" s="300"/>
      <c r="Y346" s="13"/>
      <c r="Z346" s="13"/>
      <c r="AA346" s="300"/>
      <c r="AB346" s="13"/>
      <c r="AC346" s="13"/>
      <c r="AD346" s="300"/>
      <c r="AE346" s="13"/>
      <c r="AF346" s="13"/>
      <c r="AG346" s="300"/>
      <c r="AH346" s="13"/>
      <c r="AI346" s="13"/>
      <c r="AJ346" s="300"/>
      <c r="AK346" s="13"/>
      <c r="AL346" s="301"/>
      <c r="AM346" s="300"/>
      <c r="AN346" s="13"/>
      <c r="AO346" s="301"/>
      <c r="AP346" s="300"/>
    </row>
    <row r="347">
      <c r="A347" s="13"/>
      <c r="B347" s="13"/>
      <c r="C347" s="13"/>
      <c r="D347" s="13"/>
      <c r="E347" s="13"/>
      <c r="F347" s="13"/>
      <c r="G347" s="13"/>
      <c r="H347" s="13"/>
      <c r="I347" s="13"/>
      <c r="J347" s="13"/>
      <c r="K347" s="13"/>
      <c r="L347" s="13"/>
      <c r="M347" s="13"/>
      <c r="N347" s="13"/>
      <c r="O347" s="13"/>
      <c r="P347" s="13"/>
      <c r="Q347" s="13"/>
      <c r="R347" s="300"/>
      <c r="S347" s="13"/>
      <c r="T347" s="13"/>
      <c r="U347" s="300"/>
      <c r="V347" s="13"/>
      <c r="W347" s="13"/>
      <c r="X347" s="300"/>
      <c r="Y347" s="13"/>
      <c r="Z347" s="13"/>
      <c r="AA347" s="300"/>
      <c r="AB347" s="13"/>
      <c r="AC347" s="13"/>
      <c r="AD347" s="300"/>
      <c r="AE347" s="13"/>
      <c r="AF347" s="13"/>
      <c r="AG347" s="300"/>
      <c r="AH347" s="13"/>
      <c r="AI347" s="13"/>
      <c r="AJ347" s="300"/>
      <c r="AK347" s="13"/>
      <c r="AL347" s="301"/>
      <c r="AM347" s="300"/>
      <c r="AN347" s="13"/>
      <c r="AO347" s="301"/>
      <c r="AP347" s="300"/>
    </row>
    <row r="348">
      <c r="A348" s="13"/>
      <c r="B348" s="13"/>
      <c r="C348" s="13"/>
      <c r="D348" s="13"/>
      <c r="E348" s="13"/>
      <c r="F348" s="13"/>
      <c r="G348" s="13"/>
      <c r="H348" s="13"/>
      <c r="I348" s="13"/>
      <c r="J348" s="13"/>
      <c r="K348" s="13"/>
      <c r="L348" s="13"/>
      <c r="M348" s="13"/>
      <c r="N348" s="13"/>
      <c r="O348" s="13"/>
      <c r="P348" s="13"/>
      <c r="Q348" s="13"/>
      <c r="R348" s="300"/>
      <c r="S348" s="13"/>
      <c r="T348" s="13"/>
      <c r="U348" s="300"/>
      <c r="V348" s="13"/>
      <c r="W348" s="13"/>
      <c r="X348" s="300"/>
      <c r="Y348" s="13"/>
      <c r="Z348" s="13"/>
      <c r="AA348" s="300"/>
      <c r="AB348" s="13"/>
      <c r="AC348" s="13"/>
      <c r="AD348" s="300"/>
      <c r="AE348" s="13"/>
      <c r="AF348" s="13"/>
      <c r="AG348" s="300"/>
      <c r="AH348" s="13"/>
      <c r="AI348" s="13"/>
      <c r="AJ348" s="300"/>
      <c r="AK348" s="13"/>
      <c r="AL348" s="301"/>
      <c r="AM348" s="300"/>
      <c r="AN348" s="13"/>
      <c r="AO348" s="301"/>
      <c r="AP348" s="300"/>
    </row>
    <row r="349">
      <c r="A349" s="13"/>
      <c r="B349" s="13"/>
      <c r="C349" s="13"/>
      <c r="D349" s="13"/>
      <c r="E349" s="13"/>
      <c r="F349" s="13"/>
      <c r="G349" s="13"/>
      <c r="H349" s="13"/>
      <c r="I349" s="13"/>
      <c r="J349" s="13"/>
      <c r="K349" s="13"/>
      <c r="L349" s="13"/>
      <c r="M349" s="13"/>
      <c r="N349" s="13"/>
      <c r="O349" s="13"/>
      <c r="P349" s="13"/>
      <c r="Q349" s="13"/>
      <c r="R349" s="300"/>
      <c r="S349" s="13"/>
      <c r="T349" s="13"/>
      <c r="U349" s="300"/>
      <c r="V349" s="13"/>
      <c r="W349" s="13"/>
      <c r="X349" s="300"/>
      <c r="Y349" s="13"/>
      <c r="Z349" s="13"/>
      <c r="AA349" s="300"/>
      <c r="AB349" s="13"/>
      <c r="AC349" s="13"/>
      <c r="AD349" s="300"/>
      <c r="AE349" s="13"/>
      <c r="AF349" s="13"/>
      <c r="AG349" s="300"/>
      <c r="AH349" s="13"/>
      <c r="AI349" s="13"/>
      <c r="AJ349" s="300"/>
      <c r="AK349" s="13"/>
      <c r="AL349" s="301"/>
      <c r="AM349" s="300"/>
      <c r="AN349" s="13"/>
      <c r="AO349" s="301"/>
      <c r="AP349" s="300"/>
    </row>
    <row r="350">
      <c r="A350" s="13"/>
      <c r="B350" s="13"/>
      <c r="C350" s="13"/>
      <c r="D350" s="13"/>
      <c r="E350" s="13"/>
      <c r="F350" s="13"/>
      <c r="G350" s="13"/>
      <c r="H350" s="13"/>
      <c r="I350" s="13"/>
      <c r="J350" s="13"/>
      <c r="K350" s="13"/>
      <c r="L350" s="13"/>
      <c r="M350" s="13"/>
      <c r="N350" s="13"/>
      <c r="O350" s="13"/>
      <c r="P350" s="13"/>
      <c r="Q350" s="13"/>
      <c r="R350" s="300"/>
      <c r="S350" s="13"/>
      <c r="T350" s="13"/>
      <c r="U350" s="300"/>
      <c r="V350" s="13"/>
      <c r="W350" s="13"/>
      <c r="X350" s="300"/>
      <c r="Y350" s="13"/>
      <c r="Z350" s="13"/>
      <c r="AA350" s="300"/>
      <c r="AB350" s="13"/>
      <c r="AC350" s="13"/>
      <c r="AD350" s="300"/>
      <c r="AE350" s="13"/>
      <c r="AF350" s="13"/>
      <c r="AG350" s="300"/>
      <c r="AH350" s="13"/>
      <c r="AI350" s="13"/>
      <c r="AJ350" s="300"/>
      <c r="AK350" s="13"/>
      <c r="AL350" s="301"/>
      <c r="AM350" s="300"/>
      <c r="AN350" s="13"/>
      <c r="AO350" s="301"/>
      <c r="AP350" s="300"/>
    </row>
    <row r="351">
      <c r="A351" s="13"/>
      <c r="B351" s="13"/>
      <c r="C351" s="13"/>
      <c r="D351" s="13"/>
      <c r="E351" s="13"/>
      <c r="F351" s="13"/>
      <c r="G351" s="13"/>
      <c r="H351" s="13"/>
      <c r="I351" s="13"/>
      <c r="J351" s="13"/>
      <c r="K351" s="13"/>
      <c r="L351" s="13"/>
      <c r="M351" s="13"/>
      <c r="N351" s="13"/>
      <c r="O351" s="13"/>
      <c r="P351" s="13"/>
      <c r="Q351" s="13"/>
      <c r="R351" s="300"/>
      <c r="S351" s="13"/>
      <c r="T351" s="13"/>
      <c r="U351" s="300"/>
      <c r="V351" s="13"/>
      <c r="W351" s="13"/>
      <c r="X351" s="300"/>
      <c r="Y351" s="13"/>
      <c r="Z351" s="13"/>
      <c r="AA351" s="300"/>
      <c r="AB351" s="13"/>
      <c r="AC351" s="13"/>
      <c r="AD351" s="300"/>
      <c r="AE351" s="13"/>
      <c r="AF351" s="13"/>
      <c r="AG351" s="300"/>
      <c r="AH351" s="13"/>
      <c r="AI351" s="13"/>
      <c r="AJ351" s="300"/>
      <c r="AK351" s="13"/>
      <c r="AL351" s="301"/>
      <c r="AM351" s="300"/>
      <c r="AN351" s="13"/>
      <c r="AO351" s="301"/>
      <c r="AP351" s="300"/>
    </row>
    <row r="352">
      <c r="A352" s="13"/>
      <c r="B352" s="13"/>
      <c r="C352" s="13"/>
      <c r="D352" s="13"/>
      <c r="E352" s="13"/>
      <c r="F352" s="13"/>
      <c r="G352" s="13"/>
      <c r="H352" s="13"/>
      <c r="I352" s="13"/>
      <c r="J352" s="13"/>
      <c r="K352" s="13"/>
      <c r="L352" s="13"/>
      <c r="M352" s="13"/>
      <c r="N352" s="13"/>
      <c r="O352" s="13"/>
      <c r="P352" s="13"/>
      <c r="Q352" s="13"/>
      <c r="R352" s="300"/>
      <c r="S352" s="13"/>
      <c r="T352" s="13"/>
      <c r="U352" s="300"/>
      <c r="V352" s="13"/>
      <c r="W352" s="13"/>
      <c r="X352" s="300"/>
      <c r="Y352" s="13"/>
      <c r="Z352" s="13"/>
      <c r="AA352" s="300"/>
      <c r="AB352" s="13"/>
      <c r="AC352" s="13"/>
      <c r="AD352" s="300"/>
      <c r="AE352" s="13"/>
      <c r="AF352" s="13"/>
      <c r="AG352" s="300"/>
      <c r="AH352" s="13"/>
      <c r="AI352" s="13"/>
      <c r="AJ352" s="300"/>
      <c r="AK352" s="13"/>
      <c r="AL352" s="301"/>
      <c r="AM352" s="300"/>
      <c r="AN352" s="13"/>
      <c r="AO352" s="301"/>
      <c r="AP352" s="300"/>
    </row>
    <row r="353">
      <c r="A353" s="13"/>
      <c r="B353" s="13"/>
      <c r="C353" s="13"/>
      <c r="D353" s="13"/>
      <c r="E353" s="13"/>
      <c r="F353" s="13"/>
      <c r="G353" s="13"/>
      <c r="H353" s="13"/>
      <c r="I353" s="13"/>
      <c r="J353" s="13"/>
      <c r="K353" s="13"/>
      <c r="L353" s="13"/>
      <c r="M353" s="13"/>
      <c r="N353" s="13"/>
      <c r="O353" s="13"/>
      <c r="P353" s="13"/>
      <c r="Q353" s="13"/>
      <c r="R353" s="300"/>
      <c r="S353" s="13"/>
      <c r="T353" s="13"/>
      <c r="U353" s="300"/>
      <c r="V353" s="13"/>
      <c r="W353" s="13"/>
      <c r="X353" s="300"/>
      <c r="Y353" s="13"/>
      <c r="Z353" s="13"/>
      <c r="AA353" s="300"/>
      <c r="AB353" s="13"/>
      <c r="AC353" s="13"/>
      <c r="AD353" s="300"/>
      <c r="AE353" s="13"/>
      <c r="AF353" s="13"/>
      <c r="AG353" s="300"/>
      <c r="AH353" s="13"/>
      <c r="AI353" s="13"/>
      <c r="AJ353" s="300"/>
      <c r="AK353" s="13"/>
      <c r="AL353" s="301"/>
      <c r="AM353" s="300"/>
      <c r="AN353" s="13"/>
      <c r="AO353" s="301"/>
      <c r="AP353" s="300"/>
    </row>
    <row r="354">
      <c r="A354" s="13"/>
      <c r="B354" s="13"/>
      <c r="C354" s="13"/>
      <c r="D354" s="13"/>
      <c r="E354" s="13"/>
      <c r="F354" s="13"/>
      <c r="G354" s="13"/>
      <c r="H354" s="13"/>
      <c r="I354" s="13"/>
      <c r="J354" s="13"/>
      <c r="K354" s="13"/>
      <c r="L354" s="13"/>
      <c r="M354" s="13"/>
      <c r="N354" s="13"/>
      <c r="O354" s="13"/>
      <c r="P354" s="13"/>
      <c r="Q354" s="13"/>
      <c r="R354" s="300"/>
      <c r="S354" s="13"/>
      <c r="T354" s="13"/>
      <c r="U354" s="300"/>
      <c r="V354" s="13"/>
      <c r="W354" s="13"/>
      <c r="X354" s="300"/>
      <c r="Y354" s="13"/>
      <c r="Z354" s="13"/>
      <c r="AA354" s="300"/>
      <c r="AB354" s="13"/>
      <c r="AC354" s="13"/>
      <c r="AD354" s="300"/>
      <c r="AE354" s="13"/>
      <c r="AF354" s="13"/>
      <c r="AG354" s="300"/>
      <c r="AH354" s="13"/>
      <c r="AI354" s="13"/>
      <c r="AJ354" s="300"/>
      <c r="AK354" s="13"/>
      <c r="AL354" s="301"/>
      <c r="AM354" s="300"/>
      <c r="AN354" s="13"/>
      <c r="AO354" s="301"/>
      <c r="AP354" s="300"/>
    </row>
    <row r="355">
      <c r="A355" s="13"/>
      <c r="B355" s="13"/>
      <c r="C355" s="13"/>
      <c r="D355" s="13"/>
      <c r="E355" s="13"/>
      <c r="F355" s="13"/>
      <c r="G355" s="13"/>
      <c r="H355" s="13"/>
      <c r="I355" s="13"/>
      <c r="J355" s="13"/>
      <c r="K355" s="13"/>
      <c r="L355" s="13"/>
      <c r="M355" s="13"/>
      <c r="N355" s="13"/>
      <c r="O355" s="13"/>
      <c r="P355" s="13"/>
      <c r="Q355" s="13"/>
      <c r="R355" s="300"/>
      <c r="S355" s="13"/>
      <c r="T355" s="13"/>
      <c r="U355" s="300"/>
      <c r="V355" s="13"/>
      <c r="W355" s="13"/>
      <c r="X355" s="300"/>
      <c r="Y355" s="13"/>
      <c r="Z355" s="13"/>
      <c r="AA355" s="300"/>
      <c r="AB355" s="13"/>
      <c r="AC355" s="13"/>
      <c r="AD355" s="300"/>
      <c r="AE355" s="13"/>
      <c r="AF355" s="13"/>
      <c r="AG355" s="300"/>
      <c r="AH355" s="13"/>
      <c r="AI355" s="13"/>
      <c r="AJ355" s="300"/>
      <c r="AK355" s="13"/>
      <c r="AL355" s="301"/>
      <c r="AM355" s="300"/>
      <c r="AN355" s="13"/>
      <c r="AO355" s="301"/>
      <c r="AP355" s="300"/>
    </row>
    <row r="356">
      <c r="A356" s="13"/>
      <c r="B356" s="13"/>
      <c r="C356" s="13"/>
      <c r="D356" s="13"/>
      <c r="E356" s="13"/>
      <c r="F356" s="13"/>
      <c r="G356" s="13"/>
      <c r="H356" s="13"/>
      <c r="I356" s="13"/>
      <c r="J356" s="13"/>
      <c r="K356" s="13"/>
      <c r="L356" s="13"/>
      <c r="M356" s="13"/>
      <c r="N356" s="13"/>
      <c r="O356" s="13"/>
      <c r="P356" s="13"/>
      <c r="Q356" s="13"/>
      <c r="R356" s="300"/>
      <c r="S356" s="13"/>
      <c r="T356" s="13"/>
      <c r="U356" s="300"/>
      <c r="V356" s="13"/>
      <c r="W356" s="13"/>
      <c r="X356" s="300"/>
      <c r="Y356" s="13"/>
      <c r="Z356" s="13"/>
      <c r="AA356" s="300"/>
      <c r="AB356" s="13"/>
      <c r="AC356" s="13"/>
      <c r="AD356" s="300"/>
      <c r="AE356" s="13"/>
      <c r="AF356" s="13"/>
      <c r="AG356" s="300"/>
      <c r="AH356" s="13"/>
      <c r="AI356" s="13"/>
      <c r="AJ356" s="300"/>
      <c r="AK356" s="13"/>
      <c r="AL356" s="301"/>
      <c r="AM356" s="300"/>
      <c r="AN356" s="13"/>
      <c r="AO356" s="301"/>
      <c r="AP356" s="300"/>
    </row>
    <row r="357">
      <c r="A357" s="13"/>
      <c r="B357" s="13"/>
      <c r="C357" s="13"/>
      <c r="D357" s="13"/>
      <c r="E357" s="13"/>
      <c r="F357" s="13"/>
      <c r="G357" s="13"/>
      <c r="H357" s="13"/>
      <c r="I357" s="13"/>
      <c r="J357" s="13"/>
      <c r="K357" s="13"/>
      <c r="L357" s="13"/>
      <c r="M357" s="13"/>
      <c r="N357" s="13"/>
      <c r="O357" s="13"/>
      <c r="P357" s="13"/>
      <c r="Q357" s="13"/>
      <c r="R357" s="300"/>
      <c r="S357" s="13"/>
      <c r="T357" s="13"/>
      <c r="U357" s="300"/>
      <c r="V357" s="13"/>
      <c r="W357" s="13"/>
      <c r="X357" s="300"/>
      <c r="Y357" s="13"/>
      <c r="Z357" s="13"/>
      <c r="AA357" s="300"/>
      <c r="AB357" s="13"/>
      <c r="AC357" s="13"/>
      <c r="AD357" s="300"/>
      <c r="AE357" s="13"/>
      <c r="AF357" s="13"/>
      <c r="AG357" s="300"/>
      <c r="AH357" s="13"/>
      <c r="AI357" s="13"/>
      <c r="AJ357" s="300"/>
      <c r="AK357" s="13"/>
      <c r="AL357" s="301"/>
      <c r="AM357" s="300"/>
      <c r="AN357" s="13"/>
      <c r="AO357" s="301"/>
      <c r="AP357" s="300"/>
    </row>
    <row r="358">
      <c r="A358" s="13"/>
      <c r="B358" s="13"/>
      <c r="C358" s="13"/>
      <c r="D358" s="13"/>
      <c r="E358" s="13"/>
      <c r="F358" s="13"/>
      <c r="G358" s="13"/>
      <c r="H358" s="13"/>
      <c r="I358" s="13"/>
      <c r="J358" s="13"/>
      <c r="K358" s="13"/>
      <c r="L358" s="13"/>
      <c r="M358" s="13"/>
      <c r="N358" s="13"/>
      <c r="O358" s="13"/>
      <c r="P358" s="13"/>
      <c r="Q358" s="13"/>
      <c r="R358" s="300"/>
      <c r="S358" s="13"/>
      <c r="T358" s="13"/>
      <c r="U358" s="300"/>
      <c r="V358" s="13"/>
      <c r="W358" s="13"/>
      <c r="X358" s="300"/>
      <c r="Y358" s="13"/>
      <c r="Z358" s="13"/>
      <c r="AA358" s="300"/>
      <c r="AB358" s="13"/>
      <c r="AC358" s="13"/>
      <c r="AD358" s="300"/>
      <c r="AE358" s="13"/>
      <c r="AF358" s="13"/>
      <c r="AG358" s="300"/>
      <c r="AH358" s="13"/>
      <c r="AI358" s="13"/>
      <c r="AJ358" s="300"/>
      <c r="AK358" s="13"/>
      <c r="AL358" s="301"/>
      <c r="AM358" s="300"/>
      <c r="AN358" s="13"/>
      <c r="AO358" s="301"/>
      <c r="AP358" s="300"/>
    </row>
    <row r="359">
      <c r="A359" s="13"/>
      <c r="B359" s="13"/>
      <c r="C359" s="13"/>
      <c r="D359" s="13"/>
      <c r="E359" s="13"/>
      <c r="F359" s="13"/>
      <c r="G359" s="13"/>
      <c r="H359" s="13"/>
      <c r="I359" s="13"/>
      <c r="J359" s="13"/>
      <c r="K359" s="13"/>
      <c r="L359" s="13"/>
      <c r="M359" s="13"/>
      <c r="N359" s="13"/>
      <c r="O359" s="13"/>
      <c r="P359" s="13"/>
      <c r="Q359" s="13"/>
      <c r="R359" s="300"/>
      <c r="S359" s="13"/>
      <c r="T359" s="13"/>
      <c r="U359" s="300"/>
      <c r="V359" s="13"/>
      <c r="W359" s="13"/>
      <c r="X359" s="300"/>
      <c r="Y359" s="13"/>
      <c r="Z359" s="13"/>
      <c r="AA359" s="300"/>
      <c r="AB359" s="13"/>
      <c r="AC359" s="13"/>
      <c r="AD359" s="300"/>
      <c r="AE359" s="13"/>
      <c r="AF359" s="13"/>
      <c r="AG359" s="300"/>
      <c r="AH359" s="13"/>
      <c r="AI359" s="13"/>
      <c r="AJ359" s="300"/>
      <c r="AK359" s="13"/>
      <c r="AL359" s="301"/>
      <c r="AM359" s="300"/>
      <c r="AN359" s="13"/>
      <c r="AO359" s="301"/>
      <c r="AP359" s="300"/>
    </row>
    <row r="360">
      <c r="A360" s="13"/>
      <c r="B360" s="13"/>
      <c r="C360" s="13"/>
      <c r="D360" s="13"/>
      <c r="E360" s="13"/>
      <c r="F360" s="13"/>
      <c r="G360" s="13"/>
      <c r="H360" s="13"/>
      <c r="I360" s="13"/>
      <c r="J360" s="13"/>
      <c r="K360" s="13"/>
      <c r="L360" s="13"/>
      <c r="M360" s="13"/>
      <c r="N360" s="13"/>
      <c r="O360" s="13"/>
      <c r="P360" s="13"/>
      <c r="Q360" s="13"/>
      <c r="R360" s="300"/>
      <c r="S360" s="13"/>
      <c r="T360" s="13"/>
      <c r="U360" s="300"/>
      <c r="V360" s="13"/>
      <c r="W360" s="13"/>
      <c r="X360" s="300"/>
      <c r="Y360" s="13"/>
      <c r="Z360" s="13"/>
      <c r="AA360" s="300"/>
      <c r="AB360" s="13"/>
      <c r="AC360" s="13"/>
      <c r="AD360" s="300"/>
      <c r="AE360" s="13"/>
      <c r="AF360" s="13"/>
      <c r="AG360" s="300"/>
      <c r="AH360" s="13"/>
      <c r="AI360" s="13"/>
      <c r="AJ360" s="300"/>
      <c r="AK360" s="13"/>
      <c r="AL360" s="301"/>
      <c r="AM360" s="300"/>
      <c r="AN360" s="13"/>
      <c r="AO360" s="301"/>
      <c r="AP360" s="300"/>
    </row>
    <row r="361">
      <c r="A361" s="13"/>
      <c r="B361" s="13"/>
      <c r="C361" s="13"/>
      <c r="D361" s="13"/>
      <c r="E361" s="13"/>
      <c r="F361" s="13"/>
      <c r="G361" s="13"/>
      <c r="H361" s="13"/>
      <c r="I361" s="13"/>
      <c r="J361" s="13"/>
      <c r="K361" s="13"/>
      <c r="L361" s="13"/>
      <c r="M361" s="13"/>
      <c r="N361" s="13"/>
      <c r="O361" s="13"/>
      <c r="P361" s="13"/>
      <c r="Q361" s="13"/>
      <c r="R361" s="300"/>
      <c r="S361" s="13"/>
      <c r="T361" s="13"/>
      <c r="U361" s="300"/>
      <c r="V361" s="13"/>
      <c r="W361" s="13"/>
      <c r="X361" s="300"/>
      <c r="Y361" s="13"/>
      <c r="Z361" s="13"/>
      <c r="AA361" s="300"/>
      <c r="AB361" s="13"/>
      <c r="AC361" s="13"/>
      <c r="AD361" s="300"/>
      <c r="AE361" s="13"/>
      <c r="AF361" s="13"/>
      <c r="AG361" s="300"/>
      <c r="AH361" s="13"/>
      <c r="AI361" s="13"/>
      <c r="AJ361" s="300"/>
      <c r="AK361" s="13"/>
      <c r="AL361" s="301"/>
      <c r="AM361" s="300"/>
      <c r="AN361" s="13"/>
      <c r="AO361" s="301"/>
      <c r="AP361" s="300"/>
    </row>
    <row r="362">
      <c r="A362" s="13"/>
      <c r="B362" s="13"/>
      <c r="C362" s="13"/>
      <c r="D362" s="13"/>
      <c r="E362" s="13"/>
      <c r="F362" s="13"/>
      <c r="G362" s="13"/>
      <c r="H362" s="13"/>
      <c r="I362" s="13"/>
      <c r="J362" s="13"/>
      <c r="K362" s="13"/>
      <c r="L362" s="13"/>
      <c r="M362" s="13"/>
      <c r="N362" s="13"/>
      <c r="O362" s="13"/>
      <c r="P362" s="13"/>
      <c r="Q362" s="13"/>
      <c r="R362" s="300"/>
      <c r="S362" s="13"/>
      <c r="T362" s="13"/>
      <c r="U362" s="300"/>
      <c r="V362" s="13"/>
      <c r="W362" s="13"/>
      <c r="X362" s="300"/>
      <c r="Y362" s="13"/>
      <c r="Z362" s="13"/>
      <c r="AA362" s="300"/>
      <c r="AB362" s="13"/>
      <c r="AC362" s="13"/>
      <c r="AD362" s="300"/>
      <c r="AE362" s="13"/>
      <c r="AF362" s="13"/>
      <c r="AG362" s="300"/>
      <c r="AH362" s="13"/>
      <c r="AI362" s="13"/>
      <c r="AJ362" s="300"/>
      <c r="AK362" s="13"/>
      <c r="AL362" s="301"/>
      <c r="AM362" s="300"/>
      <c r="AN362" s="13"/>
      <c r="AO362" s="301"/>
      <c r="AP362" s="300"/>
    </row>
    <row r="363">
      <c r="A363" s="13"/>
      <c r="B363" s="13"/>
      <c r="C363" s="13"/>
      <c r="D363" s="13"/>
      <c r="E363" s="13"/>
      <c r="F363" s="13"/>
      <c r="G363" s="13"/>
      <c r="H363" s="13"/>
      <c r="I363" s="13"/>
      <c r="J363" s="13"/>
      <c r="K363" s="13"/>
      <c r="L363" s="13"/>
      <c r="M363" s="13"/>
      <c r="N363" s="13"/>
      <c r="O363" s="13"/>
      <c r="P363" s="13"/>
      <c r="Q363" s="13"/>
      <c r="R363" s="300"/>
      <c r="S363" s="13"/>
      <c r="T363" s="13"/>
      <c r="U363" s="300"/>
      <c r="V363" s="13"/>
      <c r="W363" s="13"/>
      <c r="X363" s="300"/>
      <c r="Y363" s="13"/>
      <c r="Z363" s="13"/>
      <c r="AA363" s="300"/>
      <c r="AB363" s="13"/>
      <c r="AC363" s="13"/>
      <c r="AD363" s="300"/>
      <c r="AE363" s="13"/>
      <c r="AF363" s="13"/>
      <c r="AG363" s="300"/>
      <c r="AH363" s="13"/>
      <c r="AI363" s="13"/>
      <c r="AJ363" s="300"/>
      <c r="AK363" s="13"/>
      <c r="AL363" s="301"/>
      <c r="AM363" s="300"/>
      <c r="AN363" s="13"/>
      <c r="AO363" s="301"/>
      <c r="AP363" s="300"/>
    </row>
    <row r="364">
      <c r="A364" s="13"/>
      <c r="B364" s="13"/>
      <c r="C364" s="13"/>
      <c r="D364" s="13"/>
      <c r="E364" s="13"/>
      <c r="F364" s="13"/>
      <c r="G364" s="13"/>
      <c r="H364" s="13"/>
      <c r="I364" s="13"/>
      <c r="J364" s="13"/>
      <c r="K364" s="13"/>
      <c r="L364" s="13"/>
      <c r="M364" s="13"/>
      <c r="N364" s="13"/>
      <c r="O364" s="13"/>
      <c r="P364" s="13"/>
      <c r="Q364" s="13"/>
      <c r="R364" s="300"/>
      <c r="S364" s="13"/>
      <c r="T364" s="13"/>
      <c r="U364" s="300"/>
      <c r="V364" s="13"/>
      <c r="W364" s="13"/>
      <c r="X364" s="300"/>
      <c r="Y364" s="13"/>
      <c r="Z364" s="13"/>
      <c r="AA364" s="300"/>
      <c r="AB364" s="13"/>
      <c r="AC364" s="13"/>
      <c r="AD364" s="300"/>
      <c r="AE364" s="13"/>
      <c r="AF364" s="13"/>
      <c r="AG364" s="300"/>
      <c r="AH364" s="13"/>
      <c r="AI364" s="13"/>
      <c r="AJ364" s="300"/>
      <c r="AK364" s="13"/>
      <c r="AL364" s="301"/>
      <c r="AM364" s="300"/>
      <c r="AN364" s="13"/>
      <c r="AO364" s="301"/>
      <c r="AP364" s="300"/>
    </row>
    <row r="365">
      <c r="A365" s="13"/>
      <c r="B365" s="13"/>
      <c r="C365" s="13"/>
      <c r="D365" s="13"/>
      <c r="E365" s="13"/>
      <c r="F365" s="13"/>
      <c r="G365" s="13"/>
      <c r="H365" s="13"/>
      <c r="I365" s="13"/>
      <c r="J365" s="13"/>
      <c r="K365" s="13"/>
      <c r="L365" s="13"/>
      <c r="M365" s="13"/>
      <c r="N365" s="13"/>
      <c r="O365" s="13"/>
      <c r="P365" s="13"/>
      <c r="Q365" s="13"/>
      <c r="R365" s="300"/>
      <c r="S365" s="13"/>
      <c r="T365" s="13"/>
      <c r="U365" s="300"/>
      <c r="V365" s="13"/>
      <c r="W365" s="13"/>
      <c r="X365" s="300"/>
      <c r="Y365" s="13"/>
      <c r="Z365" s="13"/>
      <c r="AA365" s="300"/>
      <c r="AB365" s="13"/>
      <c r="AC365" s="13"/>
      <c r="AD365" s="300"/>
      <c r="AE365" s="13"/>
      <c r="AF365" s="13"/>
      <c r="AG365" s="300"/>
      <c r="AH365" s="13"/>
      <c r="AI365" s="13"/>
      <c r="AJ365" s="300"/>
      <c r="AK365" s="13"/>
      <c r="AL365" s="301"/>
      <c r="AM365" s="300"/>
      <c r="AN365" s="13"/>
      <c r="AO365" s="301"/>
      <c r="AP365" s="300"/>
    </row>
    <row r="366">
      <c r="A366" s="13"/>
      <c r="B366" s="13"/>
      <c r="C366" s="13"/>
      <c r="D366" s="13"/>
      <c r="E366" s="13"/>
      <c r="F366" s="13"/>
      <c r="G366" s="13"/>
      <c r="H366" s="13"/>
      <c r="I366" s="13"/>
      <c r="J366" s="13"/>
      <c r="K366" s="13"/>
      <c r="L366" s="13"/>
      <c r="M366" s="13"/>
      <c r="N366" s="13"/>
      <c r="O366" s="13"/>
      <c r="P366" s="13"/>
      <c r="Q366" s="13"/>
      <c r="R366" s="300"/>
      <c r="S366" s="13"/>
      <c r="T366" s="13"/>
      <c r="U366" s="300"/>
      <c r="V366" s="13"/>
      <c r="W366" s="13"/>
      <c r="X366" s="300"/>
      <c r="Y366" s="13"/>
      <c r="Z366" s="13"/>
      <c r="AA366" s="300"/>
      <c r="AB366" s="13"/>
      <c r="AC366" s="13"/>
      <c r="AD366" s="300"/>
      <c r="AE366" s="13"/>
      <c r="AF366" s="13"/>
      <c r="AG366" s="300"/>
      <c r="AH366" s="13"/>
      <c r="AI366" s="13"/>
      <c r="AJ366" s="300"/>
      <c r="AK366" s="13"/>
      <c r="AL366" s="301"/>
      <c r="AM366" s="300"/>
      <c r="AN366" s="13"/>
      <c r="AO366" s="301"/>
      <c r="AP366" s="300"/>
    </row>
    <row r="367">
      <c r="A367" s="13"/>
      <c r="B367" s="13"/>
      <c r="C367" s="13"/>
      <c r="D367" s="13"/>
      <c r="E367" s="13"/>
      <c r="F367" s="13"/>
      <c r="G367" s="13"/>
      <c r="H367" s="13"/>
      <c r="I367" s="13"/>
      <c r="J367" s="13"/>
      <c r="K367" s="13"/>
      <c r="L367" s="13"/>
      <c r="M367" s="13"/>
      <c r="N367" s="13"/>
      <c r="O367" s="13"/>
      <c r="P367" s="13"/>
      <c r="Q367" s="13"/>
      <c r="R367" s="300"/>
      <c r="S367" s="13"/>
      <c r="T367" s="13"/>
      <c r="U367" s="300"/>
      <c r="V367" s="13"/>
      <c r="W367" s="13"/>
      <c r="X367" s="300"/>
      <c r="Y367" s="13"/>
      <c r="Z367" s="13"/>
      <c r="AA367" s="300"/>
      <c r="AB367" s="13"/>
      <c r="AC367" s="13"/>
      <c r="AD367" s="300"/>
      <c r="AE367" s="13"/>
      <c r="AF367" s="13"/>
      <c r="AG367" s="300"/>
      <c r="AH367" s="13"/>
      <c r="AI367" s="13"/>
      <c r="AJ367" s="300"/>
      <c r="AK367" s="13"/>
      <c r="AL367" s="301"/>
      <c r="AM367" s="300"/>
      <c r="AN367" s="13"/>
      <c r="AO367" s="301"/>
      <c r="AP367" s="300"/>
    </row>
    <row r="368">
      <c r="A368" s="13"/>
      <c r="B368" s="13"/>
      <c r="C368" s="13"/>
      <c r="D368" s="13"/>
      <c r="E368" s="13"/>
      <c r="F368" s="13"/>
      <c r="G368" s="13"/>
      <c r="H368" s="13"/>
      <c r="I368" s="13"/>
      <c r="J368" s="13"/>
      <c r="K368" s="13"/>
      <c r="L368" s="13"/>
      <c r="M368" s="13"/>
      <c r="N368" s="13"/>
      <c r="O368" s="13"/>
      <c r="P368" s="13"/>
      <c r="Q368" s="13"/>
      <c r="R368" s="300"/>
      <c r="S368" s="13"/>
      <c r="T368" s="13"/>
      <c r="U368" s="300"/>
      <c r="V368" s="13"/>
      <c r="W368" s="13"/>
      <c r="X368" s="300"/>
      <c r="Y368" s="13"/>
      <c r="Z368" s="13"/>
      <c r="AA368" s="300"/>
      <c r="AB368" s="13"/>
      <c r="AC368" s="13"/>
      <c r="AD368" s="300"/>
      <c r="AE368" s="13"/>
      <c r="AF368" s="13"/>
      <c r="AG368" s="300"/>
      <c r="AH368" s="13"/>
      <c r="AI368" s="13"/>
      <c r="AJ368" s="300"/>
      <c r="AK368" s="13"/>
      <c r="AL368" s="301"/>
      <c r="AM368" s="300"/>
      <c r="AN368" s="13"/>
      <c r="AO368" s="301"/>
      <c r="AP368" s="300"/>
    </row>
    <row r="369">
      <c r="A369" s="13"/>
      <c r="B369" s="13"/>
      <c r="C369" s="13"/>
      <c r="D369" s="13"/>
      <c r="E369" s="13"/>
      <c r="F369" s="13"/>
      <c r="G369" s="13"/>
      <c r="H369" s="13"/>
      <c r="I369" s="13"/>
      <c r="J369" s="13"/>
      <c r="K369" s="13"/>
      <c r="L369" s="13"/>
      <c r="M369" s="13"/>
      <c r="N369" s="13"/>
      <c r="O369" s="13"/>
      <c r="P369" s="13"/>
      <c r="Q369" s="13"/>
      <c r="R369" s="300"/>
      <c r="S369" s="13"/>
      <c r="T369" s="13"/>
      <c r="U369" s="300"/>
      <c r="V369" s="13"/>
      <c r="W369" s="13"/>
      <c r="X369" s="300"/>
      <c r="Y369" s="13"/>
      <c r="Z369" s="13"/>
      <c r="AA369" s="300"/>
      <c r="AB369" s="13"/>
      <c r="AC369" s="13"/>
      <c r="AD369" s="300"/>
      <c r="AE369" s="13"/>
      <c r="AF369" s="13"/>
      <c r="AG369" s="300"/>
      <c r="AH369" s="13"/>
      <c r="AI369" s="13"/>
      <c r="AJ369" s="300"/>
      <c r="AK369" s="13"/>
      <c r="AL369" s="301"/>
      <c r="AM369" s="300"/>
      <c r="AN369" s="13"/>
      <c r="AO369" s="301"/>
      <c r="AP369" s="300"/>
    </row>
    <row r="370">
      <c r="A370" s="13"/>
      <c r="B370" s="13"/>
      <c r="C370" s="13"/>
      <c r="D370" s="13"/>
      <c r="E370" s="13"/>
      <c r="F370" s="13"/>
      <c r="G370" s="13"/>
      <c r="H370" s="13"/>
      <c r="I370" s="13"/>
      <c r="J370" s="13"/>
      <c r="K370" s="13"/>
      <c r="L370" s="13"/>
      <c r="M370" s="13"/>
      <c r="N370" s="13"/>
      <c r="O370" s="13"/>
      <c r="P370" s="13"/>
      <c r="Q370" s="13"/>
      <c r="R370" s="300"/>
      <c r="S370" s="13"/>
      <c r="T370" s="13"/>
      <c r="U370" s="300"/>
      <c r="V370" s="13"/>
      <c r="W370" s="13"/>
      <c r="X370" s="300"/>
      <c r="Y370" s="13"/>
      <c r="Z370" s="13"/>
      <c r="AA370" s="300"/>
      <c r="AB370" s="13"/>
      <c r="AC370" s="13"/>
      <c r="AD370" s="300"/>
      <c r="AE370" s="13"/>
      <c r="AF370" s="13"/>
      <c r="AG370" s="300"/>
      <c r="AH370" s="13"/>
      <c r="AI370" s="13"/>
      <c r="AJ370" s="300"/>
      <c r="AK370" s="13"/>
      <c r="AL370" s="301"/>
      <c r="AM370" s="300"/>
      <c r="AN370" s="13"/>
      <c r="AO370" s="301"/>
      <c r="AP370" s="300"/>
    </row>
    <row r="371">
      <c r="A371" s="13"/>
      <c r="B371" s="13"/>
      <c r="C371" s="13"/>
      <c r="D371" s="13"/>
      <c r="E371" s="13"/>
      <c r="F371" s="13"/>
      <c r="G371" s="13"/>
      <c r="H371" s="13"/>
      <c r="I371" s="13"/>
      <c r="J371" s="13"/>
      <c r="K371" s="13"/>
      <c r="L371" s="13"/>
      <c r="M371" s="13"/>
      <c r="N371" s="13"/>
      <c r="O371" s="13"/>
      <c r="P371" s="13"/>
      <c r="Q371" s="13"/>
      <c r="R371" s="300"/>
      <c r="S371" s="13"/>
      <c r="T371" s="13"/>
      <c r="U371" s="300"/>
      <c r="V371" s="13"/>
      <c r="W371" s="13"/>
      <c r="X371" s="300"/>
      <c r="Y371" s="13"/>
      <c r="Z371" s="13"/>
      <c r="AA371" s="300"/>
      <c r="AB371" s="13"/>
      <c r="AC371" s="13"/>
      <c r="AD371" s="300"/>
      <c r="AE371" s="13"/>
      <c r="AF371" s="13"/>
      <c r="AG371" s="300"/>
      <c r="AH371" s="13"/>
      <c r="AI371" s="13"/>
      <c r="AJ371" s="300"/>
      <c r="AK371" s="13"/>
      <c r="AL371" s="301"/>
      <c r="AM371" s="300"/>
      <c r="AN371" s="13"/>
      <c r="AO371" s="301"/>
      <c r="AP371" s="300"/>
    </row>
    <row r="372">
      <c r="A372" s="13"/>
      <c r="B372" s="13"/>
      <c r="C372" s="13"/>
      <c r="D372" s="13"/>
      <c r="E372" s="13"/>
      <c r="F372" s="13"/>
      <c r="G372" s="13"/>
      <c r="H372" s="13"/>
      <c r="I372" s="13"/>
      <c r="J372" s="13"/>
      <c r="K372" s="13"/>
      <c r="L372" s="13"/>
      <c r="M372" s="13"/>
      <c r="N372" s="13"/>
      <c r="O372" s="13"/>
      <c r="P372" s="13"/>
      <c r="Q372" s="13"/>
      <c r="R372" s="300"/>
      <c r="S372" s="13"/>
      <c r="T372" s="13"/>
      <c r="U372" s="300"/>
      <c r="V372" s="13"/>
      <c r="W372" s="13"/>
      <c r="X372" s="300"/>
      <c r="Y372" s="13"/>
      <c r="Z372" s="13"/>
      <c r="AA372" s="300"/>
      <c r="AB372" s="13"/>
      <c r="AC372" s="13"/>
      <c r="AD372" s="300"/>
      <c r="AE372" s="13"/>
      <c r="AF372" s="13"/>
      <c r="AG372" s="300"/>
      <c r="AH372" s="13"/>
      <c r="AI372" s="13"/>
      <c r="AJ372" s="300"/>
      <c r="AK372" s="13"/>
      <c r="AL372" s="301"/>
      <c r="AM372" s="300"/>
      <c r="AN372" s="13"/>
      <c r="AO372" s="301"/>
      <c r="AP372" s="300"/>
    </row>
    <row r="373">
      <c r="A373" s="13"/>
      <c r="B373" s="13"/>
      <c r="C373" s="13"/>
      <c r="D373" s="13"/>
      <c r="E373" s="13"/>
      <c r="F373" s="13"/>
      <c r="G373" s="13"/>
      <c r="H373" s="13"/>
      <c r="I373" s="13"/>
      <c r="J373" s="13"/>
      <c r="K373" s="13"/>
      <c r="L373" s="13"/>
      <c r="M373" s="13"/>
      <c r="N373" s="13"/>
      <c r="O373" s="13"/>
      <c r="P373" s="13"/>
      <c r="Q373" s="13"/>
      <c r="R373" s="300"/>
      <c r="S373" s="13"/>
      <c r="T373" s="13"/>
      <c r="U373" s="300"/>
      <c r="V373" s="13"/>
      <c r="W373" s="13"/>
      <c r="X373" s="300"/>
      <c r="Y373" s="13"/>
      <c r="Z373" s="13"/>
      <c r="AA373" s="300"/>
      <c r="AB373" s="13"/>
      <c r="AC373" s="13"/>
      <c r="AD373" s="300"/>
      <c r="AE373" s="13"/>
      <c r="AF373" s="13"/>
      <c r="AG373" s="300"/>
      <c r="AH373" s="13"/>
      <c r="AI373" s="13"/>
      <c r="AJ373" s="300"/>
      <c r="AK373" s="13"/>
      <c r="AL373" s="301"/>
      <c r="AM373" s="300"/>
      <c r="AN373" s="13"/>
      <c r="AO373" s="301"/>
      <c r="AP373" s="300"/>
    </row>
    <row r="374">
      <c r="A374" s="13"/>
      <c r="B374" s="13"/>
      <c r="C374" s="13"/>
      <c r="D374" s="13"/>
      <c r="E374" s="13"/>
      <c r="F374" s="13"/>
      <c r="G374" s="13"/>
      <c r="H374" s="13"/>
      <c r="I374" s="13"/>
      <c r="J374" s="13"/>
      <c r="K374" s="13"/>
      <c r="L374" s="13"/>
      <c r="M374" s="13"/>
      <c r="N374" s="13"/>
      <c r="O374" s="13"/>
      <c r="P374" s="13"/>
      <c r="Q374" s="13"/>
      <c r="R374" s="300"/>
      <c r="S374" s="13"/>
      <c r="T374" s="13"/>
      <c r="U374" s="300"/>
      <c r="V374" s="13"/>
      <c r="W374" s="13"/>
      <c r="X374" s="300"/>
      <c r="Y374" s="13"/>
      <c r="Z374" s="13"/>
      <c r="AA374" s="300"/>
      <c r="AB374" s="13"/>
      <c r="AC374" s="13"/>
      <c r="AD374" s="300"/>
      <c r="AE374" s="13"/>
      <c r="AF374" s="13"/>
      <c r="AG374" s="300"/>
      <c r="AH374" s="13"/>
      <c r="AI374" s="13"/>
      <c r="AJ374" s="300"/>
      <c r="AK374" s="13"/>
      <c r="AL374" s="301"/>
      <c r="AM374" s="300"/>
      <c r="AN374" s="13"/>
      <c r="AO374" s="301"/>
      <c r="AP374" s="300"/>
    </row>
    <row r="375">
      <c r="A375" s="13"/>
      <c r="B375" s="13"/>
      <c r="C375" s="13"/>
      <c r="D375" s="13"/>
      <c r="E375" s="13"/>
      <c r="F375" s="13"/>
      <c r="G375" s="13"/>
      <c r="H375" s="13"/>
      <c r="I375" s="13"/>
      <c r="J375" s="13"/>
      <c r="K375" s="13"/>
      <c r="L375" s="13"/>
      <c r="M375" s="13"/>
      <c r="N375" s="13"/>
      <c r="O375" s="13"/>
      <c r="P375" s="13"/>
      <c r="Q375" s="13"/>
      <c r="R375" s="300"/>
      <c r="S375" s="13"/>
      <c r="T375" s="13"/>
      <c r="U375" s="300"/>
      <c r="V375" s="13"/>
      <c r="W375" s="13"/>
      <c r="X375" s="300"/>
      <c r="Y375" s="13"/>
      <c r="Z375" s="13"/>
      <c r="AA375" s="300"/>
      <c r="AB375" s="13"/>
      <c r="AC375" s="13"/>
      <c r="AD375" s="300"/>
      <c r="AE375" s="13"/>
      <c r="AF375" s="13"/>
      <c r="AG375" s="300"/>
      <c r="AH375" s="13"/>
      <c r="AI375" s="13"/>
      <c r="AJ375" s="300"/>
      <c r="AK375" s="13"/>
      <c r="AL375" s="301"/>
      <c r="AM375" s="300"/>
      <c r="AN375" s="13"/>
      <c r="AO375" s="301"/>
      <c r="AP375" s="300"/>
    </row>
    <row r="376">
      <c r="A376" s="13"/>
      <c r="B376" s="13"/>
      <c r="C376" s="13"/>
      <c r="D376" s="13"/>
      <c r="E376" s="13"/>
      <c r="F376" s="13"/>
      <c r="G376" s="13"/>
      <c r="H376" s="13"/>
      <c r="I376" s="13"/>
      <c r="J376" s="13"/>
      <c r="K376" s="13"/>
      <c r="L376" s="13"/>
      <c r="M376" s="13"/>
      <c r="N376" s="13"/>
      <c r="O376" s="13"/>
      <c r="P376" s="13"/>
      <c r="Q376" s="13"/>
      <c r="R376" s="300"/>
      <c r="S376" s="13"/>
      <c r="T376" s="13"/>
      <c r="U376" s="300"/>
      <c r="V376" s="13"/>
      <c r="W376" s="13"/>
      <c r="X376" s="300"/>
      <c r="Y376" s="13"/>
      <c r="Z376" s="13"/>
      <c r="AA376" s="300"/>
      <c r="AB376" s="13"/>
      <c r="AC376" s="13"/>
      <c r="AD376" s="300"/>
      <c r="AE376" s="13"/>
      <c r="AF376" s="13"/>
      <c r="AG376" s="300"/>
      <c r="AH376" s="13"/>
      <c r="AI376" s="13"/>
      <c r="AJ376" s="300"/>
      <c r="AK376" s="13"/>
      <c r="AL376" s="301"/>
      <c r="AM376" s="300"/>
      <c r="AN376" s="13"/>
      <c r="AO376" s="301"/>
      <c r="AP376" s="300"/>
    </row>
    <row r="377">
      <c r="A377" s="13"/>
      <c r="B377" s="13"/>
      <c r="C377" s="13"/>
      <c r="D377" s="13"/>
      <c r="E377" s="13"/>
      <c r="F377" s="13"/>
      <c r="G377" s="13"/>
      <c r="H377" s="13"/>
      <c r="I377" s="13"/>
      <c r="J377" s="13"/>
      <c r="K377" s="13"/>
      <c r="L377" s="13"/>
      <c r="M377" s="13"/>
      <c r="N377" s="13"/>
      <c r="O377" s="13"/>
      <c r="P377" s="13"/>
      <c r="Q377" s="13"/>
      <c r="R377" s="300"/>
      <c r="S377" s="13"/>
      <c r="T377" s="13"/>
      <c r="U377" s="300"/>
      <c r="V377" s="13"/>
      <c r="W377" s="13"/>
      <c r="X377" s="300"/>
      <c r="Y377" s="13"/>
      <c r="Z377" s="13"/>
      <c r="AA377" s="300"/>
      <c r="AB377" s="13"/>
      <c r="AC377" s="13"/>
      <c r="AD377" s="300"/>
      <c r="AE377" s="13"/>
      <c r="AF377" s="13"/>
      <c r="AG377" s="300"/>
      <c r="AH377" s="13"/>
      <c r="AI377" s="13"/>
      <c r="AJ377" s="300"/>
      <c r="AK377" s="13"/>
      <c r="AL377" s="301"/>
      <c r="AM377" s="300"/>
      <c r="AN377" s="13"/>
      <c r="AO377" s="301"/>
      <c r="AP377" s="300"/>
    </row>
    <row r="378">
      <c r="A378" s="13"/>
      <c r="B378" s="13"/>
      <c r="C378" s="13"/>
      <c r="D378" s="13"/>
      <c r="E378" s="13"/>
      <c r="F378" s="13"/>
      <c r="G378" s="13"/>
      <c r="H378" s="13"/>
      <c r="I378" s="13"/>
      <c r="J378" s="13"/>
      <c r="K378" s="13"/>
      <c r="L378" s="13"/>
      <c r="M378" s="13"/>
      <c r="N378" s="13"/>
      <c r="O378" s="13"/>
      <c r="P378" s="13"/>
      <c r="Q378" s="13"/>
      <c r="R378" s="300"/>
      <c r="S378" s="13"/>
      <c r="T378" s="13"/>
      <c r="U378" s="300"/>
      <c r="V378" s="13"/>
      <c r="W378" s="13"/>
      <c r="X378" s="300"/>
      <c r="Y378" s="13"/>
      <c r="Z378" s="13"/>
      <c r="AA378" s="300"/>
      <c r="AB378" s="13"/>
      <c r="AC378" s="13"/>
      <c r="AD378" s="300"/>
      <c r="AE378" s="13"/>
      <c r="AF378" s="13"/>
      <c r="AG378" s="300"/>
      <c r="AH378" s="13"/>
      <c r="AI378" s="13"/>
      <c r="AJ378" s="300"/>
      <c r="AK378" s="13"/>
      <c r="AL378" s="301"/>
      <c r="AM378" s="300"/>
      <c r="AN378" s="13"/>
      <c r="AO378" s="301"/>
      <c r="AP378" s="300"/>
    </row>
    <row r="379">
      <c r="A379" s="13"/>
      <c r="B379" s="13"/>
      <c r="C379" s="13"/>
      <c r="D379" s="13"/>
      <c r="E379" s="13"/>
      <c r="F379" s="13"/>
      <c r="G379" s="13"/>
      <c r="H379" s="13"/>
      <c r="I379" s="13"/>
      <c r="J379" s="13"/>
      <c r="K379" s="13"/>
      <c r="L379" s="13"/>
      <c r="M379" s="13"/>
      <c r="N379" s="13"/>
      <c r="O379" s="13"/>
      <c r="P379" s="13"/>
      <c r="Q379" s="13"/>
      <c r="R379" s="300"/>
      <c r="S379" s="13"/>
      <c r="T379" s="13"/>
      <c r="U379" s="300"/>
      <c r="V379" s="13"/>
      <c r="W379" s="13"/>
      <c r="X379" s="300"/>
      <c r="Y379" s="13"/>
      <c r="Z379" s="13"/>
      <c r="AA379" s="300"/>
      <c r="AB379" s="13"/>
      <c r="AC379" s="13"/>
      <c r="AD379" s="300"/>
      <c r="AE379" s="13"/>
      <c r="AF379" s="13"/>
      <c r="AG379" s="300"/>
      <c r="AH379" s="13"/>
      <c r="AI379" s="13"/>
      <c r="AJ379" s="300"/>
      <c r="AK379" s="13"/>
      <c r="AL379" s="301"/>
      <c r="AM379" s="300"/>
      <c r="AN379" s="13"/>
      <c r="AO379" s="301"/>
      <c r="AP379" s="300"/>
    </row>
    <row r="380">
      <c r="A380" s="13"/>
      <c r="B380" s="13"/>
      <c r="C380" s="13"/>
      <c r="D380" s="13"/>
      <c r="E380" s="13"/>
      <c r="F380" s="13"/>
      <c r="G380" s="13"/>
      <c r="H380" s="13"/>
      <c r="I380" s="13"/>
      <c r="J380" s="13"/>
      <c r="K380" s="13"/>
      <c r="L380" s="13"/>
      <c r="M380" s="13"/>
      <c r="N380" s="13"/>
      <c r="O380" s="13"/>
      <c r="P380" s="13"/>
      <c r="Q380" s="13"/>
      <c r="R380" s="300"/>
      <c r="S380" s="13"/>
      <c r="T380" s="13"/>
      <c r="U380" s="300"/>
      <c r="V380" s="13"/>
      <c r="W380" s="13"/>
      <c r="X380" s="300"/>
      <c r="Y380" s="13"/>
      <c r="Z380" s="13"/>
      <c r="AA380" s="300"/>
      <c r="AB380" s="13"/>
      <c r="AC380" s="13"/>
      <c r="AD380" s="300"/>
      <c r="AE380" s="13"/>
      <c r="AF380" s="13"/>
      <c r="AG380" s="300"/>
      <c r="AH380" s="13"/>
      <c r="AI380" s="13"/>
      <c r="AJ380" s="300"/>
      <c r="AK380" s="13"/>
      <c r="AL380" s="301"/>
      <c r="AM380" s="300"/>
      <c r="AN380" s="13"/>
      <c r="AO380" s="301"/>
      <c r="AP380" s="300"/>
    </row>
    <row r="381">
      <c r="A381" s="13"/>
      <c r="B381" s="13"/>
      <c r="C381" s="13"/>
      <c r="D381" s="13"/>
      <c r="E381" s="13"/>
      <c r="F381" s="13"/>
      <c r="G381" s="13"/>
      <c r="H381" s="13"/>
      <c r="I381" s="13"/>
      <c r="J381" s="13"/>
      <c r="K381" s="13"/>
      <c r="L381" s="13"/>
      <c r="M381" s="13"/>
      <c r="N381" s="13"/>
      <c r="O381" s="13"/>
      <c r="P381" s="13"/>
      <c r="Q381" s="13"/>
      <c r="R381" s="300"/>
      <c r="S381" s="13"/>
      <c r="T381" s="13"/>
      <c r="U381" s="300"/>
      <c r="V381" s="13"/>
      <c r="W381" s="13"/>
      <c r="X381" s="300"/>
      <c r="Y381" s="13"/>
      <c r="Z381" s="13"/>
      <c r="AA381" s="300"/>
      <c r="AB381" s="13"/>
      <c r="AC381" s="13"/>
      <c r="AD381" s="300"/>
      <c r="AE381" s="13"/>
      <c r="AF381" s="13"/>
      <c r="AG381" s="300"/>
      <c r="AH381" s="13"/>
      <c r="AI381" s="13"/>
      <c r="AJ381" s="300"/>
      <c r="AK381" s="13"/>
      <c r="AL381" s="301"/>
      <c r="AM381" s="300"/>
      <c r="AN381" s="13"/>
      <c r="AO381" s="301"/>
      <c r="AP381" s="300"/>
    </row>
    <row r="382">
      <c r="A382" s="13"/>
      <c r="B382" s="13"/>
      <c r="C382" s="13"/>
      <c r="D382" s="13"/>
      <c r="E382" s="13"/>
      <c r="F382" s="13"/>
      <c r="G382" s="13"/>
      <c r="H382" s="13"/>
      <c r="I382" s="13"/>
      <c r="J382" s="13"/>
      <c r="K382" s="13"/>
      <c r="L382" s="13"/>
      <c r="M382" s="13"/>
      <c r="N382" s="13"/>
      <c r="O382" s="13"/>
      <c r="P382" s="13"/>
      <c r="Q382" s="13"/>
      <c r="R382" s="300"/>
      <c r="S382" s="13"/>
      <c r="T382" s="13"/>
      <c r="U382" s="300"/>
      <c r="V382" s="13"/>
      <c r="W382" s="13"/>
      <c r="X382" s="300"/>
      <c r="Y382" s="13"/>
      <c r="Z382" s="13"/>
      <c r="AA382" s="300"/>
      <c r="AB382" s="13"/>
      <c r="AC382" s="13"/>
      <c r="AD382" s="300"/>
      <c r="AE382" s="13"/>
      <c r="AF382" s="13"/>
      <c r="AG382" s="300"/>
      <c r="AH382" s="13"/>
      <c r="AI382" s="13"/>
      <c r="AJ382" s="300"/>
      <c r="AK382" s="13"/>
      <c r="AL382" s="301"/>
      <c r="AM382" s="300"/>
      <c r="AN382" s="13"/>
      <c r="AO382" s="301"/>
      <c r="AP382" s="300"/>
    </row>
    <row r="383">
      <c r="A383" s="13"/>
      <c r="B383" s="13"/>
      <c r="C383" s="13"/>
      <c r="D383" s="13"/>
      <c r="E383" s="13"/>
      <c r="F383" s="13"/>
      <c r="G383" s="13"/>
      <c r="H383" s="13"/>
      <c r="I383" s="13"/>
      <c r="J383" s="13"/>
      <c r="K383" s="13"/>
      <c r="L383" s="13"/>
      <c r="M383" s="13"/>
      <c r="N383" s="13"/>
      <c r="O383" s="13"/>
      <c r="P383" s="13"/>
      <c r="Q383" s="13"/>
      <c r="R383" s="300"/>
      <c r="S383" s="13"/>
      <c r="T383" s="13"/>
      <c r="U383" s="300"/>
      <c r="V383" s="13"/>
      <c r="W383" s="13"/>
      <c r="X383" s="300"/>
      <c r="Y383" s="13"/>
      <c r="Z383" s="13"/>
      <c r="AA383" s="300"/>
      <c r="AB383" s="13"/>
      <c r="AC383" s="13"/>
      <c r="AD383" s="300"/>
      <c r="AE383" s="13"/>
      <c r="AF383" s="13"/>
      <c r="AG383" s="300"/>
      <c r="AH383" s="13"/>
      <c r="AI383" s="13"/>
      <c r="AJ383" s="300"/>
      <c r="AK383" s="13"/>
      <c r="AL383" s="301"/>
      <c r="AM383" s="300"/>
      <c r="AN383" s="13"/>
      <c r="AO383" s="301"/>
      <c r="AP383" s="300"/>
    </row>
    <row r="384">
      <c r="A384" s="13"/>
      <c r="B384" s="13"/>
      <c r="C384" s="13"/>
      <c r="D384" s="13"/>
      <c r="E384" s="13"/>
      <c r="F384" s="13"/>
      <c r="G384" s="13"/>
      <c r="H384" s="13"/>
      <c r="I384" s="13"/>
      <c r="J384" s="13"/>
      <c r="K384" s="13"/>
      <c r="L384" s="13"/>
      <c r="M384" s="13"/>
      <c r="N384" s="13"/>
      <c r="O384" s="13"/>
      <c r="P384" s="13"/>
      <c r="Q384" s="13"/>
      <c r="R384" s="300"/>
      <c r="S384" s="13"/>
      <c r="T384" s="13"/>
      <c r="U384" s="300"/>
      <c r="V384" s="13"/>
      <c r="W384" s="13"/>
      <c r="X384" s="300"/>
      <c r="Y384" s="13"/>
      <c r="Z384" s="13"/>
      <c r="AA384" s="300"/>
      <c r="AB384" s="13"/>
      <c r="AC384" s="13"/>
      <c r="AD384" s="300"/>
      <c r="AE384" s="13"/>
      <c r="AF384" s="13"/>
      <c r="AG384" s="300"/>
      <c r="AH384" s="13"/>
      <c r="AI384" s="13"/>
      <c r="AJ384" s="300"/>
      <c r="AK384" s="13"/>
      <c r="AL384" s="301"/>
      <c r="AM384" s="300"/>
      <c r="AN384" s="13"/>
      <c r="AO384" s="301"/>
      <c r="AP384" s="300"/>
    </row>
    <row r="385">
      <c r="A385" s="13"/>
      <c r="B385" s="13"/>
      <c r="C385" s="13"/>
      <c r="D385" s="13"/>
      <c r="E385" s="13"/>
      <c r="F385" s="13"/>
      <c r="G385" s="13"/>
      <c r="H385" s="13"/>
      <c r="I385" s="13"/>
      <c r="J385" s="13"/>
      <c r="K385" s="13"/>
      <c r="L385" s="13"/>
      <c r="M385" s="13"/>
      <c r="N385" s="13"/>
      <c r="O385" s="13"/>
      <c r="P385" s="13"/>
      <c r="Q385" s="13"/>
      <c r="R385" s="300"/>
      <c r="S385" s="13"/>
      <c r="T385" s="13"/>
      <c r="U385" s="300"/>
      <c r="V385" s="13"/>
      <c r="W385" s="13"/>
      <c r="X385" s="300"/>
      <c r="Y385" s="13"/>
      <c r="Z385" s="13"/>
      <c r="AA385" s="300"/>
      <c r="AB385" s="13"/>
      <c r="AC385" s="13"/>
      <c r="AD385" s="300"/>
      <c r="AE385" s="13"/>
      <c r="AF385" s="13"/>
      <c r="AG385" s="300"/>
      <c r="AH385" s="13"/>
      <c r="AI385" s="13"/>
      <c r="AJ385" s="300"/>
      <c r="AK385" s="13"/>
      <c r="AL385" s="301"/>
      <c r="AM385" s="300"/>
      <c r="AN385" s="13"/>
      <c r="AO385" s="301"/>
      <c r="AP385" s="300"/>
    </row>
    <row r="386">
      <c r="A386" s="13"/>
      <c r="B386" s="13"/>
      <c r="C386" s="13"/>
      <c r="D386" s="13"/>
      <c r="E386" s="13"/>
      <c r="F386" s="13"/>
      <c r="G386" s="13"/>
      <c r="H386" s="13"/>
      <c r="I386" s="13"/>
      <c r="J386" s="13"/>
      <c r="K386" s="13"/>
      <c r="L386" s="13"/>
      <c r="M386" s="13"/>
      <c r="N386" s="13"/>
      <c r="O386" s="13"/>
      <c r="P386" s="13"/>
      <c r="Q386" s="13"/>
      <c r="R386" s="300"/>
      <c r="S386" s="13"/>
      <c r="T386" s="13"/>
      <c r="U386" s="300"/>
      <c r="V386" s="13"/>
      <c r="W386" s="13"/>
      <c r="X386" s="300"/>
      <c r="Y386" s="13"/>
      <c r="Z386" s="13"/>
      <c r="AA386" s="300"/>
      <c r="AB386" s="13"/>
      <c r="AC386" s="13"/>
      <c r="AD386" s="300"/>
      <c r="AE386" s="13"/>
      <c r="AF386" s="13"/>
      <c r="AG386" s="300"/>
      <c r="AH386" s="13"/>
      <c r="AI386" s="13"/>
      <c r="AJ386" s="300"/>
      <c r="AK386" s="13"/>
      <c r="AL386" s="301"/>
      <c r="AM386" s="300"/>
      <c r="AN386" s="13"/>
      <c r="AO386" s="301"/>
      <c r="AP386" s="300"/>
    </row>
    <row r="387">
      <c r="A387" s="13"/>
      <c r="B387" s="13"/>
      <c r="C387" s="13"/>
      <c r="D387" s="13"/>
      <c r="E387" s="13"/>
      <c r="F387" s="13"/>
      <c r="G387" s="13"/>
      <c r="H387" s="13"/>
      <c r="I387" s="13"/>
      <c r="J387" s="13"/>
      <c r="K387" s="13"/>
      <c r="L387" s="13"/>
      <c r="M387" s="13"/>
      <c r="N387" s="13"/>
      <c r="O387" s="13"/>
      <c r="P387" s="13"/>
      <c r="Q387" s="13"/>
      <c r="R387" s="300"/>
      <c r="S387" s="13"/>
      <c r="T387" s="13"/>
      <c r="U387" s="300"/>
      <c r="V387" s="13"/>
      <c r="W387" s="13"/>
      <c r="X387" s="300"/>
      <c r="Y387" s="13"/>
      <c r="Z387" s="13"/>
      <c r="AA387" s="300"/>
      <c r="AB387" s="13"/>
      <c r="AC387" s="13"/>
      <c r="AD387" s="300"/>
      <c r="AE387" s="13"/>
      <c r="AF387" s="13"/>
      <c r="AG387" s="300"/>
      <c r="AH387" s="13"/>
      <c r="AI387" s="13"/>
      <c r="AJ387" s="300"/>
      <c r="AK387" s="13"/>
      <c r="AL387" s="301"/>
      <c r="AM387" s="300"/>
      <c r="AN387" s="13"/>
      <c r="AO387" s="301"/>
      <c r="AP387" s="300"/>
    </row>
    <row r="388">
      <c r="A388" s="13"/>
      <c r="B388" s="13"/>
      <c r="C388" s="13"/>
      <c r="D388" s="13"/>
      <c r="E388" s="13"/>
      <c r="F388" s="13"/>
      <c r="G388" s="13"/>
      <c r="H388" s="13"/>
      <c r="I388" s="13"/>
      <c r="J388" s="13"/>
      <c r="K388" s="13"/>
      <c r="L388" s="13"/>
      <c r="M388" s="13"/>
      <c r="N388" s="13"/>
      <c r="O388" s="13"/>
      <c r="P388" s="13"/>
      <c r="Q388" s="13"/>
      <c r="R388" s="300"/>
      <c r="S388" s="13"/>
      <c r="T388" s="13"/>
      <c r="U388" s="300"/>
      <c r="V388" s="13"/>
      <c r="W388" s="13"/>
      <c r="X388" s="300"/>
      <c r="Y388" s="13"/>
      <c r="Z388" s="13"/>
      <c r="AA388" s="300"/>
      <c r="AB388" s="13"/>
      <c r="AC388" s="13"/>
      <c r="AD388" s="300"/>
      <c r="AE388" s="13"/>
      <c r="AF388" s="13"/>
      <c r="AG388" s="300"/>
      <c r="AH388" s="13"/>
      <c r="AI388" s="13"/>
      <c r="AJ388" s="300"/>
      <c r="AK388" s="13"/>
      <c r="AL388" s="301"/>
      <c r="AM388" s="300"/>
      <c r="AN388" s="13"/>
      <c r="AO388" s="301"/>
      <c r="AP388" s="300"/>
    </row>
    <row r="389">
      <c r="A389" s="13"/>
      <c r="B389" s="13"/>
      <c r="C389" s="13"/>
      <c r="D389" s="13"/>
      <c r="E389" s="13"/>
      <c r="F389" s="13"/>
      <c r="G389" s="13"/>
      <c r="H389" s="13"/>
      <c r="I389" s="13"/>
      <c r="J389" s="13"/>
      <c r="K389" s="13"/>
      <c r="L389" s="13"/>
      <c r="M389" s="13"/>
      <c r="N389" s="13"/>
      <c r="O389" s="13"/>
      <c r="P389" s="13"/>
      <c r="Q389" s="13"/>
      <c r="R389" s="300"/>
      <c r="S389" s="13"/>
      <c r="T389" s="13"/>
      <c r="U389" s="300"/>
      <c r="V389" s="13"/>
      <c r="W389" s="13"/>
      <c r="X389" s="300"/>
      <c r="Y389" s="13"/>
      <c r="Z389" s="13"/>
      <c r="AA389" s="300"/>
      <c r="AB389" s="13"/>
      <c r="AC389" s="13"/>
      <c r="AD389" s="300"/>
      <c r="AE389" s="13"/>
      <c r="AF389" s="13"/>
      <c r="AG389" s="300"/>
      <c r="AH389" s="13"/>
      <c r="AI389" s="13"/>
      <c r="AJ389" s="300"/>
      <c r="AK389" s="13"/>
      <c r="AL389" s="301"/>
      <c r="AM389" s="300"/>
      <c r="AN389" s="13"/>
      <c r="AO389" s="301"/>
      <c r="AP389" s="300"/>
    </row>
    <row r="390">
      <c r="A390" s="13"/>
      <c r="B390" s="13"/>
      <c r="C390" s="13"/>
      <c r="D390" s="13"/>
      <c r="E390" s="13"/>
      <c r="F390" s="13"/>
      <c r="G390" s="13"/>
      <c r="H390" s="13"/>
      <c r="I390" s="13"/>
      <c r="J390" s="13"/>
      <c r="K390" s="13"/>
      <c r="L390" s="13"/>
      <c r="M390" s="13"/>
      <c r="N390" s="13"/>
      <c r="O390" s="13"/>
      <c r="P390" s="13"/>
      <c r="Q390" s="13"/>
      <c r="R390" s="300"/>
      <c r="S390" s="13"/>
      <c r="T390" s="13"/>
      <c r="U390" s="300"/>
      <c r="V390" s="13"/>
      <c r="W390" s="13"/>
      <c r="X390" s="300"/>
      <c r="Y390" s="13"/>
      <c r="Z390" s="13"/>
      <c r="AA390" s="300"/>
      <c r="AB390" s="13"/>
      <c r="AC390" s="13"/>
      <c r="AD390" s="300"/>
      <c r="AE390" s="13"/>
      <c r="AF390" s="13"/>
      <c r="AG390" s="300"/>
      <c r="AH390" s="13"/>
      <c r="AI390" s="13"/>
      <c r="AJ390" s="300"/>
      <c r="AK390" s="13"/>
      <c r="AL390" s="301"/>
      <c r="AM390" s="300"/>
      <c r="AN390" s="13"/>
      <c r="AO390" s="301"/>
      <c r="AP390" s="300"/>
    </row>
    <row r="391">
      <c r="A391" s="13"/>
      <c r="B391" s="13"/>
      <c r="C391" s="13"/>
      <c r="D391" s="13"/>
      <c r="E391" s="13"/>
      <c r="F391" s="13"/>
      <c r="G391" s="13"/>
      <c r="H391" s="13"/>
      <c r="I391" s="13"/>
      <c r="J391" s="13"/>
      <c r="K391" s="13"/>
      <c r="L391" s="13"/>
      <c r="M391" s="13"/>
      <c r="N391" s="13"/>
      <c r="O391" s="13"/>
      <c r="P391" s="13"/>
      <c r="Q391" s="13"/>
      <c r="R391" s="300"/>
      <c r="S391" s="13"/>
      <c r="T391" s="13"/>
      <c r="U391" s="300"/>
      <c r="V391" s="13"/>
      <c r="W391" s="13"/>
      <c r="X391" s="300"/>
      <c r="Y391" s="13"/>
      <c r="Z391" s="13"/>
      <c r="AA391" s="300"/>
      <c r="AB391" s="13"/>
      <c r="AC391" s="13"/>
      <c r="AD391" s="300"/>
      <c r="AE391" s="13"/>
      <c r="AF391" s="13"/>
      <c r="AG391" s="300"/>
      <c r="AH391" s="13"/>
      <c r="AI391" s="13"/>
      <c r="AJ391" s="300"/>
      <c r="AK391" s="13"/>
      <c r="AL391" s="301"/>
      <c r="AM391" s="300"/>
      <c r="AN391" s="13"/>
      <c r="AO391" s="301"/>
      <c r="AP391" s="300"/>
    </row>
    <row r="392">
      <c r="A392" s="13"/>
      <c r="B392" s="13"/>
      <c r="C392" s="13"/>
      <c r="D392" s="13"/>
      <c r="E392" s="13"/>
      <c r="F392" s="13"/>
      <c r="G392" s="13"/>
      <c r="H392" s="13"/>
      <c r="I392" s="13"/>
      <c r="J392" s="13"/>
      <c r="K392" s="13"/>
      <c r="L392" s="13"/>
      <c r="M392" s="13"/>
      <c r="N392" s="13"/>
      <c r="O392" s="13"/>
      <c r="P392" s="13"/>
      <c r="Q392" s="13"/>
      <c r="R392" s="300"/>
      <c r="S392" s="13"/>
      <c r="T392" s="13"/>
      <c r="U392" s="300"/>
      <c r="V392" s="13"/>
      <c r="W392" s="13"/>
      <c r="X392" s="300"/>
      <c r="Y392" s="13"/>
      <c r="Z392" s="13"/>
      <c r="AA392" s="300"/>
      <c r="AB392" s="13"/>
      <c r="AC392" s="13"/>
      <c r="AD392" s="300"/>
      <c r="AE392" s="13"/>
      <c r="AF392" s="13"/>
      <c r="AG392" s="300"/>
      <c r="AH392" s="13"/>
      <c r="AI392" s="13"/>
      <c r="AJ392" s="300"/>
      <c r="AK392" s="13"/>
      <c r="AL392" s="301"/>
      <c r="AM392" s="300"/>
      <c r="AN392" s="13"/>
      <c r="AO392" s="301"/>
      <c r="AP392" s="300"/>
    </row>
    <row r="393">
      <c r="A393" s="13"/>
      <c r="B393" s="13"/>
      <c r="C393" s="13"/>
      <c r="D393" s="13"/>
      <c r="E393" s="13"/>
      <c r="F393" s="13"/>
      <c r="G393" s="13"/>
      <c r="H393" s="13"/>
      <c r="I393" s="13"/>
      <c r="J393" s="13"/>
      <c r="K393" s="13"/>
      <c r="L393" s="13"/>
      <c r="M393" s="13"/>
      <c r="N393" s="13"/>
      <c r="O393" s="13"/>
      <c r="P393" s="13"/>
      <c r="Q393" s="13"/>
      <c r="R393" s="300"/>
      <c r="S393" s="13"/>
      <c r="T393" s="13"/>
      <c r="U393" s="300"/>
      <c r="V393" s="13"/>
      <c r="W393" s="13"/>
      <c r="X393" s="300"/>
      <c r="Y393" s="13"/>
      <c r="Z393" s="13"/>
      <c r="AA393" s="300"/>
      <c r="AB393" s="13"/>
      <c r="AC393" s="13"/>
      <c r="AD393" s="300"/>
      <c r="AE393" s="13"/>
      <c r="AF393" s="13"/>
      <c r="AG393" s="300"/>
      <c r="AH393" s="13"/>
      <c r="AI393" s="13"/>
      <c r="AJ393" s="300"/>
      <c r="AK393" s="13"/>
      <c r="AL393" s="301"/>
      <c r="AM393" s="300"/>
      <c r="AN393" s="13"/>
      <c r="AO393" s="301"/>
      <c r="AP393" s="300"/>
    </row>
    <row r="394">
      <c r="A394" s="13"/>
      <c r="B394" s="13"/>
      <c r="C394" s="13"/>
      <c r="D394" s="13"/>
      <c r="E394" s="13"/>
      <c r="F394" s="13"/>
      <c r="G394" s="13"/>
      <c r="H394" s="13"/>
      <c r="I394" s="13"/>
      <c r="J394" s="13"/>
      <c r="K394" s="13"/>
      <c r="L394" s="13"/>
      <c r="M394" s="13"/>
      <c r="N394" s="13"/>
      <c r="O394" s="13"/>
      <c r="P394" s="13"/>
      <c r="Q394" s="13"/>
      <c r="R394" s="300"/>
      <c r="S394" s="13"/>
      <c r="T394" s="13"/>
      <c r="U394" s="300"/>
      <c r="V394" s="13"/>
      <c r="W394" s="13"/>
      <c r="X394" s="300"/>
      <c r="Y394" s="13"/>
      <c r="Z394" s="13"/>
      <c r="AA394" s="300"/>
      <c r="AB394" s="13"/>
      <c r="AC394" s="13"/>
      <c r="AD394" s="300"/>
      <c r="AE394" s="13"/>
      <c r="AF394" s="13"/>
      <c r="AG394" s="300"/>
      <c r="AH394" s="13"/>
      <c r="AI394" s="13"/>
      <c r="AJ394" s="300"/>
      <c r="AK394" s="13"/>
      <c r="AL394" s="301"/>
      <c r="AM394" s="300"/>
      <c r="AN394" s="13"/>
      <c r="AO394" s="301"/>
      <c r="AP394" s="300"/>
    </row>
    <row r="395">
      <c r="A395" s="13"/>
      <c r="B395" s="13"/>
      <c r="C395" s="13"/>
      <c r="D395" s="13"/>
      <c r="E395" s="13"/>
      <c r="F395" s="13"/>
      <c r="G395" s="13"/>
      <c r="H395" s="13"/>
      <c r="I395" s="13"/>
      <c r="J395" s="13"/>
      <c r="K395" s="13"/>
      <c r="L395" s="13"/>
      <c r="M395" s="13"/>
      <c r="N395" s="13"/>
      <c r="O395" s="13"/>
      <c r="P395" s="13"/>
      <c r="Q395" s="13"/>
      <c r="R395" s="300"/>
      <c r="S395" s="13"/>
      <c r="T395" s="13"/>
      <c r="U395" s="300"/>
      <c r="V395" s="13"/>
      <c r="W395" s="13"/>
      <c r="X395" s="300"/>
      <c r="Y395" s="13"/>
      <c r="Z395" s="13"/>
      <c r="AA395" s="300"/>
      <c r="AB395" s="13"/>
      <c r="AC395" s="13"/>
      <c r="AD395" s="300"/>
      <c r="AE395" s="13"/>
      <c r="AF395" s="13"/>
      <c r="AG395" s="300"/>
      <c r="AH395" s="13"/>
      <c r="AI395" s="13"/>
      <c r="AJ395" s="300"/>
      <c r="AK395" s="13"/>
      <c r="AL395" s="301"/>
      <c r="AM395" s="300"/>
      <c r="AN395" s="13"/>
      <c r="AO395" s="301"/>
      <c r="AP395" s="300"/>
    </row>
    <row r="396">
      <c r="A396" s="13"/>
      <c r="B396" s="13"/>
      <c r="C396" s="13"/>
      <c r="D396" s="13"/>
      <c r="E396" s="13"/>
      <c r="F396" s="13"/>
      <c r="G396" s="13"/>
      <c r="H396" s="13"/>
      <c r="I396" s="13"/>
      <c r="J396" s="13"/>
      <c r="K396" s="13"/>
      <c r="L396" s="13"/>
      <c r="M396" s="13"/>
      <c r="N396" s="13"/>
      <c r="O396" s="13"/>
      <c r="P396" s="13"/>
      <c r="Q396" s="13"/>
      <c r="R396" s="300"/>
      <c r="S396" s="13"/>
      <c r="T396" s="13"/>
      <c r="U396" s="300"/>
      <c r="V396" s="13"/>
      <c r="W396" s="13"/>
      <c r="X396" s="300"/>
      <c r="Y396" s="13"/>
      <c r="Z396" s="13"/>
      <c r="AA396" s="300"/>
      <c r="AB396" s="13"/>
      <c r="AC396" s="13"/>
      <c r="AD396" s="300"/>
      <c r="AE396" s="13"/>
      <c r="AF396" s="13"/>
      <c r="AG396" s="300"/>
      <c r="AH396" s="13"/>
      <c r="AI396" s="13"/>
      <c r="AJ396" s="300"/>
      <c r="AK396" s="13"/>
      <c r="AL396" s="301"/>
      <c r="AM396" s="300"/>
      <c r="AN396" s="13"/>
      <c r="AO396" s="301"/>
      <c r="AP396" s="300"/>
    </row>
    <row r="397">
      <c r="A397" s="13"/>
      <c r="B397" s="13"/>
      <c r="C397" s="13"/>
      <c r="D397" s="13"/>
      <c r="E397" s="13"/>
      <c r="F397" s="13"/>
      <c r="G397" s="13"/>
      <c r="H397" s="13"/>
      <c r="I397" s="13"/>
      <c r="J397" s="13"/>
      <c r="K397" s="13"/>
      <c r="L397" s="13"/>
      <c r="M397" s="13"/>
      <c r="N397" s="13"/>
      <c r="O397" s="13"/>
      <c r="P397" s="13"/>
      <c r="Q397" s="13"/>
      <c r="R397" s="300"/>
      <c r="S397" s="13"/>
      <c r="T397" s="13"/>
      <c r="U397" s="300"/>
      <c r="V397" s="13"/>
      <c r="W397" s="13"/>
      <c r="X397" s="300"/>
      <c r="Y397" s="13"/>
      <c r="Z397" s="13"/>
      <c r="AA397" s="300"/>
      <c r="AB397" s="13"/>
      <c r="AC397" s="13"/>
      <c r="AD397" s="300"/>
      <c r="AE397" s="13"/>
      <c r="AF397" s="13"/>
      <c r="AG397" s="300"/>
      <c r="AH397" s="13"/>
      <c r="AI397" s="13"/>
      <c r="AJ397" s="300"/>
      <c r="AK397" s="13"/>
      <c r="AL397" s="301"/>
      <c r="AM397" s="300"/>
      <c r="AN397" s="13"/>
      <c r="AO397" s="301"/>
      <c r="AP397" s="300"/>
    </row>
    <row r="398">
      <c r="A398" s="13"/>
      <c r="B398" s="13"/>
      <c r="C398" s="13"/>
      <c r="D398" s="13"/>
      <c r="E398" s="13"/>
      <c r="F398" s="13"/>
      <c r="G398" s="13"/>
      <c r="H398" s="13"/>
      <c r="I398" s="13"/>
      <c r="J398" s="13"/>
      <c r="K398" s="13"/>
      <c r="L398" s="13"/>
      <c r="M398" s="13"/>
      <c r="N398" s="13"/>
      <c r="O398" s="13"/>
      <c r="P398" s="13"/>
      <c r="Q398" s="13"/>
      <c r="R398" s="300"/>
      <c r="S398" s="13"/>
      <c r="T398" s="13"/>
      <c r="U398" s="300"/>
      <c r="V398" s="13"/>
      <c r="W398" s="13"/>
      <c r="X398" s="300"/>
      <c r="Y398" s="13"/>
      <c r="Z398" s="13"/>
      <c r="AA398" s="300"/>
      <c r="AB398" s="13"/>
      <c r="AC398" s="13"/>
      <c r="AD398" s="300"/>
      <c r="AE398" s="13"/>
      <c r="AF398" s="13"/>
      <c r="AG398" s="300"/>
      <c r="AH398" s="13"/>
      <c r="AI398" s="13"/>
      <c r="AJ398" s="300"/>
      <c r="AK398" s="13"/>
      <c r="AL398" s="301"/>
      <c r="AM398" s="300"/>
      <c r="AN398" s="13"/>
      <c r="AO398" s="301"/>
      <c r="AP398" s="300"/>
    </row>
    <row r="399">
      <c r="A399" s="13"/>
      <c r="B399" s="13"/>
      <c r="C399" s="13"/>
      <c r="D399" s="13"/>
      <c r="E399" s="13"/>
      <c r="F399" s="13"/>
      <c r="G399" s="13"/>
      <c r="H399" s="13"/>
      <c r="I399" s="13"/>
      <c r="J399" s="13"/>
      <c r="K399" s="13"/>
      <c r="L399" s="13"/>
      <c r="M399" s="13"/>
      <c r="N399" s="13"/>
      <c r="O399" s="13"/>
      <c r="P399" s="13"/>
      <c r="Q399" s="13"/>
      <c r="R399" s="300"/>
      <c r="S399" s="13"/>
      <c r="T399" s="13"/>
      <c r="U399" s="300"/>
      <c r="V399" s="13"/>
      <c r="W399" s="13"/>
      <c r="X399" s="300"/>
      <c r="Y399" s="13"/>
      <c r="Z399" s="13"/>
      <c r="AA399" s="300"/>
      <c r="AB399" s="13"/>
      <c r="AC399" s="13"/>
      <c r="AD399" s="300"/>
      <c r="AE399" s="13"/>
      <c r="AF399" s="13"/>
      <c r="AG399" s="300"/>
      <c r="AH399" s="13"/>
      <c r="AI399" s="13"/>
      <c r="AJ399" s="300"/>
      <c r="AK399" s="13"/>
      <c r="AL399" s="301"/>
      <c r="AM399" s="300"/>
      <c r="AN399" s="13"/>
      <c r="AO399" s="301"/>
      <c r="AP399" s="300"/>
    </row>
    <row r="400">
      <c r="A400" s="13"/>
      <c r="B400" s="13"/>
      <c r="C400" s="13"/>
      <c r="D400" s="13"/>
      <c r="E400" s="13"/>
      <c r="F400" s="13"/>
      <c r="G400" s="13"/>
      <c r="H400" s="13"/>
      <c r="I400" s="13"/>
      <c r="J400" s="13"/>
      <c r="K400" s="13"/>
      <c r="L400" s="13"/>
      <c r="M400" s="13"/>
      <c r="N400" s="13"/>
      <c r="O400" s="13"/>
      <c r="P400" s="13"/>
      <c r="Q400" s="13"/>
      <c r="R400" s="300"/>
      <c r="S400" s="13"/>
      <c r="T400" s="13"/>
      <c r="U400" s="300"/>
      <c r="V400" s="13"/>
      <c r="W400" s="13"/>
      <c r="X400" s="300"/>
      <c r="Y400" s="13"/>
      <c r="Z400" s="13"/>
      <c r="AA400" s="300"/>
      <c r="AB400" s="13"/>
      <c r="AC400" s="13"/>
      <c r="AD400" s="300"/>
      <c r="AE400" s="13"/>
      <c r="AF400" s="13"/>
      <c r="AG400" s="300"/>
      <c r="AH400" s="13"/>
      <c r="AI400" s="13"/>
      <c r="AJ400" s="300"/>
      <c r="AK400" s="13"/>
      <c r="AL400" s="301"/>
      <c r="AM400" s="300"/>
      <c r="AN400" s="13"/>
      <c r="AO400" s="301"/>
      <c r="AP400" s="300"/>
    </row>
    <row r="401">
      <c r="A401" s="13"/>
      <c r="B401" s="13"/>
      <c r="C401" s="13"/>
      <c r="D401" s="13"/>
      <c r="E401" s="13"/>
      <c r="F401" s="13"/>
      <c r="G401" s="13"/>
      <c r="H401" s="13"/>
      <c r="I401" s="13"/>
      <c r="J401" s="13"/>
      <c r="K401" s="13"/>
      <c r="L401" s="13"/>
      <c r="M401" s="13"/>
      <c r="N401" s="13"/>
      <c r="O401" s="13"/>
      <c r="P401" s="13"/>
      <c r="Q401" s="13"/>
      <c r="R401" s="300"/>
      <c r="S401" s="13"/>
      <c r="T401" s="13"/>
      <c r="U401" s="300"/>
      <c r="V401" s="13"/>
      <c r="W401" s="13"/>
      <c r="X401" s="300"/>
      <c r="Y401" s="13"/>
      <c r="Z401" s="13"/>
      <c r="AA401" s="300"/>
      <c r="AB401" s="13"/>
      <c r="AC401" s="13"/>
      <c r="AD401" s="300"/>
      <c r="AE401" s="13"/>
      <c r="AF401" s="13"/>
      <c r="AG401" s="300"/>
      <c r="AH401" s="13"/>
      <c r="AI401" s="13"/>
      <c r="AJ401" s="300"/>
      <c r="AK401" s="13"/>
      <c r="AL401" s="301"/>
      <c r="AM401" s="300"/>
      <c r="AN401" s="13"/>
      <c r="AO401" s="301"/>
      <c r="AP401" s="300"/>
    </row>
    <row r="402">
      <c r="A402" s="13"/>
      <c r="B402" s="13"/>
      <c r="C402" s="13"/>
      <c r="D402" s="13"/>
      <c r="E402" s="13"/>
      <c r="F402" s="13"/>
      <c r="G402" s="13"/>
      <c r="H402" s="13"/>
      <c r="I402" s="13"/>
      <c r="J402" s="13"/>
      <c r="K402" s="13"/>
      <c r="L402" s="13"/>
      <c r="M402" s="13"/>
      <c r="N402" s="13"/>
      <c r="O402" s="13"/>
      <c r="P402" s="13"/>
      <c r="Q402" s="13"/>
      <c r="R402" s="300"/>
      <c r="S402" s="13"/>
      <c r="T402" s="13"/>
      <c r="U402" s="300"/>
      <c r="V402" s="13"/>
      <c r="W402" s="13"/>
      <c r="X402" s="300"/>
      <c r="Y402" s="13"/>
      <c r="Z402" s="13"/>
      <c r="AA402" s="300"/>
      <c r="AB402" s="13"/>
      <c r="AC402" s="13"/>
      <c r="AD402" s="300"/>
      <c r="AE402" s="13"/>
      <c r="AF402" s="13"/>
      <c r="AG402" s="300"/>
      <c r="AH402" s="13"/>
      <c r="AI402" s="13"/>
      <c r="AJ402" s="300"/>
      <c r="AK402" s="13"/>
      <c r="AL402" s="301"/>
      <c r="AM402" s="300"/>
      <c r="AN402" s="13"/>
      <c r="AO402" s="301"/>
      <c r="AP402" s="300"/>
    </row>
    <row r="403">
      <c r="A403" s="13"/>
      <c r="B403" s="13"/>
      <c r="C403" s="13"/>
      <c r="D403" s="13"/>
      <c r="E403" s="13"/>
      <c r="F403" s="13"/>
      <c r="G403" s="13"/>
      <c r="H403" s="13"/>
      <c r="I403" s="13"/>
      <c r="J403" s="13"/>
      <c r="K403" s="13"/>
      <c r="L403" s="13"/>
      <c r="M403" s="13"/>
      <c r="N403" s="13"/>
      <c r="O403" s="13"/>
      <c r="P403" s="13"/>
      <c r="Q403" s="13"/>
      <c r="R403" s="300"/>
      <c r="S403" s="13"/>
      <c r="T403" s="13"/>
      <c r="U403" s="300"/>
      <c r="V403" s="13"/>
      <c r="W403" s="13"/>
      <c r="X403" s="300"/>
      <c r="Y403" s="13"/>
      <c r="Z403" s="13"/>
      <c r="AA403" s="300"/>
      <c r="AB403" s="13"/>
      <c r="AC403" s="13"/>
      <c r="AD403" s="300"/>
      <c r="AE403" s="13"/>
      <c r="AF403" s="13"/>
      <c r="AG403" s="300"/>
      <c r="AH403" s="13"/>
      <c r="AI403" s="13"/>
      <c r="AJ403" s="300"/>
      <c r="AK403" s="13"/>
      <c r="AL403" s="301"/>
      <c r="AM403" s="300"/>
      <c r="AN403" s="13"/>
      <c r="AO403" s="301"/>
      <c r="AP403" s="300"/>
    </row>
    <row r="404">
      <c r="A404" s="13"/>
      <c r="B404" s="13"/>
      <c r="C404" s="13"/>
      <c r="D404" s="13"/>
      <c r="E404" s="13"/>
      <c r="F404" s="13"/>
      <c r="G404" s="13"/>
      <c r="H404" s="13"/>
      <c r="I404" s="13"/>
      <c r="J404" s="13"/>
      <c r="K404" s="13"/>
      <c r="L404" s="13"/>
      <c r="M404" s="13"/>
      <c r="N404" s="13"/>
      <c r="O404" s="13"/>
      <c r="P404" s="13"/>
      <c r="Q404" s="13"/>
      <c r="R404" s="300"/>
      <c r="S404" s="13"/>
      <c r="T404" s="13"/>
      <c r="U404" s="300"/>
      <c r="V404" s="13"/>
      <c r="W404" s="13"/>
      <c r="X404" s="300"/>
      <c r="Y404" s="13"/>
      <c r="Z404" s="13"/>
      <c r="AA404" s="300"/>
      <c r="AB404" s="13"/>
      <c r="AC404" s="13"/>
      <c r="AD404" s="300"/>
      <c r="AE404" s="13"/>
      <c r="AF404" s="13"/>
      <c r="AG404" s="300"/>
      <c r="AH404" s="13"/>
      <c r="AI404" s="13"/>
      <c r="AJ404" s="300"/>
      <c r="AK404" s="13"/>
      <c r="AL404" s="301"/>
      <c r="AM404" s="300"/>
      <c r="AN404" s="13"/>
      <c r="AO404" s="301"/>
      <c r="AP404" s="300"/>
    </row>
    <row r="405">
      <c r="A405" s="13"/>
      <c r="B405" s="13"/>
      <c r="C405" s="13"/>
      <c r="D405" s="13"/>
      <c r="E405" s="13"/>
      <c r="F405" s="13"/>
      <c r="G405" s="13"/>
      <c r="H405" s="13"/>
      <c r="I405" s="13"/>
      <c r="J405" s="13"/>
      <c r="K405" s="13"/>
      <c r="L405" s="13"/>
      <c r="M405" s="13"/>
      <c r="N405" s="13"/>
      <c r="O405" s="13"/>
      <c r="P405" s="13"/>
      <c r="Q405" s="13"/>
      <c r="R405" s="300"/>
      <c r="S405" s="13"/>
      <c r="T405" s="13"/>
      <c r="U405" s="300"/>
      <c r="V405" s="13"/>
      <c r="W405" s="13"/>
      <c r="X405" s="300"/>
      <c r="Y405" s="13"/>
      <c r="Z405" s="13"/>
      <c r="AA405" s="300"/>
      <c r="AB405" s="13"/>
      <c r="AC405" s="13"/>
      <c r="AD405" s="300"/>
      <c r="AE405" s="13"/>
      <c r="AF405" s="13"/>
      <c r="AG405" s="300"/>
      <c r="AH405" s="13"/>
      <c r="AI405" s="13"/>
      <c r="AJ405" s="300"/>
      <c r="AK405" s="13"/>
      <c r="AL405" s="301"/>
      <c r="AM405" s="300"/>
      <c r="AN405" s="13"/>
      <c r="AO405" s="301"/>
      <c r="AP405" s="300"/>
    </row>
    <row r="406">
      <c r="A406" s="13"/>
      <c r="B406" s="13"/>
      <c r="C406" s="13"/>
      <c r="D406" s="13"/>
      <c r="E406" s="13"/>
      <c r="F406" s="13"/>
      <c r="G406" s="13"/>
      <c r="H406" s="13"/>
      <c r="I406" s="13"/>
      <c r="J406" s="13"/>
      <c r="K406" s="13"/>
      <c r="L406" s="13"/>
      <c r="M406" s="13"/>
      <c r="N406" s="13"/>
      <c r="O406" s="13"/>
      <c r="P406" s="13"/>
      <c r="Q406" s="13"/>
      <c r="R406" s="300"/>
      <c r="S406" s="13"/>
      <c r="T406" s="13"/>
      <c r="U406" s="300"/>
      <c r="V406" s="13"/>
      <c r="W406" s="13"/>
      <c r="X406" s="300"/>
      <c r="Y406" s="13"/>
      <c r="Z406" s="13"/>
      <c r="AA406" s="300"/>
      <c r="AB406" s="13"/>
      <c r="AC406" s="13"/>
      <c r="AD406" s="300"/>
      <c r="AE406" s="13"/>
      <c r="AF406" s="13"/>
      <c r="AG406" s="300"/>
      <c r="AH406" s="13"/>
      <c r="AI406" s="13"/>
      <c r="AJ406" s="300"/>
      <c r="AK406" s="13"/>
      <c r="AL406" s="301"/>
      <c r="AM406" s="300"/>
      <c r="AN406" s="13"/>
      <c r="AO406" s="301"/>
      <c r="AP406" s="300"/>
    </row>
    <row r="407">
      <c r="A407" s="13"/>
      <c r="B407" s="13"/>
      <c r="C407" s="13"/>
      <c r="D407" s="13"/>
      <c r="E407" s="13"/>
      <c r="F407" s="13"/>
      <c r="G407" s="13"/>
      <c r="H407" s="13"/>
      <c r="I407" s="13"/>
      <c r="J407" s="13"/>
      <c r="K407" s="13"/>
      <c r="L407" s="13"/>
      <c r="M407" s="13"/>
      <c r="N407" s="13"/>
      <c r="O407" s="13"/>
      <c r="P407" s="13"/>
      <c r="Q407" s="13"/>
      <c r="R407" s="300"/>
      <c r="S407" s="13"/>
      <c r="T407" s="13"/>
      <c r="U407" s="300"/>
      <c r="V407" s="13"/>
      <c r="W407" s="13"/>
      <c r="X407" s="300"/>
      <c r="Y407" s="13"/>
      <c r="Z407" s="13"/>
      <c r="AA407" s="300"/>
      <c r="AB407" s="13"/>
      <c r="AC407" s="13"/>
      <c r="AD407" s="300"/>
      <c r="AE407" s="13"/>
      <c r="AF407" s="13"/>
      <c r="AG407" s="300"/>
      <c r="AH407" s="13"/>
      <c r="AI407" s="13"/>
      <c r="AJ407" s="300"/>
      <c r="AK407" s="13"/>
      <c r="AL407" s="301"/>
      <c r="AM407" s="300"/>
      <c r="AN407" s="13"/>
      <c r="AO407" s="301"/>
      <c r="AP407" s="300"/>
    </row>
    <row r="408">
      <c r="A408" s="13"/>
      <c r="B408" s="13"/>
      <c r="C408" s="13"/>
      <c r="D408" s="13"/>
      <c r="E408" s="13"/>
      <c r="F408" s="13"/>
      <c r="G408" s="13"/>
      <c r="H408" s="13"/>
      <c r="I408" s="13"/>
      <c r="J408" s="13"/>
      <c r="K408" s="13"/>
      <c r="L408" s="13"/>
      <c r="M408" s="13"/>
      <c r="N408" s="13"/>
      <c r="O408" s="13"/>
      <c r="P408" s="13"/>
      <c r="Q408" s="13"/>
      <c r="R408" s="300"/>
      <c r="S408" s="13"/>
      <c r="T408" s="13"/>
      <c r="U408" s="300"/>
      <c r="V408" s="13"/>
      <c r="W408" s="13"/>
      <c r="X408" s="300"/>
      <c r="Y408" s="13"/>
      <c r="Z408" s="13"/>
      <c r="AA408" s="300"/>
      <c r="AB408" s="13"/>
      <c r="AC408" s="13"/>
      <c r="AD408" s="300"/>
      <c r="AE408" s="13"/>
      <c r="AF408" s="13"/>
      <c r="AG408" s="300"/>
      <c r="AH408" s="13"/>
      <c r="AI408" s="13"/>
      <c r="AJ408" s="300"/>
      <c r="AK408" s="13"/>
      <c r="AL408" s="301"/>
      <c r="AM408" s="300"/>
      <c r="AN408" s="13"/>
      <c r="AO408" s="301"/>
      <c r="AP408" s="300"/>
    </row>
    <row r="409">
      <c r="A409" s="13"/>
      <c r="B409" s="13"/>
      <c r="C409" s="13"/>
      <c r="D409" s="13"/>
      <c r="E409" s="13"/>
      <c r="F409" s="13"/>
      <c r="G409" s="13"/>
      <c r="H409" s="13"/>
      <c r="I409" s="13"/>
      <c r="J409" s="13"/>
      <c r="K409" s="13"/>
      <c r="L409" s="13"/>
      <c r="M409" s="13"/>
      <c r="N409" s="13"/>
      <c r="O409" s="13"/>
      <c r="P409" s="13"/>
      <c r="Q409" s="13"/>
      <c r="R409" s="300"/>
      <c r="S409" s="13"/>
      <c r="T409" s="13"/>
      <c r="U409" s="300"/>
      <c r="V409" s="13"/>
      <c r="W409" s="13"/>
      <c r="X409" s="300"/>
      <c r="Y409" s="13"/>
      <c r="Z409" s="13"/>
      <c r="AA409" s="300"/>
      <c r="AB409" s="13"/>
      <c r="AC409" s="13"/>
      <c r="AD409" s="300"/>
      <c r="AE409" s="13"/>
      <c r="AF409" s="13"/>
      <c r="AG409" s="300"/>
      <c r="AH409" s="13"/>
      <c r="AI409" s="13"/>
      <c r="AJ409" s="300"/>
      <c r="AK409" s="13"/>
      <c r="AL409" s="301"/>
      <c r="AM409" s="300"/>
      <c r="AN409" s="13"/>
      <c r="AO409" s="301"/>
      <c r="AP409" s="300"/>
    </row>
    <row r="410">
      <c r="A410" s="13"/>
      <c r="B410" s="13"/>
      <c r="C410" s="13"/>
      <c r="D410" s="13"/>
      <c r="E410" s="13"/>
      <c r="F410" s="13"/>
      <c r="G410" s="13"/>
      <c r="H410" s="13"/>
      <c r="I410" s="13"/>
      <c r="J410" s="13"/>
      <c r="K410" s="13"/>
      <c r="L410" s="13"/>
      <c r="M410" s="13"/>
      <c r="N410" s="13"/>
      <c r="O410" s="13"/>
      <c r="P410" s="13"/>
      <c r="Q410" s="13"/>
      <c r="R410" s="300"/>
      <c r="S410" s="13"/>
      <c r="T410" s="13"/>
      <c r="U410" s="300"/>
      <c r="V410" s="13"/>
      <c r="W410" s="13"/>
      <c r="X410" s="300"/>
      <c r="Y410" s="13"/>
      <c r="Z410" s="13"/>
      <c r="AA410" s="300"/>
      <c r="AB410" s="13"/>
      <c r="AC410" s="13"/>
      <c r="AD410" s="300"/>
      <c r="AE410" s="13"/>
      <c r="AF410" s="13"/>
      <c r="AG410" s="300"/>
      <c r="AH410" s="13"/>
      <c r="AI410" s="13"/>
      <c r="AJ410" s="300"/>
      <c r="AK410" s="13"/>
      <c r="AL410" s="301"/>
      <c r="AM410" s="300"/>
      <c r="AN410" s="13"/>
      <c r="AO410" s="301"/>
      <c r="AP410" s="300"/>
    </row>
    <row r="411">
      <c r="A411" s="13"/>
      <c r="B411" s="13"/>
      <c r="C411" s="13"/>
      <c r="D411" s="13"/>
      <c r="E411" s="13"/>
      <c r="F411" s="13"/>
      <c r="G411" s="13"/>
      <c r="H411" s="13"/>
      <c r="I411" s="13"/>
      <c r="J411" s="13"/>
      <c r="K411" s="13"/>
      <c r="L411" s="13"/>
      <c r="M411" s="13"/>
      <c r="N411" s="13"/>
      <c r="O411" s="13"/>
      <c r="P411" s="13"/>
      <c r="Q411" s="13"/>
      <c r="R411" s="300"/>
      <c r="S411" s="13"/>
      <c r="T411" s="13"/>
      <c r="U411" s="300"/>
      <c r="V411" s="13"/>
      <c r="W411" s="13"/>
      <c r="X411" s="300"/>
      <c r="Y411" s="13"/>
      <c r="Z411" s="13"/>
      <c r="AA411" s="300"/>
      <c r="AB411" s="13"/>
      <c r="AC411" s="13"/>
      <c r="AD411" s="300"/>
      <c r="AE411" s="13"/>
      <c r="AF411" s="13"/>
      <c r="AG411" s="300"/>
      <c r="AH411" s="13"/>
      <c r="AI411" s="13"/>
      <c r="AJ411" s="300"/>
      <c r="AK411" s="13"/>
      <c r="AL411" s="301"/>
      <c r="AM411" s="300"/>
      <c r="AN411" s="13"/>
      <c r="AO411" s="301"/>
      <c r="AP411" s="300"/>
    </row>
    <row r="412">
      <c r="A412" s="13"/>
      <c r="B412" s="13"/>
      <c r="C412" s="13"/>
      <c r="D412" s="13"/>
      <c r="E412" s="13"/>
      <c r="F412" s="13"/>
      <c r="G412" s="13"/>
      <c r="H412" s="13"/>
      <c r="I412" s="13"/>
      <c r="J412" s="13"/>
      <c r="K412" s="13"/>
      <c r="L412" s="13"/>
      <c r="M412" s="13"/>
      <c r="N412" s="13"/>
      <c r="O412" s="13"/>
      <c r="P412" s="13"/>
      <c r="Q412" s="13"/>
      <c r="R412" s="300"/>
      <c r="S412" s="13"/>
      <c r="T412" s="13"/>
      <c r="U412" s="300"/>
      <c r="V412" s="13"/>
      <c r="W412" s="13"/>
      <c r="X412" s="300"/>
      <c r="Y412" s="13"/>
      <c r="Z412" s="13"/>
      <c r="AA412" s="300"/>
      <c r="AB412" s="13"/>
      <c r="AC412" s="13"/>
      <c r="AD412" s="300"/>
      <c r="AE412" s="13"/>
      <c r="AF412" s="13"/>
      <c r="AG412" s="300"/>
      <c r="AH412" s="13"/>
      <c r="AI412" s="13"/>
      <c r="AJ412" s="300"/>
      <c r="AK412" s="13"/>
      <c r="AL412" s="301"/>
      <c r="AM412" s="300"/>
      <c r="AN412" s="13"/>
      <c r="AO412" s="301"/>
      <c r="AP412" s="300"/>
    </row>
    <row r="413">
      <c r="A413" s="13"/>
      <c r="B413" s="13"/>
      <c r="C413" s="13"/>
      <c r="D413" s="13"/>
      <c r="E413" s="13"/>
      <c r="F413" s="13"/>
      <c r="G413" s="13"/>
      <c r="H413" s="13"/>
      <c r="I413" s="13"/>
      <c r="J413" s="13"/>
      <c r="K413" s="13"/>
      <c r="L413" s="13"/>
      <c r="M413" s="13"/>
      <c r="N413" s="13"/>
      <c r="O413" s="13"/>
      <c r="P413" s="13"/>
      <c r="Q413" s="13"/>
      <c r="R413" s="300"/>
      <c r="S413" s="13"/>
      <c r="T413" s="13"/>
      <c r="U413" s="300"/>
      <c r="V413" s="13"/>
      <c r="W413" s="13"/>
      <c r="X413" s="300"/>
      <c r="Y413" s="13"/>
      <c r="Z413" s="13"/>
      <c r="AA413" s="300"/>
      <c r="AB413" s="13"/>
      <c r="AC413" s="13"/>
      <c r="AD413" s="300"/>
      <c r="AE413" s="13"/>
      <c r="AF413" s="13"/>
      <c r="AG413" s="300"/>
      <c r="AH413" s="13"/>
      <c r="AI413" s="13"/>
      <c r="AJ413" s="300"/>
      <c r="AK413" s="13"/>
      <c r="AL413" s="301"/>
      <c r="AM413" s="300"/>
      <c r="AN413" s="13"/>
      <c r="AO413" s="301"/>
      <c r="AP413" s="300"/>
    </row>
    <row r="414">
      <c r="A414" s="13"/>
      <c r="B414" s="13"/>
      <c r="C414" s="13"/>
      <c r="D414" s="13"/>
      <c r="E414" s="13"/>
      <c r="F414" s="13"/>
      <c r="G414" s="13"/>
      <c r="H414" s="13"/>
      <c r="I414" s="13"/>
      <c r="J414" s="13"/>
      <c r="K414" s="13"/>
      <c r="L414" s="13"/>
      <c r="M414" s="13"/>
      <c r="N414" s="13"/>
      <c r="O414" s="13"/>
      <c r="P414" s="13"/>
      <c r="Q414" s="13"/>
      <c r="R414" s="300"/>
      <c r="S414" s="13"/>
      <c r="T414" s="13"/>
      <c r="U414" s="300"/>
      <c r="V414" s="13"/>
      <c r="W414" s="13"/>
      <c r="X414" s="300"/>
      <c r="Y414" s="13"/>
      <c r="Z414" s="13"/>
      <c r="AA414" s="300"/>
      <c r="AB414" s="13"/>
      <c r="AC414" s="13"/>
      <c r="AD414" s="300"/>
      <c r="AE414" s="13"/>
      <c r="AF414" s="13"/>
      <c r="AG414" s="300"/>
      <c r="AH414" s="13"/>
      <c r="AI414" s="13"/>
      <c r="AJ414" s="300"/>
      <c r="AK414" s="13"/>
      <c r="AL414" s="301"/>
      <c r="AM414" s="300"/>
      <c r="AN414" s="13"/>
      <c r="AO414" s="301"/>
      <c r="AP414" s="300"/>
    </row>
    <row r="415">
      <c r="A415" s="13"/>
      <c r="B415" s="13"/>
      <c r="C415" s="13"/>
      <c r="D415" s="13"/>
      <c r="E415" s="13"/>
      <c r="F415" s="13"/>
      <c r="G415" s="13"/>
      <c r="H415" s="13"/>
      <c r="I415" s="13"/>
      <c r="J415" s="13"/>
      <c r="K415" s="13"/>
      <c r="L415" s="13"/>
      <c r="M415" s="13"/>
      <c r="N415" s="13"/>
      <c r="O415" s="13"/>
      <c r="P415" s="13"/>
      <c r="Q415" s="13"/>
      <c r="R415" s="300"/>
      <c r="S415" s="13"/>
      <c r="T415" s="13"/>
      <c r="U415" s="300"/>
      <c r="V415" s="13"/>
      <c r="W415" s="13"/>
      <c r="X415" s="300"/>
      <c r="Y415" s="13"/>
      <c r="Z415" s="13"/>
      <c r="AA415" s="300"/>
      <c r="AB415" s="13"/>
      <c r="AC415" s="13"/>
      <c r="AD415" s="300"/>
      <c r="AE415" s="13"/>
      <c r="AF415" s="13"/>
      <c r="AG415" s="300"/>
      <c r="AH415" s="13"/>
      <c r="AI415" s="13"/>
      <c r="AJ415" s="300"/>
      <c r="AK415" s="13"/>
      <c r="AL415" s="301"/>
      <c r="AM415" s="300"/>
      <c r="AN415" s="13"/>
      <c r="AO415" s="301"/>
      <c r="AP415" s="300"/>
    </row>
    <row r="416">
      <c r="A416" s="13"/>
      <c r="B416" s="13"/>
      <c r="C416" s="13"/>
      <c r="D416" s="13"/>
      <c r="E416" s="13"/>
      <c r="F416" s="13"/>
      <c r="G416" s="13"/>
      <c r="H416" s="13"/>
      <c r="I416" s="13"/>
      <c r="J416" s="13"/>
      <c r="K416" s="13"/>
      <c r="L416" s="13"/>
      <c r="M416" s="13"/>
      <c r="N416" s="13"/>
      <c r="O416" s="13"/>
      <c r="P416" s="13"/>
      <c r="Q416" s="13"/>
      <c r="R416" s="300"/>
      <c r="S416" s="13"/>
      <c r="T416" s="13"/>
      <c r="U416" s="300"/>
      <c r="V416" s="13"/>
      <c r="W416" s="13"/>
      <c r="X416" s="300"/>
      <c r="Y416" s="13"/>
      <c r="Z416" s="13"/>
      <c r="AA416" s="300"/>
      <c r="AB416" s="13"/>
      <c r="AC416" s="13"/>
      <c r="AD416" s="300"/>
      <c r="AE416" s="13"/>
      <c r="AF416" s="13"/>
      <c r="AG416" s="300"/>
      <c r="AH416" s="13"/>
      <c r="AI416" s="13"/>
      <c r="AJ416" s="300"/>
      <c r="AK416" s="13"/>
      <c r="AL416" s="301"/>
      <c r="AM416" s="300"/>
      <c r="AN416" s="13"/>
      <c r="AO416" s="301"/>
      <c r="AP416" s="300"/>
    </row>
    <row r="417">
      <c r="A417" s="13"/>
      <c r="B417" s="13"/>
      <c r="C417" s="13"/>
      <c r="D417" s="13"/>
      <c r="E417" s="13"/>
      <c r="F417" s="13"/>
      <c r="G417" s="13"/>
      <c r="H417" s="13"/>
      <c r="I417" s="13"/>
      <c r="J417" s="13"/>
      <c r="K417" s="13"/>
      <c r="L417" s="13"/>
      <c r="M417" s="13"/>
      <c r="N417" s="13"/>
      <c r="O417" s="13"/>
      <c r="P417" s="13"/>
      <c r="Q417" s="13"/>
      <c r="R417" s="300"/>
      <c r="S417" s="13"/>
      <c r="T417" s="13"/>
      <c r="U417" s="300"/>
      <c r="V417" s="13"/>
      <c r="W417" s="13"/>
      <c r="X417" s="300"/>
      <c r="Y417" s="13"/>
      <c r="Z417" s="13"/>
      <c r="AA417" s="300"/>
      <c r="AB417" s="13"/>
      <c r="AC417" s="13"/>
      <c r="AD417" s="300"/>
      <c r="AE417" s="13"/>
      <c r="AF417" s="13"/>
      <c r="AG417" s="300"/>
      <c r="AH417" s="13"/>
      <c r="AI417" s="13"/>
      <c r="AJ417" s="300"/>
      <c r="AK417" s="13"/>
      <c r="AL417" s="301"/>
      <c r="AM417" s="300"/>
      <c r="AN417" s="13"/>
      <c r="AO417" s="301"/>
      <c r="AP417" s="300"/>
    </row>
    <row r="418">
      <c r="A418" s="13"/>
      <c r="B418" s="13"/>
      <c r="C418" s="13"/>
      <c r="D418" s="13"/>
      <c r="E418" s="13"/>
      <c r="F418" s="13"/>
      <c r="G418" s="13"/>
      <c r="H418" s="13"/>
      <c r="I418" s="13"/>
      <c r="J418" s="13"/>
      <c r="K418" s="13"/>
      <c r="L418" s="13"/>
      <c r="M418" s="13"/>
      <c r="N418" s="13"/>
      <c r="O418" s="13"/>
      <c r="P418" s="13"/>
      <c r="Q418" s="13"/>
      <c r="R418" s="300"/>
      <c r="S418" s="13"/>
      <c r="T418" s="13"/>
      <c r="U418" s="300"/>
      <c r="V418" s="13"/>
      <c r="W418" s="13"/>
      <c r="X418" s="300"/>
      <c r="Y418" s="13"/>
      <c r="Z418" s="13"/>
      <c r="AA418" s="300"/>
      <c r="AB418" s="13"/>
      <c r="AC418" s="13"/>
      <c r="AD418" s="300"/>
      <c r="AE418" s="13"/>
      <c r="AF418" s="13"/>
      <c r="AG418" s="300"/>
      <c r="AH418" s="13"/>
      <c r="AI418" s="13"/>
      <c r="AJ418" s="300"/>
      <c r="AK418" s="13"/>
      <c r="AL418" s="301"/>
      <c r="AM418" s="300"/>
      <c r="AN418" s="13"/>
      <c r="AO418" s="301"/>
      <c r="AP418" s="300"/>
    </row>
    <row r="419">
      <c r="A419" s="13"/>
      <c r="B419" s="13"/>
      <c r="C419" s="13"/>
      <c r="D419" s="13"/>
      <c r="E419" s="13"/>
      <c r="F419" s="13"/>
      <c r="G419" s="13"/>
      <c r="H419" s="13"/>
      <c r="I419" s="13"/>
      <c r="J419" s="13"/>
      <c r="K419" s="13"/>
      <c r="L419" s="13"/>
      <c r="M419" s="13"/>
      <c r="N419" s="13"/>
      <c r="O419" s="13"/>
      <c r="P419" s="13"/>
      <c r="Q419" s="13"/>
      <c r="R419" s="300"/>
      <c r="S419" s="13"/>
      <c r="T419" s="13"/>
      <c r="U419" s="300"/>
      <c r="V419" s="13"/>
      <c r="W419" s="13"/>
      <c r="X419" s="300"/>
      <c r="Y419" s="13"/>
      <c r="Z419" s="13"/>
      <c r="AA419" s="300"/>
      <c r="AB419" s="13"/>
      <c r="AC419" s="13"/>
      <c r="AD419" s="300"/>
      <c r="AE419" s="13"/>
      <c r="AF419" s="13"/>
      <c r="AG419" s="300"/>
      <c r="AH419" s="13"/>
      <c r="AI419" s="13"/>
      <c r="AJ419" s="300"/>
      <c r="AK419" s="13"/>
      <c r="AL419" s="301"/>
      <c r="AM419" s="300"/>
      <c r="AN419" s="13"/>
      <c r="AO419" s="301"/>
      <c r="AP419" s="300"/>
    </row>
    <row r="420">
      <c r="A420" s="13"/>
      <c r="B420" s="13"/>
      <c r="C420" s="13"/>
      <c r="D420" s="13"/>
      <c r="E420" s="13"/>
      <c r="F420" s="13"/>
      <c r="G420" s="13"/>
      <c r="H420" s="13"/>
      <c r="I420" s="13"/>
      <c r="J420" s="13"/>
      <c r="K420" s="13"/>
      <c r="L420" s="13"/>
      <c r="M420" s="13"/>
      <c r="N420" s="13"/>
      <c r="O420" s="13"/>
      <c r="P420" s="13"/>
      <c r="Q420" s="13"/>
      <c r="R420" s="300"/>
      <c r="S420" s="13"/>
      <c r="T420" s="13"/>
      <c r="U420" s="300"/>
      <c r="V420" s="13"/>
      <c r="W420" s="13"/>
      <c r="X420" s="300"/>
      <c r="Y420" s="13"/>
      <c r="Z420" s="13"/>
      <c r="AA420" s="300"/>
      <c r="AB420" s="13"/>
      <c r="AC420" s="13"/>
      <c r="AD420" s="300"/>
      <c r="AE420" s="13"/>
      <c r="AF420" s="13"/>
      <c r="AG420" s="300"/>
      <c r="AH420" s="13"/>
      <c r="AI420" s="13"/>
      <c r="AJ420" s="300"/>
      <c r="AK420" s="13"/>
      <c r="AL420" s="301"/>
      <c r="AM420" s="300"/>
      <c r="AN420" s="13"/>
      <c r="AO420" s="301"/>
      <c r="AP420" s="300"/>
    </row>
    <row r="421">
      <c r="A421" s="13"/>
      <c r="B421" s="13"/>
      <c r="C421" s="13"/>
      <c r="D421" s="13"/>
      <c r="E421" s="13"/>
      <c r="F421" s="13"/>
      <c r="G421" s="13"/>
      <c r="H421" s="13"/>
      <c r="I421" s="13"/>
      <c r="J421" s="13"/>
      <c r="K421" s="13"/>
      <c r="L421" s="13"/>
      <c r="M421" s="13"/>
      <c r="N421" s="13"/>
      <c r="O421" s="13"/>
      <c r="P421" s="13"/>
      <c r="Q421" s="13"/>
      <c r="R421" s="300"/>
      <c r="S421" s="13"/>
      <c r="T421" s="13"/>
      <c r="U421" s="300"/>
      <c r="V421" s="13"/>
      <c r="W421" s="13"/>
      <c r="X421" s="300"/>
      <c r="Y421" s="13"/>
      <c r="Z421" s="13"/>
      <c r="AA421" s="300"/>
      <c r="AB421" s="13"/>
      <c r="AC421" s="13"/>
      <c r="AD421" s="300"/>
      <c r="AE421" s="13"/>
      <c r="AF421" s="13"/>
      <c r="AG421" s="300"/>
      <c r="AH421" s="13"/>
      <c r="AI421" s="13"/>
      <c r="AJ421" s="300"/>
      <c r="AK421" s="13"/>
      <c r="AL421" s="301"/>
      <c r="AM421" s="300"/>
      <c r="AN421" s="13"/>
      <c r="AO421" s="301"/>
      <c r="AP421" s="300"/>
    </row>
    <row r="422">
      <c r="A422" s="13"/>
      <c r="B422" s="13"/>
      <c r="C422" s="13"/>
      <c r="D422" s="13"/>
      <c r="E422" s="13"/>
      <c r="F422" s="13"/>
      <c r="G422" s="13"/>
      <c r="H422" s="13"/>
      <c r="I422" s="13"/>
      <c r="J422" s="13"/>
      <c r="K422" s="13"/>
      <c r="L422" s="13"/>
      <c r="M422" s="13"/>
      <c r="N422" s="13"/>
      <c r="O422" s="13"/>
      <c r="P422" s="13"/>
      <c r="Q422" s="13"/>
      <c r="R422" s="300"/>
      <c r="S422" s="13"/>
      <c r="T422" s="13"/>
      <c r="U422" s="300"/>
      <c r="V422" s="13"/>
      <c r="W422" s="13"/>
      <c r="X422" s="300"/>
      <c r="Y422" s="13"/>
      <c r="Z422" s="13"/>
      <c r="AA422" s="300"/>
      <c r="AB422" s="13"/>
      <c r="AC422" s="13"/>
      <c r="AD422" s="300"/>
      <c r="AE422" s="13"/>
      <c r="AF422" s="13"/>
      <c r="AG422" s="300"/>
      <c r="AH422" s="13"/>
      <c r="AI422" s="13"/>
      <c r="AJ422" s="300"/>
      <c r="AK422" s="13"/>
      <c r="AL422" s="301"/>
      <c r="AM422" s="300"/>
      <c r="AN422" s="13"/>
      <c r="AO422" s="301"/>
      <c r="AP422" s="300"/>
    </row>
    <row r="423">
      <c r="A423" s="13"/>
      <c r="B423" s="13"/>
      <c r="C423" s="13"/>
      <c r="D423" s="13"/>
      <c r="E423" s="13"/>
      <c r="F423" s="13"/>
      <c r="G423" s="13"/>
      <c r="H423" s="13"/>
      <c r="I423" s="13"/>
      <c r="J423" s="13"/>
      <c r="K423" s="13"/>
      <c r="L423" s="13"/>
      <c r="M423" s="13"/>
      <c r="N423" s="13"/>
      <c r="O423" s="13"/>
      <c r="P423" s="13"/>
      <c r="Q423" s="13"/>
      <c r="R423" s="300"/>
      <c r="S423" s="13"/>
      <c r="T423" s="13"/>
      <c r="U423" s="300"/>
      <c r="V423" s="13"/>
      <c r="W423" s="13"/>
      <c r="X423" s="300"/>
      <c r="Y423" s="13"/>
      <c r="Z423" s="13"/>
      <c r="AA423" s="300"/>
      <c r="AB423" s="13"/>
      <c r="AC423" s="13"/>
      <c r="AD423" s="300"/>
      <c r="AE423" s="13"/>
      <c r="AF423" s="13"/>
      <c r="AG423" s="300"/>
      <c r="AH423" s="13"/>
      <c r="AI423" s="13"/>
      <c r="AJ423" s="300"/>
      <c r="AK423" s="13"/>
      <c r="AL423" s="301"/>
      <c r="AM423" s="300"/>
      <c r="AN423" s="13"/>
      <c r="AO423" s="301"/>
      <c r="AP423" s="300"/>
    </row>
    <row r="424">
      <c r="A424" s="13"/>
      <c r="B424" s="13"/>
      <c r="C424" s="13"/>
      <c r="D424" s="13"/>
      <c r="E424" s="13"/>
      <c r="F424" s="13"/>
      <c r="G424" s="13"/>
      <c r="H424" s="13"/>
      <c r="I424" s="13"/>
      <c r="J424" s="13"/>
      <c r="K424" s="13"/>
      <c r="L424" s="13"/>
      <c r="M424" s="13"/>
      <c r="N424" s="13"/>
      <c r="O424" s="13"/>
      <c r="P424" s="13"/>
      <c r="Q424" s="13"/>
      <c r="R424" s="300"/>
      <c r="S424" s="13"/>
      <c r="T424" s="13"/>
      <c r="U424" s="300"/>
      <c r="V424" s="13"/>
      <c r="W424" s="13"/>
      <c r="X424" s="300"/>
      <c r="Y424" s="13"/>
      <c r="Z424" s="13"/>
      <c r="AA424" s="300"/>
      <c r="AB424" s="13"/>
      <c r="AC424" s="13"/>
      <c r="AD424" s="300"/>
      <c r="AE424" s="13"/>
      <c r="AF424" s="13"/>
      <c r="AG424" s="300"/>
      <c r="AH424" s="13"/>
      <c r="AI424" s="13"/>
      <c r="AJ424" s="300"/>
      <c r="AK424" s="13"/>
      <c r="AL424" s="301"/>
      <c r="AM424" s="300"/>
      <c r="AN424" s="13"/>
      <c r="AO424" s="301"/>
      <c r="AP424" s="300"/>
    </row>
    <row r="425">
      <c r="A425" s="13"/>
      <c r="B425" s="13"/>
      <c r="C425" s="13"/>
      <c r="D425" s="13"/>
      <c r="E425" s="13"/>
      <c r="F425" s="13"/>
      <c r="G425" s="13"/>
      <c r="H425" s="13"/>
      <c r="I425" s="13"/>
      <c r="J425" s="13"/>
      <c r="K425" s="13"/>
      <c r="L425" s="13"/>
      <c r="M425" s="13"/>
      <c r="N425" s="13"/>
      <c r="O425" s="13"/>
      <c r="P425" s="13"/>
      <c r="Q425" s="13"/>
      <c r="R425" s="300"/>
      <c r="S425" s="13"/>
      <c r="T425" s="13"/>
      <c r="U425" s="300"/>
      <c r="V425" s="13"/>
      <c r="W425" s="13"/>
      <c r="X425" s="300"/>
      <c r="Y425" s="13"/>
      <c r="Z425" s="13"/>
      <c r="AA425" s="300"/>
      <c r="AB425" s="13"/>
      <c r="AC425" s="13"/>
      <c r="AD425" s="300"/>
      <c r="AE425" s="13"/>
      <c r="AF425" s="13"/>
      <c r="AG425" s="300"/>
      <c r="AH425" s="13"/>
      <c r="AI425" s="13"/>
      <c r="AJ425" s="300"/>
      <c r="AK425" s="13"/>
      <c r="AL425" s="301"/>
      <c r="AM425" s="300"/>
      <c r="AN425" s="13"/>
      <c r="AO425" s="301"/>
      <c r="AP425" s="300"/>
    </row>
    <row r="426">
      <c r="A426" s="13"/>
      <c r="B426" s="13"/>
      <c r="C426" s="13"/>
      <c r="D426" s="13"/>
      <c r="E426" s="13"/>
      <c r="F426" s="13"/>
      <c r="G426" s="13"/>
      <c r="H426" s="13"/>
      <c r="I426" s="13"/>
      <c r="J426" s="13"/>
      <c r="K426" s="13"/>
      <c r="L426" s="13"/>
      <c r="M426" s="13"/>
      <c r="N426" s="13"/>
      <c r="O426" s="13"/>
      <c r="P426" s="13"/>
      <c r="Q426" s="13"/>
      <c r="R426" s="300"/>
      <c r="S426" s="13"/>
      <c r="T426" s="13"/>
      <c r="U426" s="300"/>
      <c r="V426" s="13"/>
      <c r="W426" s="13"/>
      <c r="X426" s="300"/>
      <c r="Y426" s="13"/>
      <c r="Z426" s="13"/>
      <c r="AA426" s="300"/>
      <c r="AB426" s="13"/>
      <c r="AC426" s="13"/>
      <c r="AD426" s="300"/>
      <c r="AE426" s="13"/>
      <c r="AF426" s="13"/>
      <c r="AG426" s="300"/>
      <c r="AH426" s="13"/>
      <c r="AI426" s="13"/>
      <c r="AJ426" s="300"/>
      <c r="AK426" s="13"/>
      <c r="AL426" s="301"/>
      <c r="AM426" s="300"/>
      <c r="AN426" s="13"/>
      <c r="AO426" s="301"/>
      <c r="AP426" s="300"/>
    </row>
    <row r="427">
      <c r="A427" s="13"/>
      <c r="B427" s="13"/>
      <c r="C427" s="13"/>
      <c r="D427" s="13"/>
      <c r="E427" s="13"/>
      <c r="F427" s="13"/>
      <c r="G427" s="13"/>
      <c r="H427" s="13"/>
      <c r="I427" s="13"/>
      <c r="J427" s="13"/>
      <c r="K427" s="13"/>
      <c r="L427" s="13"/>
      <c r="M427" s="13"/>
      <c r="N427" s="13"/>
      <c r="O427" s="13"/>
      <c r="P427" s="13"/>
      <c r="Q427" s="13"/>
      <c r="R427" s="300"/>
      <c r="S427" s="13"/>
      <c r="T427" s="13"/>
      <c r="U427" s="300"/>
      <c r="V427" s="13"/>
      <c r="W427" s="13"/>
      <c r="X427" s="300"/>
      <c r="Y427" s="13"/>
      <c r="Z427" s="13"/>
      <c r="AA427" s="300"/>
      <c r="AB427" s="13"/>
      <c r="AC427" s="13"/>
      <c r="AD427" s="300"/>
      <c r="AE427" s="13"/>
      <c r="AF427" s="13"/>
      <c r="AG427" s="300"/>
      <c r="AH427" s="13"/>
      <c r="AI427" s="13"/>
      <c r="AJ427" s="300"/>
      <c r="AK427" s="13"/>
      <c r="AL427" s="301"/>
      <c r="AM427" s="300"/>
      <c r="AN427" s="13"/>
      <c r="AO427" s="301"/>
      <c r="AP427" s="300"/>
    </row>
    <row r="428">
      <c r="A428" s="13"/>
      <c r="B428" s="13"/>
      <c r="C428" s="13"/>
      <c r="D428" s="13"/>
      <c r="E428" s="13"/>
      <c r="F428" s="13"/>
      <c r="G428" s="13"/>
      <c r="H428" s="13"/>
      <c r="I428" s="13"/>
      <c r="J428" s="13"/>
      <c r="K428" s="13"/>
      <c r="L428" s="13"/>
      <c r="M428" s="13"/>
      <c r="N428" s="13"/>
      <c r="O428" s="13"/>
      <c r="P428" s="13"/>
      <c r="Q428" s="13"/>
      <c r="R428" s="300"/>
      <c r="S428" s="13"/>
      <c r="T428" s="13"/>
      <c r="U428" s="300"/>
      <c r="V428" s="13"/>
      <c r="W428" s="13"/>
      <c r="X428" s="300"/>
      <c r="Y428" s="13"/>
      <c r="Z428" s="13"/>
      <c r="AA428" s="300"/>
      <c r="AB428" s="13"/>
      <c r="AC428" s="13"/>
      <c r="AD428" s="300"/>
      <c r="AE428" s="13"/>
      <c r="AF428" s="13"/>
      <c r="AG428" s="300"/>
      <c r="AH428" s="13"/>
      <c r="AI428" s="13"/>
      <c r="AJ428" s="300"/>
      <c r="AK428" s="13"/>
      <c r="AL428" s="301"/>
      <c r="AM428" s="300"/>
      <c r="AN428" s="13"/>
      <c r="AO428" s="301"/>
      <c r="AP428" s="300"/>
    </row>
    <row r="429">
      <c r="A429" s="13"/>
      <c r="B429" s="13"/>
      <c r="C429" s="13"/>
      <c r="D429" s="13"/>
      <c r="E429" s="13"/>
      <c r="F429" s="13"/>
      <c r="G429" s="13"/>
      <c r="H429" s="13"/>
      <c r="I429" s="13"/>
      <c r="J429" s="13"/>
      <c r="K429" s="13"/>
      <c r="L429" s="13"/>
      <c r="M429" s="13"/>
      <c r="N429" s="13"/>
      <c r="O429" s="13"/>
      <c r="P429" s="13"/>
      <c r="Q429" s="13"/>
      <c r="R429" s="300"/>
      <c r="S429" s="13"/>
      <c r="T429" s="13"/>
      <c r="U429" s="300"/>
      <c r="V429" s="13"/>
      <c r="W429" s="13"/>
      <c r="X429" s="300"/>
      <c r="Y429" s="13"/>
      <c r="Z429" s="13"/>
      <c r="AA429" s="300"/>
      <c r="AB429" s="13"/>
      <c r="AC429" s="13"/>
      <c r="AD429" s="300"/>
      <c r="AE429" s="13"/>
      <c r="AF429" s="13"/>
      <c r="AG429" s="300"/>
      <c r="AH429" s="13"/>
      <c r="AI429" s="13"/>
      <c r="AJ429" s="300"/>
      <c r="AK429" s="13"/>
      <c r="AL429" s="301"/>
      <c r="AM429" s="300"/>
      <c r="AN429" s="13"/>
      <c r="AO429" s="301"/>
      <c r="AP429" s="300"/>
    </row>
    <row r="430">
      <c r="A430" s="13"/>
      <c r="B430" s="13"/>
      <c r="C430" s="13"/>
      <c r="D430" s="13"/>
      <c r="E430" s="13"/>
      <c r="F430" s="13"/>
      <c r="G430" s="13"/>
      <c r="H430" s="13"/>
      <c r="I430" s="13"/>
      <c r="J430" s="13"/>
      <c r="K430" s="13"/>
      <c r="L430" s="13"/>
      <c r="M430" s="13"/>
      <c r="N430" s="13"/>
      <c r="O430" s="13"/>
      <c r="P430" s="13"/>
      <c r="Q430" s="13"/>
      <c r="R430" s="300"/>
      <c r="S430" s="13"/>
      <c r="T430" s="13"/>
      <c r="U430" s="300"/>
      <c r="V430" s="13"/>
      <c r="W430" s="13"/>
      <c r="X430" s="300"/>
      <c r="Y430" s="13"/>
      <c r="Z430" s="13"/>
      <c r="AA430" s="300"/>
      <c r="AB430" s="13"/>
      <c r="AC430" s="13"/>
      <c r="AD430" s="300"/>
      <c r="AE430" s="13"/>
      <c r="AF430" s="13"/>
      <c r="AG430" s="300"/>
      <c r="AH430" s="13"/>
      <c r="AI430" s="13"/>
      <c r="AJ430" s="300"/>
      <c r="AK430" s="13"/>
      <c r="AL430" s="301"/>
      <c r="AM430" s="300"/>
      <c r="AN430" s="13"/>
      <c r="AO430" s="301"/>
      <c r="AP430" s="300"/>
    </row>
    <row r="431">
      <c r="A431" s="13"/>
      <c r="B431" s="13"/>
      <c r="C431" s="13"/>
      <c r="D431" s="13"/>
      <c r="E431" s="13"/>
      <c r="F431" s="13"/>
      <c r="G431" s="13"/>
      <c r="H431" s="13"/>
      <c r="I431" s="13"/>
      <c r="J431" s="13"/>
      <c r="K431" s="13"/>
      <c r="L431" s="13"/>
      <c r="M431" s="13"/>
      <c r="N431" s="13"/>
      <c r="O431" s="13"/>
      <c r="P431" s="13"/>
      <c r="Q431" s="13"/>
      <c r="R431" s="300"/>
      <c r="S431" s="13"/>
      <c r="T431" s="13"/>
      <c r="U431" s="300"/>
      <c r="V431" s="13"/>
      <c r="W431" s="13"/>
      <c r="X431" s="300"/>
      <c r="Y431" s="13"/>
      <c r="Z431" s="13"/>
      <c r="AA431" s="300"/>
      <c r="AB431" s="13"/>
      <c r="AC431" s="13"/>
      <c r="AD431" s="300"/>
      <c r="AE431" s="13"/>
      <c r="AF431" s="13"/>
      <c r="AG431" s="300"/>
      <c r="AH431" s="13"/>
      <c r="AI431" s="13"/>
      <c r="AJ431" s="300"/>
      <c r="AK431" s="13"/>
      <c r="AL431" s="301"/>
      <c r="AM431" s="300"/>
      <c r="AN431" s="13"/>
      <c r="AO431" s="301"/>
      <c r="AP431" s="300"/>
    </row>
    <row r="432">
      <c r="A432" s="13"/>
      <c r="B432" s="13"/>
      <c r="C432" s="13"/>
      <c r="D432" s="13"/>
      <c r="E432" s="13"/>
      <c r="F432" s="13"/>
      <c r="G432" s="13"/>
      <c r="H432" s="13"/>
      <c r="I432" s="13"/>
      <c r="J432" s="13"/>
      <c r="K432" s="13"/>
      <c r="L432" s="13"/>
      <c r="M432" s="13"/>
      <c r="N432" s="13"/>
      <c r="O432" s="13"/>
      <c r="P432" s="13"/>
      <c r="Q432" s="13"/>
      <c r="R432" s="300"/>
      <c r="S432" s="13"/>
      <c r="T432" s="13"/>
      <c r="U432" s="300"/>
      <c r="V432" s="13"/>
      <c r="W432" s="13"/>
      <c r="X432" s="300"/>
      <c r="Y432" s="13"/>
      <c r="Z432" s="13"/>
      <c r="AA432" s="300"/>
      <c r="AB432" s="13"/>
      <c r="AC432" s="13"/>
      <c r="AD432" s="300"/>
      <c r="AE432" s="13"/>
      <c r="AF432" s="13"/>
      <c r="AG432" s="300"/>
      <c r="AH432" s="13"/>
      <c r="AI432" s="13"/>
      <c r="AJ432" s="300"/>
      <c r="AK432" s="13"/>
      <c r="AL432" s="301"/>
      <c r="AM432" s="300"/>
      <c r="AN432" s="13"/>
      <c r="AO432" s="301"/>
      <c r="AP432" s="300"/>
    </row>
    <row r="433">
      <c r="A433" s="13"/>
      <c r="B433" s="13"/>
      <c r="C433" s="13"/>
      <c r="D433" s="13"/>
      <c r="E433" s="13"/>
      <c r="F433" s="13"/>
      <c r="G433" s="13"/>
      <c r="H433" s="13"/>
      <c r="I433" s="13"/>
      <c r="J433" s="13"/>
      <c r="K433" s="13"/>
      <c r="L433" s="13"/>
      <c r="M433" s="13"/>
      <c r="N433" s="13"/>
      <c r="O433" s="13"/>
      <c r="P433" s="13"/>
      <c r="Q433" s="13"/>
      <c r="R433" s="300"/>
      <c r="S433" s="13"/>
      <c r="T433" s="13"/>
      <c r="U433" s="300"/>
      <c r="V433" s="13"/>
      <c r="W433" s="13"/>
      <c r="X433" s="300"/>
      <c r="Y433" s="13"/>
      <c r="Z433" s="13"/>
      <c r="AA433" s="300"/>
      <c r="AB433" s="13"/>
      <c r="AC433" s="13"/>
      <c r="AD433" s="300"/>
      <c r="AE433" s="13"/>
      <c r="AF433" s="13"/>
      <c r="AG433" s="300"/>
      <c r="AH433" s="13"/>
      <c r="AI433" s="13"/>
      <c r="AJ433" s="300"/>
      <c r="AK433" s="13"/>
      <c r="AL433" s="301"/>
      <c r="AM433" s="300"/>
      <c r="AN433" s="13"/>
      <c r="AO433" s="301"/>
      <c r="AP433" s="300"/>
    </row>
    <row r="434">
      <c r="A434" s="13"/>
      <c r="B434" s="13"/>
      <c r="C434" s="13"/>
      <c r="D434" s="13"/>
      <c r="E434" s="13"/>
      <c r="F434" s="13"/>
      <c r="G434" s="13"/>
      <c r="H434" s="13"/>
      <c r="I434" s="13"/>
      <c r="J434" s="13"/>
      <c r="K434" s="13"/>
      <c r="L434" s="13"/>
      <c r="M434" s="13"/>
      <c r="N434" s="13"/>
      <c r="O434" s="13"/>
      <c r="P434" s="13"/>
      <c r="Q434" s="13"/>
      <c r="R434" s="300"/>
      <c r="S434" s="13"/>
      <c r="T434" s="13"/>
      <c r="U434" s="300"/>
      <c r="V434" s="13"/>
      <c r="W434" s="13"/>
      <c r="X434" s="300"/>
      <c r="Y434" s="13"/>
      <c r="Z434" s="13"/>
      <c r="AA434" s="300"/>
      <c r="AB434" s="13"/>
      <c r="AC434" s="13"/>
      <c r="AD434" s="300"/>
      <c r="AE434" s="13"/>
      <c r="AF434" s="13"/>
      <c r="AG434" s="300"/>
      <c r="AH434" s="13"/>
      <c r="AI434" s="13"/>
      <c r="AJ434" s="300"/>
      <c r="AK434" s="13"/>
      <c r="AL434" s="301"/>
      <c r="AM434" s="300"/>
      <c r="AN434" s="13"/>
      <c r="AO434" s="301"/>
      <c r="AP434" s="300"/>
    </row>
    <row r="435">
      <c r="A435" s="13"/>
      <c r="B435" s="13"/>
      <c r="C435" s="13"/>
      <c r="D435" s="13"/>
      <c r="E435" s="13"/>
      <c r="F435" s="13"/>
      <c r="G435" s="13"/>
      <c r="H435" s="13"/>
      <c r="I435" s="13"/>
      <c r="J435" s="13"/>
      <c r="K435" s="13"/>
      <c r="L435" s="13"/>
      <c r="M435" s="13"/>
      <c r="N435" s="13"/>
      <c r="O435" s="13"/>
      <c r="P435" s="13"/>
      <c r="Q435" s="13"/>
      <c r="R435" s="300"/>
      <c r="S435" s="13"/>
      <c r="T435" s="13"/>
      <c r="U435" s="300"/>
      <c r="V435" s="13"/>
      <c r="W435" s="13"/>
      <c r="X435" s="300"/>
      <c r="Y435" s="13"/>
      <c r="Z435" s="13"/>
      <c r="AA435" s="300"/>
      <c r="AB435" s="13"/>
      <c r="AC435" s="13"/>
      <c r="AD435" s="300"/>
      <c r="AE435" s="13"/>
      <c r="AF435" s="13"/>
      <c r="AG435" s="300"/>
      <c r="AH435" s="13"/>
      <c r="AI435" s="13"/>
      <c r="AJ435" s="300"/>
      <c r="AK435" s="13"/>
      <c r="AL435" s="301"/>
      <c r="AM435" s="300"/>
      <c r="AN435" s="13"/>
      <c r="AO435" s="301"/>
      <c r="AP435" s="300"/>
    </row>
    <row r="436">
      <c r="A436" s="13"/>
      <c r="B436" s="13"/>
      <c r="C436" s="13"/>
      <c r="D436" s="13"/>
      <c r="E436" s="13"/>
      <c r="F436" s="13"/>
      <c r="G436" s="13"/>
      <c r="H436" s="13"/>
      <c r="I436" s="13"/>
      <c r="J436" s="13"/>
      <c r="K436" s="13"/>
      <c r="L436" s="13"/>
      <c r="M436" s="13"/>
      <c r="N436" s="13"/>
      <c r="O436" s="13"/>
      <c r="P436" s="13"/>
      <c r="Q436" s="13"/>
      <c r="R436" s="300"/>
      <c r="S436" s="13"/>
      <c r="T436" s="13"/>
      <c r="U436" s="300"/>
      <c r="V436" s="13"/>
      <c r="W436" s="13"/>
      <c r="X436" s="300"/>
      <c r="Y436" s="13"/>
      <c r="Z436" s="13"/>
      <c r="AA436" s="300"/>
      <c r="AB436" s="13"/>
      <c r="AC436" s="13"/>
      <c r="AD436" s="300"/>
      <c r="AE436" s="13"/>
      <c r="AF436" s="13"/>
      <c r="AG436" s="300"/>
      <c r="AH436" s="13"/>
      <c r="AI436" s="13"/>
      <c r="AJ436" s="300"/>
      <c r="AK436" s="13"/>
      <c r="AL436" s="301"/>
      <c r="AM436" s="300"/>
      <c r="AN436" s="13"/>
      <c r="AO436" s="301"/>
      <c r="AP436" s="300"/>
    </row>
    <row r="437">
      <c r="A437" s="13"/>
      <c r="B437" s="13"/>
      <c r="C437" s="13"/>
      <c r="D437" s="13"/>
      <c r="E437" s="13"/>
      <c r="F437" s="13"/>
      <c r="G437" s="13"/>
      <c r="H437" s="13"/>
      <c r="I437" s="13"/>
      <c r="J437" s="13"/>
      <c r="K437" s="13"/>
      <c r="L437" s="13"/>
      <c r="M437" s="13"/>
      <c r="N437" s="13"/>
      <c r="O437" s="13"/>
      <c r="P437" s="13"/>
      <c r="Q437" s="13"/>
      <c r="R437" s="300"/>
      <c r="S437" s="13"/>
      <c r="T437" s="13"/>
      <c r="U437" s="300"/>
      <c r="V437" s="13"/>
      <c r="W437" s="13"/>
      <c r="X437" s="300"/>
      <c r="Y437" s="13"/>
      <c r="Z437" s="13"/>
      <c r="AA437" s="300"/>
      <c r="AB437" s="13"/>
      <c r="AC437" s="13"/>
      <c r="AD437" s="300"/>
      <c r="AE437" s="13"/>
      <c r="AF437" s="13"/>
      <c r="AG437" s="300"/>
      <c r="AH437" s="13"/>
      <c r="AI437" s="13"/>
      <c r="AJ437" s="300"/>
      <c r="AK437" s="13"/>
      <c r="AL437" s="301"/>
      <c r="AM437" s="300"/>
      <c r="AN437" s="13"/>
      <c r="AO437" s="301"/>
      <c r="AP437" s="300"/>
    </row>
    <row r="438">
      <c r="A438" s="13"/>
      <c r="B438" s="13"/>
      <c r="C438" s="13"/>
      <c r="D438" s="13"/>
      <c r="E438" s="13"/>
      <c r="F438" s="13"/>
      <c r="G438" s="13"/>
      <c r="H438" s="13"/>
      <c r="I438" s="13"/>
      <c r="J438" s="13"/>
      <c r="K438" s="13"/>
      <c r="L438" s="13"/>
      <c r="M438" s="13"/>
      <c r="N438" s="13"/>
      <c r="O438" s="13"/>
      <c r="P438" s="13"/>
      <c r="Q438" s="13"/>
      <c r="R438" s="300"/>
      <c r="S438" s="13"/>
      <c r="T438" s="13"/>
      <c r="U438" s="300"/>
      <c r="V438" s="13"/>
      <c r="W438" s="13"/>
      <c r="X438" s="300"/>
      <c r="Y438" s="13"/>
      <c r="Z438" s="13"/>
      <c r="AA438" s="300"/>
      <c r="AB438" s="13"/>
      <c r="AC438" s="13"/>
      <c r="AD438" s="300"/>
      <c r="AE438" s="13"/>
      <c r="AF438" s="13"/>
      <c r="AG438" s="300"/>
      <c r="AH438" s="13"/>
      <c r="AI438" s="13"/>
      <c r="AJ438" s="300"/>
      <c r="AK438" s="13"/>
      <c r="AL438" s="301"/>
      <c r="AM438" s="300"/>
      <c r="AN438" s="13"/>
      <c r="AO438" s="301"/>
      <c r="AP438" s="300"/>
    </row>
    <row r="439">
      <c r="A439" s="13"/>
      <c r="B439" s="13"/>
      <c r="C439" s="13"/>
      <c r="D439" s="13"/>
      <c r="E439" s="13"/>
      <c r="F439" s="13"/>
      <c r="G439" s="13"/>
      <c r="H439" s="13"/>
      <c r="I439" s="13"/>
      <c r="J439" s="13"/>
      <c r="K439" s="13"/>
      <c r="L439" s="13"/>
      <c r="M439" s="13"/>
      <c r="N439" s="13"/>
      <c r="O439" s="13"/>
      <c r="P439" s="13"/>
      <c r="Q439" s="13"/>
      <c r="R439" s="300"/>
      <c r="S439" s="13"/>
      <c r="T439" s="13"/>
      <c r="U439" s="300"/>
      <c r="V439" s="13"/>
      <c r="W439" s="13"/>
      <c r="X439" s="300"/>
      <c r="Y439" s="13"/>
      <c r="Z439" s="13"/>
      <c r="AA439" s="300"/>
      <c r="AB439" s="13"/>
      <c r="AC439" s="13"/>
      <c r="AD439" s="300"/>
      <c r="AE439" s="13"/>
      <c r="AF439" s="13"/>
      <c r="AG439" s="300"/>
      <c r="AH439" s="13"/>
      <c r="AI439" s="13"/>
      <c r="AJ439" s="300"/>
      <c r="AK439" s="13"/>
      <c r="AL439" s="301"/>
      <c r="AM439" s="300"/>
      <c r="AN439" s="13"/>
      <c r="AO439" s="301"/>
      <c r="AP439" s="300"/>
    </row>
    <row r="440">
      <c r="A440" s="13"/>
      <c r="B440" s="13"/>
      <c r="C440" s="13"/>
      <c r="D440" s="13"/>
      <c r="E440" s="13"/>
      <c r="F440" s="13"/>
      <c r="G440" s="13"/>
      <c r="H440" s="13"/>
      <c r="I440" s="13"/>
      <c r="J440" s="13"/>
      <c r="K440" s="13"/>
      <c r="L440" s="13"/>
      <c r="M440" s="13"/>
      <c r="N440" s="13"/>
      <c r="O440" s="13"/>
      <c r="P440" s="13"/>
      <c r="Q440" s="13"/>
      <c r="R440" s="300"/>
      <c r="S440" s="13"/>
      <c r="T440" s="13"/>
      <c r="U440" s="300"/>
      <c r="V440" s="13"/>
      <c r="W440" s="13"/>
      <c r="X440" s="300"/>
      <c r="Y440" s="13"/>
      <c r="Z440" s="13"/>
      <c r="AA440" s="300"/>
      <c r="AB440" s="13"/>
      <c r="AC440" s="13"/>
      <c r="AD440" s="300"/>
      <c r="AE440" s="13"/>
      <c r="AF440" s="13"/>
      <c r="AG440" s="300"/>
      <c r="AH440" s="13"/>
      <c r="AI440" s="13"/>
      <c r="AJ440" s="300"/>
      <c r="AK440" s="13"/>
      <c r="AL440" s="301"/>
      <c r="AM440" s="300"/>
      <c r="AN440" s="13"/>
      <c r="AO440" s="301"/>
      <c r="AP440" s="300"/>
    </row>
    <row r="441">
      <c r="A441" s="13"/>
      <c r="B441" s="13"/>
      <c r="C441" s="13"/>
      <c r="D441" s="13"/>
      <c r="E441" s="13"/>
      <c r="F441" s="13"/>
      <c r="G441" s="13"/>
      <c r="H441" s="13"/>
      <c r="I441" s="13"/>
      <c r="J441" s="13"/>
      <c r="K441" s="13"/>
      <c r="L441" s="13"/>
      <c r="M441" s="13"/>
      <c r="N441" s="13"/>
      <c r="O441" s="13"/>
      <c r="P441" s="13"/>
      <c r="Q441" s="13"/>
      <c r="R441" s="300"/>
      <c r="S441" s="13"/>
      <c r="T441" s="13"/>
      <c r="U441" s="300"/>
      <c r="V441" s="13"/>
      <c r="W441" s="13"/>
      <c r="X441" s="300"/>
      <c r="Y441" s="13"/>
      <c r="Z441" s="13"/>
      <c r="AA441" s="300"/>
      <c r="AB441" s="13"/>
      <c r="AC441" s="13"/>
      <c r="AD441" s="300"/>
      <c r="AE441" s="13"/>
      <c r="AF441" s="13"/>
      <c r="AG441" s="300"/>
      <c r="AH441" s="13"/>
      <c r="AI441" s="13"/>
      <c r="AJ441" s="300"/>
      <c r="AK441" s="13"/>
      <c r="AL441" s="301"/>
      <c r="AM441" s="300"/>
      <c r="AN441" s="13"/>
      <c r="AO441" s="301"/>
      <c r="AP441" s="300"/>
    </row>
    <row r="442">
      <c r="A442" s="13"/>
      <c r="B442" s="13"/>
      <c r="C442" s="13"/>
      <c r="D442" s="13"/>
      <c r="E442" s="13"/>
      <c r="F442" s="13"/>
      <c r="G442" s="13"/>
      <c r="H442" s="13"/>
      <c r="I442" s="13"/>
      <c r="J442" s="13"/>
      <c r="K442" s="13"/>
      <c r="L442" s="13"/>
      <c r="M442" s="13"/>
      <c r="N442" s="13"/>
      <c r="O442" s="13"/>
      <c r="P442" s="13"/>
      <c r="Q442" s="13"/>
      <c r="R442" s="300"/>
      <c r="S442" s="13"/>
      <c r="T442" s="13"/>
      <c r="U442" s="300"/>
      <c r="V442" s="13"/>
      <c r="W442" s="13"/>
      <c r="X442" s="300"/>
      <c r="Y442" s="13"/>
      <c r="Z442" s="13"/>
      <c r="AA442" s="300"/>
      <c r="AB442" s="13"/>
      <c r="AC442" s="13"/>
      <c r="AD442" s="300"/>
      <c r="AE442" s="13"/>
      <c r="AF442" s="13"/>
      <c r="AG442" s="300"/>
      <c r="AH442" s="13"/>
      <c r="AI442" s="13"/>
      <c r="AJ442" s="300"/>
      <c r="AK442" s="13"/>
      <c r="AL442" s="301"/>
      <c r="AM442" s="300"/>
      <c r="AN442" s="13"/>
      <c r="AO442" s="301"/>
      <c r="AP442" s="300"/>
    </row>
    <row r="443">
      <c r="A443" s="13"/>
      <c r="B443" s="13"/>
      <c r="C443" s="13"/>
      <c r="D443" s="13"/>
      <c r="E443" s="13"/>
      <c r="F443" s="13"/>
      <c r="G443" s="13"/>
      <c r="H443" s="13"/>
      <c r="I443" s="13"/>
      <c r="J443" s="13"/>
      <c r="K443" s="13"/>
      <c r="L443" s="13"/>
      <c r="M443" s="13"/>
      <c r="N443" s="13"/>
      <c r="O443" s="13"/>
      <c r="P443" s="13"/>
      <c r="Q443" s="13"/>
      <c r="R443" s="300"/>
      <c r="S443" s="13"/>
      <c r="T443" s="13"/>
      <c r="U443" s="300"/>
      <c r="V443" s="13"/>
      <c r="W443" s="13"/>
      <c r="X443" s="300"/>
      <c r="Y443" s="13"/>
      <c r="Z443" s="13"/>
      <c r="AA443" s="300"/>
      <c r="AB443" s="13"/>
      <c r="AC443" s="13"/>
      <c r="AD443" s="300"/>
      <c r="AE443" s="13"/>
      <c r="AF443" s="13"/>
      <c r="AG443" s="300"/>
      <c r="AH443" s="13"/>
      <c r="AI443" s="13"/>
      <c r="AJ443" s="300"/>
      <c r="AK443" s="13"/>
      <c r="AL443" s="301"/>
      <c r="AM443" s="300"/>
      <c r="AN443" s="13"/>
      <c r="AO443" s="301"/>
      <c r="AP443" s="300"/>
    </row>
    <row r="444">
      <c r="A444" s="13"/>
      <c r="B444" s="13"/>
      <c r="C444" s="13"/>
      <c r="D444" s="13"/>
      <c r="E444" s="13"/>
      <c r="F444" s="13"/>
      <c r="G444" s="13"/>
      <c r="H444" s="13"/>
      <c r="I444" s="13"/>
      <c r="J444" s="13"/>
      <c r="K444" s="13"/>
      <c r="L444" s="13"/>
      <c r="M444" s="13"/>
      <c r="N444" s="13"/>
      <c r="O444" s="13"/>
      <c r="P444" s="13"/>
      <c r="Q444" s="13"/>
      <c r="R444" s="300"/>
      <c r="S444" s="13"/>
      <c r="T444" s="13"/>
      <c r="U444" s="300"/>
      <c r="V444" s="13"/>
      <c r="W444" s="13"/>
      <c r="X444" s="300"/>
      <c r="Y444" s="13"/>
      <c r="Z444" s="13"/>
      <c r="AA444" s="300"/>
      <c r="AB444" s="13"/>
      <c r="AC444" s="13"/>
      <c r="AD444" s="300"/>
      <c r="AE444" s="13"/>
      <c r="AF444" s="13"/>
      <c r="AG444" s="300"/>
      <c r="AH444" s="13"/>
      <c r="AI444" s="13"/>
      <c r="AJ444" s="300"/>
      <c r="AK444" s="13"/>
      <c r="AL444" s="301"/>
      <c r="AM444" s="300"/>
      <c r="AN444" s="13"/>
      <c r="AO444" s="301"/>
      <c r="AP444" s="300"/>
    </row>
    <row r="445">
      <c r="A445" s="13"/>
      <c r="B445" s="13"/>
      <c r="C445" s="13"/>
      <c r="D445" s="13"/>
      <c r="E445" s="13"/>
      <c r="F445" s="13"/>
      <c r="G445" s="13"/>
      <c r="H445" s="13"/>
      <c r="I445" s="13"/>
      <c r="J445" s="13"/>
      <c r="K445" s="13"/>
      <c r="L445" s="13"/>
      <c r="M445" s="13"/>
      <c r="N445" s="13"/>
      <c r="O445" s="13"/>
      <c r="P445" s="13"/>
      <c r="Q445" s="13"/>
      <c r="R445" s="300"/>
      <c r="S445" s="13"/>
      <c r="T445" s="13"/>
      <c r="U445" s="300"/>
      <c r="V445" s="13"/>
      <c r="W445" s="13"/>
      <c r="X445" s="300"/>
      <c r="Y445" s="13"/>
      <c r="Z445" s="13"/>
      <c r="AA445" s="300"/>
      <c r="AB445" s="13"/>
      <c r="AC445" s="13"/>
      <c r="AD445" s="300"/>
      <c r="AE445" s="13"/>
      <c r="AF445" s="13"/>
      <c r="AG445" s="300"/>
      <c r="AH445" s="13"/>
      <c r="AI445" s="13"/>
      <c r="AJ445" s="300"/>
      <c r="AK445" s="13"/>
      <c r="AL445" s="301"/>
      <c r="AM445" s="300"/>
      <c r="AN445" s="13"/>
      <c r="AO445" s="301"/>
      <c r="AP445" s="300"/>
    </row>
    <row r="446">
      <c r="A446" s="13"/>
      <c r="B446" s="13"/>
      <c r="C446" s="13"/>
      <c r="D446" s="13"/>
      <c r="E446" s="13"/>
      <c r="F446" s="13"/>
      <c r="G446" s="13"/>
      <c r="H446" s="13"/>
      <c r="I446" s="13"/>
      <c r="J446" s="13"/>
      <c r="K446" s="13"/>
      <c r="L446" s="13"/>
      <c r="M446" s="13"/>
      <c r="N446" s="13"/>
      <c r="O446" s="13"/>
      <c r="P446" s="13"/>
      <c r="Q446" s="13"/>
      <c r="R446" s="300"/>
      <c r="S446" s="13"/>
      <c r="T446" s="13"/>
      <c r="U446" s="300"/>
      <c r="V446" s="13"/>
      <c r="W446" s="13"/>
      <c r="X446" s="300"/>
      <c r="Y446" s="13"/>
      <c r="Z446" s="13"/>
      <c r="AA446" s="300"/>
      <c r="AB446" s="13"/>
      <c r="AC446" s="13"/>
      <c r="AD446" s="300"/>
      <c r="AE446" s="13"/>
      <c r="AF446" s="13"/>
      <c r="AG446" s="300"/>
      <c r="AH446" s="13"/>
      <c r="AI446" s="13"/>
      <c r="AJ446" s="300"/>
      <c r="AK446" s="13"/>
      <c r="AL446" s="301"/>
      <c r="AM446" s="300"/>
      <c r="AN446" s="13"/>
      <c r="AO446" s="301"/>
      <c r="AP446" s="300"/>
    </row>
    <row r="447">
      <c r="A447" s="13"/>
      <c r="B447" s="13"/>
      <c r="C447" s="13"/>
      <c r="D447" s="13"/>
      <c r="E447" s="13"/>
      <c r="F447" s="13"/>
      <c r="G447" s="13"/>
      <c r="H447" s="13"/>
      <c r="I447" s="13"/>
      <c r="J447" s="13"/>
      <c r="K447" s="13"/>
      <c r="L447" s="13"/>
      <c r="M447" s="13"/>
      <c r="N447" s="13"/>
      <c r="O447" s="13"/>
      <c r="P447" s="13"/>
      <c r="Q447" s="13"/>
      <c r="R447" s="300"/>
      <c r="S447" s="13"/>
      <c r="T447" s="13"/>
      <c r="U447" s="300"/>
      <c r="V447" s="13"/>
      <c r="W447" s="13"/>
      <c r="X447" s="300"/>
      <c r="Y447" s="13"/>
      <c r="Z447" s="13"/>
      <c r="AA447" s="300"/>
      <c r="AB447" s="13"/>
      <c r="AC447" s="13"/>
      <c r="AD447" s="300"/>
      <c r="AE447" s="13"/>
      <c r="AF447" s="13"/>
      <c r="AG447" s="300"/>
      <c r="AH447" s="13"/>
      <c r="AI447" s="13"/>
      <c r="AJ447" s="300"/>
      <c r="AK447" s="13"/>
      <c r="AL447" s="301"/>
      <c r="AM447" s="300"/>
      <c r="AN447" s="13"/>
      <c r="AO447" s="301"/>
      <c r="AP447" s="300"/>
    </row>
    <row r="448">
      <c r="A448" s="13"/>
      <c r="B448" s="13"/>
      <c r="C448" s="13"/>
      <c r="D448" s="13"/>
      <c r="E448" s="13"/>
      <c r="F448" s="13"/>
      <c r="G448" s="13"/>
      <c r="H448" s="13"/>
      <c r="I448" s="13"/>
      <c r="J448" s="13"/>
      <c r="K448" s="13"/>
      <c r="L448" s="13"/>
      <c r="M448" s="13"/>
      <c r="N448" s="13"/>
      <c r="O448" s="13"/>
      <c r="P448" s="13"/>
      <c r="Q448" s="13"/>
      <c r="R448" s="300"/>
      <c r="S448" s="13"/>
      <c r="T448" s="13"/>
      <c r="U448" s="300"/>
      <c r="V448" s="13"/>
      <c r="W448" s="13"/>
      <c r="X448" s="300"/>
      <c r="Y448" s="13"/>
      <c r="Z448" s="13"/>
      <c r="AA448" s="300"/>
      <c r="AB448" s="13"/>
      <c r="AC448" s="13"/>
      <c r="AD448" s="300"/>
      <c r="AE448" s="13"/>
      <c r="AF448" s="13"/>
      <c r="AG448" s="300"/>
      <c r="AH448" s="13"/>
      <c r="AI448" s="13"/>
      <c r="AJ448" s="300"/>
      <c r="AK448" s="13"/>
      <c r="AL448" s="301"/>
      <c r="AM448" s="300"/>
      <c r="AN448" s="13"/>
      <c r="AO448" s="301"/>
      <c r="AP448" s="300"/>
    </row>
    <row r="449">
      <c r="A449" s="13"/>
      <c r="B449" s="13"/>
      <c r="C449" s="13"/>
      <c r="D449" s="13"/>
      <c r="E449" s="13"/>
      <c r="F449" s="13"/>
      <c r="G449" s="13"/>
      <c r="H449" s="13"/>
      <c r="I449" s="13"/>
      <c r="J449" s="13"/>
      <c r="K449" s="13"/>
      <c r="L449" s="13"/>
      <c r="M449" s="13"/>
      <c r="N449" s="13"/>
      <c r="O449" s="13"/>
      <c r="P449" s="13"/>
      <c r="Q449" s="13"/>
      <c r="R449" s="300"/>
      <c r="S449" s="13"/>
      <c r="T449" s="13"/>
      <c r="U449" s="300"/>
      <c r="V449" s="13"/>
      <c r="W449" s="13"/>
      <c r="X449" s="300"/>
      <c r="Y449" s="13"/>
      <c r="Z449" s="13"/>
      <c r="AA449" s="300"/>
      <c r="AB449" s="13"/>
      <c r="AC449" s="13"/>
      <c r="AD449" s="300"/>
      <c r="AE449" s="13"/>
      <c r="AF449" s="13"/>
      <c r="AG449" s="300"/>
      <c r="AH449" s="13"/>
      <c r="AI449" s="13"/>
      <c r="AJ449" s="300"/>
      <c r="AK449" s="13"/>
      <c r="AL449" s="301"/>
      <c r="AM449" s="300"/>
      <c r="AN449" s="13"/>
      <c r="AO449" s="301"/>
      <c r="AP449" s="300"/>
    </row>
    <row r="450">
      <c r="A450" s="13"/>
      <c r="B450" s="13"/>
      <c r="C450" s="13"/>
      <c r="D450" s="13"/>
      <c r="E450" s="13"/>
      <c r="F450" s="13"/>
      <c r="G450" s="13"/>
      <c r="H450" s="13"/>
      <c r="I450" s="13"/>
      <c r="J450" s="13"/>
      <c r="K450" s="13"/>
      <c r="L450" s="13"/>
      <c r="M450" s="13"/>
      <c r="N450" s="13"/>
      <c r="O450" s="13"/>
      <c r="P450" s="13"/>
      <c r="Q450" s="13"/>
      <c r="R450" s="300"/>
      <c r="S450" s="13"/>
      <c r="T450" s="13"/>
      <c r="U450" s="300"/>
      <c r="V450" s="13"/>
      <c r="W450" s="13"/>
      <c r="X450" s="300"/>
      <c r="Y450" s="13"/>
      <c r="Z450" s="13"/>
      <c r="AA450" s="300"/>
      <c r="AB450" s="13"/>
      <c r="AC450" s="13"/>
      <c r="AD450" s="300"/>
      <c r="AE450" s="13"/>
      <c r="AF450" s="13"/>
      <c r="AG450" s="300"/>
      <c r="AH450" s="13"/>
      <c r="AI450" s="13"/>
      <c r="AJ450" s="300"/>
      <c r="AK450" s="13"/>
      <c r="AL450" s="301"/>
      <c r="AM450" s="300"/>
      <c r="AN450" s="13"/>
      <c r="AO450" s="301"/>
      <c r="AP450" s="300"/>
    </row>
    <row r="451">
      <c r="A451" s="13"/>
      <c r="B451" s="13"/>
      <c r="C451" s="13"/>
      <c r="D451" s="13"/>
      <c r="E451" s="13"/>
      <c r="F451" s="13"/>
      <c r="G451" s="13"/>
      <c r="H451" s="13"/>
      <c r="I451" s="13"/>
      <c r="J451" s="13"/>
      <c r="K451" s="13"/>
      <c r="L451" s="13"/>
      <c r="M451" s="13"/>
      <c r="N451" s="13"/>
      <c r="O451" s="13"/>
      <c r="P451" s="13"/>
      <c r="Q451" s="13"/>
      <c r="R451" s="300"/>
      <c r="S451" s="13"/>
      <c r="T451" s="13"/>
      <c r="U451" s="300"/>
      <c r="V451" s="13"/>
      <c r="W451" s="13"/>
      <c r="X451" s="300"/>
      <c r="Y451" s="13"/>
      <c r="Z451" s="13"/>
      <c r="AA451" s="300"/>
      <c r="AB451" s="13"/>
      <c r="AC451" s="13"/>
      <c r="AD451" s="300"/>
      <c r="AE451" s="13"/>
      <c r="AF451" s="13"/>
      <c r="AG451" s="300"/>
      <c r="AH451" s="13"/>
      <c r="AI451" s="13"/>
      <c r="AJ451" s="300"/>
      <c r="AK451" s="13"/>
      <c r="AL451" s="301"/>
      <c r="AM451" s="300"/>
      <c r="AN451" s="13"/>
      <c r="AO451" s="301"/>
      <c r="AP451" s="300"/>
    </row>
    <row r="452">
      <c r="A452" s="13"/>
      <c r="B452" s="13"/>
      <c r="C452" s="13"/>
      <c r="D452" s="13"/>
      <c r="E452" s="13"/>
      <c r="F452" s="13"/>
      <c r="G452" s="13"/>
      <c r="H452" s="13"/>
      <c r="I452" s="13"/>
      <c r="J452" s="13"/>
      <c r="K452" s="13"/>
      <c r="L452" s="13"/>
      <c r="M452" s="13"/>
      <c r="N452" s="13"/>
      <c r="O452" s="13"/>
      <c r="P452" s="13"/>
      <c r="Q452" s="13"/>
      <c r="R452" s="300"/>
      <c r="S452" s="13"/>
      <c r="T452" s="13"/>
      <c r="U452" s="300"/>
      <c r="V452" s="13"/>
      <c r="W452" s="13"/>
      <c r="X452" s="300"/>
      <c r="Y452" s="13"/>
      <c r="Z452" s="13"/>
      <c r="AA452" s="300"/>
      <c r="AB452" s="13"/>
      <c r="AC452" s="13"/>
      <c r="AD452" s="300"/>
      <c r="AE452" s="13"/>
      <c r="AF452" s="13"/>
      <c r="AG452" s="300"/>
      <c r="AH452" s="13"/>
      <c r="AI452" s="13"/>
      <c r="AJ452" s="300"/>
      <c r="AK452" s="13"/>
      <c r="AL452" s="301"/>
      <c r="AM452" s="300"/>
      <c r="AN452" s="13"/>
      <c r="AO452" s="301"/>
      <c r="AP452" s="300"/>
    </row>
    <row r="453">
      <c r="A453" s="13"/>
      <c r="B453" s="13"/>
      <c r="C453" s="13"/>
      <c r="D453" s="13"/>
      <c r="E453" s="13"/>
      <c r="F453" s="13"/>
      <c r="G453" s="13"/>
      <c r="H453" s="13"/>
      <c r="I453" s="13"/>
      <c r="J453" s="13"/>
      <c r="K453" s="13"/>
      <c r="L453" s="13"/>
      <c r="M453" s="13"/>
      <c r="N453" s="13"/>
      <c r="O453" s="13"/>
      <c r="P453" s="13"/>
      <c r="Q453" s="13"/>
      <c r="R453" s="300"/>
      <c r="S453" s="13"/>
      <c r="T453" s="13"/>
      <c r="U453" s="300"/>
      <c r="V453" s="13"/>
      <c r="W453" s="13"/>
      <c r="X453" s="300"/>
      <c r="Y453" s="13"/>
      <c r="Z453" s="13"/>
      <c r="AA453" s="300"/>
      <c r="AB453" s="13"/>
      <c r="AC453" s="13"/>
      <c r="AD453" s="300"/>
      <c r="AE453" s="13"/>
      <c r="AF453" s="13"/>
      <c r="AG453" s="300"/>
      <c r="AH453" s="13"/>
      <c r="AI453" s="13"/>
      <c r="AJ453" s="300"/>
      <c r="AK453" s="13"/>
      <c r="AL453" s="301"/>
      <c r="AM453" s="300"/>
      <c r="AN453" s="13"/>
      <c r="AO453" s="301"/>
      <c r="AP453" s="300"/>
    </row>
    <row r="454">
      <c r="A454" s="13"/>
      <c r="B454" s="13"/>
      <c r="C454" s="13"/>
      <c r="D454" s="13"/>
      <c r="E454" s="13"/>
      <c r="F454" s="13"/>
      <c r="G454" s="13"/>
      <c r="H454" s="13"/>
      <c r="I454" s="13"/>
      <c r="J454" s="13"/>
      <c r="K454" s="13"/>
      <c r="L454" s="13"/>
      <c r="M454" s="13"/>
      <c r="N454" s="13"/>
      <c r="O454" s="13"/>
      <c r="P454" s="13"/>
      <c r="Q454" s="13"/>
      <c r="R454" s="300"/>
      <c r="S454" s="13"/>
      <c r="T454" s="13"/>
      <c r="U454" s="300"/>
      <c r="V454" s="13"/>
      <c r="W454" s="13"/>
      <c r="X454" s="300"/>
      <c r="Y454" s="13"/>
      <c r="Z454" s="13"/>
      <c r="AA454" s="300"/>
      <c r="AB454" s="13"/>
      <c r="AC454" s="13"/>
      <c r="AD454" s="300"/>
      <c r="AE454" s="13"/>
      <c r="AF454" s="13"/>
      <c r="AG454" s="300"/>
      <c r="AH454" s="13"/>
      <c r="AI454" s="13"/>
      <c r="AJ454" s="300"/>
      <c r="AK454" s="13"/>
      <c r="AL454" s="301"/>
      <c r="AM454" s="300"/>
      <c r="AN454" s="13"/>
      <c r="AO454" s="301"/>
      <c r="AP454" s="300"/>
    </row>
    <row r="455">
      <c r="A455" s="13"/>
      <c r="B455" s="13"/>
      <c r="C455" s="13"/>
      <c r="D455" s="13"/>
      <c r="E455" s="13"/>
      <c r="F455" s="13"/>
      <c r="G455" s="13"/>
      <c r="H455" s="13"/>
      <c r="I455" s="13"/>
      <c r="J455" s="13"/>
      <c r="K455" s="13"/>
      <c r="L455" s="13"/>
      <c r="M455" s="13"/>
      <c r="N455" s="13"/>
      <c r="O455" s="13"/>
      <c r="P455" s="13"/>
      <c r="Q455" s="13"/>
      <c r="R455" s="300"/>
      <c r="S455" s="13"/>
      <c r="T455" s="13"/>
      <c r="U455" s="300"/>
      <c r="V455" s="13"/>
      <c r="W455" s="13"/>
      <c r="X455" s="300"/>
      <c r="Y455" s="13"/>
      <c r="Z455" s="13"/>
      <c r="AA455" s="300"/>
      <c r="AB455" s="13"/>
      <c r="AC455" s="13"/>
      <c r="AD455" s="300"/>
      <c r="AE455" s="13"/>
      <c r="AF455" s="13"/>
      <c r="AG455" s="300"/>
      <c r="AH455" s="13"/>
      <c r="AI455" s="13"/>
      <c r="AJ455" s="300"/>
      <c r="AK455" s="13"/>
      <c r="AL455" s="301"/>
      <c r="AM455" s="300"/>
      <c r="AN455" s="13"/>
      <c r="AO455" s="301"/>
      <c r="AP455" s="300"/>
    </row>
    <row r="456">
      <c r="A456" s="13"/>
      <c r="B456" s="13"/>
      <c r="C456" s="13"/>
      <c r="D456" s="13"/>
      <c r="E456" s="13"/>
      <c r="F456" s="13"/>
      <c r="G456" s="13"/>
      <c r="H456" s="13"/>
      <c r="I456" s="13"/>
      <c r="J456" s="13"/>
      <c r="K456" s="13"/>
      <c r="L456" s="13"/>
      <c r="M456" s="13"/>
      <c r="N456" s="13"/>
      <c r="O456" s="13"/>
      <c r="P456" s="13"/>
      <c r="Q456" s="13"/>
      <c r="R456" s="300"/>
      <c r="S456" s="13"/>
      <c r="T456" s="13"/>
      <c r="U456" s="300"/>
      <c r="V456" s="13"/>
      <c r="W456" s="13"/>
      <c r="X456" s="300"/>
      <c r="Y456" s="13"/>
      <c r="Z456" s="13"/>
      <c r="AA456" s="300"/>
      <c r="AB456" s="13"/>
      <c r="AC456" s="13"/>
      <c r="AD456" s="300"/>
      <c r="AE456" s="13"/>
      <c r="AF456" s="13"/>
      <c r="AG456" s="300"/>
      <c r="AH456" s="13"/>
      <c r="AI456" s="13"/>
      <c r="AJ456" s="300"/>
      <c r="AK456" s="13"/>
      <c r="AL456" s="301"/>
      <c r="AM456" s="300"/>
      <c r="AN456" s="13"/>
      <c r="AO456" s="301"/>
      <c r="AP456" s="300"/>
    </row>
    <row r="457">
      <c r="A457" s="13"/>
      <c r="B457" s="13"/>
      <c r="C457" s="13"/>
      <c r="D457" s="13"/>
      <c r="E457" s="13"/>
      <c r="F457" s="13"/>
      <c r="G457" s="13"/>
      <c r="H457" s="13"/>
      <c r="I457" s="13"/>
      <c r="J457" s="13"/>
      <c r="K457" s="13"/>
      <c r="L457" s="13"/>
      <c r="M457" s="13"/>
      <c r="N457" s="13"/>
      <c r="O457" s="13"/>
      <c r="P457" s="13"/>
      <c r="Q457" s="13"/>
      <c r="R457" s="300"/>
      <c r="S457" s="13"/>
      <c r="T457" s="13"/>
      <c r="U457" s="300"/>
      <c r="V457" s="13"/>
      <c r="W457" s="13"/>
      <c r="X457" s="300"/>
      <c r="Y457" s="13"/>
      <c r="Z457" s="13"/>
      <c r="AA457" s="300"/>
      <c r="AB457" s="13"/>
      <c r="AC457" s="13"/>
      <c r="AD457" s="300"/>
      <c r="AE457" s="13"/>
      <c r="AF457" s="13"/>
      <c r="AG457" s="300"/>
      <c r="AH457" s="13"/>
      <c r="AI457" s="13"/>
      <c r="AJ457" s="300"/>
      <c r="AK457" s="13"/>
      <c r="AL457" s="301"/>
      <c r="AM457" s="300"/>
      <c r="AN457" s="13"/>
      <c r="AO457" s="301"/>
      <c r="AP457" s="300"/>
    </row>
    <row r="458">
      <c r="A458" s="13"/>
      <c r="B458" s="13"/>
      <c r="C458" s="13"/>
      <c r="D458" s="13"/>
      <c r="E458" s="13"/>
      <c r="F458" s="13"/>
      <c r="G458" s="13"/>
      <c r="H458" s="13"/>
      <c r="I458" s="13"/>
      <c r="J458" s="13"/>
      <c r="K458" s="13"/>
      <c r="L458" s="13"/>
      <c r="M458" s="13"/>
      <c r="N458" s="13"/>
      <c r="O458" s="13"/>
      <c r="P458" s="13"/>
      <c r="Q458" s="13"/>
      <c r="R458" s="300"/>
      <c r="S458" s="13"/>
      <c r="T458" s="13"/>
      <c r="U458" s="300"/>
      <c r="V458" s="13"/>
      <c r="W458" s="13"/>
      <c r="X458" s="300"/>
      <c r="Y458" s="13"/>
      <c r="Z458" s="13"/>
      <c r="AA458" s="300"/>
      <c r="AB458" s="13"/>
      <c r="AC458" s="13"/>
      <c r="AD458" s="300"/>
      <c r="AE458" s="13"/>
      <c r="AF458" s="13"/>
      <c r="AG458" s="300"/>
      <c r="AH458" s="13"/>
      <c r="AI458" s="13"/>
      <c r="AJ458" s="300"/>
      <c r="AK458" s="13"/>
      <c r="AL458" s="301"/>
      <c r="AM458" s="300"/>
      <c r="AN458" s="13"/>
      <c r="AO458" s="301"/>
      <c r="AP458" s="300"/>
    </row>
    <row r="459">
      <c r="A459" s="13"/>
      <c r="B459" s="13"/>
      <c r="C459" s="13"/>
      <c r="D459" s="13"/>
      <c r="E459" s="13"/>
      <c r="F459" s="13"/>
      <c r="G459" s="13"/>
      <c r="H459" s="13"/>
      <c r="I459" s="13"/>
      <c r="J459" s="13"/>
      <c r="K459" s="13"/>
      <c r="L459" s="13"/>
      <c r="M459" s="13"/>
      <c r="N459" s="13"/>
      <c r="O459" s="13"/>
      <c r="P459" s="13"/>
      <c r="Q459" s="13"/>
      <c r="R459" s="300"/>
      <c r="S459" s="13"/>
      <c r="T459" s="13"/>
      <c r="U459" s="300"/>
      <c r="V459" s="13"/>
      <c r="W459" s="13"/>
      <c r="X459" s="300"/>
      <c r="Y459" s="13"/>
      <c r="Z459" s="13"/>
      <c r="AA459" s="300"/>
      <c r="AB459" s="13"/>
      <c r="AC459" s="13"/>
      <c r="AD459" s="300"/>
      <c r="AE459" s="13"/>
      <c r="AF459" s="13"/>
      <c r="AG459" s="300"/>
      <c r="AH459" s="13"/>
      <c r="AI459" s="13"/>
      <c r="AJ459" s="300"/>
      <c r="AK459" s="13"/>
      <c r="AL459" s="301"/>
      <c r="AM459" s="300"/>
      <c r="AN459" s="13"/>
      <c r="AO459" s="301"/>
      <c r="AP459" s="300"/>
    </row>
    <row r="460">
      <c r="A460" s="13"/>
      <c r="B460" s="13"/>
      <c r="C460" s="13"/>
      <c r="D460" s="13"/>
      <c r="E460" s="13"/>
      <c r="F460" s="13"/>
      <c r="G460" s="13"/>
      <c r="H460" s="13"/>
      <c r="I460" s="13"/>
      <c r="J460" s="13"/>
      <c r="K460" s="13"/>
      <c r="L460" s="13"/>
      <c r="M460" s="13"/>
      <c r="N460" s="13"/>
      <c r="O460" s="13"/>
      <c r="P460" s="13"/>
      <c r="Q460" s="13"/>
      <c r="R460" s="300"/>
      <c r="S460" s="13"/>
      <c r="T460" s="13"/>
      <c r="U460" s="300"/>
      <c r="V460" s="13"/>
      <c r="W460" s="13"/>
      <c r="X460" s="300"/>
      <c r="Y460" s="13"/>
      <c r="Z460" s="13"/>
      <c r="AA460" s="300"/>
      <c r="AB460" s="13"/>
      <c r="AC460" s="13"/>
      <c r="AD460" s="300"/>
      <c r="AE460" s="13"/>
      <c r="AF460" s="13"/>
      <c r="AG460" s="300"/>
      <c r="AH460" s="13"/>
      <c r="AI460" s="13"/>
      <c r="AJ460" s="300"/>
      <c r="AK460" s="13"/>
      <c r="AL460" s="301"/>
      <c r="AM460" s="300"/>
      <c r="AN460" s="13"/>
      <c r="AO460" s="301"/>
      <c r="AP460" s="300"/>
    </row>
    <row r="461">
      <c r="A461" s="13"/>
      <c r="B461" s="13"/>
      <c r="C461" s="13"/>
      <c r="D461" s="13"/>
      <c r="E461" s="13"/>
      <c r="F461" s="13"/>
      <c r="G461" s="13"/>
      <c r="H461" s="13"/>
      <c r="I461" s="13"/>
      <c r="J461" s="13"/>
      <c r="K461" s="13"/>
      <c r="L461" s="13"/>
      <c r="M461" s="13"/>
      <c r="N461" s="13"/>
      <c r="O461" s="13"/>
      <c r="P461" s="13"/>
      <c r="Q461" s="13"/>
      <c r="R461" s="300"/>
      <c r="S461" s="13"/>
      <c r="T461" s="13"/>
      <c r="U461" s="300"/>
      <c r="V461" s="13"/>
      <c r="W461" s="13"/>
      <c r="X461" s="300"/>
      <c r="Y461" s="13"/>
      <c r="Z461" s="13"/>
      <c r="AA461" s="300"/>
      <c r="AB461" s="13"/>
      <c r="AC461" s="13"/>
      <c r="AD461" s="300"/>
      <c r="AE461" s="13"/>
      <c r="AF461" s="13"/>
      <c r="AG461" s="300"/>
      <c r="AH461" s="13"/>
      <c r="AI461" s="13"/>
      <c r="AJ461" s="300"/>
      <c r="AK461" s="13"/>
      <c r="AL461" s="301"/>
      <c r="AM461" s="300"/>
      <c r="AN461" s="13"/>
      <c r="AO461" s="301"/>
      <c r="AP461" s="300"/>
    </row>
    <row r="462">
      <c r="A462" s="13"/>
      <c r="B462" s="13"/>
      <c r="C462" s="13"/>
      <c r="D462" s="13"/>
      <c r="E462" s="13"/>
      <c r="F462" s="13"/>
      <c r="G462" s="13"/>
      <c r="H462" s="13"/>
      <c r="I462" s="13"/>
      <c r="J462" s="13"/>
      <c r="K462" s="13"/>
      <c r="L462" s="13"/>
      <c r="M462" s="13"/>
      <c r="N462" s="13"/>
      <c r="O462" s="13"/>
      <c r="P462" s="13"/>
      <c r="Q462" s="13"/>
      <c r="R462" s="300"/>
      <c r="S462" s="13"/>
      <c r="T462" s="13"/>
      <c r="U462" s="300"/>
      <c r="V462" s="13"/>
      <c r="W462" s="13"/>
      <c r="X462" s="300"/>
      <c r="Y462" s="13"/>
      <c r="Z462" s="13"/>
      <c r="AA462" s="300"/>
      <c r="AB462" s="13"/>
      <c r="AC462" s="13"/>
      <c r="AD462" s="300"/>
      <c r="AE462" s="13"/>
      <c r="AF462" s="13"/>
      <c r="AG462" s="300"/>
      <c r="AH462" s="13"/>
      <c r="AI462" s="13"/>
      <c r="AJ462" s="300"/>
      <c r="AK462" s="13"/>
      <c r="AL462" s="301"/>
      <c r="AM462" s="300"/>
      <c r="AN462" s="13"/>
      <c r="AO462" s="301"/>
      <c r="AP462" s="300"/>
    </row>
    <row r="463">
      <c r="A463" s="13"/>
      <c r="B463" s="13"/>
      <c r="C463" s="13"/>
      <c r="D463" s="13"/>
      <c r="E463" s="13"/>
      <c r="F463" s="13"/>
      <c r="G463" s="13"/>
      <c r="H463" s="13"/>
      <c r="I463" s="13"/>
      <c r="J463" s="13"/>
      <c r="K463" s="13"/>
      <c r="L463" s="13"/>
      <c r="M463" s="13"/>
      <c r="N463" s="13"/>
      <c r="O463" s="13"/>
      <c r="P463" s="13"/>
      <c r="Q463" s="13"/>
      <c r="R463" s="300"/>
      <c r="S463" s="13"/>
      <c r="T463" s="13"/>
      <c r="U463" s="300"/>
      <c r="V463" s="13"/>
      <c r="W463" s="13"/>
      <c r="X463" s="300"/>
      <c r="Y463" s="13"/>
      <c r="Z463" s="13"/>
      <c r="AA463" s="300"/>
      <c r="AB463" s="13"/>
      <c r="AC463" s="13"/>
      <c r="AD463" s="300"/>
      <c r="AE463" s="13"/>
      <c r="AF463" s="13"/>
      <c r="AG463" s="300"/>
      <c r="AH463" s="13"/>
      <c r="AI463" s="13"/>
      <c r="AJ463" s="300"/>
      <c r="AK463" s="13"/>
      <c r="AL463" s="301"/>
      <c r="AM463" s="300"/>
      <c r="AN463" s="13"/>
      <c r="AO463" s="301"/>
      <c r="AP463" s="300"/>
    </row>
    <row r="464">
      <c r="A464" s="13"/>
      <c r="B464" s="13"/>
      <c r="C464" s="13"/>
      <c r="D464" s="13"/>
      <c r="E464" s="13"/>
      <c r="F464" s="13"/>
      <c r="G464" s="13"/>
      <c r="H464" s="13"/>
      <c r="I464" s="13"/>
      <c r="J464" s="13"/>
      <c r="K464" s="13"/>
      <c r="L464" s="13"/>
      <c r="M464" s="13"/>
      <c r="N464" s="13"/>
      <c r="O464" s="13"/>
      <c r="P464" s="13"/>
      <c r="Q464" s="13"/>
      <c r="R464" s="300"/>
      <c r="S464" s="13"/>
      <c r="T464" s="13"/>
      <c r="U464" s="300"/>
      <c r="V464" s="13"/>
      <c r="W464" s="13"/>
      <c r="X464" s="300"/>
      <c r="Y464" s="13"/>
      <c r="Z464" s="13"/>
      <c r="AA464" s="300"/>
      <c r="AB464" s="13"/>
      <c r="AC464" s="13"/>
      <c r="AD464" s="300"/>
      <c r="AE464" s="13"/>
      <c r="AF464" s="13"/>
      <c r="AG464" s="300"/>
      <c r="AH464" s="13"/>
      <c r="AI464" s="13"/>
      <c r="AJ464" s="300"/>
      <c r="AK464" s="13"/>
      <c r="AL464" s="301"/>
      <c r="AM464" s="300"/>
      <c r="AN464" s="13"/>
      <c r="AO464" s="301"/>
      <c r="AP464" s="300"/>
    </row>
    <row r="465">
      <c r="A465" s="13"/>
      <c r="B465" s="13"/>
      <c r="C465" s="13"/>
      <c r="D465" s="13"/>
      <c r="E465" s="13"/>
      <c r="F465" s="13"/>
      <c r="G465" s="13"/>
      <c r="H465" s="13"/>
      <c r="I465" s="13"/>
      <c r="J465" s="13"/>
      <c r="K465" s="13"/>
      <c r="L465" s="13"/>
      <c r="M465" s="13"/>
      <c r="N465" s="13"/>
      <c r="O465" s="13"/>
      <c r="P465" s="13"/>
      <c r="Q465" s="13"/>
      <c r="R465" s="300"/>
      <c r="S465" s="13"/>
      <c r="T465" s="13"/>
      <c r="U465" s="300"/>
      <c r="V465" s="13"/>
      <c r="W465" s="13"/>
      <c r="X465" s="300"/>
      <c r="Y465" s="13"/>
      <c r="Z465" s="13"/>
      <c r="AA465" s="300"/>
      <c r="AB465" s="13"/>
      <c r="AC465" s="13"/>
      <c r="AD465" s="300"/>
      <c r="AE465" s="13"/>
      <c r="AF465" s="13"/>
      <c r="AG465" s="300"/>
      <c r="AH465" s="13"/>
      <c r="AI465" s="13"/>
      <c r="AJ465" s="300"/>
      <c r="AK465" s="13"/>
      <c r="AL465" s="301"/>
      <c r="AM465" s="300"/>
      <c r="AN465" s="13"/>
      <c r="AO465" s="301"/>
      <c r="AP465" s="300"/>
    </row>
    <row r="466">
      <c r="A466" s="13"/>
      <c r="B466" s="13"/>
      <c r="C466" s="13"/>
      <c r="D466" s="13"/>
      <c r="E466" s="13"/>
      <c r="F466" s="13"/>
      <c r="G466" s="13"/>
      <c r="H466" s="13"/>
      <c r="I466" s="13"/>
      <c r="J466" s="13"/>
      <c r="K466" s="13"/>
      <c r="L466" s="13"/>
      <c r="M466" s="13"/>
      <c r="N466" s="13"/>
      <c r="O466" s="13"/>
      <c r="P466" s="13"/>
      <c r="Q466" s="13"/>
      <c r="R466" s="300"/>
      <c r="S466" s="13"/>
      <c r="T466" s="13"/>
      <c r="U466" s="300"/>
      <c r="V466" s="13"/>
      <c r="W466" s="13"/>
      <c r="X466" s="300"/>
      <c r="Y466" s="13"/>
      <c r="Z466" s="13"/>
      <c r="AA466" s="300"/>
      <c r="AB466" s="13"/>
      <c r="AC466" s="13"/>
      <c r="AD466" s="300"/>
      <c r="AE466" s="13"/>
      <c r="AF466" s="13"/>
      <c r="AG466" s="300"/>
      <c r="AH466" s="13"/>
      <c r="AI466" s="13"/>
      <c r="AJ466" s="300"/>
      <c r="AK466" s="13"/>
      <c r="AL466" s="301"/>
      <c r="AM466" s="300"/>
      <c r="AN466" s="13"/>
      <c r="AO466" s="301"/>
      <c r="AP466" s="300"/>
    </row>
    <row r="467">
      <c r="A467" s="13"/>
      <c r="B467" s="13"/>
      <c r="C467" s="13"/>
      <c r="D467" s="13"/>
      <c r="E467" s="13"/>
      <c r="F467" s="13"/>
      <c r="G467" s="13"/>
      <c r="H467" s="13"/>
      <c r="I467" s="13"/>
      <c r="J467" s="13"/>
      <c r="K467" s="13"/>
      <c r="L467" s="13"/>
      <c r="M467" s="13"/>
      <c r="N467" s="13"/>
      <c r="O467" s="13"/>
      <c r="P467" s="13"/>
      <c r="Q467" s="13"/>
      <c r="R467" s="300"/>
      <c r="S467" s="13"/>
      <c r="T467" s="13"/>
      <c r="U467" s="300"/>
      <c r="V467" s="13"/>
      <c r="W467" s="13"/>
      <c r="X467" s="300"/>
      <c r="Y467" s="13"/>
      <c r="Z467" s="13"/>
      <c r="AA467" s="300"/>
      <c r="AB467" s="13"/>
      <c r="AC467" s="13"/>
      <c r="AD467" s="300"/>
      <c r="AE467" s="13"/>
      <c r="AF467" s="13"/>
      <c r="AG467" s="300"/>
      <c r="AH467" s="13"/>
      <c r="AI467" s="13"/>
      <c r="AJ467" s="300"/>
      <c r="AK467" s="13"/>
      <c r="AL467" s="301"/>
      <c r="AM467" s="300"/>
      <c r="AN467" s="13"/>
      <c r="AO467" s="301"/>
      <c r="AP467" s="300"/>
    </row>
    <row r="468">
      <c r="A468" s="13"/>
      <c r="B468" s="13"/>
      <c r="C468" s="13"/>
      <c r="D468" s="13"/>
      <c r="E468" s="13"/>
      <c r="F468" s="13"/>
      <c r="G468" s="13"/>
      <c r="H468" s="13"/>
      <c r="I468" s="13"/>
      <c r="J468" s="13"/>
      <c r="K468" s="13"/>
      <c r="L468" s="13"/>
      <c r="M468" s="13"/>
      <c r="N468" s="13"/>
      <c r="O468" s="13"/>
      <c r="P468" s="13"/>
      <c r="Q468" s="13"/>
      <c r="R468" s="300"/>
      <c r="S468" s="13"/>
      <c r="T468" s="13"/>
      <c r="U468" s="300"/>
      <c r="V468" s="13"/>
      <c r="W468" s="13"/>
      <c r="X468" s="300"/>
      <c r="Y468" s="13"/>
      <c r="Z468" s="13"/>
      <c r="AA468" s="300"/>
      <c r="AB468" s="13"/>
      <c r="AC468" s="13"/>
      <c r="AD468" s="300"/>
      <c r="AE468" s="13"/>
      <c r="AF468" s="13"/>
      <c r="AG468" s="300"/>
      <c r="AH468" s="13"/>
      <c r="AI468" s="13"/>
      <c r="AJ468" s="300"/>
      <c r="AK468" s="13"/>
      <c r="AL468" s="301"/>
      <c r="AM468" s="300"/>
      <c r="AN468" s="13"/>
      <c r="AO468" s="301"/>
      <c r="AP468" s="300"/>
    </row>
    <row r="469">
      <c r="A469" s="13"/>
      <c r="B469" s="13"/>
      <c r="C469" s="13"/>
      <c r="D469" s="13"/>
      <c r="E469" s="13"/>
      <c r="F469" s="13"/>
      <c r="G469" s="13"/>
      <c r="H469" s="13"/>
      <c r="I469" s="13"/>
      <c r="J469" s="13"/>
      <c r="K469" s="13"/>
      <c r="L469" s="13"/>
      <c r="M469" s="13"/>
      <c r="N469" s="13"/>
      <c r="O469" s="13"/>
      <c r="P469" s="13"/>
      <c r="Q469" s="13"/>
      <c r="R469" s="300"/>
      <c r="S469" s="13"/>
      <c r="T469" s="13"/>
      <c r="U469" s="300"/>
      <c r="V469" s="13"/>
      <c r="W469" s="13"/>
      <c r="X469" s="300"/>
      <c r="Y469" s="13"/>
      <c r="Z469" s="13"/>
      <c r="AA469" s="300"/>
      <c r="AB469" s="13"/>
      <c r="AC469" s="13"/>
      <c r="AD469" s="300"/>
      <c r="AE469" s="13"/>
      <c r="AF469" s="13"/>
      <c r="AG469" s="300"/>
      <c r="AH469" s="13"/>
      <c r="AI469" s="13"/>
      <c r="AJ469" s="300"/>
      <c r="AK469" s="13"/>
      <c r="AL469" s="301"/>
      <c r="AM469" s="300"/>
      <c r="AN469" s="13"/>
      <c r="AO469" s="301"/>
      <c r="AP469" s="300"/>
    </row>
    <row r="470">
      <c r="A470" s="13"/>
      <c r="B470" s="13"/>
      <c r="C470" s="13"/>
      <c r="D470" s="13"/>
      <c r="E470" s="13"/>
      <c r="F470" s="13"/>
      <c r="G470" s="13"/>
      <c r="H470" s="13"/>
      <c r="I470" s="13"/>
      <c r="J470" s="13"/>
      <c r="K470" s="13"/>
      <c r="L470" s="13"/>
      <c r="M470" s="13"/>
      <c r="N470" s="13"/>
      <c r="O470" s="13"/>
      <c r="P470" s="13"/>
      <c r="Q470" s="13"/>
      <c r="R470" s="300"/>
      <c r="S470" s="13"/>
      <c r="T470" s="13"/>
      <c r="U470" s="300"/>
      <c r="V470" s="13"/>
      <c r="W470" s="13"/>
      <c r="X470" s="300"/>
      <c r="Y470" s="13"/>
      <c r="Z470" s="13"/>
      <c r="AA470" s="300"/>
      <c r="AB470" s="13"/>
      <c r="AC470" s="13"/>
      <c r="AD470" s="300"/>
      <c r="AE470" s="13"/>
      <c r="AF470" s="13"/>
      <c r="AG470" s="300"/>
      <c r="AH470" s="13"/>
      <c r="AI470" s="13"/>
      <c r="AJ470" s="300"/>
      <c r="AK470" s="13"/>
      <c r="AL470" s="301"/>
      <c r="AM470" s="300"/>
      <c r="AN470" s="13"/>
      <c r="AO470" s="301"/>
      <c r="AP470" s="300"/>
    </row>
    <row r="471">
      <c r="A471" s="13"/>
      <c r="B471" s="13"/>
      <c r="C471" s="13"/>
      <c r="D471" s="13"/>
      <c r="E471" s="13"/>
      <c r="F471" s="13"/>
      <c r="G471" s="13"/>
      <c r="H471" s="13"/>
      <c r="I471" s="13"/>
      <c r="J471" s="13"/>
      <c r="K471" s="13"/>
      <c r="L471" s="13"/>
      <c r="M471" s="13"/>
      <c r="N471" s="13"/>
      <c r="O471" s="13"/>
      <c r="P471" s="13"/>
      <c r="Q471" s="13"/>
      <c r="R471" s="300"/>
      <c r="S471" s="13"/>
      <c r="T471" s="13"/>
      <c r="U471" s="300"/>
      <c r="V471" s="13"/>
      <c r="W471" s="13"/>
      <c r="X471" s="300"/>
      <c r="Y471" s="13"/>
      <c r="Z471" s="13"/>
      <c r="AA471" s="300"/>
      <c r="AB471" s="13"/>
      <c r="AC471" s="13"/>
      <c r="AD471" s="300"/>
      <c r="AE471" s="13"/>
      <c r="AF471" s="13"/>
      <c r="AG471" s="300"/>
      <c r="AH471" s="13"/>
      <c r="AI471" s="13"/>
      <c r="AJ471" s="300"/>
      <c r="AK471" s="13"/>
      <c r="AL471" s="301"/>
      <c r="AM471" s="300"/>
      <c r="AN471" s="13"/>
      <c r="AO471" s="301"/>
      <c r="AP471" s="300"/>
    </row>
    <row r="472">
      <c r="A472" s="13"/>
      <c r="B472" s="13"/>
      <c r="C472" s="13"/>
      <c r="D472" s="13"/>
      <c r="E472" s="13"/>
      <c r="F472" s="13"/>
      <c r="G472" s="13"/>
      <c r="H472" s="13"/>
      <c r="I472" s="13"/>
      <c r="J472" s="13"/>
      <c r="K472" s="13"/>
      <c r="L472" s="13"/>
      <c r="M472" s="13"/>
      <c r="N472" s="13"/>
      <c r="O472" s="13"/>
      <c r="P472" s="13"/>
      <c r="Q472" s="13"/>
      <c r="R472" s="300"/>
      <c r="S472" s="13"/>
      <c r="T472" s="13"/>
      <c r="U472" s="300"/>
      <c r="V472" s="13"/>
      <c r="W472" s="13"/>
      <c r="X472" s="300"/>
      <c r="Y472" s="13"/>
      <c r="Z472" s="13"/>
      <c r="AA472" s="300"/>
      <c r="AB472" s="13"/>
      <c r="AC472" s="13"/>
      <c r="AD472" s="300"/>
      <c r="AE472" s="13"/>
      <c r="AF472" s="13"/>
      <c r="AG472" s="300"/>
      <c r="AH472" s="13"/>
      <c r="AI472" s="13"/>
      <c r="AJ472" s="300"/>
      <c r="AK472" s="13"/>
      <c r="AL472" s="301"/>
      <c r="AM472" s="300"/>
      <c r="AN472" s="13"/>
      <c r="AO472" s="301"/>
      <c r="AP472" s="300"/>
    </row>
    <row r="473">
      <c r="A473" s="13"/>
      <c r="B473" s="13"/>
      <c r="C473" s="13"/>
      <c r="D473" s="13"/>
      <c r="E473" s="13"/>
      <c r="F473" s="13"/>
      <c r="G473" s="13"/>
      <c r="H473" s="13"/>
      <c r="I473" s="13"/>
      <c r="J473" s="13"/>
      <c r="K473" s="13"/>
      <c r="L473" s="13"/>
      <c r="M473" s="13"/>
      <c r="N473" s="13"/>
      <c r="O473" s="13"/>
      <c r="P473" s="13"/>
      <c r="Q473" s="13"/>
      <c r="R473" s="300"/>
      <c r="S473" s="13"/>
      <c r="T473" s="13"/>
      <c r="U473" s="300"/>
      <c r="V473" s="13"/>
      <c r="W473" s="13"/>
      <c r="X473" s="300"/>
      <c r="Y473" s="13"/>
      <c r="Z473" s="13"/>
      <c r="AA473" s="300"/>
      <c r="AB473" s="13"/>
      <c r="AC473" s="13"/>
      <c r="AD473" s="300"/>
      <c r="AE473" s="13"/>
      <c r="AF473" s="13"/>
      <c r="AG473" s="300"/>
      <c r="AH473" s="13"/>
      <c r="AI473" s="13"/>
      <c r="AJ473" s="300"/>
      <c r="AK473" s="13"/>
      <c r="AL473" s="301"/>
      <c r="AM473" s="300"/>
      <c r="AN473" s="13"/>
      <c r="AO473" s="301"/>
      <c r="AP473" s="300"/>
    </row>
    <row r="474">
      <c r="A474" s="13"/>
      <c r="B474" s="13"/>
      <c r="C474" s="13"/>
      <c r="D474" s="13"/>
      <c r="E474" s="13"/>
      <c r="F474" s="13"/>
      <c r="G474" s="13"/>
      <c r="H474" s="13"/>
      <c r="I474" s="13"/>
      <c r="J474" s="13"/>
      <c r="K474" s="13"/>
      <c r="L474" s="13"/>
      <c r="M474" s="13"/>
      <c r="N474" s="13"/>
      <c r="O474" s="13"/>
      <c r="P474" s="13"/>
      <c r="Q474" s="13"/>
      <c r="R474" s="300"/>
      <c r="S474" s="13"/>
      <c r="T474" s="13"/>
      <c r="U474" s="300"/>
      <c r="V474" s="13"/>
      <c r="W474" s="13"/>
      <c r="X474" s="300"/>
      <c r="Y474" s="13"/>
      <c r="Z474" s="13"/>
      <c r="AA474" s="300"/>
      <c r="AB474" s="13"/>
      <c r="AC474" s="13"/>
      <c r="AD474" s="300"/>
      <c r="AE474" s="13"/>
      <c r="AF474" s="13"/>
      <c r="AG474" s="300"/>
      <c r="AH474" s="13"/>
      <c r="AI474" s="13"/>
      <c r="AJ474" s="300"/>
      <c r="AK474" s="13"/>
      <c r="AL474" s="301"/>
      <c r="AM474" s="300"/>
      <c r="AN474" s="13"/>
      <c r="AO474" s="301"/>
      <c r="AP474" s="300"/>
    </row>
    <row r="475">
      <c r="A475" s="13"/>
      <c r="B475" s="13"/>
      <c r="C475" s="13"/>
      <c r="D475" s="13"/>
      <c r="E475" s="13"/>
      <c r="F475" s="13"/>
      <c r="G475" s="13"/>
      <c r="H475" s="13"/>
      <c r="I475" s="13"/>
      <c r="J475" s="13"/>
      <c r="K475" s="13"/>
      <c r="L475" s="13"/>
      <c r="M475" s="13"/>
      <c r="N475" s="13"/>
      <c r="O475" s="13"/>
      <c r="P475" s="13"/>
      <c r="Q475" s="13"/>
      <c r="R475" s="300"/>
      <c r="S475" s="13"/>
      <c r="T475" s="13"/>
      <c r="U475" s="300"/>
      <c r="V475" s="13"/>
      <c r="W475" s="13"/>
      <c r="X475" s="300"/>
      <c r="Y475" s="13"/>
      <c r="Z475" s="13"/>
      <c r="AA475" s="300"/>
      <c r="AB475" s="13"/>
      <c r="AC475" s="13"/>
      <c r="AD475" s="300"/>
      <c r="AE475" s="13"/>
      <c r="AF475" s="13"/>
      <c r="AG475" s="300"/>
      <c r="AH475" s="13"/>
      <c r="AI475" s="13"/>
      <c r="AJ475" s="300"/>
      <c r="AK475" s="13"/>
      <c r="AL475" s="301"/>
      <c r="AM475" s="300"/>
      <c r="AN475" s="13"/>
      <c r="AO475" s="301"/>
      <c r="AP475" s="300"/>
    </row>
    <row r="476">
      <c r="A476" s="13"/>
      <c r="B476" s="13"/>
      <c r="C476" s="13"/>
      <c r="D476" s="13"/>
      <c r="E476" s="13"/>
      <c r="F476" s="13"/>
      <c r="G476" s="13"/>
      <c r="H476" s="13"/>
      <c r="I476" s="13"/>
      <c r="J476" s="13"/>
      <c r="K476" s="13"/>
      <c r="L476" s="13"/>
      <c r="M476" s="13"/>
      <c r="N476" s="13"/>
      <c r="O476" s="13"/>
      <c r="P476" s="13"/>
      <c r="Q476" s="13"/>
      <c r="R476" s="300"/>
      <c r="S476" s="13"/>
      <c r="T476" s="13"/>
      <c r="U476" s="300"/>
      <c r="V476" s="13"/>
      <c r="W476" s="13"/>
      <c r="X476" s="300"/>
      <c r="Y476" s="13"/>
      <c r="Z476" s="13"/>
      <c r="AA476" s="300"/>
      <c r="AB476" s="13"/>
      <c r="AC476" s="13"/>
      <c r="AD476" s="300"/>
      <c r="AE476" s="13"/>
      <c r="AF476" s="13"/>
      <c r="AG476" s="300"/>
      <c r="AH476" s="13"/>
      <c r="AI476" s="13"/>
      <c r="AJ476" s="300"/>
      <c r="AK476" s="13"/>
      <c r="AL476" s="301"/>
      <c r="AM476" s="300"/>
      <c r="AN476" s="13"/>
      <c r="AO476" s="301"/>
      <c r="AP476" s="300"/>
    </row>
    <row r="477">
      <c r="A477" s="13"/>
      <c r="B477" s="13"/>
      <c r="C477" s="13"/>
      <c r="D477" s="13"/>
      <c r="E477" s="13"/>
      <c r="F477" s="13"/>
      <c r="G477" s="13"/>
      <c r="H477" s="13"/>
      <c r="I477" s="13"/>
      <c r="J477" s="13"/>
      <c r="K477" s="13"/>
      <c r="L477" s="13"/>
      <c r="M477" s="13"/>
      <c r="N477" s="13"/>
      <c r="O477" s="13"/>
      <c r="P477" s="13"/>
      <c r="Q477" s="13"/>
      <c r="R477" s="300"/>
      <c r="S477" s="13"/>
      <c r="T477" s="13"/>
      <c r="U477" s="300"/>
      <c r="V477" s="13"/>
      <c r="W477" s="13"/>
      <c r="X477" s="300"/>
      <c r="Y477" s="13"/>
      <c r="Z477" s="13"/>
      <c r="AA477" s="300"/>
      <c r="AB477" s="13"/>
      <c r="AC477" s="13"/>
      <c r="AD477" s="300"/>
      <c r="AE477" s="13"/>
      <c r="AF477" s="13"/>
      <c r="AG477" s="300"/>
      <c r="AH477" s="13"/>
      <c r="AI477" s="13"/>
      <c r="AJ477" s="300"/>
      <c r="AK477" s="13"/>
      <c r="AL477" s="301"/>
      <c r="AM477" s="300"/>
      <c r="AN477" s="13"/>
      <c r="AO477" s="301"/>
      <c r="AP477" s="300"/>
    </row>
    <row r="478">
      <c r="A478" s="13"/>
      <c r="B478" s="13"/>
      <c r="C478" s="13"/>
      <c r="D478" s="13"/>
      <c r="E478" s="13"/>
      <c r="F478" s="13"/>
      <c r="G478" s="13"/>
      <c r="H478" s="13"/>
      <c r="I478" s="13"/>
      <c r="J478" s="13"/>
      <c r="K478" s="13"/>
      <c r="L478" s="13"/>
      <c r="M478" s="13"/>
      <c r="N478" s="13"/>
      <c r="O478" s="13"/>
      <c r="P478" s="13"/>
      <c r="Q478" s="13"/>
      <c r="R478" s="300"/>
      <c r="S478" s="13"/>
      <c r="T478" s="13"/>
      <c r="U478" s="300"/>
      <c r="V478" s="13"/>
      <c r="W478" s="13"/>
      <c r="X478" s="300"/>
      <c r="Y478" s="13"/>
      <c r="Z478" s="13"/>
      <c r="AA478" s="300"/>
      <c r="AB478" s="13"/>
      <c r="AC478" s="13"/>
      <c r="AD478" s="300"/>
      <c r="AE478" s="13"/>
      <c r="AF478" s="13"/>
      <c r="AG478" s="300"/>
      <c r="AH478" s="13"/>
      <c r="AI478" s="13"/>
      <c r="AJ478" s="300"/>
      <c r="AK478" s="13"/>
      <c r="AL478" s="301"/>
      <c r="AM478" s="300"/>
      <c r="AN478" s="13"/>
      <c r="AO478" s="301"/>
      <c r="AP478" s="300"/>
    </row>
    <row r="479">
      <c r="A479" s="13"/>
      <c r="B479" s="13"/>
      <c r="C479" s="13"/>
      <c r="D479" s="13"/>
      <c r="E479" s="13"/>
      <c r="F479" s="13"/>
      <c r="G479" s="13"/>
      <c r="H479" s="13"/>
      <c r="I479" s="13"/>
      <c r="J479" s="13"/>
      <c r="K479" s="13"/>
      <c r="L479" s="13"/>
      <c r="M479" s="13"/>
      <c r="N479" s="13"/>
      <c r="O479" s="13"/>
      <c r="P479" s="13"/>
      <c r="Q479" s="13"/>
      <c r="R479" s="300"/>
      <c r="S479" s="13"/>
      <c r="T479" s="13"/>
      <c r="U479" s="300"/>
      <c r="V479" s="13"/>
      <c r="W479" s="13"/>
      <c r="X479" s="300"/>
      <c r="Y479" s="13"/>
      <c r="Z479" s="13"/>
      <c r="AA479" s="300"/>
      <c r="AB479" s="13"/>
      <c r="AC479" s="13"/>
      <c r="AD479" s="300"/>
      <c r="AE479" s="13"/>
      <c r="AF479" s="13"/>
      <c r="AG479" s="300"/>
      <c r="AH479" s="13"/>
      <c r="AI479" s="13"/>
      <c r="AJ479" s="300"/>
      <c r="AK479" s="13"/>
      <c r="AL479" s="301"/>
      <c r="AM479" s="300"/>
      <c r="AN479" s="13"/>
      <c r="AO479" s="301"/>
      <c r="AP479" s="300"/>
    </row>
    <row r="480">
      <c r="A480" s="13"/>
      <c r="B480" s="13"/>
      <c r="C480" s="13"/>
      <c r="D480" s="13"/>
      <c r="E480" s="13"/>
      <c r="F480" s="13"/>
      <c r="G480" s="13"/>
      <c r="H480" s="13"/>
      <c r="I480" s="13"/>
      <c r="J480" s="13"/>
      <c r="K480" s="13"/>
      <c r="L480" s="13"/>
      <c r="M480" s="13"/>
      <c r="N480" s="13"/>
      <c r="O480" s="13"/>
      <c r="P480" s="13"/>
      <c r="Q480" s="13"/>
      <c r="R480" s="300"/>
      <c r="S480" s="13"/>
      <c r="T480" s="13"/>
      <c r="U480" s="300"/>
      <c r="V480" s="13"/>
      <c r="W480" s="13"/>
      <c r="X480" s="300"/>
      <c r="Y480" s="13"/>
      <c r="Z480" s="13"/>
      <c r="AA480" s="300"/>
      <c r="AB480" s="13"/>
      <c r="AC480" s="13"/>
      <c r="AD480" s="300"/>
      <c r="AE480" s="13"/>
      <c r="AF480" s="13"/>
      <c r="AG480" s="300"/>
      <c r="AH480" s="13"/>
      <c r="AI480" s="13"/>
      <c r="AJ480" s="300"/>
      <c r="AK480" s="13"/>
      <c r="AL480" s="301"/>
      <c r="AM480" s="300"/>
      <c r="AN480" s="13"/>
      <c r="AO480" s="301"/>
      <c r="AP480" s="300"/>
    </row>
    <row r="481">
      <c r="A481" s="13"/>
      <c r="B481" s="13"/>
      <c r="C481" s="13"/>
      <c r="D481" s="13"/>
      <c r="E481" s="13"/>
      <c r="F481" s="13"/>
      <c r="G481" s="13"/>
      <c r="H481" s="13"/>
      <c r="I481" s="13"/>
      <c r="J481" s="13"/>
      <c r="K481" s="13"/>
      <c r="L481" s="13"/>
      <c r="M481" s="13"/>
      <c r="N481" s="13"/>
      <c r="O481" s="13"/>
      <c r="P481" s="13"/>
      <c r="Q481" s="13"/>
      <c r="R481" s="300"/>
      <c r="S481" s="13"/>
      <c r="T481" s="13"/>
      <c r="U481" s="300"/>
      <c r="V481" s="13"/>
      <c r="W481" s="13"/>
      <c r="X481" s="300"/>
      <c r="Y481" s="13"/>
      <c r="Z481" s="13"/>
      <c r="AA481" s="300"/>
      <c r="AB481" s="13"/>
      <c r="AC481" s="13"/>
      <c r="AD481" s="300"/>
      <c r="AE481" s="13"/>
      <c r="AF481" s="13"/>
      <c r="AG481" s="300"/>
      <c r="AH481" s="13"/>
      <c r="AI481" s="13"/>
      <c r="AJ481" s="300"/>
      <c r="AK481" s="13"/>
      <c r="AL481" s="301"/>
      <c r="AM481" s="300"/>
      <c r="AN481" s="13"/>
      <c r="AO481" s="301"/>
      <c r="AP481" s="300"/>
    </row>
    <row r="482">
      <c r="A482" s="13"/>
      <c r="B482" s="13"/>
      <c r="C482" s="13"/>
      <c r="D482" s="13"/>
      <c r="E482" s="13"/>
      <c r="F482" s="13"/>
      <c r="G482" s="13"/>
      <c r="H482" s="13"/>
      <c r="I482" s="13"/>
      <c r="J482" s="13"/>
      <c r="K482" s="13"/>
      <c r="L482" s="13"/>
      <c r="M482" s="13"/>
      <c r="N482" s="13"/>
      <c r="O482" s="13"/>
      <c r="P482" s="13"/>
      <c r="Q482" s="13"/>
      <c r="R482" s="300"/>
      <c r="S482" s="13"/>
      <c r="T482" s="13"/>
      <c r="U482" s="300"/>
      <c r="V482" s="13"/>
      <c r="W482" s="13"/>
      <c r="X482" s="300"/>
      <c r="Y482" s="13"/>
      <c r="Z482" s="13"/>
      <c r="AA482" s="300"/>
      <c r="AB482" s="13"/>
      <c r="AC482" s="13"/>
      <c r="AD482" s="300"/>
      <c r="AE482" s="13"/>
      <c r="AF482" s="13"/>
      <c r="AG482" s="300"/>
      <c r="AH482" s="13"/>
      <c r="AI482" s="13"/>
      <c r="AJ482" s="300"/>
      <c r="AK482" s="13"/>
      <c r="AL482" s="301"/>
      <c r="AM482" s="300"/>
      <c r="AN482" s="13"/>
      <c r="AO482" s="301"/>
      <c r="AP482" s="300"/>
    </row>
    <row r="483">
      <c r="A483" s="13"/>
      <c r="B483" s="13"/>
      <c r="C483" s="13"/>
      <c r="D483" s="13"/>
      <c r="E483" s="13"/>
      <c r="F483" s="13"/>
      <c r="G483" s="13"/>
      <c r="H483" s="13"/>
      <c r="I483" s="13"/>
      <c r="J483" s="13"/>
      <c r="K483" s="13"/>
      <c r="L483" s="13"/>
      <c r="M483" s="13"/>
      <c r="N483" s="13"/>
      <c r="O483" s="13"/>
      <c r="P483" s="13"/>
      <c r="Q483" s="13"/>
      <c r="R483" s="300"/>
      <c r="S483" s="13"/>
      <c r="T483" s="13"/>
      <c r="U483" s="300"/>
      <c r="V483" s="13"/>
      <c r="W483" s="13"/>
      <c r="X483" s="300"/>
      <c r="Y483" s="13"/>
      <c r="Z483" s="13"/>
      <c r="AA483" s="300"/>
      <c r="AB483" s="13"/>
      <c r="AC483" s="13"/>
      <c r="AD483" s="300"/>
      <c r="AE483" s="13"/>
      <c r="AF483" s="13"/>
      <c r="AG483" s="300"/>
      <c r="AH483" s="13"/>
      <c r="AI483" s="13"/>
      <c r="AJ483" s="300"/>
      <c r="AK483" s="13"/>
      <c r="AL483" s="301"/>
      <c r="AM483" s="300"/>
      <c r="AN483" s="13"/>
      <c r="AO483" s="301"/>
      <c r="AP483" s="300"/>
    </row>
    <row r="484">
      <c r="A484" s="13"/>
      <c r="B484" s="13"/>
      <c r="C484" s="13"/>
      <c r="D484" s="13"/>
      <c r="E484" s="13"/>
      <c r="F484" s="13"/>
      <c r="G484" s="13"/>
      <c r="H484" s="13"/>
      <c r="I484" s="13"/>
      <c r="J484" s="13"/>
      <c r="K484" s="13"/>
      <c r="L484" s="13"/>
      <c r="M484" s="13"/>
      <c r="N484" s="13"/>
      <c r="O484" s="13"/>
      <c r="P484" s="13"/>
      <c r="Q484" s="13"/>
      <c r="R484" s="300"/>
      <c r="S484" s="13"/>
      <c r="T484" s="13"/>
      <c r="U484" s="300"/>
      <c r="V484" s="13"/>
      <c r="W484" s="13"/>
      <c r="X484" s="300"/>
      <c r="Y484" s="13"/>
      <c r="Z484" s="13"/>
      <c r="AA484" s="300"/>
      <c r="AB484" s="13"/>
      <c r="AC484" s="13"/>
      <c r="AD484" s="300"/>
      <c r="AE484" s="13"/>
      <c r="AF484" s="13"/>
      <c r="AG484" s="300"/>
      <c r="AH484" s="13"/>
      <c r="AI484" s="13"/>
      <c r="AJ484" s="300"/>
      <c r="AK484" s="13"/>
      <c r="AL484" s="301"/>
      <c r="AM484" s="300"/>
      <c r="AN484" s="13"/>
      <c r="AO484" s="301"/>
      <c r="AP484" s="300"/>
    </row>
    <row r="485">
      <c r="A485" s="13"/>
      <c r="B485" s="13"/>
      <c r="C485" s="13"/>
      <c r="D485" s="13"/>
      <c r="E485" s="13"/>
      <c r="F485" s="13"/>
      <c r="G485" s="13"/>
      <c r="H485" s="13"/>
      <c r="I485" s="13"/>
      <c r="J485" s="13"/>
      <c r="K485" s="13"/>
      <c r="L485" s="13"/>
      <c r="M485" s="13"/>
      <c r="N485" s="13"/>
      <c r="O485" s="13"/>
      <c r="P485" s="13"/>
      <c r="Q485" s="13"/>
      <c r="R485" s="300"/>
      <c r="S485" s="13"/>
      <c r="T485" s="13"/>
      <c r="U485" s="300"/>
      <c r="V485" s="13"/>
      <c r="W485" s="13"/>
      <c r="X485" s="300"/>
      <c r="Y485" s="13"/>
      <c r="Z485" s="13"/>
      <c r="AA485" s="300"/>
      <c r="AB485" s="13"/>
      <c r="AC485" s="13"/>
      <c r="AD485" s="300"/>
      <c r="AE485" s="13"/>
      <c r="AF485" s="13"/>
      <c r="AG485" s="300"/>
      <c r="AH485" s="13"/>
      <c r="AI485" s="13"/>
      <c r="AJ485" s="300"/>
      <c r="AK485" s="13"/>
      <c r="AL485" s="301"/>
      <c r="AM485" s="300"/>
      <c r="AN485" s="13"/>
      <c r="AO485" s="301"/>
      <c r="AP485" s="300"/>
    </row>
    <row r="486">
      <c r="A486" s="13"/>
      <c r="B486" s="13"/>
      <c r="C486" s="13"/>
      <c r="D486" s="13"/>
      <c r="E486" s="13"/>
      <c r="F486" s="13"/>
      <c r="G486" s="13"/>
      <c r="H486" s="13"/>
      <c r="I486" s="13"/>
      <c r="J486" s="13"/>
      <c r="K486" s="13"/>
      <c r="L486" s="13"/>
      <c r="M486" s="13"/>
      <c r="N486" s="13"/>
      <c r="O486" s="13"/>
      <c r="P486" s="13"/>
      <c r="Q486" s="13"/>
      <c r="R486" s="300"/>
      <c r="S486" s="13"/>
      <c r="T486" s="13"/>
      <c r="U486" s="300"/>
      <c r="V486" s="13"/>
      <c r="W486" s="13"/>
      <c r="X486" s="300"/>
      <c r="Y486" s="13"/>
      <c r="Z486" s="13"/>
      <c r="AA486" s="300"/>
      <c r="AB486" s="13"/>
      <c r="AC486" s="13"/>
      <c r="AD486" s="300"/>
      <c r="AE486" s="13"/>
      <c r="AF486" s="13"/>
      <c r="AG486" s="300"/>
      <c r="AH486" s="13"/>
      <c r="AI486" s="13"/>
      <c r="AJ486" s="300"/>
      <c r="AK486" s="13"/>
      <c r="AL486" s="301"/>
      <c r="AM486" s="300"/>
      <c r="AN486" s="13"/>
      <c r="AO486" s="301"/>
      <c r="AP486" s="300"/>
    </row>
    <row r="487">
      <c r="A487" s="13"/>
      <c r="B487" s="13"/>
      <c r="C487" s="13"/>
      <c r="D487" s="13"/>
      <c r="E487" s="13"/>
      <c r="F487" s="13"/>
      <c r="G487" s="13"/>
      <c r="H487" s="13"/>
      <c r="I487" s="13"/>
      <c r="J487" s="13"/>
      <c r="K487" s="13"/>
      <c r="L487" s="13"/>
      <c r="M487" s="13"/>
      <c r="N487" s="13"/>
      <c r="O487" s="13"/>
      <c r="P487" s="13"/>
      <c r="Q487" s="13"/>
      <c r="R487" s="300"/>
      <c r="S487" s="13"/>
      <c r="T487" s="13"/>
      <c r="U487" s="300"/>
      <c r="V487" s="13"/>
      <c r="W487" s="13"/>
      <c r="X487" s="300"/>
      <c r="Y487" s="13"/>
      <c r="Z487" s="13"/>
      <c r="AA487" s="300"/>
      <c r="AB487" s="13"/>
      <c r="AC487" s="13"/>
      <c r="AD487" s="300"/>
      <c r="AE487" s="13"/>
      <c r="AF487" s="13"/>
      <c r="AG487" s="300"/>
      <c r="AH487" s="13"/>
      <c r="AI487" s="13"/>
      <c r="AJ487" s="300"/>
      <c r="AK487" s="13"/>
      <c r="AL487" s="301"/>
      <c r="AM487" s="300"/>
      <c r="AN487" s="13"/>
      <c r="AO487" s="301"/>
      <c r="AP487" s="300"/>
    </row>
    <row r="488">
      <c r="A488" s="13"/>
      <c r="B488" s="13"/>
      <c r="C488" s="13"/>
      <c r="D488" s="13"/>
      <c r="E488" s="13"/>
      <c r="F488" s="13"/>
      <c r="G488" s="13"/>
      <c r="H488" s="13"/>
      <c r="I488" s="13"/>
      <c r="J488" s="13"/>
      <c r="K488" s="13"/>
      <c r="L488" s="13"/>
      <c r="M488" s="13"/>
      <c r="N488" s="13"/>
      <c r="O488" s="13"/>
      <c r="P488" s="13"/>
      <c r="Q488" s="13"/>
      <c r="R488" s="300"/>
      <c r="S488" s="13"/>
      <c r="T488" s="13"/>
      <c r="U488" s="300"/>
      <c r="V488" s="13"/>
      <c r="W488" s="13"/>
      <c r="X488" s="300"/>
      <c r="Y488" s="13"/>
      <c r="Z488" s="13"/>
      <c r="AA488" s="300"/>
      <c r="AB488" s="13"/>
      <c r="AC488" s="13"/>
      <c r="AD488" s="300"/>
      <c r="AE488" s="13"/>
      <c r="AF488" s="13"/>
      <c r="AG488" s="300"/>
      <c r="AH488" s="13"/>
      <c r="AI488" s="13"/>
      <c r="AJ488" s="300"/>
      <c r="AK488" s="13"/>
      <c r="AL488" s="301"/>
      <c r="AM488" s="300"/>
      <c r="AN488" s="13"/>
      <c r="AO488" s="301"/>
      <c r="AP488" s="300"/>
    </row>
    <row r="489">
      <c r="A489" s="13"/>
      <c r="B489" s="13"/>
      <c r="C489" s="13"/>
      <c r="D489" s="13"/>
      <c r="E489" s="13"/>
      <c r="F489" s="13"/>
      <c r="G489" s="13"/>
      <c r="H489" s="13"/>
      <c r="I489" s="13"/>
      <c r="J489" s="13"/>
      <c r="K489" s="13"/>
      <c r="L489" s="13"/>
      <c r="M489" s="13"/>
      <c r="N489" s="13"/>
      <c r="O489" s="13"/>
      <c r="P489" s="13"/>
      <c r="Q489" s="13"/>
      <c r="R489" s="300"/>
      <c r="S489" s="13"/>
      <c r="T489" s="13"/>
      <c r="U489" s="300"/>
      <c r="V489" s="13"/>
      <c r="W489" s="13"/>
      <c r="X489" s="300"/>
      <c r="Y489" s="13"/>
      <c r="Z489" s="13"/>
      <c r="AA489" s="300"/>
      <c r="AB489" s="13"/>
      <c r="AC489" s="13"/>
      <c r="AD489" s="300"/>
      <c r="AE489" s="13"/>
      <c r="AF489" s="13"/>
      <c r="AG489" s="300"/>
      <c r="AH489" s="13"/>
      <c r="AI489" s="13"/>
      <c r="AJ489" s="300"/>
      <c r="AK489" s="13"/>
      <c r="AL489" s="301"/>
      <c r="AM489" s="300"/>
      <c r="AN489" s="13"/>
      <c r="AO489" s="301"/>
      <c r="AP489" s="300"/>
    </row>
    <row r="490">
      <c r="A490" s="13"/>
      <c r="B490" s="13"/>
      <c r="C490" s="13"/>
      <c r="D490" s="13"/>
      <c r="E490" s="13"/>
      <c r="F490" s="13"/>
      <c r="G490" s="13"/>
      <c r="H490" s="13"/>
      <c r="I490" s="13"/>
      <c r="J490" s="13"/>
      <c r="K490" s="13"/>
      <c r="L490" s="13"/>
      <c r="M490" s="13"/>
      <c r="N490" s="13"/>
      <c r="O490" s="13"/>
      <c r="P490" s="13"/>
      <c r="Q490" s="13"/>
      <c r="R490" s="300"/>
      <c r="S490" s="13"/>
      <c r="T490" s="13"/>
      <c r="U490" s="300"/>
      <c r="V490" s="13"/>
      <c r="W490" s="13"/>
      <c r="X490" s="300"/>
      <c r="Y490" s="13"/>
      <c r="Z490" s="13"/>
      <c r="AA490" s="300"/>
      <c r="AB490" s="13"/>
      <c r="AC490" s="13"/>
      <c r="AD490" s="300"/>
      <c r="AE490" s="13"/>
      <c r="AF490" s="13"/>
      <c r="AG490" s="300"/>
      <c r="AH490" s="13"/>
      <c r="AI490" s="13"/>
      <c r="AJ490" s="300"/>
      <c r="AK490" s="13"/>
      <c r="AL490" s="301"/>
      <c r="AM490" s="300"/>
      <c r="AN490" s="13"/>
      <c r="AO490" s="301"/>
      <c r="AP490" s="300"/>
    </row>
    <row r="491">
      <c r="A491" s="13"/>
      <c r="B491" s="13"/>
      <c r="C491" s="13"/>
      <c r="D491" s="13"/>
      <c r="E491" s="13"/>
      <c r="F491" s="13"/>
      <c r="G491" s="13"/>
      <c r="H491" s="13"/>
      <c r="I491" s="13"/>
      <c r="J491" s="13"/>
      <c r="K491" s="13"/>
      <c r="L491" s="13"/>
      <c r="M491" s="13"/>
      <c r="N491" s="13"/>
      <c r="O491" s="13"/>
      <c r="P491" s="13"/>
      <c r="Q491" s="13"/>
      <c r="R491" s="300"/>
      <c r="S491" s="13"/>
      <c r="T491" s="13"/>
      <c r="U491" s="300"/>
      <c r="V491" s="13"/>
      <c r="W491" s="13"/>
      <c r="X491" s="300"/>
      <c r="Y491" s="13"/>
      <c r="Z491" s="13"/>
      <c r="AA491" s="300"/>
      <c r="AB491" s="13"/>
      <c r="AC491" s="13"/>
      <c r="AD491" s="300"/>
      <c r="AE491" s="13"/>
      <c r="AF491" s="13"/>
      <c r="AG491" s="300"/>
      <c r="AH491" s="13"/>
      <c r="AI491" s="13"/>
      <c r="AJ491" s="300"/>
      <c r="AK491" s="13"/>
      <c r="AL491" s="301"/>
      <c r="AM491" s="300"/>
      <c r="AN491" s="13"/>
      <c r="AO491" s="301"/>
      <c r="AP491" s="300"/>
    </row>
    <row r="492">
      <c r="A492" s="13"/>
      <c r="B492" s="13"/>
      <c r="C492" s="13"/>
      <c r="D492" s="13"/>
      <c r="E492" s="13"/>
      <c r="F492" s="13"/>
      <c r="G492" s="13"/>
      <c r="H492" s="13"/>
      <c r="I492" s="13"/>
      <c r="J492" s="13"/>
      <c r="K492" s="13"/>
      <c r="L492" s="13"/>
      <c r="M492" s="13"/>
      <c r="N492" s="13"/>
      <c r="O492" s="13"/>
      <c r="P492" s="13"/>
      <c r="Q492" s="13"/>
      <c r="R492" s="300"/>
      <c r="S492" s="13"/>
      <c r="T492" s="13"/>
      <c r="U492" s="300"/>
      <c r="V492" s="13"/>
      <c r="W492" s="13"/>
      <c r="X492" s="300"/>
      <c r="Y492" s="13"/>
      <c r="Z492" s="13"/>
      <c r="AA492" s="300"/>
      <c r="AB492" s="13"/>
      <c r="AC492" s="13"/>
      <c r="AD492" s="300"/>
      <c r="AE492" s="13"/>
      <c r="AF492" s="13"/>
      <c r="AG492" s="300"/>
      <c r="AH492" s="13"/>
      <c r="AI492" s="13"/>
      <c r="AJ492" s="300"/>
      <c r="AK492" s="13"/>
      <c r="AL492" s="301"/>
      <c r="AM492" s="300"/>
      <c r="AN492" s="13"/>
      <c r="AO492" s="301"/>
      <c r="AP492" s="300"/>
    </row>
    <row r="493">
      <c r="A493" s="13"/>
      <c r="B493" s="13"/>
      <c r="C493" s="13"/>
      <c r="D493" s="13"/>
      <c r="E493" s="13"/>
      <c r="F493" s="13"/>
      <c r="G493" s="13"/>
      <c r="H493" s="13"/>
      <c r="I493" s="13"/>
      <c r="J493" s="13"/>
      <c r="K493" s="13"/>
      <c r="L493" s="13"/>
      <c r="M493" s="13"/>
      <c r="N493" s="13"/>
      <c r="O493" s="13"/>
      <c r="P493" s="13"/>
      <c r="Q493" s="13"/>
      <c r="R493" s="300"/>
      <c r="S493" s="13"/>
      <c r="T493" s="13"/>
      <c r="U493" s="300"/>
      <c r="V493" s="13"/>
      <c r="W493" s="13"/>
      <c r="X493" s="300"/>
      <c r="Y493" s="13"/>
      <c r="Z493" s="13"/>
      <c r="AA493" s="300"/>
      <c r="AB493" s="13"/>
      <c r="AC493" s="13"/>
      <c r="AD493" s="300"/>
      <c r="AE493" s="13"/>
      <c r="AF493" s="13"/>
      <c r="AG493" s="300"/>
      <c r="AH493" s="13"/>
      <c r="AI493" s="13"/>
      <c r="AJ493" s="300"/>
      <c r="AK493" s="13"/>
      <c r="AL493" s="301"/>
      <c r="AM493" s="300"/>
      <c r="AN493" s="13"/>
      <c r="AO493" s="301"/>
      <c r="AP493" s="300"/>
    </row>
    <row r="494">
      <c r="A494" s="13"/>
      <c r="B494" s="13"/>
      <c r="C494" s="13"/>
      <c r="D494" s="13"/>
      <c r="E494" s="13"/>
      <c r="F494" s="13"/>
      <c r="G494" s="13"/>
      <c r="H494" s="13"/>
      <c r="I494" s="13"/>
      <c r="J494" s="13"/>
      <c r="K494" s="13"/>
      <c r="L494" s="13"/>
      <c r="M494" s="13"/>
      <c r="N494" s="13"/>
      <c r="O494" s="13"/>
      <c r="P494" s="13"/>
      <c r="Q494" s="13"/>
      <c r="R494" s="300"/>
      <c r="S494" s="13"/>
      <c r="T494" s="13"/>
      <c r="U494" s="300"/>
      <c r="V494" s="13"/>
      <c r="W494" s="13"/>
      <c r="X494" s="300"/>
      <c r="Y494" s="13"/>
      <c r="Z494" s="13"/>
      <c r="AA494" s="300"/>
      <c r="AB494" s="13"/>
      <c r="AC494" s="13"/>
      <c r="AD494" s="300"/>
      <c r="AE494" s="13"/>
      <c r="AF494" s="13"/>
      <c r="AG494" s="300"/>
      <c r="AH494" s="13"/>
      <c r="AI494" s="13"/>
      <c r="AJ494" s="300"/>
      <c r="AK494" s="13"/>
      <c r="AL494" s="301"/>
      <c r="AM494" s="300"/>
      <c r="AN494" s="13"/>
      <c r="AO494" s="301"/>
      <c r="AP494" s="300"/>
    </row>
    <row r="495">
      <c r="A495" s="13"/>
      <c r="B495" s="13"/>
      <c r="C495" s="13"/>
      <c r="D495" s="13"/>
      <c r="E495" s="13"/>
      <c r="F495" s="13"/>
      <c r="G495" s="13"/>
      <c r="H495" s="13"/>
      <c r="I495" s="13"/>
      <c r="J495" s="13"/>
      <c r="K495" s="13"/>
      <c r="L495" s="13"/>
      <c r="M495" s="13"/>
      <c r="N495" s="13"/>
      <c r="O495" s="13"/>
      <c r="P495" s="13"/>
      <c r="Q495" s="13"/>
      <c r="R495" s="300"/>
      <c r="S495" s="13"/>
      <c r="T495" s="13"/>
      <c r="U495" s="300"/>
      <c r="V495" s="13"/>
      <c r="W495" s="13"/>
      <c r="X495" s="300"/>
      <c r="Y495" s="13"/>
      <c r="Z495" s="13"/>
      <c r="AA495" s="300"/>
      <c r="AB495" s="13"/>
      <c r="AC495" s="13"/>
      <c r="AD495" s="300"/>
      <c r="AE495" s="13"/>
      <c r="AF495" s="13"/>
      <c r="AG495" s="300"/>
      <c r="AH495" s="13"/>
      <c r="AI495" s="13"/>
      <c r="AJ495" s="300"/>
      <c r="AK495" s="13"/>
      <c r="AL495" s="301"/>
      <c r="AM495" s="300"/>
      <c r="AN495" s="13"/>
      <c r="AO495" s="301"/>
      <c r="AP495" s="300"/>
    </row>
    <row r="496">
      <c r="A496" s="13"/>
      <c r="B496" s="13"/>
      <c r="C496" s="13"/>
      <c r="D496" s="13"/>
      <c r="E496" s="13"/>
      <c r="F496" s="13"/>
      <c r="G496" s="13"/>
      <c r="H496" s="13"/>
      <c r="I496" s="13"/>
      <c r="J496" s="13"/>
      <c r="K496" s="13"/>
      <c r="L496" s="13"/>
      <c r="M496" s="13"/>
      <c r="N496" s="13"/>
      <c r="O496" s="13"/>
      <c r="P496" s="13"/>
      <c r="Q496" s="13"/>
      <c r="R496" s="300"/>
      <c r="S496" s="13"/>
      <c r="T496" s="13"/>
      <c r="U496" s="300"/>
      <c r="V496" s="13"/>
      <c r="W496" s="13"/>
      <c r="X496" s="300"/>
      <c r="Y496" s="13"/>
      <c r="Z496" s="13"/>
      <c r="AA496" s="300"/>
      <c r="AB496" s="13"/>
      <c r="AC496" s="13"/>
      <c r="AD496" s="300"/>
      <c r="AE496" s="13"/>
      <c r="AF496" s="13"/>
      <c r="AG496" s="300"/>
      <c r="AH496" s="13"/>
      <c r="AI496" s="13"/>
      <c r="AJ496" s="300"/>
      <c r="AK496" s="13"/>
      <c r="AL496" s="301"/>
      <c r="AM496" s="300"/>
      <c r="AN496" s="13"/>
      <c r="AO496" s="301"/>
      <c r="AP496" s="300"/>
    </row>
    <row r="497">
      <c r="A497" s="13"/>
      <c r="B497" s="13"/>
      <c r="C497" s="13"/>
      <c r="D497" s="13"/>
      <c r="E497" s="13"/>
      <c r="F497" s="13"/>
      <c r="G497" s="13"/>
      <c r="H497" s="13"/>
      <c r="I497" s="13"/>
      <c r="J497" s="13"/>
      <c r="K497" s="13"/>
      <c r="L497" s="13"/>
      <c r="M497" s="13"/>
      <c r="N497" s="13"/>
      <c r="O497" s="13"/>
      <c r="P497" s="13"/>
      <c r="Q497" s="13"/>
      <c r="R497" s="300"/>
      <c r="S497" s="13"/>
      <c r="T497" s="13"/>
      <c r="U497" s="300"/>
      <c r="V497" s="13"/>
      <c r="W497" s="13"/>
      <c r="X497" s="300"/>
      <c r="Y497" s="13"/>
      <c r="Z497" s="13"/>
      <c r="AA497" s="300"/>
      <c r="AB497" s="13"/>
      <c r="AC497" s="13"/>
      <c r="AD497" s="300"/>
      <c r="AE497" s="13"/>
      <c r="AF497" s="13"/>
      <c r="AG497" s="300"/>
      <c r="AH497" s="13"/>
      <c r="AI497" s="13"/>
      <c r="AJ497" s="300"/>
      <c r="AK497" s="13"/>
      <c r="AL497" s="301"/>
      <c r="AM497" s="300"/>
      <c r="AN497" s="13"/>
      <c r="AO497" s="301"/>
      <c r="AP497" s="300"/>
    </row>
    <row r="498">
      <c r="A498" s="13"/>
      <c r="B498" s="13"/>
      <c r="C498" s="13"/>
      <c r="D498" s="13"/>
      <c r="E498" s="13"/>
      <c r="F498" s="13"/>
      <c r="G498" s="13"/>
      <c r="H498" s="13"/>
      <c r="I498" s="13"/>
      <c r="J498" s="13"/>
      <c r="K498" s="13"/>
      <c r="L498" s="13"/>
      <c r="M498" s="13"/>
      <c r="N498" s="13"/>
      <c r="O498" s="13"/>
      <c r="P498" s="13"/>
      <c r="Q498" s="13"/>
      <c r="R498" s="300"/>
      <c r="S498" s="13"/>
      <c r="T498" s="13"/>
      <c r="U498" s="300"/>
      <c r="V498" s="13"/>
      <c r="W498" s="13"/>
      <c r="X498" s="300"/>
      <c r="Y498" s="13"/>
      <c r="Z498" s="13"/>
      <c r="AA498" s="300"/>
      <c r="AB498" s="13"/>
      <c r="AC498" s="13"/>
      <c r="AD498" s="300"/>
      <c r="AE498" s="13"/>
      <c r="AF498" s="13"/>
      <c r="AG498" s="300"/>
      <c r="AH498" s="13"/>
      <c r="AI498" s="13"/>
      <c r="AJ498" s="300"/>
      <c r="AK498" s="13"/>
      <c r="AL498" s="301"/>
      <c r="AM498" s="300"/>
      <c r="AN498" s="13"/>
      <c r="AO498" s="301"/>
      <c r="AP498" s="300"/>
    </row>
    <row r="499">
      <c r="A499" s="13"/>
      <c r="B499" s="13"/>
      <c r="C499" s="13"/>
      <c r="D499" s="13"/>
      <c r="E499" s="13"/>
      <c r="F499" s="13"/>
      <c r="G499" s="13"/>
      <c r="H499" s="13"/>
      <c r="I499" s="13"/>
      <c r="J499" s="13"/>
      <c r="K499" s="13"/>
      <c r="L499" s="13"/>
      <c r="M499" s="13"/>
      <c r="N499" s="13"/>
      <c r="O499" s="13"/>
      <c r="P499" s="13"/>
      <c r="Q499" s="13"/>
      <c r="R499" s="300"/>
      <c r="S499" s="13"/>
      <c r="T499" s="13"/>
      <c r="U499" s="300"/>
      <c r="V499" s="13"/>
      <c r="W499" s="13"/>
      <c r="X499" s="300"/>
      <c r="Y499" s="13"/>
      <c r="Z499" s="13"/>
      <c r="AA499" s="300"/>
      <c r="AB499" s="13"/>
      <c r="AC499" s="13"/>
      <c r="AD499" s="300"/>
      <c r="AE499" s="13"/>
      <c r="AF499" s="13"/>
      <c r="AG499" s="300"/>
      <c r="AH499" s="13"/>
      <c r="AI499" s="13"/>
      <c r="AJ499" s="300"/>
      <c r="AK499" s="13"/>
      <c r="AL499" s="301"/>
      <c r="AM499" s="300"/>
      <c r="AN499" s="13"/>
      <c r="AO499" s="301"/>
      <c r="AP499" s="300"/>
    </row>
    <row r="500">
      <c r="A500" s="13"/>
      <c r="B500" s="13"/>
      <c r="C500" s="13"/>
      <c r="D500" s="13"/>
      <c r="E500" s="13"/>
      <c r="F500" s="13"/>
      <c r="G500" s="13"/>
      <c r="H500" s="13"/>
      <c r="I500" s="13"/>
      <c r="J500" s="13"/>
      <c r="K500" s="13"/>
      <c r="L500" s="13"/>
      <c r="M500" s="13"/>
      <c r="N500" s="13"/>
      <c r="O500" s="13"/>
      <c r="P500" s="13"/>
      <c r="Q500" s="13"/>
      <c r="R500" s="300"/>
      <c r="S500" s="13"/>
      <c r="T500" s="13"/>
      <c r="U500" s="300"/>
      <c r="V500" s="13"/>
      <c r="W500" s="13"/>
      <c r="X500" s="300"/>
      <c r="Y500" s="13"/>
      <c r="Z500" s="13"/>
      <c r="AA500" s="300"/>
      <c r="AB500" s="13"/>
      <c r="AC500" s="13"/>
      <c r="AD500" s="300"/>
      <c r="AE500" s="13"/>
      <c r="AF500" s="13"/>
      <c r="AG500" s="300"/>
      <c r="AH500" s="13"/>
      <c r="AI500" s="13"/>
      <c r="AJ500" s="300"/>
      <c r="AK500" s="13"/>
      <c r="AL500" s="301"/>
      <c r="AM500" s="300"/>
      <c r="AN500" s="13"/>
      <c r="AO500" s="301"/>
      <c r="AP500" s="300"/>
    </row>
    <row r="501">
      <c r="A501" s="13"/>
      <c r="B501" s="13"/>
      <c r="C501" s="13"/>
      <c r="D501" s="13"/>
      <c r="E501" s="13"/>
      <c r="F501" s="13"/>
      <c r="G501" s="13"/>
      <c r="H501" s="13"/>
      <c r="I501" s="13"/>
      <c r="J501" s="13"/>
      <c r="K501" s="13"/>
      <c r="L501" s="13"/>
      <c r="M501" s="13"/>
      <c r="N501" s="13"/>
      <c r="O501" s="13"/>
      <c r="P501" s="13"/>
      <c r="Q501" s="13"/>
      <c r="R501" s="300"/>
      <c r="S501" s="13"/>
      <c r="T501" s="13"/>
      <c r="U501" s="300"/>
      <c r="V501" s="13"/>
      <c r="W501" s="13"/>
      <c r="X501" s="300"/>
      <c r="Y501" s="13"/>
      <c r="Z501" s="13"/>
      <c r="AA501" s="300"/>
      <c r="AB501" s="13"/>
      <c r="AC501" s="13"/>
      <c r="AD501" s="300"/>
      <c r="AE501" s="13"/>
      <c r="AF501" s="13"/>
      <c r="AG501" s="300"/>
      <c r="AH501" s="13"/>
      <c r="AI501" s="13"/>
      <c r="AJ501" s="300"/>
      <c r="AK501" s="13"/>
      <c r="AL501" s="301"/>
      <c r="AM501" s="300"/>
      <c r="AN501" s="13"/>
      <c r="AO501" s="301"/>
      <c r="AP501" s="300"/>
    </row>
    <row r="502">
      <c r="A502" s="13"/>
      <c r="B502" s="13"/>
      <c r="C502" s="13"/>
      <c r="D502" s="13"/>
      <c r="E502" s="13"/>
      <c r="F502" s="13"/>
      <c r="G502" s="13"/>
      <c r="H502" s="13"/>
      <c r="I502" s="13"/>
      <c r="J502" s="13"/>
      <c r="K502" s="13"/>
      <c r="L502" s="13"/>
      <c r="M502" s="13"/>
      <c r="N502" s="13"/>
      <c r="O502" s="13"/>
      <c r="P502" s="13"/>
      <c r="Q502" s="13"/>
      <c r="R502" s="300"/>
      <c r="S502" s="13"/>
      <c r="T502" s="13"/>
      <c r="U502" s="300"/>
      <c r="V502" s="13"/>
      <c r="W502" s="13"/>
      <c r="X502" s="300"/>
      <c r="Y502" s="13"/>
      <c r="Z502" s="13"/>
      <c r="AA502" s="300"/>
      <c r="AB502" s="13"/>
      <c r="AC502" s="13"/>
      <c r="AD502" s="300"/>
      <c r="AE502" s="13"/>
      <c r="AF502" s="13"/>
      <c r="AG502" s="300"/>
      <c r="AH502" s="13"/>
      <c r="AI502" s="13"/>
      <c r="AJ502" s="300"/>
      <c r="AK502" s="13"/>
      <c r="AL502" s="301"/>
      <c r="AM502" s="300"/>
      <c r="AN502" s="13"/>
      <c r="AO502" s="301"/>
      <c r="AP502" s="300"/>
    </row>
    <row r="503">
      <c r="A503" s="13"/>
      <c r="B503" s="13"/>
      <c r="C503" s="13"/>
      <c r="D503" s="13"/>
      <c r="E503" s="13"/>
      <c r="F503" s="13"/>
      <c r="G503" s="13"/>
      <c r="H503" s="13"/>
      <c r="I503" s="13"/>
      <c r="J503" s="13"/>
      <c r="K503" s="13"/>
      <c r="L503" s="13"/>
      <c r="M503" s="13"/>
      <c r="N503" s="13"/>
      <c r="O503" s="13"/>
      <c r="P503" s="13"/>
      <c r="Q503" s="13"/>
      <c r="R503" s="300"/>
      <c r="S503" s="13"/>
      <c r="T503" s="13"/>
      <c r="U503" s="300"/>
      <c r="V503" s="13"/>
      <c r="W503" s="13"/>
      <c r="X503" s="300"/>
      <c r="Y503" s="13"/>
      <c r="Z503" s="13"/>
      <c r="AA503" s="300"/>
      <c r="AB503" s="13"/>
      <c r="AC503" s="13"/>
      <c r="AD503" s="300"/>
      <c r="AE503" s="13"/>
      <c r="AF503" s="13"/>
      <c r="AG503" s="300"/>
      <c r="AH503" s="13"/>
      <c r="AI503" s="13"/>
      <c r="AJ503" s="300"/>
      <c r="AK503" s="13"/>
      <c r="AL503" s="301"/>
      <c r="AM503" s="300"/>
      <c r="AN503" s="13"/>
      <c r="AO503" s="301"/>
      <c r="AP503" s="300"/>
    </row>
    <row r="504">
      <c r="A504" s="13"/>
      <c r="B504" s="13"/>
      <c r="C504" s="13"/>
      <c r="D504" s="13"/>
      <c r="E504" s="13"/>
      <c r="F504" s="13"/>
      <c r="G504" s="13"/>
      <c r="H504" s="13"/>
      <c r="I504" s="13"/>
      <c r="J504" s="13"/>
      <c r="K504" s="13"/>
      <c r="L504" s="13"/>
      <c r="M504" s="13"/>
      <c r="N504" s="13"/>
      <c r="O504" s="13"/>
      <c r="P504" s="13"/>
      <c r="Q504" s="13"/>
      <c r="R504" s="300"/>
      <c r="S504" s="13"/>
      <c r="T504" s="13"/>
      <c r="U504" s="300"/>
      <c r="V504" s="13"/>
      <c r="W504" s="13"/>
      <c r="X504" s="300"/>
      <c r="Y504" s="13"/>
      <c r="Z504" s="13"/>
      <c r="AA504" s="300"/>
      <c r="AB504" s="13"/>
      <c r="AC504" s="13"/>
      <c r="AD504" s="300"/>
      <c r="AE504" s="13"/>
      <c r="AF504" s="13"/>
      <c r="AG504" s="300"/>
      <c r="AH504" s="13"/>
      <c r="AI504" s="13"/>
      <c r="AJ504" s="300"/>
      <c r="AK504" s="13"/>
      <c r="AL504" s="301"/>
      <c r="AM504" s="300"/>
      <c r="AN504" s="13"/>
      <c r="AO504" s="301"/>
      <c r="AP504" s="300"/>
    </row>
    <row r="505">
      <c r="A505" s="13"/>
      <c r="B505" s="13"/>
      <c r="C505" s="13"/>
      <c r="D505" s="13"/>
      <c r="E505" s="13"/>
      <c r="F505" s="13"/>
      <c r="G505" s="13"/>
      <c r="H505" s="13"/>
      <c r="I505" s="13"/>
      <c r="J505" s="13"/>
      <c r="K505" s="13"/>
      <c r="L505" s="13"/>
      <c r="M505" s="13"/>
      <c r="N505" s="13"/>
      <c r="O505" s="13"/>
      <c r="P505" s="13"/>
      <c r="Q505" s="13"/>
      <c r="R505" s="300"/>
      <c r="S505" s="13"/>
      <c r="T505" s="13"/>
      <c r="U505" s="300"/>
      <c r="V505" s="13"/>
      <c r="W505" s="13"/>
      <c r="X505" s="300"/>
      <c r="Y505" s="13"/>
      <c r="Z505" s="13"/>
      <c r="AA505" s="300"/>
      <c r="AB505" s="13"/>
      <c r="AC505" s="13"/>
      <c r="AD505" s="300"/>
      <c r="AE505" s="13"/>
      <c r="AF505" s="13"/>
      <c r="AG505" s="300"/>
      <c r="AH505" s="13"/>
      <c r="AI505" s="13"/>
      <c r="AJ505" s="300"/>
      <c r="AK505" s="13"/>
      <c r="AL505" s="301"/>
      <c r="AM505" s="300"/>
      <c r="AN505" s="13"/>
      <c r="AO505" s="301"/>
      <c r="AP505" s="300"/>
    </row>
    <row r="506">
      <c r="A506" s="13"/>
      <c r="B506" s="13"/>
      <c r="C506" s="13"/>
      <c r="D506" s="13"/>
      <c r="E506" s="13"/>
      <c r="F506" s="13"/>
      <c r="G506" s="13"/>
      <c r="H506" s="13"/>
      <c r="I506" s="13"/>
      <c r="J506" s="13"/>
      <c r="K506" s="13"/>
      <c r="L506" s="13"/>
      <c r="M506" s="13"/>
      <c r="N506" s="13"/>
      <c r="O506" s="13"/>
      <c r="P506" s="13"/>
      <c r="Q506" s="13"/>
      <c r="R506" s="300"/>
      <c r="S506" s="13"/>
      <c r="T506" s="13"/>
      <c r="U506" s="300"/>
      <c r="V506" s="13"/>
      <c r="W506" s="13"/>
      <c r="X506" s="300"/>
      <c r="Y506" s="13"/>
      <c r="Z506" s="13"/>
      <c r="AA506" s="300"/>
      <c r="AB506" s="13"/>
      <c r="AC506" s="13"/>
      <c r="AD506" s="300"/>
      <c r="AE506" s="13"/>
      <c r="AF506" s="13"/>
      <c r="AG506" s="300"/>
      <c r="AH506" s="13"/>
      <c r="AI506" s="13"/>
      <c r="AJ506" s="300"/>
      <c r="AK506" s="13"/>
      <c r="AL506" s="301"/>
      <c r="AM506" s="300"/>
      <c r="AN506" s="13"/>
      <c r="AO506" s="301"/>
      <c r="AP506" s="300"/>
    </row>
    <row r="507">
      <c r="A507" s="13"/>
      <c r="B507" s="13"/>
      <c r="C507" s="13"/>
      <c r="D507" s="13"/>
      <c r="E507" s="13"/>
      <c r="F507" s="13"/>
      <c r="G507" s="13"/>
      <c r="H507" s="13"/>
      <c r="I507" s="13"/>
      <c r="J507" s="13"/>
      <c r="K507" s="13"/>
      <c r="L507" s="13"/>
      <c r="M507" s="13"/>
      <c r="N507" s="13"/>
      <c r="O507" s="13"/>
      <c r="P507" s="13"/>
      <c r="Q507" s="13"/>
      <c r="R507" s="300"/>
      <c r="S507" s="13"/>
      <c r="T507" s="13"/>
      <c r="U507" s="300"/>
      <c r="V507" s="13"/>
      <c r="W507" s="13"/>
      <c r="X507" s="300"/>
      <c r="Y507" s="13"/>
      <c r="Z507" s="13"/>
      <c r="AA507" s="300"/>
      <c r="AB507" s="13"/>
      <c r="AC507" s="13"/>
      <c r="AD507" s="300"/>
      <c r="AE507" s="13"/>
      <c r="AF507" s="13"/>
      <c r="AG507" s="300"/>
      <c r="AH507" s="13"/>
      <c r="AI507" s="13"/>
      <c r="AJ507" s="300"/>
      <c r="AK507" s="13"/>
      <c r="AL507" s="301"/>
      <c r="AM507" s="300"/>
      <c r="AN507" s="13"/>
      <c r="AO507" s="301"/>
      <c r="AP507" s="300"/>
    </row>
    <row r="508">
      <c r="A508" s="13"/>
      <c r="B508" s="13"/>
      <c r="C508" s="13"/>
      <c r="D508" s="13"/>
      <c r="E508" s="13"/>
      <c r="F508" s="13"/>
      <c r="G508" s="13"/>
      <c r="H508" s="13"/>
      <c r="I508" s="13"/>
      <c r="J508" s="13"/>
      <c r="K508" s="13"/>
      <c r="L508" s="13"/>
      <c r="M508" s="13"/>
      <c r="N508" s="13"/>
      <c r="O508" s="13"/>
      <c r="P508" s="13"/>
      <c r="Q508" s="13"/>
      <c r="R508" s="300"/>
      <c r="S508" s="13"/>
      <c r="T508" s="13"/>
      <c r="U508" s="300"/>
      <c r="V508" s="13"/>
      <c r="W508" s="13"/>
      <c r="X508" s="300"/>
      <c r="Y508" s="13"/>
      <c r="Z508" s="13"/>
      <c r="AA508" s="300"/>
      <c r="AB508" s="13"/>
      <c r="AC508" s="13"/>
      <c r="AD508" s="300"/>
      <c r="AE508" s="13"/>
      <c r="AF508" s="13"/>
      <c r="AG508" s="300"/>
      <c r="AH508" s="13"/>
      <c r="AI508" s="13"/>
      <c r="AJ508" s="300"/>
      <c r="AK508" s="13"/>
      <c r="AL508" s="301"/>
      <c r="AM508" s="300"/>
      <c r="AN508" s="13"/>
      <c r="AO508" s="301"/>
      <c r="AP508" s="300"/>
    </row>
    <row r="509">
      <c r="A509" s="13"/>
      <c r="B509" s="13"/>
      <c r="C509" s="13"/>
      <c r="D509" s="13"/>
      <c r="E509" s="13"/>
      <c r="F509" s="13"/>
      <c r="G509" s="13"/>
      <c r="H509" s="13"/>
      <c r="I509" s="13"/>
      <c r="J509" s="13"/>
      <c r="K509" s="13"/>
      <c r="L509" s="13"/>
      <c r="M509" s="13"/>
      <c r="N509" s="13"/>
      <c r="O509" s="13"/>
      <c r="P509" s="13"/>
      <c r="Q509" s="13"/>
      <c r="R509" s="300"/>
      <c r="S509" s="13"/>
      <c r="T509" s="13"/>
      <c r="U509" s="300"/>
      <c r="V509" s="13"/>
      <c r="W509" s="13"/>
      <c r="X509" s="300"/>
      <c r="Y509" s="13"/>
      <c r="Z509" s="13"/>
      <c r="AA509" s="300"/>
      <c r="AB509" s="13"/>
      <c r="AC509" s="13"/>
      <c r="AD509" s="300"/>
      <c r="AE509" s="13"/>
      <c r="AF509" s="13"/>
      <c r="AG509" s="300"/>
      <c r="AH509" s="13"/>
      <c r="AI509" s="13"/>
      <c r="AJ509" s="300"/>
      <c r="AK509" s="13"/>
      <c r="AL509" s="301"/>
      <c r="AM509" s="300"/>
      <c r="AN509" s="13"/>
      <c r="AO509" s="301"/>
      <c r="AP509" s="300"/>
    </row>
    <row r="510">
      <c r="A510" s="13"/>
      <c r="B510" s="13"/>
      <c r="C510" s="13"/>
      <c r="D510" s="13"/>
      <c r="E510" s="13"/>
      <c r="F510" s="13"/>
      <c r="G510" s="13"/>
      <c r="H510" s="13"/>
      <c r="I510" s="13"/>
      <c r="J510" s="13"/>
      <c r="K510" s="13"/>
      <c r="L510" s="13"/>
      <c r="M510" s="13"/>
      <c r="N510" s="13"/>
      <c r="O510" s="13"/>
      <c r="P510" s="13"/>
      <c r="Q510" s="13"/>
      <c r="R510" s="300"/>
      <c r="S510" s="13"/>
      <c r="T510" s="13"/>
      <c r="U510" s="300"/>
      <c r="V510" s="13"/>
      <c r="W510" s="13"/>
      <c r="X510" s="300"/>
      <c r="Y510" s="13"/>
      <c r="Z510" s="13"/>
      <c r="AA510" s="300"/>
      <c r="AB510" s="13"/>
      <c r="AC510" s="13"/>
      <c r="AD510" s="300"/>
      <c r="AE510" s="13"/>
      <c r="AF510" s="13"/>
      <c r="AG510" s="300"/>
      <c r="AH510" s="13"/>
      <c r="AI510" s="13"/>
      <c r="AJ510" s="300"/>
      <c r="AK510" s="13"/>
      <c r="AL510" s="301"/>
      <c r="AM510" s="300"/>
      <c r="AN510" s="13"/>
      <c r="AO510" s="301"/>
      <c r="AP510" s="300"/>
    </row>
    <row r="511">
      <c r="A511" s="13"/>
      <c r="B511" s="13"/>
      <c r="C511" s="13"/>
      <c r="D511" s="13"/>
      <c r="E511" s="13"/>
      <c r="F511" s="13"/>
      <c r="G511" s="13"/>
      <c r="H511" s="13"/>
      <c r="I511" s="13"/>
      <c r="J511" s="13"/>
      <c r="K511" s="13"/>
      <c r="L511" s="13"/>
      <c r="M511" s="13"/>
      <c r="N511" s="13"/>
      <c r="O511" s="13"/>
      <c r="P511" s="13"/>
      <c r="Q511" s="13"/>
      <c r="R511" s="300"/>
      <c r="S511" s="13"/>
      <c r="T511" s="13"/>
      <c r="U511" s="300"/>
      <c r="V511" s="13"/>
      <c r="W511" s="13"/>
      <c r="X511" s="300"/>
      <c r="Y511" s="13"/>
      <c r="Z511" s="13"/>
      <c r="AA511" s="300"/>
      <c r="AB511" s="13"/>
      <c r="AC511" s="13"/>
      <c r="AD511" s="300"/>
      <c r="AE511" s="13"/>
      <c r="AF511" s="13"/>
      <c r="AG511" s="300"/>
      <c r="AH511" s="13"/>
      <c r="AI511" s="13"/>
      <c r="AJ511" s="300"/>
      <c r="AK511" s="13"/>
      <c r="AL511" s="301"/>
      <c r="AM511" s="300"/>
      <c r="AN511" s="13"/>
      <c r="AO511" s="301"/>
      <c r="AP511" s="300"/>
    </row>
    <row r="512">
      <c r="A512" s="13"/>
      <c r="B512" s="13"/>
      <c r="C512" s="13"/>
      <c r="D512" s="13"/>
      <c r="E512" s="13"/>
      <c r="F512" s="13"/>
      <c r="G512" s="13"/>
      <c r="H512" s="13"/>
      <c r="I512" s="13"/>
      <c r="J512" s="13"/>
      <c r="K512" s="13"/>
      <c r="L512" s="13"/>
      <c r="M512" s="13"/>
      <c r="N512" s="13"/>
      <c r="O512" s="13"/>
      <c r="P512" s="13"/>
      <c r="Q512" s="13"/>
      <c r="R512" s="300"/>
      <c r="S512" s="13"/>
      <c r="T512" s="13"/>
      <c r="U512" s="300"/>
      <c r="V512" s="13"/>
      <c r="W512" s="13"/>
      <c r="X512" s="300"/>
      <c r="Y512" s="13"/>
      <c r="Z512" s="13"/>
      <c r="AA512" s="300"/>
      <c r="AB512" s="13"/>
      <c r="AC512" s="13"/>
      <c r="AD512" s="300"/>
      <c r="AE512" s="13"/>
      <c r="AF512" s="13"/>
      <c r="AG512" s="300"/>
      <c r="AH512" s="13"/>
      <c r="AI512" s="13"/>
      <c r="AJ512" s="300"/>
      <c r="AK512" s="13"/>
      <c r="AL512" s="301"/>
      <c r="AM512" s="300"/>
      <c r="AN512" s="13"/>
      <c r="AO512" s="301"/>
      <c r="AP512" s="300"/>
    </row>
    <row r="513">
      <c r="A513" s="13"/>
      <c r="B513" s="13"/>
      <c r="C513" s="13"/>
      <c r="D513" s="13"/>
      <c r="E513" s="13"/>
      <c r="F513" s="13"/>
      <c r="G513" s="13"/>
      <c r="H513" s="13"/>
      <c r="I513" s="13"/>
      <c r="J513" s="13"/>
      <c r="K513" s="13"/>
      <c r="L513" s="13"/>
      <c r="M513" s="13"/>
      <c r="N513" s="13"/>
      <c r="O513" s="13"/>
      <c r="P513" s="13"/>
      <c r="Q513" s="13"/>
      <c r="R513" s="300"/>
      <c r="S513" s="13"/>
      <c r="T513" s="13"/>
      <c r="U513" s="300"/>
      <c r="V513" s="13"/>
      <c r="W513" s="13"/>
      <c r="X513" s="300"/>
      <c r="Y513" s="13"/>
      <c r="Z513" s="13"/>
      <c r="AA513" s="300"/>
      <c r="AB513" s="13"/>
      <c r="AC513" s="13"/>
      <c r="AD513" s="300"/>
      <c r="AE513" s="13"/>
      <c r="AF513" s="13"/>
      <c r="AG513" s="300"/>
      <c r="AH513" s="13"/>
      <c r="AI513" s="13"/>
      <c r="AJ513" s="300"/>
      <c r="AK513" s="13"/>
      <c r="AL513" s="301"/>
      <c r="AM513" s="300"/>
      <c r="AN513" s="13"/>
      <c r="AO513" s="301"/>
      <c r="AP513" s="300"/>
    </row>
    <row r="514">
      <c r="A514" s="13"/>
      <c r="B514" s="13"/>
      <c r="C514" s="13"/>
      <c r="D514" s="13"/>
      <c r="E514" s="13"/>
      <c r="F514" s="13"/>
      <c r="G514" s="13"/>
      <c r="H514" s="13"/>
      <c r="I514" s="13"/>
      <c r="J514" s="13"/>
      <c r="K514" s="13"/>
      <c r="L514" s="13"/>
      <c r="M514" s="13"/>
      <c r="N514" s="13"/>
      <c r="O514" s="13"/>
      <c r="P514" s="13"/>
      <c r="Q514" s="13"/>
      <c r="R514" s="300"/>
      <c r="S514" s="13"/>
      <c r="T514" s="13"/>
      <c r="U514" s="300"/>
      <c r="V514" s="13"/>
      <c r="W514" s="13"/>
      <c r="X514" s="300"/>
      <c r="Y514" s="13"/>
      <c r="Z514" s="13"/>
      <c r="AA514" s="300"/>
      <c r="AB514" s="13"/>
      <c r="AC514" s="13"/>
      <c r="AD514" s="300"/>
      <c r="AE514" s="13"/>
      <c r="AF514" s="13"/>
      <c r="AG514" s="300"/>
      <c r="AH514" s="13"/>
      <c r="AI514" s="13"/>
      <c r="AJ514" s="300"/>
      <c r="AK514" s="13"/>
      <c r="AL514" s="301"/>
      <c r="AM514" s="300"/>
      <c r="AN514" s="13"/>
      <c r="AO514" s="301"/>
      <c r="AP514" s="300"/>
    </row>
    <row r="515">
      <c r="A515" s="13"/>
      <c r="B515" s="13"/>
      <c r="C515" s="13"/>
      <c r="D515" s="13"/>
      <c r="E515" s="13"/>
      <c r="F515" s="13"/>
      <c r="G515" s="13"/>
      <c r="H515" s="13"/>
      <c r="I515" s="13"/>
      <c r="J515" s="13"/>
      <c r="K515" s="13"/>
      <c r="L515" s="13"/>
      <c r="M515" s="13"/>
      <c r="N515" s="13"/>
      <c r="O515" s="13"/>
      <c r="P515" s="13"/>
      <c r="Q515" s="13"/>
      <c r="R515" s="300"/>
      <c r="S515" s="13"/>
      <c r="T515" s="13"/>
      <c r="U515" s="300"/>
      <c r="V515" s="13"/>
      <c r="W515" s="13"/>
      <c r="X515" s="300"/>
      <c r="Y515" s="13"/>
      <c r="Z515" s="13"/>
      <c r="AA515" s="300"/>
      <c r="AB515" s="13"/>
      <c r="AC515" s="13"/>
      <c r="AD515" s="300"/>
      <c r="AE515" s="13"/>
      <c r="AF515" s="13"/>
      <c r="AG515" s="300"/>
      <c r="AH515" s="13"/>
      <c r="AI515" s="13"/>
      <c r="AJ515" s="300"/>
      <c r="AK515" s="13"/>
      <c r="AL515" s="301"/>
      <c r="AM515" s="300"/>
      <c r="AN515" s="13"/>
      <c r="AO515" s="301"/>
      <c r="AP515" s="300"/>
    </row>
    <row r="516">
      <c r="A516" s="13"/>
      <c r="B516" s="13"/>
      <c r="C516" s="13"/>
      <c r="D516" s="13"/>
      <c r="E516" s="13"/>
      <c r="F516" s="13"/>
      <c r="G516" s="13"/>
      <c r="H516" s="13"/>
      <c r="I516" s="13"/>
      <c r="J516" s="13"/>
      <c r="K516" s="13"/>
      <c r="L516" s="13"/>
      <c r="M516" s="13"/>
      <c r="N516" s="13"/>
      <c r="O516" s="13"/>
      <c r="P516" s="13"/>
      <c r="Q516" s="13"/>
      <c r="R516" s="300"/>
      <c r="S516" s="13"/>
      <c r="T516" s="13"/>
      <c r="U516" s="300"/>
      <c r="V516" s="13"/>
      <c r="W516" s="13"/>
      <c r="X516" s="300"/>
      <c r="Y516" s="13"/>
      <c r="Z516" s="13"/>
      <c r="AA516" s="300"/>
      <c r="AB516" s="13"/>
      <c r="AC516" s="13"/>
      <c r="AD516" s="300"/>
      <c r="AE516" s="13"/>
      <c r="AF516" s="13"/>
      <c r="AG516" s="300"/>
      <c r="AH516" s="13"/>
      <c r="AI516" s="13"/>
      <c r="AJ516" s="300"/>
      <c r="AK516" s="13"/>
      <c r="AL516" s="301"/>
      <c r="AM516" s="300"/>
      <c r="AN516" s="13"/>
      <c r="AO516" s="301"/>
      <c r="AP516" s="300"/>
    </row>
    <row r="517">
      <c r="A517" s="13"/>
      <c r="B517" s="13"/>
      <c r="C517" s="13"/>
      <c r="D517" s="13"/>
      <c r="E517" s="13"/>
      <c r="F517" s="13"/>
      <c r="G517" s="13"/>
      <c r="H517" s="13"/>
      <c r="I517" s="13"/>
      <c r="J517" s="13"/>
      <c r="K517" s="13"/>
      <c r="L517" s="13"/>
      <c r="M517" s="13"/>
      <c r="N517" s="13"/>
      <c r="O517" s="13"/>
      <c r="P517" s="13"/>
      <c r="Q517" s="13"/>
      <c r="R517" s="300"/>
      <c r="S517" s="13"/>
      <c r="T517" s="13"/>
      <c r="U517" s="300"/>
      <c r="V517" s="13"/>
      <c r="W517" s="13"/>
      <c r="X517" s="300"/>
      <c r="Y517" s="13"/>
      <c r="Z517" s="13"/>
      <c r="AA517" s="300"/>
      <c r="AB517" s="13"/>
      <c r="AC517" s="13"/>
      <c r="AD517" s="300"/>
      <c r="AE517" s="13"/>
      <c r="AF517" s="13"/>
      <c r="AG517" s="300"/>
      <c r="AH517" s="13"/>
      <c r="AI517" s="13"/>
      <c r="AJ517" s="300"/>
      <c r="AK517" s="13"/>
      <c r="AL517" s="301"/>
      <c r="AM517" s="300"/>
      <c r="AN517" s="13"/>
      <c r="AO517" s="301"/>
      <c r="AP517" s="300"/>
    </row>
    <row r="518">
      <c r="A518" s="13"/>
      <c r="B518" s="13"/>
      <c r="C518" s="13"/>
      <c r="D518" s="13"/>
      <c r="E518" s="13"/>
      <c r="F518" s="13"/>
      <c r="G518" s="13"/>
      <c r="H518" s="13"/>
      <c r="I518" s="13"/>
      <c r="J518" s="13"/>
      <c r="K518" s="13"/>
      <c r="L518" s="13"/>
      <c r="M518" s="13"/>
      <c r="N518" s="13"/>
      <c r="O518" s="13"/>
      <c r="P518" s="13"/>
      <c r="Q518" s="13"/>
      <c r="R518" s="300"/>
      <c r="S518" s="13"/>
      <c r="T518" s="13"/>
      <c r="U518" s="300"/>
      <c r="V518" s="13"/>
      <c r="W518" s="13"/>
      <c r="X518" s="300"/>
      <c r="Y518" s="13"/>
      <c r="Z518" s="13"/>
      <c r="AA518" s="300"/>
      <c r="AB518" s="13"/>
      <c r="AC518" s="13"/>
      <c r="AD518" s="300"/>
      <c r="AE518" s="13"/>
      <c r="AF518" s="13"/>
      <c r="AG518" s="300"/>
      <c r="AH518" s="13"/>
      <c r="AI518" s="13"/>
      <c r="AJ518" s="300"/>
      <c r="AK518" s="13"/>
      <c r="AL518" s="301"/>
      <c r="AM518" s="300"/>
      <c r="AN518" s="13"/>
      <c r="AO518" s="301"/>
      <c r="AP518" s="300"/>
    </row>
    <row r="519">
      <c r="A519" s="13"/>
      <c r="B519" s="13"/>
      <c r="C519" s="13"/>
      <c r="D519" s="13"/>
      <c r="E519" s="13"/>
      <c r="F519" s="13"/>
      <c r="G519" s="13"/>
      <c r="H519" s="13"/>
      <c r="I519" s="13"/>
      <c r="J519" s="13"/>
      <c r="K519" s="13"/>
      <c r="L519" s="13"/>
      <c r="M519" s="13"/>
      <c r="N519" s="13"/>
      <c r="O519" s="13"/>
      <c r="P519" s="13"/>
      <c r="Q519" s="13"/>
      <c r="R519" s="300"/>
      <c r="S519" s="13"/>
      <c r="T519" s="13"/>
      <c r="U519" s="300"/>
      <c r="V519" s="13"/>
      <c r="W519" s="13"/>
      <c r="X519" s="300"/>
      <c r="Y519" s="13"/>
      <c r="Z519" s="13"/>
      <c r="AA519" s="300"/>
      <c r="AB519" s="13"/>
      <c r="AC519" s="13"/>
      <c r="AD519" s="300"/>
      <c r="AE519" s="13"/>
      <c r="AF519" s="13"/>
      <c r="AG519" s="300"/>
      <c r="AH519" s="13"/>
      <c r="AI519" s="13"/>
      <c r="AJ519" s="300"/>
      <c r="AK519" s="13"/>
      <c r="AL519" s="301"/>
      <c r="AM519" s="300"/>
      <c r="AN519" s="13"/>
      <c r="AO519" s="301"/>
      <c r="AP519" s="300"/>
    </row>
    <row r="520">
      <c r="A520" s="13"/>
      <c r="B520" s="13"/>
      <c r="C520" s="13"/>
      <c r="D520" s="13"/>
      <c r="E520" s="13"/>
      <c r="F520" s="13"/>
      <c r="G520" s="13"/>
      <c r="H520" s="13"/>
      <c r="I520" s="13"/>
      <c r="J520" s="13"/>
      <c r="K520" s="13"/>
      <c r="L520" s="13"/>
      <c r="M520" s="13"/>
      <c r="N520" s="13"/>
      <c r="O520" s="13"/>
      <c r="P520" s="13"/>
      <c r="Q520" s="13"/>
      <c r="R520" s="300"/>
      <c r="S520" s="13"/>
      <c r="T520" s="13"/>
      <c r="U520" s="300"/>
      <c r="V520" s="13"/>
      <c r="W520" s="13"/>
      <c r="X520" s="300"/>
      <c r="Y520" s="13"/>
      <c r="Z520" s="13"/>
      <c r="AA520" s="300"/>
      <c r="AB520" s="13"/>
      <c r="AC520" s="13"/>
      <c r="AD520" s="300"/>
      <c r="AE520" s="13"/>
      <c r="AF520" s="13"/>
      <c r="AG520" s="300"/>
      <c r="AH520" s="13"/>
      <c r="AI520" s="13"/>
      <c r="AJ520" s="300"/>
      <c r="AK520" s="13"/>
      <c r="AL520" s="301"/>
      <c r="AM520" s="300"/>
      <c r="AN520" s="13"/>
      <c r="AO520" s="301"/>
      <c r="AP520" s="300"/>
    </row>
    <row r="521">
      <c r="A521" s="13"/>
      <c r="B521" s="13"/>
      <c r="C521" s="13"/>
      <c r="D521" s="13"/>
      <c r="E521" s="13"/>
      <c r="F521" s="13"/>
      <c r="G521" s="13"/>
      <c r="H521" s="13"/>
      <c r="I521" s="13"/>
      <c r="J521" s="13"/>
      <c r="K521" s="13"/>
      <c r="L521" s="13"/>
      <c r="M521" s="13"/>
      <c r="N521" s="13"/>
      <c r="O521" s="13"/>
      <c r="P521" s="13"/>
      <c r="Q521" s="13"/>
      <c r="R521" s="300"/>
      <c r="S521" s="13"/>
      <c r="T521" s="13"/>
      <c r="U521" s="300"/>
      <c r="V521" s="13"/>
      <c r="W521" s="13"/>
      <c r="X521" s="300"/>
      <c r="Y521" s="13"/>
      <c r="Z521" s="13"/>
      <c r="AA521" s="300"/>
      <c r="AB521" s="13"/>
      <c r="AC521" s="13"/>
      <c r="AD521" s="300"/>
      <c r="AE521" s="13"/>
      <c r="AF521" s="13"/>
      <c r="AG521" s="300"/>
      <c r="AH521" s="13"/>
      <c r="AI521" s="13"/>
      <c r="AJ521" s="300"/>
      <c r="AK521" s="13"/>
      <c r="AL521" s="301"/>
      <c r="AM521" s="300"/>
      <c r="AN521" s="13"/>
      <c r="AO521" s="301"/>
      <c r="AP521" s="300"/>
    </row>
    <row r="522">
      <c r="A522" s="13"/>
      <c r="B522" s="13"/>
      <c r="C522" s="13"/>
      <c r="D522" s="13"/>
      <c r="E522" s="13"/>
      <c r="F522" s="13"/>
      <c r="G522" s="13"/>
      <c r="H522" s="13"/>
      <c r="I522" s="13"/>
      <c r="J522" s="13"/>
      <c r="K522" s="13"/>
      <c r="L522" s="13"/>
      <c r="M522" s="13"/>
      <c r="N522" s="13"/>
      <c r="O522" s="13"/>
      <c r="P522" s="13"/>
      <c r="Q522" s="13"/>
      <c r="R522" s="300"/>
      <c r="S522" s="13"/>
      <c r="T522" s="13"/>
      <c r="U522" s="300"/>
      <c r="V522" s="13"/>
      <c r="W522" s="13"/>
      <c r="X522" s="300"/>
      <c r="Y522" s="13"/>
      <c r="Z522" s="13"/>
      <c r="AA522" s="300"/>
      <c r="AB522" s="13"/>
      <c r="AC522" s="13"/>
      <c r="AD522" s="300"/>
      <c r="AE522" s="13"/>
      <c r="AF522" s="13"/>
      <c r="AG522" s="300"/>
      <c r="AH522" s="13"/>
      <c r="AI522" s="13"/>
      <c r="AJ522" s="300"/>
      <c r="AK522" s="13"/>
      <c r="AL522" s="301"/>
      <c r="AM522" s="300"/>
      <c r="AN522" s="13"/>
      <c r="AO522" s="301"/>
      <c r="AP522" s="300"/>
    </row>
    <row r="523">
      <c r="A523" s="13"/>
      <c r="B523" s="13"/>
      <c r="C523" s="13"/>
      <c r="D523" s="13"/>
      <c r="E523" s="13"/>
      <c r="F523" s="13"/>
      <c r="G523" s="13"/>
      <c r="H523" s="13"/>
      <c r="I523" s="13"/>
      <c r="J523" s="13"/>
      <c r="K523" s="13"/>
      <c r="L523" s="13"/>
      <c r="M523" s="13"/>
      <c r="N523" s="13"/>
      <c r="O523" s="13"/>
      <c r="P523" s="13"/>
      <c r="Q523" s="13"/>
      <c r="R523" s="300"/>
      <c r="S523" s="13"/>
      <c r="T523" s="13"/>
      <c r="U523" s="300"/>
      <c r="V523" s="13"/>
      <c r="W523" s="13"/>
      <c r="X523" s="300"/>
      <c r="Y523" s="13"/>
      <c r="Z523" s="13"/>
      <c r="AA523" s="300"/>
      <c r="AB523" s="13"/>
      <c r="AC523" s="13"/>
      <c r="AD523" s="300"/>
      <c r="AE523" s="13"/>
      <c r="AF523" s="13"/>
      <c r="AG523" s="300"/>
      <c r="AH523" s="13"/>
      <c r="AI523" s="13"/>
      <c r="AJ523" s="300"/>
      <c r="AK523" s="13"/>
      <c r="AL523" s="301"/>
      <c r="AM523" s="300"/>
      <c r="AN523" s="13"/>
      <c r="AO523" s="301"/>
      <c r="AP523" s="300"/>
    </row>
    <row r="524">
      <c r="A524" s="13"/>
      <c r="B524" s="13"/>
      <c r="C524" s="13"/>
      <c r="D524" s="13"/>
      <c r="E524" s="13"/>
      <c r="F524" s="13"/>
      <c r="G524" s="13"/>
      <c r="H524" s="13"/>
      <c r="I524" s="13"/>
      <c r="J524" s="13"/>
      <c r="K524" s="13"/>
      <c r="L524" s="13"/>
      <c r="M524" s="13"/>
      <c r="N524" s="13"/>
      <c r="O524" s="13"/>
      <c r="P524" s="13"/>
      <c r="Q524" s="13"/>
      <c r="R524" s="300"/>
      <c r="S524" s="13"/>
      <c r="T524" s="13"/>
      <c r="U524" s="300"/>
      <c r="V524" s="13"/>
      <c r="W524" s="13"/>
      <c r="X524" s="300"/>
      <c r="Y524" s="13"/>
      <c r="Z524" s="13"/>
      <c r="AA524" s="300"/>
      <c r="AB524" s="13"/>
      <c r="AC524" s="13"/>
      <c r="AD524" s="300"/>
      <c r="AE524" s="13"/>
      <c r="AF524" s="13"/>
      <c r="AG524" s="300"/>
      <c r="AH524" s="13"/>
      <c r="AI524" s="13"/>
      <c r="AJ524" s="300"/>
      <c r="AK524" s="13"/>
      <c r="AL524" s="301"/>
      <c r="AM524" s="300"/>
      <c r="AN524" s="13"/>
      <c r="AO524" s="301"/>
      <c r="AP524" s="300"/>
    </row>
    <row r="525">
      <c r="A525" s="13"/>
      <c r="B525" s="13"/>
      <c r="C525" s="13"/>
      <c r="D525" s="13"/>
      <c r="E525" s="13"/>
      <c r="F525" s="13"/>
      <c r="G525" s="13"/>
      <c r="H525" s="13"/>
      <c r="I525" s="13"/>
      <c r="J525" s="13"/>
      <c r="K525" s="13"/>
      <c r="L525" s="13"/>
      <c r="M525" s="13"/>
      <c r="N525" s="13"/>
      <c r="O525" s="13"/>
      <c r="P525" s="13"/>
      <c r="Q525" s="13"/>
      <c r="R525" s="300"/>
      <c r="S525" s="13"/>
      <c r="T525" s="13"/>
      <c r="U525" s="300"/>
      <c r="V525" s="13"/>
      <c r="W525" s="13"/>
      <c r="X525" s="300"/>
      <c r="Y525" s="13"/>
      <c r="Z525" s="13"/>
      <c r="AA525" s="300"/>
      <c r="AB525" s="13"/>
      <c r="AC525" s="13"/>
      <c r="AD525" s="300"/>
      <c r="AE525" s="13"/>
      <c r="AF525" s="13"/>
      <c r="AG525" s="300"/>
      <c r="AH525" s="13"/>
      <c r="AI525" s="13"/>
      <c r="AJ525" s="300"/>
      <c r="AK525" s="13"/>
      <c r="AL525" s="301"/>
      <c r="AM525" s="300"/>
      <c r="AN525" s="13"/>
      <c r="AO525" s="301"/>
      <c r="AP525" s="300"/>
    </row>
    <row r="526">
      <c r="A526" s="13"/>
      <c r="B526" s="13"/>
      <c r="C526" s="13"/>
      <c r="D526" s="13"/>
      <c r="E526" s="13"/>
      <c r="F526" s="13"/>
      <c r="G526" s="13"/>
      <c r="H526" s="13"/>
      <c r="I526" s="13"/>
      <c r="J526" s="13"/>
      <c r="K526" s="13"/>
      <c r="L526" s="13"/>
      <c r="M526" s="13"/>
      <c r="N526" s="13"/>
      <c r="O526" s="13"/>
      <c r="P526" s="13"/>
      <c r="Q526" s="13"/>
      <c r="R526" s="300"/>
      <c r="S526" s="13"/>
      <c r="T526" s="13"/>
      <c r="U526" s="300"/>
      <c r="V526" s="13"/>
      <c r="W526" s="13"/>
      <c r="X526" s="300"/>
      <c r="Y526" s="13"/>
      <c r="Z526" s="13"/>
      <c r="AA526" s="300"/>
      <c r="AB526" s="13"/>
      <c r="AC526" s="13"/>
      <c r="AD526" s="300"/>
      <c r="AE526" s="13"/>
      <c r="AF526" s="13"/>
      <c r="AG526" s="300"/>
      <c r="AH526" s="13"/>
      <c r="AI526" s="13"/>
      <c r="AJ526" s="300"/>
      <c r="AK526" s="13"/>
      <c r="AL526" s="301"/>
      <c r="AM526" s="300"/>
      <c r="AN526" s="13"/>
      <c r="AO526" s="301"/>
      <c r="AP526" s="300"/>
    </row>
    <row r="527">
      <c r="A527" s="13"/>
      <c r="B527" s="13"/>
      <c r="C527" s="13"/>
      <c r="D527" s="13"/>
      <c r="E527" s="13"/>
      <c r="F527" s="13"/>
      <c r="G527" s="13"/>
      <c r="H527" s="13"/>
      <c r="I527" s="13"/>
      <c r="J527" s="13"/>
      <c r="K527" s="13"/>
      <c r="L527" s="13"/>
      <c r="M527" s="13"/>
      <c r="N527" s="13"/>
      <c r="O527" s="13"/>
      <c r="P527" s="13"/>
      <c r="Q527" s="13"/>
      <c r="R527" s="300"/>
      <c r="S527" s="13"/>
      <c r="T527" s="13"/>
      <c r="U527" s="300"/>
      <c r="V527" s="13"/>
      <c r="W527" s="13"/>
      <c r="X527" s="300"/>
      <c r="Y527" s="13"/>
      <c r="Z527" s="13"/>
      <c r="AA527" s="300"/>
      <c r="AB527" s="13"/>
      <c r="AC527" s="13"/>
      <c r="AD527" s="300"/>
      <c r="AE527" s="13"/>
      <c r="AF527" s="13"/>
      <c r="AG527" s="300"/>
      <c r="AH527" s="13"/>
      <c r="AI527" s="13"/>
      <c r="AJ527" s="300"/>
      <c r="AK527" s="13"/>
      <c r="AL527" s="301"/>
      <c r="AM527" s="300"/>
      <c r="AN527" s="13"/>
      <c r="AO527" s="301"/>
      <c r="AP527" s="300"/>
    </row>
    <row r="528">
      <c r="A528" s="13"/>
      <c r="B528" s="13"/>
      <c r="C528" s="13"/>
      <c r="D528" s="13"/>
      <c r="E528" s="13"/>
      <c r="F528" s="13"/>
      <c r="G528" s="13"/>
      <c r="H528" s="13"/>
      <c r="I528" s="13"/>
      <c r="J528" s="13"/>
      <c r="K528" s="13"/>
      <c r="L528" s="13"/>
      <c r="M528" s="13"/>
      <c r="N528" s="13"/>
      <c r="O528" s="13"/>
      <c r="P528" s="13"/>
      <c r="Q528" s="13"/>
      <c r="R528" s="300"/>
      <c r="S528" s="13"/>
      <c r="T528" s="13"/>
      <c r="U528" s="300"/>
      <c r="V528" s="13"/>
      <c r="W528" s="13"/>
      <c r="X528" s="300"/>
      <c r="Y528" s="13"/>
      <c r="Z528" s="13"/>
      <c r="AA528" s="300"/>
      <c r="AB528" s="13"/>
      <c r="AC528" s="13"/>
      <c r="AD528" s="300"/>
      <c r="AE528" s="13"/>
      <c r="AF528" s="13"/>
      <c r="AG528" s="300"/>
      <c r="AH528" s="13"/>
      <c r="AI528" s="13"/>
      <c r="AJ528" s="300"/>
      <c r="AK528" s="13"/>
      <c r="AL528" s="301"/>
      <c r="AM528" s="300"/>
      <c r="AN528" s="13"/>
      <c r="AO528" s="301"/>
      <c r="AP528" s="300"/>
    </row>
    <row r="529">
      <c r="A529" s="13"/>
      <c r="B529" s="13"/>
      <c r="C529" s="13"/>
      <c r="D529" s="13"/>
      <c r="E529" s="13"/>
      <c r="F529" s="13"/>
      <c r="G529" s="13"/>
      <c r="H529" s="13"/>
      <c r="I529" s="13"/>
      <c r="J529" s="13"/>
      <c r="K529" s="13"/>
      <c r="L529" s="13"/>
      <c r="M529" s="13"/>
      <c r="N529" s="13"/>
      <c r="O529" s="13"/>
      <c r="P529" s="13"/>
      <c r="Q529" s="13"/>
      <c r="R529" s="300"/>
      <c r="S529" s="13"/>
      <c r="T529" s="13"/>
      <c r="U529" s="300"/>
      <c r="V529" s="13"/>
      <c r="W529" s="13"/>
      <c r="X529" s="300"/>
      <c r="Y529" s="13"/>
      <c r="Z529" s="13"/>
      <c r="AA529" s="300"/>
      <c r="AB529" s="13"/>
      <c r="AC529" s="13"/>
      <c r="AD529" s="300"/>
      <c r="AE529" s="13"/>
      <c r="AF529" s="13"/>
      <c r="AG529" s="300"/>
      <c r="AH529" s="13"/>
      <c r="AI529" s="13"/>
      <c r="AJ529" s="300"/>
      <c r="AK529" s="13"/>
      <c r="AL529" s="301"/>
      <c r="AM529" s="300"/>
      <c r="AN529" s="13"/>
      <c r="AO529" s="301"/>
      <c r="AP529" s="300"/>
    </row>
    <row r="530">
      <c r="A530" s="13"/>
      <c r="B530" s="13"/>
      <c r="C530" s="13"/>
      <c r="D530" s="13"/>
      <c r="E530" s="13"/>
      <c r="F530" s="13"/>
      <c r="G530" s="13"/>
      <c r="H530" s="13"/>
      <c r="I530" s="13"/>
      <c r="J530" s="13"/>
      <c r="K530" s="13"/>
      <c r="L530" s="13"/>
      <c r="M530" s="13"/>
      <c r="N530" s="13"/>
      <c r="O530" s="13"/>
      <c r="P530" s="13"/>
      <c r="Q530" s="13"/>
      <c r="R530" s="300"/>
      <c r="S530" s="13"/>
      <c r="T530" s="13"/>
      <c r="U530" s="300"/>
      <c r="V530" s="13"/>
      <c r="W530" s="13"/>
      <c r="X530" s="300"/>
      <c r="Y530" s="13"/>
      <c r="Z530" s="13"/>
      <c r="AA530" s="300"/>
      <c r="AB530" s="13"/>
      <c r="AC530" s="13"/>
      <c r="AD530" s="300"/>
      <c r="AE530" s="13"/>
      <c r="AF530" s="13"/>
      <c r="AG530" s="300"/>
      <c r="AH530" s="13"/>
      <c r="AI530" s="13"/>
      <c r="AJ530" s="300"/>
      <c r="AK530" s="13"/>
      <c r="AL530" s="301"/>
      <c r="AM530" s="300"/>
      <c r="AN530" s="13"/>
      <c r="AO530" s="301"/>
      <c r="AP530" s="300"/>
    </row>
    <row r="531">
      <c r="A531" s="13"/>
      <c r="B531" s="13"/>
      <c r="C531" s="13"/>
      <c r="D531" s="13"/>
      <c r="E531" s="13"/>
      <c r="F531" s="13"/>
      <c r="G531" s="13"/>
      <c r="H531" s="13"/>
      <c r="I531" s="13"/>
      <c r="J531" s="13"/>
      <c r="K531" s="13"/>
      <c r="L531" s="13"/>
      <c r="M531" s="13"/>
      <c r="N531" s="13"/>
      <c r="O531" s="13"/>
      <c r="P531" s="13"/>
      <c r="Q531" s="13"/>
      <c r="R531" s="300"/>
      <c r="S531" s="13"/>
      <c r="T531" s="13"/>
      <c r="U531" s="300"/>
      <c r="V531" s="13"/>
      <c r="W531" s="13"/>
      <c r="X531" s="300"/>
      <c r="Y531" s="13"/>
      <c r="Z531" s="13"/>
      <c r="AA531" s="300"/>
      <c r="AB531" s="13"/>
      <c r="AC531" s="13"/>
      <c r="AD531" s="300"/>
      <c r="AE531" s="13"/>
      <c r="AF531" s="13"/>
      <c r="AG531" s="300"/>
      <c r="AH531" s="13"/>
      <c r="AI531" s="13"/>
      <c r="AJ531" s="300"/>
      <c r="AK531" s="13"/>
      <c r="AL531" s="301"/>
      <c r="AM531" s="300"/>
      <c r="AN531" s="13"/>
      <c r="AO531" s="301"/>
      <c r="AP531" s="300"/>
    </row>
    <row r="532">
      <c r="A532" s="13"/>
      <c r="B532" s="13"/>
      <c r="C532" s="13"/>
      <c r="D532" s="13"/>
      <c r="E532" s="13"/>
      <c r="F532" s="13"/>
      <c r="G532" s="13"/>
      <c r="H532" s="13"/>
      <c r="I532" s="13"/>
      <c r="J532" s="13"/>
      <c r="K532" s="13"/>
      <c r="L532" s="13"/>
      <c r="M532" s="13"/>
      <c r="N532" s="13"/>
      <c r="O532" s="13"/>
      <c r="P532" s="13"/>
      <c r="Q532" s="13"/>
      <c r="R532" s="300"/>
      <c r="S532" s="13"/>
      <c r="T532" s="13"/>
      <c r="U532" s="300"/>
      <c r="V532" s="13"/>
      <c r="W532" s="13"/>
      <c r="X532" s="300"/>
      <c r="Y532" s="13"/>
      <c r="Z532" s="13"/>
      <c r="AA532" s="300"/>
      <c r="AB532" s="13"/>
      <c r="AC532" s="13"/>
      <c r="AD532" s="300"/>
      <c r="AE532" s="13"/>
      <c r="AF532" s="13"/>
      <c r="AG532" s="300"/>
      <c r="AH532" s="13"/>
      <c r="AI532" s="13"/>
      <c r="AJ532" s="300"/>
      <c r="AK532" s="13"/>
      <c r="AL532" s="301"/>
      <c r="AM532" s="300"/>
      <c r="AN532" s="13"/>
      <c r="AO532" s="301"/>
      <c r="AP532" s="300"/>
    </row>
    <row r="533">
      <c r="A533" s="13"/>
      <c r="B533" s="13"/>
      <c r="C533" s="13"/>
      <c r="D533" s="13"/>
      <c r="E533" s="13"/>
      <c r="F533" s="13"/>
      <c r="G533" s="13"/>
      <c r="H533" s="13"/>
      <c r="I533" s="13"/>
      <c r="J533" s="13"/>
      <c r="K533" s="13"/>
      <c r="L533" s="13"/>
      <c r="M533" s="13"/>
      <c r="N533" s="13"/>
      <c r="O533" s="13"/>
      <c r="P533" s="13"/>
      <c r="Q533" s="13"/>
      <c r="R533" s="300"/>
      <c r="S533" s="13"/>
      <c r="T533" s="13"/>
      <c r="U533" s="300"/>
      <c r="V533" s="13"/>
      <c r="W533" s="13"/>
      <c r="X533" s="300"/>
      <c r="Y533" s="13"/>
      <c r="Z533" s="13"/>
      <c r="AA533" s="300"/>
      <c r="AB533" s="13"/>
      <c r="AC533" s="13"/>
      <c r="AD533" s="300"/>
      <c r="AE533" s="13"/>
      <c r="AF533" s="13"/>
      <c r="AG533" s="300"/>
      <c r="AH533" s="13"/>
      <c r="AI533" s="13"/>
      <c r="AJ533" s="300"/>
      <c r="AK533" s="13"/>
      <c r="AL533" s="301"/>
      <c r="AM533" s="300"/>
      <c r="AN533" s="13"/>
      <c r="AO533" s="301"/>
      <c r="AP533" s="300"/>
    </row>
    <row r="534">
      <c r="A534" s="13"/>
      <c r="B534" s="13"/>
      <c r="C534" s="13"/>
      <c r="D534" s="13"/>
      <c r="E534" s="13"/>
      <c r="F534" s="13"/>
      <c r="G534" s="13"/>
      <c r="H534" s="13"/>
      <c r="I534" s="13"/>
      <c r="J534" s="13"/>
      <c r="K534" s="13"/>
      <c r="L534" s="13"/>
      <c r="M534" s="13"/>
      <c r="N534" s="13"/>
      <c r="O534" s="13"/>
      <c r="P534" s="13"/>
      <c r="Q534" s="13"/>
      <c r="R534" s="300"/>
      <c r="S534" s="13"/>
      <c r="T534" s="13"/>
      <c r="U534" s="300"/>
      <c r="V534" s="13"/>
      <c r="W534" s="13"/>
      <c r="X534" s="300"/>
      <c r="Y534" s="13"/>
      <c r="Z534" s="13"/>
      <c r="AA534" s="300"/>
      <c r="AB534" s="13"/>
      <c r="AC534" s="13"/>
      <c r="AD534" s="300"/>
      <c r="AE534" s="13"/>
      <c r="AF534" s="13"/>
      <c r="AG534" s="300"/>
      <c r="AH534" s="13"/>
      <c r="AI534" s="13"/>
      <c r="AJ534" s="300"/>
      <c r="AK534" s="13"/>
      <c r="AL534" s="301"/>
      <c r="AM534" s="300"/>
      <c r="AN534" s="13"/>
      <c r="AO534" s="301"/>
      <c r="AP534" s="300"/>
    </row>
    <row r="535">
      <c r="A535" s="13"/>
      <c r="B535" s="13"/>
      <c r="C535" s="13"/>
      <c r="D535" s="13"/>
      <c r="E535" s="13"/>
      <c r="F535" s="13"/>
      <c r="G535" s="13"/>
      <c r="H535" s="13"/>
      <c r="I535" s="13"/>
      <c r="J535" s="13"/>
      <c r="K535" s="13"/>
      <c r="L535" s="13"/>
      <c r="M535" s="13"/>
      <c r="N535" s="13"/>
      <c r="O535" s="13"/>
      <c r="P535" s="13"/>
      <c r="Q535" s="13"/>
      <c r="R535" s="300"/>
      <c r="S535" s="13"/>
      <c r="T535" s="13"/>
      <c r="U535" s="300"/>
      <c r="V535" s="13"/>
      <c r="W535" s="13"/>
      <c r="X535" s="300"/>
      <c r="Y535" s="13"/>
      <c r="Z535" s="13"/>
      <c r="AA535" s="300"/>
      <c r="AB535" s="13"/>
      <c r="AC535" s="13"/>
      <c r="AD535" s="300"/>
      <c r="AE535" s="13"/>
      <c r="AF535" s="13"/>
      <c r="AG535" s="300"/>
      <c r="AH535" s="13"/>
      <c r="AI535" s="13"/>
      <c r="AJ535" s="300"/>
      <c r="AK535" s="13"/>
      <c r="AL535" s="301"/>
      <c r="AM535" s="300"/>
      <c r="AN535" s="13"/>
      <c r="AO535" s="301"/>
      <c r="AP535" s="300"/>
    </row>
    <row r="536">
      <c r="A536" s="13"/>
      <c r="B536" s="13"/>
      <c r="C536" s="13"/>
      <c r="D536" s="13"/>
      <c r="E536" s="13"/>
      <c r="F536" s="13"/>
      <c r="G536" s="13"/>
      <c r="H536" s="13"/>
      <c r="I536" s="13"/>
      <c r="J536" s="13"/>
      <c r="K536" s="13"/>
      <c r="L536" s="13"/>
      <c r="M536" s="13"/>
      <c r="N536" s="13"/>
      <c r="O536" s="13"/>
      <c r="P536" s="13"/>
      <c r="Q536" s="13"/>
      <c r="R536" s="300"/>
      <c r="S536" s="13"/>
      <c r="T536" s="13"/>
      <c r="U536" s="300"/>
      <c r="V536" s="13"/>
      <c r="W536" s="13"/>
      <c r="X536" s="300"/>
      <c r="Y536" s="13"/>
      <c r="Z536" s="13"/>
      <c r="AA536" s="300"/>
      <c r="AB536" s="13"/>
      <c r="AC536" s="13"/>
      <c r="AD536" s="300"/>
      <c r="AE536" s="13"/>
      <c r="AF536" s="13"/>
      <c r="AG536" s="300"/>
      <c r="AH536" s="13"/>
      <c r="AI536" s="13"/>
      <c r="AJ536" s="300"/>
      <c r="AK536" s="13"/>
      <c r="AL536" s="301"/>
      <c r="AM536" s="300"/>
      <c r="AN536" s="13"/>
      <c r="AO536" s="301"/>
      <c r="AP536" s="300"/>
    </row>
    <row r="537">
      <c r="A537" s="13"/>
      <c r="B537" s="13"/>
      <c r="C537" s="13"/>
      <c r="D537" s="13"/>
      <c r="E537" s="13"/>
      <c r="F537" s="13"/>
      <c r="G537" s="13"/>
      <c r="H537" s="13"/>
      <c r="I537" s="13"/>
      <c r="J537" s="13"/>
      <c r="K537" s="13"/>
      <c r="L537" s="13"/>
      <c r="M537" s="13"/>
      <c r="N537" s="13"/>
      <c r="O537" s="13"/>
      <c r="P537" s="13"/>
      <c r="Q537" s="13"/>
      <c r="R537" s="300"/>
      <c r="S537" s="13"/>
      <c r="T537" s="13"/>
      <c r="U537" s="300"/>
      <c r="V537" s="13"/>
      <c r="W537" s="13"/>
      <c r="X537" s="300"/>
      <c r="Y537" s="13"/>
      <c r="Z537" s="13"/>
      <c r="AA537" s="300"/>
      <c r="AB537" s="13"/>
      <c r="AC537" s="13"/>
      <c r="AD537" s="300"/>
      <c r="AE537" s="13"/>
      <c r="AF537" s="13"/>
      <c r="AG537" s="300"/>
      <c r="AH537" s="13"/>
      <c r="AI537" s="13"/>
      <c r="AJ537" s="300"/>
      <c r="AK537" s="13"/>
      <c r="AL537" s="301"/>
      <c r="AM537" s="300"/>
      <c r="AN537" s="13"/>
      <c r="AO537" s="301"/>
      <c r="AP537" s="300"/>
    </row>
    <row r="538">
      <c r="A538" s="13"/>
      <c r="B538" s="13"/>
      <c r="C538" s="13"/>
      <c r="D538" s="13"/>
      <c r="E538" s="13"/>
      <c r="F538" s="13"/>
      <c r="G538" s="13"/>
      <c r="H538" s="13"/>
      <c r="I538" s="13"/>
      <c r="J538" s="13"/>
      <c r="K538" s="13"/>
      <c r="L538" s="13"/>
      <c r="M538" s="13"/>
      <c r="N538" s="13"/>
      <c r="O538" s="13"/>
      <c r="P538" s="13"/>
      <c r="Q538" s="13"/>
      <c r="R538" s="300"/>
      <c r="S538" s="13"/>
      <c r="T538" s="13"/>
      <c r="U538" s="300"/>
      <c r="V538" s="13"/>
      <c r="W538" s="13"/>
      <c r="X538" s="300"/>
      <c r="Y538" s="13"/>
      <c r="Z538" s="13"/>
      <c r="AA538" s="300"/>
      <c r="AB538" s="13"/>
      <c r="AC538" s="13"/>
      <c r="AD538" s="300"/>
      <c r="AE538" s="13"/>
      <c r="AF538" s="13"/>
      <c r="AG538" s="300"/>
      <c r="AH538" s="13"/>
      <c r="AI538" s="13"/>
      <c r="AJ538" s="300"/>
      <c r="AK538" s="13"/>
      <c r="AL538" s="301"/>
      <c r="AM538" s="300"/>
      <c r="AN538" s="13"/>
      <c r="AO538" s="301"/>
      <c r="AP538" s="300"/>
    </row>
    <row r="539">
      <c r="A539" s="13"/>
      <c r="B539" s="13"/>
      <c r="C539" s="13"/>
      <c r="D539" s="13"/>
      <c r="E539" s="13"/>
      <c r="F539" s="13"/>
      <c r="G539" s="13"/>
      <c r="H539" s="13"/>
      <c r="I539" s="13"/>
      <c r="J539" s="13"/>
      <c r="K539" s="13"/>
      <c r="L539" s="13"/>
      <c r="M539" s="13"/>
      <c r="N539" s="13"/>
      <c r="O539" s="13"/>
      <c r="P539" s="13"/>
      <c r="Q539" s="13"/>
      <c r="R539" s="300"/>
      <c r="S539" s="13"/>
      <c r="T539" s="13"/>
      <c r="U539" s="300"/>
      <c r="V539" s="13"/>
      <c r="W539" s="13"/>
      <c r="X539" s="300"/>
      <c r="Y539" s="13"/>
      <c r="Z539" s="13"/>
      <c r="AA539" s="300"/>
      <c r="AB539" s="13"/>
      <c r="AC539" s="13"/>
      <c r="AD539" s="300"/>
      <c r="AE539" s="13"/>
      <c r="AF539" s="13"/>
      <c r="AG539" s="300"/>
      <c r="AH539" s="13"/>
      <c r="AI539" s="13"/>
      <c r="AJ539" s="300"/>
      <c r="AK539" s="13"/>
      <c r="AL539" s="301"/>
      <c r="AM539" s="300"/>
      <c r="AN539" s="13"/>
      <c r="AO539" s="301"/>
      <c r="AP539" s="300"/>
    </row>
    <row r="540">
      <c r="A540" s="13"/>
      <c r="B540" s="13"/>
      <c r="C540" s="13"/>
      <c r="D540" s="13"/>
      <c r="E540" s="13"/>
      <c r="F540" s="13"/>
      <c r="G540" s="13"/>
      <c r="H540" s="13"/>
      <c r="I540" s="13"/>
      <c r="J540" s="13"/>
      <c r="K540" s="13"/>
      <c r="L540" s="13"/>
      <c r="M540" s="13"/>
      <c r="N540" s="13"/>
      <c r="O540" s="13"/>
      <c r="P540" s="13"/>
      <c r="Q540" s="13"/>
      <c r="R540" s="300"/>
      <c r="S540" s="13"/>
      <c r="T540" s="13"/>
      <c r="U540" s="300"/>
      <c r="V540" s="13"/>
      <c r="W540" s="13"/>
      <c r="X540" s="300"/>
      <c r="Y540" s="13"/>
      <c r="Z540" s="13"/>
      <c r="AA540" s="300"/>
      <c r="AB540" s="13"/>
      <c r="AC540" s="13"/>
      <c r="AD540" s="300"/>
      <c r="AE540" s="13"/>
      <c r="AF540" s="13"/>
      <c r="AG540" s="300"/>
      <c r="AH540" s="13"/>
      <c r="AI540" s="13"/>
      <c r="AJ540" s="300"/>
      <c r="AK540" s="13"/>
      <c r="AL540" s="301"/>
      <c r="AM540" s="300"/>
      <c r="AN540" s="13"/>
      <c r="AO540" s="301"/>
      <c r="AP540" s="300"/>
    </row>
    <row r="541">
      <c r="A541" s="13"/>
      <c r="B541" s="13"/>
      <c r="C541" s="13"/>
      <c r="D541" s="13"/>
      <c r="E541" s="13"/>
      <c r="F541" s="13"/>
      <c r="G541" s="13"/>
      <c r="H541" s="13"/>
      <c r="I541" s="13"/>
      <c r="J541" s="13"/>
      <c r="K541" s="13"/>
      <c r="L541" s="13"/>
      <c r="M541" s="13"/>
      <c r="N541" s="13"/>
      <c r="O541" s="13"/>
      <c r="P541" s="13"/>
      <c r="Q541" s="13"/>
      <c r="R541" s="300"/>
      <c r="S541" s="13"/>
      <c r="T541" s="13"/>
      <c r="U541" s="300"/>
      <c r="V541" s="13"/>
      <c r="W541" s="13"/>
      <c r="X541" s="300"/>
      <c r="Y541" s="13"/>
      <c r="Z541" s="13"/>
      <c r="AA541" s="300"/>
      <c r="AB541" s="13"/>
      <c r="AC541" s="13"/>
      <c r="AD541" s="300"/>
      <c r="AE541" s="13"/>
      <c r="AF541" s="13"/>
      <c r="AG541" s="300"/>
      <c r="AH541" s="13"/>
      <c r="AI541" s="13"/>
      <c r="AJ541" s="300"/>
      <c r="AK541" s="13"/>
      <c r="AL541" s="301"/>
      <c r="AM541" s="300"/>
      <c r="AN541" s="13"/>
      <c r="AO541" s="301"/>
      <c r="AP541" s="300"/>
    </row>
    <row r="542">
      <c r="A542" s="13"/>
      <c r="B542" s="13"/>
      <c r="C542" s="13"/>
      <c r="D542" s="13"/>
      <c r="E542" s="13"/>
      <c r="F542" s="13"/>
      <c r="G542" s="13"/>
      <c r="H542" s="13"/>
      <c r="I542" s="13"/>
      <c r="J542" s="13"/>
      <c r="K542" s="13"/>
      <c r="L542" s="13"/>
      <c r="M542" s="13"/>
      <c r="N542" s="13"/>
      <c r="O542" s="13"/>
      <c r="P542" s="13"/>
      <c r="Q542" s="13"/>
      <c r="R542" s="300"/>
      <c r="S542" s="13"/>
      <c r="T542" s="13"/>
      <c r="U542" s="300"/>
      <c r="V542" s="13"/>
      <c r="W542" s="13"/>
      <c r="X542" s="300"/>
      <c r="Y542" s="13"/>
      <c r="Z542" s="13"/>
      <c r="AA542" s="300"/>
      <c r="AB542" s="13"/>
      <c r="AC542" s="13"/>
      <c r="AD542" s="300"/>
      <c r="AE542" s="13"/>
      <c r="AF542" s="13"/>
      <c r="AG542" s="300"/>
      <c r="AH542" s="13"/>
      <c r="AI542" s="13"/>
      <c r="AJ542" s="300"/>
      <c r="AK542" s="13"/>
      <c r="AL542" s="301"/>
      <c r="AM542" s="300"/>
      <c r="AN542" s="13"/>
      <c r="AO542" s="301"/>
      <c r="AP542" s="300"/>
    </row>
    <row r="543">
      <c r="A543" s="13"/>
      <c r="B543" s="13"/>
      <c r="C543" s="13"/>
      <c r="D543" s="13"/>
      <c r="E543" s="13"/>
      <c r="F543" s="13"/>
      <c r="G543" s="13"/>
      <c r="H543" s="13"/>
      <c r="I543" s="13"/>
      <c r="J543" s="13"/>
      <c r="K543" s="13"/>
      <c r="L543" s="13"/>
      <c r="M543" s="13"/>
      <c r="N543" s="13"/>
      <c r="O543" s="13"/>
      <c r="P543" s="13"/>
      <c r="Q543" s="13"/>
      <c r="R543" s="300"/>
      <c r="S543" s="13"/>
      <c r="T543" s="13"/>
      <c r="U543" s="300"/>
      <c r="V543" s="13"/>
      <c r="W543" s="13"/>
      <c r="X543" s="300"/>
      <c r="Y543" s="13"/>
      <c r="Z543" s="13"/>
      <c r="AA543" s="300"/>
      <c r="AB543" s="13"/>
      <c r="AC543" s="13"/>
      <c r="AD543" s="300"/>
      <c r="AE543" s="13"/>
      <c r="AF543" s="13"/>
      <c r="AG543" s="300"/>
      <c r="AH543" s="13"/>
      <c r="AI543" s="13"/>
      <c r="AJ543" s="300"/>
      <c r="AK543" s="13"/>
      <c r="AL543" s="301"/>
      <c r="AM543" s="300"/>
      <c r="AN543" s="13"/>
      <c r="AO543" s="301"/>
      <c r="AP543" s="300"/>
    </row>
    <row r="544">
      <c r="A544" s="13"/>
      <c r="B544" s="13"/>
      <c r="C544" s="13"/>
      <c r="D544" s="13"/>
      <c r="E544" s="13"/>
      <c r="F544" s="13"/>
      <c r="G544" s="13"/>
      <c r="H544" s="13"/>
      <c r="I544" s="13"/>
      <c r="J544" s="13"/>
      <c r="K544" s="13"/>
      <c r="L544" s="13"/>
      <c r="M544" s="13"/>
      <c r="N544" s="13"/>
      <c r="O544" s="13"/>
      <c r="P544" s="13"/>
      <c r="Q544" s="13"/>
      <c r="R544" s="300"/>
      <c r="S544" s="13"/>
      <c r="T544" s="13"/>
      <c r="U544" s="300"/>
      <c r="V544" s="13"/>
      <c r="W544" s="13"/>
      <c r="X544" s="300"/>
      <c r="Y544" s="13"/>
      <c r="Z544" s="13"/>
      <c r="AA544" s="300"/>
      <c r="AB544" s="13"/>
      <c r="AC544" s="13"/>
      <c r="AD544" s="300"/>
      <c r="AE544" s="13"/>
      <c r="AF544" s="13"/>
      <c r="AG544" s="300"/>
      <c r="AH544" s="13"/>
      <c r="AI544" s="13"/>
      <c r="AJ544" s="300"/>
      <c r="AK544" s="13"/>
      <c r="AL544" s="301"/>
      <c r="AM544" s="300"/>
      <c r="AN544" s="13"/>
      <c r="AO544" s="301"/>
      <c r="AP544" s="300"/>
    </row>
    <row r="545">
      <c r="A545" s="13"/>
      <c r="B545" s="13"/>
      <c r="C545" s="13"/>
      <c r="D545" s="13"/>
      <c r="E545" s="13"/>
      <c r="F545" s="13"/>
      <c r="G545" s="13"/>
      <c r="H545" s="13"/>
      <c r="I545" s="13"/>
      <c r="J545" s="13"/>
      <c r="K545" s="13"/>
      <c r="L545" s="13"/>
      <c r="M545" s="13"/>
      <c r="N545" s="13"/>
      <c r="O545" s="13"/>
      <c r="P545" s="13"/>
      <c r="Q545" s="13"/>
      <c r="R545" s="300"/>
      <c r="S545" s="13"/>
      <c r="T545" s="13"/>
      <c r="U545" s="300"/>
      <c r="V545" s="13"/>
      <c r="W545" s="13"/>
      <c r="X545" s="300"/>
      <c r="Y545" s="13"/>
      <c r="Z545" s="13"/>
      <c r="AA545" s="300"/>
      <c r="AB545" s="13"/>
      <c r="AC545" s="13"/>
      <c r="AD545" s="300"/>
      <c r="AE545" s="13"/>
      <c r="AF545" s="13"/>
      <c r="AG545" s="300"/>
      <c r="AH545" s="13"/>
      <c r="AI545" s="13"/>
      <c r="AJ545" s="300"/>
      <c r="AK545" s="13"/>
      <c r="AL545" s="301"/>
      <c r="AM545" s="300"/>
      <c r="AN545" s="13"/>
      <c r="AO545" s="301"/>
      <c r="AP545" s="300"/>
    </row>
    <row r="546">
      <c r="A546" s="13"/>
      <c r="B546" s="13"/>
      <c r="C546" s="13"/>
      <c r="D546" s="13"/>
      <c r="E546" s="13"/>
      <c r="F546" s="13"/>
      <c r="G546" s="13"/>
      <c r="H546" s="13"/>
      <c r="I546" s="13"/>
      <c r="J546" s="13"/>
      <c r="K546" s="13"/>
      <c r="L546" s="13"/>
      <c r="M546" s="13"/>
      <c r="N546" s="13"/>
      <c r="O546" s="13"/>
      <c r="P546" s="13"/>
      <c r="Q546" s="13"/>
      <c r="R546" s="300"/>
      <c r="S546" s="13"/>
      <c r="T546" s="13"/>
      <c r="U546" s="300"/>
      <c r="V546" s="13"/>
      <c r="W546" s="13"/>
      <c r="X546" s="300"/>
      <c r="Y546" s="13"/>
      <c r="Z546" s="13"/>
      <c r="AA546" s="300"/>
      <c r="AB546" s="13"/>
      <c r="AC546" s="13"/>
      <c r="AD546" s="300"/>
      <c r="AE546" s="13"/>
      <c r="AF546" s="13"/>
      <c r="AG546" s="300"/>
      <c r="AH546" s="13"/>
      <c r="AI546" s="13"/>
      <c r="AJ546" s="300"/>
      <c r="AK546" s="13"/>
      <c r="AL546" s="301"/>
      <c r="AM546" s="300"/>
      <c r="AN546" s="13"/>
      <c r="AO546" s="301"/>
      <c r="AP546" s="300"/>
    </row>
    <row r="547">
      <c r="A547" s="13"/>
      <c r="B547" s="13"/>
      <c r="C547" s="13"/>
      <c r="D547" s="13"/>
      <c r="E547" s="13"/>
      <c r="F547" s="13"/>
      <c r="G547" s="13"/>
      <c r="H547" s="13"/>
      <c r="I547" s="13"/>
      <c r="J547" s="13"/>
      <c r="K547" s="13"/>
      <c r="L547" s="13"/>
      <c r="M547" s="13"/>
      <c r="N547" s="13"/>
      <c r="O547" s="13"/>
      <c r="P547" s="13"/>
      <c r="Q547" s="13"/>
      <c r="R547" s="300"/>
      <c r="S547" s="13"/>
      <c r="T547" s="13"/>
      <c r="U547" s="300"/>
      <c r="V547" s="13"/>
      <c r="W547" s="13"/>
      <c r="X547" s="300"/>
      <c r="Y547" s="13"/>
      <c r="Z547" s="13"/>
      <c r="AA547" s="300"/>
      <c r="AB547" s="13"/>
      <c r="AC547" s="13"/>
      <c r="AD547" s="300"/>
      <c r="AE547" s="13"/>
      <c r="AF547" s="13"/>
      <c r="AG547" s="300"/>
      <c r="AH547" s="13"/>
      <c r="AI547" s="13"/>
      <c r="AJ547" s="300"/>
      <c r="AK547" s="13"/>
      <c r="AL547" s="301"/>
      <c r="AM547" s="300"/>
      <c r="AN547" s="13"/>
      <c r="AO547" s="301"/>
      <c r="AP547" s="300"/>
    </row>
    <row r="548">
      <c r="A548" s="13"/>
      <c r="B548" s="13"/>
      <c r="C548" s="13"/>
      <c r="D548" s="13"/>
      <c r="E548" s="13"/>
      <c r="F548" s="13"/>
      <c r="G548" s="13"/>
      <c r="H548" s="13"/>
      <c r="I548" s="13"/>
      <c r="J548" s="13"/>
      <c r="K548" s="13"/>
      <c r="L548" s="13"/>
      <c r="M548" s="13"/>
      <c r="N548" s="13"/>
      <c r="O548" s="13"/>
      <c r="P548" s="13"/>
      <c r="Q548" s="13"/>
      <c r="R548" s="300"/>
      <c r="S548" s="13"/>
      <c r="T548" s="13"/>
      <c r="U548" s="300"/>
      <c r="V548" s="13"/>
      <c r="W548" s="13"/>
      <c r="X548" s="300"/>
      <c r="Y548" s="13"/>
      <c r="Z548" s="13"/>
      <c r="AA548" s="300"/>
      <c r="AB548" s="13"/>
      <c r="AC548" s="13"/>
      <c r="AD548" s="300"/>
      <c r="AE548" s="13"/>
      <c r="AF548" s="13"/>
      <c r="AG548" s="300"/>
      <c r="AH548" s="13"/>
      <c r="AI548" s="13"/>
      <c r="AJ548" s="300"/>
      <c r="AK548" s="13"/>
      <c r="AL548" s="301"/>
      <c r="AM548" s="300"/>
      <c r="AN548" s="13"/>
      <c r="AO548" s="301"/>
      <c r="AP548" s="300"/>
    </row>
    <row r="549">
      <c r="A549" s="13"/>
      <c r="B549" s="13"/>
      <c r="C549" s="13"/>
      <c r="D549" s="13"/>
      <c r="E549" s="13"/>
      <c r="F549" s="13"/>
      <c r="G549" s="13"/>
      <c r="H549" s="13"/>
      <c r="I549" s="13"/>
      <c r="J549" s="13"/>
      <c r="K549" s="13"/>
      <c r="L549" s="13"/>
      <c r="M549" s="13"/>
      <c r="N549" s="13"/>
      <c r="O549" s="13"/>
      <c r="P549" s="13"/>
      <c r="Q549" s="13"/>
      <c r="R549" s="300"/>
      <c r="S549" s="13"/>
      <c r="T549" s="13"/>
      <c r="U549" s="300"/>
      <c r="V549" s="13"/>
      <c r="W549" s="13"/>
      <c r="X549" s="300"/>
      <c r="Y549" s="13"/>
      <c r="Z549" s="13"/>
      <c r="AA549" s="300"/>
      <c r="AB549" s="13"/>
      <c r="AC549" s="13"/>
      <c r="AD549" s="300"/>
      <c r="AE549" s="13"/>
      <c r="AF549" s="13"/>
      <c r="AG549" s="300"/>
      <c r="AH549" s="13"/>
      <c r="AI549" s="13"/>
      <c r="AJ549" s="300"/>
      <c r="AK549" s="13"/>
      <c r="AL549" s="301"/>
      <c r="AM549" s="300"/>
      <c r="AN549" s="13"/>
      <c r="AO549" s="301"/>
      <c r="AP549" s="300"/>
    </row>
    <row r="550">
      <c r="A550" s="13"/>
      <c r="B550" s="13"/>
      <c r="C550" s="13"/>
      <c r="D550" s="13"/>
      <c r="E550" s="13"/>
      <c r="F550" s="13"/>
      <c r="G550" s="13"/>
      <c r="H550" s="13"/>
      <c r="I550" s="13"/>
      <c r="J550" s="13"/>
      <c r="K550" s="13"/>
      <c r="L550" s="13"/>
      <c r="M550" s="13"/>
      <c r="N550" s="13"/>
      <c r="O550" s="13"/>
      <c r="P550" s="13"/>
      <c r="Q550" s="13"/>
      <c r="R550" s="300"/>
      <c r="S550" s="13"/>
      <c r="T550" s="13"/>
      <c r="U550" s="300"/>
      <c r="V550" s="13"/>
      <c r="W550" s="13"/>
      <c r="X550" s="300"/>
      <c r="Y550" s="13"/>
      <c r="Z550" s="13"/>
      <c r="AA550" s="300"/>
      <c r="AB550" s="13"/>
      <c r="AC550" s="13"/>
      <c r="AD550" s="300"/>
      <c r="AE550" s="13"/>
      <c r="AF550" s="13"/>
      <c r="AG550" s="300"/>
      <c r="AH550" s="13"/>
      <c r="AI550" s="13"/>
      <c r="AJ550" s="300"/>
      <c r="AK550" s="13"/>
      <c r="AL550" s="301"/>
      <c r="AM550" s="300"/>
      <c r="AN550" s="13"/>
      <c r="AO550" s="301"/>
      <c r="AP550" s="300"/>
    </row>
    <row r="551">
      <c r="A551" s="13"/>
      <c r="B551" s="13"/>
      <c r="C551" s="13"/>
      <c r="D551" s="13"/>
      <c r="E551" s="13"/>
      <c r="F551" s="13"/>
      <c r="G551" s="13"/>
      <c r="H551" s="13"/>
      <c r="I551" s="13"/>
      <c r="J551" s="13"/>
      <c r="K551" s="13"/>
      <c r="L551" s="13"/>
      <c r="M551" s="13"/>
      <c r="N551" s="13"/>
      <c r="O551" s="13"/>
      <c r="P551" s="13"/>
      <c r="Q551" s="13"/>
      <c r="R551" s="300"/>
      <c r="S551" s="13"/>
      <c r="T551" s="13"/>
      <c r="U551" s="300"/>
      <c r="V551" s="13"/>
      <c r="W551" s="13"/>
      <c r="X551" s="300"/>
      <c r="Y551" s="13"/>
      <c r="Z551" s="13"/>
      <c r="AA551" s="300"/>
      <c r="AB551" s="13"/>
      <c r="AC551" s="13"/>
      <c r="AD551" s="300"/>
      <c r="AE551" s="13"/>
      <c r="AF551" s="13"/>
      <c r="AG551" s="300"/>
      <c r="AH551" s="13"/>
      <c r="AI551" s="13"/>
      <c r="AJ551" s="300"/>
      <c r="AK551" s="13"/>
      <c r="AL551" s="301"/>
      <c r="AM551" s="300"/>
      <c r="AN551" s="13"/>
      <c r="AO551" s="301"/>
      <c r="AP551" s="300"/>
    </row>
    <row r="552">
      <c r="A552" s="13"/>
      <c r="B552" s="13"/>
      <c r="C552" s="13"/>
      <c r="D552" s="13"/>
      <c r="E552" s="13"/>
      <c r="F552" s="13"/>
      <c r="G552" s="13"/>
      <c r="H552" s="13"/>
      <c r="I552" s="13"/>
      <c r="J552" s="13"/>
      <c r="K552" s="13"/>
      <c r="L552" s="13"/>
      <c r="M552" s="13"/>
      <c r="N552" s="13"/>
      <c r="O552" s="13"/>
      <c r="P552" s="13"/>
      <c r="Q552" s="13"/>
      <c r="R552" s="300"/>
      <c r="S552" s="13"/>
      <c r="T552" s="13"/>
      <c r="U552" s="300"/>
      <c r="V552" s="13"/>
      <c r="W552" s="13"/>
      <c r="X552" s="300"/>
      <c r="Y552" s="13"/>
      <c r="Z552" s="13"/>
      <c r="AA552" s="300"/>
      <c r="AB552" s="13"/>
      <c r="AC552" s="13"/>
      <c r="AD552" s="300"/>
      <c r="AE552" s="13"/>
      <c r="AF552" s="13"/>
      <c r="AG552" s="300"/>
      <c r="AH552" s="13"/>
      <c r="AI552" s="13"/>
      <c r="AJ552" s="300"/>
      <c r="AK552" s="13"/>
      <c r="AL552" s="301"/>
      <c r="AM552" s="300"/>
      <c r="AN552" s="13"/>
      <c r="AO552" s="301"/>
      <c r="AP552" s="300"/>
    </row>
    <row r="553">
      <c r="A553" s="13"/>
      <c r="B553" s="13"/>
      <c r="C553" s="13"/>
      <c r="D553" s="13"/>
      <c r="E553" s="13"/>
      <c r="F553" s="13"/>
      <c r="G553" s="13"/>
      <c r="H553" s="13"/>
      <c r="I553" s="13"/>
      <c r="J553" s="13"/>
      <c r="K553" s="13"/>
      <c r="L553" s="13"/>
      <c r="M553" s="13"/>
      <c r="N553" s="13"/>
      <c r="O553" s="13"/>
      <c r="P553" s="13"/>
      <c r="Q553" s="13"/>
      <c r="R553" s="300"/>
      <c r="S553" s="13"/>
      <c r="T553" s="13"/>
      <c r="U553" s="300"/>
      <c r="V553" s="13"/>
      <c r="W553" s="13"/>
      <c r="X553" s="300"/>
      <c r="Y553" s="13"/>
      <c r="Z553" s="13"/>
      <c r="AA553" s="300"/>
      <c r="AB553" s="13"/>
      <c r="AC553" s="13"/>
      <c r="AD553" s="300"/>
      <c r="AE553" s="13"/>
      <c r="AF553" s="13"/>
      <c r="AG553" s="300"/>
      <c r="AH553" s="13"/>
      <c r="AI553" s="13"/>
      <c r="AJ553" s="300"/>
      <c r="AK553" s="13"/>
      <c r="AL553" s="301"/>
      <c r="AM553" s="300"/>
      <c r="AN553" s="13"/>
      <c r="AO553" s="301"/>
      <c r="AP553" s="300"/>
    </row>
    <row r="554">
      <c r="A554" s="13"/>
      <c r="B554" s="13"/>
      <c r="C554" s="13"/>
      <c r="D554" s="13"/>
      <c r="E554" s="13"/>
      <c r="F554" s="13"/>
      <c r="G554" s="13"/>
      <c r="H554" s="13"/>
      <c r="I554" s="13"/>
      <c r="J554" s="13"/>
      <c r="K554" s="13"/>
      <c r="L554" s="13"/>
      <c r="M554" s="13"/>
      <c r="N554" s="13"/>
      <c r="O554" s="13"/>
      <c r="P554" s="13"/>
      <c r="Q554" s="13"/>
      <c r="R554" s="300"/>
      <c r="S554" s="13"/>
      <c r="T554" s="13"/>
      <c r="U554" s="300"/>
      <c r="V554" s="13"/>
      <c r="W554" s="13"/>
      <c r="X554" s="300"/>
      <c r="Y554" s="13"/>
      <c r="Z554" s="13"/>
      <c r="AA554" s="300"/>
      <c r="AB554" s="13"/>
      <c r="AC554" s="13"/>
      <c r="AD554" s="300"/>
      <c r="AE554" s="13"/>
      <c r="AF554" s="13"/>
      <c r="AG554" s="300"/>
      <c r="AH554" s="13"/>
      <c r="AI554" s="13"/>
      <c r="AJ554" s="300"/>
      <c r="AK554" s="13"/>
      <c r="AL554" s="301"/>
      <c r="AM554" s="300"/>
      <c r="AN554" s="13"/>
      <c r="AO554" s="301"/>
      <c r="AP554" s="300"/>
    </row>
    <row r="555">
      <c r="A555" s="13"/>
      <c r="B555" s="13"/>
      <c r="C555" s="13"/>
      <c r="D555" s="13"/>
      <c r="E555" s="13"/>
      <c r="F555" s="13"/>
      <c r="G555" s="13"/>
      <c r="H555" s="13"/>
      <c r="I555" s="13"/>
      <c r="J555" s="13"/>
      <c r="K555" s="13"/>
      <c r="L555" s="13"/>
      <c r="M555" s="13"/>
      <c r="N555" s="13"/>
      <c r="O555" s="13"/>
      <c r="P555" s="13"/>
      <c r="Q555" s="13"/>
      <c r="R555" s="300"/>
      <c r="S555" s="13"/>
      <c r="T555" s="13"/>
      <c r="U555" s="300"/>
      <c r="V555" s="13"/>
      <c r="W555" s="13"/>
      <c r="X555" s="300"/>
      <c r="Y555" s="13"/>
      <c r="Z555" s="13"/>
      <c r="AA555" s="300"/>
      <c r="AB555" s="13"/>
      <c r="AC555" s="13"/>
      <c r="AD555" s="300"/>
      <c r="AE555" s="13"/>
      <c r="AF555" s="13"/>
      <c r="AG555" s="300"/>
      <c r="AH555" s="13"/>
      <c r="AI555" s="13"/>
      <c r="AJ555" s="300"/>
      <c r="AK555" s="13"/>
      <c r="AL555" s="301"/>
      <c r="AM555" s="300"/>
      <c r="AN555" s="13"/>
      <c r="AO555" s="301"/>
      <c r="AP555" s="300"/>
    </row>
    <row r="556">
      <c r="A556" s="13"/>
      <c r="B556" s="13"/>
      <c r="C556" s="13"/>
      <c r="D556" s="13"/>
      <c r="E556" s="13"/>
      <c r="F556" s="13"/>
      <c r="G556" s="13"/>
      <c r="H556" s="13"/>
      <c r="I556" s="13"/>
      <c r="J556" s="13"/>
      <c r="K556" s="13"/>
      <c r="L556" s="13"/>
      <c r="M556" s="13"/>
      <c r="N556" s="13"/>
      <c r="O556" s="13"/>
      <c r="P556" s="13"/>
      <c r="Q556" s="13"/>
      <c r="R556" s="300"/>
      <c r="S556" s="13"/>
      <c r="T556" s="13"/>
      <c r="U556" s="300"/>
      <c r="V556" s="13"/>
      <c r="W556" s="13"/>
      <c r="X556" s="300"/>
      <c r="Y556" s="13"/>
      <c r="Z556" s="13"/>
      <c r="AA556" s="300"/>
      <c r="AB556" s="13"/>
      <c r="AC556" s="13"/>
      <c r="AD556" s="300"/>
      <c r="AE556" s="13"/>
      <c r="AF556" s="13"/>
      <c r="AG556" s="300"/>
      <c r="AH556" s="13"/>
      <c r="AI556" s="13"/>
      <c r="AJ556" s="300"/>
      <c r="AK556" s="13"/>
      <c r="AL556" s="301"/>
      <c r="AM556" s="300"/>
      <c r="AN556" s="13"/>
      <c r="AO556" s="301"/>
      <c r="AP556" s="300"/>
    </row>
    <row r="557">
      <c r="A557" s="13"/>
      <c r="B557" s="13"/>
      <c r="C557" s="13"/>
      <c r="D557" s="13"/>
      <c r="E557" s="13"/>
      <c r="F557" s="13"/>
      <c r="G557" s="13"/>
      <c r="H557" s="13"/>
      <c r="I557" s="13"/>
      <c r="J557" s="13"/>
      <c r="K557" s="13"/>
      <c r="L557" s="13"/>
      <c r="M557" s="13"/>
      <c r="N557" s="13"/>
      <c r="O557" s="13"/>
      <c r="P557" s="13"/>
      <c r="Q557" s="13"/>
      <c r="R557" s="300"/>
      <c r="S557" s="13"/>
      <c r="T557" s="13"/>
      <c r="U557" s="300"/>
      <c r="V557" s="13"/>
      <c r="W557" s="13"/>
      <c r="X557" s="300"/>
      <c r="Y557" s="13"/>
      <c r="Z557" s="13"/>
      <c r="AA557" s="300"/>
      <c r="AB557" s="13"/>
      <c r="AC557" s="13"/>
      <c r="AD557" s="300"/>
      <c r="AE557" s="13"/>
      <c r="AF557" s="13"/>
      <c r="AG557" s="300"/>
      <c r="AH557" s="13"/>
      <c r="AI557" s="13"/>
      <c r="AJ557" s="300"/>
      <c r="AK557" s="13"/>
      <c r="AL557" s="301"/>
      <c r="AM557" s="300"/>
      <c r="AN557" s="13"/>
      <c r="AO557" s="301"/>
      <c r="AP557" s="300"/>
    </row>
    <row r="558">
      <c r="A558" s="13"/>
      <c r="B558" s="13"/>
      <c r="C558" s="13"/>
      <c r="D558" s="13"/>
      <c r="E558" s="13"/>
      <c r="F558" s="13"/>
      <c r="G558" s="13"/>
      <c r="H558" s="13"/>
      <c r="I558" s="13"/>
      <c r="J558" s="13"/>
      <c r="K558" s="13"/>
      <c r="L558" s="13"/>
      <c r="M558" s="13"/>
      <c r="N558" s="13"/>
      <c r="O558" s="13"/>
      <c r="P558" s="13"/>
      <c r="Q558" s="13"/>
      <c r="R558" s="300"/>
      <c r="S558" s="13"/>
      <c r="T558" s="13"/>
      <c r="U558" s="300"/>
      <c r="V558" s="13"/>
      <c r="W558" s="13"/>
      <c r="X558" s="300"/>
      <c r="Y558" s="13"/>
      <c r="Z558" s="13"/>
      <c r="AA558" s="300"/>
      <c r="AB558" s="13"/>
      <c r="AC558" s="13"/>
      <c r="AD558" s="300"/>
      <c r="AE558" s="13"/>
      <c r="AF558" s="13"/>
      <c r="AG558" s="300"/>
      <c r="AH558" s="13"/>
      <c r="AI558" s="13"/>
      <c r="AJ558" s="300"/>
      <c r="AK558" s="13"/>
      <c r="AL558" s="301"/>
      <c r="AM558" s="300"/>
      <c r="AN558" s="13"/>
      <c r="AO558" s="301"/>
      <c r="AP558" s="300"/>
    </row>
    <row r="559">
      <c r="A559" s="13"/>
      <c r="B559" s="13"/>
      <c r="C559" s="13"/>
      <c r="D559" s="13"/>
      <c r="E559" s="13"/>
      <c r="F559" s="13"/>
      <c r="G559" s="13"/>
      <c r="H559" s="13"/>
      <c r="I559" s="13"/>
      <c r="J559" s="13"/>
      <c r="K559" s="13"/>
      <c r="L559" s="13"/>
      <c r="M559" s="13"/>
      <c r="N559" s="13"/>
      <c r="O559" s="13"/>
      <c r="P559" s="13"/>
      <c r="Q559" s="13"/>
      <c r="R559" s="300"/>
      <c r="S559" s="13"/>
      <c r="T559" s="13"/>
      <c r="U559" s="300"/>
      <c r="V559" s="13"/>
      <c r="W559" s="13"/>
      <c r="X559" s="300"/>
      <c r="Y559" s="13"/>
      <c r="Z559" s="13"/>
      <c r="AA559" s="300"/>
      <c r="AB559" s="13"/>
      <c r="AC559" s="13"/>
      <c r="AD559" s="300"/>
      <c r="AE559" s="13"/>
      <c r="AF559" s="13"/>
      <c r="AG559" s="300"/>
      <c r="AH559" s="13"/>
      <c r="AI559" s="13"/>
      <c r="AJ559" s="300"/>
      <c r="AK559" s="13"/>
      <c r="AL559" s="301"/>
      <c r="AM559" s="300"/>
      <c r="AN559" s="13"/>
      <c r="AO559" s="301"/>
      <c r="AP559" s="300"/>
    </row>
    <row r="560">
      <c r="A560" s="13"/>
      <c r="B560" s="13"/>
      <c r="C560" s="13"/>
      <c r="D560" s="13"/>
      <c r="E560" s="13"/>
      <c r="F560" s="13"/>
      <c r="G560" s="13"/>
      <c r="H560" s="13"/>
      <c r="I560" s="13"/>
      <c r="J560" s="13"/>
      <c r="K560" s="13"/>
      <c r="L560" s="13"/>
      <c r="M560" s="13"/>
      <c r="N560" s="13"/>
      <c r="O560" s="13"/>
      <c r="P560" s="13"/>
      <c r="Q560" s="13"/>
      <c r="R560" s="300"/>
      <c r="S560" s="13"/>
      <c r="T560" s="13"/>
      <c r="U560" s="300"/>
      <c r="V560" s="13"/>
      <c r="W560" s="13"/>
      <c r="X560" s="300"/>
      <c r="Y560" s="13"/>
      <c r="Z560" s="13"/>
      <c r="AA560" s="300"/>
      <c r="AB560" s="13"/>
      <c r="AC560" s="13"/>
      <c r="AD560" s="300"/>
      <c r="AE560" s="13"/>
      <c r="AF560" s="13"/>
      <c r="AG560" s="300"/>
      <c r="AH560" s="13"/>
      <c r="AI560" s="13"/>
      <c r="AJ560" s="300"/>
      <c r="AK560" s="13"/>
      <c r="AL560" s="301"/>
      <c r="AM560" s="300"/>
      <c r="AN560" s="13"/>
      <c r="AO560" s="301"/>
      <c r="AP560" s="300"/>
    </row>
    <row r="561">
      <c r="A561" s="13"/>
      <c r="B561" s="13"/>
      <c r="C561" s="13"/>
      <c r="D561" s="13"/>
      <c r="E561" s="13"/>
      <c r="F561" s="13"/>
      <c r="G561" s="13"/>
      <c r="H561" s="13"/>
      <c r="I561" s="13"/>
      <c r="J561" s="13"/>
      <c r="K561" s="13"/>
      <c r="L561" s="13"/>
      <c r="M561" s="13"/>
      <c r="N561" s="13"/>
      <c r="O561" s="13"/>
      <c r="P561" s="13"/>
      <c r="Q561" s="13"/>
      <c r="R561" s="300"/>
      <c r="S561" s="13"/>
      <c r="T561" s="13"/>
      <c r="U561" s="300"/>
      <c r="V561" s="13"/>
      <c r="W561" s="13"/>
      <c r="X561" s="300"/>
      <c r="Y561" s="13"/>
      <c r="Z561" s="13"/>
      <c r="AA561" s="300"/>
      <c r="AB561" s="13"/>
      <c r="AC561" s="13"/>
      <c r="AD561" s="300"/>
      <c r="AE561" s="13"/>
      <c r="AF561" s="13"/>
      <c r="AG561" s="300"/>
      <c r="AH561" s="13"/>
      <c r="AI561" s="13"/>
      <c r="AJ561" s="300"/>
      <c r="AK561" s="13"/>
      <c r="AL561" s="301"/>
      <c r="AM561" s="300"/>
      <c r="AN561" s="13"/>
      <c r="AO561" s="301"/>
      <c r="AP561" s="300"/>
    </row>
    <row r="562">
      <c r="A562" s="13"/>
      <c r="B562" s="13"/>
      <c r="C562" s="13"/>
      <c r="D562" s="13"/>
      <c r="E562" s="13"/>
      <c r="F562" s="13"/>
      <c r="G562" s="13"/>
      <c r="H562" s="13"/>
      <c r="I562" s="13"/>
      <c r="J562" s="13"/>
      <c r="K562" s="13"/>
      <c r="L562" s="13"/>
      <c r="M562" s="13"/>
      <c r="N562" s="13"/>
      <c r="O562" s="13"/>
      <c r="P562" s="13"/>
      <c r="Q562" s="13"/>
      <c r="R562" s="300"/>
      <c r="S562" s="13"/>
      <c r="T562" s="13"/>
      <c r="U562" s="300"/>
      <c r="V562" s="13"/>
      <c r="W562" s="13"/>
      <c r="X562" s="300"/>
      <c r="Y562" s="13"/>
      <c r="Z562" s="13"/>
      <c r="AA562" s="300"/>
      <c r="AB562" s="13"/>
      <c r="AC562" s="13"/>
      <c r="AD562" s="300"/>
      <c r="AE562" s="13"/>
      <c r="AF562" s="13"/>
      <c r="AG562" s="300"/>
      <c r="AH562" s="13"/>
      <c r="AI562" s="13"/>
      <c r="AJ562" s="300"/>
      <c r="AK562" s="13"/>
      <c r="AL562" s="301"/>
      <c r="AM562" s="300"/>
      <c r="AN562" s="13"/>
      <c r="AO562" s="301"/>
      <c r="AP562" s="300"/>
    </row>
    <row r="563">
      <c r="A563" s="13"/>
      <c r="B563" s="13"/>
      <c r="C563" s="13"/>
      <c r="D563" s="13"/>
      <c r="E563" s="13"/>
      <c r="F563" s="13"/>
      <c r="G563" s="13"/>
      <c r="H563" s="13"/>
      <c r="I563" s="13"/>
      <c r="J563" s="13"/>
      <c r="K563" s="13"/>
      <c r="L563" s="13"/>
      <c r="M563" s="13"/>
      <c r="N563" s="13"/>
      <c r="O563" s="13"/>
      <c r="P563" s="13"/>
      <c r="Q563" s="13"/>
      <c r="R563" s="300"/>
      <c r="S563" s="13"/>
      <c r="T563" s="13"/>
      <c r="U563" s="300"/>
      <c r="V563" s="13"/>
      <c r="W563" s="13"/>
      <c r="X563" s="300"/>
      <c r="Y563" s="13"/>
      <c r="Z563" s="13"/>
      <c r="AA563" s="300"/>
      <c r="AB563" s="13"/>
      <c r="AC563" s="13"/>
      <c r="AD563" s="300"/>
      <c r="AE563" s="13"/>
      <c r="AF563" s="13"/>
      <c r="AG563" s="300"/>
      <c r="AH563" s="13"/>
      <c r="AI563" s="13"/>
      <c r="AJ563" s="300"/>
      <c r="AK563" s="13"/>
      <c r="AL563" s="301"/>
      <c r="AM563" s="300"/>
      <c r="AN563" s="13"/>
      <c r="AO563" s="301"/>
      <c r="AP563" s="300"/>
    </row>
    <row r="564">
      <c r="A564" s="13"/>
      <c r="B564" s="13"/>
      <c r="C564" s="13"/>
      <c r="D564" s="13"/>
      <c r="E564" s="13"/>
      <c r="F564" s="13"/>
      <c r="G564" s="13"/>
      <c r="H564" s="13"/>
      <c r="I564" s="13"/>
      <c r="J564" s="13"/>
      <c r="K564" s="13"/>
      <c r="L564" s="13"/>
      <c r="M564" s="13"/>
      <c r="N564" s="13"/>
      <c r="O564" s="13"/>
      <c r="P564" s="13"/>
      <c r="Q564" s="13"/>
      <c r="R564" s="300"/>
      <c r="S564" s="13"/>
      <c r="T564" s="13"/>
      <c r="U564" s="300"/>
      <c r="V564" s="13"/>
      <c r="W564" s="13"/>
      <c r="X564" s="300"/>
      <c r="Y564" s="13"/>
      <c r="Z564" s="13"/>
      <c r="AA564" s="300"/>
      <c r="AB564" s="13"/>
      <c r="AC564" s="13"/>
      <c r="AD564" s="300"/>
      <c r="AE564" s="13"/>
      <c r="AF564" s="13"/>
      <c r="AG564" s="300"/>
      <c r="AH564" s="13"/>
      <c r="AI564" s="13"/>
      <c r="AJ564" s="300"/>
      <c r="AK564" s="13"/>
      <c r="AL564" s="301"/>
      <c r="AM564" s="300"/>
      <c r="AN564" s="13"/>
      <c r="AO564" s="301"/>
      <c r="AP564" s="300"/>
    </row>
    <row r="565">
      <c r="A565" s="13"/>
      <c r="B565" s="13"/>
      <c r="C565" s="13"/>
      <c r="D565" s="13"/>
      <c r="E565" s="13"/>
      <c r="F565" s="13"/>
      <c r="G565" s="13"/>
      <c r="H565" s="13"/>
      <c r="I565" s="13"/>
      <c r="J565" s="13"/>
      <c r="K565" s="13"/>
      <c r="L565" s="13"/>
      <c r="M565" s="13"/>
      <c r="N565" s="13"/>
      <c r="O565" s="13"/>
      <c r="P565" s="13"/>
      <c r="Q565" s="13"/>
      <c r="R565" s="300"/>
      <c r="S565" s="13"/>
      <c r="T565" s="13"/>
      <c r="U565" s="300"/>
      <c r="V565" s="13"/>
      <c r="W565" s="13"/>
      <c r="X565" s="300"/>
      <c r="Y565" s="13"/>
      <c r="Z565" s="13"/>
      <c r="AA565" s="300"/>
      <c r="AB565" s="13"/>
      <c r="AC565" s="13"/>
      <c r="AD565" s="300"/>
      <c r="AE565" s="13"/>
      <c r="AF565" s="13"/>
      <c r="AG565" s="300"/>
      <c r="AH565" s="13"/>
      <c r="AI565" s="13"/>
      <c r="AJ565" s="300"/>
      <c r="AK565" s="13"/>
      <c r="AL565" s="301"/>
      <c r="AM565" s="300"/>
      <c r="AN565" s="13"/>
      <c r="AO565" s="301"/>
      <c r="AP565" s="300"/>
    </row>
    <row r="566">
      <c r="A566" s="13"/>
      <c r="B566" s="13"/>
      <c r="C566" s="13"/>
      <c r="D566" s="13"/>
      <c r="E566" s="13"/>
      <c r="F566" s="13"/>
      <c r="G566" s="13"/>
      <c r="H566" s="13"/>
      <c r="I566" s="13"/>
      <c r="J566" s="13"/>
      <c r="K566" s="13"/>
      <c r="L566" s="13"/>
      <c r="M566" s="13"/>
      <c r="N566" s="13"/>
      <c r="O566" s="13"/>
      <c r="P566" s="13"/>
      <c r="Q566" s="13"/>
      <c r="R566" s="300"/>
      <c r="S566" s="13"/>
      <c r="T566" s="13"/>
      <c r="U566" s="300"/>
      <c r="V566" s="13"/>
      <c r="W566" s="13"/>
      <c r="X566" s="300"/>
      <c r="Y566" s="13"/>
      <c r="Z566" s="13"/>
      <c r="AA566" s="300"/>
      <c r="AB566" s="13"/>
      <c r="AC566" s="13"/>
      <c r="AD566" s="300"/>
      <c r="AE566" s="13"/>
      <c r="AF566" s="13"/>
      <c r="AG566" s="300"/>
      <c r="AH566" s="13"/>
      <c r="AI566" s="13"/>
      <c r="AJ566" s="300"/>
      <c r="AK566" s="13"/>
      <c r="AL566" s="301"/>
      <c r="AM566" s="300"/>
      <c r="AN566" s="13"/>
      <c r="AO566" s="301"/>
      <c r="AP566" s="300"/>
    </row>
    <row r="567">
      <c r="A567" s="13"/>
      <c r="B567" s="13"/>
      <c r="C567" s="13"/>
      <c r="D567" s="13"/>
      <c r="E567" s="13"/>
      <c r="F567" s="13"/>
      <c r="G567" s="13"/>
      <c r="H567" s="13"/>
      <c r="I567" s="13"/>
      <c r="J567" s="13"/>
      <c r="K567" s="13"/>
      <c r="L567" s="13"/>
      <c r="M567" s="13"/>
      <c r="N567" s="13"/>
      <c r="O567" s="13"/>
      <c r="P567" s="13"/>
      <c r="Q567" s="13"/>
      <c r="R567" s="300"/>
      <c r="S567" s="13"/>
      <c r="T567" s="13"/>
      <c r="U567" s="300"/>
      <c r="V567" s="13"/>
      <c r="W567" s="13"/>
      <c r="X567" s="300"/>
      <c r="Y567" s="13"/>
      <c r="Z567" s="13"/>
      <c r="AA567" s="300"/>
      <c r="AB567" s="13"/>
      <c r="AC567" s="13"/>
      <c r="AD567" s="300"/>
      <c r="AE567" s="13"/>
      <c r="AF567" s="13"/>
      <c r="AG567" s="300"/>
      <c r="AH567" s="13"/>
      <c r="AI567" s="13"/>
      <c r="AJ567" s="300"/>
      <c r="AK567" s="13"/>
      <c r="AL567" s="301"/>
      <c r="AM567" s="300"/>
      <c r="AN567" s="13"/>
      <c r="AO567" s="301"/>
      <c r="AP567" s="300"/>
    </row>
    <row r="568">
      <c r="A568" s="13"/>
      <c r="B568" s="13"/>
      <c r="C568" s="13"/>
      <c r="D568" s="13"/>
      <c r="E568" s="13"/>
      <c r="F568" s="13"/>
      <c r="G568" s="13"/>
      <c r="H568" s="13"/>
      <c r="I568" s="13"/>
      <c r="J568" s="13"/>
      <c r="K568" s="13"/>
      <c r="L568" s="13"/>
      <c r="M568" s="13"/>
      <c r="N568" s="13"/>
      <c r="O568" s="13"/>
      <c r="P568" s="13"/>
      <c r="Q568" s="13"/>
      <c r="R568" s="300"/>
      <c r="S568" s="13"/>
      <c r="T568" s="13"/>
      <c r="U568" s="300"/>
      <c r="V568" s="13"/>
      <c r="W568" s="13"/>
      <c r="X568" s="300"/>
      <c r="Y568" s="13"/>
      <c r="Z568" s="13"/>
      <c r="AA568" s="300"/>
      <c r="AB568" s="13"/>
      <c r="AC568" s="13"/>
      <c r="AD568" s="300"/>
      <c r="AE568" s="13"/>
      <c r="AF568" s="13"/>
      <c r="AG568" s="300"/>
      <c r="AH568" s="13"/>
      <c r="AI568" s="13"/>
      <c r="AJ568" s="300"/>
      <c r="AK568" s="13"/>
      <c r="AL568" s="301"/>
      <c r="AM568" s="300"/>
      <c r="AN568" s="13"/>
      <c r="AO568" s="301"/>
      <c r="AP568" s="300"/>
    </row>
    <row r="569">
      <c r="A569" s="13"/>
      <c r="B569" s="13"/>
      <c r="C569" s="13"/>
      <c r="D569" s="13"/>
      <c r="E569" s="13"/>
      <c r="F569" s="13"/>
      <c r="G569" s="13"/>
      <c r="H569" s="13"/>
      <c r="I569" s="13"/>
      <c r="J569" s="13"/>
      <c r="K569" s="13"/>
      <c r="L569" s="13"/>
      <c r="M569" s="13"/>
      <c r="N569" s="13"/>
      <c r="O569" s="13"/>
      <c r="P569" s="13"/>
      <c r="Q569" s="13"/>
      <c r="R569" s="300"/>
      <c r="S569" s="13"/>
      <c r="T569" s="13"/>
      <c r="U569" s="300"/>
      <c r="V569" s="13"/>
      <c r="W569" s="13"/>
      <c r="X569" s="300"/>
      <c r="Y569" s="13"/>
      <c r="Z569" s="13"/>
      <c r="AA569" s="300"/>
      <c r="AB569" s="13"/>
      <c r="AC569" s="13"/>
      <c r="AD569" s="300"/>
      <c r="AE569" s="13"/>
      <c r="AF569" s="13"/>
      <c r="AG569" s="300"/>
      <c r="AH569" s="13"/>
      <c r="AI569" s="13"/>
      <c r="AJ569" s="300"/>
      <c r="AK569" s="13"/>
      <c r="AL569" s="301"/>
      <c r="AM569" s="300"/>
      <c r="AN569" s="13"/>
      <c r="AO569" s="301"/>
      <c r="AP569" s="300"/>
    </row>
    <row r="570">
      <c r="A570" s="13"/>
      <c r="B570" s="13"/>
      <c r="C570" s="13"/>
      <c r="D570" s="13"/>
      <c r="E570" s="13"/>
      <c r="F570" s="13"/>
      <c r="G570" s="13"/>
      <c r="H570" s="13"/>
      <c r="I570" s="13"/>
      <c r="J570" s="13"/>
      <c r="K570" s="13"/>
      <c r="L570" s="13"/>
      <c r="M570" s="13"/>
      <c r="N570" s="13"/>
      <c r="O570" s="13"/>
      <c r="P570" s="13"/>
      <c r="Q570" s="13"/>
      <c r="R570" s="300"/>
      <c r="S570" s="13"/>
      <c r="T570" s="13"/>
      <c r="U570" s="300"/>
      <c r="V570" s="13"/>
      <c r="W570" s="13"/>
      <c r="X570" s="300"/>
      <c r="Y570" s="13"/>
      <c r="Z570" s="13"/>
      <c r="AA570" s="300"/>
      <c r="AB570" s="13"/>
      <c r="AC570" s="13"/>
      <c r="AD570" s="300"/>
      <c r="AE570" s="13"/>
      <c r="AF570" s="13"/>
      <c r="AG570" s="300"/>
      <c r="AH570" s="13"/>
      <c r="AI570" s="13"/>
      <c r="AJ570" s="300"/>
      <c r="AK570" s="13"/>
      <c r="AL570" s="301"/>
      <c r="AM570" s="300"/>
      <c r="AN570" s="13"/>
      <c r="AO570" s="301"/>
      <c r="AP570" s="300"/>
    </row>
    <row r="571">
      <c r="A571" s="13"/>
      <c r="B571" s="13"/>
      <c r="C571" s="13"/>
      <c r="D571" s="13"/>
      <c r="E571" s="13"/>
      <c r="F571" s="13"/>
      <c r="G571" s="13"/>
      <c r="H571" s="13"/>
      <c r="I571" s="13"/>
      <c r="J571" s="13"/>
      <c r="K571" s="13"/>
      <c r="L571" s="13"/>
      <c r="M571" s="13"/>
      <c r="N571" s="13"/>
      <c r="O571" s="13"/>
      <c r="P571" s="13"/>
      <c r="Q571" s="13"/>
      <c r="R571" s="300"/>
      <c r="S571" s="13"/>
      <c r="T571" s="13"/>
      <c r="U571" s="300"/>
      <c r="V571" s="13"/>
      <c r="W571" s="13"/>
      <c r="X571" s="300"/>
      <c r="Y571" s="13"/>
      <c r="Z571" s="13"/>
      <c r="AA571" s="300"/>
      <c r="AB571" s="13"/>
      <c r="AC571" s="13"/>
      <c r="AD571" s="300"/>
      <c r="AE571" s="13"/>
      <c r="AF571" s="13"/>
      <c r="AG571" s="300"/>
      <c r="AH571" s="13"/>
      <c r="AI571" s="13"/>
      <c r="AJ571" s="300"/>
      <c r="AK571" s="13"/>
      <c r="AL571" s="301"/>
      <c r="AM571" s="300"/>
      <c r="AN571" s="13"/>
      <c r="AO571" s="301"/>
      <c r="AP571" s="300"/>
    </row>
    <row r="572">
      <c r="A572" s="13"/>
      <c r="B572" s="13"/>
      <c r="C572" s="13"/>
      <c r="D572" s="13"/>
      <c r="E572" s="13"/>
      <c r="F572" s="13"/>
      <c r="G572" s="13"/>
      <c r="H572" s="13"/>
      <c r="I572" s="13"/>
      <c r="J572" s="13"/>
      <c r="K572" s="13"/>
      <c r="L572" s="13"/>
      <c r="M572" s="13"/>
      <c r="N572" s="13"/>
      <c r="O572" s="13"/>
      <c r="P572" s="13"/>
      <c r="Q572" s="13"/>
      <c r="R572" s="300"/>
      <c r="S572" s="13"/>
      <c r="T572" s="13"/>
      <c r="U572" s="300"/>
      <c r="V572" s="13"/>
      <c r="W572" s="13"/>
      <c r="X572" s="300"/>
      <c r="Y572" s="13"/>
      <c r="Z572" s="13"/>
      <c r="AA572" s="300"/>
      <c r="AB572" s="13"/>
      <c r="AC572" s="13"/>
      <c r="AD572" s="300"/>
      <c r="AE572" s="13"/>
      <c r="AF572" s="13"/>
      <c r="AG572" s="300"/>
      <c r="AH572" s="13"/>
      <c r="AI572" s="13"/>
      <c r="AJ572" s="300"/>
      <c r="AK572" s="13"/>
      <c r="AL572" s="301"/>
      <c r="AM572" s="300"/>
      <c r="AN572" s="13"/>
      <c r="AO572" s="301"/>
      <c r="AP572" s="300"/>
    </row>
    <row r="573">
      <c r="A573" s="13"/>
      <c r="B573" s="13"/>
      <c r="C573" s="13"/>
      <c r="D573" s="13"/>
      <c r="E573" s="13"/>
      <c r="F573" s="13"/>
      <c r="G573" s="13"/>
      <c r="H573" s="13"/>
      <c r="I573" s="13"/>
      <c r="J573" s="13"/>
      <c r="K573" s="13"/>
      <c r="L573" s="13"/>
      <c r="M573" s="13"/>
      <c r="N573" s="13"/>
      <c r="O573" s="13"/>
      <c r="P573" s="13"/>
      <c r="Q573" s="13"/>
      <c r="R573" s="300"/>
      <c r="S573" s="13"/>
      <c r="T573" s="13"/>
      <c r="U573" s="300"/>
      <c r="V573" s="13"/>
      <c r="W573" s="13"/>
      <c r="X573" s="300"/>
      <c r="Y573" s="13"/>
      <c r="Z573" s="13"/>
      <c r="AA573" s="300"/>
      <c r="AB573" s="13"/>
      <c r="AC573" s="13"/>
      <c r="AD573" s="300"/>
      <c r="AE573" s="13"/>
      <c r="AF573" s="13"/>
      <c r="AG573" s="300"/>
      <c r="AH573" s="13"/>
      <c r="AI573" s="13"/>
      <c r="AJ573" s="300"/>
      <c r="AK573" s="13"/>
      <c r="AL573" s="301"/>
      <c r="AM573" s="300"/>
      <c r="AN573" s="13"/>
      <c r="AO573" s="301"/>
      <c r="AP573" s="300"/>
    </row>
    <row r="574">
      <c r="A574" s="13"/>
      <c r="B574" s="13"/>
      <c r="C574" s="13"/>
      <c r="D574" s="13"/>
      <c r="E574" s="13"/>
      <c r="F574" s="13"/>
      <c r="G574" s="13"/>
      <c r="H574" s="13"/>
      <c r="I574" s="13"/>
      <c r="J574" s="13"/>
      <c r="K574" s="13"/>
      <c r="L574" s="13"/>
      <c r="M574" s="13"/>
      <c r="N574" s="13"/>
      <c r="O574" s="13"/>
      <c r="P574" s="13"/>
      <c r="Q574" s="13"/>
      <c r="R574" s="300"/>
      <c r="S574" s="13"/>
      <c r="T574" s="13"/>
      <c r="U574" s="300"/>
      <c r="V574" s="13"/>
      <c r="W574" s="13"/>
      <c r="X574" s="300"/>
      <c r="Y574" s="13"/>
      <c r="Z574" s="13"/>
      <c r="AA574" s="300"/>
      <c r="AB574" s="13"/>
      <c r="AC574" s="13"/>
      <c r="AD574" s="300"/>
      <c r="AE574" s="13"/>
      <c r="AF574" s="13"/>
      <c r="AG574" s="300"/>
      <c r="AH574" s="13"/>
      <c r="AI574" s="13"/>
      <c r="AJ574" s="300"/>
      <c r="AK574" s="13"/>
      <c r="AL574" s="301"/>
      <c r="AM574" s="300"/>
      <c r="AN574" s="13"/>
      <c r="AO574" s="301"/>
      <c r="AP574" s="300"/>
    </row>
    <row r="575">
      <c r="A575" s="13"/>
      <c r="B575" s="13"/>
      <c r="C575" s="13"/>
      <c r="D575" s="13"/>
      <c r="E575" s="13"/>
      <c r="F575" s="13"/>
      <c r="G575" s="13"/>
      <c r="H575" s="13"/>
      <c r="I575" s="13"/>
      <c r="J575" s="13"/>
      <c r="K575" s="13"/>
      <c r="L575" s="13"/>
      <c r="M575" s="13"/>
      <c r="N575" s="13"/>
      <c r="O575" s="13"/>
      <c r="P575" s="13"/>
      <c r="Q575" s="13"/>
      <c r="R575" s="300"/>
      <c r="S575" s="13"/>
      <c r="T575" s="13"/>
      <c r="U575" s="300"/>
      <c r="V575" s="13"/>
      <c r="W575" s="13"/>
      <c r="X575" s="300"/>
      <c r="Y575" s="13"/>
      <c r="Z575" s="13"/>
      <c r="AA575" s="300"/>
      <c r="AB575" s="13"/>
      <c r="AC575" s="13"/>
      <c r="AD575" s="300"/>
      <c r="AE575" s="13"/>
      <c r="AF575" s="13"/>
      <c r="AG575" s="300"/>
      <c r="AH575" s="13"/>
      <c r="AI575" s="13"/>
      <c r="AJ575" s="300"/>
      <c r="AK575" s="13"/>
      <c r="AL575" s="301"/>
      <c r="AM575" s="300"/>
      <c r="AN575" s="13"/>
      <c r="AO575" s="301"/>
      <c r="AP575" s="300"/>
    </row>
    <row r="576">
      <c r="A576" s="13"/>
      <c r="B576" s="13"/>
      <c r="C576" s="13"/>
      <c r="D576" s="13"/>
      <c r="E576" s="13"/>
      <c r="F576" s="13"/>
      <c r="G576" s="13"/>
      <c r="H576" s="13"/>
      <c r="I576" s="13"/>
      <c r="J576" s="13"/>
      <c r="K576" s="13"/>
      <c r="L576" s="13"/>
      <c r="M576" s="13"/>
      <c r="N576" s="13"/>
      <c r="O576" s="13"/>
      <c r="P576" s="13"/>
      <c r="Q576" s="13"/>
      <c r="R576" s="300"/>
      <c r="S576" s="13"/>
      <c r="T576" s="13"/>
      <c r="U576" s="300"/>
      <c r="V576" s="13"/>
      <c r="W576" s="13"/>
      <c r="X576" s="300"/>
      <c r="Y576" s="13"/>
      <c r="Z576" s="13"/>
      <c r="AA576" s="300"/>
      <c r="AB576" s="13"/>
      <c r="AC576" s="13"/>
      <c r="AD576" s="300"/>
      <c r="AE576" s="13"/>
      <c r="AF576" s="13"/>
      <c r="AG576" s="300"/>
      <c r="AH576" s="13"/>
      <c r="AI576" s="13"/>
      <c r="AJ576" s="300"/>
      <c r="AK576" s="13"/>
      <c r="AL576" s="301"/>
      <c r="AM576" s="300"/>
      <c r="AN576" s="13"/>
      <c r="AO576" s="301"/>
      <c r="AP576" s="300"/>
    </row>
    <row r="577">
      <c r="A577" s="13"/>
      <c r="B577" s="13"/>
      <c r="C577" s="13"/>
      <c r="D577" s="13"/>
      <c r="E577" s="13"/>
      <c r="F577" s="13"/>
      <c r="G577" s="13"/>
      <c r="H577" s="13"/>
      <c r="I577" s="13"/>
      <c r="J577" s="13"/>
      <c r="K577" s="13"/>
      <c r="L577" s="13"/>
      <c r="M577" s="13"/>
      <c r="N577" s="13"/>
      <c r="O577" s="13"/>
      <c r="P577" s="13"/>
      <c r="Q577" s="13"/>
      <c r="R577" s="300"/>
      <c r="S577" s="13"/>
      <c r="T577" s="13"/>
      <c r="U577" s="300"/>
      <c r="V577" s="13"/>
      <c r="W577" s="13"/>
      <c r="X577" s="300"/>
      <c r="Y577" s="13"/>
      <c r="Z577" s="13"/>
      <c r="AA577" s="300"/>
      <c r="AB577" s="13"/>
      <c r="AC577" s="13"/>
      <c r="AD577" s="300"/>
      <c r="AE577" s="13"/>
      <c r="AF577" s="13"/>
      <c r="AG577" s="300"/>
      <c r="AH577" s="13"/>
      <c r="AI577" s="13"/>
      <c r="AJ577" s="300"/>
      <c r="AK577" s="13"/>
      <c r="AL577" s="301"/>
      <c r="AM577" s="300"/>
      <c r="AN577" s="13"/>
      <c r="AO577" s="301"/>
      <c r="AP577" s="300"/>
    </row>
    <row r="578">
      <c r="A578" s="13"/>
      <c r="B578" s="13"/>
      <c r="C578" s="13"/>
      <c r="D578" s="13"/>
      <c r="E578" s="13"/>
      <c r="F578" s="13"/>
      <c r="G578" s="13"/>
      <c r="H578" s="13"/>
      <c r="I578" s="13"/>
      <c r="J578" s="13"/>
      <c r="K578" s="13"/>
      <c r="L578" s="13"/>
      <c r="M578" s="13"/>
      <c r="N578" s="13"/>
      <c r="O578" s="13"/>
      <c r="P578" s="13"/>
      <c r="Q578" s="13"/>
      <c r="R578" s="300"/>
      <c r="S578" s="13"/>
      <c r="T578" s="13"/>
      <c r="U578" s="300"/>
      <c r="V578" s="13"/>
      <c r="W578" s="13"/>
      <c r="X578" s="300"/>
      <c r="Y578" s="13"/>
      <c r="Z578" s="13"/>
      <c r="AA578" s="300"/>
      <c r="AB578" s="13"/>
      <c r="AC578" s="13"/>
      <c r="AD578" s="300"/>
      <c r="AE578" s="13"/>
      <c r="AF578" s="13"/>
      <c r="AG578" s="300"/>
      <c r="AH578" s="13"/>
      <c r="AI578" s="13"/>
      <c r="AJ578" s="300"/>
      <c r="AK578" s="13"/>
      <c r="AL578" s="301"/>
      <c r="AM578" s="300"/>
      <c r="AN578" s="13"/>
      <c r="AO578" s="301"/>
      <c r="AP578" s="300"/>
    </row>
    <row r="579">
      <c r="A579" s="13"/>
      <c r="B579" s="13"/>
      <c r="C579" s="13"/>
      <c r="D579" s="13"/>
      <c r="E579" s="13"/>
      <c r="F579" s="13"/>
      <c r="G579" s="13"/>
      <c r="H579" s="13"/>
      <c r="I579" s="13"/>
      <c r="J579" s="13"/>
      <c r="K579" s="13"/>
      <c r="L579" s="13"/>
      <c r="M579" s="13"/>
      <c r="N579" s="13"/>
      <c r="O579" s="13"/>
      <c r="P579" s="13"/>
      <c r="Q579" s="13"/>
      <c r="R579" s="300"/>
      <c r="S579" s="13"/>
      <c r="T579" s="13"/>
      <c r="U579" s="300"/>
      <c r="V579" s="13"/>
      <c r="W579" s="13"/>
      <c r="X579" s="300"/>
      <c r="Y579" s="13"/>
      <c r="Z579" s="13"/>
      <c r="AA579" s="300"/>
      <c r="AB579" s="13"/>
      <c r="AC579" s="13"/>
      <c r="AD579" s="300"/>
      <c r="AE579" s="13"/>
      <c r="AF579" s="13"/>
      <c r="AG579" s="300"/>
      <c r="AH579" s="13"/>
      <c r="AI579" s="13"/>
      <c r="AJ579" s="300"/>
      <c r="AK579" s="13"/>
      <c r="AL579" s="301"/>
      <c r="AM579" s="300"/>
      <c r="AN579" s="13"/>
      <c r="AO579" s="301"/>
      <c r="AP579" s="300"/>
    </row>
    <row r="580">
      <c r="A580" s="13"/>
      <c r="B580" s="13"/>
      <c r="C580" s="13"/>
      <c r="D580" s="13"/>
      <c r="E580" s="13"/>
      <c r="F580" s="13"/>
      <c r="G580" s="13"/>
      <c r="H580" s="13"/>
      <c r="I580" s="13"/>
      <c r="J580" s="13"/>
      <c r="K580" s="13"/>
      <c r="L580" s="13"/>
      <c r="M580" s="13"/>
      <c r="N580" s="13"/>
      <c r="O580" s="13"/>
      <c r="P580" s="13"/>
      <c r="Q580" s="13"/>
      <c r="R580" s="300"/>
      <c r="S580" s="13"/>
      <c r="T580" s="13"/>
      <c r="U580" s="300"/>
      <c r="V580" s="13"/>
      <c r="W580" s="13"/>
      <c r="X580" s="300"/>
      <c r="Y580" s="13"/>
      <c r="Z580" s="13"/>
      <c r="AA580" s="300"/>
      <c r="AB580" s="13"/>
      <c r="AC580" s="13"/>
      <c r="AD580" s="300"/>
      <c r="AE580" s="13"/>
      <c r="AF580" s="13"/>
      <c r="AG580" s="300"/>
      <c r="AH580" s="13"/>
      <c r="AI580" s="13"/>
      <c r="AJ580" s="300"/>
      <c r="AK580" s="13"/>
      <c r="AL580" s="301"/>
      <c r="AM580" s="300"/>
      <c r="AN580" s="13"/>
      <c r="AO580" s="301"/>
      <c r="AP580" s="300"/>
    </row>
    <row r="581">
      <c r="A581" s="13"/>
      <c r="B581" s="13"/>
      <c r="C581" s="13"/>
      <c r="D581" s="13"/>
      <c r="E581" s="13"/>
      <c r="F581" s="13"/>
      <c r="G581" s="13"/>
      <c r="H581" s="13"/>
      <c r="I581" s="13"/>
      <c r="J581" s="13"/>
      <c r="K581" s="13"/>
      <c r="L581" s="13"/>
      <c r="M581" s="13"/>
      <c r="N581" s="13"/>
      <c r="O581" s="13"/>
      <c r="P581" s="13"/>
      <c r="Q581" s="13"/>
      <c r="R581" s="300"/>
      <c r="S581" s="13"/>
      <c r="T581" s="13"/>
      <c r="U581" s="300"/>
      <c r="V581" s="13"/>
      <c r="W581" s="13"/>
      <c r="X581" s="300"/>
      <c r="Y581" s="13"/>
      <c r="Z581" s="13"/>
      <c r="AA581" s="300"/>
      <c r="AB581" s="13"/>
      <c r="AC581" s="13"/>
      <c r="AD581" s="300"/>
      <c r="AE581" s="13"/>
      <c r="AF581" s="13"/>
      <c r="AG581" s="300"/>
      <c r="AH581" s="13"/>
      <c r="AI581" s="13"/>
      <c r="AJ581" s="300"/>
      <c r="AK581" s="13"/>
      <c r="AL581" s="301"/>
      <c r="AM581" s="300"/>
      <c r="AN581" s="13"/>
      <c r="AO581" s="301"/>
      <c r="AP581" s="300"/>
    </row>
    <row r="582">
      <c r="A582" s="13"/>
      <c r="B582" s="13"/>
      <c r="C582" s="13"/>
      <c r="D582" s="13"/>
      <c r="E582" s="13"/>
      <c r="F582" s="13"/>
      <c r="G582" s="13"/>
      <c r="H582" s="13"/>
      <c r="I582" s="13"/>
      <c r="J582" s="13"/>
      <c r="K582" s="13"/>
      <c r="L582" s="13"/>
      <c r="M582" s="13"/>
      <c r="N582" s="13"/>
      <c r="O582" s="13"/>
      <c r="P582" s="13"/>
      <c r="Q582" s="13"/>
      <c r="R582" s="300"/>
      <c r="S582" s="13"/>
      <c r="T582" s="13"/>
      <c r="U582" s="300"/>
      <c r="V582" s="13"/>
      <c r="W582" s="13"/>
      <c r="X582" s="300"/>
      <c r="Y582" s="13"/>
      <c r="Z582" s="13"/>
      <c r="AA582" s="300"/>
      <c r="AB582" s="13"/>
      <c r="AC582" s="13"/>
      <c r="AD582" s="300"/>
      <c r="AE582" s="13"/>
      <c r="AF582" s="13"/>
      <c r="AG582" s="300"/>
      <c r="AH582" s="13"/>
      <c r="AI582" s="13"/>
      <c r="AJ582" s="300"/>
      <c r="AK582" s="13"/>
      <c r="AL582" s="301"/>
      <c r="AM582" s="300"/>
      <c r="AN582" s="13"/>
      <c r="AO582" s="301"/>
      <c r="AP582" s="300"/>
    </row>
    <row r="583">
      <c r="A583" s="13"/>
      <c r="B583" s="13"/>
      <c r="C583" s="13"/>
      <c r="D583" s="13"/>
      <c r="E583" s="13"/>
      <c r="F583" s="13"/>
      <c r="G583" s="13"/>
      <c r="H583" s="13"/>
      <c r="I583" s="13"/>
      <c r="J583" s="13"/>
      <c r="K583" s="13"/>
      <c r="L583" s="13"/>
      <c r="M583" s="13"/>
      <c r="N583" s="13"/>
      <c r="O583" s="13"/>
      <c r="P583" s="13"/>
      <c r="Q583" s="13"/>
      <c r="R583" s="300"/>
      <c r="S583" s="13"/>
      <c r="T583" s="13"/>
      <c r="U583" s="300"/>
      <c r="V583" s="13"/>
      <c r="W583" s="13"/>
      <c r="X583" s="300"/>
      <c r="Y583" s="13"/>
      <c r="Z583" s="13"/>
      <c r="AA583" s="300"/>
      <c r="AB583" s="13"/>
      <c r="AC583" s="13"/>
      <c r="AD583" s="300"/>
      <c r="AE583" s="13"/>
      <c r="AF583" s="13"/>
      <c r="AG583" s="300"/>
      <c r="AH583" s="13"/>
      <c r="AI583" s="13"/>
      <c r="AJ583" s="300"/>
      <c r="AK583" s="13"/>
      <c r="AL583" s="301"/>
      <c r="AM583" s="300"/>
      <c r="AN583" s="13"/>
      <c r="AO583" s="301"/>
      <c r="AP583" s="300"/>
    </row>
    <row r="584">
      <c r="A584" s="13"/>
      <c r="B584" s="13"/>
      <c r="C584" s="13"/>
      <c r="D584" s="13"/>
      <c r="E584" s="13"/>
      <c r="F584" s="13"/>
      <c r="G584" s="13"/>
      <c r="H584" s="13"/>
      <c r="I584" s="13"/>
      <c r="J584" s="13"/>
      <c r="K584" s="13"/>
      <c r="L584" s="13"/>
      <c r="M584" s="13"/>
      <c r="N584" s="13"/>
      <c r="O584" s="13"/>
      <c r="P584" s="13"/>
      <c r="Q584" s="13"/>
      <c r="R584" s="300"/>
      <c r="S584" s="13"/>
      <c r="T584" s="13"/>
      <c r="U584" s="300"/>
      <c r="V584" s="13"/>
      <c r="W584" s="13"/>
      <c r="X584" s="300"/>
      <c r="Y584" s="13"/>
      <c r="Z584" s="13"/>
      <c r="AA584" s="300"/>
      <c r="AB584" s="13"/>
      <c r="AC584" s="13"/>
      <c r="AD584" s="300"/>
      <c r="AE584" s="13"/>
      <c r="AF584" s="13"/>
      <c r="AG584" s="300"/>
      <c r="AH584" s="13"/>
      <c r="AI584" s="13"/>
      <c r="AJ584" s="300"/>
      <c r="AK584" s="13"/>
      <c r="AL584" s="301"/>
      <c r="AM584" s="300"/>
      <c r="AN584" s="13"/>
      <c r="AO584" s="301"/>
      <c r="AP584" s="300"/>
    </row>
    <row r="585">
      <c r="A585" s="13"/>
      <c r="B585" s="13"/>
      <c r="C585" s="13"/>
      <c r="D585" s="13"/>
      <c r="E585" s="13"/>
      <c r="F585" s="13"/>
      <c r="G585" s="13"/>
      <c r="H585" s="13"/>
      <c r="I585" s="13"/>
      <c r="J585" s="13"/>
      <c r="K585" s="13"/>
      <c r="L585" s="13"/>
      <c r="M585" s="13"/>
      <c r="N585" s="13"/>
      <c r="O585" s="13"/>
      <c r="P585" s="13"/>
      <c r="Q585" s="13"/>
      <c r="R585" s="300"/>
      <c r="S585" s="13"/>
      <c r="T585" s="13"/>
      <c r="U585" s="300"/>
      <c r="V585" s="13"/>
      <c r="W585" s="13"/>
      <c r="X585" s="300"/>
      <c r="Y585" s="13"/>
      <c r="Z585" s="13"/>
      <c r="AA585" s="300"/>
      <c r="AB585" s="13"/>
      <c r="AC585" s="13"/>
      <c r="AD585" s="300"/>
      <c r="AE585" s="13"/>
      <c r="AF585" s="13"/>
      <c r="AG585" s="300"/>
      <c r="AH585" s="13"/>
      <c r="AI585" s="13"/>
      <c r="AJ585" s="300"/>
      <c r="AK585" s="13"/>
      <c r="AL585" s="301"/>
      <c r="AM585" s="300"/>
      <c r="AN585" s="13"/>
      <c r="AO585" s="301"/>
      <c r="AP585" s="300"/>
    </row>
    <row r="586">
      <c r="A586" s="13"/>
      <c r="B586" s="13"/>
      <c r="C586" s="13"/>
      <c r="D586" s="13"/>
      <c r="E586" s="13"/>
      <c r="F586" s="13"/>
      <c r="G586" s="13"/>
      <c r="H586" s="13"/>
      <c r="I586" s="13"/>
      <c r="J586" s="13"/>
      <c r="K586" s="13"/>
      <c r="L586" s="13"/>
      <c r="M586" s="13"/>
      <c r="N586" s="13"/>
      <c r="O586" s="13"/>
      <c r="P586" s="13"/>
      <c r="Q586" s="13"/>
      <c r="R586" s="300"/>
      <c r="S586" s="13"/>
      <c r="T586" s="13"/>
      <c r="U586" s="300"/>
      <c r="V586" s="13"/>
      <c r="W586" s="13"/>
      <c r="X586" s="300"/>
      <c r="Y586" s="13"/>
      <c r="Z586" s="13"/>
      <c r="AA586" s="300"/>
      <c r="AB586" s="13"/>
      <c r="AC586" s="13"/>
      <c r="AD586" s="300"/>
      <c r="AE586" s="13"/>
      <c r="AF586" s="13"/>
      <c r="AG586" s="300"/>
      <c r="AH586" s="13"/>
      <c r="AI586" s="13"/>
      <c r="AJ586" s="300"/>
      <c r="AK586" s="13"/>
      <c r="AL586" s="301"/>
      <c r="AM586" s="300"/>
      <c r="AN586" s="13"/>
      <c r="AO586" s="301"/>
      <c r="AP586" s="300"/>
    </row>
    <row r="587">
      <c r="A587" s="13"/>
      <c r="B587" s="13"/>
      <c r="C587" s="13"/>
      <c r="D587" s="13"/>
      <c r="E587" s="13"/>
      <c r="F587" s="13"/>
      <c r="G587" s="13"/>
      <c r="H587" s="13"/>
      <c r="I587" s="13"/>
      <c r="J587" s="13"/>
      <c r="K587" s="13"/>
      <c r="L587" s="13"/>
      <c r="M587" s="13"/>
      <c r="N587" s="13"/>
      <c r="O587" s="13"/>
      <c r="P587" s="13"/>
      <c r="Q587" s="13"/>
      <c r="R587" s="300"/>
      <c r="S587" s="13"/>
      <c r="T587" s="13"/>
      <c r="U587" s="300"/>
      <c r="V587" s="13"/>
      <c r="W587" s="13"/>
      <c r="X587" s="300"/>
      <c r="Y587" s="13"/>
      <c r="Z587" s="13"/>
      <c r="AA587" s="300"/>
      <c r="AB587" s="13"/>
      <c r="AC587" s="13"/>
      <c r="AD587" s="300"/>
      <c r="AE587" s="13"/>
      <c r="AF587" s="13"/>
      <c r="AG587" s="300"/>
      <c r="AH587" s="13"/>
      <c r="AI587" s="13"/>
      <c r="AJ587" s="300"/>
      <c r="AK587" s="13"/>
      <c r="AL587" s="301"/>
      <c r="AM587" s="300"/>
      <c r="AN587" s="13"/>
      <c r="AO587" s="301"/>
      <c r="AP587" s="300"/>
    </row>
    <row r="588">
      <c r="A588" s="13"/>
      <c r="B588" s="13"/>
      <c r="C588" s="13"/>
      <c r="D588" s="13"/>
      <c r="E588" s="13"/>
      <c r="F588" s="13"/>
      <c r="G588" s="13"/>
      <c r="H588" s="13"/>
      <c r="I588" s="13"/>
      <c r="J588" s="13"/>
      <c r="K588" s="13"/>
      <c r="L588" s="13"/>
      <c r="M588" s="13"/>
      <c r="N588" s="13"/>
      <c r="O588" s="13"/>
      <c r="P588" s="13"/>
      <c r="Q588" s="13"/>
      <c r="R588" s="300"/>
      <c r="S588" s="13"/>
      <c r="T588" s="13"/>
      <c r="U588" s="300"/>
      <c r="V588" s="13"/>
      <c r="W588" s="13"/>
      <c r="X588" s="300"/>
      <c r="Y588" s="13"/>
      <c r="Z588" s="13"/>
      <c r="AA588" s="300"/>
      <c r="AB588" s="13"/>
      <c r="AC588" s="13"/>
      <c r="AD588" s="300"/>
      <c r="AE588" s="13"/>
      <c r="AF588" s="13"/>
      <c r="AG588" s="300"/>
      <c r="AH588" s="13"/>
      <c r="AI588" s="13"/>
      <c r="AJ588" s="300"/>
      <c r="AK588" s="13"/>
      <c r="AL588" s="301"/>
      <c r="AM588" s="300"/>
      <c r="AN588" s="13"/>
      <c r="AO588" s="301"/>
      <c r="AP588" s="300"/>
    </row>
    <row r="589">
      <c r="A589" s="13"/>
      <c r="B589" s="13"/>
      <c r="C589" s="13"/>
      <c r="D589" s="13"/>
      <c r="E589" s="13"/>
      <c r="F589" s="13"/>
      <c r="G589" s="13"/>
      <c r="H589" s="13"/>
      <c r="I589" s="13"/>
      <c r="J589" s="13"/>
      <c r="K589" s="13"/>
      <c r="L589" s="13"/>
      <c r="M589" s="13"/>
      <c r="N589" s="13"/>
      <c r="O589" s="13"/>
      <c r="P589" s="13"/>
      <c r="Q589" s="13"/>
      <c r="R589" s="300"/>
      <c r="S589" s="13"/>
      <c r="T589" s="13"/>
      <c r="U589" s="300"/>
      <c r="V589" s="13"/>
      <c r="W589" s="13"/>
      <c r="X589" s="300"/>
      <c r="Y589" s="13"/>
      <c r="Z589" s="13"/>
      <c r="AA589" s="300"/>
      <c r="AB589" s="13"/>
      <c r="AC589" s="13"/>
      <c r="AD589" s="300"/>
      <c r="AE589" s="13"/>
      <c r="AF589" s="13"/>
      <c r="AG589" s="300"/>
      <c r="AH589" s="13"/>
      <c r="AI589" s="13"/>
      <c r="AJ589" s="300"/>
      <c r="AK589" s="13"/>
      <c r="AL589" s="301"/>
      <c r="AM589" s="300"/>
      <c r="AN589" s="13"/>
      <c r="AO589" s="301"/>
      <c r="AP589" s="300"/>
    </row>
    <row r="590">
      <c r="A590" s="13"/>
      <c r="B590" s="13"/>
      <c r="C590" s="13"/>
      <c r="D590" s="13"/>
      <c r="E590" s="13"/>
      <c r="F590" s="13"/>
      <c r="G590" s="13"/>
      <c r="H590" s="13"/>
      <c r="I590" s="13"/>
      <c r="J590" s="13"/>
      <c r="K590" s="13"/>
      <c r="L590" s="13"/>
      <c r="M590" s="13"/>
      <c r="N590" s="13"/>
      <c r="O590" s="13"/>
      <c r="P590" s="13"/>
      <c r="Q590" s="13"/>
      <c r="R590" s="300"/>
      <c r="S590" s="13"/>
      <c r="T590" s="13"/>
      <c r="U590" s="300"/>
      <c r="V590" s="13"/>
      <c r="W590" s="13"/>
      <c r="X590" s="300"/>
      <c r="Y590" s="13"/>
      <c r="Z590" s="13"/>
      <c r="AA590" s="300"/>
      <c r="AB590" s="13"/>
      <c r="AC590" s="13"/>
      <c r="AD590" s="300"/>
      <c r="AE590" s="13"/>
      <c r="AF590" s="13"/>
      <c r="AG590" s="300"/>
      <c r="AH590" s="13"/>
      <c r="AI590" s="13"/>
      <c r="AJ590" s="300"/>
      <c r="AK590" s="13"/>
      <c r="AL590" s="301"/>
      <c r="AM590" s="300"/>
      <c r="AN590" s="13"/>
      <c r="AO590" s="301"/>
      <c r="AP590" s="300"/>
    </row>
    <row r="591">
      <c r="A591" s="13"/>
      <c r="B591" s="13"/>
      <c r="C591" s="13"/>
      <c r="D591" s="13"/>
      <c r="E591" s="13"/>
      <c r="F591" s="13"/>
      <c r="G591" s="13"/>
      <c r="H591" s="13"/>
      <c r="I591" s="13"/>
      <c r="J591" s="13"/>
      <c r="K591" s="13"/>
      <c r="L591" s="13"/>
      <c r="M591" s="13"/>
      <c r="N591" s="13"/>
      <c r="O591" s="13"/>
      <c r="P591" s="13"/>
      <c r="Q591" s="13"/>
      <c r="R591" s="300"/>
      <c r="S591" s="13"/>
      <c r="T591" s="13"/>
      <c r="U591" s="300"/>
      <c r="V591" s="13"/>
      <c r="W591" s="13"/>
      <c r="X591" s="300"/>
      <c r="Y591" s="13"/>
      <c r="Z591" s="13"/>
      <c r="AA591" s="300"/>
      <c r="AB591" s="13"/>
      <c r="AC591" s="13"/>
      <c r="AD591" s="300"/>
      <c r="AE591" s="13"/>
      <c r="AF591" s="13"/>
      <c r="AG591" s="300"/>
      <c r="AH591" s="13"/>
      <c r="AI591" s="13"/>
      <c r="AJ591" s="300"/>
      <c r="AK591" s="13"/>
      <c r="AL591" s="301"/>
      <c r="AM591" s="300"/>
      <c r="AN591" s="13"/>
      <c r="AO591" s="301"/>
      <c r="AP591" s="300"/>
    </row>
    <row r="592">
      <c r="A592" s="13"/>
      <c r="B592" s="13"/>
      <c r="C592" s="13"/>
      <c r="D592" s="13"/>
      <c r="E592" s="13"/>
      <c r="F592" s="13"/>
      <c r="G592" s="13"/>
      <c r="H592" s="13"/>
      <c r="I592" s="13"/>
      <c r="J592" s="13"/>
      <c r="K592" s="13"/>
      <c r="L592" s="13"/>
      <c r="M592" s="13"/>
      <c r="N592" s="13"/>
      <c r="O592" s="13"/>
      <c r="P592" s="13"/>
      <c r="Q592" s="13"/>
      <c r="R592" s="300"/>
      <c r="S592" s="13"/>
      <c r="T592" s="13"/>
      <c r="U592" s="300"/>
      <c r="V592" s="13"/>
      <c r="W592" s="13"/>
      <c r="X592" s="300"/>
      <c r="Y592" s="13"/>
      <c r="Z592" s="13"/>
      <c r="AA592" s="300"/>
      <c r="AB592" s="13"/>
      <c r="AC592" s="13"/>
      <c r="AD592" s="300"/>
      <c r="AE592" s="13"/>
      <c r="AF592" s="13"/>
      <c r="AG592" s="300"/>
      <c r="AH592" s="13"/>
      <c r="AI592" s="13"/>
      <c r="AJ592" s="300"/>
      <c r="AK592" s="13"/>
      <c r="AL592" s="301"/>
      <c r="AM592" s="300"/>
      <c r="AN592" s="13"/>
      <c r="AO592" s="301"/>
      <c r="AP592" s="300"/>
    </row>
    <row r="593">
      <c r="A593" s="13"/>
      <c r="B593" s="13"/>
      <c r="C593" s="13"/>
      <c r="D593" s="13"/>
      <c r="E593" s="13"/>
      <c r="F593" s="13"/>
      <c r="G593" s="13"/>
      <c r="H593" s="13"/>
      <c r="I593" s="13"/>
      <c r="J593" s="13"/>
      <c r="K593" s="13"/>
      <c r="L593" s="13"/>
      <c r="M593" s="13"/>
      <c r="N593" s="13"/>
      <c r="O593" s="13"/>
      <c r="P593" s="13"/>
      <c r="Q593" s="13"/>
      <c r="R593" s="300"/>
      <c r="S593" s="13"/>
      <c r="T593" s="13"/>
      <c r="U593" s="300"/>
      <c r="V593" s="13"/>
      <c r="W593" s="13"/>
      <c r="X593" s="300"/>
      <c r="Y593" s="13"/>
      <c r="Z593" s="13"/>
      <c r="AA593" s="300"/>
      <c r="AB593" s="13"/>
      <c r="AC593" s="13"/>
      <c r="AD593" s="300"/>
      <c r="AE593" s="13"/>
      <c r="AF593" s="13"/>
      <c r="AG593" s="300"/>
      <c r="AH593" s="13"/>
      <c r="AI593" s="13"/>
      <c r="AJ593" s="300"/>
      <c r="AK593" s="13"/>
      <c r="AL593" s="301"/>
      <c r="AM593" s="300"/>
      <c r="AN593" s="13"/>
      <c r="AO593" s="301"/>
      <c r="AP593" s="300"/>
    </row>
    <row r="594">
      <c r="A594" s="13"/>
      <c r="B594" s="13"/>
      <c r="C594" s="13"/>
      <c r="D594" s="13"/>
      <c r="E594" s="13"/>
      <c r="F594" s="13"/>
      <c r="G594" s="13"/>
      <c r="H594" s="13"/>
      <c r="I594" s="13"/>
      <c r="J594" s="13"/>
      <c r="K594" s="13"/>
      <c r="L594" s="13"/>
      <c r="M594" s="13"/>
      <c r="N594" s="13"/>
      <c r="O594" s="13"/>
      <c r="P594" s="13"/>
      <c r="Q594" s="13"/>
      <c r="R594" s="300"/>
      <c r="S594" s="13"/>
      <c r="T594" s="13"/>
      <c r="U594" s="300"/>
      <c r="V594" s="13"/>
      <c r="W594" s="13"/>
      <c r="X594" s="300"/>
      <c r="Y594" s="13"/>
      <c r="Z594" s="13"/>
      <c r="AA594" s="300"/>
      <c r="AB594" s="13"/>
      <c r="AC594" s="13"/>
      <c r="AD594" s="300"/>
      <c r="AE594" s="13"/>
      <c r="AF594" s="13"/>
      <c r="AG594" s="300"/>
      <c r="AH594" s="13"/>
      <c r="AI594" s="13"/>
      <c r="AJ594" s="300"/>
      <c r="AK594" s="13"/>
      <c r="AL594" s="301"/>
      <c r="AM594" s="300"/>
      <c r="AN594" s="13"/>
      <c r="AO594" s="301"/>
      <c r="AP594" s="300"/>
    </row>
    <row r="595">
      <c r="A595" s="13"/>
      <c r="B595" s="13"/>
      <c r="C595" s="13"/>
      <c r="D595" s="13"/>
      <c r="E595" s="13"/>
      <c r="F595" s="13"/>
      <c r="G595" s="13"/>
      <c r="H595" s="13"/>
      <c r="I595" s="13"/>
      <c r="J595" s="13"/>
      <c r="K595" s="13"/>
      <c r="L595" s="13"/>
      <c r="M595" s="13"/>
      <c r="N595" s="13"/>
      <c r="O595" s="13"/>
      <c r="P595" s="13"/>
      <c r="Q595" s="13"/>
      <c r="R595" s="300"/>
      <c r="S595" s="13"/>
      <c r="T595" s="13"/>
      <c r="U595" s="300"/>
      <c r="V595" s="13"/>
      <c r="W595" s="13"/>
      <c r="X595" s="300"/>
      <c r="Y595" s="13"/>
      <c r="Z595" s="13"/>
      <c r="AA595" s="300"/>
      <c r="AB595" s="13"/>
      <c r="AC595" s="13"/>
      <c r="AD595" s="300"/>
      <c r="AE595" s="13"/>
      <c r="AF595" s="13"/>
      <c r="AG595" s="300"/>
      <c r="AH595" s="13"/>
      <c r="AI595" s="13"/>
      <c r="AJ595" s="300"/>
      <c r="AK595" s="13"/>
      <c r="AL595" s="301"/>
      <c r="AM595" s="300"/>
      <c r="AN595" s="13"/>
      <c r="AO595" s="301"/>
      <c r="AP595" s="300"/>
    </row>
    <row r="596">
      <c r="A596" s="13"/>
      <c r="B596" s="13"/>
      <c r="C596" s="13"/>
      <c r="D596" s="13"/>
      <c r="E596" s="13"/>
      <c r="F596" s="13"/>
      <c r="G596" s="13"/>
      <c r="H596" s="13"/>
      <c r="I596" s="13"/>
      <c r="J596" s="13"/>
      <c r="K596" s="13"/>
      <c r="L596" s="13"/>
      <c r="M596" s="13"/>
      <c r="N596" s="13"/>
      <c r="O596" s="13"/>
      <c r="P596" s="13"/>
      <c r="Q596" s="13"/>
      <c r="R596" s="300"/>
      <c r="S596" s="13"/>
      <c r="T596" s="13"/>
      <c r="U596" s="300"/>
      <c r="V596" s="13"/>
      <c r="W596" s="13"/>
      <c r="X596" s="300"/>
      <c r="Y596" s="13"/>
      <c r="Z596" s="13"/>
      <c r="AA596" s="300"/>
      <c r="AB596" s="13"/>
      <c r="AC596" s="13"/>
      <c r="AD596" s="300"/>
      <c r="AE596" s="13"/>
      <c r="AF596" s="13"/>
      <c r="AG596" s="300"/>
      <c r="AH596" s="13"/>
      <c r="AI596" s="13"/>
      <c r="AJ596" s="300"/>
      <c r="AK596" s="13"/>
      <c r="AL596" s="301"/>
      <c r="AM596" s="300"/>
      <c r="AN596" s="13"/>
      <c r="AO596" s="301"/>
      <c r="AP596" s="300"/>
    </row>
    <row r="597">
      <c r="A597" s="13"/>
      <c r="B597" s="13"/>
      <c r="C597" s="13"/>
      <c r="D597" s="13"/>
      <c r="E597" s="13"/>
      <c r="F597" s="13"/>
      <c r="G597" s="13"/>
      <c r="H597" s="13"/>
      <c r="I597" s="13"/>
      <c r="J597" s="13"/>
      <c r="K597" s="13"/>
      <c r="L597" s="13"/>
      <c r="M597" s="13"/>
      <c r="N597" s="13"/>
      <c r="O597" s="13"/>
      <c r="P597" s="13"/>
      <c r="Q597" s="13"/>
      <c r="R597" s="300"/>
      <c r="S597" s="13"/>
      <c r="T597" s="13"/>
      <c r="U597" s="300"/>
      <c r="V597" s="13"/>
      <c r="W597" s="13"/>
      <c r="X597" s="300"/>
      <c r="Y597" s="13"/>
      <c r="Z597" s="13"/>
      <c r="AA597" s="300"/>
      <c r="AB597" s="13"/>
      <c r="AC597" s="13"/>
      <c r="AD597" s="300"/>
      <c r="AE597" s="13"/>
      <c r="AF597" s="13"/>
      <c r="AG597" s="300"/>
      <c r="AH597" s="13"/>
      <c r="AI597" s="13"/>
      <c r="AJ597" s="300"/>
      <c r="AK597" s="13"/>
      <c r="AL597" s="301"/>
      <c r="AM597" s="300"/>
      <c r="AN597" s="13"/>
      <c r="AO597" s="301"/>
      <c r="AP597" s="300"/>
    </row>
    <row r="598">
      <c r="A598" s="13"/>
      <c r="B598" s="13"/>
      <c r="C598" s="13"/>
      <c r="D598" s="13"/>
      <c r="E598" s="13"/>
      <c r="F598" s="13"/>
      <c r="G598" s="13"/>
      <c r="H598" s="13"/>
      <c r="I598" s="13"/>
      <c r="J598" s="13"/>
      <c r="K598" s="13"/>
      <c r="L598" s="13"/>
      <c r="M598" s="13"/>
      <c r="N598" s="13"/>
      <c r="O598" s="13"/>
      <c r="P598" s="13"/>
      <c r="Q598" s="13"/>
      <c r="R598" s="300"/>
      <c r="S598" s="13"/>
      <c r="T598" s="13"/>
      <c r="U598" s="300"/>
      <c r="V598" s="13"/>
      <c r="W598" s="13"/>
      <c r="X598" s="300"/>
      <c r="Y598" s="13"/>
      <c r="Z598" s="13"/>
      <c r="AA598" s="300"/>
      <c r="AB598" s="13"/>
      <c r="AC598" s="13"/>
      <c r="AD598" s="300"/>
      <c r="AE598" s="13"/>
      <c r="AF598" s="13"/>
      <c r="AG598" s="300"/>
      <c r="AH598" s="13"/>
      <c r="AI598" s="13"/>
      <c r="AJ598" s="300"/>
      <c r="AK598" s="13"/>
      <c r="AL598" s="301"/>
      <c r="AM598" s="300"/>
      <c r="AN598" s="13"/>
      <c r="AO598" s="301"/>
      <c r="AP598" s="300"/>
    </row>
    <row r="599">
      <c r="A599" s="13"/>
      <c r="B599" s="13"/>
      <c r="C599" s="13"/>
      <c r="D599" s="13"/>
      <c r="E599" s="13"/>
      <c r="F599" s="13"/>
      <c r="G599" s="13"/>
      <c r="H599" s="13"/>
      <c r="I599" s="13"/>
      <c r="J599" s="13"/>
      <c r="K599" s="13"/>
      <c r="L599" s="13"/>
      <c r="M599" s="13"/>
      <c r="N599" s="13"/>
      <c r="O599" s="13"/>
      <c r="P599" s="13"/>
      <c r="Q599" s="13"/>
      <c r="R599" s="300"/>
      <c r="S599" s="13"/>
      <c r="T599" s="13"/>
      <c r="U599" s="300"/>
      <c r="V599" s="13"/>
      <c r="W599" s="13"/>
      <c r="X599" s="300"/>
      <c r="Y599" s="13"/>
      <c r="Z599" s="13"/>
      <c r="AA599" s="300"/>
      <c r="AB599" s="13"/>
      <c r="AC599" s="13"/>
      <c r="AD599" s="300"/>
      <c r="AE599" s="13"/>
      <c r="AF599" s="13"/>
      <c r="AG599" s="300"/>
      <c r="AH599" s="13"/>
      <c r="AI599" s="13"/>
      <c r="AJ599" s="300"/>
      <c r="AK599" s="13"/>
      <c r="AL599" s="301"/>
      <c r="AM599" s="300"/>
      <c r="AN599" s="13"/>
      <c r="AO599" s="301"/>
      <c r="AP599" s="300"/>
    </row>
    <row r="600">
      <c r="A600" s="13"/>
      <c r="B600" s="13"/>
      <c r="C600" s="13"/>
      <c r="D600" s="13"/>
      <c r="E600" s="13"/>
      <c r="F600" s="13"/>
      <c r="G600" s="13"/>
      <c r="H600" s="13"/>
      <c r="I600" s="13"/>
      <c r="J600" s="13"/>
      <c r="K600" s="13"/>
      <c r="L600" s="13"/>
      <c r="M600" s="13"/>
      <c r="N600" s="13"/>
      <c r="O600" s="13"/>
      <c r="P600" s="13"/>
      <c r="Q600" s="13"/>
      <c r="R600" s="300"/>
      <c r="S600" s="13"/>
      <c r="T600" s="13"/>
      <c r="U600" s="300"/>
      <c r="V600" s="13"/>
      <c r="W600" s="13"/>
      <c r="X600" s="300"/>
      <c r="Y600" s="13"/>
      <c r="Z600" s="13"/>
      <c r="AA600" s="300"/>
      <c r="AB600" s="13"/>
      <c r="AC600" s="13"/>
      <c r="AD600" s="300"/>
      <c r="AE600" s="13"/>
      <c r="AF600" s="13"/>
      <c r="AG600" s="300"/>
      <c r="AH600" s="13"/>
      <c r="AI600" s="13"/>
      <c r="AJ600" s="300"/>
      <c r="AK600" s="13"/>
      <c r="AL600" s="301"/>
      <c r="AM600" s="300"/>
      <c r="AN600" s="13"/>
      <c r="AO600" s="301"/>
      <c r="AP600" s="300"/>
    </row>
    <row r="601">
      <c r="A601" s="13"/>
      <c r="B601" s="13"/>
      <c r="C601" s="13"/>
      <c r="D601" s="13"/>
      <c r="E601" s="13"/>
      <c r="F601" s="13"/>
      <c r="G601" s="13"/>
      <c r="H601" s="13"/>
      <c r="I601" s="13"/>
      <c r="J601" s="13"/>
      <c r="K601" s="13"/>
      <c r="L601" s="13"/>
      <c r="M601" s="13"/>
      <c r="N601" s="13"/>
      <c r="O601" s="13"/>
      <c r="P601" s="13"/>
      <c r="Q601" s="13"/>
      <c r="R601" s="300"/>
      <c r="S601" s="13"/>
      <c r="T601" s="13"/>
      <c r="U601" s="300"/>
      <c r="V601" s="13"/>
      <c r="W601" s="13"/>
      <c r="X601" s="300"/>
      <c r="Y601" s="13"/>
      <c r="Z601" s="13"/>
      <c r="AA601" s="300"/>
      <c r="AB601" s="13"/>
      <c r="AC601" s="13"/>
      <c r="AD601" s="300"/>
      <c r="AE601" s="13"/>
      <c r="AF601" s="13"/>
      <c r="AG601" s="300"/>
      <c r="AH601" s="13"/>
      <c r="AI601" s="13"/>
      <c r="AJ601" s="300"/>
      <c r="AK601" s="13"/>
      <c r="AL601" s="301"/>
      <c r="AM601" s="300"/>
      <c r="AN601" s="13"/>
      <c r="AO601" s="301"/>
      <c r="AP601" s="300"/>
    </row>
    <row r="602">
      <c r="A602" s="13"/>
      <c r="B602" s="13"/>
      <c r="C602" s="13"/>
      <c r="D602" s="13"/>
      <c r="E602" s="13"/>
      <c r="F602" s="13"/>
      <c r="G602" s="13"/>
      <c r="H602" s="13"/>
      <c r="I602" s="13"/>
      <c r="J602" s="13"/>
      <c r="K602" s="13"/>
      <c r="L602" s="13"/>
      <c r="M602" s="13"/>
      <c r="N602" s="13"/>
      <c r="O602" s="13"/>
      <c r="P602" s="13"/>
      <c r="Q602" s="13"/>
      <c r="R602" s="300"/>
      <c r="S602" s="13"/>
      <c r="T602" s="13"/>
      <c r="U602" s="300"/>
      <c r="V602" s="13"/>
      <c r="W602" s="13"/>
      <c r="X602" s="300"/>
      <c r="Y602" s="13"/>
      <c r="Z602" s="13"/>
      <c r="AA602" s="300"/>
      <c r="AB602" s="13"/>
      <c r="AC602" s="13"/>
      <c r="AD602" s="300"/>
      <c r="AE602" s="13"/>
      <c r="AF602" s="13"/>
      <c r="AG602" s="300"/>
      <c r="AH602" s="13"/>
      <c r="AI602" s="13"/>
      <c r="AJ602" s="300"/>
      <c r="AK602" s="13"/>
      <c r="AL602" s="301"/>
      <c r="AM602" s="300"/>
      <c r="AN602" s="13"/>
      <c r="AO602" s="301"/>
      <c r="AP602" s="300"/>
    </row>
    <row r="603">
      <c r="A603" s="13"/>
      <c r="B603" s="13"/>
      <c r="C603" s="13"/>
      <c r="D603" s="13"/>
      <c r="E603" s="13"/>
      <c r="F603" s="13"/>
      <c r="G603" s="13"/>
      <c r="H603" s="13"/>
      <c r="I603" s="13"/>
      <c r="J603" s="13"/>
      <c r="K603" s="13"/>
      <c r="L603" s="13"/>
      <c r="M603" s="13"/>
      <c r="N603" s="13"/>
      <c r="O603" s="13"/>
      <c r="P603" s="13"/>
      <c r="Q603" s="13"/>
      <c r="R603" s="300"/>
      <c r="S603" s="13"/>
      <c r="T603" s="13"/>
      <c r="U603" s="300"/>
      <c r="V603" s="13"/>
      <c r="W603" s="13"/>
      <c r="X603" s="300"/>
      <c r="Y603" s="13"/>
      <c r="Z603" s="13"/>
      <c r="AA603" s="300"/>
      <c r="AB603" s="13"/>
      <c r="AC603" s="13"/>
      <c r="AD603" s="300"/>
      <c r="AE603" s="13"/>
      <c r="AF603" s="13"/>
      <c r="AG603" s="300"/>
      <c r="AH603" s="13"/>
      <c r="AI603" s="13"/>
      <c r="AJ603" s="300"/>
      <c r="AK603" s="13"/>
      <c r="AL603" s="301"/>
      <c r="AM603" s="300"/>
      <c r="AN603" s="13"/>
      <c r="AO603" s="301"/>
      <c r="AP603" s="300"/>
    </row>
    <row r="604">
      <c r="A604" s="13"/>
      <c r="B604" s="13"/>
      <c r="C604" s="13"/>
      <c r="D604" s="13"/>
      <c r="E604" s="13"/>
      <c r="F604" s="13"/>
      <c r="G604" s="13"/>
      <c r="H604" s="13"/>
      <c r="I604" s="13"/>
      <c r="J604" s="13"/>
      <c r="K604" s="13"/>
      <c r="L604" s="13"/>
      <c r="M604" s="13"/>
      <c r="N604" s="13"/>
      <c r="O604" s="13"/>
      <c r="P604" s="13"/>
      <c r="Q604" s="13"/>
      <c r="R604" s="300"/>
      <c r="S604" s="13"/>
      <c r="T604" s="13"/>
      <c r="U604" s="300"/>
      <c r="V604" s="13"/>
      <c r="W604" s="13"/>
      <c r="X604" s="300"/>
      <c r="Y604" s="13"/>
      <c r="Z604" s="13"/>
      <c r="AA604" s="300"/>
      <c r="AB604" s="13"/>
      <c r="AC604" s="13"/>
      <c r="AD604" s="300"/>
      <c r="AE604" s="13"/>
      <c r="AF604" s="13"/>
      <c r="AG604" s="300"/>
      <c r="AH604" s="13"/>
      <c r="AI604" s="13"/>
      <c r="AJ604" s="300"/>
      <c r="AK604" s="13"/>
      <c r="AL604" s="301"/>
      <c r="AM604" s="300"/>
      <c r="AN604" s="13"/>
      <c r="AO604" s="301"/>
      <c r="AP604" s="300"/>
    </row>
    <row r="605">
      <c r="A605" s="13"/>
      <c r="B605" s="13"/>
      <c r="C605" s="13"/>
      <c r="D605" s="13"/>
      <c r="E605" s="13"/>
      <c r="F605" s="13"/>
      <c r="G605" s="13"/>
      <c r="H605" s="13"/>
      <c r="I605" s="13"/>
      <c r="J605" s="13"/>
      <c r="K605" s="13"/>
      <c r="L605" s="13"/>
      <c r="M605" s="13"/>
      <c r="N605" s="13"/>
      <c r="O605" s="13"/>
      <c r="P605" s="13"/>
      <c r="Q605" s="13"/>
      <c r="R605" s="300"/>
      <c r="S605" s="13"/>
      <c r="T605" s="13"/>
      <c r="U605" s="300"/>
      <c r="V605" s="13"/>
      <c r="W605" s="13"/>
      <c r="X605" s="300"/>
      <c r="Y605" s="13"/>
      <c r="Z605" s="13"/>
      <c r="AA605" s="300"/>
      <c r="AB605" s="13"/>
      <c r="AC605" s="13"/>
      <c r="AD605" s="300"/>
      <c r="AE605" s="13"/>
      <c r="AF605" s="13"/>
      <c r="AG605" s="300"/>
      <c r="AH605" s="13"/>
      <c r="AI605" s="13"/>
      <c r="AJ605" s="300"/>
      <c r="AK605" s="13"/>
      <c r="AL605" s="301"/>
      <c r="AM605" s="300"/>
      <c r="AN605" s="13"/>
      <c r="AO605" s="301"/>
      <c r="AP605" s="300"/>
    </row>
    <row r="606">
      <c r="A606" s="13"/>
      <c r="B606" s="13"/>
      <c r="C606" s="13"/>
      <c r="D606" s="13"/>
      <c r="E606" s="13"/>
      <c r="F606" s="13"/>
      <c r="G606" s="13"/>
      <c r="H606" s="13"/>
      <c r="I606" s="13"/>
      <c r="J606" s="13"/>
      <c r="K606" s="13"/>
      <c r="L606" s="13"/>
      <c r="M606" s="13"/>
      <c r="N606" s="13"/>
      <c r="O606" s="13"/>
      <c r="P606" s="13"/>
      <c r="Q606" s="13"/>
      <c r="R606" s="300"/>
      <c r="S606" s="13"/>
      <c r="T606" s="13"/>
      <c r="U606" s="300"/>
      <c r="V606" s="13"/>
      <c r="W606" s="13"/>
      <c r="X606" s="300"/>
      <c r="Y606" s="13"/>
      <c r="Z606" s="13"/>
      <c r="AA606" s="300"/>
      <c r="AB606" s="13"/>
      <c r="AC606" s="13"/>
      <c r="AD606" s="300"/>
      <c r="AE606" s="13"/>
      <c r="AF606" s="13"/>
      <c r="AG606" s="300"/>
      <c r="AH606" s="13"/>
      <c r="AI606" s="13"/>
      <c r="AJ606" s="300"/>
      <c r="AK606" s="13"/>
      <c r="AL606" s="301"/>
      <c r="AM606" s="300"/>
      <c r="AN606" s="13"/>
      <c r="AO606" s="301"/>
      <c r="AP606" s="300"/>
    </row>
    <row r="607">
      <c r="A607" s="13"/>
      <c r="B607" s="13"/>
      <c r="C607" s="13"/>
      <c r="D607" s="13"/>
      <c r="E607" s="13"/>
      <c r="F607" s="13"/>
      <c r="G607" s="13"/>
      <c r="H607" s="13"/>
      <c r="I607" s="13"/>
      <c r="J607" s="13"/>
      <c r="K607" s="13"/>
      <c r="L607" s="13"/>
      <c r="M607" s="13"/>
      <c r="N607" s="13"/>
      <c r="O607" s="13"/>
      <c r="P607" s="13"/>
      <c r="Q607" s="13"/>
      <c r="R607" s="300"/>
      <c r="S607" s="13"/>
      <c r="T607" s="13"/>
      <c r="U607" s="300"/>
      <c r="V607" s="13"/>
      <c r="W607" s="13"/>
      <c r="X607" s="300"/>
      <c r="Y607" s="13"/>
      <c r="Z607" s="13"/>
      <c r="AA607" s="300"/>
      <c r="AB607" s="13"/>
      <c r="AC607" s="13"/>
      <c r="AD607" s="300"/>
      <c r="AE607" s="13"/>
      <c r="AF607" s="13"/>
      <c r="AG607" s="300"/>
      <c r="AH607" s="13"/>
      <c r="AI607" s="13"/>
      <c r="AJ607" s="300"/>
      <c r="AK607" s="13"/>
      <c r="AL607" s="301"/>
      <c r="AM607" s="300"/>
      <c r="AN607" s="13"/>
      <c r="AO607" s="301"/>
      <c r="AP607" s="300"/>
    </row>
    <row r="608">
      <c r="A608" s="13"/>
      <c r="B608" s="13"/>
      <c r="C608" s="13"/>
      <c r="D608" s="13"/>
      <c r="E608" s="13"/>
      <c r="F608" s="13"/>
      <c r="G608" s="13"/>
      <c r="H608" s="13"/>
      <c r="I608" s="13"/>
      <c r="J608" s="13"/>
      <c r="K608" s="13"/>
      <c r="L608" s="13"/>
      <c r="M608" s="13"/>
      <c r="N608" s="13"/>
      <c r="O608" s="13"/>
      <c r="P608" s="13"/>
      <c r="Q608" s="13"/>
      <c r="R608" s="300"/>
      <c r="S608" s="13"/>
      <c r="T608" s="13"/>
      <c r="U608" s="300"/>
      <c r="V608" s="13"/>
      <c r="W608" s="13"/>
      <c r="X608" s="300"/>
      <c r="Y608" s="13"/>
      <c r="Z608" s="13"/>
      <c r="AA608" s="300"/>
      <c r="AB608" s="13"/>
      <c r="AC608" s="13"/>
      <c r="AD608" s="300"/>
      <c r="AE608" s="13"/>
      <c r="AF608" s="13"/>
      <c r="AG608" s="300"/>
      <c r="AH608" s="13"/>
      <c r="AI608" s="13"/>
      <c r="AJ608" s="300"/>
      <c r="AK608" s="13"/>
      <c r="AL608" s="301"/>
      <c r="AM608" s="300"/>
      <c r="AN608" s="13"/>
      <c r="AO608" s="301"/>
      <c r="AP608" s="300"/>
    </row>
    <row r="609">
      <c r="A609" s="13"/>
      <c r="B609" s="13"/>
      <c r="C609" s="13"/>
      <c r="D609" s="13"/>
      <c r="E609" s="13"/>
      <c r="F609" s="13"/>
      <c r="G609" s="13"/>
      <c r="H609" s="13"/>
      <c r="I609" s="13"/>
      <c r="J609" s="13"/>
      <c r="K609" s="13"/>
      <c r="L609" s="13"/>
      <c r="M609" s="13"/>
      <c r="N609" s="13"/>
      <c r="O609" s="13"/>
      <c r="P609" s="13"/>
      <c r="Q609" s="13"/>
      <c r="R609" s="300"/>
      <c r="S609" s="13"/>
      <c r="T609" s="13"/>
      <c r="U609" s="300"/>
      <c r="V609" s="13"/>
      <c r="W609" s="13"/>
      <c r="X609" s="300"/>
      <c r="Y609" s="13"/>
      <c r="Z609" s="13"/>
      <c r="AA609" s="300"/>
      <c r="AB609" s="13"/>
      <c r="AC609" s="13"/>
      <c r="AD609" s="300"/>
      <c r="AE609" s="13"/>
      <c r="AF609" s="13"/>
      <c r="AG609" s="300"/>
      <c r="AH609" s="13"/>
      <c r="AI609" s="13"/>
      <c r="AJ609" s="300"/>
      <c r="AK609" s="13"/>
      <c r="AL609" s="301"/>
      <c r="AM609" s="300"/>
      <c r="AN609" s="13"/>
      <c r="AO609" s="301"/>
      <c r="AP609" s="300"/>
    </row>
    <row r="610">
      <c r="A610" s="13"/>
      <c r="B610" s="13"/>
      <c r="C610" s="13"/>
      <c r="D610" s="13"/>
      <c r="E610" s="13"/>
      <c r="F610" s="13"/>
      <c r="G610" s="13"/>
      <c r="H610" s="13"/>
      <c r="I610" s="13"/>
      <c r="J610" s="13"/>
      <c r="K610" s="13"/>
      <c r="L610" s="13"/>
      <c r="M610" s="13"/>
      <c r="N610" s="13"/>
      <c r="O610" s="13"/>
      <c r="P610" s="13"/>
      <c r="Q610" s="13"/>
      <c r="R610" s="300"/>
      <c r="S610" s="13"/>
      <c r="T610" s="13"/>
      <c r="U610" s="300"/>
      <c r="V610" s="13"/>
      <c r="W610" s="13"/>
      <c r="X610" s="300"/>
      <c r="Y610" s="13"/>
      <c r="Z610" s="13"/>
      <c r="AA610" s="300"/>
      <c r="AB610" s="13"/>
      <c r="AC610" s="13"/>
      <c r="AD610" s="300"/>
      <c r="AE610" s="13"/>
      <c r="AF610" s="13"/>
      <c r="AG610" s="300"/>
      <c r="AH610" s="13"/>
      <c r="AI610" s="13"/>
      <c r="AJ610" s="300"/>
      <c r="AK610" s="13"/>
      <c r="AL610" s="301"/>
      <c r="AM610" s="300"/>
      <c r="AN610" s="13"/>
      <c r="AO610" s="301"/>
      <c r="AP610" s="300"/>
    </row>
    <row r="611">
      <c r="A611" s="13"/>
      <c r="B611" s="13"/>
      <c r="C611" s="13"/>
      <c r="D611" s="13"/>
      <c r="E611" s="13"/>
      <c r="F611" s="13"/>
      <c r="G611" s="13"/>
      <c r="H611" s="13"/>
      <c r="I611" s="13"/>
      <c r="J611" s="13"/>
      <c r="K611" s="13"/>
      <c r="L611" s="13"/>
      <c r="M611" s="13"/>
      <c r="N611" s="13"/>
      <c r="O611" s="13"/>
      <c r="P611" s="13"/>
      <c r="Q611" s="13"/>
      <c r="R611" s="300"/>
      <c r="S611" s="13"/>
      <c r="T611" s="13"/>
      <c r="U611" s="300"/>
      <c r="V611" s="13"/>
      <c r="W611" s="13"/>
      <c r="X611" s="300"/>
      <c r="Y611" s="13"/>
      <c r="Z611" s="13"/>
      <c r="AA611" s="300"/>
      <c r="AB611" s="13"/>
      <c r="AC611" s="13"/>
      <c r="AD611" s="300"/>
      <c r="AE611" s="13"/>
      <c r="AF611" s="13"/>
      <c r="AG611" s="300"/>
      <c r="AH611" s="13"/>
      <c r="AI611" s="13"/>
      <c r="AJ611" s="300"/>
      <c r="AK611" s="13"/>
      <c r="AL611" s="301"/>
      <c r="AM611" s="300"/>
      <c r="AN611" s="13"/>
      <c r="AO611" s="301"/>
      <c r="AP611" s="300"/>
    </row>
    <row r="612">
      <c r="A612" s="13"/>
      <c r="B612" s="13"/>
      <c r="C612" s="13"/>
      <c r="D612" s="13"/>
      <c r="E612" s="13"/>
      <c r="F612" s="13"/>
      <c r="G612" s="13"/>
      <c r="H612" s="13"/>
      <c r="I612" s="13"/>
      <c r="J612" s="13"/>
      <c r="K612" s="13"/>
      <c r="L612" s="13"/>
      <c r="M612" s="13"/>
      <c r="N612" s="13"/>
      <c r="O612" s="13"/>
      <c r="P612" s="13"/>
      <c r="Q612" s="13"/>
      <c r="R612" s="300"/>
      <c r="S612" s="13"/>
      <c r="T612" s="13"/>
      <c r="U612" s="300"/>
      <c r="V612" s="13"/>
      <c r="W612" s="13"/>
      <c r="X612" s="300"/>
      <c r="Y612" s="13"/>
      <c r="Z612" s="13"/>
      <c r="AA612" s="300"/>
      <c r="AB612" s="13"/>
      <c r="AC612" s="13"/>
      <c r="AD612" s="300"/>
      <c r="AE612" s="13"/>
      <c r="AF612" s="13"/>
      <c r="AG612" s="300"/>
      <c r="AH612" s="13"/>
      <c r="AI612" s="13"/>
      <c r="AJ612" s="300"/>
      <c r="AK612" s="13"/>
      <c r="AL612" s="301"/>
      <c r="AM612" s="300"/>
      <c r="AN612" s="13"/>
      <c r="AO612" s="301"/>
      <c r="AP612" s="300"/>
    </row>
    <row r="613">
      <c r="A613" s="13"/>
      <c r="B613" s="13"/>
      <c r="C613" s="13"/>
      <c r="D613" s="13"/>
      <c r="E613" s="13"/>
      <c r="F613" s="13"/>
      <c r="G613" s="13"/>
      <c r="H613" s="13"/>
      <c r="I613" s="13"/>
      <c r="J613" s="13"/>
      <c r="K613" s="13"/>
      <c r="L613" s="13"/>
      <c r="M613" s="13"/>
      <c r="N613" s="13"/>
      <c r="O613" s="13"/>
      <c r="P613" s="13"/>
      <c r="Q613" s="13"/>
      <c r="R613" s="300"/>
      <c r="S613" s="13"/>
      <c r="T613" s="13"/>
      <c r="U613" s="300"/>
      <c r="V613" s="13"/>
      <c r="W613" s="13"/>
      <c r="X613" s="300"/>
      <c r="Y613" s="13"/>
      <c r="Z613" s="13"/>
      <c r="AA613" s="300"/>
      <c r="AB613" s="13"/>
      <c r="AC613" s="13"/>
      <c r="AD613" s="300"/>
      <c r="AE613" s="13"/>
      <c r="AF613" s="13"/>
      <c r="AG613" s="300"/>
      <c r="AH613" s="13"/>
      <c r="AI613" s="13"/>
      <c r="AJ613" s="300"/>
      <c r="AK613" s="13"/>
      <c r="AL613" s="301"/>
      <c r="AM613" s="300"/>
      <c r="AN613" s="13"/>
      <c r="AO613" s="301"/>
      <c r="AP613" s="300"/>
    </row>
    <row r="614">
      <c r="A614" s="13"/>
      <c r="B614" s="13"/>
      <c r="C614" s="13"/>
      <c r="D614" s="13"/>
      <c r="E614" s="13"/>
      <c r="F614" s="13"/>
      <c r="G614" s="13"/>
      <c r="H614" s="13"/>
      <c r="I614" s="13"/>
      <c r="J614" s="13"/>
      <c r="K614" s="13"/>
      <c r="L614" s="13"/>
      <c r="M614" s="13"/>
      <c r="N614" s="13"/>
      <c r="O614" s="13"/>
      <c r="P614" s="13"/>
      <c r="Q614" s="13"/>
      <c r="R614" s="300"/>
      <c r="S614" s="13"/>
      <c r="T614" s="13"/>
      <c r="U614" s="300"/>
      <c r="V614" s="13"/>
      <c r="W614" s="13"/>
      <c r="X614" s="300"/>
      <c r="Y614" s="13"/>
      <c r="Z614" s="13"/>
      <c r="AA614" s="300"/>
      <c r="AB614" s="13"/>
      <c r="AC614" s="13"/>
      <c r="AD614" s="300"/>
      <c r="AE614" s="13"/>
      <c r="AF614" s="13"/>
      <c r="AG614" s="300"/>
      <c r="AH614" s="13"/>
      <c r="AI614" s="13"/>
      <c r="AJ614" s="300"/>
      <c r="AK614" s="13"/>
      <c r="AL614" s="301"/>
      <c r="AM614" s="300"/>
      <c r="AN614" s="13"/>
      <c r="AO614" s="301"/>
      <c r="AP614" s="300"/>
    </row>
    <row r="615">
      <c r="A615" s="13"/>
      <c r="B615" s="13"/>
      <c r="C615" s="13"/>
      <c r="D615" s="13"/>
      <c r="E615" s="13"/>
      <c r="F615" s="13"/>
      <c r="G615" s="13"/>
      <c r="H615" s="13"/>
      <c r="I615" s="13"/>
      <c r="J615" s="13"/>
      <c r="K615" s="13"/>
      <c r="L615" s="13"/>
      <c r="M615" s="13"/>
      <c r="N615" s="13"/>
      <c r="O615" s="13"/>
      <c r="P615" s="13"/>
      <c r="Q615" s="13"/>
      <c r="R615" s="300"/>
      <c r="S615" s="13"/>
      <c r="T615" s="13"/>
      <c r="U615" s="300"/>
      <c r="V615" s="13"/>
      <c r="W615" s="13"/>
      <c r="X615" s="300"/>
      <c r="Y615" s="13"/>
      <c r="Z615" s="13"/>
      <c r="AA615" s="300"/>
      <c r="AB615" s="13"/>
      <c r="AC615" s="13"/>
      <c r="AD615" s="300"/>
      <c r="AE615" s="13"/>
      <c r="AF615" s="13"/>
      <c r="AG615" s="300"/>
      <c r="AH615" s="13"/>
      <c r="AI615" s="13"/>
      <c r="AJ615" s="300"/>
      <c r="AK615" s="13"/>
      <c r="AL615" s="301"/>
      <c r="AM615" s="300"/>
      <c r="AN615" s="13"/>
      <c r="AO615" s="301"/>
      <c r="AP615" s="300"/>
    </row>
    <row r="616">
      <c r="A616" s="13"/>
      <c r="B616" s="13"/>
      <c r="C616" s="13"/>
      <c r="D616" s="13"/>
      <c r="E616" s="13"/>
      <c r="F616" s="13"/>
      <c r="G616" s="13"/>
      <c r="H616" s="13"/>
      <c r="I616" s="13"/>
      <c r="J616" s="13"/>
      <c r="K616" s="13"/>
      <c r="L616" s="13"/>
      <c r="M616" s="13"/>
      <c r="N616" s="13"/>
      <c r="O616" s="13"/>
      <c r="P616" s="13"/>
      <c r="Q616" s="13"/>
      <c r="R616" s="300"/>
      <c r="S616" s="13"/>
      <c r="T616" s="13"/>
      <c r="U616" s="300"/>
      <c r="V616" s="13"/>
      <c r="W616" s="13"/>
      <c r="X616" s="300"/>
      <c r="Y616" s="13"/>
      <c r="Z616" s="13"/>
      <c r="AA616" s="300"/>
      <c r="AB616" s="13"/>
      <c r="AC616" s="13"/>
      <c r="AD616" s="300"/>
      <c r="AE616" s="13"/>
      <c r="AF616" s="13"/>
      <c r="AG616" s="300"/>
      <c r="AH616" s="13"/>
      <c r="AI616" s="13"/>
      <c r="AJ616" s="300"/>
      <c r="AK616" s="13"/>
      <c r="AL616" s="301"/>
      <c r="AM616" s="300"/>
      <c r="AN616" s="13"/>
      <c r="AO616" s="301"/>
      <c r="AP616" s="300"/>
    </row>
    <row r="617">
      <c r="A617" s="13"/>
      <c r="B617" s="13"/>
      <c r="C617" s="13"/>
      <c r="D617" s="13"/>
      <c r="E617" s="13"/>
      <c r="F617" s="13"/>
      <c r="G617" s="13"/>
      <c r="H617" s="13"/>
      <c r="I617" s="13"/>
      <c r="J617" s="13"/>
      <c r="K617" s="13"/>
      <c r="L617" s="13"/>
      <c r="M617" s="13"/>
      <c r="N617" s="13"/>
      <c r="O617" s="13"/>
      <c r="P617" s="13"/>
      <c r="Q617" s="13"/>
      <c r="R617" s="300"/>
      <c r="S617" s="13"/>
      <c r="T617" s="13"/>
      <c r="U617" s="300"/>
      <c r="V617" s="13"/>
      <c r="W617" s="13"/>
      <c r="X617" s="300"/>
      <c r="Y617" s="13"/>
      <c r="Z617" s="13"/>
      <c r="AA617" s="300"/>
      <c r="AB617" s="13"/>
      <c r="AC617" s="13"/>
      <c r="AD617" s="300"/>
      <c r="AE617" s="13"/>
      <c r="AF617" s="13"/>
      <c r="AG617" s="300"/>
      <c r="AH617" s="13"/>
      <c r="AI617" s="13"/>
      <c r="AJ617" s="300"/>
      <c r="AK617" s="13"/>
      <c r="AL617" s="301"/>
      <c r="AM617" s="300"/>
      <c r="AN617" s="13"/>
      <c r="AO617" s="301"/>
      <c r="AP617" s="300"/>
    </row>
    <row r="618">
      <c r="A618" s="13"/>
      <c r="B618" s="13"/>
      <c r="C618" s="13"/>
      <c r="D618" s="13"/>
      <c r="E618" s="13"/>
      <c r="F618" s="13"/>
      <c r="G618" s="13"/>
      <c r="H618" s="13"/>
      <c r="I618" s="13"/>
      <c r="J618" s="13"/>
      <c r="K618" s="13"/>
      <c r="L618" s="13"/>
      <c r="M618" s="13"/>
      <c r="N618" s="13"/>
      <c r="O618" s="13"/>
      <c r="P618" s="13"/>
      <c r="Q618" s="13"/>
      <c r="R618" s="300"/>
      <c r="S618" s="13"/>
      <c r="T618" s="13"/>
      <c r="U618" s="300"/>
      <c r="V618" s="13"/>
      <c r="W618" s="13"/>
      <c r="X618" s="300"/>
      <c r="Y618" s="13"/>
      <c r="Z618" s="13"/>
      <c r="AA618" s="300"/>
      <c r="AB618" s="13"/>
      <c r="AC618" s="13"/>
      <c r="AD618" s="300"/>
      <c r="AE618" s="13"/>
      <c r="AF618" s="13"/>
      <c r="AG618" s="300"/>
      <c r="AH618" s="13"/>
      <c r="AI618" s="13"/>
      <c r="AJ618" s="300"/>
      <c r="AK618" s="13"/>
      <c r="AL618" s="301"/>
      <c r="AM618" s="300"/>
      <c r="AN618" s="13"/>
      <c r="AO618" s="301"/>
      <c r="AP618" s="300"/>
    </row>
    <row r="619">
      <c r="A619" s="13"/>
      <c r="B619" s="13"/>
      <c r="C619" s="13"/>
      <c r="D619" s="13"/>
      <c r="E619" s="13"/>
      <c r="F619" s="13"/>
      <c r="G619" s="13"/>
      <c r="H619" s="13"/>
      <c r="I619" s="13"/>
      <c r="J619" s="13"/>
      <c r="K619" s="13"/>
      <c r="L619" s="13"/>
      <c r="M619" s="13"/>
      <c r="N619" s="13"/>
      <c r="O619" s="13"/>
      <c r="P619" s="13"/>
      <c r="Q619" s="13"/>
      <c r="R619" s="300"/>
      <c r="S619" s="13"/>
      <c r="T619" s="13"/>
      <c r="U619" s="300"/>
      <c r="V619" s="13"/>
      <c r="W619" s="13"/>
      <c r="X619" s="300"/>
      <c r="Y619" s="13"/>
      <c r="Z619" s="13"/>
      <c r="AA619" s="300"/>
      <c r="AB619" s="13"/>
      <c r="AC619" s="13"/>
      <c r="AD619" s="300"/>
      <c r="AE619" s="13"/>
      <c r="AF619" s="13"/>
      <c r="AG619" s="300"/>
      <c r="AH619" s="13"/>
      <c r="AI619" s="13"/>
      <c r="AJ619" s="300"/>
      <c r="AK619" s="13"/>
      <c r="AL619" s="301"/>
      <c r="AM619" s="300"/>
      <c r="AN619" s="13"/>
      <c r="AO619" s="301"/>
      <c r="AP619" s="300"/>
    </row>
    <row r="620">
      <c r="A620" s="13"/>
      <c r="B620" s="13"/>
      <c r="C620" s="13"/>
      <c r="D620" s="13"/>
      <c r="E620" s="13"/>
      <c r="F620" s="13"/>
      <c r="G620" s="13"/>
      <c r="H620" s="13"/>
      <c r="I620" s="13"/>
      <c r="J620" s="13"/>
      <c r="K620" s="13"/>
      <c r="L620" s="13"/>
      <c r="M620" s="13"/>
      <c r="N620" s="13"/>
      <c r="O620" s="13"/>
      <c r="P620" s="13"/>
      <c r="Q620" s="13"/>
      <c r="R620" s="300"/>
      <c r="S620" s="13"/>
      <c r="T620" s="13"/>
      <c r="U620" s="300"/>
      <c r="V620" s="13"/>
      <c r="W620" s="13"/>
      <c r="X620" s="300"/>
      <c r="Y620" s="13"/>
      <c r="Z620" s="13"/>
      <c r="AA620" s="300"/>
      <c r="AB620" s="13"/>
      <c r="AC620" s="13"/>
      <c r="AD620" s="300"/>
      <c r="AE620" s="13"/>
      <c r="AF620" s="13"/>
      <c r="AG620" s="300"/>
      <c r="AH620" s="13"/>
      <c r="AI620" s="13"/>
      <c r="AJ620" s="300"/>
      <c r="AK620" s="13"/>
      <c r="AL620" s="301"/>
      <c r="AM620" s="300"/>
      <c r="AN620" s="13"/>
      <c r="AO620" s="301"/>
      <c r="AP620" s="300"/>
    </row>
    <row r="621">
      <c r="A621" s="13"/>
      <c r="B621" s="13"/>
      <c r="C621" s="13"/>
      <c r="D621" s="13"/>
      <c r="E621" s="13"/>
      <c r="F621" s="13"/>
      <c r="G621" s="13"/>
      <c r="H621" s="13"/>
      <c r="I621" s="13"/>
      <c r="J621" s="13"/>
      <c r="K621" s="13"/>
      <c r="L621" s="13"/>
      <c r="M621" s="13"/>
      <c r="N621" s="13"/>
      <c r="O621" s="13"/>
      <c r="P621" s="13"/>
      <c r="Q621" s="13"/>
      <c r="R621" s="300"/>
      <c r="S621" s="13"/>
      <c r="T621" s="13"/>
      <c r="U621" s="300"/>
      <c r="V621" s="13"/>
      <c r="W621" s="13"/>
      <c r="X621" s="300"/>
      <c r="Y621" s="13"/>
      <c r="Z621" s="13"/>
      <c r="AA621" s="300"/>
      <c r="AB621" s="13"/>
      <c r="AC621" s="13"/>
      <c r="AD621" s="300"/>
      <c r="AE621" s="13"/>
      <c r="AF621" s="13"/>
      <c r="AG621" s="300"/>
      <c r="AH621" s="13"/>
      <c r="AI621" s="13"/>
      <c r="AJ621" s="300"/>
      <c r="AK621" s="13"/>
      <c r="AL621" s="301"/>
      <c r="AM621" s="300"/>
      <c r="AN621" s="13"/>
      <c r="AO621" s="301"/>
      <c r="AP621" s="300"/>
    </row>
    <row r="622">
      <c r="A622" s="13"/>
      <c r="B622" s="13"/>
      <c r="C622" s="13"/>
      <c r="D622" s="13"/>
      <c r="E622" s="13"/>
      <c r="F622" s="13"/>
      <c r="G622" s="13"/>
      <c r="H622" s="13"/>
      <c r="I622" s="13"/>
      <c r="J622" s="13"/>
      <c r="K622" s="13"/>
      <c r="L622" s="13"/>
      <c r="M622" s="13"/>
      <c r="N622" s="13"/>
      <c r="O622" s="13"/>
      <c r="P622" s="13"/>
      <c r="Q622" s="13"/>
      <c r="R622" s="300"/>
      <c r="S622" s="13"/>
      <c r="T622" s="13"/>
      <c r="U622" s="300"/>
      <c r="V622" s="13"/>
      <c r="W622" s="13"/>
      <c r="X622" s="300"/>
      <c r="Y622" s="13"/>
      <c r="Z622" s="13"/>
      <c r="AA622" s="300"/>
      <c r="AB622" s="13"/>
      <c r="AC622" s="13"/>
      <c r="AD622" s="300"/>
      <c r="AE622" s="13"/>
      <c r="AF622" s="13"/>
      <c r="AG622" s="300"/>
      <c r="AH622" s="13"/>
      <c r="AI622" s="13"/>
      <c r="AJ622" s="300"/>
      <c r="AK622" s="13"/>
      <c r="AL622" s="301"/>
      <c r="AM622" s="300"/>
      <c r="AN622" s="13"/>
      <c r="AO622" s="301"/>
      <c r="AP622" s="300"/>
    </row>
    <row r="623">
      <c r="A623" s="13"/>
      <c r="B623" s="13"/>
      <c r="C623" s="13"/>
      <c r="D623" s="13"/>
      <c r="E623" s="13"/>
      <c r="F623" s="13"/>
      <c r="G623" s="13"/>
      <c r="H623" s="13"/>
      <c r="I623" s="13"/>
      <c r="J623" s="13"/>
      <c r="K623" s="13"/>
      <c r="L623" s="13"/>
      <c r="M623" s="13"/>
      <c r="N623" s="13"/>
      <c r="O623" s="13"/>
      <c r="P623" s="13"/>
      <c r="Q623" s="13"/>
      <c r="R623" s="300"/>
      <c r="S623" s="13"/>
      <c r="T623" s="13"/>
      <c r="U623" s="300"/>
      <c r="V623" s="13"/>
      <c r="W623" s="13"/>
      <c r="X623" s="300"/>
      <c r="Y623" s="13"/>
      <c r="Z623" s="13"/>
      <c r="AA623" s="300"/>
      <c r="AB623" s="13"/>
      <c r="AC623" s="13"/>
      <c r="AD623" s="300"/>
      <c r="AE623" s="13"/>
      <c r="AF623" s="13"/>
      <c r="AG623" s="300"/>
      <c r="AH623" s="13"/>
      <c r="AI623" s="13"/>
      <c r="AJ623" s="300"/>
      <c r="AK623" s="13"/>
      <c r="AL623" s="301"/>
      <c r="AM623" s="300"/>
      <c r="AN623" s="13"/>
      <c r="AO623" s="301"/>
      <c r="AP623" s="300"/>
    </row>
    <row r="624">
      <c r="A624" s="13"/>
      <c r="B624" s="13"/>
      <c r="C624" s="13"/>
      <c r="D624" s="13"/>
      <c r="E624" s="13"/>
      <c r="F624" s="13"/>
      <c r="G624" s="13"/>
      <c r="H624" s="13"/>
      <c r="I624" s="13"/>
      <c r="J624" s="13"/>
      <c r="K624" s="13"/>
      <c r="L624" s="13"/>
      <c r="M624" s="13"/>
      <c r="N624" s="13"/>
      <c r="O624" s="13"/>
      <c r="P624" s="13"/>
      <c r="Q624" s="13"/>
      <c r="R624" s="300"/>
      <c r="S624" s="13"/>
      <c r="T624" s="13"/>
      <c r="U624" s="300"/>
      <c r="V624" s="13"/>
      <c r="W624" s="13"/>
      <c r="X624" s="300"/>
      <c r="Y624" s="13"/>
      <c r="Z624" s="13"/>
      <c r="AA624" s="300"/>
      <c r="AB624" s="13"/>
      <c r="AC624" s="13"/>
      <c r="AD624" s="300"/>
      <c r="AE624" s="13"/>
      <c r="AF624" s="13"/>
      <c r="AG624" s="300"/>
      <c r="AH624" s="13"/>
      <c r="AI624" s="13"/>
      <c r="AJ624" s="300"/>
      <c r="AK624" s="13"/>
      <c r="AL624" s="301"/>
      <c r="AM624" s="300"/>
      <c r="AN624" s="13"/>
      <c r="AO624" s="301"/>
      <c r="AP624" s="300"/>
    </row>
    <row r="625">
      <c r="A625" s="13"/>
      <c r="B625" s="13"/>
      <c r="C625" s="13"/>
      <c r="D625" s="13"/>
      <c r="E625" s="13"/>
      <c r="F625" s="13"/>
      <c r="G625" s="13"/>
      <c r="H625" s="13"/>
      <c r="I625" s="13"/>
      <c r="J625" s="13"/>
      <c r="K625" s="13"/>
      <c r="L625" s="13"/>
      <c r="M625" s="13"/>
      <c r="N625" s="13"/>
      <c r="O625" s="13"/>
      <c r="P625" s="13"/>
      <c r="Q625" s="13"/>
      <c r="R625" s="300"/>
      <c r="S625" s="13"/>
      <c r="T625" s="13"/>
      <c r="U625" s="300"/>
      <c r="V625" s="13"/>
      <c r="W625" s="13"/>
      <c r="X625" s="300"/>
      <c r="Y625" s="13"/>
      <c r="Z625" s="13"/>
      <c r="AA625" s="300"/>
      <c r="AB625" s="13"/>
      <c r="AC625" s="13"/>
      <c r="AD625" s="300"/>
      <c r="AE625" s="13"/>
      <c r="AF625" s="13"/>
      <c r="AG625" s="300"/>
      <c r="AH625" s="13"/>
      <c r="AI625" s="13"/>
      <c r="AJ625" s="300"/>
      <c r="AK625" s="13"/>
      <c r="AL625" s="301"/>
      <c r="AM625" s="300"/>
      <c r="AN625" s="13"/>
      <c r="AO625" s="301"/>
      <c r="AP625" s="300"/>
    </row>
    <row r="626">
      <c r="A626" s="13"/>
      <c r="B626" s="13"/>
      <c r="C626" s="13"/>
      <c r="D626" s="13"/>
      <c r="E626" s="13"/>
      <c r="F626" s="13"/>
      <c r="G626" s="13"/>
      <c r="H626" s="13"/>
      <c r="I626" s="13"/>
      <c r="J626" s="13"/>
      <c r="K626" s="13"/>
      <c r="L626" s="13"/>
      <c r="M626" s="13"/>
      <c r="N626" s="13"/>
      <c r="O626" s="13"/>
      <c r="P626" s="13"/>
      <c r="Q626" s="13"/>
      <c r="R626" s="300"/>
      <c r="S626" s="13"/>
      <c r="T626" s="13"/>
      <c r="U626" s="300"/>
      <c r="V626" s="13"/>
      <c r="W626" s="13"/>
      <c r="X626" s="300"/>
      <c r="Y626" s="13"/>
      <c r="Z626" s="13"/>
      <c r="AA626" s="300"/>
      <c r="AB626" s="13"/>
      <c r="AC626" s="13"/>
      <c r="AD626" s="300"/>
      <c r="AE626" s="13"/>
      <c r="AF626" s="13"/>
      <c r="AG626" s="300"/>
      <c r="AH626" s="13"/>
      <c r="AI626" s="13"/>
      <c r="AJ626" s="300"/>
      <c r="AK626" s="13"/>
      <c r="AL626" s="301"/>
      <c r="AM626" s="300"/>
      <c r="AN626" s="13"/>
      <c r="AO626" s="301"/>
      <c r="AP626" s="300"/>
    </row>
    <row r="627">
      <c r="A627" s="13"/>
      <c r="B627" s="13"/>
      <c r="C627" s="13"/>
      <c r="D627" s="13"/>
      <c r="E627" s="13"/>
      <c r="F627" s="13"/>
      <c r="G627" s="13"/>
      <c r="H627" s="13"/>
      <c r="I627" s="13"/>
      <c r="J627" s="13"/>
      <c r="K627" s="13"/>
      <c r="L627" s="13"/>
      <c r="M627" s="13"/>
      <c r="N627" s="13"/>
      <c r="O627" s="13"/>
      <c r="P627" s="13"/>
      <c r="Q627" s="13"/>
      <c r="R627" s="300"/>
      <c r="S627" s="13"/>
      <c r="T627" s="13"/>
      <c r="U627" s="300"/>
      <c r="V627" s="13"/>
      <c r="W627" s="13"/>
      <c r="X627" s="300"/>
      <c r="Y627" s="13"/>
      <c r="Z627" s="13"/>
      <c r="AA627" s="300"/>
      <c r="AB627" s="13"/>
      <c r="AC627" s="13"/>
      <c r="AD627" s="300"/>
      <c r="AE627" s="13"/>
      <c r="AF627" s="13"/>
      <c r="AG627" s="300"/>
      <c r="AH627" s="13"/>
      <c r="AI627" s="13"/>
      <c r="AJ627" s="300"/>
      <c r="AK627" s="13"/>
      <c r="AL627" s="301"/>
      <c r="AM627" s="300"/>
      <c r="AN627" s="13"/>
      <c r="AO627" s="301"/>
      <c r="AP627" s="300"/>
    </row>
    <row r="628">
      <c r="A628" s="13"/>
      <c r="B628" s="13"/>
      <c r="C628" s="13"/>
      <c r="D628" s="13"/>
      <c r="E628" s="13"/>
      <c r="F628" s="13"/>
      <c r="G628" s="13"/>
      <c r="H628" s="13"/>
      <c r="I628" s="13"/>
      <c r="J628" s="13"/>
      <c r="K628" s="13"/>
      <c r="L628" s="13"/>
      <c r="M628" s="13"/>
      <c r="N628" s="13"/>
      <c r="O628" s="13"/>
      <c r="P628" s="13"/>
      <c r="Q628" s="13"/>
      <c r="R628" s="300"/>
      <c r="S628" s="13"/>
      <c r="T628" s="13"/>
      <c r="U628" s="300"/>
      <c r="V628" s="13"/>
      <c r="W628" s="13"/>
      <c r="X628" s="300"/>
      <c r="Y628" s="13"/>
      <c r="Z628" s="13"/>
      <c r="AA628" s="300"/>
      <c r="AB628" s="13"/>
      <c r="AC628" s="13"/>
      <c r="AD628" s="300"/>
      <c r="AE628" s="13"/>
      <c r="AF628" s="13"/>
      <c r="AG628" s="300"/>
      <c r="AH628" s="13"/>
      <c r="AI628" s="13"/>
      <c r="AJ628" s="300"/>
      <c r="AK628" s="13"/>
      <c r="AL628" s="301"/>
      <c r="AM628" s="300"/>
      <c r="AN628" s="13"/>
      <c r="AO628" s="301"/>
      <c r="AP628" s="300"/>
    </row>
    <row r="629">
      <c r="A629" s="13"/>
      <c r="B629" s="13"/>
      <c r="C629" s="13"/>
      <c r="D629" s="13"/>
      <c r="E629" s="13"/>
      <c r="F629" s="13"/>
      <c r="G629" s="13"/>
      <c r="H629" s="13"/>
      <c r="I629" s="13"/>
      <c r="J629" s="13"/>
      <c r="K629" s="13"/>
      <c r="L629" s="13"/>
      <c r="M629" s="13"/>
      <c r="N629" s="13"/>
      <c r="O629" s="13"/>
      <c r="P629" s="13"/>
      <c r="Q629" s="13"/>
      <c r="R629" s="300"/>
      <c r="S629" s="13"/>
      <c r="T629" s="13"/>
      <c r="U629" s="300"/>
      <c r="V629" s="13"/>
      <c r="W629" s="13"/>
      <c r="X629" s="300"/>
      <c r="Y629" s="13"/>
      <c r="Z629" s="13"/>
      <c r="AA629" s="300"/>
      <c r="AB629" s="13"/>
      <c r="AC629" s="13"/>
      <c r="AD629" s="300"/>
      <c r="AE629" s="13"/>
      <c r="AF629" s="13"/>
      <c r="AG629" s="300"/>
      <c r="AH629" s="13"/>
      <c r="AI629" s="13"/>
      <c r="AJ629" s="300"/>
      <c r="AK629" s="13"/>
      <c r="AL629" s="301"/>
      <c r="AM629" s="300"/>
      <c r="AN629" s="13"/>
      <c r="AO629" s="301"/>
      <c r="AP629" s="300"/>
    </row>
    <row r="630">
      <c r="A630" s="13"/>
      <c r="B630" s="13"/>
      <c r="C630" s="13"/>
      <c r="D630" s="13"/>
      <c r="E630" s="13"/>
      <c r="F630" s="13"/>
      <c r="G630" s="13"/>
      <c r="H630" s="13"/>
      <c r="I630" s="13"/>
      <c r="J630" s="13"/>
      <c r="K630" s="13"/>
      <c r="L630" s="13"/>
      <c r="M630" s="13"/>
      <c r="N630" s="13"/>
      <c r="O630" s="13"/>
      <c r="P630" s="13"/>
      <c r="Q630" s="13"/>
      <c r="R630" s="300"/>
      <c r="S630" s="13"/>
      <c r="T630" s="13"/>
      <c r="U630" s="300"/>
      <c r="V630" s="13"/>
      <c r="W630" s="13"/>
      <c r="X630" s="300"/>
      <c r="Y630" s="13"/>
      <c r="Z630" s="13"/>
      <c r="AA630" s="300"/>
      <c r="AB630" s="13"/>
      <c r="AC630" s="13"/>
      <c r="AD630" s="300"/>
      <c r="AE630" s="13"/>
      <c r="AF630" s="13"/>
      <c r="AG630" s="300"/>
      <c r="AH630" s="13"/>
      <c r="AI630" s="13"/>
      <c r="AJ630" s="300"/>
      <c r="AK630" s="13"/>
      <c r="AL630" s="301"/>
      <c r="AM630" s="300"/>
      <c r="AN630" s="13"/>
      <c r="AO630" s="301"/>
      <c r="AP630" s="300"/>
    </row>
    <row r="631">
      <c r="A631" s="13"/>
      <c r="B631" s="13"/>
      <c r="C631" s="13"/>
      <c r="D631" s="13"/>
      <c r="E631" s="13"/>
      <c r="F631" s="13"/>
      <c r="G631" s="13"/>
      <c r="H631" s="13"/>
      <c r="I631" s="13"/>
      <c r="J631" s="13"/>
      <c r="K631" s="13"/>
      <c r="L631" s="13"/>
      <c r="M631" s="13"/>
      <c r="N631" s="13"/>
      <c r="O631" s="13"/>
      <c r="P631" s="13"/>
      <c r="Q631" s="13"/>
      <c r="R631" s="300"/>
      <c r="S631" s="13"/>
      <c r="T631" s="13"/>
      <c r="U631" s="300"/>
      <c r="V631" s="13"/>
      <c r="W631" s="13"/>
      <c r="X631" s="300"/>
      <c r="Y631" s="13"/>
      <c r="Z631" s="13"/>
      <c r="AA631" s="300"/>
      <c r="AB631" s="13"/>
      <c r="AC631" s="13"/>
      <c r="AD631" s="300"/>
      <c r="AE631" s="13"/>
      <c r="AF631" s="13"/>
      <c r="AG631" s="300"/>
      <c r="AH631" s="13"/>
      <c r="AI631" s="13"/>
      <c r="AJ631" s="300"/>
      <c r="AK631" s="13"/>
      <c r="AL631" s="301"/>
      <c r="AM631" s="300"/>
      <c r="AN631" s="13"/>
      <c r="AO631" s="301"/>
      <c r="AP631" s="300"/>
    </row>
    <row r="632">
      <c r="A632" s="13"/>
      <c r="B632" s="13"/>
      <c r="C632" s="13"/>
      <c r="D632" s="13"/>
      <c r="E632" s="13"/>
      <c r="F632" s="13"/>
      <c r="G632" s="13"/>
      <c r="H632" s="13"/>
      <c r="I632" s="13"/>
      <c r="J632" s="13"/>
      <c r="K632" s="13"/>
      <c r="L632" s="13"/>
      <c r="M632" s="13"/>
      <c r="N632" s="13"/>
      <c r="O632" s="13"/>
      <c r="P632" s="13"/>
      <c r="Q632" s="13"/>
      <c r="R632" s="300"/>
      <c r="S632" s="13"/>
      <c r="T632" s="13"/>
      <c r="U632" s="300"/>
      <c r="V632" s="13"/>
      <c r="W632" s="13"/>
      <c r="X632" s="300"/>
      <c r="Y632" s="13"/>
      <c r="Z632" s="13"/>
      <c r="AA632" s="300"/>
      <c r="AB632" s="13"/>
      <c r="AC632" s="13"/>
      <c r="AD632" s="300"/>
      <c r="AE632" s="13"/>
      <c r="AF632" s="13"/>
      <c r="AG632" s="300"/>
      <c r="AH632" s="13"/>
      <c r="AI632" s="13"/>
      <c r="AJ632" s="300"/>
      <c r="AK632" s="13"/>
      <c r="AL632" s="301"/>
      <c r="AM632" s="300"/>
      <c r="AN632" s="13"/>
      <c r="AO632" s="301"/>
      <c r="AP632" s="300"/>
    </row>
    <row r="633">
      <c r="A633" s="13"/>
      <c r="B633" s="13"/>
      <c r="C633" s="13"/>
      <c r="D633" s="13"/>
      <c r="E633" s="13"/>
      <c r="F633" s="13"/>
      <c r="G633" s="13"/>
      <c r="H633" s="13"/>
      <c r="I633" s="13"/>
      <c r="J633" s="13"/>
      <c r="K633" s="13"/>
      <c r="L633" s="13"/>
      <c r="M633" s="13"/>
      <c r="N633" s="13"/>
      <c r="O633" s="13"/>
      <c r="P633" s="13"/>
      <c r="Q633" s="13"/>
      <c r="R633" s="300"/>
      <c r="S633" s="13"/>
      <c r="T633" s="13"/>
      <c r="U633" s="300"/>
      <c r="V633" s="13"/>
      <c r="W633" s="13"/>
      <c r="X633" s="300"/>
      <c r="Y633" s="13"/>
      <c r="Z633" s="13"/>
      <c r="AA633" s="300"/>
      <c r="AB633" s="13"/>
      <c r="AC633" s="13"/>
      <c r="AD633" s="300"/>
      <c r="AE633" s="13"/>
      <c r="AF633" s="13"/>
      <c r="AG633" s="300"/>
      <c r="AH633" s="13"/>
      <c r="AI633" s="13"/>
      <c r="AJ633" s="300"/>
      <c r="AK633" s="13"/>
      <c r="AL633" s="301"/>
      <c r="AM633" s="300"/>
      <c r="AN633" s="13"/>
      <c r="AO633" s="301"/>
      <c r="AP633" s="300"/>
    </row>
    <row r="634">
      <c r="A634" s="13"/>
      <c r="B634" s="13"/>
      <c r="C634" s="13"/>
      <c r="D634" s="13"/>
      <c r="E634" s="13"/>
      <c r="F634" s="13"/>
      <c r="G634" s="13"/>
      <c r="H634" s="13"/>
      <c r="I634" s="13"/>
      <c r="J634" s="13"/>
      <c r="K634" s="13"/>
      <c r="L634" s="13"/>
      <c r="M634" s="13"/>
      <c r="N634" s="13"/>
      <c r="O634" s="13"/>
      <c r="P634" s="13"/>
      <c r="Q634" s="13"/>
      <c r="R634" s="300"/>
      <c r="S634" s="13"/>
      <c r="T634" s="13"/>
      <c r="U634" s="300"/>
      <c r="V634" s="13"/>
      <c r="W634" s="13"/>
      <c r="X634" s="300"/>
      <c r="Y634" s="13"/>
      <c r="Z634" s="13"/>
      <c r="AA634" s="300"/>
      <c r="AB634" s="13"/>
      <c r="AC634" s="13"/>
      <c r="AD634" s="300"/>
      <c r="AE634" s="13"/>
      <c r="AF634" s="13"/>
      <c r="AG634" s="300"/>
      <c r="AH634" s="13"/>
      <c r="AI634" s="13"/>
      <c r="AJ634" s="300"/>
      <c r="AK634" s="13"/>
      <c r="AL634" s="301"/>
      <c r="AM634" s="300"/>
      <c r="AN634" s="13"/>
      <c r="AO634" s="301"/>
      <c r="AP634" s="300"/>
    </row>
    <row r="635">
      <c r="A635" s="13"/>
      <c r="B635" s="13"/>
      <c r="C635" s="13"/>
      <c r="D635" s="13"/>
      <c r="E635" s="13"/>
      <c r="F635" s="13"/>
      <c r="G635" s="13"/>
      <c r="H635" s="13"/>
      <c r="I635" s="13"/>
      <c r="J635" s="13"/>
      <c r="K635" s="13"/>
      <c r="L635" s="13"/>
      <c r="M635" s="13"/>
      <c r="N635" s="13"/>
      <c r="O635" s="13"/>
      <c r="P635" s="13"/>
      <c r="Q635" s="13"/>
      <c r="R635" s="300"/>
      <c r="S635" s="13"/>
      <c r="T635" s="13"/>
      <c r="U635" s="300"/>
      <c r="V635" s="13"/>
      <c r="W635" s="13"/>
      <c r="X635" s="300"/>
      <c r="Y635" s="13"/>
      <c r="Z635" s="13"/>
      <c r="AA635" s="300"/>
      <c r="AB635" s="13"/>
      <c r="AC635" s="13"/>
      <c r="AD635" s="300"/>
      <c r="AE635" s="13"/>
      <c r="AF635" s="13"/>
      <c r="AG635" s="300"/>
      <c r="AH635" s="13"/>
      <c r="AI635" s="13"/>
      <c r="AJ635" s="300"/>
      <c r="AK635" s="13"/>
      <c r="AL635" s="301"/>
      <c r="AM635" s="300"/>
      <c r="AN635" s="13"/>
      <c r="AO635" s="301"/>
      <c r="AP635" s="300"/>
    </row>
    <row r="636">
      <c r="A636" s="13"/>
      <c r="B636" s="13"/>
      <c r="C636" s="13"/>
      <c r="D636" s="13"/>
      <c r="E636" s="13"/>
      <c r="F636" s="13"/>
      <c r="G636" s="13"/>
      <c r="H636" s="13"/>
      <c r="I636" s="13"/>
      <c r="J636" s="13"/>
      <c r="K636" s="13"/>
      <c r="L636" s="13"/>
      <c r="M636" s="13"/>
      <c r="N636" s="13"/>
      <c r="O636" s="13"/>
      <c r="P636" s="13"/>
      <c r="Q636" s="13"/>
      <c r="R636" s="300"/>
      <c r="S636" s="13"/>
      <c r="T636" s="13"/>
      <c r="U636" s="300"/>
      <c r="V636" s="13"/>
      <c r="W636" s="13"/>
      <c r="X636" s="300"/>
      <c r="Y636" s="13"/>
      <c r="Z636" s="13"/>
      <c r="AA636" s="300"/>
      <c r="AB636" s="13"/>
      <c r="AC636" s="13"/>
      <c r="AD636" s="300"/>
      <c r="AE636" s="13"/>
      <c r="AF636" s="13"/>
      <c r="AG636" s="300"/>
      <c r="AH636" s="13"/>
      <c r="AI636" s="13"/>
      <c r="AJ636" s="300"/>
      <c r="AK636" s="13"/>
      <c r="AL636" s="301"/>
      <c r="AM636" s="300"/>
      <c r="AN636" s="13"/>
      <c r="AO636" s="301"/>
      <c r="AP636" s="300"/>
    </row>
    <row r="637">
      <c r="A637" s="13"/>
      <c r="B637" s="13"/>
      <c r="C637" s="13"/>
      <c r="D637" s="13"/>
      <c r="E637" s="13"/>
      <c r="F637" s="13"/>
      <c r="G637" s="13"/>
      <c r="H637" s="13"/>
      <c r="I637" s="13"/>
      <c r="J637" s="13"/>
      <c r="K637" s="13"/>
      <c r="L637" s="13"/>
      <c r="M637" s="13"/>
      <c r="N637" s="13"/>
      <c r="O637" s="13"/>
      <c r="P637" s="13"/>
      <c r="Q637" s="13"/>
      <c r="R637" s="300"/>
      <c r="S637" s="13"/>
      <c r="T637" s="13"/>
      <c r="U637" s="300"/>
      <c r="V637" s="13"/>
      <c r="W637" s="13"/>
      <c r="X637" s="300"/>
      <c r="Y637" s="13"/>
      <c r="Z637" s="13"/>
      <c r="AA637" s="300"/>
      <c r="AB637" s="13"/>
      <c r="AC637" s="13"/>
      <c r="AD637" s="300"/>
      <c r="AE637" s="13"/>
      <c r="AF637" s="13"/>
      <c r="AG637" s="300"/>
      <c r="AH637" s="13"/>
      <c r="AI637" s="13"/>
      <c r="AJ637" s="300"/>
      <c r="AK637" s="13"/>
      <c r="AL637" s="301"/>
      <c r="AM637" s="300"/>
      <c r="AN637" s="13"/>
      <c r="AO637" s="301"/>
      <c r="AP637" s="300"/>
    </row>
    <row r="638">
      <c r="A638" s="13"/>
      <c r="B638" s="13"/>
      <c r="C638" s="13"/>
      <c r="D638" s="13"/>
      <c r="E638" s="13"/>
      <c r="F638" s="13"/>
      <c r="G638" s="13"/>
      <c r="H638" s="13"/>
      <c r="I638" s="13"/>
      <c r="J638" s="13"/>
      <c r="K638" s="13"/>
      <c r="L638" s="13"/>
      <c r="M638" s="13"/>
      <c r="N638" s="13"/>
      <c r="O638" s="13"/>
      <c r="P638" s="13"/>
      <c r="Q638" s="13"/>
      <c r="R638" s="300"/>
      <c r="S638" s="13"/>
      <c r="T638" s="13"/>
      <c r="U638" s="300"/>
      <c r="V638" s="13"/>
      <c r="W638" s="13"/>
      <c r="X638" s="300"/>
      <c r="Y638" s="13"/>
      <c r="Z638" s="13"/>
      <c r="AA638" s="300"/>
      <c r="AB638" s="13"/>
      <c r="AC638" s="13"/>
      <c r="AD638" s="300"/>
      <c r="AE638" s="13"/>
      <c r="AF638" s="13"/>
      <c r="AG638" s="300"/>
      <c r="AH638" s="13"/>
      <c r="AI638" s="13"/>
      <c r="AJ638" s="300"/>
      <c r="AK638" s="13"/>
      <c r="AL638" s="301"/>
      <c r="AM638" s="300"/>
      <c r="AN638" s="13"/>
      <c r="AO638" s="301"/>
      <c r="AP638" s="300"/>
    </row>
    <row r="639">
      <c r="A639" s="13"/>
      <c r="B639" s="13"/>
      <c r="C639" s="13"/>
      <c r="D639" s="13"/>
      <c r="E639" s="13"/>
      <c r="F639" s="13"/>
      <c r="G639" s="13"/>
      <c r="H639" s="13"/>
      <c r="I639" s="13"/>
      <c r="J639" s="13"/>
      <c r="K639" s="13"/>
      <c r="L639" s="13"/>
      <c r="M639" s="13"/>
      <c r="N639" s="13"/>
      <c r="O639" s="13"/>
      <c r="P639" s="13"/>
      <c r="Q639" s="13"/>
      <c r="R639" s="300"/>
      <c r="S639" s="13"/>
      <c r="T639" s="13"/>
      <c r="U639" s="300"/>
      <c r="V639" s="13"/>
      <c r="W639" s="13"/>
      <c r="X639" s="300"/>
      <c r="Y639" s="13"/>
      <c r="Z639" s="13"/>
      <c r="AA639" s="300"/>
      <c r="AB639" s="13"/>
      <c r="AC639" s="13"/>
      <c r="AD639" s="300"/>
      <c r="AE639" s="13"/>
      <c r="AF639" s="13"/>
      <c r="AG639" s="300"/>
      <c r="AH639" s="13"/>
      <c r="AI639" s="13"/>
      <c r="AJ639" s="300"/>
      <c r="AK639" s="13"/>
      <c r="AL639" s="301"/>
      <c r="AM639" s="300"/>
      <c r="AN639" s="13"/>
      <c r="AO639" s="301"/>
      <c r="AP639" s="300"/>
    </row>
    <row r="640">
      <c r="A640" s="13"/>
      <c r="B640" s="13"/>
      <c r="C640" s="13"/>
      <c r="D640" s="13"/>
      <c r="E640" s="13"/>
      <c r="F640" s="13"/>
      <c r="G640" s="13"/>
      <c r="H640" s="13"/>
      <c r="I640" s="13"/>
      <c r="J640" s="13"/>
      <c r="K640" s="13"/>
      <c r="L640" s="13"/>
      <c r="M640" s="13"/>
      <c r="N640" s="13"/>
      <c r="O640" s="13"/>
      <c r="P640" s="13"/>
      <c r="Q640" s="13"/>
      <c r="R640" s="300"/>
      <c r="S640" s="13"/>
      <c r="T640" s="13"/>
      <c r="U640" s="300"/>
      <c r="V640" s="13"/>
      <c r="W640" s="13"/>
      <c r="X640" s="300"/>
      <c r="Y640" s="13"/>
      <c r="Z640" s="13"/>
      <c r="AA640" s="300"/>
      <c r="AB640" s="13"/>
      <c r="AC640" s="13"/>
      <c r="AD640" s="300"/>
      <c r="AE640" s="13"/>
      <c r="AF640" s="13"/>
      <c r="AG640" s="300"/>
      <c r="AH640" s="13"/>
      <c r="AI640" s="13"/>
      <c r="AJ640" s="300"/>
      <c r="AK640" s="13"/>
      <c r="AL640" s="301"/>
      <c r="AM640" s="300"/>
      <c r="AN640" s="13"/>
      <c r="AO640" s="301"/>
      <c r="AP640" s="300"/>
    </row>
    <row r="641">
      <c r="A641" s="13"/>
      <c r="B641" s="13"/>
      <c r="C641" s="13"/>
      <c r="D641" s="13"/>
      <c r="E641" s="13"/>
      <c r="F641" s="13"/>
      <c r="G641" s="13"/>
      <c r="H641" s="13"/>
      <c r="I641" s="13"/>
      <c r="J641" s="13"/>
      <c r="K641" s="13"/>
      <c r="L641" s="13"/>
      <c r="M641" s="13"/>
      <c r="N641" s="13"/>
      <c r="O641" s="13"/>
      <c r="P641" s="13"/>
      <c r="Q641" s="13"/>
      <c r="R641" s="300"/>
      <c r="S641" s="13"/>
      <c r="T641" s="13"/>
      <c r="U641" s="300"/>
      <c r="V641" s="13"/>
      <c r="W641" s="13"/>
      <c r="X641" s="300"/>
      <c r="Y641" s="13"/>
      <c r="Z641" s="13"/>
      <c r="AA641" s="300"/>
      <c r="AB641" s="13"/>
      <c r="AC641" s="13"/>
      <c r="AD641" s="300"/>
      <c r="AE641" s="13"/>
      <c r="AF641" s="13"/>
      <c r="AG641" s="300"/>
      <c r="AH641" s="13"/>
      <c r="AI641" s="13"/>
      <c r="AJ641" s="300"/>
      <c r="AK641" s="13"/>
      <c r="AL641" s="301"/>
      <c r="AM641" s="300"/>
      <c r="AN641" s="13"/>
      <c r="AO641" s="301"/>
      <c r="AP641" s="300"/>
    </row>
    <row r="642">
      <c r="A642" s="13"/>
      <c r="B642" s="13"/>
      <c r="C642" s="13"/>
      <c r="D642" s="13"/>
      <c r="E642" s="13"/>
      <c r="F642" s="13"/>
      <c r="G642" s="13"/>
      <c r="H642" s="13"/>
      <c r="I642" s="13"/>
      <c r="J642" s="13"/>
      <c r="K642" s="13"/>
      <c r="L642" s="13"/>
      <c r="M642" s="13"/>
      <c r="N642" s="13"/>
      <c r="O642" s="13"/>
      <c r="P642" s="13"/>
      <c r="Q642" s="13"/>
      <c r="R642" s="300"/>
      <c r="S642" s="13"/>
      <c r="T642" s="13"/>
      <c r="U642" s="300"/>
      <c r="V642" s="13"/>
      <c r="W642" s="13"/>
      <c r="X642" s="300"/>
      <c r="Y642" s="13"/>
      <c r="Z642" s="13"/>
      <c r="AA642" s="300"/>
      <c r="AB642" s="13"/>
      <c r="AC642" s="13"/>
      <c r="AD642" s="300"/>
      <c r="AE642" s="13"/>
      <c r="AF642" s="13"/>
      <c r="AG642" s="300"/>
      <c r="AH642" s="13"/>
      <c r="AI642" s="13"/>
      <c r="AJ642" s="300"/>
      <c r="AK642" s="13"/>
      <c r="AL642" s="301"/>
      <c r="AM642" s="300"/>
      <c r="AN642" s="13"/>
      <c r="AO642" s="301"/>
      <c r="AP642" s="300"/>
    </row>
    <row r="643">
      <c r="A643" s="13"/>
      <c r="B643" s="13"/>
      <c r="C643" s="13"/>
      <c r="D643" s="13"/>
      <c r="E643" s="13"/>
      <c r="F643" s="13"/>
      <c r="G643" s="13"/>
      <c r="H643" s="13"/>
      <c r="I643" s="13"/>
      <c r="J643" s="13"/>
      <c r="K643" s="13"/>
      <c r="L643" s="13"/>
      <c r="M643" s="13"/>
      <c r="N643" s="13"/>
      <c r="O643" s="13"/>
      <c r="P643" s="13"/>
      <c r="Q643" s="13"/>
      <c r="R643" s="300"/>
      <c r="S643" s="13"/>
      <c r="T643" s="13"/>
      <c r="U643" s="300"/>
      <c r="V643" s="13"/>
      <c r="W643" s="13"/>
      <c r="X643" s="300"/>
      <c r="Y643" s="13"/>
      <c r="Z643" s="13"/>
      <c r="AA643" s="300"/>
      <c r="AB643" s="13"/>
      <c r="AC643" s="13"/>
      <c r="AD643" s="300"/>
      <c r="AE643" s="13"/>
      <c r="AF643" s="13"/>
      <c r="AG643" s="300"/>
      <c r="AH643" s="13"/>
      <c r="AI643" s="13"/>
      <c r="AJ643" s="300"/>
      <c r="AK643" s="13"/>
      <c r="AL643" s="301"/>
      <c r="AM643" s="300"/>
      <c r="AN643" s="13"/>
      <c r="AO643" s="301"/>
      <c r="AP643" s="300"/>
    </row>
    <row r="644">
      <c r="A644" s="13"/>
      <c r="B644" s="13"/>
      <c r="C644" s="13"/>
      <c r="D644" s="13"/>
      <c r="E644" s="13"/>
      <c r="F644" s="13"/>
      <c r="G644" s="13"/>
      <c r="H644" s="13"/>
      <c r="I644" s="13"/>
      <c r="J644" s="13"/>
      <c r="K644" s="13"/>
      <c r="L644" s="13"/>
      <c r="M644" s="13"/>
      <c r="N644" s="13"/>
      <c r="O644" s="13"/>
      <c r="P644" s="13"/>
      <c r="Q644" s="13"/>
      <c r="R644" s="300"/>
      <c r="S644" s="13"/>
      <c r="T644" s="13"/>
      <c r="U644" s="300"/>
      <c r="V644" s="13"/>
      <c r="W644" s="13"/>
      <c r="X644" s="300"/>
      <c r="Y644" s="13"/>
      <c r="Z644" s="13"/>
      <c r="AA644" s="300"/>
      <c r="AB644" s="13"/>
      <c r="AC644" s="13"/>
      <c r="AD644" s="300"/>
      <c r="AE644" s="13"/>
      <c r="AF644" s="13"/>
      <c r="AG644" s="300"/>
      <c r="AH644" s="13"/>
      <c r="AI644" s="13"/>
      <c r="AJ644" s="300"/>
      <c r="AK644" s="13"/>
      <c r="AL644" s="301"/>
      <c r="AM644" s="300"/>
      <c r="AN644" s="13"/>
      <c r="AO644" s="301"/>
      <c r="AP644" s="300"/>
    </row>
    <row r="645">
      <c r="A645" s="13"/>
      <c r="B645" s="13"/>
      <c r="C645" s="13"/>
      <c r="D645" s="13"/>
      <c r="E645" s="13"/>
      <c r="F645" s="13"/>
      <c r="G645" s="13"/>
      <c r="H645" s="13"/>
      <c r="I645" s="13"/>
      <c r="J645" s="13"/>
      <c r="K645" s="13"/>
      <c r="L645" s="13"/>
      <c r="M645" s="13"/>
      <c r="N645" s="13"/>
      <c r="O645" s="13"/>
      <c r="P645" s="13"/>
      <c r="Q645" s="13"/>
      <c r="R645" s="300"/>
      <c r="S645" s="13"/>
      <c r="T645" s="13"/>
      <c r="U645" s="300"/>
      <c r="V645" s="13"/>
      <c r="W645" s="13"/>
      <c r="X645" s="300"/>
      <c r="Y645" s="13"/>
      <c r="Z645" s="13"/>
      <c r="AA645" s="300"/>
      <c r="AB645" s="13"/>
      <c r="AC645" s="13"/>
      <c r="AD645" s="300"/>
      <c r="AE645" s="13"/>
      <c r="AF645" s="13"/>
      <c r="AG645" s="300"/>
      <c r="AH645" s="13"/>
      <c r="AI645" s="13"/>
      <c r="AJ645" s="300"/>
      <c r="AK645" s="13"/>
      <c r="AL645" s="301"/>
      <c r="AM645" s="300"/>
      <c r="AN645" s="13"/>
      <c r="AO645" s="301"/>
      <c r="AP645" s="300"/>
    </row>
    <row r="646">
      <c r="A646" s="13"/>
      <c r="B646" s="13"/>
      <c r="C646" s="13"/>
      <c r="D646" s="13"/>
      <c r="E646" s="13"/>
      <c r="F646" s="13"/>
      <c r="G646" s="13"/>
      <c r="H646" s="13"/>
      <c r="I646" s="13"/>
      <c r="J646" s="13"/>
      <c r="K646" s="13"/>
      <c r="L646" s="13"/>
      <c r="M646" s="13"/>
      <c r="N646" s="13"/>
      <c r="O646" s="13"/>
      <c r="P646" s="13"/>
      <c r="Q646" s="13"/>
      <c r="R646" s="300"/>
      <c r="S646" s="13"/>
      <c r="T646" s="13"/>
      <c r="U646" s="300"/>
      <c r="V646" s="13"/>
      <c r="W646" s="13"/>
      <c r="X646" s="300"/>
      <c r="Y646" s="13"/>
      <c r="Z646" s="13"/>
      <c r="AA646" s="300"/>
      <c r="AB646" s="13"/>
      <c r="AC646" s="13"/>
      <c r="AD646" s="300"/>
      <c r="AE646" s="13"/>
      <c r="AF646" s="13"/>
      <c r="AG646" s="300"/>
      <c r="AH646" s="13"/>
      <c r="AI646" s="13"/>
      <c r="AJ646" s="300"/>
      <c r="AK646" s="13"/>
      <c r="AL646" s="301"/>
      <c r="AM646" s="300"/>
      <c r="AN646" s="13"/>
      <c r="AO646" s="301"/>
      <c r="AP646" s="300"/>
    </row>
    <row r="647">
      <c r="A647" s="13"/>
      <c r="B647" s="13"/>
      <c r="C647" s="13"/>
      <c r="D647" s="13"/>
      <c r="E647" s="13"/>
      <c r="F647" s="13"/>
      <c r="G647" s="13"/>
      <c r="H647" s="13"/>
      <c r="I647" s="13"/>
      <c r="J647" s="13"/>
      <c r="K647" s="13"/>
      <c r="L647" s="13"/>
      <c r="M647" s="13"/>
      <c r="N647" s="13"/>
      <c r="O647" s="13"/>
      <c r="P647" s="13"/>
      <c r="Q647" s="13"/>
      <c r="R647" s="300"/>
      <c r="S647" s="13"/>
      <c r="T647" s="13"/>
      <c r="U647" s="300"/>
      <c r="V647" s="13"/>
      <c r="W647" s="13"/>
      <c r="X647" s="300"/>
      <c r="Y647" s="13"/>
      <c r="Z647" s="13"/>
      <c r="AA647" s="300"/>
      <c r="AB647" s="13"/>
      <c r="AC647" s="13"/>
      <c r="AD647" s="300"/>
      <c r="AE647" s="13"/>
      <c r="AF647" s="13"/>
      <c r="AG647" s="300"/>
      <c r="AH647" s="13"/>
      <c r="AI647" s="13"/>
      <c r="AJ647" s="300"/>
      <c r="AK647" s="13"/>
      <c r="AL647" s="301"/>
      <c r="AM647" s="300"/>
      <c r="AN647" s="13"/>
      <c r="AO647" s="301"/>
      <c r="AP647" s="300"/>
    </row>
    <row r="648">
      <c r="A648" s="13"/>
      <c r="B648" s="13"/>
      <c r="C648" s="13"/>
      <c r="D648" s="13"/>
      <c r="E648" s="13"/>
      <c r="F648" s="13"/>
      <c r="G648" s="13"/>
      <c r="H648" s="13"/>
      <c r="I648" s="13"/>
      <c r="J648" s="13"/>
      <c r="K648" s="13"/>
      <c r="L648" s="13"/>
      <c r="M648" s="13"/>
      <c r="N648" s="13"/>
      <c r="O648" s="13"/>
      <c r="P648" s="13"/>
      <c r="Q648" s="13"/>
      <c r="R648" s="300"/>
      <c r="S648" s="13"/>
      <c r="T648" s="13"/>
      <c r="U648" s="300"/>
      <c r="V648" s="13"/>
      <c r="W648" s="13"/>
      <c r="X648" s="300"/>
      <c r="Y648" s="13"/>
      <c r="Z648" s="13"/>
      <c r="AA648" s="300"/>
      <c r="AB648" s="13"/>
      <c r="AC648" s="13"/>
      <c r="AD648" s="300"/>
      <c r="AE648" s="13"/>
      <c r="AF648" s="13"/>
      <c r="AG648" s="300"/>
      <c r="AH648" s="13"/>
      <c r="AI648" s="13"/>
      <c r="AJ648" s="300"/>
      <c r="AK648" s="13"/>
      <c r="AL648" s="301"/>
      <c r="AM648" s="300"/>
      <c r="AN648" s="13"/>
      <c r="AO648" s="301"/>
      <c r="AP648" s="300"/>
    </row>
    <row r="649">
      <c r="A649" s="13"/>
      <c r="B649" s="13"/>
      <c r="C649" s="13"/>
      <c r="D649" s="13"/>
      <c r="E649" s="13"/>
      <c r="F649" s="13"/>
      <c r="G649" s="13"/>
      <c r="H649" s="13"/>
      <c r="I649" s="13"/>
      <c r="J649" s="13"/>
      <c r="K649" s="13"/>
      <c r="L649" s="13"/>
      <c r="M649" s="13"/>
      <c r="N649" s="13"/>
      <c r="O649" s="13"/>
      <c r="P649" s="13"/>
      <c r="Q649" s="13"/>
      <c r="R649" s="300"/>
      <c r="S649" s="13"/>
      <c r="T649" s="13"/>
      <c r="U649" s="300"/>
      <c r="V649" s="13"/>
      <c r="W649" s="13"/>
      <c r="X649" s="300"/>
      <c r="Y649" s="13"/>
      <c r="Z649" s="13"/>
      <c r="AA649" s="300"/>
      <c r="AB649" s="13"/>
      <c r="AC649" s="13"/>
      <c r="AD649" s="300"/>
      <c r="AE649" s="13"/>
      <c r="AF649" s="13"/>
      <c r="AG649" s="300"/>
      <c r="AH649" s="13"/>
      <c r="AI649" s="13"/>
      <c r="AJ649" s="300"/>
      <c r="AK649" s="13"/>
      <c r="AL649" s="301"/>
      <c r="AM649" s="300"/>
      <c r="AN649" s="13"/>
      <c r="AO649" s="301"/>
      <c r="AP649" s="300"/>
    </row>
    <row r="650">
      <c r="A650" s="13"/>
      <c r="B650" s="13"/>
      <c r="C650" s="13"/>
      <c r="D650" s="13"/>
      <c r="E650" s="13"/>
      <c r="F650" s="13"/>
      <c r="G650" s="13"/>
      <c r="H650" s="13"/>
      <c r="I650" s="13"/>
      <c r="J650" s="13"/>
      <c r="K650" s="13"/>
      <c r="L650" s="13"/>
      <c r="M650" s="13"/>
      <c r="N650" s="13"/>
      <c r="O650" s="13"/>
      <c r="P650" s="13"/>
      <c r="Q650" s="13"/>
      <c r="R650" s="300"/>
      <c r="S650" s="13"/>
      <c r="T650" s="13"/>
      <c r="U650" s="300"/>
      <c r="V650" s="13"/>
      <c r="W650" s="13"/>
      <c r="X650" s="300"/>
      <c r="Y650" s="13"/>
      <c r="Z650" s="13"/>
      <c r="AA650" s="300"/>
      <c r="AB650" s="13"/>
      <c r="AC650" s="13"/>
      <c r="AD650" s="300"/>
      <c r="AE650" s="13"/>
      <c r="AF650" s="13"/>
      <c r="AG650" s="300"/>
      <c r="AH650" s="13"/>
      <c r="AI650" s="13"/>
      <c r="AJ650" s="300"/>
      <c r="AK650" s="13"/>
      <c r="AL650" s="301"/>
      <c r="AM650" s="300"/>
      <c r="AN650" s="13"/>
      <c r="AO650" s="301"/>
      <c r="AP650" s="300"/>
    </row>
    <row r="651">
      <c r="A651" s="13"/>
      <c r="B651" s="13"/>
      <c r="C651" s="13"/>
      <c r="D651" s="13"/>
      <c r="E651" s="13"/>
      <c r="F651" s="13"/>
      <c r="G651" s="13"/>
      <c r="H651" s="13"/>
      <c r="I651" s="13"/>
      <c r="J651" s="13"/>
      <c r="K651" s="13"/>
      <c r="L651" s="13"/>
      <c r="M651" s="13"/>
      <c r="N651" s="13"/>
      <c r="O651" s="13"/>
      <c r="P651" s="13"/>
      <c r="Q651" s="13"/>
      <c r="R651" s="300"/>
      <c r="S651" s="13"/>
      <c r="T651" s="13"/>
      <c r="U651" s="300"/>
      <c r="V651" s="13"/>
      <c r="W651" s="13"/>
      <c r="X651" s="300"/>
      <c r="Y651" s="13"/>
      <c r="Z651" s="13"/>
      <c r="AA651" s="300"/>
      <c r="AB651" s="13"/>
      <c r="AC651" s="13"/>
      <c r="AD651" s="300"/>
      <c r="AE651" s="13"/>
      <c r="AF651" s="13"/>
      <c r="AG651" s="300"/>
      <c r="AH651" s="13"/>
      <c r="AI651" s="13"/>
      <c r="AJ651" s="300"/>
      <c r="AK651" s="13"/>
      <c r="AL651" s="301"/>
      <c r="AM651" s="300"/>
      <c r="AN651" s="13"/>
      <c r="AO651" s="301"/>
      <c r="AP651" s="300"/>
    </row>
    <row r="652">
      <c r="A652" s="13"/>
      <c r="B652" s="13"/>
      <c r="C652" s="13"/>
      <c r="D652" s="13"/>
      <c r="E652" s="13"/>
      <c r="F652" s="13"/>
      <c r="G652" s="13"/>
      <c r="H652" s="13"/>
      <c r="I652" s="13"/>
      <c r="J652" s="13"/>
      <c r="K652" s="13"/>
      <c r="L652" s="13"/>
      <c r="M652" s="13"/>
      <c r="N652" s="13"/>
      <c r="O652" s="13"/>
      <c r="P652" s="13"/>
      <c r="Q652" s="13"/>
      <c r="R652" s="300"/>
      <c r="S652" s="13"/>
      <c r="T652" s="13"/>
      <c r="U652" s="300"/>
      <c r="V652" s="13"/>
      <c r="W652" s="13"/>
      <c r="X652" s="300"/>
      <c r="Y652" s="13"/>
      <c r="Z652" s="13"/>
      <c r="AA652" s="300"/>
      <c r="AB652" s="13"/>
      <c r="AC652" s="13"/>
      <c r="AD652" s="300"/>
      <c r="AE652" s="13"/>
      <c r="AF652" s="13"/>
      <c r="AG652" s="300"/>
      <c r="AH652" s="13"/>
      <c r="AI652" s="13"/>
      <c r="AJ652" s="300"/>
      <c r="AK652" s="13"/>
      <c r="AL652" s="301"/>
      <c r="AM652" s="300"/>
      <c r="AN652" s="13"/>
      <c r="AO652" s="301"/>
      <c r="AP652" s="300"/>
    </row>
    <row r="653">
      <c r="A653" s="13"/>
      <c r="B653" s="13"/>
      <c r="C653" s="13"/>
      <c r="D653" s="13"/>
      <c r="E653" s="13"/>
      <c r="F653" s="13"/>
      <c r="G653" s="13"/>
      <c r="H653" s="13"/>
      <c r="I653" s="13"/>
      <c r="J653" s="13"/>
      <c r="K653" s="13"/>
      <c r="L653" s="13"/>
      <c r="M653" s="13"/>
      <c r="N653" s="13"/>
      <c r="O653" s="13"/>
      <c r="P653" s="13"/>
      <c r="Q653" s="13"/>
      <c r="R653" s="300"/>
      <c r="S653" s="13"/>
      <c r="T653" s="13"/>
      <c r="U653" s="300"/>
      <c r="V653" s="13"/>
      <c r="W653" s="13"/>
      <c r="X653" s="300"/>
      <c r="Y653" s="13"/>
      <c r="Z653" s="13"/>
      <c r="AA653" s="300"/>
      <c r="AB653" s="13"/>
      <c r="AC653" s="13"/>
      <c r="AD653" s="300"/>
      <c r="AE653" s="13"/>
      <c r="AF653" s="13"/>
      <c r="AG653" s="300"/>
      <c r="AH653" s="13"/>
      <c r="AI653" s="13"/>
      <c r="AJ653" s="300"/>
      <c r="AK653" s="13"/>
      <c r="AL653" s="301"/>
      <c r="AM653" s="300"/>
      <c r="AN653" s="13"/>
      <c r="AO653" s="301"/>
      <c r="AP653" s="300"/>
    </row>
    <row r="654">
      <c r="A654" s="13"/>
      <c r="B654" s="13"/>
      <c r="C654" s="13"/>
      <c r="D654" s="13"/>
      <c r="E654" s="13"/>
      <c r="F654" s="13"/>
      <c r="G654" s="13"/>
      <c r="H654" s="13"/>
      <c r="I654" s="13"/>
      <c r="J654" s="13"/>
      <c r="K654" s="13"/>
      <c r="L654" s="13"/>
      <c r="M654" s="13"/>
      <c r="N654" s="13"/>
      <c r="O654" s="13"/>
      <c r="P654" s="13"/>
      <c r="Q654" s="13"/>
      <c r="R654" s="300"/>
      <c r="S654" s="13"/>
      <c r="T654" s="13"/>
      <c r="U654" s="300"/>
      <c r="V654" s="13"/>
      <c r="W654" s="13"/>
      <c r="X654" s="300"/>
      <c r="Y654" s="13"/>
      <c r="Z654" s="13"/>
      <c r="AA654" s="300"/>
      <c r="AB654" s="13"/>
      <c r="AC654" s="13"/>
      <c r="AD654" s="300"/>
      <c r="AE654" s="13"/>
      <c r="AF654" s="13"/>
      <c r="AG654" s="300"/>
      <c r="AH654" s="13"/>
      <c r="AI654" s="13"/>
      <c r="AJ654" s="300"/>
      <c r="AK654" s="13"/>
      <c r="AL654" s="301"/>
      <c r="AM654" s="300"/>
      <c r="AN654" s="13"/>
      <c r="AO654" s="301"/>
      <c r="AP654" s="300"/>
    </row>
    <row r="655">
      <c r="A655" s="13"/>
      <c r="B655" s="13"/>
      <c r="C655" s="13"/>
      <c r="D655" s="13"/>
      <c r="E655" s="13"/>
      <c r="F655" s="13"/>
      <c r="G655" s="13"/>
      <c r="H655" s="13"/>
      <c r="I655" s="13"/>
      <c r="J655" s="13"/>
      <c r="K655" s="13"/>
      <c r="L655" s="13"/>
      <c r="M655" s="13"/>
      <c r="N655" s="13"/>
      <c r="O655" s="13"/>
      <c r="P655" s="13"/>
      <c r="Q655" s="13"/>
      <c r="R655" s="300"/>
      <c r="S655" s="13"/>
      <c r="T655" s="13"/>
      <c r="U655" s="300"/>
      <c r="V655" s="13"/>
      <c r="W655" s="13"/>
      <c r="X655" s="300"/>
      <c r="Y655" s="13"/>
      <c r="Z655" s="13"/>
      <c r="AA655" s="300"/>
      <c r="AB655" s="13"/>
      <c r="AC655" s="13"/>
      <c r="AD655" s="300"/>
      <c r="AE655" s="13"/>
      <c r="AF655" s="13"/>
      <c r="AG655" s="300"/>
      <c r="AH655" s="13"/>
      <c r="AI655" s="13"/>
      <c r="AJ655" s="300"/>
      <c r="AK655" s="13"/>
      <c r="AL655" s="301"/>
      <c r="AM655" s="300"/>
      <c r="AN655" s="13"/>
      <c r="AO655" s="301"/>
      <c r="AP655" s="300"/>
    </row>
    <row r="656">
      <c r="A656" s="13"/>
      <c r="B656" s="13"/>
      <c r="C656" s="13"/>
      <c r="D656" s="13"/>
      <c r="E656" s="13"/>
      <c r="F656" s="13"/>
      <c r="G656" s="13"/>
      <c r="H656" s="13"/>
      <c r="I656" s="13"/>
      <c r="J656" s="13"/>
      <c r="K656" s="13"/>
      <c r="L656" s="13"/>
      <c r="M656" s="13"/>
      <c r="N656" s="13"/>
      <c r="O656" s="13"/>
      <c r="P656" s="13"/>
      <c r="Q656" s="13"/>
      <c r="R656" s="300"/>
      <c r="S656" s="13"/>
      <c r="T656" s="13"/>
      <c r="U656" s="300"/>
      <c r="V656" s="13"/>
      <c r="W656" s="13"/>
      <c r="X656" s="300"/>
      <c r="Y656" s="13"/>
      <c r="Z656" s="13"/>
      <c r="AA656" s="300"/>
      <c r="AB656" s="13"/>
      <c r="AC656" s="13"/>
      <c r="AD656" s="300"/>
      <c r="AE656" s="13"/>
      <c r="AF656" s="13"/>
      <c r="AG656" s="300"/>
      <c r="AH656" s="13"/>
      <c r="AI656" s="13"/>
      <c r="AJ656" s="300"/>
      <c r="AK656" s="13"/>
      <c r="AL656" s="301"/>
      <c r="AM656" s="300"/>
      <c r="AN656" s="13"/>
      <c r="AO656" s="301"/>
      <c r="AP656" s="300"/>
    </row>
    <row r="657">
      <c r="A657" s="13"/>
      <c r="B657" s="13"/>
      <c r="C657" s="13"/>
      <c r="D657" s="13"/>
      <c r="E657" s="13"/>
      <c r="F657" s="13"/>
      <c r="G657" s="13"/>
      <c r="H657" s="13"/>
      <c r="I657" s="13"/>
      <c r="J657" s="13"/>
      <c r="K657" s="13"/>
      <c r="L657" s="13"/>
      <c r="M657" s="13"/>
      <c r="N657" s="13"/>
      <c r="O657" s="13"/>
      <c r="P657" s="13"/>
      <c r="Q657" s="13"/>
      <c r="R657" s="300"/>
      <c r="S657" s="13"/>
      <c r="T657" s="13"/>
      <c r="U657" s="300"/>
      <c r="V657" s="13"/>
      <c r="W657" s="13"/>
      <c r="X657" s="300"/>
      <c r="Y657" s="13"/>
      <c r="Z657" s="13"/>
      <c r="AA657" s="300"/>
      <c r="AB657" s="13"/>
      <c r="AC657" s="13"/>
      <c r="AD657" s="300"/>
      <c r="AE657" s="13"/>
      <c r="AF657" s="13"/>
      <c r="AG657" s="300"/>
      <c r="AH657" s="13"/>
      <c r="AI657" s="13"/>
      <c r="AJ657" s="300"/>
      <c r="AK657" s="13"/>
      <c r="AL657" s="301"/>
      <c r="AM657" s="300"/>
      <c r="AN657" s="13"/>
      <c r="AO657" s="301"/>
      <c r="AP657" s="300"/>
    </row>
    <row r="658">
      <c r="A658" s="13"/>
      <c r="B658" s="13"/>
      <c r="C658" s="13"/>
      <c r="D658" s="13"/>
      <c r="E658" s="13"/>
      <c r="F658" s="13"/>
      <c r="G658" s="13"/>
      <c r="H658" s="13"/>
      <c r="I658" s="13"/>
      <c r="J658" s="13"/>
      <c r="K658" s="13"/>
      <c r="L658" s="13"/>
      <c r="M658" s="13"/>
      <c r="N658" s="13"/>
      <c r="O658" s="13"/>
      <c r="P658" s="13"/>
      <c r="Q658" s="13"/>
      <c r="R658" s="300"/>
      <c r="S658" s="13"/>
      <c r="T658" s="13"/>
      <c r="U658" s="300"/>
      <c r="V658" s="13"/>
      <c r="W658" s="13"/>
      <c r="X658" s="300"/>
      <c r="Y658" s="13"/>
      <c r="Z658" s="13"/>
      <c r="AA658" s="300"/>
      <c r="AB658" s="13"/>
      <c r="AC658" s="13"/>
      <c r="AD658" s="300"/>
      <c r="AE658" s="13"/>
      <c r="AF658" s="13"/>
      <c r="AG658" s="300"/>
      <c r="AH658" s="13"/>
      <c r="AI658" s="13"/>
      <c r="AJ658" s="300"/>
      <c r="AK658" s="13"/>
      <c r="AL658" s="301"/>
      <c r="AM658" s="300"/>
      <c r="AN658" s="13"/>
      <c r="AO658" s="301"/>
      <c r="AP658" s="300"/>
    </row>
    <row r="659">
      <c r="A659" s="13"/>
      <c r="B659" s="13"/>
      <c r="C659" s="13"/>
      <c r="D659" s="13"/>
      <c r="E659" s="13"/>
      <c r="F659" s="13"/>
      <c r="G659" s="13"/>
      <c r="H659" s="13"/>
      <c r="I659" s="13"/>
      <c r="J659" s="13"/>
      <c r="K659" s="13"/>
      <c r="L659" s="13"/>
      <c r="M659" s="13"/>
      <c r="N659" s="13"/>
      <c r="O659" s="13"/>
      <c r="P659" s="13"/>
      <c r="Q659" s="13"/>
      <c r="R659" s="300"/>
      <c r="S659" s="13"/>
      <c r="T659" s="13"/>
      <c r="U659" s="300"/>
      <c r="V659" s="13"/>
      <c r="W659" s="13"/>
      <c r="X659" s="300"/>
      <c r="Y659" s="13"/>
      <c r="Z659" s="13"/>
      <c r="AA659" s="300"/>
      <c r="AB659" s="13"/>
      <c r="AC659" s="13"/>
      <c r="AD659" s="300"/>
      <c r="AE659" s="13"/>
      <c r="AF659" s="13"/>
      <c r="AG659" s="300"/>
      <c r="AH659" s="13"/>
      <c r="AI659" s="13"/>
      <c r="AJ659" s="300"/>
      <c r="AK659" s="13"/>
      <c r="AL659" s="301"/>
      <c r="AM659" s="300"/>
      <c r="AN659" s="13"/>
      <c r="AO659" s="301"/>
      <c r="AP659" s="300"/>
    </row>
    <row r="660">
      <c r="A660" s="13"/>
      <c r="B660" s="13"/>
      <c r="C660" s="13"/>
      <c r="D660" s="13"/>
      <c r="E660" s="13"/>
      <c r="F660" s="13"/>
      <c r="G660" s="13"/>
      <c r="H660" s="13"/>
      <c r="I660" s="13"/>
      <c r="J660" s="13"/>
      <c r="K660" s="13"/>
      <c r="L660" s="13"/>
      <c r="M660" s="13"/>
      <c r="N660" s="13"/>
      <c r="O660" s="13"/>
      <c r="P660" s="13"/>
      <c r="Q660" s="13"/>
      <c r="R660" s="300"/>
      <c r="S660" s="13"/>
      <c r="T660" s="13"/>
      <c r="U660" s="300"/>
      <c r="V660" s="13"/>
      <c r="W660" s="13"/>
      <c r="X660" s="300"/>
      <c r="Y660" s="13"/>
      <c r="Z660" s="13"/>
      <c r="AA660" s="300"/>
      <c r="AB660" s="13"/>
      <c r="AC660" s="13"/>
      <c r="AD660" s="300"/>
      <c r="AE660" s="13"/>
      <c r="AF660" s="13"/>
      <c r="AG660" s="300"/>
      <c r="AH660" s="13"/>
      <c r="AI660" s="13"/>
      <c r="AJ660" s="300"/>
      <c r="AK660" s="13"/>
      <c r="AL660" s="301"/>
      <c r="AM660" s="300"/>
      <c r="AN660" s="13"/>
      <c r="AO660" s="301"/>
      <c r="AP660" s="300"/>
    </row>
    <row r="661">
      <c r="A661" s="13"/>
      <c r="B661" s="13"/>
      <c r="C661" s="13"/>
      <c r="D661" s="13"/>
      <c r="E661" s="13"/>
      <c r="F661" s="13"/>
      <c r="G661" s="13"/>
      <c r="H661" s="13"/>
      <c r="I661" s="13"/>
      <c r="J661" s="13"/>
      <c r="K661" s="13"/>
      <c r="L661" s="13"/>
      <c r="M661" s="13"/>
      <c r="N661" s="13"/>
      <c r="O661" s="13"/>
      <c r="P661" s="13"/>
      <c r="Q661" s="13"/>
      <c r="R661" s="300"/>
      <c r="S661" s="13"/>
      <c r="T661" s="13"/>
      <c r="U661" s="300"/>
      <c r="V661" s="13"/>
      <c r="W661" s="13"/>
      <c r="X661" s="300"/>
      <c r="Y661" s="13"/>
      <c r="Z661" s="13"/>
      <c r="AA661" s="300"/>
      <c r="AB661" s="13"/>
      <c r="AC661" s="13"/>
      <c r="AD661" s="300"/>
      <c r="AE661" s="13"/>
      <c r="AF661" s="13"/>
      <c r="AG661" s="300"/>
      <c r="AH661" s="13"/>
      <c r="AI661" s="13"/>
      <c r="AJ661" s="300"/>
      <c r="AK661" s="13"/>
      <c r="AL661" s="301"/>
      <c r="AM661" s="300"/>
      <c r="AN661" s="13"/>
      <c r="AO661" s="301"/>
      <c r="AP661" s="300"/>
    </row>
    <row r="662">
      <c r="A662" s="13"/>
      <c r="B662" s="13"/>
      <c r="C662" s="13"/>
      <c r="D662" s="13"/>
      <c r="E662" s="13"/>
      <c r="F662" s="13"/>
      <c r="G662" s="13"/>
      <c r="H662" s="13"/>
      <c r="I662" s="13"/>
      <c r="J662" s="13"/>
      <c r="K662" s="13"/>
      <c r="L662" s="13"/>
      <c r="M662" s="13"/>
      <c r="N662" s="13"/>
      <c r="O662" s="13"/>
      <c r="P662" s="13"/>
      <c r="Q662" s="13"/>
      <c r="R662" s="300"/>
      <c r="S662" s="13"/>
      <c r="T662" s="13"/>
      <c r="U662" s="300"/>
      <c r="V662" s="13"/>
      <c r="W662" s="13"/>
      <c r="X662" s="300"/>
      <c r="Y662" s="13"/>
      <c r="Z662" s="13"/>
      <c r="AA662" s="300"/>
      <c r="AB662" s="13"/>
      <c r="AC662" s="13"/>
      <c r="AD662" s="300"/>
      <c r="AE662" s="13"/>
      <c r="AF662" s="13"/>
      <c r="AG662" s="300"/>
      <c r="AH662" s="13"/>
      <c r="AI662" s="13"/>
      <c r="AJ662" s="300"/>
      <c r="AK662" s="13"/>
      <c r="AL662" s="301"/>
      <c r="AM662" s="300"/>
      <c r="AN662" s="13"/>
      <c r="AO662" s="301"/>
      <c r="AP662" s="300"/>
    </row>
    <row r="663">
      <c r="A663" s="13"/>
      <c r="B663" s="13"/>
      <c r="C663" s="13"/>
      <c r="D663" s="13"/>
      <c r="E663" s="13"/>
      <c r="F663" s="13"/>
      <c r="G663" s="13"/>
      <c r="H663" s="13"/>
      <c r="I663" s="13"/>
      <c r="J663" s="13"/>
      <c r="K663" s="13"/>
      <c r="L663" s="13"/>
      <c r="M663" s="13"/>
      <c r="N663" s="13"/>
      <c r="O663" s="13"/>
      <c r="P663" s="13"/>
      <c r="Q663" s="13"/>
      <c r="R663" s="300"/>
      <c r="S663" s="13"/>
      <c r="T663" s="13"/>
      <c r="U663" s="300"/>
      <c r="V663" s="13"/>
      <c r="W663" s="13"/>
      <c r="X663" s="300"/>
      <c r="Y663" s="13"/>
      <c r="Z663" s="13"/>
      <c r="AA663" s="300"/>
      <c r="AB663" s="13"/>
      <c r="AC663" s="13"/>
      <c r="AD663" s="300"/>
      <c r="AE663" s="13"/>
      <c r="AF663" s="13"/>
      <c r="AG663" s="300"/>
      <c r="AH663" s="13"/>
      <c r="AI663" s="13"/>
      <c r="AJ663" s="300"/>
      <c r="AK663" s="13"/>
      <c r="AL663" s="301"/>
      <c r="AM663" s="300"/>
      <c r="AN663" s="13"/>
      <c r="AO663" s="301"/>
      <c r="AP663" s="300"/>
    </row>
    <row r="664">
      <c r="A664" s="13"/>
      <c r="B664" s="13"/>
      <c r="C664" s="13"/>
      <c r="D664" s="13"/>
      <c r="E664" s="13"/>
      <c r="F664" s="13"/>
      <c r="G664" s="13"/>
      <c r="H664" s="13"/>
      <c r="I664" s="13"/>
      <c r="J664" s="13"/>
      <c r="K664" s="13"/>
      <c r="L664" s="13"/>
      <c r="M664" s="13"/>
      <c r="N664" s="13"/>
      <c r="O664" s="13"/>
      <c r="P664" s="13"/>
      <c r="Q664" s="13"/>
      <c r="R664" s="300"/>
      <c r="S664" s="13"/>
      <c r="T664" s="13"/>
      <c r="U664" s="300"/>
      <c r="V664" s="13"/>
      <c r="W664" s="13"/>
      <c r="X664" s="300"/>
      <c r="Y664" s="13"/>
      <c r="Z664" s="13"/>
      <c r="AA664" s="300"/>
      <c r="AB664" s="13"/>
      <c r="AC664" s="13"/>
      <c r="AD664" s="300"/>
      <c r="AE664" s="13"/>
      <c r="AF664" s="13"/>
      <c r="AG664" s="300"/>
      <c r="AH664" s="13"/>
      <c r="AI664" s="13"/>
      <c r="AJ664" s="300"/>
      <c r="AK664" s="13"/>
      <c r="AL664" s="301"/>
      <c r="AM664" s="300"/>
      <c r="AN664" s="13"/>
      <c r="AO664" s="301"/>
      <c r="AP664" s="300"/>
    </row>
    <row r="665">
      <c r="A665" s="13"/>
      <c r="B665" s="13"/>
      <c r="C665" s="13"/>
      <c r="D665" s="13"/>
      <c r="E665" s="13"/>
      <c r="F665" s="13"/>
      <c r="G665" s="13"/>
      <c r="H665" s="13"/>
      <c r="I665" s="13"/>
      <c r="J665" s="13"/>
      <c r="K665" s="13"/>
      <c r="L665" s="13"/>
      <c r="M665" s="13"/>
      <c r="N665" s="13"/>
      <c r="O665" s="13"/>
      <c r="P665" s="13"/>
      <c r="Q665" s="13"/>
      <c r="R665" s="300"/>
      <c r="S665" s="13"/>
      <c r="T665" s="13"/>
      <c r="U665" s="300"/>
      <c r="V665" s="13"/>
      <c r="W665" s="13"/>
      <c r="X665" s="300"/>
      <c r="Y665" s="13"/>
      <c r="Z665" s="13"/>
      <c r="AA665" s="300"/>
      <c r="AB665" s="13"/>
      <c r="AC665" s="13"/>
      <c r="AD665" s="300"/>
      <c r="AE665" s="13"/>
      <c r="AF665" s="13"/>
      <c r="AG665" s="300"/>
      <c r="AH665" s="13"/>
      <c r="AI665" s="13"/>
      <c r="AJ665" s="300"/>
      <c r="AK665" s="13"/>
      <c r="AL665" s="301"/>
      <c r="AM665" s="300"/>
      <c r="AN665" s="13"/>
      <c r="AO665" s="301"/>
      <c r="AP665" s="300"/>
    </row>
    <row r="666">
      <c r="A666" s="13"/>
      <c r="B666" s="13"/>
      <c r="C666" s="13"/>
      <c r="D666" s="13"/>
      <c r="E666" s="13"/>
      <c r="F666" s="13"/>
      <c r="G666" s="13"/>
      <c r="H666" s="13"/>
      <c r="I666" s="13"/>
      <c r="J666" s="13"/>
      <c r="K666" s="13"/>
      <c r="L666" s="13"/>
      <c r="M666" s="13"/>
      <c r="N666" s="13"/>
      <c r="O666" s="13"/>
      <c r="P666" s="13"/>
      <c r="Q666" s="13"/>
      <c r="R666" s="300"/>
      <c r="S666" s="13"/>
      <c r="T666" s="13"/>
      <c r="U666" s="300"/>
      <c r="V666" s="13"/>
      <c r="W666" s="13"/>
      <c r="X666" s="300"/>
      <c r="Y666" s="13"/>
      <c r="Z666" s="13"/>
      <c r="AA666" s="300"/>
      <c r="AB666" s="13"/>
      <c r="AC666" s="13"/>
      <c r="AD666" s="300"/>
      <c r="AE666" s="13"/>
      <c r="AF666" s="13"/>
      <c r="AG666" s="300"/>
      <c r="AH666" s="13"/>
      <c r="AI666" s="13"/>
      <c r="AJ666" s="300"/>
      <c r="AK666" s="13"/>
      <c r="AL666" s="301"/>
      <c r="AM666" s="300"/>
      <c r="AN666" s="13"/>
      <c r="AO666" s="301"/>
      <c r="AP666" s="300"/>
    </row>
    <row r="667">
      <c r="A667" s="13"/>
      <c r="B667" s="13"/>
      <c r="C667" s="13"/>
      <c r="D667" s="13"/>
      <c r="E667" s="13"/>
      <c r="F667" s="13"/>
      <c r="G667" s="13"/>
      <c r="H667" s="13"/>
      <c r="I667" s="13"/>
      <c r="J667" s="13"/>
      <c r="K667" s="13"/>
      <c r="L667" s="13"/>
      <c r="M667" s="13"/>
      <c r="N667" s="13"/>
      <c r="O667" s="13"/>
      <c r="P667" s="13"/>
      <c r="Q667" s="13"/>
      <c r="R667" s="300"/>
      <c r="S667" s="13"/>
      <c r="T667" s="13"/>
      <c r="U667" s="300"/>
      <c r="V667" s="13"/>
      <c r="W667" s="13"/>
      <c r="X667" s="300"/>
      <c r="Y667" s="13"/>
      <c r="Z667" s="13"/>
      <c r="AA667" s="300"/>
      <c r="AB667" s="13"/>
      <c r="AC667" s="13"/>
      <c r="AD667" s="300"/>
      <c r="AE667" s="13"/>
      <c r="AF667" s="13"/>
      <c r="AG667" s="300"/>
      <c r="AH667" s="13"/>
      <c r="AI667" s="13"/>
      <c r="AJ667" s="300"/>
      <c r="AK667" s="13"/>
      <c r="AL667" s="301"/>
      <c r="AM667" s="300"/>
      <c r="AN667" s="13"/>
      <c r="AO667" s="301"/>
      <c r="AP667" s="300"/>
    </row>
    <row r="668">
      <c r="A668" s="13"/>
      <c r="B668" s="13"/>
      <c r="C668" s="13"/>
      <c r="D668" s="13"/>
      <c r="E668" s="13"/>
      <c r="F668" s="13"/>
      <c r="G668" s="13"/>
      <c r="H668" s="13"/>
      <c r="I668" s="13"/>
      <c r="J668" s="13"/>
      <c r="K668" s="13"/>
      <c r="L668" s="13"/>
      <c r="M668" s="13"/>
      <c r="N668" s="13"/>
      <c r="O668" s="13"/>
      <c r="P668" s="13"/>
      <c r="Q668" s="13"/>
      <c r="R668" s="300"/>
      <c r="S668" s="13"/>
      <c r="T668" s="13"/>
      <c r="U668" s="300"/>
      <c r="V668" s="13"/>
      <c r="W668" s="13"/>
      <c r="X668" s="300"/>
      <c r="Y668" s="13"/>
      <c r="Z668" s="13"/>
      <c r="AA668" s="300"/>
      <c r="AB668" s="13"/>
      <c r="AC668" s="13"/>
      <c r="AD668" s="300"/>
      <c r="AE668" s="13"/>
      <c r="AF668" s="13"/>
      <c r="AG668" s="300"/>
      <c r="AH668" s="13"/>
      <c r="AI668" s="13"/>
      <c r="AJ668" s="300"/>
      <c r="AK668" s="13"/>
      <c r="AL668" s="301"/>
      <c r="AM668" s="300"/>
      <c r="AN668" s="13"/>
      <c r="AO668" s="301"/>
      <c r="AP668" s="300"/>
    </row>
    <row r="669">
      <c r="A669" s="13"/>
      <c r="B669" s="13"/>
      <c r="C669" s="13"/>
      <c r="D669" s="13"/>
      <c r="E669" s="13"/>
      <c r="F669" s="13"/>
      <c r="G669" s="13"/>
      <c r="H669" s="13"/>
      <c r="I669" s="13"/>
      <c r="J669" s="13"/>
      <c r="K669" s="13"/>
      <c r="L669" s="13"/>
      <c r="M669" s="13"/>
      <c r="N669" s="13"/>
      <c r="O669" s="13"/>
      <c r="P669" s="13"/>
      <c r="Q669" s="13"/>
      <c r="R669" s="300"/>
      <c r="S669" s="13"/>
      <c r="T669" s="13"/>
      <c r="U669" s="300"/>
      <c r="V669" s="13"/>
      <c r="W669" s="13"/>
      <c r="X669" s="300"/>
      <c r="Y669" s="13"/>
      <c r="Z669" s="13"/>
      <c r="AA669" s="300"/>
      <c r="AB669" s="13"/>
      <c r="AC669" s="13"/>
      <c r="AD669" s="300"/>
      <c r="AE669" s="13"/>
      <c r="AF669" s="13"/>
      <c r="AG669" s="300"/>
      <c r="AH669" s="13"/>
      <c r="AI669" s="13"/>
      <c r="AJ669" s="300"/>
      <c r="AK669" s="13"/>
      <c r="AL669" s="301"/>
      <c r="AM669" s="300"/>
      <c r="AN669" s="13"/>
      <c r="AO669" s="301"/>
      <c r="AP669" s="300"/>
    </row>
    <row r="670">
      <c r="A670" s="13"/>
      <c r="B670" s="13"/>
      <c r="C670" s="13"/>
      <c r="D670" s="13"/>
      <c r="E670" s="13"/>
      <c r="F670" s="13"/>
      <c r="G670" s="13"/>
      <c r="H670" s="13"/>
      <c r="I670" s="13"/>
      <c r="J670" s="13"/>
      <c r="K670" s="13"/>
      <c r="L670" s="13"/>
      <c r="M670" s="13"/>
      <c r="N670" s="13"/>
      <c r="O670" s="13"/>
      <c r="P670" s="13"/>
      <c r="Q670" s="13"/>
      <c r="R670" s="300"/>
      <c r="S670" s="13"/>
      <c r="T670" s="13"/>
      <c r="U670" s="300"/>
      <c r="V670" s="13"/>
      <c r="W670" s="13"/>
      <c r="X670" s="300"/>
      <c r="Y670" s="13"/>
      <c r="Z670" s="13"/>
      <c r="AA670" s="300"/>
      <c r="AB670" s="13"/>
      <c r="AC670" s="13"/>
      <c r="AD670" s="300"/>
      <c r="AE670" s="13"/>
      <c r="AF670" s="13"/>
      <c r="AG670" s="300"/>
      <c r="AH670" s="13"/>
      <c r="AI670" s="13"/>
      <c r="AJ670" s="300"/>
      <c r="AK670" s="13"/>
      <c r="AL670" s="301"/>
      <c r="AM670" s="300"/>
      <c r="AN670" s="13"/>
      <c r="AO670" s="301"/>
      <c r="AP670" s="300"/>
    </row>
    <row r="671">
      <c r="A671" s="13"/>
      <c r="B671" s="13"/>
      <c r="C671" s="13"/>
      <c r="D671" s="13"/>
      <c r="E671" s="13"/>
      <c r="F671" s="13"/>
      <c r="G671" s="13"/>
      <c r="H671" s="13"/>
      <c r="I671" s="13"/>
      <c r="J671" s="13"/>
      <c r="K671" s="13"/>
      <c r="L671" s="13"/>
      <c r="M671" s="13"/>
      <c r="N671" s="13"/>
      <c r="O671" s="13"/>
      <c r="P671" s="13"/>
      <c r="Q671" s="13"/>
      <c r="R671" s="300"/>
      <c r="S671" s="13"/>
      <c r="T671" s="13"/>
      <c r="U671" s="300"/>
      <c r="V671" s="13"/>
      <c r="W671" s="13"/>
      <c r="X671" s="300"/>
      <c r="Y671" s="13"/>
      <c r="Z671" s="13"/>
      <c r="AA671" s="300"/>
      <c r="AB671" s="13"/>
      <c r="AC671" s="13"/>
      <c r="AD671" s="300"/>
      <c r="AE671" s="13"/>
      <c r="AF671" s="13"/>
      <c r="AG671" s="300"/>
      <c r="AH671" s="13"/>
      <c r="AI671" s="13"/>
      <c r="AJ671" s="300"/>
      <c r="AK671" s="13"/>
      <c r="AL671" s="301"/>
      <c r="AM671" s="300"/>
      <c r="AN671" s="13"/>
      <c r="AO671" s="301"/>
      <c r="AP671" s="300"/>
    </row>
    <row r="672">
      <c r="A672" s="13"/>
      <c r="B672" s="13"/>
      <c r="C672" s="13"/>
      <c r="D672" s="13"/>
      <c r="E672" s="13"/>
      <c r="F672" s="13"/>
      <c r="G672" s="13"/>
      <c r="H672" s="13"/>
      <c r="I672" s="13"/>
      <c r="J672" s="13"/>
      <c r="K672" s="13"/>
      <c r="L672" s="13"/>
      <c r="M672" s="13"/>
      <c r="N672" s="13"/>
      <c r="O672" s="13"/>
      <c r="P672" s="13"/>
      <c r="Q672" s="13"/>
      <c r="R672" s="300"/>
      <c r="S672" s="13"/>
      <c r="T672" s="13"/>
      <c r="U672" s="300"/>
      <c r="V672" s="13"/>
      <c r="W672" s="13"/>
      <c r="X672" s="300"/>
      <c r="Y672" s="13"/>
      <c r="Z672" s="13"/>
      <c r="AA672" s="300"/>
      <c r="AB672" s="13"/>
      <c r="AC672" s="13"/>
      <c r="AD672" s="300"/>
      <c r="AE672" s="13"/>
      <c r="AF672" s="13"/>
      <c r="AG672" s="300"/>
      <c r="AH672" s="13"/>
      <c r="AI672" s="13"/>
      <c r="AJ672" s="300"/>
      <c r="AK672" s="13"/>
      <c r="AL672" s="301"/>
      <c r="AM672" s="300"/>
      <c r="AN672" s="13"/>
      <c r="AO672" s="301"/>
      <c r="AP672" s="300"/>
    </row>
    <row r="673">
      <c r="A673" s="13"/>
      <c r="B673" s="13"/>
      <c r="C673" s="13"/>
      <c r="D673" s="13"/>
      <c r="E673" s="13"/>
      <c r="F673" s="13"/>
      <c r="G673" s="13"/>
      <c r="H673" s="13"/>
      <c r="I673" s="13"/>
      <c r="J673" s="13"/>
      <c r="K673" s="13"/>
      <c r="L673" s="13"/>
      <c r="M673" s="13"/>
      <c r="N673" s="13"/>
      <c r="O673" s="13"/>
      <c r="P673" s="13"/>
      <c r="Q673" s="13"/>
      <c r="R673" s="300"/>
      <c r="S673" s="13"/>
      <c r="T673" s="13"/>
      <c r="U673" s="300"/>
      <c r="V673" s="13"/>
      <c r="W673" s="13"/>
      <c r="X673" s="300"/>
      <c r="Y673" s="13"/>
      <c r="Z673" s="13"/>
      <c r="AA673" s="300"/>
      <c r="AB673" s="13"/>
      <c r="AC673" s="13"/>
      <c r="AD673" s="300"/>
      <c r="AE673" s="13"/>
      <c r="AF673" s="13"/>
      <c r="AG673" s="300"/>
      <c r="AH673" s="13"/>
      <c r="AI673" s="13"/>
      <c r="AJ673" s="300"/>
      <c r="AK673" s="13"/>
      <c r="AL673" s="301"/>
      <c r="AM673" s="300"/>
      <c r="AN673" s="13"/>
      <c r="AO673" s="301"/>
      <c r="AP673" s="300"/>
    </row>
    <row r="674">
      <c r="A674" s="13"/>
      <c r="B674" s="13"/>
      <c r="C674" s="13"/>
      <c r="D674" s="13"/>
      <c r="E674" s="13"/>
      <c r="F674" s="13"/>
      <c r="G674" s="13"/>
      <c r="H674" s="13"/>
      <c r="I674" s="13"/>
      <c r="J674" s="13"/>
      <c r="K674" s="13"/>
      <c r="L674" s="13"/>
      <c r="M674" s="13"/>
      <c r="N674" s="13"/>
      <c r="O674" s="13"/>
      <c r="P674" s="13"/>
      <c r="Q674" s="13"/>
      <c r="R674" s="300"/>
      <c r="S674" s="13"/>
      <c r="T674" s="13"/>
      <c r="U674" s="300"/>
      <c r="V674" s="13"/>
      <c r="W674" s="13"/>
      <c r="X674" s="300"/>
      <c r="Y674" s="13"/>
      <c r="Z674" s="13"/>
      <c r="AA674" s="300"/>
      <c r="AB674" s="13"/>
      <c r="AC674" s="13"/>
      <c r="AD674" s="300"/>
      <c r="AE674" s="13"/>
      <c r="AF674" s="13"/>
      <c r="AG674" s="300"/>
      <c r="AH674" s="13"/>
      <c r="AI674" s="13"/>
      <c r="AJ674" s="300"/>
      <c r="AK674" s="13"/>
      <c r="AL674" s="301"/>
      <c r="AM674" s="300"/>
      <c r="AN674" s="13"/>
      <c r="AO674" s="301"/>
      <c r="AP674" s="300"/>
    </row>
    <row r="675">
      <c r="A675" s="13"/>
      <c r="B675" s="13"/>
      <c r="C675" s="13"/>
      <c r="D675" s="13"/>
      <c r="E675" s="13"/>
      <c r="F675" s="13"/>
      <c r="G675" s="13"/>
      <c r="H675" s="13"/>
      <c r="I675" s="13"/>
      <c r="J675" s="13"/>
      <c r="K675" s="13"/>
      <c r="L675" s="13"/>
      <c r="M675" s="13"/>
      <c r="N675" s="13"/>
      <c r="O675" s="13"/>
      <c r="P675" s="13"/>
      <c r="Q675" s="13"/>
      <c r="R675" s="300"/>
      <c r="S675" s="13"/>
      <c r="T675" s="13"/>
      <c r="U675" s="300"/>
      <c r="V675" s="13"/>
      <c r="W675" s="13"/>
      <c r="X675" s="300"/>
      <c r="Y675" s="13"/>
      <c r="Z675" s="13"/>
      <c r="AA675" s="300"/>
      <c r="AB675" s="13"/>
      <c r="AC675" s="13"/>
      <c r="AD675" s="300"/>
      <c r="AE675" s="13"/>
      <c r="AF675" s="13"/>
      <c r="AG675" s="300"/>
      <c r="AH675" s="13"/>
      <c r="AI675" s="13"/>
      <c r="AJ675" s="300"/>
      <c r="AK675" s="13"/>
      <c r="AL675" s="301"/>
      <c r="AM675" s="300"/>
      <c r="AN675" s="13"/>
      <c r="AO675" s="301"/>
      <c r="AP675" s="300"/>
    </row>
    <row r="676">
      <c r="A676" s="13"/>
      <c r="B676" s="13"/>
      <c r="C676" s="13"/>
      <c r="D676" s="13"/>
      <c r="E676" s="13"/>
      <c r="F676" s="13"/>
      <c r="G676" s="13"/>
      <c r="H676" s="13"/>
      <c r="I676" s="13"/>
      <c r="J676" s="13"/>
      <c r="K676" s="13"/>
      <c r="L676" s="13"/>
      <c r="M676" s="13"/>
      <c r="N676" s="13"/>
      <c r="O676" s="13"/>
      <c r="P676" s="13"/>
      <c r="Q676" s="13"/>
      <c r="R676" s="300"/>
      <c r="S676" s="13"/>
      <c r="T676" s="13"/>
      <c r="U676" s="300"/>
      <c r="V676" s="13"/>
      <c r="W676" s="13"/>
      <c r="X676" s="300"/>
      <c r="Y676" s="13"/>
      <c r="Z676" s="13"/>
      <c r="AA676" s="300"/>
      <c r="AB676" s="13"/>
      <c r="AC676" s="13"/>
      <c r="AD676" s="300"/>
      <c r="AE676" s="13"/>
      <c r="AF676" s="13"/>
      <c r="AG676" s="300"/>
      <c r="AH676" s="13"/>
      <c r="AI676" s="13"/>
      <c r="AJ676" s="300"/>
      <c r="AK676" s="13"/>
      <c r="AL676" s="301"/>
      <c r="AM676" s="300"/>
      <c r="AN676" s="13"/>
      <c r="AO676" s="301"/>
      <c r="AP676" s="300"/>
    </row>
    <row r="677">
      <c r="A677" s="13"/>
      <c r="B677" s="13"/>
      <c r="C677" s="13"/>
      <c r="D677" s="13"/>
      <c r="E677" s="13"/>
      <c r="F677" s="13"/>
      <c r="G677" s="13"/>
      <c r="H677" s="13"/>
      <c r="I677" s="13"/>
      <c r="J677" s="13"/>
      <c r="K677" s="13"/>
      <c r="L677" s="13"/>
      <c r="M677" s="13"/>
      <c r="N677" s="13"/>
      <c r="O677" s="13"/>
      <c r="P677" s="13"/>
      <c r="Q677" s="13"/>
      <c r="R677" s="300"/>
      <c r="S677" s="13"/>
      <c r="T677" s="13"/>
      <c r="U677" s="300"/>
      <c r="V677" s="13"/>
      <c r="W677" s="13"/>
      <c r="X677" s="300"/>
      <c r="Y677" s="13"/>
      <c r="Z677" s="13"/>
      <c r="AA677" s="300"/>
      <c r="AB677" s="13"/>
      <c r="AC677" s="13"/>
      <c r="AD677" s="300"/>
      <c r="AE677" s="13"/>
      <c r="AF677" s="13"/>
      <c r="AG677" s="300"/>
      <c r="AH677" s="13"/>
      <c r="AI677" s="13"/>
      <c r="AJ677" s="300"/>
      <c r="AK677" s="13"/>
      <c r="AL677" s="301"/>
      <c r="AM677" s="300"/>
      <c r="AN677" s="13"/>
      <c r="AO677" s="301"/>
      <c r="AP677" s="300"/>
    </row>
    <row r="678">
      <c r="A678" s="13"/>
      <c r="B678" s="13"/>
      <c r="C678" s="13"/>
      <c r="D678" s="13"/>
      <c r="E678" s="13"/>
      <c r="F678" s="13"/>
      <c r="G678" s="13"/>
      <c r="H678" s="13"/>
      <c r="I678" s="13"/>
      <c r="J678" s="13"/>
      <c r="K678" s="13"/>
      <c r="L678" s="13"/>
      <c r="M678" s="13"/>
      <c r="N678" s="13"/>
      <c r="O678" s="13"/>
      <c r="P678" s="13"/>
      <c r="Q678" s="13"/>
      <c r="R678" s="300"/>
      <c r="S678" s="13"/>
      <c r="T678" s="13"/>
      <c r="U678" s="300"/>
      <c r="V678" s="13"/>
      <c r="W678" s="13"/>
      <c r="X678" s="300"/>
      <c r="Y678" s="13"/>
      <c r="Z678" s="13"/>
      <c r="AA678" s="300"/>
      <c r="AB678" s="13"/>
      <c r="AC678" s="13"/>
      <c r="AD678" s="300"/>
      <c r="AE678" s="13"/>
      <c r="AF678" s="13"/>
      <c r="AG678" s="300"/>
      <c r="AH678" s="13"/>
      <c r="AI678" s="13"/>
      <c r="AJ678" s="300"/>
      <c r="AK678" s="13"/>
      <c r="AL678" s="301"/>
      <c r="AM678" s="300"/>
      <c r="AN678" s="13"/>
      <c r="AO678" s="301"/>
      <c r="AP678" s="300"/>
    </row>
    <row r="679">
      <c r="A679" s="13"/>
      <c r="B679" s="13"/>
      <c r="C679" s="13"/>
      <c r="D679" s="13"/>
      <c r="E679" s="13"/>
      <c r="F679" s="13"/>
      <c r="G679" s="13"/>
      <c r="H679" s="13"/>
      <c r="I679" s="13"/>
      <c r="J679" s="13"/>
      <c r="K679" s="13"/>
      <c r="L679" s="13"/>
      <c r="M679" s="13"/>
      <c r="N679" s="13"/>
      <c r="O679" s="13"/>
      <c r="P679" s="13"/>
      <c r="Q679" s="13"/>
      <c r="R679" s="300"/>
      <c r="S679" s="13"/>
      <c r="T679" s="13"/>
      <c r="U679" s="300"/>
      <c r="V679" s="13"/>
      <c r="W679" s="13"/>
      <c r="X679" s="300"/>
      <c r="Y679" s="13"/>
      <c r="Z679" s="13"/>
      <c r="AA679" s="300"/>
      <c r="AB679" s="13"/>
      <c r="AC679" s="13"/>
      <c r="AD679" s="300"/>
      <c r="AE679" s="13"/>
      <c r="AF679" s="13"/>
      <c r="AG679" s="300"/>
      <c r="AH679" s="13"/>
      <c r="AI679" s="13"/>
      <c r="AJ679" s="300"/>
      <c r="AK679" s="13"/>
      <c r="AL679" s="301"/>
      <c r="AM679" s="300"/>
      <c r="AN679" s="13"/>
      <c r="AO679" s="301"/>
      <c r="AP679" s="300"/>
    </row>
    <row r="680">
      <c r="A680" s="13"/>
      <c r="B680" s="13"/>
      <c r="C680" s="13"/>
      <c r="D680" s="13"/>
      <c r="E680" s="13"/>
      <c r="F680" s="13"/>
      <c r="G680" s="13"/>
      <c r="H680" s="13"/>
      <c r="I680" s="13"/>
      <c r="J680" s="13"/>
      <c r="K680" s="13"/>
      <c r="L680" s="13"/>
      <c r="M680" s="13"/>
      <c r="N680" s="13"/>
      <c r="O680" s="13"/>
      <c r="P680" s="13"/>
      <c r="Q680" s="13"/>
      <c r="R680" s="300"/>
      <c r="S680" s="13"/>
      <c r="T680" s="13"/>
      <c r="U680" s="300"/>
      <c r="V680" s="13"/>
      <c r="W680" s="13"/>
      <c r="X680" s="300"/>
      <c r="Y680" s="13"/>
      <c r="Z680" s="13"/>
      <c r="AA680" s="300"/>
      <c r="AB680" s="13"/>
      <c r="AC680" s="13"/>
      <c r="AD680" s="300"/>
      <c r="AE680" s="13"/>
      <c r="AF680" s="13"/>
      <c r="AG680" s="300"/>
      <c r="AH680" s="13"/>
      <c r="AI680" s="13"/>
      <c r="AJ680" s="300"/>
      <c r="AK680" s="13"/>
      <c r="AL680" s="301"/>
      <c r="AM680" s="300"/>
      <c r="AN680" s="13"/>
      <c r="AO680" s="301"/>
      <c r="AP680" s="300"/>
    </row>
    <row r="681">
      <c r="A681" s="13"/>
      <c r="B681" s="13"/>
      <c r="C681" s="13"/>
      <c r="D681" s="13"/>
      <c r="E681" s="13"/>
      <c r="F681" s="13"/>
      <c r="G681" s="13"/>
      <c r="H681" s="13"/>
      <c r="I681" s="13"/>
      <c r="J681" s="13"/>
      <c r="K681" s="13"/>
      <c r="L681" s="13"/>
      <c r="M681" s="13"/>
      <c r="N681" s="13"/>
      <c r="O681" s="13"/>
      <c r="P681" s="13"/>
      <c r="Q681" s="13"/>
      <c r="R681" s="300"/>
      <c r="S681" s="13"/>
      <c r="T681" s="13"/>
      <c r="U681" s="300"/>
      <c r="V681" s="13"/>
      <c r="W681" s="13"/>
      <c r="X681" s="300"/>
      <c r="Y681" s="13"/>
      <c r="Z681" s="13"/>
      <c r="AA681" s="300"/>
      <c r="AB681" s="13"/>
      <c r="AC681" s="13"/>
      <c r="AD681" s="300"/>
      <c r="AE681" s="13"/>
      <c r="AF681" s="13"/>
      <c r="AG681" s="300"/>
      <c r="AH681" s="13"/>
      <c r="AI681" s="13"/>
      <c r="AJ681" s="300"/>
      <c r="AK681" s="13"/>
      <c r="AL681" s="301"/>
      <c r="AM681" s="300"/>
      <c r="AN681" s="13"/>
      <c r="AO681" s="301"/>
      <c r="AP681" s="300"/>
    </row>
    <row r="682">
      <c r="A682" s="13"/>
      <c r="B682" s="13"/>
      <c r="C682" s="13"/>
      <c r="D682" s="13"/>
      <c r="E682" s="13"/>
      <c r="F682" s="13"/>
      <c r="G682" s="13"/>
      <c r="H682" s="13"/>
      <c r="I682" s="13"/>
      <c r="J682" s="13"/>
      <c r="K682" s="13"/>
      <c r="L682" s="13"/>
      <c r="M682" s="13"/>
      <c r="N682" s="13"/>
      <c r="O682" s="13"/>
      <c r="P682" s="13"/>
      <c r="Q682" s="13"/>
      <c r="R682" s="300"/>
      <c r="S682" s="13"/>
      <c r="T682" s="13"/>
      <c r="U682" s="300"/>
      <c r="V682" s="13"/>
      <c r="W682" s="13"/>
      <c r="X682" s="300"/>
      <c r="Y682" s="13"/>
      <c r="Z682" s="13"/>
      <c r="AA682" s="300"/>
      <c r="AB682" s="13"/>
      <c r="AC682" s="13"/>
      <c r="AD682" s="300"/>
      <c r="AE682" s="13"/>
      <c r="AF682" s="13"/>
      <c r="AG682" s="300"/>
      <c r="AH682" s="13"/>
      <c r="AI682" s="13"/>
      <c r="AJ682" s="300"/>
      <c r="AK682" s="13"/>
      <c r="AL682" s="301"/>
      <c r="AM682" s="300"/>
      <c r="AN682" s="13"/>
      <c r="AO682" s="301"/>
      <c r="AP682" s="300"/>
    </row>
    <row r="683">
      <c r="A683" s="13"/>
      <c r="B683" s="13"/>
      <c r="C683" s="13"/>
      <c r="D683" s="13"/>
      <c r="E683" s="13"/>
      <c r="F683" s="13"/>
      <c r="G683" s="13"/>
      <c r="H683" s="13"/>
      <c r="I683" s="13"/>
      <c r="J683" s="13"/>
      <c r="K683" s="13"/>
      <c r="L683" s="13"/>
      <c r="M683" s="13"/>
      <c r="N683" s="13"/>
      <c r="O683" s="13"/>
      <c r="P683" s="13"/>
      <c r="Q683" s="13"/>
      <c r="R683" s="300"/>
      <c r="S683" s="13"/>
      <c r="T683" s="13"/>
      <c r="U683" s="300"/>
      <c r="V683" s="13"/>
      <c r="W683" s="13"/>
      <c r="X683" s="300"/>
      <c r="Y683" s="13"/>
      <c r="Z683" s="13"/>
      <c r="AA683" s="300"/>
      <c r="AB683" s="13"/>
      <c r="AC683" s="13"/>
      <c r="AD683" s="300"/>
      <c r="AE683" s="13"/>
      <c r="AF683" s="13"/>
      <c r="AG683" s="300"/>
      <c r="AH683" s="13"/>
      <c r="AI683" s="13"/>
      <c r="AJ683" s="300"/>
      <c r="AK683" s="13"/>
      <c r="AL683" s="301"/>
      <c r="AM683" s="300"/>
      <c r="AN683" s="13"/>
      <c r="AO683" s="301"/>
      <c r="AP683" s="300"/>
    </row>
    <row r="684">
      <c r="A684" s="13"/>
      <c r="B684" s="13"/>
      <c r="C684" s="13"/>
      <c r="D684" s="13"/>
      <c r="E684" s="13"/>
      <c r="F684" s="13"/>
      <c r="G684" s="13"/>
      <c r="H684" s="13"/>
      <c r="I684" s="13"/>
      <c r="J684" s="13"/>
      <c r="K684" s="13"/>
      <c r="L684" s="13"/>
      <c r="M684" s="13"/>
      <c r="N684" s="13"/>
      <c r="O684" s="13"/>
      <c r="P684" s="13"/>
      <c r="Q684" s="13"/>
      <c r="R684" s="300"/>
      <c r="S684" s="13"/>
      <c r="T684" s="13"/>
      <c r="U684" s="300"/>
      <c r="V684" s="13"/>
      <c r="W684" s="13"/>
      <c r="X684" s="300"/>
      <c r="Y684" s="13"/>
      <c r="Z684" s="13"/>
      <c r="AA684" s="300"/>
      <c r="AB684" s="13"/>
      <c r="AC684" s="13"/>
      <c r="AD684" s="300"/>
      <c r="AE684" s="13"/>
      <c r="AF684" s="13"/>
      <c r="AG684" s="300"/>
      <c r="AH684" s="13"/>
      <c r="AI684" s="13"/>
      <c r="AJ684" s="300"/>
      <c r="AK684" s="13"/>
      <c r="AL684" s="301"/>
      <c r="AM684" s="300"/>
      <c r="AN684" s="13"/>
      <c r="AO684" s="301"/>
      <c r="AP684" s="300"/>
    </row>
    <row r="685">
      <c r="A685" s="13"/>
      <c r="B685" s="13"/>
      <c r="C685" s="13"/>
      <c r="D685" s="13"/>
      <c r="E685" s="13"/>
      <c r="F685" s="13"/>
      <c r="G685" s="13"/>
      <c r="H685" s="13"/>
      <c r="I685" s="13"/>
      <c r="J685" s="13"/>
      <c r="K685" s="13"/>
      <c r="L685" s="13"/>
      <c r="M685" s="13"/>
      <c r="N685" s="13"/>
      <c r="O685" s="13"/>
      <c r="P685" s="13"/>
      <c r="Q685" s="13"/>
      <c r="R685" s="300"/>
      <c r="S685" s="13"/>
      <c r="T685" s="13"/>
      <c r="U685" s="300"/>
      <c r="V685" s="13"/>
      <c r="W685" s="13"/>
      <c r="X685" s="300"/>
      <c r="Y685" s="13"/>
      <c r="Z685" s="13"/>
      <c r="AA685" s="300"/>
      <c r="AB685" s="13"/>
      <c r="AC685" s="13"/>
      <c r="AD685" s="300"/>
      <c r="AE685" s="13"/>
      <c r="AF685" s="13"/>
      <c r="AG685" s="300"/>
      <c r="AH685" s="13"/>
      <c r="AI685" s="13"/>
      <c r="AJ685" s="300"/>
      <c r="AK685" s="13"/>
      <c r="AL685" s="301"/>
      <c r="AM685" s="300"/>
      <c r="AN685" s="13"/>
      <c r="AO685" s="301"/>
      <c r="AP685" s="300"/>
    </row>
    <row r="686">
      <c r="A686" s="13"/>
      <c r="B686" s="13"/>
      <c r="C686" s="13"/>
      <c r="D686" s="13"/>
      <c r="E686" s="13"/>
      <c r="F686" s="13"/>
      <c r="G686" s="13"/>
      <c r="H686" s="13"/>
      <c r="I686" s="13"/>
      <c r="J686" s="13"/>
      <c r="K686" s="13"/>
      <c r="L686" s="13"/>
      <c r="M686" s="13"/>
      <c r="N686" s="13"/>
      <c r="O686" s="13"/>
      <c r="P686" s="13"/>
      <c r="Q686" s="13"/>
      <c r="R686" s="300"/>
      <c r="S686" s="13"/>
      <c r="T686" s="13"/>
      <c r="U686" s="300"/>
      <c r="V686" s="13"/>
      <c r="W686" s="13"/>
      <c r="X686" s="300"/>
      <c r="Y686" s="13"/>
      <c r="Z686" s="13"/>
      <c r="AA686" s="300"/>
      <c r="AB686" s="13"/>
      <c r="AC686" s="13"/>
      <c r="AD686" s="300"/>
      <c r="AE686" s="13"/>
      <c r="AF686" s="13"/>
      <c r="AG686" s="300"/>
      <c r="AH686" s="13"/>
      <c r="AI686" s="13"/>
      <c r="AJ686" s="300"/>
      <c r="AK686" s="13"/>
      <c r="AL686" s="301"/>
      <c r="AM686" s="300"/>
      <c r="AN686" s="13"/>
      <c r="AO686" s="301"/>
      <c r="AP686" s="300"/>
    </row>
    <row r="687">
      <c r="A687" s="13"/>
      <c r="B687" s="13"/>
      <c r="C687" s="13"/>
      <c r="D687" s="13"/>
      <c r="E687" s="13"/>
      <c r="F687" s="13"/>
      <c r="G687" s="13"/>
      <c r="H687" s="13"/>
      <c r="I687" s="13"/>
      <c r="J687" s="13"/>
      <c r="K687" s="13"/>
      <c r="L687" s="13"/>
      <c r="M687" s="13"/>
      <c r="N687" s="13"/>
      <c r="O687" s="13"/>
      <c r="P687" s="13"/>
      <c r="Q687" s="13"/>
      <c r="R687" s="300"/>
      <c r="S687" s="13"/>
      <c r="T687" s="13"/>
      <c r="U687" s="300"/>
      <c r="V687" s="13"/>
      <c r="W687" s="13"/>
      <c r="X687" s="300"/>
      <c r="Y687" s="13"/>
      <c r="Z687" s="13"/>
      <c r="AA687" s="300"/>
      <c r="AB687" s="13"/>
      <c r="AC687" s="13"/>
      <c r="AD687" s="300"/>
      <c r="AE687" s="13"/>
      <c r="AF687" s="13"/>
      <c r="AG687" s="300"/>
      <c r="AH687" s="13"/>
      <c r="AI687" s="13"/>
      <c r="AJ687" s="300"/>
      <c r="AK687" s="13"/>
      <c r="AL687" s="301"/>
      <c r="AM687" s="300"/>
      <c r="AN687" s="13"/>
      <c r="AO687" s="301"/>
      <c r="AP687" s="300"/>
    </row>
    <row r="688">
      <c r="A688" s="13"/>
      <c r="B688" s="13"/>
      <c r="C688" s="13"/>
      <c r="D688" s="13"/>
      <c r="E688" s="13"/>
      <c r="F688" s="13"/>
      <c r="G688" s="13"/>
      <c r="H688" s="13"/>
      <c r="I688" s="13"/>
      <c r="J688" s="13"/>
      <c r="K688" s="13"/>
      <c r="L688" s="13"/>
      <c r="M688" s="13"/>
      <c r="N688" s="13"/>
      <c r="O688" s="13"/>
      <c r="P688" s="13"/>
      <c r="Q688" s="13"/>
      <c r="R688" s="300"/>
      <c r="S688" s="13"/>
      <c r="T688" s="13"/>
      <c r="U688" s="300"/>
      <c r="V688" s="13"/>
      <c r="W688" s="13"/>
      <c r="X688" s="300"/>
      <c r="Y688" s="13"/>
      <c r="Z688" s="13"/>
      <c r="AA688" s="300"/>
      <c r="AB688" s="13"/>
      <c r="AC688" s="13"/>
      <c r="AD688" s="300"/>
      <c r="AE688" s="13"/>
      <c r="AF688" s="13"/>
      <c r="AG688" s="300"/>
      <c r="AH688" s="13"/>
      <c r="AI688" s="13"/>
      <c r="AJ688" s="300"/>
      <c r="AK688" s="13"/>
      <c r="AL688" s="301"/>
      <c r="AM688" s="300"/>
      <c r="AN688" s="13"/>
      <c r="AO688" s="301"/>
      <c r="AP688" s="300"/>
    </row>
    <row r="689">
      <c r="A689" s="13"/>
      <c r="B689" s="13"/>
      <c r="C689" s="13"/>
      <c r="D689" s="13"/>
      <c r="E689" s="13"/>
      <c r="F689" s="13"/>
      <c r="G689" s="13"/>
      <c r="H689" s="13"/>
      <c r="I689" s="13"/>
      <c r="J689" s="13"/>
      <c r="K689" s="13"/>
      <c r="L689" s="13"/>
      <c r="M689" s="13"/>
      <c r="N689" s="13"/>
      <c r="O689" s="13"/>
      <c r="P689" s="13"/>
      <c r="Q689" s="13"/>
      <c r="R689" s="300"/>
      <c r="S689" s="13"/>
      <c r="T689" s="13"/>
      <c r="U689" s="300"/>
      <c r="V689" s="13"/>
      <c r="W689" s="13"/>
      <c r="X689" s="300"/>
      <c r="Y689" s="13"/>
      <c r="Z689" s="13"/>
      <c r="AA689" s="300"/>
      <c r="AB689" s="13"/>
      <c r="AC689" s="13"/>
      <c r="AD689" s="300"/>
      <c r="AE689" s="13"/>
      <c r="AF689" s="13"/>
      <c r="AG689" s="300"/>
      <c r="AH689" s="13"/>
      <c r="AI689" s="13"/>
      <c r="AJ689" s="300"/>
      <c r="AK689" s="13"/>
      <c r="AL689" s="301"/>
      <c r="AM689" s="300"/>
      <c r="AN689" s="13"/>
      <c r="AO689" s="301"/>
      <c r="AP689" s="300"/>
    </row>
    <row r="690">
      <c r="A690" s="13"/>
      <c r="B690" s="13"/>
      <c r="C690" s="13"/>
      <c r="D690" s="13"/>
      <c r="E690" s="13"/>
      <c r="F690" s="13"/>
      <c r="G690" s="13"/>
      <c r="H690" s="13"/>
      <c r="I690" s="13"/>
      <c r="J690" s="13"/>
      <c r="K690" s="13"/>
      <c r="L690" s="13"/>
      <c r="M690" s="13"/>
      <c r="N690" s="13"/>
      <c r="O690" s="13"/>
      <c r="P690" s="13"/>
      <c r="Q690" s="13"/>
      <c r="R690" s="300"/>
      <c r="S690" s="13"/>
      <c r="T690" s="13"/>
      <c r="U690" s="300"/>
      <c r="V690" s="13"/>
      <c r="W690" s="13"/>
      <c r="X690" s="300"/>
      <c r="Y690" s="13"/>
      <c r="Z690" s="13"/>
      <c r="AA690" s="300"/>
      <c r="AB690" s="13"/>
      <c r="AC690" s="13"/>
      <c r="AD690" s="300"/>
      <c r="AE690" s="13"/>
      <c r="AF690" s="13"/>
      <c r="AG690" s="300"/>
      <c r="AH690" s="13"/>
      <c r="AI690" s="13"/>
      <c r="AJ690" s="300"/>
      <c r="AK690" s="13"/>
      <c r="AL690" s="301"/>
      <c r="AM690" s="300"/>
      <c r="AN690" s="13"/>
      <c r="AO690" s="301"/>
      <c r="AP690" s="300"/>
    </row>
    <row r="691">
      <c r="A691" s="13"/>
      <c r="B691" s="13"/>
      <c r="C691" s="13"/>
      <c r="D691" s="13"/>
      <c r="E691" s="13"/>
      <c r="F691" s="13"/>
      <c r="G691" s="13"/>
      <c r="H691" s="13"/>
      <c r="I691" s="13"/>
      <c r="J691" s="13"/>
      <c r="K691" s="13"/>
      <c r="L691" s="13"/>
      <c r="M691" s="13"/>
      <c r="N691" s="13"/>
      <c r="O691" s="13"/>
      <c r="P691" s="13"/>
      <c r="Q691" s="13"/>
      <c r="R691" s="300"/>
      <c r="S691" s="13"/>
      <c r="T691" s="13"/>
      <c r="U691" s="300"/>
      <c r="V691" s="13"/>
      <c r="W691" s="13"/>
      <c r="X691" s="300"/>
      <c r="Y691" s="13"/>
      <c r="Z691" s="13"/>
      <c r="AA691" s="300"/>
      <c r="AB691" s="13"/>
      <c r="AC691" s="13"/>
      <c r="AD691" s="300"/>
      <c r="AE691" s="13"/>
      <c r="AF691" s="13"/>
      <c r="AG691" s="300"/>
      <c r="AH691" s="13"/>
      <c r="AI691" s="13"/>
      <c r="AJ691" s="300"/>
      <c r="AK691" s="13"/>
      <c r="AL691" s="301"/>
      <c r="AM691" s="300"/>
      <c r="AN691" s="13"/>
      <c r="AO691" s="301"/>
      <c r="AP691" s="300"/>
    </row>
    <row r="692">
      <c r="A692" s="13"/>
      <c r="B692" s="13"/>
      <c r="C692" s="13"/>
      <c r="D692" s="13"/>
      <c r="E692" s="13"/>
      <c r="F692" s="13"/>
      <c r="G692" s="13"/>
      <c r="H692" s="13"/>
      <c r="I692" s="13"/>
      <c r="J692" s="13"/>
      <c r="K692" s="13"/>
      <c r="L692" s="13"/>
      <c r="M692" s="13"/>
      <c r="N692" s="13"/>
      <c r="O692" s="13"/>
      <c r="P692" s="13"/>
      <c r="Q692" s="13"/>
      <c r="R692" s="300"/>
      <c r="S692" s="13"/>
      <c r="T692" s="13"/>
      <c r="U692" s="300"/>
      <c r="V692" s="13"/>
      <c r="W692" s="13"/>
      <c r="X692" s="300"/>
      <c r="Y692" s="13"/>
      <c r="Z692" s="13"/>
      <c r="AA692" s="300"/>
      <c r="AB692" s="13"/>
      <c r="AC692" s="13"/>
      <c r="AD692" s="300"/>
      <c r="AE692" s="13"/>
      <c r="AF692" s="13"/>
      <c r="AG692" s="300"/>
      <c r="AH692" s="13"/>
      <c r="AI692" s="13"/>
      <c r="AJ692" s="300"/>
      <c r="AK692" s="13"/>
      <c r="AL692" s="301"/>
      <c r="AM692" s="300"/>
      <c r="AN692" s="13"/>
      <c r="AO692" s="301"/>
      <c r="AP692" s="300"/>
    </row>
    <row r="693">
      <c r="A693" s="13"/>
      <c r="B693" s="13"/>
      <c r="C693" s="13"/>
      <c r="D693" s="13"/>
      <c r="E693" s="13"/>
      <c r="F693" s="13"/>
      <c r="G693" s="13"/>
      <c r="H693" s="13"/>
      <c r="I693" s="13"/>
      <c r="J693" s="13"/>
      <c r="K693" s="13"/>
      <c r="L693" s="13"/>
      <c r="M693" s="13"/>
      <c r="N693" s="13"/>
      <c r="O693" s="13"/>
      <c r="P693" s="13"/>
      <c r="Q693" s="13"/>
      <c r="R693" s="300"/>
      <c r="S693" s="13"/>
      <c r="T693" s="13"/>
      <c r="U693" s="300"/>
      <c r="V693" s="13"/>
      <c r="W693" s="13"/>
      <c r="X693" s="300"/>
      <c r="Y693" s="13"/>
      <c r="Z693" s="13"/>
      <c r="AA693" s="300"/>
      <c r="AB693" s="13"/>
      <c r="AC693" s="13"/>
      <c r="AD693" s="300"/>
      <c r="AE693" s="13"/>
      <c r="AF693" s="13"/>
      <c r="AG693" s="300"/>
      <c r="AH693" s="13"/>
      <c r="AI693" s="13"/>
      <c r="AJ693" s="300"/>
      <c r="AK693" s="13"/>
      <c r="AL693" s="301"/>
      <c r="AM693" s="300"/>
      <c r="AN693" s="13"/>
      <c r="AO693" s="301"/>
      <c r="AP693" s="300"/>
    </row>
    <row r="694">
      <c r="A694" s="13"/>
      <c r="B694" s="13"/>
      <c r="C694" s="13"/>
      <c r="D694" s="13"/>
      <c r="E694" s="13"/>
      <c r="F694" s="13"/>
      <c r="G694" s="13"/>
      <c r="H694" s="13"/>
      <c r="I694" s="13"/>
      <c r="J694" s="13"/>
      <c r="K694" s="13"/>
      <c r="L694" s="13"/>
      <c r="M694" s="13"/>
      <c r="N694" s="13"/>
      <c r="O694" s="13"/>
      <c r="P694" s="13"/>
      <c r="Q694" s="13"/>
      <c r="R694" s="300"/>
      <c r="S694" s="13"/>
      <c r="T694" s="13"/>
      <c r="U694" s="300"/>
      <c r="V694" s="13"/>
      <c r="W694" s="13"/>
      <c r="X694" s="300"/>
      <c r="Y694" s="13"/>
      <c r="Z694" s="13"/>
      <c r="AA694" s="300"/>
      <c r="AB694" s="13"/>
      <c r="AC694" s="13"/>
      <c r="AD694" s="300"/>
      <c r="AE694" s="13"/>
      <c r="AF694" s="13"/>
      <c r="AG694" s="300"/>
      <c r="AH694" s="13"/>
      <c r="AI694" s="13"/>
      <c r="AJ694" s="300"/>
      <c r="AK694" s="13"/>
      <c r="AL694" s="301"/>
      <c r="AM694" s="300"/>
      <c r="AN694" s="13"/>
      <c r="AO694" s="301"/>
      <c r="AP694" s="300"/>
    </row>
    <row r="695">
      <c r="A695" s="13"/>
      <c r="B695" s="13"/>
      <c r="C695" s="13"/>
      <c r="D695" s="13"/>
      <c r="E695" s="13"/>
      <c r="F695" s="13"/>
      <c r="G695" s="13"/>
      <c r="H695" s="13"/>
      <c r="I695" s="13"/>
      <c r="J695" s="13"/>
      <c r="K695" s="13"/>
      <c r="L695" s="13"/>
      <c r="M695" s="13"/>
      <c r="N695" s="13"/>
      <c r="O695" s="13"/>
      <c r="P695" s="13"/>
      <c r="Q695" s="13"/>
      <c r="R695" s="300"/>
      <c r="S695" s="13"/>
      <c r="T695" s="13"/>
      <c r="U695" s="300"/>
      <c r="V695" s="13"/>
      <c r="W695" s="13"/>
      <c r="X695" s="300"/>
      <c r="Y695" s="13"/>
      <c r="Z695" s="13"/>
      <c r="AA695" s="300"/>
      <c r="AB695" s="13"/>
      <c r="AC695" s="13"/>
      <c r="AD695" s="300"/>
      <c r="AE695" s="13"/>
      <c r="AF695" s="13"/>
      <c r="AG695" s="300"/>
      <c r="AH695" s="13"/>
      <c r="AI695" s="13"/>
      <c r="AJ695" s="300"/>
      <c r="AK695" s="13"/>
      <c r="AL695" s="301"/>
      <c r="AM695" s="300"/>
      <c r="AN695" s="13"/>
      <c r="AO695" s="301"/>
      <c r="AP695" s="300"/>
    </row>
    <row r="696">
      <c r="A696" s="13"/>
      <c r="B696" s="13"/>
      <c r="C696" s="13"/>
      <c r="D696" s="13"/>
      <c r="E696" s="13"/>
      <c r="F696" s="13"/>
      <c r="G696" s="13"/>
      <c r="H696" s="13"/>
      <c r="I696" s="13"/>
      <c r="J696" s="13"/>
      <c r="K696" s="13"/>
      <c r="L696" s="13"/>
      <c r="M696" s="13"/>
      <c r="N696" s="13"/>
      <c r="O696" s="13"/>
      <c r="P696" s="13"/>
      <c r="Q696" s="13"/>
      <c r="R696" s="300"/>
      <c r="S696" s="13"/>
      <c r="T696" s="13"/>
      <c r="U696" s="300"/>
      <c r="V696" s="13"/>
      <c r="W696" s="13"/>
      <c r="X696" s="300"/>
      <c r="Y696" s="13"/>
      <c r="Z696" s="13"/>
      <c r="AA696" s="300"/>
      <c r="AB696" s="13"/>
      <c r="AC696" s="13"/>
      <c r="AD696" s="300"/>
      <c r="AE696" s="13"/>
      <c r="AF696" s="13"/>
      <c r="AG696" s="300"/>
      <c r="AH696" s="13"/>
      <c r="AI696" s="13"/>
      <c r="AJ696" s="300"/>
      <c r="AK696" s="13"/>
      <c r="AL696" s="301"/>
      <c r="AM696" s="300"/>
      <c r="AN696" s="13"/>
      <c r="AO696" s="301"/>
      <c r="AP696" s="300"/>
    </row>
    <row r="697">
      <c r="A697" s="13"/>
      <c r="B697" s="13"/>
      <c r="C697" s="13"/>
      <c r="D697" s="13"/>
      <c r="E697" s="13"/>
      <c r="F697" s="13"/>
      <c r="G697" s="13"/>
      <c r="H697" s="13"/>
      <c r="I697" s="13"/>
      <c r="J697" s="13"/>
      <c r="K697" s="13"/>
      <c r="L697" s="13"/>
      <c r="M697" s="13"/>
      <c r="N697" s="13"/>
      <c r="O697" s="13"/>
      <c r="P697" s="13"/>
      <c r="Q697" s="13"/>
      <c r="R697" s="300"/>
      <c r="S697" s="13"/>
      <c r="T697" s="13"/>
      <c r="U697" s="300"/>
      <c r="V697" s="13"/>
      <c r="W697" s="13"/>
      <c r="X697" s="300"/>
      <c r="Y697" s="13"/>
      <c r="Z697" s="13"/>
      <c r="AA697" s="300"/>
      <c r="AB697" s="13"/>
      <c r="AC697" s="13"/>
      <c r="AD697" s="300"/>
      <c r="AE697" s="13"/>
      <c r="AF697" s="13"/>
      <c r="AG697" s="300"/>
      <c r="AH697" s="13"/>
      <c r="AI697" s="13"/>
      <c r="AJ697" s="300"/>
      <c r="AK697" s="13"/>
      <c r="AL697" s="301"/>
      <c r="AM697" s="300"/>
      <c r="AN697" s="13"/>
      <c r="AO697" s="301"/>
      <c r="AP697" s="300"/>
    </row>
    <row r="698">
      <c r="A698" s="13"/>
      <c r="B698" s="13"/>
      <c r="C698" s="13"/>
      <c r="D698" s="13"/>
      <c r="E698" s="13"/>
      <c r="F698" s="13"/>
      <c r="G698" s="13"/>
      <c r="H698" s="13"/>
      <c r="I698" s="13"/>
      <c r="J698" s="13"/>
      <c r="K698" s="13"/>
      <c r="L698" s="13"/>
      <c r="M698" s="13"/>
      <c r="N698" s="13"/>
      <c r="O698" s="13"/>
      <c r="P698" s="13"/>
      <c r="Q698" s="13"/>
      <c r="R698" s="300"/>
      <c r="S698" s="13"/>
      <c r="T698" s="13"/>
      <c r="U698" s="300"/>
      <c r="V698" s="13"/>
      <c r="W698" s="13"/>
      <c r="X698" s="300"/>
      <c r="Y698" s="13"/>
      <c r="Z698" s="13"/>
      <c r="AA698" s="300"/>
      <c r="AB698" s="13"/>
      <c r="AC698" s="13"/>
      <c r="AD698" s="300"/>
      <c r="AE698" s="13"/>
      <c r="AF698" s="13"/>
      <c r="AG698" s="300"/>
      <c r="AH698" s="13"/>
      <c r="AI698" s="13"/>
      <c r="AJ698" s="300"/>
      <c r="AK698" s="13"/>
      <c r="AL698" s="301"/>
      <c r="AM698" s="300"/>
      <c r="AN698" s="13"/>
      <c r="AO698" s="301"/>
      <c r="AP698" s="300"/>
    </row>
    <row r="699">
      <c r="A699" s="13"/>
      <c r="B699" s="13"/>
      <c r="C699" s="13"/>
      <c r="D699" s="13"/>
      <c r="E699" s="13"/>
      <c r="F699" s="13"/>
      <c r="G699" s="13"/>
      <c r="H699" s="13"/>
      <c r="I699" s="13"/>
      <c r="J699" s="13"/>
      <c r="K699" s="13"/>
      <c r="L699" s="13"/>
      <c r="M699" s="13"/>
      <c r="N699" s="13"/>
      <c r="O699" s="13"/>
      <c r="P699" s="13"/>
      <c r="Q699" s="13"/>
      <c r="R699" s="300"/>
      <c r="S699" s="13"/>
      <c r="T699" s="13"/>
      <c r="U699" s="300"/>
      <c r="V699" s="13"/>
      <c r="W699" s="13"/>
      <c r="X699" s="300"/>
      <c r="Y699" s="13"/>
      <c r="Z699" s="13"/>
      <c r="AA699" s="300"/>
      <c r="AB699" s="13"/>
      <c r="AC699" s="13"/>
      <c r="AD699" s="300"/>
      <c r="AE699" s="13"/>
      <c r="AF699" s="13"/>
      <c r="AG699" s="300"/>
      <c r="AH699" s="13"/>
      <c r="AI699" s="13"/>
      <c r="AJ699" s="300"/>
      <c r="AK699" s="13"/>
      <c r="AL699" s="301"/>
      <c r="AM699" s="300"/>
      <c r="AN699" s="13"/>
      <c r="AO699" s="301"/>
      <c r="AP699" s="300"/>
    </row>
    <row r="700">
      <c r="A700" s="13"/>
      <c r="B700" s="13"/>
      <c r="C700" s="13"/>
      <c r="D700" s="13"/>
      <c r="E700" s="13"/>
      <c r="F700" s="13"/>
      <c r="G700" s="13"/>
      <c r="H700" s="13"/>
      <c r="I700" s="13"/>
      <c r="J700" s="13"/>
      <c r="K700" s="13"/>
      <c r="L700" s="13"/>
      <c r="M700" s="13"/>
      <c r="N700" s="13"/>
      <c r="O700" s="13"/>
      <c r="P700" s="13"/>
      <c r="Q700" s="13"/>
      <c r="R700" s="300"/>
      <c r="S700" s="13"/>
      <c r="T700" s="13"/>
      <c r="U700" s="300"/>
      <c r="V700" s="13"/>
      <c r="W700" s="13"/>
      <c r="X700" s="300"/>
      <c r="Y700" s="13"/>
      <c r="Z700" s="13"/>
      <c r="AA700" s="300"/>
      <c r="AB700" s="13"/>
      <c r="AC700" s="13"/>
      <c r="AD700" s="300"/>
      <c r="AE700" s="13"/>
      <c r="AF700" s="13"/>
      <c r="AG700" s="300"/>
      <c r="AH700" s="13"/>
      <c r="AI700" s="13"/>
      <c r="AJ700" s="300"/>
      <c r="AK700" s="13"/>
      <c r="AL700" s="301"/>
      <c r="AM700" s="300"/>
      <c r="AN700" s="13"/>
      <c r="AO700" s="301"/>
      <c r="AP700" s="300"/>
    </row>
    <row r="701">
      <c r="A701" s="13"/>
      <c r="B701" s="13"/>
      <c r="C701" s="13"/>
      <c r="D701" s="13"/>
      <c r="E701" s="13"/>
      <c r="F701" s="13"/>
      <c r="G701" s="13"/>
      <c r="H701" s="13"/>
      <c r="I701" s="13"/>
      <c r="J701" s="13"/>
      <c r="K701" s="13"/>
      <c r="L701" s="13"/>
      <c r="M701" s="13"/>
      <c r="N701" s="13"/>
      <c r="O701" s="13"/>
      <c r="P701" s="13"/>
      <c r="Q701" s="13"/>
      <c r="R701" s="300"/>
      <c r="S701" s="13"/>
      <c r="T701" s="13"/>
      <c r="U701" s="300"/>
      <c r="V701" s="13"/>
      <c r="W701" s="13"/>
      <c r="X701" s="300"/>
      <c r="Y701" s="13"/>
      <c r="Z701" s="13"/>
      <c r="AA701" s="300"/>
      <c r="AB701" s="13"/>
      <c r="AC701" s="13"/>
      <c r="AD701" s="300"/>
      <c r="AE701" s="13"/>
      <c r="AF701" s="13"/>
      <c r="AG701" s="300"/>
      <c r="AH701" s="13"/>
      <c r="AI701" s="13"/>
      <c r="AJ701" s="300"/>
      <c r="AK701" s="13"/>
      <c r="AL701" s="301"/>
      <c r="AM701" s="300"/>
      <c r="AN701" s="13"/>
      <c r="AO701" s="301"/>
      <c r="AP701" s="300"/>
    </row>
    <row r="702">
      <c r="A702" s="13"/>
      <c r="B702" s="13"/>
      <c r="C702" s="13"/>
      <c r="D702" s="13"/>
      <c r="E702" s="13"/>
      <c r="F702" s="13"/>
      <c r="G702" s="13"/>
      <c r="H702" s="13"/>
      <c r="I702" s="13"/>
      <c r="J702" s="13"/>
      <c r="K702" s="13"/>
      <c r="L702" s="13"/>
      <c r="M702" s="13"/>
      <c r="N702" s="13"/>
      <c r="O702" s="13"/>
      <c r="P702" s="13"/>
      <c r="Q702" s="13"/>
      <c r="R702" s="300"/>
      <c r="S702" s="13"/>
      <c r="T702" s="13"/>
      <c r="U702" s="300"/>
      <c r="V702" s="13"/>
      <c r="W702" s="13"/>
      <c r="X702" s="300"/>
      <c r="Y702" s="13"/>
      <c r="Z702" s="13"/>
      <c r="AA702" s="300"/>
      <c r="AB702" s="13"/>
      <c r="AC702" s="13"/>
      <c r="AD702" s="300"/>
      <c r="AE702" s="13"/>
      <c r="AF702" s="13"/>
      <c r="AG702" s="300"/>
      <c r="AH702" s="13"/>
      <c r="AI702" s="13"/>
      <c r="AJ702" s="300"/>
      <c r="AK702" s="13"/>
      <c r="AL702" s="301"/>
      <c r="AM702" s="300"/>
      <c r="AN702" s="13"/>
      <c r="AO702" s="301"/>
      <c r="AP702" s="300"/>
    </row>
    <row r="703">
      <c r="A703" s="13"/>
      <c r="B703" s="13"/>
      <c r="C703" s="13"/>
      <c r="D703" s="13"/>
      <c r="E703" s="13"/>
      <c r="F703" s="13"/>
      <c r="G703" s="13"/>
      <c r="H703" s="13"/>
      <c r="I703" s="13"/>
      <c r="J703" s="13"/>
      <c r="K703" s="13"/>
      <c r="L703" s="13"/>
      <c r="M703" s="13"/>
      <c r="N703" s="13"/>
      <c r="O703" s="13"/>
      <c r="P703" s="13"/>
      <c r="Q703" s="13"/>
      <c r="R703" s="300"/>
      <c r="S703" s="13"/>
      <c r="T703" s="13"/>
      <c r="U703" s="300"/>
      <c r="V703" s="13"/>
      <c r="W703" s="13"/>
      <c r="X703" s="300"/>
      <c r="Y703" s="13"/>
      <c r="Z703" s="13"/>
      <c r="AA703" s="300"/>
      <c r="AB703" s="13"/>
      <c r="AC703" s="13"/>
      <c r="AD703" s="300"/>
      <c r="AE703" s="13"/>
      <c r="AF703" s="13"/>
      <c r="AG703" s="300"/>
      <c r="AH703" s="13"/>
      <c r="AI703" s="13"/>
      <c r="AJ703" s="300"/>
      <c r="AK703" s="13"/>
      <c r="AL703" s="301"/>
      <c r="AM703" s="300"/>
      <c r="AN703" s="13"/>
      <c r="AO703" s="301"/>
      <c r="AP703" s="300"/>
    </row>
    <row r="704">
      <c r="A704" s="13"/>
      <c r="B704" s="13"/>
      <c r="C704" s="13"/>
      <c r="D704" s="13"/>
      <c r="E704" s="13"/>
      <c r="F704" s="13"/>
      <c r="G704" s="13"/>
      <c r="H704" s="13"/>
      <c r="I704" s="13"/>
      <c r="J704" s="13"/>
      <c r="K704" s="13"/>
      <c r="L704" s="13"/>
      <c r="M704" s="13"/>
      <c r="N704" s="13"/>
      <c r="O704" s="13"/>
      <c r="P704" s="13"/>
      <c r="Q704" s="13"/>
      <c r="R704" s="300"/>
      <c r="S704" s="13"/>
      <c r="T704" s="13"/>
      <c r="U704" s="300"/>
      <c r="V704" s="13"/>
      <c r="W704" s="13"/>
      <c r="X704" s="300"/>
      <c r="Y704" s="13"/>
      <c r="Z704" s="13"/>
      <c r="AA704" s="300"/>
      <c r="AB704" s="13"/>
      <c r="AC704" s="13"/>
      <c r="AD704" s="300"/>
      <c r="AE704" s="13"/>
      <c r="AF704" s="13"/>
      <c r="AG704" s="300"/>
      <c r="AH704" s="13"/>
      <c r="AI704" s="13"/>
      <c r="AJ704" s="300"/>
      <c r="AK704" s="13"/>
      <c r="AL704" s="301"/>
      <c r="AM704" s="300"/>
      <c r="AN704" s="13"/>
      <c r="AO704" s="301"/>
      <c r="AP704" s="300"/>
    </row>
    <row r="705">
      <c r="A705" s="13"/>
      <c r="B705" s="13"/>
      <c r="C705" s="13"/>
      <c r="D705" s="13"/>
      <c r="E705" s="13"/>
      <c r="F705" s="13"/>
      <c r="G705" s="13"/>
      <c r="H705" s="13"/>
      <c r="I705" s="13"/>
      <c r="J705" s="13"/>
      <c r="K705" s="13"/>
      <c r="L705" s="13"/>
      <c r="M705" s="13"/>
      <c r="N705" s="13"/>
      <c r="O705" s="13"/>
      <c r="P705" s="13"/>
      <c r="Q705" s="13"/>
      <c r="R705" s="300"/>
      <c r="S705" s="13"/>
      <c r="T705" s="13"/>
      <c r="U705" s="300"/>
      <c r="V705" s="13"/>
      <c r="W705" s="13"/>
      <c r="X705" s="300"/>
      <c r="Y705" s="13"/>
      <c r="Z705" s="13"/>
      <c r="AA705" s="300"/>
      <c r="AB705" s="13"/>
      <c r="AC705" s="13"/>
      <c r="AD705" s="300"/>
      <c r="AE705" s="13"/>
      <c r="AF705" s="13"/>
      <c r="AG705" s="300"/>
      <c r="AH705" s="13"/>
      <c r="AI705" s="13"/>
      <c r="AJ705" s="300"/>
      <c r="AK705" s="13"/>
      <c r="AL705" s="301"/>
      <c r="AM705" s="300"/>
      <c r="AN705" s="13"/>
      <c r="AO705" s="301"/>
      <c r="AP705" s="300"/>
    </row>
    <row r="706">
      <c r="A706" s="13"/>
      <c r="B706" s="13"/>
      <c r="C706" s="13"/>
      <c r="D706" s="13"/>
      <c r="E706" s="13"/>
      <c r="F706" s="13"/>
      <c r="G706" s="13"/>
      <c r="H706" s="13"/>
      <c r="I706" s="13"/>
      <c r="J706" s="13"/>
      <c r="K706" s="13"/>
      <c r="L706" s="13"/>
      <c r="M706" s="13"/>
      <c r="N706" s="13"/>
      <c r="O706" s="13"/>
      <c r="P706" s="13"/>
      <c r="Q706" s="13"/>
      <c r="R706" s="300"/>
      <c r="S706" s="13"/>
      <c r="T706" s="13"/>
      <c r="U706" s="300"/>
      <c r="V706" s="13"/>
      <c r="W706" s="13"/>
      <c r="X706" s="300"/>
      <c r="Y706" s="13"/>
      <c r="Z706" s="13"/>
      <c r="AA706" s="300"/>
      <c r="AB706" s="13"/>
      <c r="AC706" s="13"/>
      <c r="AD706" s="300"/>
      <c r="AE706" s="13"/>
      <c r="AF706" s="13"/>
      <c r="AG706" s="300"/>
      <c r="AH706" s="13"/>
      <c r="AI706" s="13"/>
      <c r="AJ706" s="300"/>
      <c r="AK706" s="13"/>
      <c r="AL706" s="301"/>
      <c r="AM706" s="300"/>
      <c r="AN706" s="13"/>
      <c r="AO706" s="301"/>
      <c r="AP706" s="300"/>
    </row>
    <row r="707">
      <c r="A707" s="13"/>
      <c r="B707" s="13"/>
      <c r="C707" s="13"/>
      <c r="D707" s="13"/>
      <c r="E707" s="13"/>
      <c r="F707" s="13"/>
      <c r="G707" s="13"/>
      <c r="H707" s="13"/>
      <c r="I707" s="13"/>
      <c r="J707" s="13"/>
      <c r="K707" s="13"/>
      <c r="L707" s="13"/>
      <c r="M707" s="13"/>
      <c r="N707" s="13"/>
      <c r="O707" s="13"/>
      <c r="P707" s="13"/>
      <c r="Q707" s="13"/>
      <c r="R707" s="300"/>
      <c r="S707" s="13"/>
      <c r="T707" s="13"/>
      <c r="U707" s="300"/>
      <c r="V707" s="13"/>
      <c r="W707" s="13"/>
      <c r="X707" s="300"/>
      <c r="Y707" s="13"/>
      <c r="Z707" s="13"/>
      <c r="AA707" s="300"/>
      <c r="AB707" s="13"/>
      <c r="AC707" s="13"/>
      <c r="AD707" s="300"/>
      <c r="AE707" s="13"/>
      <c r="AF707" s="13"/>
      <c r="AG707" s="300"/>
      <c r="AH707" s="13"/>
      <c r="AI707" s="13"/>
      <c r="AJ707" s="300"/>
      <c r="AK707" s="13"/>
      <c r="AL707" s="301"/>
      <c r="AM707" s="300"/>
      <c r="AN707" s="13"/>
      <c r="AO707" s="301"/>
      <c r="AP707" s="300"/>
    </row>
    <row r="708">
      <c r="A708" s="13"/>
      <c r="B708" s="13"/>
      <c r="C708" s="13"/>
      <c r="D708" s="13"/>
      <c r="E708" s="13"/>
      <c r="F708" s="13"/>
      <c r="G708" s="13"/>
      <c r="H708" s="13"/>
      <c r="I708" s="13"/>
      <c r="J708" s="13"/>
      <c r="K708" s="13"/>
      <c r="L708" s="13"/>
      <c r="M708" s="13"/>
      <c r="N708" s="13"/>
      <c r="O708" s="13"/>
      <c r="P708" s="13"/>
      <c r="Q708" s="13"/>
      <c r="R708" s="300"/>
      <c r="S708" s="13"/>
      <c r="T708" s="13"/>
      <c r="U708" s="300"/>
      <c r="V708" s="13"/>
      <c r="W708" s="13"/>
      <c r="X708" s="300"/>
      <c r="Y708" s="13"/>
      <c r="Z708" s="13"/>
      <c r="AA708" s="300"/>
      <c r="AB708" s="13"/>
      <c r="AC708" s="13"/>
      <c r="AD708" s="300"/>
      <c r="AE708" s="13"/>
      <c r="AF708" s="13"/>
      <c r="AG708" s="300"/>
      <c r="AH708" s="13"/>
      <c r="AI708" s="13"/>
      <c r="AJ708" s="300"/>
      <c r="AK708" s="13"/>
      <c r="AL708" s="301"/>
      <c r="AM708" s="300"/>
      <c r="AN708" s="13"/>
      <c r="AO708" s="301"/>
      <c r="AP708" s="300"/>
    </row>
    <row r="709">
      <c r="A709" s="13"/>
      <c r="B709" s="13"/>
      <c r="C709" s="13"/>
      <c r="D709" s="13"/>
      <c r="E709" s="13"/>
      <c r="F709" s="13"/>
      <c r="G709" s="13"/>
      <c r="H709" s="13"/>
      <c r="I709" s="13"/>
      <c r="J709" s="13"/>
      <c r="K709" s="13"/>
      <c r="L709" s="13"/>
      <c r="M709" s="13"/>
      <c r="N709" s="13"/>
      <c r="O709" s="13"/>
      <c r="P709" s="13"/>
      <c r="Q709" s="13"/>
      <c r="R709" s="300"/>
      <c r="S709" s="13"/>
      <c r="T709" s="13"/>
      <c r="U709" s="300"/>
      <c r="V709" s="13"/>
      <c r="W709" s="13"/>
      <c r="X709" s="300"/>
      <c r="Y709" s="13"/>
      <c r="Z709" s="13"/>
      <c r="AA709" s="300"/>
      <c r="AB709" s="13"/>
      <c r="AC709" s="13"/>
      <c r="AD709" s="300"/>
      <c r="AE709" s="13"/>
      <c r="AF709" s="13"/>
      <c r="AG709" s="300"/>
      <c r="AH709" s="13"/>
      <c r="AI709" s="13"/>
      <c r="AJ709" s="300"/>
      <c r="AK709" s="13"/>
      <c r="AL709" s="301"/>
      <c r="AM709" s="300"/>
      <c r="AN709" s="13"/>
      <c r="AO709" s="301"/>
      <c r="AP709" s="300"/>
    </row>
    <row r="710">
      <c r="A710" s="13"/>
      <c r="B710" s="13"/>
      <c r="C710" s="13"/>
      <c r="D710" s="13"/>
      <c r="E710" s="13"/>
      <c r="F710" s="13"/>
      <c r="G710" s="13"/>
      <c r="H710" s="13"/>
      <c r="I710" s="13"/>
      <c r="J710" s="13"/>
      <c r="K710" s="13"/>
      <c r="L710" s="13"/>
      <c r="M710" s="13"/>
      <c r="N710" s="13"/>
      <c r="O710" s="13"/>
      <c r="P710" s="13"/>
      <c r="Q710" s="13"/>
      <c r="R710" s="300"/>
      <c r="S710" s="13"/>
      <c r="T710" s="13"/>
      <c r="U710" s="300"/>
      <c r="V710" s="13"/>
      <c r="W710" s="13"/>
      <c r="X710" s="300"/>
      <c r="Y710" s="13"/>
      <c r="Z710" s="13"/>
      <c r="AA710" s="300"/>
      <c r="AB710" s="13"/>
      <c r="AC710" s="13"/>
      <c r="AD710" s="300"/>
      <c r="AE710" s="13"/>
      <c r="AF710" s="13"/>
      <c r="AG710" s="300"/>
      <c r="AH710" s="13"/>
      <c r="AI710" s="13"/>
      <c r="AJ710" s="300"/>
      <c r="AK710" s="13"/>
      <c r="AL710" s="301"/>
      <c r="AM710" s="300"/>
      <c r="AN710" s="13"/>
      <c r="AO710" s="301"/>
      <c r="AP710" s="300"/>
    </row>
    <row r="711">
      <c r="A711" s="13"/>
      <c r="B711" s="13"/>
      <c r="C711" s="13"/>
      <c r="D711" s="13"/>
      <c r="E711" s="13"/>
      <c r="F711" s="13"/>
      <c r="G711" s="13"/>
      <c r="H711" s="13"/>
      <c r="I711" s="13"/>
      <c r="J711" s="13"/>
      <c r="K711" s="13"/>
      <c r="L711" s="13"/>
      <c r="M711" s="13"/>
      <c r="N711" s="13"/>
      <c r="O711" s="13"/>
      <c r="P711" s="13"/>
      <c r="Q711" s="13"/>
      <c r="R711" s="300"/>
      <c r="S711" s="13"/>
      <c r="T711" s="13"/>
      <c r="U711" s="300"/>
      <c r="V711" s="13"/>
      <c r="W711" s="13"/>
      <c r="X711" s="300"/>
      <c r="Y711" s="13"/>
      <c r="Z711" s="13"/>
      <c r="AA711" s="300"/>
      <c r="AB711" s="13"/>
      <c r="AC711" s="13"/>
      <c r="AD711" s="300"/>
      <c r="AE711" s="13"/>
      <c r="AF711" s="13"/>
      <c r="AG711" s="300"/>
      <c r="AH711" s="13"/>
      <c r="AI711" s="13"/>
      <c r="AJ711" s="300"/>
      <c r="AK711" s="13"/>
      <c r="AL711" s="301"/>
      <c r="AM711" s="300"/>
      <c r="AN711" s="13"/>
      <c r="AO711" s="301"/>
      <c r="AP711" s="300"/>
    </row>
    <row r="712">
      <c r="A712" s="13"/>
      <c r="B712" s="13"/>
      <c r="C712" s="13"/>
      <c r="D712" s="13"/>
      <c r="E712" s="13"/>
      <c r="F712" s="13"/>
      <c r="G712" s="13"/>
      <c r="H712" s="13"/>
      <c r="I712" s="13"/>
      <c r="J712" s="13"/>
      <c r="K712" s="13"/>
      <c r="L712" s="13"/>
      <c r="M712" s="13"/>
      <c r="N712" s="13"/>
      <c r="O712" s="13"/>
      <c r="P712" s="13"/>
      <c r="Q712" s="13"/>
      <c r="R712" s="300"/>
      <c r="S712" s="13"/>
      <c r="T712" s="13"/>
      <c r="U712" s="300"/>
      <c r="V712" s="13"/>
      <c r="W712" s="13"/>
      <c r="X712" s="300"/>
      <c r="Y712" s="13"/>
      <c r="Z712" s="13"/>
      <c r="AA712" s="300"/>
      <c r="AB712" s="13"/>
      <c r="AC712" s="13"/>
      <c r="AD712" s="300"/>
      <c r="AE712" s="13"/>
      <c r="AF712" s="13"/>
      <c r="AG712" s="300"/>
      <c r="AH712" s="13"/>
      <c r="AI712" s="13"/>
      <c r="AJ712" s="300"/>
      <c r="AK712" s="13"/>
      <c r="AL712" s="301"/>
      <c r="AM712" s="300"/>
      <c r="AN712" s="13"/>
      <c r="AO712" s="301"/>
      <c r="AP712" s="300"/>
    </row>
    <row r="713">
      <c r="A713" s="13"/>
      <c r="B713" s="13"/>
      <c r="C713" s="13"/>
      <c r="D713" s="13"/>
      <c r="E713" s="13"/>
      <c r="F713" s="13"/>
      <c r="G713" s="13"/>
      <c r="H713" s="13"/>
      <c r="I713" s="13"/>
      <c r="J713" s="13"/>
      <c r="K713" s="13"/>
      <c r="L713" s="13"/>
      <c r="M713" s="13"/>
      <c r="N713" s="13"/>
      <c r="O713" s="13"/>
      <c r="P713" s="13"/>
      <c r="Q713" s="13"/>
      <c r="R713" s="300"/>
      <c r="S713" s="13"/>
      <c r="T713" s="13"/>
      <c r="U713" s="300"/>
      <c r="V713" s="13"/>
      <c r="W713" s="13"/>
      <c r="X713" s="300"/>
      <c r="Y713" s="13"/>
      <c r="Z713" s="13"/>
      <c r="AA713" s="300"/>
      <c r="AB713" s="13"/>
      <c r="AC713" s="13"/>
      <c r="AD713" s="300"/>
      <c r="AE713" s="13"/>
      <c r="AF713" s="13"/>
      <c r="AG713" s="300"/>
      <c r="AH713" s="13"/>
      <c r="AI713" s="13"/>
      <c r="AJ713" s="300"/>
      <c r="AK713" s="13"/>
      <c r="AL713" s="301"/>
      <c r="AM713" s="300"/>
      <c r="AN713" s="13"/>
      <c r="AO713" s="301"/>
      <c r="AP713" s="300"/>
    </row>
    <row r="714">
      <c r="A714" s="13"/>
      <c r="B714" s="13"/>
      <c r="C714" s="13"/>
      <c r="D714" s="13"/>
      <c r="E714" s="13"/>
      <c r="F714" s="13"/>
      <c r="G714" s="13"/>
      <c r="H714" s="13"/>
      <c r="I714" s="13"/>
      <c r="J714" s="13"/>
      <c r="K714" s="13"/>
      <c r="L714" s="13"/>
      <c r="M714" s="13"/>
      <c r="N714" s="13"/>
      <c r="O714" s="13"/>
      <c r="P714" s="13"/>
      <c r="Q714" s="13"/>
      <c r="R714" s="300"/>
      <c r="S714" s="13"/>
      <c r="T714" s="13"/>
      <c r="U714" s="300"/>
      <c r="V714" s="13"/>
      <c r="W714" s="13"/>
      <c r="X714" s="300"/>
      <c r="Y714" s="13"/>
      <c r="Z714" s="13"/>
      <c r="AA714" s="300"/>
      <c r="AB714" s="13"/>
      <c r="AC714" s="13"/>
      <c r="AD714" s="300"/>
      <c r="AE714" s="13"/>
      <c r="AF714" s="13"/>
      <c r="AG714" s="300"/>
      <c r="AH714" s="13"/>
      <c r="AI714" s="13"/>
      <c r="AJ714" s="300"/>
      <c r="AK714" s="13"/>
      <c r="AL714" s="301"/>
      <c r="AM714" s="300"/>
      <c r="AN714" s="13"/>
      <c r="AO714" s="301"/>
      <c r="AP714" s="300"/>
    </row>
    <row r="715">
      <c r="A715" s="13"/>
      <c r="B715" s="13"/>
      <c r="C715" s="13"/>
      <c r="D715" s="13"/>
      <c r="E715" s="13"/>
      <c r="F715" s="13"/>
      <c r="G715" s="13"/>
      <c r="H715" s="13"/>
      <c r="I715" s="13"/>
      <c r="J715" s="13"/>
      <c r="K715" s="13"/>
      <c r="L715" s="13"/>
      <c r="M715" s="13"/>
      <c r="N715" s="13"/>
      <c r="O715" s="13"/>
      <c r="P715" s="13"/>
      <c r="Q715" s="13"/>
      <c r="R715" s="300"/>
      <c r="S715" s="13"/>
      <c r="T715" s="13"/>
      <c r="U715" s="300"/>
      <c r="V715" s="13"/>
      <c r="W715" s="13"/>
      <c r="X715" s="300"/>
      <c r="Y715" s="13"/>
      <c r="Z715" s="13"/>
      <c r="AA715" s="300"/>
      <c r="AB715" s="13"/>
      <c r="AC715" s="13"/>
      <c r="AD715" s="300"/>
      <c r="AE715" s="13"/>
      <c r="AF715" s="13"/>
      <c r="AG715" s="300"/>
      <c r="AH715" s="13"/>
      <c r="AI715" s="13"/>
      <c r="AJ715" s="300"/>
      <c r="AK715" s="13"/>
      <c r="AL715" s="301"/>
      <c r="AM715" s="300"/>
      <c r="AN715" s="13"/>
      <c r="AO715" s="301"/>
      <c r="AP715" s="300"/>
    </row>
    <row r="716">
      <c r="A716" s="13"/>
      <c r="B716" s="13"/>
      <c r="C716" s="13"/>
      <c r="D716" s="13"/>
      <c r="E716" s="13"/>
      <c r="F716" s="13"/>
      <c r="G716" s="13"/>
      <c r="H716" s="13"/>
      <c r="I716" s="13"/>
      <c r="J716" s="13"/>
      <c r="K716" s="13"/>
      <c r="L716" s="13"/>
      <c r="M716" s="13"/>
      <c r="N716" s="13"/>
      <c r="O716" s="13"/>
      <c r="P716" s="13"/>
      <c r="Q716" s="13"/>
      <c r="R716" s="300"/>
      <c r="S716" s="13"/>
      <c r="T716" s="13"/>
      <c r="U716" s="300"/>
      <c r="V716" s="13"/>
      <c r="W716" s="13"/>
      <c r="X716" s="300"/>
      <c r="Y716" s="13"/>
      <c r="Z716" s="13"/>
      <c r="AA716" s="300"/>
      <c r="AB716" s="13"/>
      <c r="AC716" s="13"/>
      <c r="AD716" s="300"/>
      <c r="AE716" s="13"/>
      <c r="AF716" s="13"/>
      <c r="AG716" s="300"/>
      <c r="AH716" s="13"/>
      <c r="AI716" s="13"/>
      <c r="AJ716" s="300"/>
      <c r="AK716" s="13"/>
      <c r="AL716" s="301"/>
      <c r="AM716" s="300"/>
      <c r="AN716" s="13"/>
      <c r="AO716" s="301"/>
      <c r="AP716" s="300"/>
    </row>
    <row r="717">
      <c r="A717" s="13"/>
      <c r="B717" s="13"/>
      <c r="C717" s="13"/>
      <c r="D717" s="13"/>
      <c r="E717" s="13"/>
      <c r="F717" s="13"/>
      <c r="G717" s="13"/>
      <c r="H717" s="13"/>
      <c r="I717" s="13"/>
      <c r="J717" s="13"/>
      <c r="K717" s="13"/>
      <c r="L717" s="13"/>
      <c r="M717" s="13"/>
      <c r="N717" s="13"/>
      <c r="O717" s="13"/>
      <c r="P717" s="13"/>
      <c r="Q717" s="13"/>
      <c r="R717" s="300"/>
      <c r="S717" s="13"/>
      <c r="T717" s="13"/>
      <c r="U717" s="300"/>
      <c r="V717" s="13"/>
      <c r="W717" s="13"/>
      <c r="X717" s="300"/>
      <c r="Y717" s="13"/>
      <c r="Z717" s="13"/>
      <c r="AA717" s="300"/>
      <c r="AB717" s="13"/>
      <c r="AC717" s="13"/>
      <c r="AD717" s="300"/>
      <c r="AE717" s="13"/>
      <c r="AF717" s="13"/>
      <c r="AG717" s="300"/>
      <c r="AH717" s="13"/>
      <c r="AI717" s="13"/>
      <c r="AJ717" s="300"/>
      <c r="AK717" s="13"/>
      <c r="AL717" s="301"/>
      <c r="AM717" s="300"/>
      <c r="AN717" s="13"/>
      <c r="AO717" s="301"/>
      <c r="AP717" s="300"/>
    </row>
    <row r="718">
      <c r="A718" s="13"/>
      <c r="B718" s="13"/>
      <c r="C718" s="13"/>
      <c r="D718" s="13"/>
      <c r="E718" s="13"/>
      <c r="F718" s="13"/>
      <c r="G718" s="13"/>
      <c r="H718" s="13"/>
      <c r="I718" s="13"/>
      <c r="J718" s="13"/>
      <c r="K718" s="13"/>
      <c r="L718" s="13"/>
      <c r="M718" s="13"/>
      <c r="N718" s="13"/>
      <c r="O718" s="13"/>
      <c r="P718" s="13"/>
      <c r="Q718" s="13"/>
      <c r="R718" s="300"/>
      <c r="S718" s="13"/>
      <c r="T718" s="13"/>
      <c r="U718" s="300"/>
      <c r="V718" s="13"/>
      <c r="W718" s="13"/>
      <c r="X718" s="300"/>
      <c r="Y718" s="13"/>
      <c r="Z718" s="13"/>
      <c r="AA718" s="300"/>
      <c r="AB718" s="13"/>
      <c r="AC718" s="13"/>
      <c r="AD718" s="300"/>
      <c r="AE718" s="13"/>
      <c r="AF718" s="13"/>
      <c r="AG718" s="300"/>
      <c r="AH718" s="13"/>
      <c r="AI718" s="13"/>
      <c r="AJ718" s="300"/>
      <c r="AK718" s="13"/>
      <c r="AL718" s="301"/>
      <c r="AM718" s="300"/>
      <c r="AN718" s="13"/>
      <c r="AO718" s="301"/>
      <c r="AP718" s="300"/>
    </row>
    <row r="719">
      <c r="A719" s="13"/>
      <c r="B719" s="13"/>
      <c r="C719" s="13"/>
      <c r="D719" s="13"/>
      <c r="E719" s="13"/>
      <c r="F719" s="13"/>
      <c r="G719" s="13"/>
      <c r="H719" s="13"/>
      <c r="I719" s="13"/>
      <c r="J719" s="13"/>
      <c r="K719" s="13"/>
      <c r="L719" s="13"/>
      <c r="M719" s="13"/>
      <c r="N719" s="13"/>
      <c r="O719" s="13"/>
      <c r="P719" s="13"/>
      <c r="Q719" s="13"/>
      <c r="R719" s="300"/>
      <c r="S719" s="13"/>
      <c r="T719" s="13"/>
      <c r="U719" s="300"/>
      <c r="V719" s="13"/>
      <c r="W719" s="13"/>
      <c r="X719" s="300"/>
      <c r="Y719" s="13"/>
      <c r="Z719" s="13"/>
      <c r="AA719" s="300"/>
      <c r="AB719" s="13"/>
      <c r="AC719" s="13"/>
      <c r="AD719" s="300"/>
      <c r="AE719" s="13"/>
      <c r="AF719" s="13"/>
      <c r="AG719" s="300"/>
      <c r="AH719" s="13"/>
      <c r="AI719" s="13"/>
      <c r="AJ719" s="300"/>
      <c r="AK719" s="13"/>
      <c r="AL719" s="301"/>
      <c r="AM719" s="300"/>
      <c r="AN719" s="13"/>
      <c r="AO719" s="301"/>
      <c r="AP719" s="300"/>
    </row>
    <row r="720">
      <c r="A720" s="13"/>
      <c r="B720" s="13"/>
      <c r="C720" s="13"/>
      <c r="D720" s="13"/>
      <c r="E720" s="13"/>
      <c r="F720" s="13"/>
      <c r="G720" s="13"/>
      <c r="H720" s="13"/>
      <c r="I720" s="13"/>
      <c r="J720" s="13"/>
      <c r="K720" s="13"/>
      <c r="L720" s="13"/>
      <c r="M720" s="13"/>
      <c r="N720" s="13"/>
      <c r="O720" s="13"/>
      <c r="P720" s="13"/>
      <c r="Q720" s="13"/>
      <c r="R720" s="300"/>
      <c r="S720" s="13"/>
      <c r="T720" s="13"/>
      <c r="U720" s="300"/>
      <c r="V720" s="13"/>
      <c r="W720" s="13"/>
      <c r="X720" s="300"/>
      <c r="Y720" s="13"/>
      <c r="Z720" s="13"/>
      <c r="AA720" s="300"/>
      <c r="AB720" s="13"/>
      <c r="AC720" s="13"/>
      <c r="AD720" s="300"/>
      <c r="AE720" s="13"/>
      <c r="AF720" s="13"/>
      <c r="AG720" s="300"/>
      <c r="AH720" s="13"/>
      <c r="AI720" s="13"/>
      <c r="AJ720" s="300"/>
      <c r="AK720" s="13"/>
      <c r="AL720" s="301"/>
      <c r="AM720" s="300"/>
      <c r="AN720" s="13"/>
      <c r="AO720" s="301"/>
      <c r="AP720" s="300"/>
    </row>
    <row r="721">
      <c r="A721" s="13"/>
      <c r="B721" s="13"/>
      <c r="C721" s="13"/>
      <c r="D721" s="13"/>
      <c r="E721" s="13"/>
      <c r="F721" s="13"/>
      <c r="G721" s="13"/>
      <c r="H721" s="13"/>
      <c r="I721" s="13"/>
      <c r="J721" s="13"/>
      <c r="K721" s="13"/>
      <c r="L721" s="13"/>
      <c r="M721" s="13"/>
      <c r="N721" s="13"/>
      <c r="O721" s="13"/>
      <c r="P721" s="13"/>
      <c r="Q721" s="13"/>
      <c r="R721" s="300"/>
      <c r="S721" s="13"/>
      <c r="T721" s="13"/>
      <c r="U721" s="300"/>
      <c r="V721" s="13"/>
      <c r="W721" s="13"/>
      <c r="X721" s="300"/>
      <c r="Y721" s="13"/>
      <c r="Z721" s="13"/>
      <c r="AA721" s="300"/>
      <c r="AB721" s="13"/>
      <c r="AC721" s="13"/>
      <c r="AD721" s="300"/>
      <c r="AE721" s="13"/>
      <c r="AF721" s="13"/>
      <c r="AG721" s="300"/>
      <c r="AH721" s="13"/>
      <c r="AI721" s="13"/>
      <c r="AJ721" s="300"/>
      <c r="AK721" s="13"/>
      <c r="AL721" s="301"/>
      <c r="AM721" s="300"/>
      <c r="AN721" s="13"/>
      <c r="AO721" s="301"/>
      <c r="AP721" s="300"/>
    </row>
    <row r="722">
      <c r="A722" s="13"/>
      <c r="B722" s="13"/>
      <c r="C722" s="13"/>
      <c r="D722" s="13"/>
      <c r="E722" s="13"/>
      <c r="F722" s="13"/>
      <c r="G722" s="13"/>
      <c r="H722" s="13"/>
      <c r="I722" s="13"/>
      <c r="J722" s="13"/>
      <c r="K722" s="13"/>
      <c r="L722" s="13"/>
      <c r="M722" s="13"/>
      <c r="N722" s="13"/>
      <c r="O722" s="13"/>
      <c r="P722" s="13"/>
      <c r="Q722" s="13"/>
      <c r="R722" s="300"/>
      <c r="S722" s="13"/>
      <c r="T722" s="13"/>
      <c r="U722" s="300"/>
      <c r="V722" s="13"/>
      <c r="W722" s="13"/>
      <c r="X722" s="300"/>
      <c r="Y722" s="13"/>
      <c r="Z722" s="13"/>
      <c r="AA722" s="300"/>
      <c r="AB722" s="13"/>
      <c r="AC722" s="13"/>
      <c r="AD722" s="300"/>
      <c r="AE722" s="13"/>
      <c r="AF722" s="13"/>
      <c r="AG722" s="300"/>
      <c r="AH722" s="13"/>
      <c r="AI722" s="13"/>
      <c r="AJ722" s="300"/>
      <c r="AK722" s="13"/>
      <c r="AL722" s="301"/>
      <c r="AM722" s="300"/>
      <c r="AN722" s="13"/>
      <c r="AO722" s="301"/>
      <c r="AP722" s="300"/>
    </row>
    <row r="723">
      <c r="A723" s="13"/>
      <c r="B723" s="13"/>
      <c r="C723" s="13"/>
      <c r="D723" s="13"/>
      <c r="E723" s="13"/>
      <c r="F723" s="13"/>
      <c r="G723" s="13"/>
      <c r="H723" s="13"/>
      <c r="I723" s="13"/>
      <c r="J723" s="13"/>
      <c r="K723" s="13"/>
      <c r="L723" s="13"/>
      <c r="M723" s="13"/>
      <c r="N723" s="13"/>
      <c r="O723" s="13"/>
      <c r="P723" s="13"/>
      <c r="Q723" s="13"/>
      <c r="R723" s="300"/>
      <c r="S723" s="13"/>
      <c r="T723" s="13"/>
      <c r="U723" s="300"/>
      <c r="V723" s="13"/>
      <c r="W723" s="13"/>
      <c r="X723" s="300"/>
      <c r="Y723" s="13"/>
      <c r="Z723" s="13"/>
      <c r="AA723" s="300"/>
      <c r="AB723" s="13"/>
      <c r="AC723" s="13"/>
      <c r="AD723" s="300"/>
      <c r="AE723" s="13"/>
      <c r="AF723" s="13"/>
      <c r="AG723" s="300"/>
      <c r="AH723" s="13"/>
      <c r="AI723" s="13"/>
      <c r="AJ723" s="300"/>
      <c r="AK723" s="13"/>
      <c r="AL723" s="301"/>
      <c r="AM723" s="300"/>
      <c r="AN723" s="13"/>
      <c r="AO723" s="301"/>
      <c r="AP723" s="300"/>
    </row>
    <row r="724">
      <c r="A724" s="13"/>
      <c r="B724" s="13"/>
      <c r="C724" s="13"/>
      <c r="D724" s="13"/>
      <c r="E724" s="13"/>
      <c r="F724" s="13"/>
      <c r="G724" s="13"/>
      <c r="H724" s="13"/>
      <c r="I724" s="13"/>
      <c r="J724" s="13"/>
      <c r="K724" s="13"/>
      <c r="L724" s="13"/>
      <c r="M724" s="13"/>
      <c r="N724" s="13"/>
      <c r="O724" s="13"/>
      <c r="P724" s="13"/>
      <c r="Q724" s="13"/>
      <c r="R724" s="300"/>
      <c r="S724" s="13"/>
      <c r="T724" s="13"/>
      <c r="U724" s="300"/>
      <c r="V724" s="13"/>
      <c r="W724" s="13"/>
      <c r="X724" s="300"/>
      <c r="Y724" s="13"/>
      <c r="Z724" s="13"/>
      <c r="AA724" s="300"/>
      <c r="AB724" s="13"/>
      <c r="AC724" s="13"/>
      <c r="AD724" s="300"/>
      <c r="AE724" s="13"/>
      <c r="AF724" s="13"/>
      <c r="AG724" s="300"/>
      <c r="AH724" s="13"/>
      <c r="AI724" s="13"/>
      <c r="AJ724" s="300"/>
      <c r="AK724" s="13"/>
      <c r="AL724" s="301"/>
      <c r="AM724" s="300"/>
      <c r="AN724" s="13"/>
      <c r="AO724" s="301"/>
      <c r="AP724" s="300"/>
    </row>
    <row r="725">
      <c r="A725" s="13"/>
      <c r="B725" s="13"/>
      <c r="C725" s="13"/>
      <c r="D725" s="13"/>
      <c r="E725" s="13"/>
      <c r="F725" s="13"/>
      <c r="G725" s="13"/>
      <c r="H725" s="13"/>
      <c r="I725" s="13"/>
      <c r="J725" s="13"/>
      <c r="K725" s="13"/>
      <c r="L725" s="13"/>
      <c r="M725" s="13"/>
      <c r="N725" s="13"/>
      <c r="O725" s="13"/>
      <c r="P725" s="13"/>
      <c r="Q725" s="13"/>
      <c r="R725" s="300"/>
      <c r="S725" s="13"/>
      <c r="T725" s="13"/>
      <c r="U725" s="300"/>
      <c r="V725" s="13"/>
      <c r="W725" s="13"/>
      <c r="X725" s="300"/>
      <c r="Y725" s="13"/>
      <c r="Z725" s="13"/>
      <c r="AA725" s="300"/>
      <c r="AB725" s="13"/>
      <c r="AC725" s="13"/>
      <c r="AD725" s="300"/>
      <c r="AE725" s="13"/>
      <c r="AF725" s="13"/>
      <c r="AG725" s="300"/>
      <c r="AH725" s="13"/>
      <c r="AI725" s="13"/>
      <c r="AJ725" s="300"/>
      <c r="AK725" s="13"/>
      <c r="AL725" s="301"/>
      <c r="AM725" s="300"/>
      <c r="AN725" s="13"/>
      <c r="AO725" s="301"/>
      <c r="AP725" s="300"/>
    </row>
    <row r="726">
      <c r="A726" s="13"/>
      <c r="B726" s="13"/>
      <c r="C726" s="13"/>
      <c r="D726" s="13"/>
      <c r="E726" s="13"/>
      <c r="F726" s="13"/>
      <c r="G726" s="13"/>
      <c r="H726" s="13"/>
      <c r="I726" s="13"/>
      <c r="J726" s="13"/>
      <c r="K726" s="13"/>
      <c r="L726" s="13"/>
      <c r="M726" s="13"/>
      <c r="N726" s="13"/>
      <c r="O726" s="13"/>
      <c r="P726" s="13"/>
      <c r="Q726" s="13"/>
      <c r="R726" s="300"/>
      <c r="S726" s="13"/>
      <c r="T726" s="13"/>
      <c r="U726" s="300"/>
      <c r="V726" s="13"/>
      <c r="W726" s="13"/>
      <c r="X726" s="300"/>
      <c r="Y726" s="13"/>
      <c r="Z726" s="13"/>
      <c r="AA726" s="300"/>
      <c r="AB726" s="13"/>
      <c r="AC726" s="13"/>
      <c r="AD726" s="300"/>
      <c r="AE726" s="13"/>
      <c r="AF726" s="13"/>
      <c r="AG726" s="300"/>
      <c r="AH726" s="13"/>
      <c r="AI726" s="13"/>
      <c r="AJ726" s="300"/>
      <c r="AK726" s="13"/>
      <c r="AL726" s="301"/>
      <c r="AM726" s="300"/>
      <c r="AN726" s="13"/>
      <c r="AO726" s="301"/>
      <c r="AP726" s="300"/>
    </row>
    <row r="727">
      <c r="A727" s="13"/>
      <c r="B727" s="13"/>
      <c r="C727" s="13"/>
      <c r="D727" s="13"/>
      <c r="E727" s="13"/>
      <c r="F727" s="13"/>
      <c r="G727" s="13"/>
      <c r="H727" s="13"/>
      <c r="I727" s="13"/>
      <c r="J727" s="13"/>
      <c r="K727" s="13"/>
      <c r="L727" s="13"/>
      <c r="M727" s="13"/>
      <c r="N727" s="13"/>
      <c r="O727" s="13"/>
      <c r="P727" s="13"/>
      <c r="Q727" s="13"/>
      <c r="R727" s="300"/>
      <c r="S727" s="13"/>
      <c r="T727" s="13"/>
      <c r="U727" s="300"/>
      <c r="V727" s="13"/>
      <c r="W727" s="13"/>
      <c r="X727" s="300"/>
      <c r="Y727" s="13"/>
      <c r="Z727" s="13"/>
      <c r="AA727" s="300"/>
      <c r="AB727" s="13"/>
      <c r="AC727" s="13"/>
      <c r="AD727" s="300"/>
      <c r="AE727" s="13"/>
      <c r="AF727" s="13"/>
      <c r="AG727" s="300"/>
      <c r="AH727" s="13"/>
      <c r="AI727" s="13"/>
      <c r="AJ727" s="300"/>
      <c r="AK727" s="13"/>
      <c r="AL727" s="301"/>
      <c r="AM727" s="300"/>
      <c r="AN727" s="13"/>
      <c r="AO727" s="301"/>
      <c r="AP727" s="300"/>
    </row>
    <row r="728">
      <c r="A728" s="13"/>
      <c r="B728" s="13"/>
      <c r="C728" s="13"/>
      <c r="D728" s="13"/>
      <c r="E728" s="13"/>
      <c r="F728" s="13"/>
      <c r="G728" s="13"/>
      <c r="H728" s="13"/>
      <c r="I728" s="13"/>
      <c r="J728" s="13"/>
      <c r="K728" s="13"/>
      <c r="L728" s="13"/>
      <c r="M728" s="13"/>
      <c r="N728" s="13"/>
      <c r="O728" s="13"/>
      <c r="P728" s="13"/>
      <c r="Q728" s="13"/>
      <c r="R728" s="300"/>
      <c r="S728" s="13"/>
      <c r="T728" s="13"/>
      <c r="U728" s="300"/>
      <c r="V728" s="13"/>
      <c r="W728" s="13"/>
      <c r="X728" s="300"/>
      <c r="Y728" s="13"/>
      <c r="Z728" s="13"/>
      <c r="AA728" s="300"/>
      <c r="AB728" s="13"/>
      <c r="AC728" s="13"/>
      <c r="AD728" s="300"/>
      <c r="AE728" s="13"/>
      <c r="AF728" s="13"/>
      <c r="AG728" s="300"/>
      <c r="AH728" s="13"/>
      <c r="AI728" s="13"/>
      <c r="AJ728" s="300"/>
      <c r="AK728" s="13"/>
      <c r="AL728" s="301"/>
      <c r="AM728" s="300"/>
      <c r="AN728" s="13"/>
      <c r="AO728" s="301"/>
      <c r="AP728" s="300"/>
    </row>
    <row r="729">
      <c r="A729" s="13"/>
      <c r="B729" s="13"/>
      <c r="C729" s="13"/>
      <c r="D729" s="13"/>
      <c r="E729" s="13"/>
      <c r="F729" s="13"/>
      <c r="G729" s="13"/>
      <c r="H729" s="13"/>
      <c r="I729" s="13"/>
      <c r="J729" s="13"/>
      <c r="K729" s="13"/>
      <c r="L729" s="13"/>
      <c r="M729" s="13"/>
      <c r="N729" s="13"/>
      <c r="O729" s="13"/>
      <c r="P729" s="13"/>
      <c r="Q729" s="13"/>
      <c r="R729" s="300"/>
      <c r="S729" s="13"/>
      <c r="T729" s="13"/>
      <c r="U729" s="300"/>
      <c r="V729" s="13"/>
      <c r="W729" s="13"/>
      <c r="X729" s="300"/>
      <c r="Y729" s="13"/>
      <c r="Z729" s="13"/>
      <c r="AA729" s="300"/>
      <c r="AB729" s="13"/>
      <c r="AC729" s="13"/>
      <c r="AD729" s="300"/>
      <c r="AE729" s="13"/>
      <c r="AF729" s="13"/>
      <c r="AG729" s="300"/>
      <c r="AH729" s="13"/>
      <c r="AI729" s="13"/>
      <c r="AJ729" s="300"/>
      <c r="AK729" s="13"/>
      <c r="AL729" s="301"/>
      <c r="AM729" s="300"/>
      <c r="AN729" s="13"/>
      <c r="AO729" s="301"/>
      <c r="AP729" s="300"/>
    </row>
    <row r="730">
      <c r="A730" s="13"/>
      <c r="B730" s="13"/>
      <c r="C730" s="13"/>
      <c r="D730" s="13"/>
      <c r="E730" s="13"/>
      <c r="F730" s="13"/>
      <c r="G730" s="13"/>
      <c r="H730" s="13"/>
      <c r="I730" s="13"/>
      <c r="J730" s="13"/>
      <c r="K730" s="13"/>
      <c r="L730" s="13"/>
      <c r="M730" s="13"/>
      <c r="N730" s="13"/>
      <c r="O730" s="13"/>
      <c r="P730" s="13"/>
      <c r="Q730" s="13"/>
      <c r="R730" s="300"/>
      <c r="S730" s="13"/>
      <c r="T730" s="13"/>
      <c r="U730" s="300"/>
      <c r="V730" s="13"/>
      <c r="W730" s="13"/>
      <c r="X730" s="300"/>
      <c r="Y730" s="13"/>
      <c r="Z730" s="13"/>
      <c r="AA730" s="300"/>
      <c r="AB730" s="13"/>
      <c r="AC730" s="13"/>
      <c r="AD730" s="300"/>
      <c r="AE730" s="13"/>
      <c r="AF730" s="13"/>
      <c r="AG730" s="300"/>
      <c r="AH730" s="13"/>
      <c r="AI730" s="13"/>
      <c r="AJ730" s="300"/>
      <c r="AK730" s="13"/>
      <c r="AL730" s="301"/>
      <c r="AM730" s="300"/>
      <c r="AN730" s="13"/>
      <c r="AO730" s="301"/>
      <c r="AP730" s="300"/>
    </row>
    <row r="731">
      <c r="A731" s="13"/>
      <c r="B731" s="13"/>
      <c r="C731" s="13"/>
      <c r="D731" s="13"/>
      <c r="E731" s="13"/>
      <c r="F731" s="13"/>
      <c r="G731" s="13"/>
      <c r="H731" s="13"/>
      <c r="I731" s="13"/>
      <c r="J731" s="13"/>
      <c r="K731" s="13"/>
      <c r="L731" s="13"/>
      <c r="M731" s="13"/>
      <c r="N731" s="13"/>
      <c r="O731" s="13"/>
      <c r="P731" s="13"/>
      <c r="Q731" s="13"/>
      <c r="R731" s="300"/>
      <c r="S731" s="13"/>
      <c r="T731" s="13"/>
      <c r="U731" s="300"/>
      <c r="V731" s="13"/>
      <c r="W731" s="13"/>
      <c r="X731" s="300"/>
      <c r="Y731" s="13"/>
      <c r="Z731" s="13"/>
      <c r="AA731" s="300"/>
      <c r="AB731" s="13"/>
      <c r="AC731" s="13"/>
      <c r="AD731" s="300"/>
      <c r="AE731" s="13"/>
      <c r="AF731" s="13"/>
      <c r="AG731" s="300"/>
      <c r="AH731" s="13"/>
      <c r="AI731" s="13"/>
      <c r="AJ731" s="300"/>
      <c r="AK731" s="13"/>
      <c r="AL731" s="301"/>
      <c r="AM731" s="300"/>
      <c r="AN731" s="13"/>
      <c r="AO731" s="301"/>
      <c r="AP731" s="300"/>
    </row>
    <row r="732">
      <c r="A732" s="13"/>
      <c r="B732" s="13"/>
      <c r="C732" s="13"/>
      <c r="D732" s="13"/>
      <c r="E732" s="13"/>
      <c r="F732" s="13"/>
      <c r="G732" s="13"/>
      <c r="H732" s="13"/>
      <c r="I732" s="13"/>
      <c r="J732" s="13"/>
      <c r="K732" s="13"/>
      <c r="L732" s="13"/>
      <c r="M732" s="13"/>
      <c r="N732" s="13"/>
      <c r="O732" s="13"/>
      <c r="P732" s="13"/>
      <c r="Q732" s="13"/>
      <c r="R732" s="300"/>
      <c r="S732" s="13"/>
      <c r="T732" s="13"/>
      <c r="U732" s="300"/>
      <c r="V732" s="13"/>
      <c r="W732" s="13"/>
      <c r="X732" s="300"/>
      <c r="Y732" s="13"/>
      <c r="Z732" s="13"/>
      <c r="AA732" s="300"/>
      <c r="AB732" s="13"/>
      <c r="AC732" s="13"/>
      <c r="AD732" s="300"/>
      <c r="AE732" s="13"/>
      <c r="AF732" s="13"/>
      <c r="AG732" s="300"/>
      <c r="AH732" s="13"/>
      <c r="AI732" s="13"/>
      <c r="AJ732" s="300"/>
      <c r="AK732" s="13"/>
      <c r="AL732" s="301"/>
      <c r="AM732" s="300"/>
      <c r="AN732" s="13"/>
      <c r="AO732" s="301"/>
      <c r="AP732" s="300"/>
    </row>
    <row r="733">
      <c r="A733" s="13"/>
      <c r="B733" s="13"/>
      <c r="C733" s="13"/>
      <c r="D733" s="13"/>
      <c r="E733" s="13"/>
      <c r="F733" s="13"/>
      <c r="G733" s="13"/>
      <c r="H733" s="13"/>
      <c r="I733" s="13"/>
      <c r="J733" s="13"/>
      <c r="K733" s="13"/>
      <c r="L733" s="13"/>
      <c r="M733" s="13"/>
      <c r="N733" s="13"/>
      <c r="O733" s="13"/>
      <c r="P733" s="13"/>
      <c r="Q733" s="13"/>
      <c r="R733" s="300"/>
      <c r="S733" s="13"/>
      <c r="T733" s="13"/>
      <c r="U733" s="300"/>
      <c r="V733" s="13"/>
      <c r="W733" s="13"/>
      <c r="X733" s="300"/>
      <c r="Y733" s="13"/>
      <c r="Z733" s="13"/>
      <c r="AA733" s="300"/>
      <c r="AB733" s="13"/>
      <c r="AC733" s="13"/>
      <c r="AD733" s="300"/>
      <c r="AE733" s="13"/>
      <c r="AF733" s="13"/>
      <c r="AG733" s="300"/>
      <c r="AH733" s="13"/>
      <c r="AI733" s="13"/>
      <c r="AJ733" s="300"/>
      <c r="AK733" s="13"/>
      <c r="AL733" s="301"/>
      <c r="AM733" s="300"/>
      <c r="AN733" s="13"/>
      <c r="AO733" s="301"/>
      <c r="AP733" s="300"/>
    </row>
    <row r="734">
      <c r="A734" s="13"/>
      <c r="B734" s="13"/>
      <c r="C734" s="13"/>
      <c r="D734" s="13"/>
      <c r="E734" s="13"/>
      <c r="F734" s="13"/>
      <c r="G734" s="13"/>
      <c r="H734" s="13"/>
      <c r="I734" s="13"/>
      <c r="J734" s="13"/>
      <c r="K734" s="13"/>
      <c r="L734" s="13"/>
      <c r="M734" s="13"/>
      <c r="N734" s="13"/>
      <c r="O734" s="13"/>
      <c r="P734" s="13"/>
      <c r="Q734" s="13"/>
      <c r="R734" s="300"/>
      <c r="S734" s="13"/>
      <c r="T734" s="13"/>
      <c r="U734" s="300"/>
      <c r="V734" s="13"/>
      <c r="W734" s="13"/>
      <c r="X734" s="300"/>
      <c r="Y734" s="13"/>
      <c r="Z734" s="13"/>
      <c r="AA734" s="300"/>
      <c r="AB734" s="13"/>
      <c r="AC734" s="13"/>
      <c r="AD734" s="300"/>
      <c r="AE734" s="13"/>
      <c r="AF734" s="13"/>
      <c r="AG734" s="300"/>
      <c r="AH734" s="13"/>
      <c r="AI734" s="13"/>
      <c r="AJ734" s="300"/>
      <c r="AK734" s="13"/>
      <c r="AL734" s="301"/>
      <c r="AM734" s="300"/>
      <c r="AN734" s="13"/>
      <c r="AO734" s="301"/>
      <c r="AP734" s="300"/>
    </row>
    <row r="735">
      <c r="A735" s="13"/>
      <c r="B735" s="13"/>
      <c r="C735" s="13"/>
      <c r="D735" s="13"/>
      <c r="E735" s="13"/>
      <c r="F735" s="13"/>
      <c r="G735" s="13"/>
      <c r="H735" s="13"/>
      <c r="I735" s="13"/>
      <c r="J735" s="13"/>
      <c r="K735" s="13"/>
      <c r="L735" s="13"/>
      <c r="M735" s="13"/>
      <c r="N735" s="13"/>
      <c r="O735" s="13"/>
      <c r="P735" s="13"/>
      <c r="Q735" s="13"/>
      <c r="R735" s="300"/>
      <c r="S735" s="13"/>
      <c r="T735" s="13"/>
      <c r="U735" s="300"/>
      <c r="V735" s="13"/>
      <c r="W735" s="13"/>
      <c r="X735" s="300"/>
      <c r="Y735" s="13"/>
      <c r="Z735" s="13"/>
      <c r="AA735" s="300"/>
      <c r="AB735" s="13"/>
      <c r="AC735" s="13"/>
      <c r="AD735" s="300"/>
      <c r="AE735" s="13"/>
      <c r="AF735" s="13"/>
      <c r="AG735" s="300"/>
      <c r="AH735" s="13"/>
      <c r="AI735" s="13"/>
      <c r="AJ735" s="300"/>
      <c r="AK735" s="13"/>
      <c r="AL735" s="301"/>
      <c r="AM735" s="300"/>
      <c r="AN735" s="13"/>
      <c r="AO735" s="301"/>
      <c r="AP735" s="300"/>
    </row>
    <row r="736">
      <c r="A736" s="13"/>
      <c r="B736" s="13"/>
      <c r="C736" s="13"/>
      <c r="D736" s="13"/>
      <c r="E736" s="13"/>
      <c r="F736" s="13"/>
      <c r="G736" s="13"/>
      <c r="H736" s="13"/>
      <c r="I736" s="13"/>
      <c r="J736" s="13"/>
      <c r="K736" s="13"/>
      <c r="L736" s="13"/>
      <c r="M736" s="13"/>
      <c r="N736" s="13"/>
      <c r="O736" s="13"/>
      <c r="P736" s="13"/>
      <c r="Q736" s="13"/>
      <c r="R736" s="300"/>
      <c r="S736" s="13"/>
      <c r="T736" s="13"/>
      <c r="U736" s="300"/>
      <c r="V736" s="13"/>
      <c r="W736" s="13"/>
      <c r="X736" s="300"/>
      <c r="Y736" s="13"/>
      <c r="Z736" s="13"/>
      <c r="AA736" s="300"/>
      <c r="AB736" s="13"/>
      <c r="AC736" s="13"/>
      <c r="AD736" s="300"/>
      <c r="AE736" s="13"/>
      <c r="AF736" s="13"/>
      <c r="AG736" s="300"/>
      <c r="AH736" s="13"/>
      <c r="AI736" s="13"/>
      <c r="AJ736" s="300"/>
      <c r="AK736" s="13"/>
      <c r="AL736" s="301"/>
      <c r="AM736" s="300"/>
      <c r="AN736" s="13"/>
      <c r="AO736" s="301"/>
      <c r="AP736" s="300"/>
    </row>
    <row r="737">
      <c r="A737" s="13"/>
      <c r="B737" s="13"/>
      <c r="C737" s="13"/>
      <c r="D737" s="13"/>
      <c r="E737" s="13"/>
      <c r="F737" s="13"/>
      <c r="G737" s="13"/>
      <c r="H737" s="13"/>
      <c r="I737" s="13"/>
      <c r="J737" s="13"/>
      <c r="K737" s="13"/>
      <c r="L737" s="13"/>
      <c r="M737" s="13"/>
      <c r="N737" s="13"/>
      <c r="O737" s="13"/>
      <c r="P737" s="13"/>
      <c r="Q737" s="13"/>
      <c r="R737" s="300"/>
      <c r="S737" s="13"/>
      <c r="T737" s="13"/>
      <c r="U737" s="300"/>
      <c r="V737" s="13"/>
      <c r="W737" s="13"/>
      <c r="X737" s="300"/>
      <c r="Y737" s="13"/>
      <c r="Z737" s="13"/>
      <c r="AA737" s="300"/>
      <c r="AB737" s="13"/>
      <c r="AC737" s="13"/>
      <c r="AD737" s="300"/>
      <c r="AE737" s="13"/>
      <c r="AF737" s="13"/>
      <c r="AG737" s="300"/>
      <c r="AH737" s="13"/>
      <c r="AI737" s="13"/>
      <c r="AJ737" s="300"/>
      <c r="AK737" s="13"/>
      <c r="AL737" s="301"/>
      <c r="AM737" s="300"/>
      <c r="AN737" s="13"/>
      <c r="AO737" s="301"/>
      <c r="AP737" s="300"/>
    </row>
    <row r="738">
      <c r="A738" s="13"/>
      <c r="B738" s="13"/>
      <c r="C738" s="13"/>
      <c r="D738" s="13"/>
      <c r="E738" s="13"/>
      <c r="F738" s="13"/>
      <c r="G738" s="13"/>
      <c r="H738" s="13"/>
      <c r="I738" s="13"/>
      <c r="J738" s="13"/>
      <c r="K738" s="13"/>
      <c r="L738" s="13"/>
      <c r="M738" s="13"/>
      <c r="N738" s="13"/>
      <c r="O738" s="13"/>
      <c r="P738" s="13"/>
      <c r="Q738" s="13"/>
      <c r="R738" s="300"/>
      <c r="S738" s="13"/>
      <c r="T738" s="13"/>
      <c r="U738" s="300"/>
      <c r="V738" s="13"/>
      <c r="W738" s="13"/>
      <c r="X738" s="300"/>
      <c r="Y738" s="13"/>
      <c r="Z738" s="13"/>
      <c r="AA738" s="300"/>
      <c r="AB738" s="13"/>
      <c r="AC738" s="13"/>
      <c r="AD738" s="300"/>
      <c r="AE738" s="13"/>
      <c r="AF738" s="13"/>
      <c r="AG738" s="300"/>
      <c r="AH738" s="13"/>
      <c r="AI738" s="13"/>
      <c r="AJ738" s="300"/>
      <c r="AK738" s="13"/>
      <c r="AL738" s="301"/>
      <c r="AM738" s="300"/>
      <c r="AN738" s="13"/>
      <c r="AO738" s="301"/>
      <c r="AP738" s="300"/>
    </row>
    <row r="739">
      <c r="A739" s="13"/>
      <c r="B739" s="13"/>
      <c r="C739" s="13"/>
      <c r="D739" s="13"/>
      <c r="E739" s="13"/>
      <c r="F739" s="13"/>
      <c r="G739" s="13"/>
      <c r="H739" s="13"/>
      <c r="I739" s="13"/>
      <c r="J739" s="13"/>
      <c r="K739" s="13"/>
      <c r="L739" s="13"/>
      <c r="M739" s="13"/>
      <c r="N739" s="13"/>
      <c r="O739" s="13"/>
      <c r="P739" s="13"/>
      <c r="Q739" s="13"/>
      <c r="R739" s="300"/>
      <c r="S739" s="13"/>
      <c r="T739" s="13"/>
      <c r="U739" s="300"/>
      <c r="V739" s="13"/>
      <c r="W739" s="13"/>
      <c r="X739" s="300"/>
      <c r="Y739" s="13"/>
      <c r="Z739" s="13"/>
      <c r="AA739" s="300"/>
      <c r="AB739" s="13"/>
      <c r="AC739" s="13"/>
      <c r="AD739" s="300"/>
      <c r="AE739" s="13"/>
      <c r="AF739" s="13"/>
      <c r="AG739" s="300"/>
      <c r="AH739" s="13"/>
      <c r="AI739" s="13"/>
      <c r="AJ739" s="300"/>
      <c r="AK739" s="13"/>
      <c r="AL739" s="301"/>
      <c r="AM739" s="300"/>
      <c r="AN739" s="13"/>
      <c r="AO739" s="301"/>
      <c r="AP739" s="300"/>
    </row>
    <row r="740">
      <c r="A740" s="13"/>
      <c r="B740" s="13"/>
      <c r="C740" s="13"/>
      <c r="D740" s="13"/>
      <c r="E740" s="13"/>
      <c r="F740" s="13"/>
      <c r="G740" s="13"/>
      <c r="H740" s="13"/>
      <c r="I740" s="13"/>
      <c r="J740" s="13"/>
      <c r="K740" s="13"/>
      <c r="L740" s="13"/>
      <c r="M740" s="13"/>
      <c r="N740" s="13"/>
      <c r="O740" s="13"/>
      <c r="P740" s="13"/>
      <c r="Q740" s="13"/>
      <c r="R740" s="300"/>
      <c r="S740" s="13"/>
      <c r="T740" s="13"/>
      <c r="U740" s="300"/>
      <c r="V740" s="13"/>
      <c r="W740" s="13"/>
      <c r="X740" s="300"/>
      <c r="Y740" s="13"/>
      <c r="Z740" s="13"/>
      <c r="AA740" s="300"/>
      <c r="AB740" s="13"/>
      <c r="AC740" s="13"/>
      <c r="AD740" s="300"/>
      <c r="AE740" s="13"/>
      <c r="AF740" s="13"/>
      <c r="AG740" s="300"/>
      <c r="AH740" s="13"/>
      <c r="AI740" s="13"/>
      <c r="AJ740" s="300"/>
      <c r="AK740" s="13"/>
      <c r="AL740" s="301"/>
      <c r="AM740" s="300"/>
      <c r="AN740" s="13"/>
      <c r="AO740" s="301"/>
      <c r="AP740" s="300"/>
    </row>
    <row r="741">
      <c r="A741" s="13"/>
      <c r="B741" s="13"/>
      <c r="C741" s="13"/>
      <c r="D741" s="13"/>
      <c r="E741" s="13"/>
      <c r="F741" s="13"/>
      <c r="G741" s="13"/>
      <c r="H741" s="13"/>
      <c r="I741" s="13"/>
      <c r="J741" s="13"/>
      <c r="K741" s="13"/>
      <c r="L741" s="13"/>
      <c r="M741" s="13"/>
      <c r="N741" s="13"/>
      <c r="O741" s="13"/>
      <c r="P741" s="13"/>
      <c r="Q741" s="13"/>
      <c r="R741" s="300"/>
      <c r="S741" s="13"/>
      <c r="T741" s="13"/>
      <c r="U741" s="300"/>
      <c r="V741" s="13"/>
      <c r="W741" s="13"/>
      <c r="X741" s="300"/>
      <c r="Y741" s="13"/>
      <c r="Z741" s="13"/>
      <c r="AA741" s="300"/>
      <c r="AB741" s="13"/>
      <c r="AC741" s="13"/>
      <c r="AD741" s="300"/>
      <c r="AE741" s="13"/>
      <c r="AF741" s="13"/>
      <c r="AG741" s="300"/>
      <c r="AH741" s="13"/>
      <c r="AI741" s="13"/>
      <c r="AJ741" s="300"/>
      <c r="AK741" s="13"/>
      <c r="AL741" s="301"/>
      <c r="AM741" s="300"/>
      <c r="AN741" s="13"/>
      <c r="AO741" s="301"/>
      <c r="AP741" s="300"/>
    </row>
    <row r="742">
      <c r="A742" s="13"/>
      <c r="B742" s="13"/>
      <c r="C742" s="13"/>
      <c r="D742" s="13"/>
      <c r="E742" s="13"/>
      <c r="F742" s="13"/>
      <c r="G742" s="13"/>
      <c r="H742" s="13"/>
      <c r="I742" s="13"/>
      <c r="J742" s="13"/>
      <c r="K742" s="13"/>
      <c r="L742" s="13"/>
      <c r="M742" s="13"/>
      <c r="N742" s="13"/>
      <c r="O742" s="13"/>
      <c r="P742" s="13"/>
      <c r="Q742" s="13"/>
      <c r="R742" s="300"/>
      <c r="S742" s="13"/>
      <c r="T742" s="13"/>
      <c r="U742" s="300"/>
      <c r="V742" s="13"/>
      <c r="W742" s="13"/>
      <c r="X742" s="300"/>
      <c r="Y742" s="13"/>
      <c r="Z742" s="13"/>
      <c r="AA742" s="300"/>
      <c r="AB742" s="13"/>
      <c r="AC742" s="13"/>
      <c r="AD742" s="300"/>
      <c r="AE742" s="13"/>
      <c r="AF742" s="13"/>
      <c r="AG742" s="300"/>
      <c r="AH742" s="13"/>
      <c r="AI742" s="13"/>
      <c r="AJ742" s="300"/>
      <c r="AK742" s="13"/>
      <c r="AL742" s="301"/>
      <c r="AM742" s="300"/>
      <c r="AN742" s="13"/>
      <c r="AO742" s="301"/>
      <c r="AP742" s="300"/>
    </row>
    <row r="743">
      <c r="A743" s="13"/>
      <c r="B743" s="13"/>
      <c r="C743" s="13"/>
      <c r="D743" s="13"/>
      <c r="E743" s="13"/>
      <c r="F743" s="13"/>
      <c r="G743" s="13"/>
      <c r="H743" s="13"/>
      <c r="I743" s="13"/>
      <c r="J743" s="13"/>
      <c r="K743" s="13"/>
      <c r="L743" s="13"/>
      <c r="M743" s="13"/>
      <c r="N743" s="13"/>
      <c r="O743" s="13"/>
      <c r="P743" s="13"/>
      <c r="Q743" s="13"/>
      <c r="R743" s="300"/>
      <c r="S743" s="13"/>
      <c r="T743" s="13"/>
      <c r="U743" s="300"/>
      <c r="V743" s="13"/>
      <c r="W743" s="13"/>
      <c r="X743" s="300"/>
      <c r="Y743" s="13"/>
      <c r="Z743" s="13"/>
      <c r="AA743" s="300"/>
      <c r="AB743" s="13"/>
      <c r="AC743" s="13"/>
      <c r="AD743" s="300"/>
      <c r="AE743" s="13"/>
      <c r="AF743" s="13"/>
      <c r="AG743" s="300"/>
      <c r="AH743" s="13"/>
      <c r="AI743" s="13"/>
      <c r="AJ743" s="300"/>
      <c r="AK743" s="13"/>
      <c r="AL743" s="301"/>
      <c r="AM743" s="300"/>
      <c r="AN743" s="13"/>
      <c r="AO743" s="301"/>
      <c r="AP743" s="300"/>
    </row>
    <row r="744">
      <c r="A744" s="13"/>
      <c r="B744" s="13"/>
      <c r="C744" s="13"/>
      <c r="D744" s="13"/>
      <c r="E744" s="13"/>
      <c r="F744" s="13"/>
      <c r="G744" s="13"/>
      <c r="H744" s="13"/>
      <c r="I744" s="13"/>
      <c r="J744" s="13"/>
      <c r="K744" s="13"/>
      <c r="L744" s="13"/>
      <c r="M744" s="13"/>
      <c r="N744" s="13"/>
      <c r="O744" s="13"/>
      <c r="P744" s="13"/>
      <c r="Q744" s="13"/>
      <c r="R744" s="300"/>
      <c r="S744" s="13"/>
      <c r="T744" s="13"/>
      <c r="U744" s="300"/>
      <c r="V744" s="13"/>
      <c r="W744" s="13"/>
      <c r="X744" s="300"/>
      <c r="Y744" s="13"/>
      <c r="Z744" s="13"/>
      <c r="AA744" s="300"/>
      <c r="AB744" s="13"/>
      <c r="AC744" s="13"/>
      <c r="AD744" s="300"/>
      <c r="AE744" s="13"/>
      <c r="AF744" s="13"/>
      <c r="AG744" s="300"/>
      <c r="AH744" s="13"/>
      <c r="AI744" s="13"/>
      <c r="AJ744" s="300"/>
      <c r="AK744" s="13"/>
      <c r="AL744" s="301"/>
      <c r="AM744" s="300"/>
      <c r="AN744" s="13"/>
      <c r="AO744" s="301"/>
      <c r="AP744" s="300"/>
    </row>
    <row r="745">
      <c r="A745" s="13"/>
      <c r="B745" s="13"/>
      <c r="C745" s="13"/>
      <c r="D745" s="13"/>
      <c r="E745" s="13"/>
      <c r="F745" s="13"/>
      <c r="G745" s="13"/>
      <c r="H745" s="13"/>
      <c r="I745" s="13"/>
      <c r="J745" s="13"/>
      <c r="K745" s="13"/>
      <c r="L745" s="13"/>
      <c r="M745" s="13"/>
      <c r="N745" s="13"/>
      <c r="O745" s="13"/>
      <c r="P745" s="13"/>
      <c r="Q745" s="13"/>
      <c r="R745" s="300"/>
      <c r="S745" s="13"/>
      <c r="T745" s="13"/>
      <c r="U745" s="300"/>
      <c r="V745" s="13"/>
      <c r="W745" s="13"/>
      <c r="X745" s="300"/>
      <c r="Y745" s="13"/>
      <c r="Z745" s="13"/>
      <c r="AA745" s="300"/>
      <c r="AB745" s="13"/>
      <c r="AC745" s="13"/>
      <c r="AD745" s="300"/>
      <c r="AE745" s="13"/>
      <c r="AF745" s="13"/>
      <c r="AG745" s="300"/>
      <c r="AH745" s="13"/>
      <c r="AI745" s="13"/>
      <c r="AJ745" s="300"/>
      <c r="AK745" s="13"/>
      <c r="AL745" s="301"/>
      <c r="AM745" s="300"/>
      <c r="AN745" s="13"/>
      <c r="AO745" s="301"/>
      <c r="AP745" s="300"/>
    </row>
    <row r="746">
      <c r="A746" s="13"/>
      <c r="B746" s="13"/>
      <c r="C746" s="13"/>
      <c r="D746" s="13"/>
      <c r="E746" s="13"/>
      <c r="F746" s="13"/>
      <c r="G746" s="13"/>
      <c r="H746" s="13"/>
      <c r="I746" s="13"/>
      <c r="J746" s="13"/>
      <c r="K746" s="13"/>
      <c r="L746" s="13"/>
      <c r="M746" s="13"/>
      <c r="N746" s="13"/>
      <c r="O746" s="13"/>
      <c r="P746" s="13"/>
      <c r="Q746" s="13"/>
      <c r="R746" s="300"/>
      <c r="S746" s="13"/>
      <c r="T746" s="13"/>
      <c r="U746" s="300"/>
      <c r="V746" s="13"/>
      <c r="W746" s="13"/>
      <c r="X746" s="300"/>
      <c r="Y746" s="13"/>
      <c r="Z746" s="13"/>
      <c r="AA746" s="300"/>
      <c r="AB746" s="13"/>
      <c r="AC746" s="13"/>
      <c r="AD746" s="300"/>
      <c r="AE746" s="13"/>
      <c r="AF746" s="13"/>
      <c r="AG746" s="300"/>
      <c r="AH746" s="13"/>
      <c r="AI746" s="13"/>
      <c r="AJ746" s="300"/>
      <c r="AK746" s="13"/>
      <c r="AL746" s="301"/>
      <c r="AM746" s="300"/>
      <c r="AN746" s="13"/>
      <c r="AO746" s="301"/>
      <c r="AP746" s="300"/>
    </row>
    <row r="747">
      <c r="A747" s="13"/>
      <c r="B747" s="13"/>
      <c r="C747" s="13"/>
      <c r="D747" s="13"/>
      <c r="E747" s="13"/>
      <c r="F747" s="13"/>
      <c r="G747" s="13"/>
      <c r="H747" s="13"/>
      <c r="I747" s="13"/>
      <c r="J747" s="13"/>
      <c r="K747" s="13"/>
      <c r="L747" s="13"/>
      <c r="M747" s="13"/>
      <c r="N747" s="13"/>
      <c r="O747" s="13"/>
      <c r="P747" s="13"/>
      <c r="Q747" s="13"/>
      <c r="R747" s="300"/>
      <c r="S747" s="13"/>
      <c r="T747" s="13"/>
      <c r="U747" s="300"/>
      <c r="V747" s="13"/>
      <c r="W747" s="13"/>
      <c r="X747" s="300"/>
      <c r="Y747" s="13"/>
      <c r="Z747" s="13"/>
      <c r="AA747" s="300"/>
      <c r="AB747" s="13"/>
      <c r="AC747" s="13"/>
      <c r="AD747" s="300"/>
      <c r="AE747" s="13"/>
      <c r="AF747" s="13"/>
      <c r="AG747" s="300"/>
      <c r="AH747" s="13"/>
      <c r="AI747" s="13"/>
      <c r="AJ747" s="300"/>
      <c r="AK747" s="13"/>
      <c r="AL747" s="301"/>
      <c r="AM747" s="300"/>
      <c r="AN747" s="13"/>
      <c r="AO747" s="301"/>
      <c r="AP747" s="300"/>
    </row>
    <row r="748">
      <c r="A748" s="13"/>
      <c r="B748" s="13"/>
      <c r="C748" s="13"/>
      <c r="D748" s="13"/>
      <c r="E748" s="13"/>
      <c r="F748" s="13"/>
      <c r="G748" s="13"/>
      <c r="H748" s="13"/>
      <c r="I748" s="13"/>
      <c r="J748" s="13"/>
      <c r="K748" s="13"/>
      <c r="L748" s="13"/>
      <c r="M748" s="13"/>
      <c r="N748" s="13"/>
      <c r="O748" s="13"/>
      <c r="P748" s="13"/>
      <c r="Q748" s="13"/>
      <c r="R748" s="300"/>
      <c r="S748" s="13"/>
      <c r="T748" s="13"/>
      <c r="U748" s="300"/>
      <c r="V748" s="13"/>
      <c r="W748" s="13"/>
      <c r="X748" s="300"/>
      <c r="Y748" s="13"/>
      <c r="Z748" s="13"/>
      <c r="AA748" s="300"/>
      <c r="AB748" s="13"/>
      <c r="AC748" s="13"/>
      <c r="AD748" s="300"/>
      <c r="AE748" s="13"/>
      <c r="AF748" s="13"/>
      <c r="AG748" s="300"/>
      <c r="AH748" s="13"/>
      <c r="AI748" s="13"/>
      <c r="AJ748" s="300"/>
      <c r="AK748" s="13"/>
      <c r="AL748" s="301"/>
      <c r="AM748" s="300"/>
      <c r="AN748" s="13"/>
      <c r="AO748" s="301"/>
      <c r="AP748" s="300"/>
    </row>
    <row r="749">
      <c r="A749" s="13"/>
      <c r="B749" s="13"/>
      <c r="C749" s="13"/>
      <c r="D749" s="13"/>
      <c r="E749" s="13"/>
      <c r="F749" s="13"/>
      <c r="G749" s="13"/>
      <c r="H749" s="13"/>
      <c r="I749" s="13"/>
      <c r="J749" s="13"/>
      <c r="K749" s="13"/>
      <c r="L749" s="13"/>
      <c r="M749" s="13"/>
      <c r="N749" s="13"/>
      <c r="O749" s="13"/>
      <c r="P749" s="13"/>
      <c r="Q749" s="13"/>
      <c r="R749" s="300"/>
      <c r="S749" s="13"/>
      <c r="T749" s="13"/>
      <c r="U749" s="300"/>
      <c r="V749" s="13"/>
      <c r="W749" s="13"/>
      <c r="X749" s="300"/>
      <c r="Y749" s="13"/>
      <c r="Z749" s="13"/>
      <c r="AA749" s="300"/>
      <c r="AB749" s="13"/>
      <c r="AC749" s="13"/>
      <c r="AD749" s="300"/>
      <c r="AE749" s="13"/>
      <c r="AF749" s="13"/>
      <c r="AG749" s="300"/>
      <c r="AH749" s="13"/>
      <c r="AI749" s="13"/>
      <c r="AJ749" s="300"/>
      <c r="AK749" s="13"/>
      <c r="AL749" s="301"/>
      <c r="AM749" s="300"/>
      <c r="AN749" s="13"/>
      <c r="AO749" s="301"/>
      <c r="AP749" s="300"/>
    </row>
    <row r="750">
      <c r="A750" s="13"/>
      <c r="B750" s="13"/>
      <c r="C750" s="13"/>
      <c r="D750" s="13"/>
      <c r="E750" s="13"/>
      <c r="F750" s="13"/>
      <c r="G750" s="13"/>
      <c r="H750" s="13"/>
      <c r="I750" s="13"/>
      <c r="J750" s="13"/>
      <c r="K750" s="13"/>
      <c r="L750" s="13"/>
      <c r="M750" s="13"/>
      <c r="N750" s="13"/>
      <c r="O750" s="13"/>
      <c r="P750" s="13"/>
      <c r="Q750" s="13"/>
      <c r="R750" s="300"/>
      <c r="S750" s="13"/>
      <c r="T750" s="13"/>
      <c r="U750" s="300"/>
      <c r="V750" s="13"/>
      <c r="W750" s="13"/>
      <c r="X750" s="300"/>
      <c r="Y750" s="13"/>
      <c r="Z750" s="13"/>
      <c r="AA750" s="300"/>
      <c r="AB750" s="13"/>
      <c r="AC750" s="13"/>
      <c r="AD750" s="300"/>
      <c r="AE750" s="13"/>
      <c r="AF750" s="13"/>
      <c r="AG750" s="300"/>
      <c r="AH750" s="13"/>
      <c r="AI750" s="13"/>
      <c r="AJ750" s="300"/>
      <c r="AK750" s="13"/>
      <c r="AL750" s="301"/>
      <c r="AM750" s="300"/>
      <c r="AN750" s="13"/>
      <c r="AO750" s="301"/>
      <c r="AP750" s="300"/>
    </row>
    <row r="751">
      <c r="A751" s="13"/>
      <c r="B751" s="13"/>
      <c r="C751" s="13"/>
      <c r="D751" s="13"/>
      <c r="E751" s="13"/>
      <c r="F751" s="13"/>
      <c r="G751" s="13"/>
      <c r="H751" s="13"/>
      <c r="I751" s="13"/>
      <c r="J751" s="13"/>
      <c r="K751" s="13"/>
      <c r="L751" s="13"/>
      <c r="M751" s="13"/>
      <c r="N751" s="13"/>
      <c r="O751" s="13"/>
      <c r="P751" s="13"/>
      <c r="Q751" s="13"/>
      <c r="R751" s="300"/>
      <c r="S751" s="13"/>
      <c r="T751" s="13"/>
      <c r="U751" s="300"/>
      <c r="V751" s="13"/>
      <c r="W751" s="13"/>
      <c r="X751" s="300"/>
      <c r="Y751" s="13"/>
      <c r="Z751" s="13"/>
      <c r="AA751" s="300"/>
      <c r="AB751" s="13"/>
      <c r="AC751" s="13"/>
      <c r="AD751" s="300"/>
      <c r="AE751" s="13"/>
      <c r="AF751" s="13"/>
      <c r="AG751" s="300"/>
      <c r="AH751" s="13"/>
      <c r="AI751" s="13"/>
      <c r="AJ751" s="300"/>
      <c r="AK751" s="13"/>
      <c r="AL751" s="301"/>
      <c r="AM751" s="300"/>
      <c r="AN751" s="13"/>
      <c r="AO751" s="301"/>
      <c r="AP751" s="300"/>
    </row>
    <row r="752">
      <c r="A752" s="13"/>
      <c r="B752" s="13"/>
      <c r="C752" s="13"/>
      <c r="D752" s="13"/>
      <c r="E752" s="13"/>
      <c r="F752" s="13"/>
      <c r="G752" s="13"/>
      <c r="H752" s="13"/>
      <c r="I752" s="13"/>
      <c r="J752" s="13"/>
      <c r="K752" s="13"/>
      <c r="L752" s="13"/>
      <c r="M752" s="13"/>
      <c r="N752" s="13"/>
      <c r="O752" s="13"/>
      <c r="P752" s="13"/>
      <c r="Q752" s="13"/>
      <c r="R752" s="300"/>
      <c r="S752" s="13"/>
      <c r="T752" s="13"/>
      <c r="U752" s="300"/>
      <c r="V752" s="13"/>
      <c r="W752" s="13"/>
      <c r="X752" s="300"/>
      <c r="Y752" s="13"/>
      <c r="Z752" s="13"/>
      <c r="AA752" s="300"/>
      <c r="AB752" s="13"/>
      <c r="AC752" s="13"/>
      <c r="AD752" s="300"/>
      <c r="AE752" s="13"/>
      <c r="AF752" s="13"/>
      <c r="AG752" s="300"/>
      <c r="AH752" s="13"/>
      <c r="AI752" s="13"/>
      <c r="AJ752" s="300"/>
      <c r="AK752" s="13"/>
      <c r="AL752" s="301"/>
      <c r="AM752" s="300"/>
      <c r="AN752" s="13"/>
      <c r="AO752" s="301"/>
      <c r="AP752" s="300"/>
    </row>
    <row r="753">
      <c r="A753" s="13"/>
      <c r="B753" s="13"/>
      <c r="C753" s="13"/>
      <c r="D753" s="13"/>
      <c r="E753" s="13"/>
      <c r="F753" s="13"/>
      <c r="G753" s="13"/>
      <c r="H753" s="13"/>
      <c r="I753" s="13"/>
      <c r="J753" s="13"/>
      <c r="K753" s="13"/>
      <c r="L753" s="13"/>
      <c r="M753" s="13"/>
      <c r="N753" s="13"/>
      <c r="O753" s="13"/>
      <c r="P753" s="13"/>
      <c r="Q753" s="13"/>
      <c r="R753" s="300"/>
      <c r="S753" s="13"/>
      <c r="T753" s="13"/>
      <c r="U753" s="300"/>
      <c r="V753" s="13"/>
      <c r="W753" s="13"/>
      <c r="X753" s="300"/>
      <c r="Y753" s="13"/>
      <c r="Z753" s="13"/>
      <c r="AA753" s="300"/>
      <c r="AB753" s="13"/>
      <c r="AC753" s="13"/>
      <c r="AD753" s="300"/>
      <c r="AE753" s="13"/>
      <c r="AF753" s="13"/>
      <c r="AG753" s="300"/>
      <c r="AH753" s="13"/>
      <c r="AI753" s="13"/>
      <c r="AJ753" s="300"/>
      <c r="AK753" s="13"/>
      <c r="AL753" s="301"/>
      <c r="AM753" s="300"/>
      <c r="AN753" s="13"/>
      <c r="AO753" s="301"/>
      <c r="AP753" s="300"/>
    </row>
    <row r="754">
      <c r="A754" s="13"/>
      <c r="B754" s="13"/>
      <c r="C754" s="13"/>
      <c r="D754" s="13"/>
      <c r="E754" s="13"/>
      <c r="F754" s="13"/>
      <c r="G754" s="13"/>
      <c r="H754" s="13"/>
      <c r="I754" s="13"/>
      <c r="J754" s="13"/>
      <c r="K754" s="13"/>
      <c r="L754" s="13"/>
      <c r="M754" s="13"/>
      <c r="N754" s="13"/>
      <c r="O754" s="13"/>
      <c r="P754" s="13"/>
      <c r="Q754" s="13"/>
      <c r="R754" s="300"/>
      <c r="S754" s="13"/>
      <c r="T754" s="13"/>
      <c r="U754" s="300"/>
      <c r="V754" s="13"/>
      <c r="W754" s="13"/>
      <c r="X754" s="300"/>
      <c r="Y754" s="13"/>
      <c r="Z754" s="13"/>
      <c r="AA754" s="300"/>
      <c r="AB754" s="13"/>
      <c r="AC754" s="13"/>
      <c r="AD754" s="300"/>
      <c r="AE754" s="13"/>
      <c r="AF754" s="13"/>
      <c r="AG754" s="300"/>
      <c r="AH754" s="13"/>
      <c r="AI754" s="13"/>
      <c r="AJ754" s="300"/>
      <c r="AK754" s="13"/>
      <c r="AL754" s="301"/>
      <c r="AM754" s="300"/>
      <c r="AN754" s="13"/>
      <c r="AO754" s="301"/>
      <c r="AP754" s="300"/>
    </row>
    <row r="755">
      <c r="A755" s="13"/>
      <c r="B755" s="13"/>
      <c r="C755" s="13"/>
      <c r="D755" s="13"/>
      <c r="E755" s="13"/>
      <c r="F755" s="13"/>
      <c r="G755" s="13"/>
      <c r="H755" s="13"/>
      <c r="I755" s="13"/>
      <c r="J755" s="13"/>
      <c r="K755" s="13"/>
      <c r="L755" s="13"/>
      <c r="M755" s="13"/>
      <c r="N755" s="13"/>
      <c r="O755" s="13"/>
      <c r="P755" s="13"/>
      <c r="Q755" s="13"/>
      <c r="R755" s="300"/>
      <c r="S755" s="13"/>
      <c r="T755" s="13"/>
      <c r="U755" s="300"/>
      <c r="V755" s="13"/>
      <c r="W755" s="13"/>
      <c r="X755" s="300"/>
      <c r="Y755" s="13"/>
      <c r="Z755" s="13"/>
      <c r="AA755" s="300"/>
      <c r="AB755" s="13"/>
      <c r="AC755" s="13"/>
      <c r="AD755" s="300"/>
      <c r="AE755" s="13"/>
      <c r="AF755" s="13"/>
      <c r="AG755" s="300"/>
      <c r="AH755" s="13"/>
      <c r="AI755" s="13"/>
      <c r="AJ755" s="300"/>
      <c r="AK755" s="13"/>
      <c r="AL755" s="301"/>
      <c r="AM755" s="300"/>
      <c r="AN755" s="13"/>
      <c r="AO755" s="301"/>
      <c r="AP755" s="300"/>
    </row>
    <row r="756">
      <c r="A756" s="13"/>
      <c r="B756" s="13"/>
      <c r="C756" s="13"/>
      <c r="D756" s="13"/>
      <c r="E756" s="13"/>
      <c r="F756" s="13"/>
      <c r="G756" s="13"/>
      <c r="H756" s="13"/>
      <c r="I756" s="13"/>
      <c r="J756" s="13"/>
      <c r="K756" s="13"/>
      <c r="L756" s="13"/>
      <c r="M756" s="13"/>
      <c r="N756" s="13"/>
      <c r="O756" s="13"/>
      <c r="P756" s="13"/>
      <c r="Q756" s="13"/>
      <c r="R756" s="300"/>
      <c r="S756" s="13"/>
      <c r="T756" s="13"/>
      <c r="U756" s="300"/>
      <c r="V756" s="13"/>
      <c r="W756" s="13"/>
      <c r="X756" s="300"/>
      <c r="Y756" s="13"/>
      <c r="Z756" s="13"/>
      <c r="AA756" s="300"/>
      <c r="AB756" s="13"/>
      <c r="AC756" s="13"/>
      <c r="AD756" s="300"/>
      <c r="AE756" s="13"/>
      <c r="AF756" s="13"/>
      <c r="AG756" s="300"/>
      <c r="AH756" s="13"/>
      <c r="AI756" s="13"/>
      <c r="AJ756" s="300"/>
      <c r="AK756" s="13"/>
      <c r="AL756" s="301"/>
      <c r="AM756" s="300"/>
      <c r="AN756" s="13"/>
      <c r="AO756" s="301"/>
      <c r="AP756" s="300"/>
    </row>
    <row r="757">
      <c r="A757" s="13"/>
      <c r="B757" s="13"/>
      <c r="C757" s="13"/>
      <c r="D757" s="13"/>
      <c r="E757" s="13"/>
      <c r="F757" s="13"/>
      <c r="G757" s="13"/>
      <c r="H757" s="13"/>
      <c r="I757" s="13"/>
      <c r="J757" s="13"/>
      <c r="K757" s="13"/>
      <c r="L757" s="13"/>
      <c r="M757" s="13"/>
      <c r="N757" s="13"/>
      <c r="O757" s="13"/>
      <c r="P757" s="13"/>
      <c r="Q757" s="13"/>
      <c r="R757" s="300"/>
      <c r="S757" s="13"/>
      <c r="T757" s="13"/>
      <c r="U757" s="300"/>
      <c r="V757" s="13"/>
      <c r="W757" s="13"/>
      <c r="X757" s="300"/>
      <c r="Y757" s="13"/>
      <c r="Z757" s="13"/>
      <c r="AA757" s="300"/>
      <c r="AB757" s="13"/>
      <c r="AC757" s="13"/>
      <c r="AD757" s="300"/>
      <c r="AE757" s="13"/>
      <c r="AF757" s="13"/>
      <c r="AG757" s="300"/>
      <c r="AH757" s="13"/>
      <c r="AI757" s="13"/>
      <c r="AJ757" s="300"/>
      <c r="AK757" s="13"/>
      <c r="AL757" s="301"/>
      <c r="AM757" s="300"/>
      <c r="AN757" s="13"/>
      <c r="AO757" s="301"/>
      <c r="AP757" s="300"/>
    </row>
    <row r="758">
      <c r="A758" s="13"/>
      <c r="B758" s="13"/>
      <c r="C758" s="13"/>
      <c r="D758" s="13"/>
      <c r="E758" s="13"/>
      <c r="F758" s="13"/>
      <c r="G758" s="13"/>
      <c r="H758" s="13"/>
      <c r="I758" s="13"/>
      <c r="J758" s="13"/>
      <c r="K758" s="13"/>
      <c r="L758" s="13"/>
      <c r="M758" s="13"/>
      <c r="N758" s="13"/>
      <c r="O758" s="13"/>
      <c r="P758" s="13"/>
      <c r="Q758" s="13"/>
      <c r="R758" s="300"/>
      <c r="S758" s="13"/>
      <c r="T758" s="13"/>
      <c r="U758" s="300"/>
      <c r="V758" s="13"/>
      <c r="W758" s="13"/>
      <c r="X758" s="300"/>
      <c r="Y758" s="13"/>
      <c r="Z758" s="13"/>
      <c r="AA758" s="300"/>
      <c r="AB758" s="13"/>
      <c r="AC758" s="13"/>
      <c r="AD758" s="300"/>
      <c r="AE758" s="13"/>
      <c r="AF758" s="13"/>
      <c r="AG758" s="300"/>
      <c r="AH758" s="13"/>
      <c r="AI758" s="13"/>
      <c r="AJ758" s="300"/>
      <c r="AK758" s="13"/>
      <c r="AL758" s="301"/>
      <c r="AM758" s="300"/>
      <c r="AN758" s="13"/>
      <c r="AO758" s="301"/>
      <c r="AP758" s="300"/>
    </row>
    <row r="759">
      <c r="A759" s="13"/>
      <c r="B759" s="13"/>
      <c r="C759" s="13"/>
      <c r="D759" s="13"/>
      <c r="E759" s="13"/>
      <c r="F759" s="13"/>
      <c r="G759" s="13"/>
      <c r="H759" s="13"/>
      <c r="I759" s="13"/>
      <c r="J759" s="13"/>
      <c r="K759" s="13"/>
      <c r="L759" s="13"/>
      <c r="M759" s="13"/>
      <c r="N759" s="13"/>
      <c r="O759" s="13"/>
      <c r="P759" s="13"/>
      <c r="Q759" s="13"/>
      <c r="R759" s="300"/>
      <c r="S759" s="13"/>
      <c r="T759" s="13"/>
      <c r="U759" s="300"/>
      <c r="V759" s="13"/>
      <c r="W759" s="13"/>
      <c r="X759" s="300"/>
      <c r="Y759" s="13"/>
      <c r="Z759" s="13"/>
      <c r="AA759" s="300"/>
      <c r="AB759" s="13"/>
      <c r="AC759" s="13"/>
      <c r="AD759" s="300"/>
      <c r="AE759" s="13"/>
      <c r="AF759" s="13"/>
      <c r="AG759" s="300"/>
      <c r="AH759" s="13"/>
      <c r="AI759" s="13"/>
      <c r="AJ759" s="300"/>
      <c r="AK759" s="13"/>
      <c r="AL759" s="301"/>
      <c r="AM759" s="300"/>
      <c r="AN759" s="13"/>
      <c r="AO759" s="301"/>
      <c r="AP759" s="300"/>
    </row>
    <row r="760">
      <c r="A760" s="13"/>
      <c r="B760" s="13"/>
      <c r="C760" s="13"/>
      <c r="D760" s="13"/>
      <c r="E760" s="13"/>
      <c r="F760" s="13"/>
      <c r="G760" s="13"/>
      <c r="H760" s="13"/>
      <c r="I760" s="13"/>
      <c r="J760" s="13"/>
      <c r="K760" s="13"/>
      <c r="L760" s="13"/>
      <c r="M760" s="13"/>
      <c r="N760" s="13"/>
      <c r="O760" s="13"/>
      <c r="P760" s="13"/>
      <c r="Q760" s="13"/>
      <c r="R760" s="300"/>
      <c r="S760" s="13"/>
      <c r="T760" s="13"/>
      <c r="U760" s="300"/>
      <c r="V760" s="13"/>
      <c r="W760" s="13"/>
      <c r="X760" s="300"/>
      <c r="Y760" s="13"/>
      <c r="Z760" s="13"/>
      <c r="AA760" s="300"/>
      <c r="AB760" s="13"/>
      <c r="AC760" s="13"/>
      <c r="AD760" s="300"/>
      <c r="AE760" s="13"/>
      <c r="AF760" s="13"/>
      <c r="AG760" s="300"/>
      <c r="AH760" s="13"/>
      <c r="AI760" s="13"/>
      <c r="AJ760" s="300"/>
      <c r="AK760" s="13"/>
      <c r="AL760" s="301"/>
      <c r="AM760" s="300"/>
      <c r="AN760" s="13"/>
      <c r="AO760" s="301"/>
      <c r="AP760" s="300"/>
    </row>
    <row r="761">
      <c r="A761" s="13"/>
      <c r="B761" s="13"/>
      <c r="C761" s="13"/>
      <c r="D761" s="13"/>
      <c r="E761" s="13"/>
      <c r="F761" s="13"/>
      <c r="G761" s="13"/>
      <c r="H761" s="13"/>
      <c r="I761" s="13"/>
      <c r="J761" s="13"/>
      <c r="K761" s="13"/>
      <c r="L761" s="13"/>
      <c r="M761" s="13"/>
      <c r="N761" s="13"/>
      <c r="O761" s="13"/>
      <c r="P761" s="13"/>
      <c r="Q761" s="13"/>
      <c r="R761" s="300"/>
      <c r="S761" s="13"/>
      <c r="T761" s="13"/>
      <c r="U761" s="300"/>
      <c r="V761" s="13"/>
      <c r="W761" s="13"/>
      <c r="X761" s="300"/>
      <c r="Y761" s="13"/>
      <c r="Z761" s="13"/>
      <c r="AA761" s="300"/>
      <c r="AB761" s="13"/>
      <c r="AC761" s="13"/>
      <c r="AD761" s="300"/>
      <c r="AE761" s="13"/>
      <c r="AF761" s="13"/>
      <c r="AG761" s="300"/>
      <c r="AH761" s="13"/>
      <c r="AI761" s="13"/>
      <c r="AJ761" s="300"/>
      <c r="AK761" s="13"/>
      <c r="AL761" s="301"/>
      <c r="AM761" s="300"/>
      <c r="AN761" s="13"/>
      <c r="AO761" s="301"/>
      <c r="AP761" s="300"/>
    </row>
    <row r="762">
      <c r="A762" s="13"/>
      <c r="B762" s="13"/>
      <c r="C762" s="13"/>
      <c r="D762" s="13"/>
      <c r="E762" s="13"/>
      <c r="F762" s="13"/>
      <c r="G762" s="13"/>
      <c r="H762" s="13"/>
      <c r="I762" s="13"/>
      <c r="J762" s="13"/>
      <c r="K762" s="13"/>
      <c r="L762" s="13"/>
      <c r="M762" s="13"/>
      <c r="N762" s="13"/>
      <c r="O762" s="13"/>
      <c r="P762" s="13"/>
      <c r="Q762" s="13"/>
      <c r="R762" s="300"/>
      <c r="S762" s="13"/>
      <c r="T762" s="13"/>
      <c r="U762" s="300"/>
      <c r="V762" s="13"/>
      <c r="W762" s="13"/>
      <c r="X762" s="300"/>
      <c r="Y762" s="13"/>
      <c r="Z762" s="13"/>
      <c r="AA762" s="300"/>
      <c r="AB762" s="13"/>
      <c r="AC762" s="13"/>
      <c r="AD762" s="300"/>
      <c r="AE762" s="13"/>
      <c r="AF762" s="13"/>
      <c r="AG762" s="300"/>
      <c r="AH762" s="13"/>
      <c r="AI762" s="13"/>
      <c r="AJ762" s="300"/>
      <c r="AK762" s="13"/>
      <c r="AL762" s="301"/>
      <c r="AM762" s="300"/>
      <c r="AN762" s="13"/>
      <c r="AO762" s="301"/>
      <c r="AP762" s="300"/>
    </row>
    <row r="763">
      <c r="A763" s="13"/>
      <c r="B763" s="13"/>
      <c r="C763" s="13"/>
      <c r="D763" s="13"/>
      <c r="E763" s="13"/>
      <c r="F763" s="13"/>
      <c r="G763" s="13"/>
      <c r="H763" s="13"/>
      <c r="I763" s="13"/>
      <c r="J763" s="13"/>
      <c r="K763" s="13"/>
      <c r="L763" s="13"/>
      <c r="M763" s="13"/>
      <c r="N763" s="13"/>
      <c r="O763" s="13"/>
      <c r="P763" s="13"/>
      <c r="Q763" s="13"/>
      <c r="R763" s="300"/>
      <c r="S763" s="13"/>
      <c r="T763" s="13"/>
      <c r="U763" s="300"/>
      <c r="V763" s="13"/>
      <c r="W763" s="13"/>
      <c r="X763" s="300"/>
      <c r="Y763" s="13"/>
      <c r="Z763" s="13"/>
      <c r="AA763" s="300"/>
      <c r="AB763" s="13"/>
      <c r="AC763" s="13"/>
      <c r="AD763" s="300"/>
      <c r="AE763" s="13"/>
      <c r="AF763" s="13"/>
      <c r="AG763" s="300"/>
      <c r="AH763" s="13"/>
      <c r="AI763" s="13"/>
      <c r="AJ763" s="300"/>
      <c r="AK763" s="13"/>
      <c r="AL763" s="301"/>
      <c r="AM763" s="300"/>
      <c r="AN763" s="13"/>
      <c r="AO763" s="301"/>
      <c r="AP763" s="300"/>
    </row>
    <row r="764">
      <c r="A764" s="13"/>
      <c r="B764" s="13"/>
      <c r="C764" s="13"/>
      <c r="D764" s="13"/>
      <c r="E764" s="13"/>
      <c r="F764" s="13"/>
      <c r="G764" s="13"/>
      <c r="H764" s="13"/>
      <c r="I764" s="13"/>
      <c r="J764" s="13"/>
      <c r="K764" s="13"/>
      <c r="L764" s="13"/>
      <c r="M764" s="13"/>
      <c r="N764" s="13"/>
      <c r="O764" s="13"/>
      <c r="P764" s="13"/>
      <c r="Q764" s="13"/>
      <c r="R764" s="300"/>
      <c r="S764" s="13"/>
      <c r="T764" s="13"/>
      <c r="U764" s="300"/>
      <c r="V764" s="13"/>
      <c r="W764" s="13"/>
      <c r="X764" s="300"/>
      <c r="Y764" s="13"/>
      <c r="Z764" s="13"/>
      <c r="AA764" s="300"/>
      <c r="AB764" s="13"/>
      <c r="AC764" s="13"/>
      <c r="AD764" s="300"/>
      <c r="AE764" s="13"/>
      <c r="AF764" s="13"/>
      <c r="AG764" s="300"/>
      <c r="AH764" s="13"/>
      <c r="AI764" s="13"/>
      <c r="AJ764" s="300"/>
      <c r="AK764" s="13"/>
      <c r="AL764" s="301"/>
      <c r="AM764" s="300"/>
      <c r="AN764" s="13"/>
      <c r="AO764" s="301"/>
      <c r="AP764" s="300"/>
    </row>
    <row r="765">
      <c r="A765" s="13"/>
      <c r="B765" s="13"/>
      <c r="C765" s="13"/>
      <c r="D765" s="13"/>
      <c r="E765" s="13"/>
      <c r="F765" s="13"/>
      <c r="G765" s="13"/>
      <c r="H765" s="13"/>
      <c r="I765" s="13"/>
      <c r="J765" s="13"/>
      <c r="K765" s="13"/>
      <c r="L765" s="13"/>
      <c r="M765" s="13"/>
      <c r="N765" s="13"/>
      <c r="O765" s="13"/>
      <c r="P765" s="13"/>
      <c r="Q765" s="13"/>
      <c r="R765" s="300"/>
      <c r="S765" s="13"/>
      <c r="T765" s="13"/>
      <c r="U765" s="300"/>
      <c r="V765" s="13"/>
      <c r="W765" s="13"/>
      <c r="X765" s="300"/>
      <c r="Y765" s="13"/>
      <c r="Z765" s="13"/>
      <c r="AA765" s="300"/>
      <c r="AB765" s="13"/>
      <c r="AC765" s="13"/>
      <c r="AD765" s="300"/>
      <c r="AE765" s="13"/>
      <c r="AF765" s="13"/>
      <c r="AG765" s="300"/>
      <c r="AH765" s="13"/>
      <c r="AI765" s="13"/>
      <c r="AJ765" s="300"/>
      <c r="AK765" s="13"/>
      <c r="AL765" s="301"/>
      <c r="AM765" s="300"/>
      <c r="AN765" s="13"/>
      <c r="AO765" s="301"/>
      <c r="AP765" s="300"/>
    </row>
    <row r="766">
      <c r="A766" s="13"/>
      <c r="B766" s="13"/>
      <c r="C766" s="13"/>
      <c r="D766" s="13"/>
      <c r="E766" s="13"/>
      <c r="F766" s="13"/>
      <c r="G766" s="13"/>
      <c r="H766" s="13"/>
      <c r="I766" s="13"/>
      <c r="J766" s="13"/>
      <c r="K766" s="13"/>
      <c r="L766" s="13"/>
      <c r="M766" s="13"/>
      <c r="N766" s="13"/>
      <c r="O766" s="13"/>
      <c r="P766" s="13"/>
      <c r="Q766" s="13"/>
      <c r="R766" s="300"/>
      <c r="S766" s="13"/>
      <c r="T766" s="13"/>
      <c r="U766" s="300"/>
      <c r="V766" s="13"/>
      <c r="W766" s="13"/>
      <c r="X766" s="300"/>
      <c r="Y766" s="13"/>
      <c r="Z766" s="13"/>
      <c r="AA766" s="300"/>
      <c r="AB766" s="13"/>
      <c r="AC766" s="13"/>
      <c r="AD766" s="300"/>
      <c r="AE766" s="13"/>
      <c r="AF766" s="13"/>
      <c r="AG766" s="300"/>
      <c r="AH766" s="13"/>
      <c r="AI766" s="13"/>
      <c r="AJ766" s="300"/>
      <c r="AK766" s="13"/>
      <c r="AL766" s="301"/>
      <c r="AM766" s="300"/>
      <c r="AN766" s="13"/>
      <c r="AO766" s="301"/>
      <c r="AP766" s="300"/>
    </row>
    <row r="767">
      <c r="A767" s="13"/>
      <c r="B767" s="13"/>
      <c r="C767" s="13"/>
      <c r="D767" s="13"/>
      <c r="E767" s="13"/>
      <c r="F767" s="13"/>
      <c r="G767" s="13"/>
      <c r="H767" s="13"/>
      <c r="I767" s="13"/>
      <c r="J767" s="13"/>
      <c r="K767" s="13"/>
      <c r="L767" s="13"/>
      <c r="M767" s="13"/>
      <c r="N767" s="13"/>
      <c r="O767" s="13"/>
      <c r="P767" s="13"/>
      <c r="Q767" s="13"/>
      <c r="R767" s="300"/>
      <c r="S767" s="13"/>
      <c r="T767" s="13"/>
      <c r="U767" s="300"/>
      <c r="V767" s="13"/>
      <c r="W767" s="13"/>
      <c r="X767" s="300"/>
      <c r="Y767" s="13"/>
      <c r="Z767" s="13"/>
      <c r="AA767" s="300"/>
      <c r="AB767" s="13"/>
      <c r="AC767" s="13"/>
      <c r="AD767" s="300"/>
      <c r="AE767" s="13"/>
      <c r="AF767" s="13"/>
      <c r="AG767" s="300"/>
      <c r="AH767" s="13"/>
      <c r="AI767" s="13"/>
      <c r="AJ767" s="300"/>
      <c r="AK767" s="13"/>
      <c r="AL767" s="301"/>
      <c r="AM767" s="300"/>
      <c r="AN767" s="13"/>
      <c r="AO767" s="301"/>
      <c r="AP767" s="300"/>
    </row>
    <row r="768">
      <c r="A768" s="13"/>
      <c r="B768" s="13"/>
      <c r="C768" s="13"/>
      <c r="D768" s="13"/>
      <c r="E768" s="13"/>
      <c r="F768" s="13"/>
      <c r="G768" s="13"/>
      <c r="H768" s="13"/>
      <c r="I768" s="13"/>
      <c r="J768" s="13"/>
      <c r="K768" s="13"/>
      <c r="L768" s="13"/>
      <c r="M768" s="13"/>
      <c r="N768" s="13"/>
      <c r="O768" s="13"/>
      <c r="P768" s="13"/>
      <c r="Q768" s="13"/>
      <c r="R768" s="300"/>
      <c r="S768" s="13"/>
      <c r="T768" s="13"/>
      <c r="U768" s="300"/>
      <c r="V768" s="13"/>
      <c r="W768" s="13"/>
      <c r="X768" s="300"/>
      <c r="Y768" s="13"/>
      <c r="Z768" s="13"/>
      <c r="AA768" s="300"/>
      <c r="AB768" s="13"/>
      <c r="AC768" s="13"/>
      <c r="AD768" s="300"/>
      <c r="AE768" s="13"/>
      <c r="AF768" s="13"/>
      <c r="AG768" s="300"/>
      <c r="AH768" s="13"/>
      <c r="AI768" s="13"/>
      <c r="AJ768" s="300"/>
      <c r="AK768" s="13"/>
      <c r="AL768" s="301"/>
      <c r="AM768" s="300"/>
      <c r="AN768" s="13"/>
      <c r="AO768" s="301"/>
      <c r="AP768" s="300"/>
    </row>
    <row r="769">
      <c r="A769" s="13"/>
      <c r="B769" s="13"/>
      <c r="C769" s="13"/>
      <c r="D769" s="13"/>
      <c r="E769" s="13"/>
      <c r="F769" s="13"/>
      <c r="G769" s="13"/>
      <c r="H769" s="13"/>
      <c r="I769" s="13"/>
      <c r="J769" s="13"/>
      <c r="K769" s="13"/>
      <c r="L769" s="13"/>
      <c r="M769" s="13"/>
      <c r="N769" s="13"/>
      <c r="O769" s="13"/>
      <c r="P769" s="13"/>
      <c r="Q769" s="13"/>
      <c r="R769" s="300"/>
      <c r="S769" s="13"/>
      <c r="T769" s="13"/>
      <c r="U769" s="300"/>
      <c r="V769" s="13"/>
      <c r="W769" s="13"/>
      <c r="X769" s="300"/>
      <c r="Y769" s="13"/>
      <c r="Z769" s="13"/>
      <c r="AA769" s="300"/>
      <c r="AB769" s="13"/>
      <c r="AC769" s="13"/>
      <c r="AD769" s="300"/>
      <c r="AE769" s="13"/>
      <c r="AF769" s="13"/>
      <c r="AG769" s="300"/>
      <c r="AH769" s="13"/>
      <c r="AI769" s="13"/>
      <c r="AJ769" s="300"/>
      <c r="AK769" s="13"/>
      <c r="AL769" s="301"/>
      <c r="AM769" s="300"/>
      <c r="AN769" s="13"/>
      <c r="AO769" s="301"/>
      <c r="AP769" s="300"/>
    </row>
    <row r="770">
      <c r="A770" s="13"/>
      <c r="B770" s="13"/>
      <c r="C770" s="13"/>
      <c r="D770" s="13"/>
      <c r="E770" s="13"/>
      <c r="F770" s="13"/>
      <c r="G770" s="13"/>
      <c r="H770" s="13"/>
      <c r="I770" s="13"/>
      <c r="J770" s="13"/>
      <c r="K770" s="13"/>
      <c r="L770" s="13"/>
      <c r="M770" s="13"/>
      <c r="N770" s="13"/>
      <c r="O770" s="13"/>
      <c r="P770" s="13"/>
      <c r="Q770" s="13"/>
      <c r="R770" s="300"/>
      <c r="S770" s="13"/>
      <c r="T770" s="13"/>
      <c r="U770" s="300"/>
      <c r="V770" s="13"/>
      <c r="W770" s="13"/>
      <c r="X770" s="300"/>
      <c r="Y770" s="13"/>
      <c r="Z770" s="13"/>
      <c r="AA770" s="300"/>
      <c r="AB770" s="13"/>
      <c r="AC770" s="13"/>
      <c r="AD770" s="300"/>
      <c r="AE770" s="13"/>
      <c r="AF770" s="13"/>
      <c r="AG770" s="300"/>
      <c r="AH770" s="13"/>
      <c r="AI770" s="13"/>
      <c r="AJ770" s="300"/>
      <c r="AK770" s="13"/>
      <c r="AL770" s="301"/>
      <c r="AM770" s="300"/>
      <c r="AN770" s="13"/>
      <c r="AO770" s="301"/>
      <c r="AP770" s="300"/>
    </row>
    <row r="771">
      <c r="A771" s="13"/>
      <c r="B771" s="13"/>
      <c r="C771" s="13"/>
      <c r="D771" s="13"/>
      <c r="E771" s="13"/>
      <c r="F771" s="13"/>
      <c r="G771" s="13"/>
      <c r="H771" s="13"/>
      <c r="I771" s="13"/>
      <c r="J771" s="13"/>
      <c r="K771" s="13"/>
      <c r="L771" s="13"/>
      <c r="M771" s="13"/>
      <c r="N771" s="13"/>
      <c r="O771" s="13"/>
      <c r="P771" s="13"/>
      <c r="Q771" s="13"/>
      <c r="R771" s="300"/>
      <c r="S771" s="13"/>
      <c r="T771" s="13"/>
      <c r="U771" s="300"/>
      <c r="V771" s="13"/>
      <c r="W771" s="13"/>
      <c r="X771" s="300"/>
      <c r="Y771" s="13"/>
      <c r="Z771" s="13"/>
      <c r="AA771" s="300"/>
      <c r="AB771" s="13"/>
      <c r="AC771" s="13"/>
      <c r="AD771" s="300"/>
      <c r="AE771" s="13"/>
      <c r="AF771" s="13"/>
      <c r="AG771" s="300"/>
      <c r="AH771" s="13"/>
      <c r="AI771" s="13"/>
      <c r="AJ771" s="300"/>
      <c r="AK771" s="13"/>
      <c r="AL771" s="301"/>
      <c r="AM771" s="300"/>
      <c r="AN771" s="13"/>
      <c r="AO771" s="301"/>
      <c r="AP771" s="300"/>
    </row>
    <row r="772">
      <c r="A772" s="13"/>
      <c r="B772" s="13"/>
      <c r="C772" s="13"/>
      <c r="D772" s="13"/>
      <c r="E772" s="13"/>
      <c r="F772" s="13"/>
      <c r="G772" s="13"/>
      <c r="H772" s="13"/>
      <c r="I772" s="13"/>
      <c r="J772" s="13"/>
      <c r="K772" s="13"/>
      <c r="L772" s="13"/>
      <c r="M772" s="13"/>
      <c r="N772" s="13"/>
      <c r="O772" s="13"/>
      <c r="P772" s="13"/>
      <c r="Q772" s="13"/>
      <c r="R772" s="300"/>
      <c r="S772" s="13"/>
      <c r="T772" s="13"/>
      <c r="U772" s="300"/>
      <c r="V772" s="13"/>
      <c r="W772" s="13"/>
      <c r="X772" s="300"/>
      <c r="Y772" s="13"/>
      <c r="Z772" s="13"/>
      <c r="AA772" s="300"/>
      <c r="AB772" s="13"/>
      <c r="AC772" s="13"/>
      <c r="AD772" s="300"/>
      <c r="AE772" s="13"/>
      <c r="AF772" s="13"/>
      <c r="AG772" s="300"/>
      <c r="AH772" s="13"/>
      <c r="AI772" s="13"/>
      <c r="AJ772" s="300"/>
      <c r="AK772" s="13"/>
      <c r="AL772" s="301"/>
      <c r="AM772" s="300"/>
      <c r="AN772" s="13"/>
      <c r="AO772" s="301"/>
      <c r="AP772" s="300"/>
    </row>
    <row r="773">
      <c r="A773" s="13"/>
      <c r="B773" s="13"/>
      <c r="C773" s="13"/>
      <c r="D773" s="13"/>
      <c r="E773" s="13"/>
      <c r="F773" s="13"/>
      <c r="G773" s="13"/>
      <c r="H773" s="13"/>
      <c r="I773" s="13"/>
      <c r="J773" s="13"/>
      <c r="K773" s="13"/>
      <c r="L773" s="13"/>
      <c r="M773" s="13"/>
      <c r="N773" s="13"/>
      <c r="O773" s="13"/>
      <c r="P773" s="13"/>
      <c r="Q773" s="13"/>
      <c r="R773" s="300"/>
      <c r="S773" s="13"/>
      <c r="T773" s="13"/>
      <c r="U773" s="300"/>
      <c r="V773" s="13"/>
      <c r="W773" s="13"/>
      <c r="X773" s="300"/>
      <c r="Y773" s="13"/>
      <c r="Z773" s="13"/>
      <c r="AA773" s="300"/>
      <c r="AB773" s="13"/>
      <c r="AC773" s="13"/>
      <c r="AD773" s="300"/>
      <c r="AE773" s="13"/>
      <c r="AF773" s="13"/>
      <c r="AG773" s="300"/>
      <c r="AH773" s="13"/>
      <c r="AI773" s="13"/>
      <c r="AJ773" s="300"/>
      <c r="AK773" s="13"/>
      <c r="AL773" s="301"/>
      <c r="AM773" s="300"/>
      <c r="AN773" s="13"/>
      <c r="AO773" s="301"/>
      <c r="AP773" s="300"/>
    </row>
    <row r="774">
      <c r="A774" s="13"/>
      <c r="B774" s="13"/>
      <c r="C774" s="13"/>
      <c r="D774" s="13"/>
      <c r="E774" s="13"/>
      <c r="F774" s="13"/>
      <c r="G774" s="13"/>
      <c r="H774" s="13"/>
      <c r="I774" s="13"/>
      <c r="J774" s="13"/>
      <c r="K774" s="13"/>
      <c r="L774" s="13"/>
      <c r="M774" s="13"/>
      <c r="N774" s="13"/>
      <c r="O774" s="13"/>
      <c r="P774" s="13"/>
      <c r="Q774" s="13"/>
      <c r="R774" s="300"/>
      <c r="S774" s="13"/>
      <c r="T774" s="13"/>
      <c r="U774" s="300"/>
      <c r="V774" s="13"/>
      <c r="W774" s="13"/>
      <c r="X774" s="300"/>
      <c r="Y774" s="13"/>
      <c r="Z774" s="13"/>
      <c r="AA774" s="300"/>
      <c r="AB774" s="13"/>
      <c r="AC774" s="13"/>
      <c r="AD774" s="300"/>
      <c r="AE774" s="13"/>
      <c r="AF774" s="13"/>
      <c r="AG774" s="300"/>
      <c r="AH774" s="13"/>
      <c r="AI774" s="13"/>
      <c r="AJ774" s="300"/>
      <c r="AK774" s="13"/>
      <c r="AL774" s="301"/>
      <c r="AM774" s="300"/>
      <c r="AN774" s="13"/>
      <c r="AO774" s="301"/>
      <c r="AP774" s="300"/>
    </row>
    <row r="775">
      <c r="A775" s="13"/>
      <c r="B775" s="13"/>
      <c r="C775" s="13"/>
      <c r="D775" s="13"/>
      <c r="E775" s="13"/>
      <c r="F775" s="13"/>
      <c r="G775" s="13"/>
      <c r="H775" s="13"/>
      <c r="I775" s="13"/>
      <c r="J775" s="13"/>
      <c r="K775" s="13"/>
      <c r="L775" s="13"/>
      <c r="M775" s="13"/>
      <c r="N775" s="13"/>
      <c r="O775" s="13"/>
      <c r="P775" s="13"/>
      <c r="Q775" s="13"/>
      <c r="R775" s="300"/>
      <c r="S775" s="13"/>
      <c r="T775" s="13"/>
      <c r="U775" s="300"/>
      <c r="V775" s="13"/>
      <c r="W775" s="13"/>
      <c r="X775" s="300"/>
      <c r="Y775" s="13"/>
      <c r="Z775" s="13"/>
      <c r="AA775" s="300"/>
      <c r="AB775" s="13"/>
      <c r="AC775" s="13"/>
      <c r="AD775" s="300"/>
      <c r="AE775" s="13"/>
      <c r="AF775" s="13"/>
      <c r="AG775" s="300"/>
      <c r="AH775" s="13"/>
      <c r="AI775" s="13"/>
      <c r="AJ775" s="300"/>
      <c r="AK775" s="13"/>
      <c r="AL775" s="301"/>
      <c r="AM775" s="300"/>
      <c r="AN775" s="13"/>
      <c r="AO775" s="301"/>
      <c r="AP775" s="300"/>
    </row>
    <row r="776">
      <c r="A776" s="13"/>
      <c r="B776" s="13"/>
      <c r="C776" s="13"/>
      <c r="D776" s="13"/>
      <c r="E776" s="13"/>
      <c r="F776" s="13"/>
      <c r="G776" s="13"/>
      <c r="H776" s="13"/>
      <c r="I776" s="13"/>
      <c r="J776" s="13"/>
      <c r="K776" s="13"/>
      <c r="L776" s="13"/>
      <c r="M776" s="13"/>
      <c r="N776" s="13"/>
      <c r="O776" s="13"/>
      <c r="P776" s="13"/>
      <c r="Q776" s="13"/>
      <c r="R776" s="300"/>
      <c r="S776" s="13"/>
      <c r="T776" s="13"/>
      <c r="U776" s="300"/>
      <c r="V776" s="13"/>
      <c r="W776" s="13"/>
      <c r="X776" s="300"/>
      <c r="Y776" s="13"/>
      <c r="Z776" s="13"/>
      <c r="AA776" s="300"/>
      <c r="AB776" s="13"/>
      <c r="AC776" s="13"/>
      <c r="AD776" s="300"/>
      <c r="AE776" s="13"/>
      <c r="AF776" s="13"/>
      <c r="AG776" s="300"/>
      <c r="AH776" s="13"/>
      <c r="AI776" s="13"/>
      <c r="AJ776" s="300"/>
      <c r="AK776" s="13"/>
      <c r="AL776" s="301"/>
      <c r="AM776" s="300"/>
      <c r="AN776" s="13"/>
      <c r="AO776" s="301"/>
      <c r="AP776" s="300"/>
    </row>
    <row r="777">
      <c r="A777" s="13"/>
      <c r="B777" s="13"/>
      <c r="C777" s="13"/>
      <c r="D777" s="13"/>
      <c r="E777" s="13"/>
      <c r="F777" s="13"/>
      <c r="G777" s="13"/>
      <c r="H777" s="13"/>
      <c r="I777" s="13"/>
      <c r="J777" s="13"/>
      <c r="K777" s="13"/>
      <c r="L777" s="13"/>
      <c r="M777" s="13"/>
      <c r="N777" s="13"/>
      <c r="O777" s="13"/>
      <c r="P777" s="13"/>
      <c r="Q777" s="13"/>
      <c r="R777" s="300"/>
      <c r="S777" s="13"/>
      <c r="T777" s="13"/>
      <c r="U777" s="300"/>
      <c r="V777" s="13"/>
      <c r="W777" s="13"/>
      <c r="X777" s="300"/>
      <c r="Y777" s="13"/>
      <c r="Z777" s="13"/>
      <c r="AA777" s="300"/>
      <c r="AB777" s="13"/>
      <c r="AC777" s="13"/>
      <c r="AD777" s="300"/>
      <c r="AE777" s="13"/>
      <c r="AF777" s="13"/>
      <c r="AG777" s="300"/>
      <c r="AH777" s="13"/>
      <c r="AI777" s="13"/>
      <c r="AJ777" s="300"/>
      <c r="AK777" s="13"/>
      <c r="AL777" s="301"/>
      <c r="AM777" s="300"/>
      <c r="AN777" s="13"/>
      <c r="AO777" s="301"/>
      <c r="AP777" s="300"/>
    </row>
    <row r="778">
      <c r="A778" s="13"/>
      <c r="B778" s="13"/>
      <c r="C778" s="13"/>
      <c r="D778" s="13"/>
      <c r="E778" s="13"/>
      <c r="F778" s="13"/>
      <c r="G778" s="13"/>
      <c r="H778" s="13"/>
      <c r="I778" s="13"/>
      <c r="J778" s="13"/>
      <c r="K778" s="13"/>
      <c r="L778" s="13"/>
      <c r="M778" s="13"/>
      <c r="N778" s="13"/>
      <c r="O778" s="13"/>
      <c r="P778" s="13"/>
      <c r="Q778" s="13"/>
      <c r="R778" s="300"/>
      <c r="S778" s="13"/>
      <c r="T778" s="13"/>
      <c r="U778" s="300"/>
      <c r="V778" s="13"/>
      <c r="W778" s="13"/>
      <c r="X778" s="300"/>
      <c r="Y778" s="13"/>
      <c r="Z778" s="13"/>
      <c r="AA778" s="300"/>
      <c r="AB778" s="13"/>
      <c r="AC778" s="13"/>
      <c r="AD778" s="300"/>
      <c r="AE778" s="13"/>
      <c r="AF778" s="13"/>
      <c r="AG778" s="300"/>
      <c r="AH778" s="13"/>
      <c r="AI778" s="13"/>
      <c r="AJ778" s="300"/>
      <c r="AK778" s="13"/>
      <c r="AL778" s="301"/>
      <c r="AM778" s="300"/>
      <c r="AN778" s="13"/>
      <c r="AO778" s="301"/>
      <c r="AP778" s="300"/>
    </row>
    <row r="779">
      <c r="A779" s="13"/>
      <c r="B779" s="13"/>
      <c r="C779" s="13"/>
      <c r="D779" s="13"/>
      <c r="E779" s="13"/>
      <c r="F779" s="13"/>
      <c r="G779" s="13"/>
      <c r="H779" s="13"/>
      <c r="I779" s="13"/>
      <c r="J779" s="13"/>
      <c r="K779" s="13"/>
      <c r="L779" s="13"/>
      <c r="M779" s="13"/>
      <c r="N779" s="13"/>
      <c r="O779" s="13"/>
      <c r="P779" s="13"/>
      <c r="Q779" s="13"/>
      <c r="R779" s="300"/>
      <c r="S779" s="13"/>
      <c r="T779" s="13"/>
      <c r="U779" s="300"/>
      <c r="V779" s="13"/>
      <c r="W779" s="13"/>
      <c r="X779" s="300"/>
      <c r="Y779" s="13"/>
      <c r="Z779" s="13"/>
      <c r="AA779" s="300"/>
      <c r="AB779" s="13"/>
      <c r="AC779" s="13"/>
      <c r="AD779" s="300"/>
      <c r="AE779" s="13"/>
      <c r="AF779" s="13"/>
      <c r="AG779" s="300"/>
      <c r="AH779" s="13"/>
      <c r="AI779" s="13"/>
      <c r="AJ779" s="300"/>
      <c r="AK779" s="13"/>
      <c r="AL779" s="301"/>
      <c r="AM779" s="300"/>
      <c r="AN779" s="13"/>
      <c r="AO779" s="301"/>
      <c r="AP779" s="300"/>
    </row>
    <row r="780">
      <c r="A780" s="13"/>
      <c r="B780" s="13"/>
      <c r="C780" s="13"/>
      <c r="D780" s="13"/>
      <c r="E780" s="13"/>
      <c r="F780" s="13"/>
      <c r="G780" s="13"/>
      <c r="H780" s="13"/>
      <c r="I780" s="13"/>
      <c r="J780" s="13"/>
      <c r="K780" s="13"/>
      <c r="L780" s="13"/>
      <c r="M780" s="13"/>
      <c r="N780" s="13"/>
      <c r="O780" s="13"/>
      <c r="P780" s="13"/>
      <c r="Q780" s="13"/>
      <c r="R780" s="300"/>
      <c r="S780" s="13"/>
      <c r="T780" s="13"/>
      <c r="U780" s="300"/>
      <c r="V780" s="13"/>
      <c r="W780" s="13"/>
      <c r="X780" s="300"/>
      <c r="Y780" s="13"/>
      <c r="Z780" s="13"/>
      <c r="AA780" s="300"/>
      <c r="AB780" s="13"/>
      <c r="AC780" s="13"/>
      <c r="AD780" s="300"/>
      <c r="AE780" s="13"/>
      <c r="AF780" s="13"/>
      <c r="AG780" s="300"/>
      <c r="AH780" s="13"/>
      <c r="AI780" s="13"/>
      <c r="AJ780" s="300"/>
      <c r="AK780" s="13"/>
      <c r="AL780" s="301"/>
      <c r="AM780" s="300"/>
      <c r="AN780" s="13"/>
      <c r="AO780" s="301"/>
      <c r="AP780" s="300"/>
    </row>
    <row r="781">
      <c r="A781" s="13"/>
      <c r="B781" s="13"/>
      <c r="C781" s="13"/>
      <c r="D781" s="13"/>
      <c r="E781" s="13"/>
      <c r="F781" s="13"/>
      <c r="G781" s="13"/>
      <c r="H781" s="13"/>
      <c r="I781" s="13"/>
      <c r="J781" s="13"/>
      <c r="K781" s="13"/>
      <c r="L781" s="13"/>
      <c r="M781" s="13"/>
      <c r="N781" s="13"/>
      <c r="O781" s="13"/>
      <c r="P781" s="13"/>
      <c r="Q781" s="13"/>
      <c r="R781" s="300"/>
      <c r="S781" s="13"/>
      <c r="T781" s="13"/>
      <c r="U781" s="300"/>
      <c r="V781" s="13"/>
      <c r="W781" s="13"/>
      <c r="X781" s="300"/>
      <c r="Y781" s="13"/>
      <c r="Z781" s="13"/>
      <c r="AA781" s="300"/>
      <c r="AB781" s="13"/>
      <c r="AC781" s="13"/>
      <c r="AD781" s="300"/>
      <c r="AE781" s="13"/>
      <c r="AF781" s="13"/>
      <c r="AG781" s="300"/>
      <c r="AH781" s="13"/>
      <c r="AI781" s="13"/>
      <c r="AJ781" s="300"/>
      <c r="AK781" s="13"/>
      <c r="AL781" s="301"/>
      <c r="AM781" s="300"/>
      <c r="AN781" s="13"/>
      <c r="AO781" s="301"/>
      <c r="AP781" s="300"/>
    </row>
    <row r="782">
      <c r="A782" s="13"/>
      <c r="B782" s="13"/>
      <c r="C782" s="13"/>
      <c r="D782" s="13"/>
      <c r="E782" s="13"/>
      <c r="F782" s="13"/>
      <c r="G782" s="13"/>
      <c r="H782" s="13"/>
      <c r="I782" s="13"/>
      <c r="J782" s="13"/>
      <c r="K782" s="13"/>
      <c r="L782" s="13"/>
      <c r="M782" s="13"/>
      <c r="N782" s="13"/>
      <c r="O782" s="13"/>
      <c r="P782" s="13"/>
      <c r="Q782" s="13"/>
      <c r="R782" s="300"/>
      <c r="S782" s="13"/>
      <c r="T782" s="13"/>
      <c r="U782" s="300"/>
      <c r="V782" s="13"/>
      <c r="W782" s="13"/>
      <c r="X782" s="300"/>
      <c r="Y782" s="13"/>
      <c r="Z782" s="13"/>
      <c r="AA782" s="300"/>
      <c r="AB782" s="13"/>
      <c r="AC782" s="13"/>
      <c r="AD782" s="300"/>
      <c r="AE782" s="13"/>
      <c r="AF782" s="13"/>
      <c r="AG782" s="300"/>
      <c r="AH782" s="13"/>
      <c r="AI782" s="13"/>
      <c r="AJ782" s="300"/>
      <c r="AK782" s="13"/>
      <c r="AL782" s="301"/>
      <c r="AM782" s="300"/>
      <c r="AN782" s="13"/>
      <c r="AO782" s="301"/>
      <c r="AP782" s="300"/>
    </row>
    <row r="783">
      <c r="A783" s="13"/>
      <c r="B783" s="13"/>
      <c r="C783" s="13"/>
      <c r="D783" s="13"/>
      <c r="E783" s="13"/>
      <c r="F783" s="13"/>
      <c r="G783" s="13"/>
      <c r="H783" s="13"/>
      <c r="I783" s="13"/>
      <c r="J783" s="13"/>
      <c r="K783" s="13"/>
      <c r="L783" s="13"/>
      <c r="M783" s="13"/>
      <c r="N783" s="13"/>
      <c r="O783" s="13"/>
      <c r="P783" s="13"/>
      <c r="Q783" s="13"/>
      <c r="R783" s="300"/>
      <c r="S783" s="13"/>
      <c r="T783" s="13"/>
      <c r="U783" s="300"/>
      <c r="V783" s="13"/>
      <c r="W783" s="13"/>
      <c r="X783" s="300"/>
      <c r="Y783" s="13"/>
      <c r="Z783" s="13"/>
      <c r="AA783" s="300"/>
      <c r="AB783" s="13"/>
      <c r="AC783" s="13"/>
      <c r="AD783" s="300"/>
      <c r="AE783" s="13"/>
      <c r="AF783" s="13"/>
      <c r="AG783" s="300"/>
      <c r="AH783" s="13"/>
      <c r="AI783" s="13"/>
      <c r="AJ783" s="300"/>
      <c r="AK783" s="13"/>
      <c r="AL783" s="301"/>
      <c r="AM783" s="300"/>
      <c r="AN783" s="13"/>
      <c r="AO783" s="301"/>
      <c r="AP783" s="300"/>
    </row>
    <row r="784">
      <c r="A784" s="13"/>
      <c r="B784" s="13"/>
      <c r="C784" s="13"/>
      <c r="D784" s="13"/>
      <c r="E784" s="13"/>
      <c r="F784" s="13"/>
      <c r="G784" s="13"/>
      <c r="H784" s="13"/>
      <c r="I784" s="13"/>
      <c r="J784" s="13"/>
      <c r="K784" s="13"/>
      <c r="L784" s="13"/>
      <c r="M784" s="13"/>
      <c r="N784" s="13"/>
      <c r="O784" s="13"/>
      <c r="P784" s="13"/>
      <c r="Q784" s="13"/>
      <c r="R784" s="300"/>
      <c r="S784" s="13"/>
      <c r="T784" s="13"/>
      <c r="U784" s="300"/>
      <c r="V784" s="13"/>
      <c r="W784" s="13"/>
      <c r="X784" s="300"/>
      <c r="Y784" s="13"/>
      <c r="Z784" s="13"/>
      <c r="AA784" s="300"/>
      <c r="AB784" s="13"/>
      <c r="AC784" s="13"/>
      <c r="AD784" s="300"/>
      <c r="AE784" s="13"/>
      <c r="AF784" s="13"/>
      <c r="AG784" s="300"/>
      <c r="AH784" s="13"/>
      <c r="AI784" s="13"/>
      <c r="AJ784" s="300"/>
      <c r="AK784" s="13"/>
      <c r="AL784" s="301"/>
      <c r="AM784" s="300"/>
      <c r="AN784" s="13"/>
      <c r="AO784" s="301"/>
      <c r="AP784" s="300"/>
    </row>
    <row r="785">
      <c r="A785" s="13"/>
      <c r="B785" s="13"/>
      <c r="C785" s="13"/>
      <c r="D785" s="13"/>
      <c r="E785" s="13"/>
      <c r="F785" s="13"/>
      <c r="G785" s="13"/>
      <c r="H785" s="13"/>
      <c r="I785" s="13"/>
      <c r="J785" s="13"/>
      <c r="K785" s="13"/>
      <c r="L785" s="13"/>
      <c r="M785" s="13"/>
      <c r="N785" s="13"/>
      <c r="O785" s="13"/>
      <c r="P785" s="13"/>
      <c r="Q785" s="13"/>
      <c r="R785" s="300"/>
      <c r="S785" s="13"/>
      <c r="T785" s="13"/>
      <c r="U785" s="300"/>
      <c r="V785" s="13"/>
      <c r="W785" s="13"/>
      <c r="X785" s="300"/>
      <c r="Y785" s="13"/>
      <c r="Z785" s="13"/>
      <c r="AA785" s="300"/>
      <c r="AB785" s="13"/>
      <c r="AC785" s="13"/>
      <c r="AD785" s="300"/>
      <c r="AE785" s="13"/>
      <c r="AF785" s="13"/>
      <c r="AG785" s="300"/>
      <c r="AH785" s="13"/>
      <c r="AI785" s="13"/>
      <c r="AJ785" s="300"/>
      <c r="AK785" s="13"/>
      <c r="AL785" s="301"/>
      <c r="AM785" s="300"/>
      <c r="AN785" s="13"/>
      <c r="AO785" s="301"/>
      <c r="AP785" s="300"/>
    </row>
    <row r="786">
      <c r="A786" s="13"/>
      <c r="B786" s="13"/>
      <c r="C786" s="13"/>
      <c r="D786" s="13"/>
      <c r="E786" s="13"/>
      <c r="F786" s="13"/>
      <c r="G786" s="13"/>
      <c r="H786" s="13"/>
      <c r="I786" s="13"/>
      <c r="J786" s="13"/>
      <c r="K786" s="13"/>
      <c r="L786" s="13"/>
      <c r="M786" s="13"/>
      <c r="N786" s="13"/>
      <c r="O786" s="13"/>
      <c r="P786" s="13"/>
      <c r="Q786" s="13"/>
      <c r="R786" s="300"/>
      <c r="S786" s="13"/>
      <c r="T786" s="13"/>
      <c r="U786" s="300"/>
      <c r="V786" s="13"/>
      <c r="W786" s="13"/>
      <c r="X786" s="300"/>
      <c r="Y786" s="13"/>
      <c r="Z786" s="13"/>
      <c r="AA786" s="300"/>
      <c r="AB786" s="13"/>
      <c r="AC786" s="13"/>
      <c r="AD786" s="300"/>
      <c r="AE786" s="13"/>
      <c r="AF786" s="13"/>
      <c r="AG786" s="300"/>
      <c r="AH786" s="13"/>
      <c r="AI786" s="13"/>
      <c r="AJ786" s="300"/>
      <c r="AK786" s="13"/>
      <c r="AL786" s="301"/>
      <c r="AM786" s="300"/>
      <c r="AN786" s="13"/>
      <c r="AO786" s="301"/>
      <c r="AP786" s="300"/>
    </row>
    <row r="787">
      <c r="A787" s="13"/>
      <c r="B787" s="13"/>
      <c r="C787" s="13"/>
      <c r="D787" s="13"/>
      <c r="E787" s="13"/>
      <c r="F787" s="13"/>
      <c r="G787" s="13"/>
      <c r="H787" s="13"/>
      <c r="I787" s="13"/>
      <c r="J787" s="13"/>
      <c r="K787" s="13"/>
      <c r="L787" s="13"/>
      <c r="M787" s="13"/>
      <c r="N787" s="13"/>
      <c r="O787" s="13"/>
      <c r="P787" s="13"/>
      <c r="Q787" s="13"/>
      <c r="R787" s="300"/>
      <c r="S787" s="13"/>
      <c r="T787" s="13"/>
      <c r="U787" s="300"/>
      <c r="V787" s="13"/>
      <c r="W787" s="13"/>
      <c r="X787" s="300"/>
      <c r="Y787" s="13"/>
      <c r="Z787" s="13"/>
      <c r="AA787" s="300"/>
      <c r="AB787" s="13"/>
      <c r="AC787" s="13"/>
      <c r="AD787" s="300"/>
      <c r="AE787" s="13"/>
      <c r="AF787" s="13"/>
      <c r="AG787" s="300"/>
      <c r="AH787" s="13"/>
      <c r="AI787" s="13"/>
      <c r="AJ787" s="300"/>
      <c r="AK787" s="13"/>
      <c r="AL787" s="301"/>
      <c r="AM787" s="300"/>
      <c r="AN787" s="13"/>
      <c r="AO787" s="301"/>
      <c r="AP787" s="300"/>
    </row>
    <row r="788">
      <c r="A788" s="13"/>
      <c r="B788" s="13"/>
      <c r="C788" s="13"/>
      <c r="D788" s="13"/>
      <c r="E788" s="13"/>
      <c r="F788" s="13"/>
      <c r="G788" s="13"/>
      <c r="H788" s="13"/>
      <c r="I788" s="13"/>
      <c r="J788" s="13"/>
      <c r="K788" s="13"/>
      <c r="L788" s="13"/>
      <c r="M788" s="13"/>
      <c r="N788" s="13"/>
      <c r="O788" s="13"/>
      <c r="P788" s="13"/>
      <c r="Q788" s="13"/>
      <c r="R788" s="300"/>
      <c r="S788" s="13"/>
      <c r="T788" s="13"/>
      <c r="U788" s="300"/>
      <c r="V788" s="13"/>
      <c r="W788" s="13"/>
      <c r="X788" s="300"/>
      <c r="Y788" s="13"/>
      <c r="Z788" s="13"/>
      <c r="AA788" s="300"/>
      <c r="AB788" s="13"/>
      <c r="AC788" s="13"/>
      <c r="AD788" s="300"/>
      <c r="AE788" s="13"/>
      <c r="AF788" s="13"/>
      <c r="AG788" s="300"/>
      <c r="AH788" s="13"/>
      <c r="AI788" s="13"/>
      <c r="AJ788" s="300"/>
      <c r="AK788" s="13"/>
      <c r="AL788" s="301"/>
      <c r="AM788" s="300"/>
      <c r="AN788" s="13"/>
      <c r="AO788" s="301"/>
      <c r="AP788" s="300"/>
    </row>
    <row r="789">
      <c r="A789" s="13"/>
      <c r="B789" s="13"/>
      <c r="C789" s="13"/>
      <c r="D789" s="13"/>
      <c r="E789" s="13"/>
      <c r="F789" s="13"/>
      <c r="G789" s="13"/>
      <c r="H789" s="13"/>
      <c r="I789" s="13"/>
      <c r="J789" s="13"/>
      <c r="K789" s="13"/>
      <c r="L789" s="13"/>
      <c r="M789" s="13"/>
      <c r="N789" s="13"/>
      <c r="O789" s="13"/>
      <c r="P789" s="13"/>
      <c r="Q789" s="13"/>
      <c r="R789" s="300"/>
      <c r="S789" s="13"/>
      <c r="T789" s="13"/>
      <c r="U789" s="300"/>
      <c r="V789" s="13"/>
      <c r="W789" s="13"/>
      <c r="X789" s="300"/>
      <c r="Y789" s="13"/>
      <c r="Z789" s="13"/>
      <c r="AA789" s="300"/>
      <c r="AB789" s="13"/>
      <c r="AC789" s="13"/>
      <c r="AD789" s="300"/>
      <c r="AE789" s="13"/>
      <c r="AF789" s="13"/>
      <c r="AG789" s="300"/>
      <c r="AH789" s="13"/>
      <c r="AI789" s="13"/>
      <c r="AJ789" s="300"/>
      <c r="AK789" s="13"/>
      <c r="AL789" s="301"/>
      <c r="AM789" s="300"/>
      <c r="AN789" s="13"/>
      <c r="AO789" s="301"/>
      <c r="AP789" s="300"/>
    </row>
    <row r="790">
      <c r="A790" s="13"/>
      <c r="B790" s="13"/>
      <c r="C790" s="13"/>
      <c r="D790" s="13"/>
      <c r="E790" s="13"/>
      <c r="F790" s="13"/>
      <c r="G790" s="13"/>
      <c r="H790" s="13"/>
      <c r="I790" s="13"/>
      <c r="J790" s="13"/>
      <c r="K790" s="13"/>
      <c r="L790" s="13"/>
      <c r="M790" s="13"/>
      <c r="N790" s="13"/>
      <c r="O790" s="13"/>
      <c r="P790" s="13"/>
      <c r="Q790" s="13"/>
      <c r="R790" s="300"/>
      <c r="S790" s="13"/>
      <c r="T790" s="13"/>
      <c r="U790" s="300"/>
      <c r="V790" s="13"/>
      <c r="W790" s="13"/>
      <c r="X790" s="300"/>
      <c r="Y790" s="13"/>
      <c r="Z790" s="13"/>
      <c r="AA790" s="300"/>
      <c r="AB790" s="13"/>
      <c r="AC790" s="13"/>
      <c r="AD790" s="300"/>
      <c r="AE790" s="13"/>
      <c r="AF790" s="13"/>
      <c r="AG790" s="300"/>
      <c r="AH790" s="13"/>
      <c r="AI790" s="13"/>
      <c r="AJ790" s="300"/>
      <c r="AK790" s="13"/>
      <c r="AL790" s="301"/>
      <c r="AM790" s="300"/>
      <c r="AN790" s="13"/>
      <c r="AO790" s="301"/>
      <c r="AP790" s="300"/>
    </row>
    <row r="791">
      <c r="A791" s="13"/>
      <c r="B791" s="13"/>
      <c r="C791" s="13"/>
      <c r="D791" s="13"/>
      <c r="E791" s="13"/>
      <c r="F791" s="13"/>
      <c r="G791" s="13"/>
      <c r="H791" s="13"/>
      <c r="I791" s="13"/>
      <c r="J791" s="13"/>
      <c r="K791" s="13"/>
      <c r="L791" s="13"/>
      <c r="M791" s="13"/>
      <c r="N791" s="13"/>
      <c r="O791" s="13"/>
      <c r="P791" s="13"/>
      <c r="Q791" s="13"/>
      <c r="R791" s="300"/>
      <c r="S791" s="13"/>
      <c r="T791" s="13"/>
      <c r="U791" s="300"/>
      <c r="V791" s="13"/>
      <c r="W791" s="13"/>
      <c r="X791" s="300"/>
      <c r="Y791" s="13"/>
      <c r="Z791" s="13"/>
      <c r="AA791" s="300"/>
      <c r="AB791" s="13"/>
      <c r="AC791" s="13"/>
      <c r="AD791" s="300"/>
      <c r="AE791" s="13"/>
      <c r="AF791" s="13"/>
      <c r="AG791" s="300"/>
      <c r="AH791" s="13"/>
      <c r="AI791" s="13"/>
      <c r="AJ791" s="300"/>
      <c r="AK791" s="13"/>
      <c r="AL791" s="301"/>
      <c r="AM791" s="300"/>
      <c r="AN791" s="13"/>
      <c r="AO791" s="301"/>
      <c r="AP791" s="300"/>
    </row>
    <row r="792">
      <c r="A792" s="13"/>
      <c r="B792" s="13"/>
      <c r="C792" s="13"/>
      <c r="D792" s="13"/>
      <c r="E792" s="13"/>
      <c r="F792" s="13"/>
      <c r="G792" s="13"/>
      <c r="H792" s="13"/>
      <c r="I792" s="13"/>
      <c r="J792" s="13"/>
      <c r="K792" s="13"/>
      <c r="L792" s="13"/>
      <c r="M792" s="13"/>
      <c r="N792" s="13"/>
      <c r="O792" s="13"/>
      <c r="P792" s="13"/>
      <c r="Q792" s="13"/>
      <c r="R792" s="300"/>
      <c r="S792" s="13"/>
      <c r="T792" s="13"/>
      <c r="U792" s="300"/>
      <c r="V792" s="13"/>
      <c r="W792" s="13"/>
      <c r="X792" s="300"/>
      <c r="Y792" s="13"/>
      <c r="Z792" s="13"/>
      <c r="AA792" s="300"/>
      <c r="AB792" s="13"/>
      <c r="AC792" s="13"/>
      <c r="AD792" s="300"/>
      <c r="AE792" s="13"/>
      <c r="AF792" s="13"/>
      <c r="AG792" s="300"/>
      <c r="AH792" s="13"/>
      <c r="AI792" s="13"/>
      <c r="AJ792" s="300"/>
      <c r="AK792" s="13"/>
      <c r="AL792" s="301"/>
      <c r="AM792" s="300"/>
      <c r="AN792" s="13"/>
      <c r="AO792" s="301"/>
      <c r="AP792" s="300"/>
    </row>
    <row r="793">
      <c r="A793" s="13"/>
      <c r="B793" s="13"/>
      <c r="C793" s="13"/>
      <c r="D793" s="13"/>
      <c r="E793" s="13"/>
      <c r="F793" s="13"/>
      <c r="G793" s="13"/>
      <c r="H793" s="13"/>
      <c r="I793" s="13"/>
      <c r="J793" s="13"/>
      <c r="K793" s="13"/>
      <c r="L793" s="13"/>
      <c r="M793" s="13"/>
      <c r="N793" s="13"/>
      <c r="O793" s="13"/>
      <c r="P793" s="13"/>
      <c r="Q793" s="13"/>
      <c r="R793" s="300"/>
      <c r="S793" s="13"/>
      <c r="T793" s="13"/>
      <c r="U793" s="300"/>
      <c r="V793" s="13"/>
      <c r="W793" s="13"/>
      <c r="X793" s="300"/>
      <c r="Y793" s="13"/>
      <c r="Z793" s="13"/>
      <c r="AA793" s="300"/>
      <c r="AB793" s="13"/>
      <c r="AC793" s="13"/>
      <c r="AD793" s="300"/>
      <c r="AE793" s="13"/>
      <c r="AF793" s="13"/>
      <c r="AG793" s="300"/>
      <c r="AH793" s="13"/>
      <c r="AI793" s="13"/>
      <c r="AJ793" s="300"/>
      <c r="AK793" s="13"/>
      <c r="AL793" s="301"/>
      <c r="AM793" s="300"/>
      <c r="AN793" s="13"/>
      <c r="AO793" s="301"/>
      <c r="AP793" s="300"/>
    </row>
    <row r="794">
      <c r="A794" s="13"/>
      <c r="B794" s="13"/>
      <c r="C794" s="13"/>
      <c r="D794" s="13"/>
      <c r="E794" s="13"/>
      <c r="F794" s="13"/>
      <c r="G794" s="13"/>
      <c r="H794" s="13"/>
      <c r="I794" s="13"/>
      <c r="J794" s="13"/>
      <c r="K794" s="13"/>
      <c r="L794" s="13"/>
      <c r="M794" s="13"/>
      <c r="N794" s="13"/>
      <c r="O794" s="13"/>
      <c r="P794" s="13"/>
      <c r="Q794" s="13"/>
      <c r="R794" s="300"/>
      <c r="S794" s="13"/>
      <c r="T794" s="13"/>
      <c r="U794" s="300"/>
      <c r="V794" s="13"/>
      <c r="W794" s="13"/>
      <c r="X794" s="300"/>
      <c r="Y794" s="13"/>
      <c r="Z794" s="13"/>
      <c r="AA794" s="300"/>
      <c r="AB794" s="13"/>
      <c r="AC794" s="13"/>
      <c r="AD794" s="300"/>
      <c r="AE794" s="13"/>
      <c r="AF794" s="13"/>
      <c r="AG794" s="300"/>
      <c r="AH794" s="13"/>
      <c r="AI794" s="13"/>
      <c r="AJ794" s="300"/>
      <c r="AK794" s="13"/>
      <c r="AL794" s="301"/>
      <c r="AM794" s="300"/>
      <c r="AN794" s="13"/>
      <c r="AO794" s="301"/>
      <c r="AP794" s="300"/>
    </row>
    <row r="795">
      <c r="A795" s="13"/>
      <c r="B795" s="13"/>
      <c r="C795" s="13"/>
      <c r="D795" s="13"/>
      <c r="E795" s="13"/>
      <c r="F795" s="13"/>
      <c r="G795" s="13"/>
      <c r="H795" s="13"/>
      <c r="I795" s="13"/>
      <c r="J795" s="13"/>
      <c r="K795" s="13"/>
      <c r="L795" s="13"/>
      <c r="M795" s="13"/>
      <c r="N795" s="13"/>
      <c r="O795" s="13"/>
      <c r="P795" s="13"/>
      <c r="Q795" s="13"/>
      <c r="R795" s="300"/>
      <c r="S795" s="13"/>
      <c r="T795" s="13"/>
      <c r="U795" s="300"/>
      <c r="V795" s="13"/>
      <c r="W795" s="13"/>
      <c r="X795" s="300"/>
      <c r="Y795" s="13"/>
      <c r="Z795" s="13"/>
      <c r="AA795" s="300"/>
      <c r="AB795" s="13"/>
      <c r="AC795" s="13"/>
      <c r="AD795" s="300"/>
      <c r="AE795" s="13"/>
      <c r="AF795" s="13"/>
      <c r="AG795" s="300"/>
      <c r="AH795" s="13"/>
      <c r="AI795" s="13"/>
      <c r="AJ795" s="300"/>
      <c r="AK795" s="13"/>
      <c r="AL795" s="301"/>
      <c r="AM795" s="300"/>
      <c r="AN795" s="13"/>
      <c r="AO795" s="301"/>
      <c r="AP795" s="300"/>
    </row>
    <row r="796">
      <c r="A796" s="13"/>
      <c r="B796" s="13"/>
      <c r="C796" s="13"/>
      <c r="D796" s="13"/>
      <c r="E796" s="13"/>
      <c r="F796" s="13"/>
      <c r="G796" s="13"/>
      <c r="H796" s="13"/>
      <c r="I796" s="13"/>
      <c r="J796" s="13"/>
      <c r="K796" s="13"/>
      <c r="L796" s="13"/>
      <c r="M796" s="13"/>
      <c r="N796" s="13"/>
      <c r="O796" s="13"/>
      <c r="P796" s="13"/>
      <c r="Q796" s="13"/>
      <c r="R796" s="300"/>
      <c r="S796" s="13"/>
      <c r="T796" s="13"/>
      <c r="U796" s="300"/>
      <c r="V796" s="13"/>
      <c r="W796" s="13"/>
      <c r="X796" s="300"/>
      <c r="Y796" s="13"/>
      <c r="Z796" s="13"/>
      <c r="AA796" s="300"/>
      <c r="AB796" s="13"/>
      <c r="AC796" s="13"/>
      <c r="AD796" s="300"/>
      <c r="AE796" s="13"/>
      <c r="AF796" s="13"/>
      <c r="AG796" s="300"/>
      <c r="AH796" s="13"/>
      <c r="AI796" s="13"/>
      <c r="AJ796" s="300"/>
      <c r="AK796" s="13"/>
      <c r="AL796" s="301"/>
      <c r="AM796" s="300"/>
      <c r="AN796" s="13"/>
      <c r="AO796" s="301"/>
      <c r="AP796" s="300"/>
    </row>
    <row r="797">
      <c r="A797" s="13"/>
      <c r="B797" s="13"/>
      <c r="C797" s="13"/>
      <c r="D797" s="13"/>
      <c r="E797" s="13"/>
      <c r="F797" s="13"/>
      <c r="G797" s="13"/>
      <c r="H797" s="13"/>
      <c r="I797" s="13"/>
      <c r="J797" s="13"/>
      <c r="K797" s="13"/>
      <c r="L797" s="13"/>
      <c r="M797" s="13"/>
      <c r="N797" s="13"/>
      <c r="O797" s="13"/>
      <c r="P797" s="13"/>
      <c r="Q797" s="13"/>
      <c r="R797" s="300"/>
      <c r="S797" s="13"/>
      <c r="T797" s="13"/>
      <c r="U797" s="300"/>
      <c r="V797" s="13"/>
      <c r="W797" s="13"/>
      <c r="X797" s="300"/>
      <c r="Y797" s="13"/>
      <c r="Z797" s="13"/>
      <c r="AA797" s="300"/>
      <c r="AB797" s="13"/>
      <c r="AC797" s="13"/>
      <c r="AD797" s="300"/>
      <c r="AE797" s="13"/>
      <c r="AF797" s="13"/>
      <c r="AG797" s="300"/>
      <c r="AH797" s="13"/>
      <c r="AI797" s="13"/>
      <c r="AJ797" s="300"/>
      <c r="AK797" s="13"/>
      <c r="AL797" s="301"/>
      <c r="AM797" s="300"/>
      <c r="AN797" s="13"/>
      <c r="AO797" s="301"/>
      <c r="AP797" s="300"/>
    </row>
    <row r="798">
      <c r="A798" s="13"/>
      <c r="B798" s="13"/>
      <c r="C798" s="13"/>
      <c r="D798" s="13"/>
      <c r="E798" s="13"/>
      <c r="F798" s="13"/>
      <c r="G798" s="13"/>
      <c r="H798" s="13"/>
      <c r="I798" s="13"/>
      <c r="J798" s="13"/>
      <c r="K798" s="13"/>
      <c r="L798" s="13"/>
      <c r="M798" s="13"/>
      <c r="N798" s="13"/>
      <c r="O798" s="13"/>
      <c r="P798" s="13"/>
      <c r="Q798" s="13"/>
      <c r="R798" s="300"/>
      <c r="S798" s="13"/>
      <c r="T798" s="13"/>
      <c r="U798" s="300"/>
      <c r="V798" s="13"/>
      <c r="W798" s="13"/>
      <c r="X798" s="300"/>
      <c r="Y798" s="13"/>
      <c r="Z798" s="13"/>
      <c r="AA798" s="300"/>
      <c r="AB798" s="13"/>
      <c r="AC798" s="13"/>
      <c r="AD798" s="300"/>
      <c r="AE798" s="13"/>
      <c r="AF798" s="13"/>
      <c r="AG798" s="300"/>
      <c r="AH798" s="13"/>
      <c r="AI798" s="13"/>
      <c r="AJ798" s="300"/>
      <c r="AK798" s="13"/>
      <c r="AL798" s="301"/>
      <c r="AM798" s="300"/>
      <c r="AN798" s="13"/>
      <c r="AO798" s="301"/>
      <c r="AP798" s="300"/>
    </row>
    <row r="799">
      <c r="A799" s="13"/>
      <c r="B799" s="13"/>
      <c r="C799" s="13"/>
      <c r="D799" s="13"/>
      <c r="E799" s="13"/>
      <c r="F799" s="13"/>
      <c r="G799" s="13"/>
      <c r="H799" s="13"/>
      <c r="I799" s="13"/>
      <c r="J799" s="13"/>
      <c r="K799" s="13"/>
      <c r="L799" s="13"/>
      <c r="M799" s="13"/>
      <c r="N799" s="13"/>
      <c r="O799" s="13"/>
      <c r="P799" s="13"/>
      <c r="Q799" s="13"/>
      <c r="R799" s="300"/>
      <c r="S799" s="13"/>
      <c r="T799" s="13"/>
      <c r="U799" s="300"/>
      <c r="V799" s="13"/>
      <c r="W799" s="13"/>
      <c r="X799" s="300"/>
      <c r="Y799" s="13"/>
      <c r="Z799" s="13"/>
      <c r="AA799" s="300"/>
      <c r="AB799" s="13"/>
      <c r="AC799" s="13"/>
      <c r="AD799" s="300"/>
      <c r="AE799" s="13"/>
      <c r="AF799" s="13"/>
      <c r="AG799" s="300"/>
      <c r="AH799" s="13"/>
      <c r="AI799" s="13"/>
      <c r="AJ799" s="300"/>
      <c r="AK799" s="13"/>
      <c r="AL799" s="301"/>
      <c r="AM799" s="300"/>
      <c r="AN799" s="13"/>
      <c r="AO799" s="301"/>
      <c r="AP799" s="300"/>
    </row>
    <row r="800">
      <c r="A800" s="13"/>
      <c r="B800" s="13"/>
      <c r="C800" s="13"/>
      <c r="D800" s="13"/>
      <c r="E800" s="13"/>
      <c r="F800" s="13"/>
      <c r="G800" s="13"/>
      <c r="H800" s="13"/>
      <c r="I800" s="13"/>
      <c r="J800" s="13"/>
      <c r="K800" s="13"/>
      <c r="L800" s="13"/>
      <c r="M800" s="13"/>
      <c r="N800" s="13"/>
      <c r="O800" s="13"/>
      <c r="P800" s="13"/>
      <c r="Q800" s="13"/>
      <c r="R800" s="300"/>
      <c r="S800" s="13"/>
      <c r="T800" s="13"/>
      <c r="U800" s="300"/>
      <c r="V800" s="13"/>
      <c r="W800" s="13"/>
      <c r="X800" s="300"/>
      <c r="Y800" s="13"/>
      <c r="Z800" s="13"/>
      <c r="AA800" s="300"/>
      <c r="AB800" s="13"/>
      <c r="AC800" s="13"/>
      <c r="AD800" s="300"/>
      <c r="AE800" s="13"/>
      <c r="AF800" s="13"/>
      <c r="AG800" s="300"/>
      <c r="AH800" s="13"/>
      <c r="AI800" s="13"/>
      <c r="AJ800" s="300"/>
      <c r="AK800" s="13"/>
      <c r="AL800" s="301"/>
      <c r="AM800" s="300"/>
      <c r="AN800" s="13"/>
      <c r="AO800" s="301"/>
      <c r="AP800" s="300"/>
    </row>
    <row r="801">
      <c r="A801" s="13"/>
      <c r="B801" s="13"/>
      <c r="C801" s="13"/>
      <c r="D801" s="13"/>
      <c r="E801" s="13"/>
      <c r="F801" s="13"/>
      <c r="G801" s="13"/>
      <c r="H801" s="13"/>
      <c r="I801" s="13"/>
      <c r="J801" s="13"/>
      <c r="K801" s="13"/>
      <c r="L801" s="13"/>
      <c r="M801" s="13"/>
      <c r="N801" s="13"/>
      <c r="O801" s="13"/>
      <c r="P801" s="13"/>
      <c r="Q801" s="13"/>
      <c r="R801" s="300"/>
      <c r="S801" s="13"/>
      <c r="T801" s="13"/>
      <c r="U801" s="300"/>
      <c r="V801" s="13"/>
      <c r="W801" s="13"/>
      <c r="X801" s="300"/>
      <c r="Y801" s="13"/>
      <c r="Z801" s="13"/>
      <c r="AA801" s="300"/>
      <c r="AB801" s="13"/>
      <c r="AC801" s="13"/>
      <c r="AD801" s="300"/>
      <c r="AE801" s="13"/>
      <c r="AF801" s="13"/>
      <c r="AG801" s="300"/>
      <c r="AH801" s="13"/>
      <c r="AI801" s="13"/>
      <c r="AJ801" s="300"/>
      <c r="AK801" s="13"/>
      <c r="AL801" s="301"/>
      <c r="AM801" s="300"/>
      <c r="AN801" s="13"/>
      <c r="AO801" s="301"/>
      <c r="AP801" s="300"/>
    </row>
    <row r="802">
      <c r="A802" s="13"/>
      <c r="B802" s="13"/>
      <c r="C802" s="13"/>
      <c r="D802" s="13"/>
      <c r="E802" s="13"/>
      <c r="F802" s="13"/>
      <c r="G802" s="13"/>
      <c r="H802" s="13"/>
      <c r="I802" s="13"/>
      <c r="J802" s="13"/>
      <c r="K802" s="13"/>
      <c r="L802" s="13"/>
      <c r="M802" s="13"/>
      <c r="N802" s="13"/>
      <c r="O802" s="13"/>
      <c r="P802" s="13"/>
      <c r="Q802" s="13"/>
      <c r="R802" s="300"/>
      <c r="S802" s="13"/>
      <c r="T802" s="13"/>
      <c r="U802" s="300"/>
      <c r="V802" s="13"/>
      <c r="W802" s="13"/>
      <c r="X802" s="300"/>
      <c r="Y802" s="13"/>
      <c r="Z802" s="13"/>
      <c r="AA802" s="300"/>
      <c r="AB802" s="13"/>
      <c r="AC802" s="13"/>
      <c r="AD802" s="300"/>
      <c r="AE802" s="13"/>
      <c r="AF802" s="13"/>
      <c r="AG802" s="300"/>
      <c r="AH802" s="13"/>
      <c r="AI802" s="13"/>
      <c r="AJ802" s="300"/>
      <c r="AK802" s="13"/>
      <c r="AL802" s="301"/>
      <c r="AM802" s="300"/>
      <c r="AN802" s="13"/>
      <c r="AO802" s="301"/>
      <c r="AP802" s="300"/>
    </row>
    <row r="803">
      <c r="A803" s="13"/>
      <c r="B803" s="13"/>
      <c r="C803" s="13"/>
      <c r="D803" s="13"/>
      <c r="E803" s="13"/>
      <c r="F803" s="13"/>
      <c r="G803" s="13"/>
      <c r="H803" s="13"/>
      <c r="I803" s="13"/>
      <c r="J803" s="13"/>
      <c r="K803" s="13"/>
      <c r="L803" s="13"/>
      <c r="M803" s="13"/>
      <c r="N803" s="13"/>
      <c r="O803" s="13"/>
      <c r="P803" s="13"/>
      <c r="Q803" s="13"/>
      <c r="R803" s="300"/>
      <c r="S803" s="13"/>
      <c r="T803" s="13"/>
      <c r="U803" s="300"/>
      <c r="V803" s="13"/>
      <c r="W803" s="13"/>
      <c r="X803" s="300"/>
      <c r="Y803" s="13"/>
      <c r="Z803" s="13"/>
      <c r="AA803" s="300"/>
      <c r="AB803" s="13"/>
      <c r="AC803" s="13"/>
      <c r="AD803" s="300"/>
      <c r="AE803" s="13"/>
      <c r="AF803" s="13"/>
      <c r="AG803" s="300"/>
      <c r="AH803" s="13"/>
      <c r="AI803" s="13"/>
      <c r="AJ803" s="300"/>
      <c r="AK803" s="13"/>
      <c r="AL803" s="301"/>
      <c r="AM803" s="300"/>
      <c r="AN803" s="13"/>
      <c r="AO803" s="301"/>
      <c r="AP803" s="300"/>
    </row>
    <row r="804">
      <c r="A804" s="13"/>
      <c r="B804" s="13"/>
      <c r="C804" s="13"/>
      <c r="D804" s="13"/>
      <c r="E804" s="13"/>
      <c r="F804" s="13"/>
      <c r="G804" s="13"/>
      <c r="H804" s="13"/>
      <c r="I804" s="13"/>
      <c r="J804" s="13"/>
      <c r="K804" s="13"/>
      <c r="L804" s="13"/>
      <c r="M804" s="13"/>
      <c r="N804" s="13"/>
      <c r="O804" s="13"/>
      <c r="P804" s="13"/>
      <c r="Q804" s="13"/>
      <c r="R804" s="300"/>
      <c r="S804" s="13"/>
      <c r="T804" s="13"/>
      <c r="U804" s="300"/>
      <c r="V804" s="13"/>
      <c r="W804" s="13"/>
      <c r="X804" s="300"/>
      <c r="Y804" s="13"/>
      <c r="Z804" s="13"/>
      <c r="AA804" s="300"/>
      <c r="AB804" s="13"/>
      <c r="AC804" s="13"/>
      <c r="AD804" s="300"/>
      <c r="AE804" s="13"/>
      <c r="AF804" s="13"/>
      <c r="AG804" s="300"/>
      <c r="AH804" s="13"/>
      <c r="AI804" s="13"/>
      <c r="AJ804" s="300"/>
      <c r="AK804" s="13"/>
      <c r="AL804" s="301"/>
      <c r="AM804" s="300"/>
      <c r="AN804" s="13"/>
      <c r="AO804" s="301"/>
      <c r="AP804" s="300"/>
    </row>
    <row r="805">
      <c r="A805" s="13"/>
      <c r="B805" s="13"/>
      <c r="C805" s="13"/>
      <c r="D805" s="13"/>
      <c r="E805" s="13"/>
      <c r="F805" s="13"/>
      <c r="G805" s="13"/>
      <c r="H805" s="13"/>
      <c r="I805" s="13"/>
      <c r="J805" s="13"/>
      <c r="K805" s="13"/>
      <c r="L805" s="13"/>
      <c r="M805" s="13"/>
      <c r="N805" s="13"/>
      <c r="O805" s="13"/>
      <c r="P805" s="13"/>
      <c r="Q805" s="13"/>
      <c r="R805" s="300"/>
      <c r="S805" s="13"/>
      <c r="T805" s="13"/>
      <c r="U805" s="300"/>
      <c r="V805" s="13"/>
      <c r="W805" s="13"/>
      <c r="X805" s="300"/>
      <c r="Y805" s="13"/>
      <c r="Z805" s="13"/>
      <c r="AA805" s="300"/>
      <c r="AB805" s="13"/>
      <c r="AC805" s="13"/>
      <c r="AD805" s="300"/>
      <c r="AE805" s="13"/>
      <c r="AF805" s="13"/>
      <c r="AG805" s="300"/>
      <c r="AH805" s="13"/>
      <c r="AI805" s="13"/>
      <c r="AJ805" s="300"/>
      <c r="AK805" s="13"/>
      <c r="AL805" s="301"/>
      <c r="AM805" s="300"/>
      <c r="AN805" s="13"/>
      <c r="AO805" s="301"/>
      <c r="AP805" s="300"/>
    </row>
    <row r="806">
      <c r="A806" s="13"/>
      <c r="B806" s="13"/>
      <c r="C806" s="13"/>
      <c r="D806" s="13"/>
      <c r="E806" s="13"/>
      <c r="F806" s="13"/>
      <c r="G806" s="13"/>
      <c r="H806" s="13"/>
      <c r="I806" s="13"/>
      <c r="J806" s="13"/>
      <c r="K806" s="13"/>
      <c r="L806" s="13"/>
      <c r="M806" s="13"/>
      <c r="N806" s="13"/>
      <c r="O806" s="13"/>
      <c r="P806" s="13"/>
      <c r="Q806" s="13"/>
      <c r="R806" s="300"/>
      <c r="S806" s="13"/>
      <c r="T806" s="13"/>
      <c r="U806" s="300"/>
      <c r="V806" s="13"/>
      <c r="W806" s="13"/>
      <c r="X806" s="300"/>
      <c r="Y806" s="13"/>
      <c r="Z806" s="13"/>
      <c r="AA806" s="300"/>
      <c r="AB806" s="13"/>
      <c r="AC806" s="13"/>
      <c r="AD806" s="300"/>
      <c r="AE806" s="13"/>
      <c r="AF806" s="13"/>
      <c r="AG806" s="300"/>
      <c r="AH806" s="13"/>
      <c r="AI806" s="13"/>
      <c r="AJ806" s="300"/>
      <c r="AK806" s="13"/>
      <c r="AL806" s="301"/>
      <c r="AM806" s="300"/>
      <c r="AN806" s="13"/>
      <c r="AO806" s="301"/>
      <c r="AP806" s="300"/>
    </row>
    <row r="807">
      <c r="A807" s="13"/>
      <c r="B807" s="13"/>
      <c r="C807" s="13"/>
      <c r="D807" s="13"/>
      <c r="E807" s="13"/>
      <c r="F807" s="13"/>
      <c r="G807" s="13"/>
      <c r="H807" s="13"/>
      <c r="I807" s="13"/>
      <c r="J807" s="13"/>
      <c r="K807" s="13"/>
      <c r="L807" s="13"/>
      <c r="M807" s="13"/>
      <c r="N807" s="13"/>
      <c r="O807" s="13"/>
      <c r="P807" s="13"/>
      <c r="Q807" s="13"/>
      <c r="R807" s="300"/>
      <c r="S807" s="13"/>
      <c r="T807" s="13"/>
      <c r="U807" s="300"/>
      <c r="V807" s="13"/>
      <c r="W807" s="13"/>
      <c r="X807" s="300"/>
      <c r="Y807" s="13"/>
      <c r="Z807" s="13"/>
      <c r="AA807" s="300"/>
      <c r="AB807" s="13"/>
      <c r="AC807" s="13"/>
      <c r="AD807" s="300"/>
      <c r="AE807" s="13"/>
      <c r="AF807" s="13"/>
      <c r="AG807" s="300"/>
      <c r="AH807" s="13"/>
      <c r="AI807" s="13"/>
      <c r="AJ807" s="300"/>
      <c r="AK807" s="13"/>
      <c r="AL807" s="301"/>
      <c r="AM807" s="300"/>
      <c r="AN807" s="13"/>
      <c r="AO807" s="301"/>
      <c r="AP807" s="300"/>
    </row>
    <row r="808">
      <c r="A808" s="13"/>
      <c r="B808" s="13"/>
      <c r="C808" s="13"/>
      <c r="D808" s="13"/>
      <c r="E808" s="13"/>
      <c r="F808" s="13"/>
      <c r="G808" s="13"/>
      <c r="H808" s="13"/>
      <c r="I808" s="13"/>
      <c r="J808" s="13"/>
      <c r="K808" s="13"/>
      <c r="L808" s="13"/>
      <c r="M808" s="13"/>
      <c r="N808" s="13"/>
      <c r="O808" s="13"/>
      <c r="P808" s="13"/>
      <c r="Q808" s="13"/>
      <c r="R808" s="300"/>
      <c r="S808" s="13"/>
      <c r="T808" s="13"/>
      <c r="U808" s="300"/>
      <c r="V808" s="13"/>
      <c r="W808" s="13"/>
      <c r="X808" s="300"/>
      <c r="Y808" s="13"/>
      <c r="Z808" s="13"/>
      <c r="AA808" s="300"/>
      <c r="AB808" s="13"/>
      <c r="AC808" s="13"/>
      <c r="AD808" s="300"/>
      <c r="AE808" s="13"/>
      <c r="AF808" s="13"/>
      <c r="AG808" s="300"/>
      <c r="AH808" s="13"/>
      <c r="AI808" s="13"/>
      <c r="AJ808" s="300"/>
      <c r="AK808" s="13"/>
      <c r="AL808" s="301"/>
      <c r="AM808" s="300"/>
      <c r="AN808" s="13"/>
      <c r="AO808" s="301"/>
      <c r="AP808" s="300"/>
    </row>
    <row r="809">
      <c r="A809" s="13"/>
      <c r="B809" s="13"/>
      <c r="C809" s="13"/>
      <c r="D809" s="13"/>
      <c r="E809" s="13"/>
      <c r="F809" s="13"/>
      <c r="G809" s="13"/>
      <c r="H809" s="13"/>
      <c r="I809" s="13"/>
      <c r="J809" s="13"/>
      <c r="K809" s="13"/>
      <c r="L809" s="13"/>
      <c r="M809" s="13"/>
      <c r="N809" s="13"/>
      <c r="O809" s="13"/>
      <c r="P809" s="13"/>
      <c r="Q809" s="13"/>
      <c r="R809" s="300"/>
      <c r="S809" s="13"/>
      <c r="T809" s="13"/>
      <c r="U809" s="300"/>
      <c r="V809" s="13"/>
      <c r="W809" s="13"/>
      <c r="X809" s="300"/>
      <c r="Y809" s="13"/>
      <c r="Z809" s="13"/>
      <c r="AA809" s="300"/>
      <c r="AB809" s="13"/>
      <c r="AC809" s="13"/>
      <c r="AD809" s="300"/>
      <c r="AE809" s="13"/>
      <c r="AF809" s="13"/>
      <c r="AG809" s="300"/>
      <c r="AH809" s="13"/>
      <c r="AI809" s="13"/>
      <c r="AJ809" s="300"/>
      <c r="AK809" s="13"/>
      <c r="AL809" s="301"/>
      <c r="AM809" s="300"/>
      <c r="AN809" s="13"/>
      <c r="AO809" s="301"/>
      <c r="AP809" s="300"/>
    </row>
    <row r="810">
      <c r="A810" s="13"/>
      <c r="B810" s="13"/>
      <c r="C810" s="13"/>
      <c r="D810" s="13"/>
      <c r="E810" s="13"/>
      <c r="F810" s="13"/>
      <c r="G810" s="13"/>
      <c r="H810" s="13"/>
      <c r="I810" s="13"/>
      <c r="J810" s="13"/>
      <c r="K810" s="13"/>
      <c r="L810" s="13"/>
      <c r="M810" s="13"/>
      <c r="N810" s="13"/>
      <c r="O810" s="13"/>
      <c r="P810" s="13"/>
      <c r="Q810" s="13"/>
      <c r="R810" s="300"/>
      <c r="S810" s="13"/>
      <c r="T810" s="13"/>
      <c r="U810" s="300"/>
      <c r="V810" s="13"/>
      <c r="W810" s="13"/>
      <c r="X810" s="300"/>
      <c r="Y810" s="13"/>
      <c r="Z810" s="13"/>
      <c r="AA810" s="300"/>
      <c r="AB810" s="13"/>
      <c r="AC810" s="13"/>
      <c r="AD810" s="300"/>
      <c r="AE810" s="13"/>
      <c r="AF810" s="13"/>
      <c r="AG810" s="300"/>
      <c r="AH810" s="13"/>
      <c r="AI810" s="13"/>
      <c r="AJ810" s="300"/>
      <c r="AK810" s="13"/>
      <c r="AL810" s="301"/>
      <c r="AM810" s="300"/>
      <c r="AN810" s="13"/>
      <c r="AO810" s="301"/>
      <c r="AP810" s="300"/>
    </row>
    <row r="811">
      <c r="A811" s="13"/>
      <c r="B811" s="13"/>
      <c r="C811" s="13"/>
      <c r="D811" s="13"/>
      <c r="E811" s="13"/>
      <c r="F811" s="13"/>
      <c r="G811" s="13"/>
      <c r="H811" s="13"/>
      <c r="I811" s="13"/>
      <c r="J811" s="13"/>
      <c r="K811" s="13"/>
      <c r="L811" s="13"/>
      <c r="M811" s="13"/>
      <c r="N811" s="13"/>
      <c r="O811" s="13"/>
      <c r="P811" s="13"/>
      <c r="Q811" s="13"/>
      <c r="R811" s="300"/>
      <c r="S811" s="13"/>
      <c r="T811" s="13"/>
      <c r="U811" s="300"/>
      <c r="V811" s="13"/>
      <c r="W811" s="13"/>
      <c r="X811" s="300"/>
      <c r="Y811" s="13"/>
      <c r="Z811" s="13"/>
      <c r="AA811" s="300"/>
      <c r="AB811" s="13"/>
      <c r="AC811" s="13"/>
      <c r="AD811" s="300"/>
      <c r="AE811" s="13"/>
      <c r="AF811" s="13"/>
      <c r="AG811" s="300"/>
      <c r="AH811" s="13"/>
      <c r="AI811" s="13"/>
      <c r="AJ811" s="300"/>
      <c r="AK811" s="13"/>
      <c r="AL811" s="301"/>
      <c r="AM811" s="300"/>
      <c r="AN811" s="13"/>
      <c r="AO811" s="301"/>
      <c r="AP811" s="300"/>
    </row>
    <row r="812">
      <c r="A812" s="13"/>
      <c r="B812" s="13"/>
      <c r="C812" s="13"/>
      <c r="D812" s="13"/>
      <c r="E812" s="13"/>
      <c r="F812" s="13"/>
      <c r="G812" s="13"/>
      <c r="H812" s="13"/>
      <c r="I812" s="13"/>
      <c r="J812" s="13"/>
      <c r="K812" s="13"/>
      <c r="L812" s="13"/>
      <c r="M812" s="13"/>
      <c r="N812" s="13"/>
      <c r="O812" s="13"/>
      <c r="P812" s="13"/>
      <c r="Q812" s="13"/>
      <c r="R812" s="300"/>
      <c r="S812" s="13"/>
      <c r="T812" s="13"/>
      <c r="U812" s="300"/>
      <c r="V812" s="13"/>
      <c r="W812" s="13"/>
      <c r="X812" s="300"/>
      <c r="Y812" s="13"/>
      <c r="Z812" s="13"/>
      <c r="AA812" s="300"/>
      <c r="AB812" s="13"/>
      <c r="AC812" s="13"/>
      <c r="AD812" s="300"/>
      <c r="AE812" s="13"/>
      <c r="AF812" s="13"/>
      <c r="AG812" s="300"/>
      <c r="AH812" s="13"/>
      <c r="AI812" s="13"/>
      <c r="AJ812" s="300"/>
      <c r="AK812" s="13"/>
      <c r="AL812" s="301"/>
      <c r="AM812" s="300"/>
      <c r="AN812" s="13"/>
      <c r="AO812" s="301"/>
      <c r="AP812" s="300"/>
    </row>
    <row r="813">
      <c r="A813" s="13"/>
      <c r="B813" s="13"/>
      <c r="C813" s="13"/>
      <c r="D813" s="13"/>
      <c r="E813" s="13"/>
      <c r="F813" s="13"/>
      <c r="G813" s="13"/>
      <c r="H813" s="13"/>
      <c r="I813" s="13"/>
      <c r="J813" s="13"/>
      <c r="K813" s="13"/>
      <c r="L813" s="13"/>
      <c r="M813" s="13"/>
      <c r="N813" s="13"/>
      <c r="O813" s="13"/>
      <c r="P813" s="13"/>
      <c r="Q813" s="13"/>
      <c r="R813" s="300"/>
      <c r="S813" s="13"/>
      <c r="T813" s="13"/>
      <c r="U813" s="300"/>
      <c r="V813" s="13"/>
      <c r="W813" s="13"/>
      <c r="X813" s="300"/>
      <c r="Y813" s="13"/>
      <c r="Z813" s="13"/>
      <c r="AA813" s="300"/>
      <c r="AB813" s="13"/>
      <c r="AC813" s="13"/>
      <c r="AD813" s="300"/>
      <c r="AE813" s="13"/>
      <c r="AF813" s="13"/>
      <c r="AG813" s="300"/>
      <c r="AH813" s="13"/>
      <c r="AI813" s="13"/>
      <c r="AJ813" s="300"/>
      <c r="AK813" s="13"/>
      <c r="AL813" s="301"/>
      <c r="AM813" s="300"/>
      <c r="AN813" s="13"/>
      <c r="AO813" s="301"/>
      <c r="AP813" s="300"/>
    </row>
    <row r="814">
      <c r="A814" s="13"/>
      <c r="B814" s="13"/>
      <c r="C814" s="13"/>
      <c r="D814" s="13"/>
      <c r="E814" s="13"/>
      <c r="F814" s="13"/>
      <c r="G814" s="13"/>
      <c r="H814" s="13"/>
      <c r="I814" s="13"/>
      <c r="J814" s="13"/>
      <c r="K814" s="13"/>
      <c r="L814" s="13"/>
      <c r="M814" s="13"/>
      <c r="N814" s="13"/>
      <c r="O814" s="13"/>
      <c r="P814" s="13"/>
      <c r="Q814" s="13"/>
      <c r="R814" s="300"/>
      <c r="S814" s="13"/>
      <c r="T814" s="13"/>
      <c r="U814" s="300"/>
      <c r="V814" s="13"/>
      <c r="W814" s="13"/>
      <c r="X814" s="300"/>
      <c r="Y814" s="13"/>
      <c r="Z814" s="13"/>
      <c r="AA814" s="300"/>
      <c r="AB814" s="13"/>
      <c r="AC814" s="13"/>
      <c r="AD814" s="300"/>
      <c r="AE814" s="13"/>
      <c r="AF814" s="13"/>
      <c r="AG814" s="300"/>
      <c r="AH814" s="13"/>
      <c r="AI814" s="13"/>
      <c r="AJ814" s="300"/>
      <c r="AK814" s="13"/>
      <c r="AL814" s="301"/>
      <c r="AM814" s="300"/>
      <c r="AN814" s="13"/>
      <c r="AO814" s="301"/>
      <c r="AP814" s="300"/>
    </row>
    <row r="815">
      <c r="A815" s="13"/>
      <c r="B815" s="13"/>
      <c r="C815" s="13"/>
      <c r="D815" s="13"/>
      <c r="E815" s="13"/>
      <c r="F815" s="13"/>
      <c r="G815" s="13"/>
      <c r="H815" s="13"/>
      <c r="I815" s="13"/>
      <c r="J815" s="13"/>
      <c r="K815" s="13"/>
      <c r="L815" s="13"/>
      <c r="M815" s="13"/>
      <c r="N815" s="13"/>
      <c r="O815" s="13"/>
      <c r="P815" s="13"/>
      <c r="Q815" s="13"/>
      <c r="R815" s="300"/>
      <c r="S815" s="13"/>
      <c r="T815" s="13"/>
      <c r="U815" s="300"/>
      <c r="V815" s="13"/>
      <c r="W815" s="13"/>
      <c r="X815" s="300"/>
      <c r="Y815" s="13"/>
      <c r="Z815" s="13"/>
      <c r="AA815" s="300"/>
      <c r="AB815" s="13"/>
      <c r="AC815" s="13"/>
      <c r="AD815" s="300"/>
      <c r="AE815" s="13"/>
      <c r="AF815" s="13"/>
      <c r="AG815" s="300"/>
      <c r="AH815" s="13"/>
      <c r="AI815" s="13"/>
      <c r="AJ815" s="300"/>
      <c r="AK815" s="13"/>
      <c r="AL815" s="301"/>
      <c r="AM815" s="300"/>
      <c r="AN815" s="13"/>
      <c r="AO815" s="301"/>
      <c r="AP815" s="300"/>
    </row>
    <row r="816">
      <c r="A816" s="13"/>
      <c r="B816" s="13"/>
      <c r="C816" s="13"/>
      <c r="D816" s="13"/>
      <c r="E816" s="13"/>
      <c r="F816" s="13"/>
      <c r="G816" s="13"/>
      <c r="H816" s="13"/>
      <c r="I816" s="13"/>
      <c r="J816" s="13"/>
      <c r="K816" s="13"/>
      <c r="L816" s="13"/>
      <c r="M816" s="13"/>
      <c r="N816" s="13"/>
      <c r="O816" s="13"/>
      <c r="P816" s="13"/>
      <c r="Q816" s="13"/>
      <c r="R816" s="300"/>
      <c r="S816" s="13"/>
      <c r="T816" s="13"/>
      <c r="U816" s="300"/>
      <c r="V816" s="13"/>
      <c r="W816" s="13"/>
      <c r="X816" s="300"/>
      <c r="Y816" s="13"/>
      <c r="Z816" s="13"/>
      <c r="AA816" s="300"/>
      <c r="AB816" s="13"/>
      <c r="AC816" s="13"/>
      <c r="AD816" s="300"/>
      <c r="AE816" s="13"/>
      <c r="AF816" s="13"/>
      <c r="AG816" s="300"/>
      <c r="AH816" s="13"/>
      <c r="AI816" s="13"/>
      <c r="AJ816" s="300"/>
      <c r="AK816" s="13"/>
      <c r="AL816" s="301"/>
      <c r="AM816" s="300"/>
      <c r="AN816" s="13"/>
      <c r="AO816" s="301"/>
      <c r="AP816" s="300"/>
    </row>
    <row r="817">
      <c r="A817" s="13"/>
      <c r="B817" s="13"/>
      <c r="C817" s="13"/>
      <c r="D817" s="13"/>
      <c r="E817" s="13"/>
      <c r="F817" s="13"/>
      <c r="G817" s="13"/>
      <c r="H817" s="13"/>
      <c r="I817" s="13"/>
      <c r="J817" s="13"/>
      <c r="K817" s="13"/>
      <c r="L817" s="13"/>
      <c r="M817" s="13"/>
      <c r="N817" s="13"/>
      <c r="O817" s="13"/>
      <c r="P817" s="13"/>
      <c r="Q817" s="13"/>
      <c r="R817" s="300"/>
      <c r="S817" s="13"/>
      <c r="T817" s="13"/>
      <c r="U817" s="300"/>
      <c r="V817" s="13"/>
      <c r="W817" s="13"/>
      <c r="X817" s="300"/>
      <c r="Y817" s="13"/>
      <c r="Z817" s="13"/>
      <c r="AA817" s="300"/>
      <c r="AB817" s="13"/>
      <c r="AC817" s="13"/>
      <c r="AD817" s="300"/>
      <c r="AE817" s="13"/>
      <c r="AF817" s="13"/>
      <c r="AG817" s="300"/>
      <c r="AH817" s="13"/>
      <c r="AI817" s="13"/>
      <c r="AJ817" s="300"/>
      <c r="AK817" s="13"/>
      <c r="AL817" s="301"/>
      <c r="AM817" s="300"/>
      <c r="AN817" s="13"/>
      <c r="AO817" s="301"/>
      <c r="AP817" s="300"/>
    </row>
    <row r="818">
      <c r="A818" s="13"/>
      <c r="B818" s="13"/>
      <c r="C818" s="13"/>
      <c r="D818" s="13"/>
      <c r="E818" s="13"/>
      <c r="F818" s="13"/>
      <c r="G818" s="13"/>
      <c r="H818" s="13"/>
      <c r="I818" s="13"/>
      <c r="J818" s="13"/>
      <c r="K818" s="13"/>
      <c r="L818" s="13"/>
      <c r="M818" s="13"/>
      <c r="N818" s="13"/>
      <c r="O818" s="13"/>
      <c r="P818" s="13"/>
      <c r="Q818" s="13"/>
      <c r="R818" s="300"/>
      <c r="S818" s="13"/>
      <c r="T818" s="13"/>
      <c r="U818" s="300"/>
      <c r="V818" s="13"/>
      <c r="W818" s="13"/>
      <c r="X818" s="300"/>
      <c r="Y818" s="13"/>
      <c r="Z818" s="13"/>
      <c r="AA818" s="300"/>
      <c r="AB818" s="13"/>
      <c r="AC818" s="13"/>
      <c r="AD818" s="300"/>
      <c r="AE818" s="13"/>
      <c r="AF818" s="13"/>
      <c r="AG818" s="300"/>
      <c r="AH818" s="13"/>
      <c r="AI818" s="13"/>
      <c r="AJ818" s="300"/>
      <c r="AK818" s="13"/>
      <c r="AL818" s="301"/>
      <c r="AM818" s="300"/>
      <c r="AN818" s="13"/>
      <c r="AO818" s="301"/>
      <c r="AP818" s="300"/>
    </row>
    <row r="819">
      <c r="A819" s="13"/>
      <c r="B819" s="13"/>
      <c r="C819" s="13"/>
      <c r="D819" s="13"/>
      <c r="E819" s="13"/>
      <c r="F819" s="13"/>
      <c r="G819" s="13"/>
      <c r="H819" s="13"/>
      <c r="I819" s="13"/>
      <c r="J819" s="13"/>
      <c r="K819" s="13"/>
      <c r="L819" s="13"/>
      <c r="M819" s="13"/>
      <c r="N819" s="13"/>
      <c r="O819" s="13"/>
      <c r="P819" s="13"/>
      <c r="Q819" s="13"/>
      <c r="R819" s="300"/>
      <c r="S819" s="13"/>
      <c r="T819" s="13"/>
      <c r="U819" s="300"/>
      <c r="V819" s="13"/>
      <c r="W819" s="13"/>
      <c r="X819" s="300"/>
      <c r="Y819" s="13"/>
      <c r="Z819" s="13"/>
      <c r="AA819" s="300"/>
      <c r="AB819" s="13"/>
      <c r="AC819" s="13"/>
      <c r="AD819" s="300"/>
      <c r="AE819" s="13"/>
      <c r="AF819" s="13"/>
      <c r="AG819" s="300"/>
      <c r="AH819" s="13"/>
      <c r="AI819" s="13"/>
      <c r="AJ819" s="300"/>
      <c r="AK819" s="13"/>
      <c r="AL819" s="301"/>
      <c r="AM819" s="300"/>
      <c r="AN819" s="13"/>
      <c r="AO819" s="301"/>
      <c r="AP819" s="300"/>
    </row>
    <row r="820">
      <c r="A820" s="13"/>
      <c r="B820" s="13"/>
      <c r="C820" s="13"/>
      <c r="D820" s="13"/>
      <c r="E820" s="13"/>
      <c r="F820" s="13"/>
      <c r="G820" s="13"/>
      <c r="H820" s="13"/>
      <c r="I820" s="13"/>
      <c r="J820" s="13"/>
      <c r="K820" s="13"/>
      <c r="L820" s="13"/>
      <c r="M820" s="13"/>
      <c r="N820" s="13"/>
      <c r="O820" s="13"/>
      <c r="P820" s="13"/>
      <c r="Q820" s="13"/>
      <c r="R820" s="300"/>
      <c r="S820" s="13"/>
      <c r="T820" s="13"/>
      <c r="U820" s="300"/>
      <c r="V820" s="13"/>
      <c r="W820" s="13"/>
      <c r="X820" s="300"/>
      <c r="Y820" s="13"/>
      <c r="Z820" s="13"/>
      <c r="AA820" s="300"/>
      <c r="AB820" s="13"/>
      <c r="AC820" s="13"/>
      <c r="AD820" s="300"/>
      <c r="AE820" s="13"/>
      <c r="AF820" s="13"/>
      <c r="AG820" s="300"/>
      <c r="AH820" s="13"/>
      <c r="AI820" s="13"/>
      <c r="AJ820" s="300"/>
      <c r="AK820" s="13"/>
      <c r="AL820" s="301"/>
      <c r="AM820" s="300"/>
      <c r="AN820" s="13"/>
      <c r="AO820" s="301"/>
      <c r="AP820" s="300"/>
    </row>
    <row r="821">
      <c r="A821" s="13"/>
      <c r="B821" s="13"/>
      <c r="C821" s="13"/>
      <c r="D821" s="13"/>
      <c r="E821" s="13"/>
      <c r="F821" s="13"/>
      <c r="G821" s="13"/>
      <c r="H821" s="13"/>
      <c r="I821" s="13"/>
      <c r="J821" s="13"/>
      <c r="K821" s="13"/>
      <c r="L821" s="13"/>
      <c r="M821" s="13"/>
      <c r="N821" s="13"/>
      <c r="O821" s="13"/>
      <c r="P821" s="13"/>
      <c r="Q821" s="13"/>
      <c r="R821" s="300"/>
      <c r="S821" s="13"/>
      <c r="T821" s="13"/>
      <c r="U821" s="300"/>
      <c r="V821" s="13"/>
      <c r="W821" s="13"/>
      <c r="X821" s="300"/>
      <c r="Y821" s="13"/>
      <c r="Z821" s="13"/>
      <c r="AA821" s="300"/>
      <c r="AB821" s="13"/>
      <c r="AC821" s="13"/>
      <c r="AD821" s="300"/>
      <c r="AE821" s="13"/>
      <c r="AF821" s="13"/>
      <c r="AG821" s="300"/>
      <c r="AH821" s="13"/>
      <c r="AI821" s="13"/>
      <c r="AJ821" s="300"/>
      <c r="AK821" s="13"/>
      <c r="AL821" s="301"/>
      <c r="AM821" s="300"/>
      <c r="AN821" s="13"/>
      <c r="AO821" s="301"/>
      <c r="AP821" s="300"/>
    </row>
    <row r="822">
      <c r="A822" s="13"/>
      <c r="B822" s="13"/>
      <c r="C822" s="13"/>
      <c r="D822" s="13"/>
      <c r="E822" s="13"/>
      <c r="F822" s="13"/>
      <c r="G822" s="13"/>
      <c r="H822" s="13"/>
      <c r="I822" s="13"/>
      <c r="J822" s="13"/>
      <c r="K822" s="13"/>
      <c r="L822" s="13"/>
      <c r="M822" s="13"/>
      <c r="N822" s="13"/>
      <c r="O822" s="13"/>
      <c r="P822" s="13"/>
      <c r="Q822" s="13"/>
      <c r="R822" s="300"/>
      <c r="S822" s="13"/>
      <c r="T822" s="13"/>
      <c r="U822" s="300"/>
      <c r="V822" s="13"/>
      <c r="W822" s="13"/>
      <c r="X822" s="300"/>
      <c r="Y822" s="13"/>
      <c r="Z822" s="13"/>
      <c r="AA822" s="300"/>
      <c r="AB822" s="13"/>
      <c r="AC822" s="13"/>
      <c r="AD822" s="300"/>
      <c r="AE822" s="13"/>
      <c r="AF822" s="13"/>
      <c r="AG822" s="300"/>
      <c r="AH822" s="13"/>
      <c r="AI822" s="13"/>
      <c r="AJ822" s="300"/>
      <c r="AK822" s="13"/>
      <c r="AL822" s="301"/>
      <c r="AM822" s="300"/>
      <c r="AN822" s="13"/>
      <c r="AO822" s="301"/>
      <c r="AP822" s="300"/>
    </row>
    <row r="823">
      <c r="A823" s="13"/>
      <c r="B823" s="13"/>
      <c r="C823" s="13"/>
      <c r="D823" s="13"/>
      <c r="E823" s="13"/>
      <c r="F823" s="13"/>
      <c r="G823" s="13"/>
      <c r="H823" s="13"/>
      <c r="I823" s="13"/>
      <c r="J823" s="13"/>
      <c r="K823" s="13"/>
      <c r="L823" s="13"/>
      <c r="M823" s="13"/>
      <c r="N823" s="13"/>
      <c r="O823" s="13"/>
      <c r="P823" s="13"/>
      <c r="Q823" s="13"/>
      <c r="R823" s="300"/>
      <c r="S823" s="13"/>
      <c r="T823" s="13"/>
      <c r="U823" s="300"/>
      <c r="V823" s="13"/>
      <c r="W823" s="13"/>
      <c r="X823" s="300"/>
      <c r="Y823" s="13"/>
      <c r="Z823" s="13"/>
      <c r="AA823" s="300"/>
      <c r="AB823" s="13"/>
      <c r="AC823" s="13"/>
      <c r="AD823" s="300"/>
      <c r="AE823" s="13"/>
      <c r="AF823" s="13"/>
      <c r="AG823" s="300"/>
      <c r="AH823" s="13"/>
      <c r="AI823" s="13"/>
      <c r="AJ823" s="300"/>
      <c r="AK823" s="13"/>
      <c r="AL823" s="301"/>
      <c r="AM823" s="300"/>
      <c r="AN823" s="13"/>
      <c r="AO823" s="301"/>
      <c r="AP823" s="300"/>
    </row>
    <row r="824">
      <c r="A824" s="13"/>
      <c r="B824" s="13"/>
      <c r="C824" s="13"/>
      <c r="D824" s="13"/>
      <c r="E824" s="13"/>
      <c r="F824" s="13"/>
      <c r="G824" s="13"/>
      <c r="H824" s="13"/>
      <c r="I824" s="13"/>
      <c r="J824" s="13"/>
      <c r="K824" s="13"/>
      <c r="L824" s="13"/>
      <c r="M824" s="13"/>
      <c r="N824" s="13"/>
      <c r="O824" s="13"/>
      <c r="P824" s="13"/>
      <c r="Q824" s="13"/>
      <c r="R824" s="300"/>
      <c r="S824" s="13"/>
      <c r="T824" s="13"/>
      <c r="U824" s="300"/>
      <c r="V824" s="13"/>
      <c r="W824" s="13"/>
      <c r="X824" s="300"/>
      <c r="Y824" s="13"/>
      <c r="Z824" s="13"/>
      <c r="AA824" s="300"/>
      <c r="AB824" s="13"/>
      <c r="AC824" s="13"/>
      <c r="AD824" s="300"/>
      <c r="AE824" s="13"/>
      <c r="AF824" s="13"/>
      <c r="AG824" s="300"/>
      <c r="AH824" s="13"/>
      <c r="AI824" s="13"/>
      <c r="AJ824" s="300"/>
      <c r="AK824" s="13"/>
      <c r="AL824" s="301"/>
      <c r="AM824" s="300"/>
      <c r="AN824" s="13"/>
      <c r="AO824" s="301"/>
      <c r="AP824" s="300"/>
    </row>
    <row r="825">
      <c r="A825" s="13"/>
      <c r="B825" s="13"/>
      <c r="C825" s="13"/>
      <c r="D825" s="13"/>
      <c r="E825" s="13"/>
      <c r="F825" s="13"/>
      <c r="G825" s="13"/>
      <c r="H825" s="13"/>
      <c r="I825" s="13"/>
      <c r="J825" s="13"/>
      <c r="K825" s="13"/>
      <c r="L825" s="13"/>
      <c r="M825" s="13"/>
      <c r="N825" s="13"/>
      <c r="O825" s="13"/>
      <c r="P825" s="13"/>
      <c r="Q825" s="13"/>
      <c r="R825" s="300"/>
      <c r="S825" s="13"/>
      <c r="T825" s="13"/>
      <c r="U825" s="300"/>
      <c r="V825" s="13"/>
      <c r="W825" s="13"/>
      <c r="X825" s="300"/>
      <c r="Y825" s="13"/>
      <c r="Z825" s="13"/>
      <c r="AA825" s="300"/>
      <c r="AB825" s="13"/>
      <c r="AC825" s="13"/>
      <c r="AD825" s="300"/>
      <c r="AE825" s="13"/>
      <c r="AF825" s="13"/>
      <c r="AG825" s="300"/>
      <c r="AH825" s="13"/>
      <c r="AI825" s="13"/>
      <c r="AJ825" s="300"/>
      <c r="AK825" s="13"/>
      <c r="AL825" s="301"/>
      <c r="AM825" s="300"/>
      <c r="AN825" s="13"/>
      <c r="AO825" s="301"/>
      <c r="AP825" s="300"/>
    </row>
    <row r="826">
      <c r="A826" s="13"/>
      <c r="B826" s="13"/>
      <c r="C826" s="13"/>
      <c r="D826" s="13"/>
      <c r="E826" s="13"/>
      <c r="F826" s="13"/>
      <c r="G826" s="13"/>
      <c r="H826" s="13"/>
      <c r="I826" s="13"/>
      <c r="J826" s="13"/>
      <c r="K826" s="13"/>
      <c r="L826" s="13"/>
      <c r="M826" s="13"/>
      <c r="N826" s="13"/>
      <c r="O826" s="13"/>
      <c r="P826" s="13"/>
      <c r="Q826" s="13"/>
      <c r="R826" s="300"/>
      <c r="S826" s="13"/>
      <c r="T826" s="13"/>
      <c r="U826" s="300"/>
      <c r="V826" s="13"/>
      <c r="W826" s="13"/>
      <c r="X826" s="300"/>
      <c r="Y826" s="13"/>
      <c r="Z826" s="13"/>
      <c r="AA826" s="300"/>
      <c r="AB826" s="13"/>
      <c r="AC826" s="13"/>
      <c r="AD826" s="300"/>
      <c r="AE826" s="13"/>
      <c r="AF826" s="13"/>
      <c r="AG826" s="300"/>
      <c r="AH826" s="13"/>
      <c r="AI826" s="13"/>
      <c r="AJ826" s="300"/>
      <c r="AK826" s="13"/>
      <c r="AL826" s="301"/>
      <c r="AM826" s="300"/>
      <c r="AN826" s="13"/>
      <c r="AO826" s="301"/>
      <c r="AP826" s="300"/>
    </row>
    <row r="827">
      <c r="A827" s="13"/>
      <c r="B827" s="13"/>
      <c r="C827" s="13"/>
      <c r="D827" s="13"/>
      <c r="E827" s="13"/>
      <c r="F827" s="13"/>
      <c r="G827" s="13"/>
      <c r="H827" s="13"/>
      <c r="I827" s="13"/>
      <c r="J827" s="13"/>
      <c r="K827" s="13"/>
      <c r="L827" s="13"/>
      <c r="M827" s="13"/>
      <c r="N827" s="13"/>
      <c r="O827" s="13"/>
      <c r="P827" s="13"/>
      <c r="Q827" s="13"/>
      <c r="R827" s="300"/>
      <c r="S827" s="13"/>
      <c r="T827" s="13"/>
      <c r="U827" s="300"/>
      <c r="V827" s="13"/>
      <c r="W827" s="13"/>
      <c r="X827" s="300"/>
      <c r="Y827" s="13"/>
      <c r="Z827" s="13"/>
      <c r="AA827" s="300"/>
      <c r="AB827" s="13"/>
      <c r="AC827" s="13"/>
      <c r="AD827" s="300"/>
      <c r="AE827" s="13"/>
      <c r="AF827" s="13"/>
      <c r="AG827" s="300"/>
      <c r="AH827" s="13"/>
      <c r="AI827" s="13"/>
      <c r="AJ827" s="300"/>
      <c r="AK827" s="13"/>
      <c r="AL827" s="301"/>
      <c r="AM827" s="300"/>
      <c r="AN827" s="13"/>
      <c r="AO827" s="301"/>
      <c r="AP827" s="300"/>
    </row>
    <row r="828">
      <c r="A828" s="13"/>
      <c r="B828" s="13"/>
      <c r="C828" s="13"/>
      <c r="D828" s="13"/>
      <c r="E828" s="13"/>
      <c r="F828" s="13"/>
      <c r="G828" s="13"/>
      <c r="H828" s="13"/>
      <c r="I828" s="13"/>
      <c r="J828" s="13"/>
      <c r="K828" s="13"/>
      <c r="L828" s="13"/>
      <c r="M828" s="13"/>
      <c r="N828" s="13"/>
      <c r="O828" s="13"/>
      <c r="P828" s="13"/>
      <c r="Q828" s="13"/>
      <c r="R828" s="300"/>
      <c r="S828" s="13"/>
      <c r="T828" s="13"/>
      <c r="U828" s="300"/>
      <c r="V828" s="13"/>
      <c r="W828" s="13"/>
      <c r="X828" s="300"/>
      <c r="Y828" s="13"/>
      <c r="Z828" s="13"/>
      <c r="AA828" s="300"/>
      <c r="AB828" s="13"/>
      <c r="AC828" s="13"/>
      <c r="AD828" s="300"/>
      <c r="AE828" s="13"/>
      <c r="AF828" s="13"/>
      <c r="AG828" s="300"/>
      <c r="AH828" s="13"/>
      <c r="AI828" s="13"/>
      <c r="AJ828" s="300"/>
      <c r="AK828" s="13"/>
      <c r="AL828" s="301"/>
      <c r="AM828" s="300"/>
      <c r="AN828" s="13"/>
      <c r="AO828" s="301"/>
      <c r="AP828" s="300"/>
    </row>
    <row r="829">
      <c r="A829" s="13"/>
      <c r="B829" s="13"/>
      <c r="C829" s="13"/>
      <c r="D829" s="13"/>
      <c r="E829" s="13"/>
      <c r="F829" s="13"/>
      <c r="G829" s="13"/>
      <c r="H829" s="13"/>
      <c r="I829" s="13"/>
      <c r="J829" s="13"/>
      <c r="K829" s="13"/>
      <c r="L829" s="13"/>
      <c r="M829" s="13"/>
      <c r="N829" s="13"/>
      <c r="O829" s="13"/>
      <c r="P829" s="13"/>
      <c r="Q829" s="13"/>
      <c r="R829" s="300"/>
      <c r="S829" s="13"/>
      <c r="T829" s="13"/>
      <c r="U829" s="300"/>
      <c r="V829" s="13"/>
      <c r="W829" s="13"/>
      <c r="X829" s="300"/>
      <c r="Y829" s="13"/>
      <c r="Z829" s="13"/>
      <c r="AA829" s="300"/>
      <c r="AB829" s="13"/>
      <c r="AC829" s="13"/>
      <c r="AD829" s="300"/>
      <c r="AE829" s="13"/>
      <c r="AF829" s="13"/>
      <c r="AG829" s="300"/>
      <c r="AH829" s="13"/>
      <c r="AI829" s="13"/>
      <c r="AJ829" s="300"/>
      <c r="AK829" s="13"/>
      <c r="AL829" s="301"/>
      <c r="AM829" s="300"/>
      <c r="AN829" s="13"/>
      <c r="AO829" s="301"/>
      <c r="AP829" s="300"/>
    </row>
    <row r="830">
      <c r="A830" s="13"/>
      <c r="B830" s="13"/>
      <c r="C830" s="13"/>
      <c r="D830" s="13"/>
      <c r="E830" s="13"/>
      <c r="F830" s="13"/>
      <c r="G830" s="13"/>
      <c r="H830" s="13"/>
      <c r="I830" s="13"/>
      <c r="J830" s="13"/>
      <c r="K830" s="13"/>
      <c r="L830" s="13"/>
      <c r="M830" s="13"/>
      <c r="N830" s="13"/>
      <c r="O830" s="13"/>
      <c r="P830" s="13"/>
      <c r="Q830" s="13"/>
      <c r="R830" s="300"/>
      <c r="S830" s="13"/>
      <c r="T830" s="13"/>
      <c r="U830" s="300"/>
      <c r="V830" s="13"/>
      <c r="W830" s="13"/>
      <c r="X830" s="300"/>
      <c r="Y830" s="13"/>
      <c r="Z830" s="13"/>
      <c r="AA830" s="300"/>
      <c r="AB830" s="13"/>
      <c r="AC830" s="13"/>
      <c r="AD830" s="300"/>
      <c r="AE830" s="13"/>
      <c r="AF830" s="13"/>
      <c r="AG830" s="300"/>
      <c r="AH830" s="13"/>
      <c r="AI830" s="13"/>
      <c r="AJ830" s="300"/>
      <c r="AK830" s="13"/>
      <c r="AL830" s="301"/>
      <c r="AM830" s="300"/>
      <c r="AN830" s="13"/>
      <c r="AO830" s="301"/>
      <c r="AP830" s="300"/>
    </row>
    <row r="831">
      <c r="A831" s="13"/>
      <c r="B831" s="13"/>
      <c r="C831" s="13"/>
      <c r="D831" s="13"/>
      <c r="E831" s="13"/>
      <c r="F831" s="13"/>
      <c r="G831" s="13"/>
      <c r="H831" s="13"/>
      <c r="I831" s="13"/>
      <c r="J831" s="13"/>
      <c r="K831" s="13"/>
      <c r="L831" s="13"/>
      <c r="M831" s="13"/>
      <c r="N831" s="13"/>
      <c r="O831" s="13"/>
      <c r="P831" s="13"/>
      <c r="Q831" s="13"/>
      <c r="R831" s="300"/>
      <c r="S831" s="13"/>
      <c r="T831" s="13"/>
      <c r="U831" s="300"/>
      <c r="V831" s="13"/>
      <c r="W831" s="13"/>
      <c r="X831" s="300"/>
      <c r="Y831" s="13"/>
      <c r="Z831" s="13"/>
      <c r="AA831" s="300"/>
      <c r="AB831" s="13"/>
      <c r="AC831" s="13"/>
      <c r="AD831" s="300"/>
      <c r="AE831" s="13"/>
      <c r="AF831" s="13"/>
      <c r="AG831" s="300"/>
      <c r="AH831" s="13"/>
      <c r="AI831" s="13"/>
      <c r="AJ831" s="300"/>
      <c r="AK831" s="13"/>
      <c r="AL831" s="301"/>
      <c r="AM831" s="300"/>
      <c r="AN831" s="13"/>
      <c r="AO831" s="301"/>
      <c r="AP831" s="300"/>
    </row>
    <row r="832">
      <c r="A832" s="13"/>
      <c r="B832" s="13"/>
      <c r="C832" s="13"/>
      <c r="D832" s="13"/>
      <c r="E832" s="13"/>
      <c r="F832" s="13"/>
      <c r="G832" s="13"/>
      <c r="H832" s="13"/>
      <c r="I832" s="13"/>
      <c r="J832" s="13"/>
      <c r="K832" s="13"/>
      <c r="L832" s="13"/>
      <c r="M832" s="13"/>
      <c r="N832" s="13"/>
      <c r="O832" s="13"/>
      <c r="P832" s="13"/>
      <c r="Q832" s="13"/>
      <c r="R832" s="300"/>
      <c r="S832" s="13"/>
      <c r="T832" s="13"/>
      <c r="U832" s="300"/>
      <c r="V832" s="13"/>
      <c r="W832" s="13"/>
      <c r="X832" s="300"/>
      <c r="Y832" s="13"/>
      <c r="Z832" s="13"/>
      <c r="AA832" s="300"/>
      <c r="AB832" s="13"/>
      <c r="AC832" s="13"/>
      <c r="AD832" s="300"/>
      <c r="AE832" s="13"/>
      <c r="AF832" s="13"/>
      <c r="AG832" s="300"/>
      <c r="AH832" s="13"/>
      <c r="AI832" s="13"/>
      <c r="AJ832" s="300"/>
      <c r="AK832" s="13"/>
      <c r="AL832" s="301"/>
      <c r="AM832" s="300"/>
      <c r="AN832" s="13"/>
      <c r="AO832" s="301"/>
      <c r="AP832" s="300"/>
    </row>
    <row r="833">
      <c r="A833" s="13"/>
      <c r="B833" s="13"/>
      <c r="C833" s="13"/>
      <c r="D833" s="13"/>
      <c r="E833" s="13"/>
      <c r="F833" s="13"/>
      <c r="G833" s="13"/>
      <c r="H833" s="13"/>
      <c r="I833" s="13"/>
      <c r="J833" s="13"/>
      <c r="K833" s="13"/>
      <c r="L833" s="13"/>
      <c r="M833" s="13"/>
      <c r="N833" s="13"/>
      <c r="O833" s="13"/>
      <c r="P833" s="13"/>
      <c r="Q833" s="13"/>
      <c r="R833" s="300"/>
      <c r="S833" s="13"/>
      <c r="T833" s="13"/>
      <c r="U833" s="300"/>
      <c r="V833" s="13"/>
      <c r="W833" s="13"/>
      <c r="X833" s="300"/>
      <c r="Y833" s="13"/>
      <c r="Z833" s="13"/>
      <c r="AA833" s="300"/>
      <c r="AB833" s="13"/>
      <c r="AC833" s="13"/>
      <c r="AD833" s="300"/>
      <c r="AE833" s="13"/>
      <c r="AF833" s="13"/>
      <c r="AG833" s="300"/>
      <c r="AH833" s="13"/>
      <c r="AI833" s="13"/>
      <c r="AJ833" s="300"/>
      <c r="AK833" s="13"/>
      <c r="AL833" s="301"/>
      <c r="AM833" s="300"/>
      <c r="AN833" s="13"/>
      <c r="AO833" s="301"/>
      <c r="AP833" s="300"/>
    </row>
    <row r="834">
      <c r="A834" s="13"/>
      <c r="B834" s="13"/>
      <c r="C834" s="13"/>
      <c r="D834" s="13"/>
      <c r="E834" s="13"/>
      <c r="F834" s="13"/>
      <c r="G834" s="13"/>
      <c r="H834" s="13"/>
      <c r="I834" s="13"/>
      <c r="J834" s="13"/>
      <c r="K834" s="13"/>
      <c r="L834" s="13"/>
      <c r="M834" s="13"/>
      <c r="N834" s="13"/>
      <c r="O834" s="13"/>
      <c r="P834" s="13"/>
      <c r="Q834" s="13"/>
      <c r="R834" s="300"/>
      <c r="S834" s="13"/>
      <c r="T834" s="13"/>
      <c r="U834" s="300"/>
      <c r="V834" s="13"/>
      <c r="W834" s="13"/>
      <c r="X834" s="300"/>
      <c r="Y834" s="13"/>
      <c r="Z834" s="13"/>
      <c r="AA834" s="300"/>
      <c r="AB834" s="13"/>
      <c r="AC834" s="13"/>
      <c r="AD834" s="300"/>
      <c r="AE834" s="13"/>
      <c r="AF834" s="13"/>
      <c r="AG834" s="300"/>
      <c r="AH834" s="13"/>
      <c r="AI834" s="13"/>
      <c r="AJ834" s="300"/>
      <c r="AK834" s="13"/>
      <c r="AL834" s="301"/>
      <c r="AM834" s="300"/>
      <c r="AN834" s="13"/>
      <c r="AO834" s="301"/>
      <c r="AP834" s="300"/>
    </row>
    <row r="835">
      <c r="A835" s="13"/>
      <c r="B835" s="13"/>
      <c r="C835" s="13"/>
      <c r="D835" s="13"/>
      <c r="E835" s="13"/>
      <c r="F835" s="13"/>
      <c r="G835" s="13"/>
      <c r="H835" s="13"/>
      <c r="I835" s="13"/>
      <c r="J835" s="13"/>
      <c r="K835" s="13"/>
      <c r="L835" s="13"/>
      <c r="M835" s="13"/>
      <c r="N835" s="13"/>
      <c r="O835" s="13"/>
      <c r="P835" s="13"/>
      <c r="Q835" s="13"/>
      <c r="R835" s="300"/>
      <c r="S835" s="13"/>
      <c r="T835" s="13"/>
      <c r="U835" s="300"/>
      <c r="V835" s="13"/>
      <c r="W835" s="13"/>
      <c r="X835" s="300"/>
      <c r="Y835" s="13"/>
      <c r="Z835" s="13"/>
      <c r="AA835" s="300"/>
      <c r="AB835" s="13"/>
      <c r="AC835" s="13"/>
      <c r="AD835" s="300"/>
      <c r="AE835" s="13"/>
      <c r="AF835" s="13"/>
      <c r="AG835" s="300"/>
      <c r="AH835" s="13"/>
      <c r="AI835" s="13"/>
      <c r="AJ835" s="300"/>
      <c r="AK835" s="13"/>
      <c r="AL835" s="301"/>
      <c r="AM835" s="300"/>
      <c r="AN835" s="13"/>
      <c r="AO835" s="301"/>
      <c r="AP835" s="300"/>
    </row>
    <row r="836">
      <c r="A836" s="13"/>
      <c r="B836" s="13"/>
      <c r="C836" s="13"/>
      <c r="D836" s="13"/>
      <c r="E836" s="13"/>
      <c r="F836" s="13"/>
      <c r="G836" s="13"/>
      <c r="H836" s="13"/>
      <c r="I836" s="13"/>
      <c r="J836" s="13"/>
      <c r="K836" s="13"/>
      <c r="L836" s="13"/>
      <c r="M836" s="13"/>
      <c r="N836" s="13"/>
      <c r="O836" s="13"/>
      <c r="P836" s="13"/>
      <c r="Q836" s="13"/>
      <c r="R836" s="300"/>
      <c r="S836" s="13"/>
      <c r="T836" s="13"/>
      <c r="U836" s="300"/>
      <c r="V836" s="13"/>
      <c r="W836" s="13"/>
      <c r="X836" s="300"/>
      <c r="Y836" s="13"/>
      <c r="Z836" s="13"/>
      <c r="AA836" s="300"/>
      <c r="AB836" s="13"/>
      <c r="AC836" s="13"/>
      <c r="AD836" s="300"/>
      <c r="AE836" s="13"/>
      <c r="AF836" s="13"/>
      <c r="AG836" s="300"/>
      <c r="AH836" s="13"/>
      <c r="AI836" s="13"/>
      <c r="AJ836" s="300"/>
      <c r="AK836" s="13"/>
      <c r="AL836" s="301"/>
      <c r="AM836" s="300"/>
      <c r="AN836" s="13"/>
      <c r="AO836" s="301"/>
      <c r="AP836" s="300"/>
    </row>
    <row r="837">
      <c r="A837" s="13"/>
      <c r="B837" s="13"/>
      <c r="C837" s="13"/>
      <c r="D837" s="13"/>
      <c r="E837" s="13"/>
      <c r="F837" s="13"/>
      <c r="G837" s="13"/>
      <c r="H837" s="13"/>
      <c r="I837" s="13"/>
      <c r="J837" s="13"/>
      <c r="K837" s="13"/>
      <c r="L837" s="13"/>
      <c r="M837" s="13"/>
      <c r="N837" s="13"/>
      <c r="O837" s="13"/>
      <c r="P837" s="13"/>
      <c r="Q837" s="13"/>
      <c r="R837" s="300"/>
      <c r="S837" s="13"/>
      <c r="T837" s="13"/>
      <c r="U837" s="300"/>
      <c r="V837" s="13"/>
      <c r="W837" s="13"/>
      <c r="X837" s="300"/>
      <c r="Y837" s="13"/>
      <c r="Z837" s="13"/>
      <c r="AA837" s="300"/>
      <c r="AB837" s="13"/>
      <c r="AC837" s="13"/>
      <c r="AD837" s="300"/>
      <c r="AE837" s="13"/>
      <c r="AF837" s="13"/>
      <c r="AG837" s="300"/>
      <c r="AH837" s="13"/>
      <c r="AI837" s="13"/>
      <c r="AJ837" s="300"/>
      <c r="AK837" s="13"/>
      <c r="AL837" s="301"/>
      <c r="AM837" s="300"/>
      <c r="AN837" s="13"/>
      <c r="AO837" s="301"/>
      <c r="AP837" s="300"/>
    </row>
    <row r="838">
      <c r="A838" s="13"/>
      <c r="B838" s="13"/>
      <c r="C838" s="13"/>
      <c r="D838" s="13"/>
      <c r="E838" s="13"/>
      <c r="F838" s="13"/>
      <c r="G838" s="13"/>
      <c r="H838" s="13"/>
      <c r="I838" s="13"/>
      <c r="J838" s="13"/>
      <c r="K838" s="13"/>
      <c r="L838" s="13"/>
      <c r="M838" s="13"/>
      <c r="N838" s="13"/>
      <c r="O838" s="13"/>
      <c r="P838" s="13"/>
      <c r="Q838" s="13"/>
      <c r="R838" s="300"/>
      <c r="S838" s="13"/>
      <c r="T838" s="13"/>
      <c r="U838" s="300"/>
      <c r="V838" s="13"/>
      <c r="W838" s="13"/>
      <c r="X838" s="300"/>
      <c r="Y838" s="13"/>
      <c r="Z838" s="13"/>
      <c r="AA838" s="300"/>
      <c r="AB838" s="13"/>
      <c r="AC838" s="13"/>
      <c r="AD838" s="300"/>
      <c r="AE838" s="13"/>
      <c r="AF838" s="13"/>
      <c r="AG838" s="300"/>
      <c r="AH838" s="13"/>
      <c r="AI838" s="13"/>
      <c r="AJ838" s="300"/>
      <c r="AK838" s="13"/>
      <c r="AL838" s="301"/>
      <c r="AM838" s="300"/>
      <c r="AN838" s="13"/>
      <c r="AO838" s="301"/>
      <c r="AP838" s="300"/>
    </row>
    <row r="839">
      <c r="A839" s="13"/>
      <c r="B839" s="13"/>
      <c r="C839" s="13"/>
      <c r="D839" s="13"/>
      <c r="E839" s="13"/>
      <c r="F839" s="13"/>
      <c r="G839" s="13"/>
      <c r="H839" s="13"/>
      <c r="I839" s="13"/>
      <c r="J839" s="13"/>
      <c r="K839" s="13"/>
      <c r="L839" s="13"/>
      <c r="M839" s="13"/>
      <c r="N839" s="13"/>
      <c r="O839" s="13"/>
      <c r="P839" s="13"/>
      <c r="Q839" s="13"/>
      <c r="R839" s="300"/>
      <c r="S839" s="13"/>
      <c r="T839" s="13"/>
      <c r="U839" s="300"/>
      <c r="V839" s="13"/>
      <c r="W839" s="13"/>
      <c r="X839" s="300"/>
      <c r="Y839" s="13"/>
      <c r="Z839" s="13"/>
      <c r="AA839" s="300"/>
      <c r="AB839" s="13"/>
      <c r="AC839" s="13"/>
      <c r="AD839" s="300"/>
      <c r="AE839" s="13"/>
      <c r="AF839" s="13"/>
      <c r="AG839" s="300"/>
      <c r="AH839" s="13"/>
      <c r="AI839" s="13"/>
      <c r="AJ839" s="300"/>
      <c r="AK839" s="13"/>
      <c r="AL839" s="301"/>
      <c r="AM839" s="300"/>
      <c r="AN839" s="13"/>
      <c r="AO839" s="301"/>
      <c r="AP839" s="300"/>
    </row>
    <row r="840">
      <c r="A840" s="13"/>
      <c r="B840" s="13"/>
      <c r="C840" s="13"/>
      <c r="D840" s="13"/>
      <c r="E840" s="13"/>
      <c r="F840" s="13"/>
      <c r="G840" s="13"/>
      <c r="H840" s="13"/>
      <c r="I840" s="13"/>
      <c r="J840" s="13"/>
      <c r="K840" s="13"/>
      <c r="L840" s="13"/>
      <c r="M840" s="13"/>
      <c r="N840" s="13"/>
      <c r="O840" s="13"/>
      <c r="P840" s="13"/>
      <c r="Q840" s="13"/>
      <c r="R840" s="300"/>
      <c r="S840" s="13"/>
      <c r="T840" s="13"/>
      <c r="U840" s="300"/>
      <c r="V840" s="13"/>
      <c r="W840" s="13"/>
      <c r="X840" s="300"/>
      <c r="Y840" s="13"/>
      <c r="Z840" s="13"/>
      <c r="AA840" s="300"/>
      <c r="AB840" s="13"/>
      <c r="AC840" s="13"/>
      <c r="AD840" s="300"/>
      <c r="AE840" s="13"/>
      <c r="AF840" s="13"/>
      <c r="AG840" s="300"/>
      <c r="AH840" s="13"/>
      <c r="AI840" s="13"/>
      <c r="AJ840" s="300"/>
      <c r="AK840" s="13"/>
      <c r="AL840" s="301"/>
      <c r="AM840" s="300"/>
      <c r="AN840" s="13"/>
      <c r="AO840" s="301"/>
      <c r="AP840" s="300"/>
    </row>
    <row r="841">
      <c r="A841" s="13"/>
      <c r="B841" s="13"/>
      <c r="C841" s="13"/>
      <c r="D841" s="13"/>
      <c r="E841" s="13"/>
      <c r="F841" s="13"/>
      <c r="G841" s="13"/>
      <c r="H841" s="13"/>
      <c r="I841" s="13"/>
      <c r="J841" s="13"/>
      <c r="K841" s="13"/>
      <c r="L841" s="13"/>
      <c r="M841" s="13"/>
      <c r="N841" s="13"/>
      <c r="O841" s="13"/>
      <c r="P841" s="13"/>
      <c r="Q841" s="13"/>
      <c r="R841" s="300"/>
      <c r="S841" s="13"/>
      <c r="T841" s="13"/>
      <c r="U841" s="300"/>
      <c r="V841" s="13"/>
      <c r="W841" s="13"/>
      <c r="X841" s="300"/>
      <c r="Y841" s="13"/>
      <c r="Z841" s="13"/>
      <c r="AA841" s="300"/>
      <c r="AB841" s="13"/>
      <c r="AC841" s="13"/>
      <c r="AD841" s="300"/>
      <c r="AE841" s="13"/>
      <c r="AF841" s="13"/>
      <c r="AG841" s="300"/>
      <c r="AH841" s="13"/>
      <c r="AI841" s="13"/>
      <c r="AJ841" s="300"/>
      <c r="AK841" s="13"/>
      <c r="AL841" s="301"/>
      <c r="AM841" s="300"/>
      <c r="AN841" s="13"/>
      <c r="AO841" s="301"/>
      <c r="AP841" s="300"/>
    </row>
    <row r="842">
      <c r="A842" s="13"/>
      <c r="B842" s="13"/>
      <c r="C842" s="13"/>
      <c r="D842" s="13"/>
      <c r="E842" s="13"/>
      <c r="F842" s="13"/>
      <c r="G842" s="13"/>
      <c r="H842" s="13"/>
      <c r="I842" s="13"/>
      <c r="J842" s="13"/>
      <c r="K842" s="13"/>
      <c r="L842" s="13"/>
      <c r="M842" s="13"/>
      <c r="N842" s="13"/>
      <c r="O842" s="13"/>
      <c r="P842" s="13"/>
      <c r="Q842" s="13"/>
      <c r="R842" s="300"/>
      <c r="S842" s="13"/>
      <c r="T842" s="13"/>
      <c r="U842" s="300"/>
      <c r="V842" s="13"/>
      <c r="W842" s="13"/>
      <c r="X842" s="300"/>
      <c r="Y842" s="13"/>
      <c r="Z842" s="13"/>
      <c r="AA842" s="300"/>
      <c r="AB842" s="13"/>
      <c r="AC842" s="13"/>
      <c r="AD842" s="300"/>
      <c r="AE842" s="13"/>
      <c r="AF842" s="13"/>
      <c r="AG842" s="300"/>
      <c r="AH842" s="13"/>
      <c r="AI842" s="13"/>
      <c r="AJ842" s="300"/>
      <c r="AK842" s="13"/>
      <c r="AL842" s="301"/>
      <c r="AM842" s="300"/>
      <c r="AN842" s="13"/>
      <c r="AO842" s="301"/>
      <c r="AP842" s="300"/>
    </row>
    <row r="843">
      <c r="A843" s="13"/>
      <c r="B843" s="13"/>
      <c r="C843" s="13"/>
      <c r="D843" s="13"/>
      <c r="E843" s="13"/>
      <c r="F843" s="13"/>
      <c r="G843" s="13"/>
      <c r="H843" s="13"/>
      <c r="I843" s="13"/>
      <c r="J843" s="13"/>
      <c r="K843" s="13"/>
      <c r="L843" s="13"/>
      <c r="M843" s="13"/>
      <c r="N843" s="13"/>
      <c r="O843" s="13"/>
      <c r="P843" s="13"/>
      <c r="Q843" s="13"/>
      <c r="R843" s="300"/>
      <c r="S843" s="13"/>
      <c r="T843" s="13"/>
      <c r="U843" s="300"/>
      <c r="V843" s="13"/>
      <c r="W843" s="13"/>
      <c r="X843" s="300"/>
      <c r="Y843" s="13"/>
      <c r="Z843" s="13"/>
      <c r="AA843" s="300"/>
      <c r="AB843" s="13"/>
      <c r="AC843" s="13"/>
      <c r="AD843" s="300"/>
      <c r="AE843" s="13"/>
      <c r="AF843" s="13"/>
      <c r="AG843" s="300"/>
      <c r="AH843" s="13"/>
      <c r="AI843" s="13"/>
      <c r="AJ843" s="300"/>
      <c r="AK843" s="13"/>
      <c r="AL843" s="301"/>
      <c r="AM843" s="300"/>
      <c r="AN843" s="13"/>
      <c r="AO843" s="301"/>
      <c r="AP843" s="300"/>
    </row>
    <row r="844">
      <c r="A844" s="13"/>
      <c r="B844" s="13"/>
      <c r="C844" s="13"/>
      <c r="D844" s="13"/>
      <c r="E844" s="13"/>
      <c r="F844" s="13"/>
      <c r="G844" s="13"/>
      <c r="H844" s="13"/>
      <c r="I844" s="13"/>
      <c r="J844" s="13"/>
      <c r="K844" s="13"/>
      <c r="L844" s="13"/>
      <c r="M844" s="13"/>
      <c r="N844" s="13"/>
      <c r="O844" s="13"/>
      <c r="P844" s="13"/>
      <c r="Q844" s="13"/>
      <c r="R844" s="300"/>
      <c r="S844" s="13"/>
      <c r="T844" s="13"/>
      <c r="U844" s="300"/>
      <c r="V844" s="13"/>
      <c r="W844" s="13"/>
      <c r="X844" s="300"/>
      <c r="Y844" s="13"/>
      <c r="Z844" s="13"/>
      <c r="AA844" s="300"/>
      <c r="AB844" s="13"/>
      <c r="AC844" s="13"/>
      <c r="AD844" s="300"/>
      <c r="AE844" s="13"/>
      <c r="AF844" s="13"/>
      <c r="AG844" s="300"/>
      <c r="AH844" s="13"/>
      <c r="AI844" s="13"/>
      <c r="AJ844" s="300"/>
      <c r="AK844" s="13"/>
      <c r="AL844" s="301"/>
      <c r="AM844" s="300"/>
      <c r="AN844" s="13"/>
      <c r="AO844" s="301"/>
      <c r="AP844" s="300"/>
    </row>
    <row r="845">
      <c r="A845" s="13"/>
      <c r="B845" s="13"/>
      <c r="C845" s="13"/>
      <c r="D845" s="13"/>
      <c r="E845" s="13"/>
      <c r="F845" s="13"/>
      <c r="G845" s="13"/>
      <c r="H845" s="13"/>
      <c r="I845" s="13"/>
      <c r="J845" s="13"/>
      <c r="K845" s="13"/>
      <c r="L845" s="13"/>
      <c r="M845" s="13"/>
      <c r="N845" s="13"/>
      <c r="O845" s="13"/>
      <c r="P845" s="13"/>
      <c r="Q845" s="13"/>
      <c r="R845" s="300"/>
      <c r="S845" s="13"/>
      <c r="T845" s="13"/>
      <c r="U845" s="300"/>
      <c r="V845" s="13"/>
      <c r="W845" s="13"/>
      <c r="X845" s="300"/>
      <c r="Y845" s="13"/>
      <c r="Z845" s="13"/>
      <c r="AA845" s="300"/>
      <c r="AB845" s="13"/>
      <c r="AC845" s="13"/>
      <c r="AD845" s="300"/>
      <c r="AE845" s="13"/>
      <c r="AF845" s="13"/>
      <c r="AG845" s="300"/>
      <c r="AH845" s="13"/>
      <c r="AI845" s="13"/>
      <c r="AJ845" s="300"/>
      <c r="AK845" s="13"/>
      <c r="AL845" s="301"/>
      <c r="AM845" s="300"/>
      <c r="AN845" s="13"/>
      <c r="AO845" s="301"/>
      <c r="AP845" s="300"/>
    </row>
    <row r="846">
      <c r="A846" s="13"/>
      <c r="B846" s="13"/>
      <c r="C846" s="13"/>
      <c r="D846" s="13"/>
      <c r="E846" s="13"/>
      <c r="F846" s="13"/>
      <c r="G846" s="13"/>
      <c r="H846" s="13"/>
      <c r="I846" s="13"/>
      <c r="J846" s="13"/>
      <c r="K846" s="13"/>
      <c r="L846" s="13"/>
      <c r="M846" s="13"/>
      <c r="N846" s="13"/>
      <c r="O846" s="13"/>
      <c r="P846" s="13"/>
      <c r="Q846" s="13"/>
      <c r="R846" s="300"/>
      <c r="S846" s="13"/>
      <c r="T846" s="13"/>
      <c r="U846" s="300"/>
      <c r="V846" s="13"/>
      <c r="W846" s="13"/>
      <c r="X846" s="300"/>
      <c r="Y846" s="13"/>
      <c r="Z846" s="13"/>
      <c r="AA846" s="300"/>
      <c r="AB846" s="13"/>
      <c r="AC846" s="13"/>
      <c r="AD846" s="300"/>
      <c r="AE846" s="13"/>
      <c r="AF846" s="13"/>
      <c r="AG846" s="300"/>
      <c r="AH846" s="13"/>
      <c r="AI846" s="13"/>
      <c r="AJ846" s="300"/>
      <c r="AK846" s="13"/>
      <c r="AL846" s="301"/>
      <c r="AM846" s="300"/>
      <c r="AN846" s="13"/>
      <c r="AO846" s="301"/>
      <c r="AP846" s="300"/>
    </row>
    <row r="847">
      <c r="A847" s="13"/>
      <c r="B847" s="13"/>
      <c r="C847" s="13"/>
      <c r="D847" s="13"/>
      <c r="E847" s="13"/>
      <c r="F847" s="13"/>
      <c r="G847" s="13"/>
      <c r="H847" s="13"/>
      <c r="I847" s="13"/>
      <c r="J847" s="13"/>
      <c r="K847" s="13"/>
      <c r="L847" s="13"/>
      <c r="M847" s="13"/>
      <c r="N847" s="13"/>
      <c r="O847" s="13"/>
      <c r="P847" s="13"/>
      <c r="Q847" s="13"/>
      <c r="R847" s="300"/>
      <c r="S847" s="13"/>
      <c r="T847" s="13"/>
      <c r="U847" s="300"/>
      <c r="V847" s="13"/>
      <c r="W847" s="13"/>
      <c r="X847" s="300"/>
      <c r="Y847" s="13"/>
      <c r="Z847" s="13"/>
      <c r="AA847" s="300"/>
      <c r="AB847" s="13"/>
      <c r="AC847" s="13"/>
      <c r="AD847" s="300"/>
      <c r="AE847" s="13"/>
      <c r="AF847" s="13"/>
      <c r="AG847" s="300"/>
      <c r="AH847" s="13"/>
      <c r="AI847" s="13"/>
      <c r="AJ847" s="300"/>
      <c r="AK847" s="13"/>
      <c r="AL847" s="301"/>
      <c r="AM847" s="300"/>
      <c r="AN847" s="13"/>
      <c r="AO847" s="301"/>
      <c r="AP847" s="300"/>
    </row>
    <row r="848">
      <c r="A848" s="13"/>
      <c r="B848" s="13"/>
      <c r="C848" s="13"/>
      <c r="D848" s="13"/>
      <c r="E848" s="13"/>
      <c r="F848" s="13"/>
      <c r="G848" s="13"/>
      <c r="H848" s="13"/>
      <c r="I848" s="13"/>
      <c r="J848" s="13"/>
      <c r="K848" s="13"/>
      <c r="L848" s="13"/>
      <c r="M848" s="13"/>
      <c r="N848" s="13"/>
      <c r="O848" s="13"/>
      <c r="P848" s="13"/>
      <c r="Q848" s="13"/>
      <c r="R848" s="300"/>
      <c r="S848" s="13"/>
      <c r="T848" s="13"/>
      <c r="U848" s="300"/>
      <c r="V848" s="13"/>
      <c r="W848" s="13"/>
      <c r="X848" s="300"/>
      <c r="Y848" s="13"/>
      <c r="Z848" s="13"/>
      <c r="AA848" s="300"/>
      <c r="AB848" s="13"/>
      <c r="AC848" s="13"/>
      <c r="AD848" s="300"/>
      <c r="AE848" s="13"/>
      <c r="AF848" s="13"/>
      <c r="AG848" s="300"/>
      <c r="AH848" s="13"/>
      <c r="AI848" s="13"/>
      <c r="AJ848" s="300"/>
      <c r="AK848" s="13"/>
      <c r="AL848" s="301"/>
      <c r="AM848" s="300"/>
      <c r="AN848" s="13"/>
      <c r="AO848" s="301"/>
      <c r="AP848" s="300"/>
    </row>
    <row r="849">
      <c r="A849" s="13"/>
      <c r="B849" s="13"/>
      <c r="C849" s="13"/>
      <c r="D849" s="13"/>
      <c r="E849" s="13"/>
      <c r="F849" s="13"/>
      <c r="G849" s="13"/>
      <c r="H849" s="13"/>
      <c r="I849" s="13"/>
      <c r="J849" s="13"/>
      <c r="K849" s="13"/>
      <c r="L849" s="13"/>
      <c r="M849" s="13"/>
      <c r="N849" s="13"/>
      <c r="O849" s="13"/>
      <c r="P849" s="13"/>
      <c r="Q849" s="13"/>
      <c r="R849" s="300"/>
      <c r="S849" s="13"/>
      <c r="T849" s="13"/>
      <c r="U849" s="300"/>
      <c r="V849" s="13"/>
      <c r="W849" s="13"/>
      <c r="X849" s="300"/>
      <c r="Y849" s="13"/>
      <c r="Z849" s="13"/>
      <c r="AA849" s="300"/>
      <c r="AB849" s="13"/>
      <c r="AC849" s="13"/>
      <c r="AD849" s="300"/>
      <c r="AE849" s="13"/>
      <c r="AF849" s="13"/>
      <c r="AG849" s="300"/>
      <c r="AH849" s="13"/>
      <c r="AI849" s="13"/>
      <c r="AJ849" s="300"/>
      <c r="AK849" s="13"/>
      <c r="AL849" s="301"/>
      <c r="AM849" s="300"/>
      <c r="AN849" s="13"/>
      <c r="AO849" s="301"/>
      <c r="AP849" s="300"/>
    </row>
    <row r="850">
      <c r="A850" s="13"/>
      <c r="B850" s="13"/>
      <c r="C850" s="13"/>
      <c r="D850" s="13"/>
      <c r="E850" s="13"/>
      <c r="F850" s="13"/>
      <c r="G850" s="13"/>
      <c r="H850" s="13"/>
      <c r="I850" s="13"/>
      <c r="J850" s="13"/>
      <c r="K850" s="13"/>
      <c r="L850" s="13"/>
      <c r="M850" s="13"/>
      <c r="N850" s="13"/>
      <c r="O850" s="13"/>
      <c r="P850" s="13"/>
      <c r="Q850" s="13"/>
      <c r="R850" s="300"/>
      <c r="S850" s="13"/>
      <c r="T850" s="13"/>
      <c r="U850" s="300"/>
      <c r="V850" s="13"/>
      <c r="W850" s="13"/>
      <c r="X850" s="300"/>
      <c r="Y850" s="13"/>
      <c r="Z850" s="13"/>
      <c r="AA850" s="300"/>
      <c r="AB850" s="13"/>
      <c r="AC850" s="13"/>
      <c r="AD850" s="300"/>
      <c r="AE850" s="13"/>
      <c r="AF850" s="13"/>
      <c r="AG850" s="300"/>
      <c r="AH850" s="13"/>
      <c r="AI850" s="13"/>
      <c r="AJ850" s="300"/>
      <c r="AK850" s="13"/>
      <c r="AL850" s="301"/>
      <c r="AM850" s="300"/>
      <c r="AN850" s="13"/>
      <c r="AO850" s="301"/>
      <c r="AP850" s="300"/>
    </row>
    <row r="851">
      <c r="A851" s="13"/>
      <c r="B851" s="13"/>
      <c r="C851" s="13"/>
      <c r="D851" s="13"/>
      <c r="E851" s="13"/>
      <c r="F851" s="13"/>
      <c r="G851" s="13"/>
      <c r="H851" s="13"/>
      <c r="I851" s="13"/>
      <c r="J851" s="13"/>
      <c r="K851" s="13"/>
      <c r="L851" s="13"/>
      <c r="M851" s="13"/>
      <c r="N851" s="13"/>
      <c r="O851" s="13"/>
      <c r="P851" s="13"/>
      <c r="Q851" s="13"/>
      <c r="R851" s="300"/>
      <c r="S851" s="13"/>
      <c r="T851" s="13"/>
      <c r="U851" s="300"/>
      <c r="V851" s="13"/>
      <c r="W851" s="13"/>
      <c r="X851" s="300"/>
      <c r="Y851" s="13"/>
      <c r="Z851" s="13"/>
      <c r="AA851" s="300"/>
      <c r="AB851" s="13"/>
      <c r="AC851" s="13"/>
      <c r="AD851" s="300"/>
      <c r="AE851" s="13"/>
      <c r="AF851" s="13"/>
      <c r="AG851" s="300"/>
      <c r="AH851" s="13"/>
      <c r="AI851" s="13"/>
      <c r="AJ851" s="300"/>
      <c r="AK851" s="13"/>
      <c r="AL851" s="301"/>
      <c r="AM851" s="300"/>
      <c r="AN851" s="13"/>
      <c r="AO851" s="301"/>
      <c r="AP851" s="300"/>
    </row>
    <row r="852">
      <c r="A852" s="13"/>
      <c r="B852" s="13"/>
      <c r="C852" s="13"/>
      <c r="D852" s="13"/>
      <c r="E852" s="13"/>
      <c r="F852" s="13"/>
      <c r="G852" s="13"/>
      <c r="H852" s="13"/>
      <c r="I852" s="13"/>
      <c r="J852" s="13"/>
      <c r="K852" s="13"/>
      <c r="L852" s="13"/>
      <c r="M852" s="13"/>
      <c r="N852" s="13"/>
      <c r="O852" s="13"/>
      <c r="P852" s="13"/>
      <c r="Q852" s="13"/>
      <c r="R852" s="300"/>
      <c r="S852" s="13"/>
      <c r="T852" s="13"/>
      <c r="U852" s="300"/>
      <c r="V852" s="13"/>
      <c r="W852" s="13"/>
      <c r="X852" s="300"/>
      <c r="Y852" s="13"/>
      <c r="Z852" s="13"/>
      <c r="AA852" s="300"/>
      <c r="AB852" s="13"/>
      <c r="AC852" s="13"/>
      <c r="AD852" s="300"/>
      <c r="AE852" s="13"/>
      <c r="AF852" s="13"/>
      <c r="AG852" s="300"/>
      <c r="AH852" s="13"/>
      <c r="AI852" s="13"/>
      <c r="AJ852" s="300"/>
      <c r="AK852" s="13"/>
      <c r="AL852" s="301"/>
      <c r="AM852" s="300"/>
      <c r="AN852" s="13"/>
      <c r="AO852" s="301"/>
      <c r="AP852" s="300"/>
    </row>
    <row r="853">
      <c r="A853" s="13"/>
      <c r="B853" s="13"/>
      <c r="C853" s="13"/>
      <c r="D853" s="13"/>
      <c r="E853" s="13"/>
      <c r="F853" s="13"/>
      <c r="G853" s="13"/>
      <c r="H853" s="13"/>
      <c r="I853" s="13"/>
      <c r="J853" s="13"/>
      <c r="K853" s="13"/>
      <c r="L853" s="13"/>
      <c r="M853" s="13"/>
      <c r="N853" s="13"/>
      <c r="O853" s="13"/>
      <c r="P853" s="13"/>
      <c r="Q853" s="13"/>
      <c r="R853" s="300"/>
      <c r="S853" s="13"/>
      <c r="T853" s="13"/>
      <c r="U853" s="300"/>
      <c r="V853" s="13"/>
      <c r="W853" s="13"/>
      <c r="X853" s="300"/>
      <c r="Y853" s="13"/>
      <c r="Z853" s="13"/>
      <c r="AA853" s="300"/>
      <c r="AB853" s="13"/>
      <c r="AC853" s="13"/>
      <c r="AD853" s="300"/>
      <c r="AE853" s="13"/>
      <c r="AF853" s="13"/>
      <c r="AG853" s="300"/>
      <c r="AH853" s="13"/>
      <c r="AI853" s="13"/>
      <c r="AJ853" s="300"/>
      <c r="AK853" s="13"/>
      <c r="AL853" s="301"/>
      <c r="AM853" s="300"/>
      <c r="AN853" s="13"/>
      <c r="AO853" s="301"/>
      <c r="AP853" s="300"/>
    </row>
    <row r="854">
      <c r="A854" s="13"/>
      <c r="B854" s="13"/>
      <c r="C854" s="13"/>
      <c r="D854" s="13"/>
      <c r="E854" s="13"/>
      <c r="F854" s="13"/>
      <c r="G854" s="13"/>
      <c r="H854" s="13"/>
      <c r="I854" s="13"/>
      <c r="J854" s="13"/>
      <c r="K854" s="13"/>
      <c r="L854" s="13"/>
      <c r="M854" s="13"/>
      <c r="N854" s="13"/>
      <c r="O854" s="13"/>
      <c r="P854" s="13"/>
      <c r="Q854" s="13"/>
      <c r="R854" s="300"/>
      <c r="S854" s="13"/>
      <c r="T854" s="13"/>
      <c r="U854" s="300"/>
      <c r="V854" s="13"/>
      <c r="W854" s="13"/>
      <c r="X854" s="300"/>
      <c r="Y854" s="13"/>
      <c r="Z854" s="13"/>
      <c r="AA854" s="300"/>
      <c r="AB854" s="13"/>
      <c r="AC854" s="13"/>
      <c r="AD854" s="300"/>
      <c r="AE854" s="13"/>
      <c r="AF854" s="13"/>
      <c r="AG854" s="300"/>
      <c r="AH854" s="13"/>
      <c r="AI854" s="13"/>
      <c r="AJ854" s="300"/>
      <c r="AK854" s="13"/>
      <c r="AL854" s="301"/>
      <c r="AM854" s="300"/>
      <c r="AN854" s="13"/>
      <c r="AO854" s="301"/>
      <c r="AP854" s="300"/>
    </row>
    <row r="855">
      <c r="A855" s="13"/>
      <c r="B855" s="13"/>
      <c r="C855" s="13"/>
      <c r="D855" s="13"/>
      <c r="E855" s="13"/>
      <c r="F855" s="13"/>
      <c r="G855" s="13"/>
      <c r="H855" s="13"/>
      <c r="I855" s="13"/>
      <c r="J855" s="13"/>
      <c r="K855" s="13"/>
      <c r="L855" s="13"/>
      <c r="M855" s="13"/>
      <c r="N855" s="13"/>
      <c r="O855" s="13"/>
      <c r="P855" s="13"/>
      <c r="Q855" s="13"/>
      <c r="R855" s="300"/>
      <c r="S855" s="13"/>
      <c r="T855" s="13"/>
      <c r="U855" s="300"/>
      <c r="V855" s="13"/>
      <c r="W855" s="13"/>
      <c r="X855" s="300"/>
      <c r="Y855" s="13"/>
      <c r="Z855" s="13"/>
      <c r="AA855" s="300"/>
      <c r="AB855" s="13"/>
      <c r="AC855" s="13"/>
      <c r="AD855" s="300"/>
      <c r="AE855" s="13"/>
      <c r="AF855" s="13"/>
      <c r="AG855" s="300"/>
      <c r="AH855" s="13"/>
      <c r="AI855" s="13"/>
      <c r="AJ855" s="300"/>
      <c r="AK855" s="13"/>
      <c r="AL855" s="301"/>
      <c r="AM855" s="300"/>
      <c r="AN855" s="13"/>
      <c r="AO855" s="301"/>
      <c r="AP855" s="300"/>
    </row>
    <row r="856">
      <c r="A856" s="13"/>
      <c r="B856" s="13"/>
      <c r="C856" s="13"/>
      <c r="D856" s="13"/>
      <c r="E856" s="13"/>
      <c r="F856" s="13"/>
      <c r="G856" s="13"/>
      <c r="H856" s="13"/>
      <c r="I856" s="13"/>
      <c r="J856" s="13"/>
      <c r="K856" s="13"/>
      <c r="L856" s="13"/>
      <c r="M856" s="13"/>
      <c r="N856" s="13"/>
      <c r="O856" s="13"/>
      <c r="P856" s="13"/>
      <c r="Q856" s="13"/>
      <c r="R856" s="300"/>
      <c r="S856" s="13"/>
      <c r="T856" s="13"/>
      <c r="U856" s="300"/>
      <c r="V856" s="13"/>
      <c r="W856" s="13"/>
      <c r="X856" s="300"/>
      <c r="Y856" s="13"/>
      <c r="Z856" s="13"/>
      <c r="AA856" s="300"/>
      <c r="AB856" s="13"/>
      <c r="AC856" s="13"/>
      <c r="AD856" s="300"/>
      <c r="AE856" s="13"/>
      <c r="AF856" s="13"/>
      <c r="AG856" s="300"/>
      <c r="AH856" s="13"/>
      <c r="AI856" s="13"/>
      <c r="AJ856" s="300"/>
      <c r="AK856" s="13"/>
      <c r="AL856" s="301"/>
      <c r="AM856" s="300"/>
      <c r="AN856" s="13"/>
      <c r="AO856" s="301"/>
      <c r="AP856" s="300"/>
    </row>
    <row r="857">
      <c r="A857" s="13"/>
      <c r="B857" s="13"/>
      <c r="C857" s="13"/>
      <c r="D857" s="13"/>
      <c r="E857" s="13"/>
      <c r="F857" s="13"/>
      <c r="G857" s="13"/>
      <c r="H857" s="13"/>
      <c r="I857" s="13"/>
      <c r="J857" s="13"/>
      <c r="K857" s="13"/>
      <c r="L857" s="13"/>
      <c r="M857" s="13"/>
      <c r="N857" s="13"/>
      <c r="O857" s="13"/>
      <c r="P857" s="13"/>
      <c r="Q857" s="13"/>
      <c r="R857" s="300"/>
      <c r="S857" s="13"/>
      <c r="T857" s="13"/>
      <c r="U857" s="300"/>
      <c r="V857" s="13"/>
      <c r="W857" s="13"/>
      <c r="X857" s="300"/>
      <c r="Y857" s="13"/>
      <c r="Z857" s="13"/>
      <c r="AA857" s="300"/>
      <c r="AB857" s="13"/>
      <c r="AC857" s="13"/>
      <c r="AD857" s="300"/>
      <c r="AE857" s="13"/>
      <c r="AF857" s="13"/>
      <c r="AG857" s="300"/>
      <c r="AH857" s="13"/>
      <c r="AI857" s="13"/>
      <c r="AJ857" s="300"/>
      <c r="AK857" s="13"/>
      <c r="AL857" s="301"/>
      <c r="AM857" s="300"/>
      <c r="AN857" s="13"/>
      <c r="AO857" s="301"/>
      <c r="AP857" s="300"/>
    </row>
    <row r="858">
      <c r="A858" s="13"/>
      <c r="B858" s="13"/>
      <c r="C858" s="13"/>
      <c r="D858" s="13"/>
      <c r="E858" s="13"/>
      <c r="F858" s="13"/>
      <c r="G858" s="13"/>
      <c r="H858" s="13"/>
      <c r="I858" s="13"/>
      <c r="J858" s="13"/>
      <c r="K858" s="13"/>
      <c r="L858" s="13"/>
      <c r="M858" s="13"/>
      <c r="N858" s="13"/>
      <c r="O858" s="13"/>
      <c r="P858" s="13"/>
      <c r="Q858" s="13"/>
      <c r="R858" s="300"/>
      <c r="S858" s="13"/>
      <c r="T858" s="13"/>
      <c r="U858" s="300"/>
      <c r="V858" s="13"/>
      <c r="W858" s="13"/>
      <c r="X858" s="300"/>
      <c r="Y858" s="13"/>
      <c r="Z858" s="13"/>
      <c r="AA858" s="300"/>
      <c r="AB858" s="13"/>
      <c r="AC858" s="13"/>
      <c r="AD858" s="300"/>
      <c r="AE858" s="13"/>
      <c r="AF858" s="13"/>
      <c r="AG858" s="300"/>
      <c r="AH858" s="13"/>
      <c r="AI858" s="13"/>
      <c r="AJ858" s="300"/>
      <c r="AK858" s="13"/>
      <c r="AL858" s="301"/>
      <c r="AM858" s="300"/>
      <c r="AN858" s="13"/>
      <c r="AO858" s="301"/>
      <c r="AP858" s="300"/>
    </row>
    <row r="859">
      <c r="A859" s="13"/>
      <c r="B859" s="13"/>
      <c r="C859" s="13"/>
      <c r="D859" s="13"/>
      <c r="E859" s="13"/>
      <c r="F859" s="13"/>
      <c r="G859" s="13"/>
      <c r="H859" s="13"/>
      <c r="I859" s="13"/>
      <c r="J859" s="13"/>
      <c r="K859" s="13"/>
      <c r="L859" s="13"/>
      <c r="M859" s="13"/>
      <c r="N859" s="13"/>
      <c r="O859" s="13"/>
      <c r="P859" s="13"/>
      <c r="Q859" s="13"/>
      <c r="R859" s="300"/>
      <c r="S859" s="13"/>
      <c r="T859" s="13"/>
      <c r="U859" s="300"/>
      <c r="V859" s="13"/>
      <c r="W859" s="13"/>
      <c r="X859" s="300"/>
      <c r="Y859" s="13"/>
      <c r="Z859" s="13"/>
      <c r="AA859" s="300"/>
      <c r="AB859" s="13"/>
      <c r="AC859" s="13"/>
      <c r="AD859" s="300"/>
      <c r="AE859" s="13"/>
      <c r="AF859" s="13"/>
      <c r="AG859" s="300"/>
      <c r="AH859" s="13"/>
      <c r="AI859" s="13"/>
      <c r="AJ859" s="300"/>
      <c r="AK859" s="13"/>
      <c r="AL859" s="301"/>
      <c r="AM859" s="300"/>
      <c r="AN859" s="13"/>
      <c r="AO859" s="301"/>
      <c r="AP859" s="300"/>
    </row>
    <row r="860">
      <c r="A860" s="13"/>
      <c r="B860" s="13"/>
      <c r="C860" s="13"/>
      <c r="D860" s="13"/>
      <c r="E860" s="13"/>
      <c r="F860" s="13"/>
      <c r="G860" s="13"/>
      <c r="H860" s="13"/>
      <c r="I860" s="13"/>
      <c r="J860" s="13"/>
      <c r="K860" s="13"/>
      <c r="L860" s="13"/>
      <c r="M860" s="13"/>
      <c r="N860" s="13"/>
      <c r="O860" s="13"/>
      <c r="P860" s="13"/>
      <c r="Q860" s="13"/>
      <c r="R860" s="300"/>
      <c r="S860" s="13"/>
      <c r="T860" s="13"/>
      <c r="U860" s="300"/>
      <c r="V860" s="13"/>
      <c r="W860" s="13"/>
      <c r="X860" s="300"/>
      <c r="Y860" s="13"/>
      <c r="Z860" s="13"/>
      <c r="AA860" s="300"/>
      <c r="AB860" s="13"/>
      <c r="AC860" s="13"/>
      <c r="AD860" s="300"/>
      <c r="AE860" s="13"/>
      <c r="AF860" s="13"/>
      <c r="AG860" s="300"/>
      <c r="AH860" s="13"/>
      <c r="AI860" s="13"/>
      <c r="AJ860" s="300"/>
      <c r="AK860" s="13"/>
      <c r="AL860" s="301"/>
      <c r="AM860" s="300"/>
      <c r="AN860" s="13"/>
      <c r="AO860" s="301"/>
      <c r="AP860" s="300"/>
    </row>
    <row r="861">
      <c r="A861" s="13"/>
      <c r="B861" s="13"/>
      <c r="C861" s="13"/>
      <c r="D861" s="13"/>
      <c r="E861" s="13"/>
      <c r="F861" s="13"/>
      <c r="G861" s="13"/>
      <c r="H861" s="13"/>
      <c r="I861" s="13"/>
      <c r="J861" s="13"/>
      <c r="K861" s="13"/>
      <c r="L861" s="13"/>
      <c r="M861" s="13"/>
      <c r="N861" s="13"/>
      <c r="O861" s="13"/>
      <c r="P861" s="13"/>
      <c r="Q861" s="13"/>
      <c r="R861" s="300"/>
      <c r="S861" s="13"/>
      <c r="T861" s="13"/>
      <c r="U861" s="300"/>
      <c r="V861" s="13"/>
      <c r="W861" s="13"/>
      <c r="X861" s="300"/>
      <c r="Y861" s="13"/>
      <c r="Z861" s="13"/>
      <c r="AA861" s="300"/>
      <c r="AB861" s="13"/>
      <c r="AC861" s="13"/>
      <c r="AD861" s="300"/>
      <c r="AE861" s="13"/>
      <c r="AF861" s="13"/>
      <c r="AG861" s="300"/>
      <c r="AH861" s="13"/>
      <c r="AI861" s="13"/>
      <c r="AJ861" s="300"/>
      <c r="AK861" s="13"/>
      <c r="AL861" s="301"/>
      <c r="AM861" s="300"/>
      <c r="AN861" s="13"/>
      <c r="AO861" s="301"/>
      <c r="AP861" s="300"/>
    </row>
    <row r="862">
      <c r="A862" s="13"/>
      <c r="B862" s="13"/>
      <c r="C862" s="13"/>
      <c r="D862" s="13"/>
      <c r="E862" s="13"/>
      <c r="F862" s="13"/>
      <c r="G862" s="13"/>
      <c r="H862" s="13"/>
      <c r="I862" s="13"/>
      <c r="J862" s="13"/>
      <c r="K862" s="13"/>
      <c r="L862" s="13"/>
      <c r="M862" s="13"/>
      <c r="N862" s="13"/>
      <c r="O862" s="13"/>
      <c r="P862" s="13"/>
      <c r="Q862" s="13"/>
      <c r="R862" s="300"/>
      <c r="S862" s="13"/>
      <c r="T862" s="13"/>
      <c r="U862" s="300"/>
      <c r="V862" s="13"/>
      <c r="W862" s="13"/>
      <c r="X862" s="300"/>
      <c r="Y862" s="13"/>
      <c r="Z862" s="13"/>
      <c r="AA862" s="300"/>
      <c r="AB862" s="13"/>
      <c r="AC862" s="13"/>
      <c r="AD862" s="300"/>
      <c r="AE862" s="13"/>
      <c r="AF862" s="13"/>
      <c r="AG862" s="300"/>
      <c r="AH862" s="13"/>
      <c r="AI862" s="13"/>
      <c r="AJ862" s="300"/>
      <c r="AK862" s="13"/>
      <c r="AL862" s="301"/>
      <c r="AM862" s="300"/>
      <c r="AN862" s="13"/>
      <c r="AO862" s="301"/>
      <c r="AP862" s="300"/>
    </row>
    <row r="863">
      <c r="A863" s="13"/>
      <c r="B863" s="13"/>
      <c r="C863" s="13"/>
      <c r="D863" s="13"/>
      <c r="E863" s="13"/>
      <c r="F863" s="13"/>
      <c r="G863" s="13"/>
      <c r="H863" s="13"/>
      <c r="I863" s="13"/>
      <c r="J863" s="13"/>
      <c r="K863" s="13"/>
      <c r="L863" s="13"/>
      <c r="M863" s="13"/>
      <c r="N863" s="13"/>
      <c r="O863" s="13"/>
      <c r="P863" s="13"/>
      <c r="Q863" s="13"/>
      <c r="R863" s="300"/>
      <c r="S863" s="13"/>
      <c r="T863" s="13"/>
      <c r="U863" s="300"/>
      <c r="V863" s="13"/>
      <c r="W863" s="13"/>
      <c r="X863" s="300"/>
      <c r="Y863" s="13"/>
      <c r="Z863" s="13"/>
      <c r="AA863" s="300"/>
      <c r="AB863" s="13"/>
      <c r="AC863" s="13"/>
      <c r="AD863" s="300"/>
      <c r="AE863" s="13"/>
      <c r="AF863" s="13"/>
      <c r="AG863" s="300"/>
      <c r="AH863" s="13"/>
      <c r="AI863" s="13"/>
      <c r="AJ863" s="300"/>
      <c r="AK863" s="13"/>
      <c r="AL863" s="301"/>
      <c r="AM863" s="300"/>
      <c r="AN863" s="13"/>
      <c r="AO863" s="301"/>
      <c r="AP863" s="300"/>
    </row>
    <row r="864">
      <c r="A864" s="13"/>
      <c r="B864" s="13"/>
      <c r="C864" s="13"/>
      <c r="D864" s="13"/>
      <c r="E864" s="13"/>
      <c r="F864" s="13"/>
      <c r="G864" s="13"/>
      <c r="H864" s="13"/>
      <c r="I864" s="13"/>
      <c r="J864" s="13"/>
      <c r="K864" s="13"/>
      <c r="L864" s="13"/>
      <c r="M864" s="13"/>
      <c r="N864" s="13"/>
      <c r="O864" s="13"/>
      <c r="P864" s="13"/>
      <c r="Q864" s="13"/>
      <c r="R864" s="300"/>
      <c r="S864" s="13"/>
      <c r="T864" s="13"/>
      <c r="U864" s="300"/>
      <c r="V864" s="13"/>
      <c r="W864" s="13"/>
      <c r="X864" s="300"/>
      <c r="Y864" s="13"/>
      <c r="Z864" s="13"/>
      <c r="AA864" s="300"/>
      <c r="AB864" s="13"/>
      <c r="AC864" s="13"/>
      <c r="AD864" s="300"/>
      <c r="AE864" s="13"/>
      <c r="AF864" s="13"/>
      <c r="AG864" s="300"/>
      <c r="AH864" s="13"/>
      <c r="AI864" s="13"/>
      <c r="AJ864" s="300"/>
      <c r="AK864" s="13"/>
      <c r="AL864" s="301"/>
      <c r="AM864" s="300"/>
      <c r="AN864" s="13"/>
      <c r="AO864" s="301"/>
      <c r="AP864" s="300"/>
    </row>
    <row r="865">
      <c r="A865" s="13"/>
      <c r="B865" s="13"/>
      <c r="C865" s="13"/>
      <c r="D865" s="13"/>
      <c r="E865" s="13"/>
      <c r="F865" s="13"/>
      <c r="G865" s="13"/>
      <c r="H865" s="13"/>
      <c r="I865" s="13"/>
      <c r="J865" s="13"/>
      <c r="K865" s="13"/>
      <c r="L865" s="13"/>
      <c r="M865" s="13"/>
      <c r="N865" s="13"/>
      <c r="O865" s="13"/>
      <c r="P865" s="13"/>
      <c r="Q865" s="13"/>
      <c r="R865" s="300"/>
      <c r="S865" s="13"/>
      <c r="T865" s="13"/>
      <c r="U865" s="300"/>
      <c r="V865" s="13"/>
      <c r="W865" s="13"/>
      <c r="X865" s="300"/>
      <c r="Y865" s="13"/>
      <c r="Z865" s="13"/>
      <c r="AA865" s="300"/>
      <c r="AB865" s="13"/>
      <c r="AC865" s="13"/>
      <c r="AD865" s="300"/>
      <c r="AE865" s="13"/>
      <c r="AF865" s="13"/>
      <c r="AG865" s="300"/>
      <c r="AH865" s="13"/>
      <c r="AI865" s="13"/>
      <c r="AJ865" s="300"/>
      <c r="AK865" s="13"/>
      <c r="AL865" s="301"/>
      <c r="AM865" s="300"/>
      <c r="AN865" s="13"/>
      <c r="AO865" s="301"/>
      <c r="AP865" s="300"/>
    </row>
    <row r="866">
      <c r="A866" s="13"/>
      <c r="B866" s="13"/>
      <c r="C866" s="13"/>
      <c r="D866" s="13"/>
      <c r="E866" s="13"/>
      <c r="F866" s="13"/>
      <c r="G866" s="13"/>
      <c r="H866" s="13"/>
      <c r="I866" s="13"/>
      <c r="J866" s="13"/>
      <c r="K866" s="13"/>
      <c r="L866" s="13"/>
      <c r="M866" s="13"/>
      <c r="N866" s="13"/>
      <c r="O866" s="13"/>
      <c r="P866" s="13"/>
      <c r="Q866" s="13"/>
      <c r="R866" s="300"/>
      <c r="S866" s="13"/>
      <c r="T866" s="13"/>
      <c r="U866" s="300"/>
      <c r="V866" s="13"/>
      <c r="W866" s="13"/>
      <c r="X866" s="300"/>
      <c r="Y866" s="13"/>
      <c r="Z866" s="13"/>
      <c r="AA866" s="300"/>
      <c r="AB866" s="13"/>
      <c r="AC866" s="13"/>
      <c r="AD866" s="300"/>
      <c r="AE866" s="13"/>
      <c r="AF866" s="13"/>
      <c r="AG866" s="300"/>
      <c r="AH866" s="13"/>
      <c r="AI866" s="13"/>
      <c r="AJ866" s="300"/>
      <c r="AK866" s="13"/>
      <c r="AL866" s="301"/>
      <c r="AM866" s="300"/>
      <c r="AN866" s="13"/>
      <c r="AO866" s="301"/>
      <c r="AP866" s="300"/>
    </row>
    <row r="867">
      <c r="A867" s="13"/>
      <c r="B867" s="13"/>
      <c r="C867" s="13"/>
      <c r="D867" s="13"/>
      <c r="E867" s="13"/>
      <c r="F867" s="13"/>
      <c r="G867" s="13"/>
      <c r="H867" s="13"/>
      <c r="I867" s="13"/>
      <c r="J867" s="13"/>
      <c r="K867" s="13"/>
      <c r="L867" s="13"/>
      <c r="M867" s="13"/>
      <c r="N867" s="13"/>
      <c r="O867" s="13"/>
      <c r="P867" s="13"/>
      <c r="Q867" s="13"/>
      <c r="R867" s="300"/>
      <c r="S867" s="13"/>
      <c r="T867" s="13"/>
      <c r="U867" s="300"/>
      <c r="V867" s="13"/>
      <c r="W867" s="13"/>
      <c r="X867" s="300"/>
      <c r="Y867" s="13"/>
      <c r="Z867" s="13"/>
      <c r="AA867" s="300"/>
      <c r="AB867" s="13"/>
      <c r="AC867" s="13"/>
      <c r="AD867" s="300"/>
      <c r="AE867" s="13"/>
      <c r="AF867" s="13"/>
      <c r="AG867" s="300"/>
      <c r="AH867" s="13"/>
      <c r="AI867" s="13"/>
      <c r="AJ867" s="300"/>
      <c r="AK867" s="13"/>
      <c r="AL867" s="301"/>
      <c r="AM867" s="300"/>
      <c r="AN867" s="13"/>
      <c r="AO867" s="301"/>
      <c r="AP867" s="300"/>
    </row>
    <row r="868">
      <c r="A868" s="13"/>
      <c r="B868" s="13"/>
      <c r="C868" s="13"/>
      <c r="D868" s="13"/>
      <c r="E868" s="13"/>
      <c r="F868" s="13"/>
      <c r="G868" s="13"/>
      <c r="H868" s="13"/>
      <c r="I868" s="13"/>
      <c r="J868" s="13"/>
      <c r="K868" s="13"/>
      <c r="L868" s="13"/>
      <c r="M868" s="13"/>
      <c r="N868" s="13"/>
      <c r="O868" s="13"/>
      <c r="P868" s="13"/>
      <c r="Q868" s="13"/>
      <c r="R868" s="300"/>
      <c r="S868" s="13"/>
      <c r="T868" s="13"/>
      <c r="U868" s="300"/>
      <c r="V868" s="13"/>
      <c r="W868" s="13"/>
      <c r="X868" s="300"/>
      <c r="Y868" s="13"/>
      <c r="Z868" s="13"/>
      <c r="AA868" s="300"/>
      <c r="AB868" s="13"/>
      <c r="AC868" s="13"/>
      <c r="AD868" s="300"/>
      <c r="AE868" s="13"/>
      <c r="AF868" s="13"/>
      <c r="AG868" s="300"/>
      <c r="AH868" s="13"/>
      <c r="AI868" s="13"/>
      <c r="AJ868" s="300"/>
      <c r="AK868" s="13"/>
      <c r="AL868" s="301"/>
      <c r="AM868" s="300"/>
      <c r="AN868" s="13"/>
      <c r="AO868" s="301"/>
      <c r="AP868" s="300"/>
    </row>
    <row r="869">
      <c r="A869" s="13"/>
      <c r="B869" s="13"/>
      <c r="C869" s="13"/>
      <c r="D869" s="13"/>
      <c r="E869" s="13"/>
      <c r="F869" s="13"/>
      <c r="G869" s="13"/>
      <c r="H869" s="13"/>
      <c r="I869" s="13"/>
      <c r="J869" s="13"/>
      <c r="K869" s="13"/>
      <c r="L869" s="13"/>
      <c r="M869" s="13"/>
      <c r="N869" s="13"/>
      <c r="O869" s="13"/>
      <c r="P869" s="13"/>
      <c r="Q869" s="13"/>
      <c r="R869" s="300"/>
      <c r="S869" s="13"/>
      <c r="T869" s="13"/>
      <c r="U869" s="300"/>
      <c r="V869" s="13"/>
      <c r="W869" s="13"/>
      <c r="X869" s="300"/>
      <c r="Y869" s="13"/>
      <c r="Z869" s="13"/>
      <c r="AA869" s="300"/>
      <c r="AB869" s="13"/>
      <c r="AC869" s="13"/>
      <c r="AD869" s="300"/>
      <c r="AE869" s="13"/>
      <c r="AF869" s="13"/>
      <c r="AG869" s="300"/>
      <c r="AH869" s="13"/>
      <c r="AI869" s="13"/>
      <c r="AJ869" s="300"/>
      <c r="AK869" s="13"/>
      <c r="AL869" s="301"/>
      <c r="AM869" s="300"/>
      <c r="AN869" s="13"/>
      <c r="AO869" s="301"/>
      <c r="AP869" s="300"/>
    </row>
    <row r="870">
      <c r="A870" s="13"/>
      <c r="B870" s="13"/>
      <c r="C870" s="13"/>
      <c r="D870" s="13"/>
      <c r="E870" s="13"/>
      <c r="F870" s="13"/>
      <c r="G870" s="13"/>
      <c r="H870" s="13"/>
      <c r="I870" s="13"/>
      <c r="J870" s="13"/>
      <c r="K870" s="13"/>
      <c r="L870" s="13"/>
      <c r="M870" s="13"/>
      <c r="N870" s="13"/>
      <c r="O870" s="13"/>
      <c r="P870" s="13"/>
      <c r="Q870" s="13"/>
      <c r="R870" s="300"/>
      <c r="S870" s="13"/>
      <c r="T870" s="13"/>
      <c r="U870" s="300"/>
      <c r="V870" s="13"/>
      <c r="W870" s="13"/>
      <c r="X870" s="300"/>
      <c r="Y870" s="13"/>
      <c r="Z870" s="13"/>
      <c r="AA870" s="300"/>
      <c r="AB870" s="13"/>
      <c r="AC870" s="13"/>
      <c r="AD870" s="300"/>
      <c r="AE870" s="13"/>
      <c r="AF870" s="13"/>
      <c r="AG870" s="300"/>
      <c r="AH870" s="13"/>
      <c r="AI870" s="13"/>
      <c r="AJ870" s="300"/>
      <c r="AK870" s="13"/>
      <c r="AL870" s="301"/>
      <c r="AM870" s="300"/>
      <c r="AN870" s="13"/>
      <c r="AO870" s="301"/>
      <c r="AP870" s="300"/>
    </row>
    <row r="871">
      <c r="A871" s="13"/>
      <c r="B871" s="13"/>
      <c r="C871" s="13"/>
      <c r="D871" s="13"/>
      <c r="E871" s="13"/>
      <c r="F871" s="13"/>
      <c r="G871" s="13"/>
      <c r="H871" s="13"/>
      <c r="I871" s="13"/>
      <c r="J871" s="13"/>
      <c r="K871" s="13"/>
      <c r="L871" s="13"/>
      <c r="M871" s="13"/>
      <c r="N871" s="13"/>
      <c r="O871" s="13"/>
      <c r="P871" s="13"/>
      <c r="Q871" s="13"/>
      <c r="R871" s="300"/>
      <c r="S871" s="13"/>
      <c r="T871" s="13"/>
      <c r="U871" s="300"/>
      <c r="V871" s="13"/>
      <c r="W871" s="13"/>
      <c r="X871" s="300"/>
      <c r="Y871" s="13"/>
      <c r="Z871" s="13"/>
      <c r="AA871" s="300"/>
      <c r="AB871" s="13"/>
      <c r="AC871" s="13"/>
      <c r="AD871" s="300"/>
      <c r="AE871" s="13"/>
      <c r="AF871" s="13"/>
      <c r="AG871" s="300"/>
      <c r="AH871" s="13"/>
      <c r="AI871" s="13"/>
      <c r="AJ871" s="300"/>
      <c r="AK871" s="13"/>
      <c r="AL871" s="301"/>
      <c r="AM871" s="300"/>
      <c r="AN871" s="13"/>
      <c r="AO871" s="301"/>
      <c r="AP871" s="300"/>
    </row>
    <row r="872">
      <c r="A872" s="13"/>
      <c r="B872" s="13"/>
      <c r="C872" s="13"/>
      <c r="D872" s="13"/>
      <c r="E872" s="13"/>
      <c r="F872" s="13"/>
      <c r="G872" s="13"/>
      <c r="H872" s="13"/>
      <c r="I872" s="13"/>
      <c r="J872" s="13"/>
      <c r="K872" s="13"/>
      <c r="L872" s="13"/>
      <c r="M872" s="13"/>
      <c r="N872" s="13"/>
      <c r="O872" s="13"/>
      <c r="P872" s="13"/>
      <c r="Q872" s="13"/>
      <c r="R872" s="300"/>
      <c r="S872" s="13"/>
      <c r="T872" s="13"/>
      <c r="U872" s="300"/>
      <c r="V872" s="13"/>
      <c r="W872" s="13"/>
      <c r="X872" s="300"/>
      <c r="Y872" s="13"/>
      <c r="Z872" s="13"/>
      <c r="AA872" s="300"/>
      <c r="AB872" s="13"/>
      <c r="AC872" s="13"/>
      <c r="AD872" s="300"/>
      <c r="AE872" s="13"/>
      <c r="AF872" s="13"/>
      <c r="AG872" s="300"/>
      <c r="AH872" s="13"/>
      <c r="AI872" s="13"/>
      <c r="AJ872" s="300"/>
      <c r="AK872" s="13"/>
      <c r="AL872" s="301"/>
      <c r="AM872" s="300"/>
      <c r="AN872" s="13"/>
      <c r="AO872" s="301"/>
      <c r="AP872" s="300"/>
    </row>
    <row r="873">
      <c r="A873" s="13"/>
      <c r="B873" s="13"/>
      <c r="C873" s="13"/>
      <c r="D873" s="13"/>
      <c r="E873" s="13"/>
      <c r="F873" s="13"/>
      <c r="G873" s="13"/>
      <c r="H873" s="13"/>
      <c r="I873" s="13"/>
      <c r="J873" s="13"/>
      <c r="K873" s="13"/>
      <c r="L873" s="13"/>
      <c r="M873" s="13"/>
      <c r="N873" s="13"/>
      <c r="O873" s="13"/>
      <c r="P873" s="13"/>
      <c r="Q873" s="13"/>
      <c r="R873" s="300"/>
      <c r="S873" s="13"/>
      <c r="T873" s="13"/>
      <c r="U873" s="300"/>
      <c r="V873" s="13"/>
      <c r="W873" s="13"/>
      <c r="X873" s="300"/>
      <c r="Y873" s="13"/>
      <c r="Z873" s="13"/>
      <c r="AA873" s="300"/>
      <c r="AB873" s="13"/>
      <c r="AC873" s="13"/>
      <c r="AD873" s="300"/>
      <c r="AE873" s="13"/>
      <c r="AF873" s="13"/>
      <c r="AG873" s="300"/>
      <c r="AH873" s="13"/>
      <c r="AI873" s="13"/>
      <c r="AJ873" s="300"/>
      <c r="AK873" s="13"/>
      <c r="AL873" s="301"/>
      <c r="AM873" s="300"/>
      <c r="AN873" s="13"/>
      <c r="AO873" s="301"/>
      <c r="AP873" s="300"/>
    </row>
    <row r="874">
      <c r="A874" s="13"/>
      <c r="B874" s="13"/>
      <c r="C874" s="13"/>
      <c r="D874" s="13"/>
      <c r="E874" s="13"/>
      <c r="F874" s="13"/>
      <c r="G874" s="13"/>
      <c r="H874" s="13"/>
      <c r="I874" s="13"/>
      <c r="J874" s="13"/>
      <c r="K874" s="13"/>
      <c r="L874" s="13"/>
      <c r="M874" s="13"/>
      <c r="N874" s="13"/>
      <c r="O874" s="13"/>
      <c r="P874" s="13"/>
      <c r="Q874" s="13"/>
      <c r="R874" s="300"/>
      <c r="S874" s="13"/>
      <c r="T874" s="13"/>
      <c r="U874" s="300"/>
      <c r="V874" s="13"/>
      <c r="W874" s="13"/>
      <c r="X874" s="300"/>
      <c r="Y874" s="13"/>
      <c r="Z874" s="13"/>
      <c r="AA874" s="300"/>
      <c r="AB874" s="13"/>
      <c r="AC874" s="13"/>
      <c r="AD874" s="300"/>
      <c r="AE874" s="13"/>
      <c r="AF874" s="13"/>
      <c r="AG874" s="300"/>
      <c r="AH874" s="13"/>
      <c r="AI874" s="13"/>
      <c r="AJ874" s="300"/>
      <c r="AK874" s="13"/>
      <c r="AL874" s="301"/>
      <c r="AM874" s="300"/>
      <c r="AN874" s="13"/>
      <c r="AO874" s="301"/>
      <c r="AP874" s="300"/>
    </row>
    <row r="875">
      <c r="A875" s="13"/>
      <c r="B875" s="13"/>
      <c r="C875" s="13"/>
      <c r="D875" s="13"/>
      <c r="E875" s="13"/>
      <c r="F875" s="13"/>
      <c r="G875" s="13"/>
      <c r="H875" s="13"/>
      <c r="I875" s="13"/>
      <c r="J875" s="13"/>
      <c r="K875" s="13"/>
      <c r="L875" s="13"/>
      <c r="M875" s="13"/>
      <c r="N875" s="13"/>
      <c r="O875" s="13"/>
      <c r="P875" s="13"/>
      <c r="Q875" s="13"/>
      <c r="R875" s="300"/>
      <c r="S875" s="13"/>
      <c r="T875" s="13"/>
      <c r="U875" s="300"/>
      <c r="V875" s="13"/>
      <c r="W875" s="13"/>
      <c r="X875" s="300"/>
      <c r="Y875" s="13"/>
      <c r="Z875" s="13"/>
      <c r="AA875" s="300"/>
      <c r="AB875" s="13"/>
      <c r="AC875" s="13"/>
      <c r="AD875" s="300"/>
      <c r="AE875" s="13"/>
      <c r="AF875" s="13"/>
      <c r="AG875" s="300"/>
      <c r="AH875" s="13"/>
      <c r="AI875" s="13"/>
      <c r="AJ875" s="300"/>
      <c r="AK875" s="13"/>
      <c r="AL875" s="301"/>
      <c r="AM875" s="300"/>
      <c r="AN875" s="13"/>
      <c r="AO875" s="301"/>
      <c r="AP875" s="300"/>
    </row>
    <row r="876">
      <c r="A876" s="13"/>
      <c r="B876" s="13"/>
      <c r="C876" s="13"/>
      <c r="D876" s="13"/>
      <c r="E876" s="13"/>
      <c r="F876" s="13"/>
      <c r="G876" s="13"/>
      <c r="H876" s="13"/>
      <c r="I876" s="13"/>
      <c r="J876" s="13"/>
      <c r="K876" s="13"/>
      <c r="L876" s="13"/>
      <c r="M876" s="13"/>
      <c r="N876" s="13"/>
      <c r="O876" s="13"/>
      <c r="P876" s="13"/>
      <c r="Q876" s="13"/>
      <c r="R876" s="300"/>
      <c r="S876" s="13"/>
      <c r="T876" s="13"/>
      <c r="U876" s="300"/>
      <c r="V876" s="13"/>
      <c r="W876" s="13"/>
      <c r="X876" s="300"/>
      <c r="Y876" s="13"/>
      <c r="Z876" s="13"/>
      <c r="AA876" s="300"/>
      <c r="AB876" s="13"/>
      <c r="AC876" s="13"/>
      <c r="AD876" s="300"/>
      <c r="AE876" s="13"/>
      <c r="AF876" s="13"/>
      <c r="AG876" s="300"/>
      <c r="AH876" s="13"/>
      <c r="AI876" s="13"/>
      <c r="AJ876" s="300"/>
      <c r="AK876" s="13"/>
      <c r="AL876" s="301"/>
      <c r="AM876" s="300"/>
      <c r="AN876" s="13"/>
      <c r="AO876" s="301"/>
      <c r="AP876" s="300"/>
    </row>
    <row r="877">
      <c r="A877" s="13"/>
      <c r="B877" s="13"/>
      <c r="C877" s="13"/>
      <c r="D877" s="13"/>
      <c r="E877" s="13"/>
      <c r="F877" s="13"/>
      <c r="G877" s="13"/>
      <c r="H877" s="13"/>
      <c r="I877" s="13"/>
      <c r="J877" s="13"/>
      <c r="K877" s="13"/>
      <c r="L877" s="13"/>
      <c r="M877" s="13"/>
      <c r="N877" s="13"/>
      <c r="O877" s="13"/>
      <c r="P877" s="13"/>
      <c r="Q877" s="13"/>
      <c r="R877" s="300"/>
      <c r="S877" s="13"/>
      <c r="T877" s="13"/>
      <c r="U877" s="300"/>
      <c r="V877" s="13"/>
      <c r="W877" s="13"/>
      <c r="X877" s="300"/>
      <c r="Y877" s="13"/>
      <c r="Z877" s="13"/>
      <c r="AA877" s="300"/>
      <c r="AB877" s="13"/>
      <c r="AC877" s="13"/>
      <c r="AD877" s="300"/>
      <c r="AE877" s="13"/>
      <c r="AF877" s="13"/>
      <c r="AG877" s="300"/>
      <c r="AH877" s="13"/>
      <c r="AI877" s="13"/>
      <c r="AJ877" s="300"/>
      <c r="AK877" s="13"/>
      <c r="AL877" s="301"/>
      <c r="AM877" s="300"/>
      <c r="AN877" s="13"/>
      <c r="AO877" s="301"/>
      <c r="AP877" s="300"/>
    </row>
    <row r="878">
      <c r="A878" s="13"/>
      <c r="B878" s="13"/>
      <c r="C878" s="13"/>
      <c r="D878" s="13"/>
      <c r="E878" s="13"/>
      <c r="F878" s="13"/>
      <c r="G878" s="13"/>
      <c r="H878" s="13"/>
      <c r="I878" s="13"/>
      <c r="J878" s="13"/>
      <c r="K878" s="13"/>
      <c r="L878" s="13"/>
      <c r="M878" s="13"/>
      <c r="N878" s="13"/>
      <c r="O878" s="13"/>
      <c r="P878" s="13"/>
      <c r="Q878" s="13"/>
      <c r="R878" s="300"/>
      <c r="S878" s="13"/>
      <c r="T878" s="13"/>
      <c r="U878" s="300"/>
      <c r="V878" s="13"/>
      <c r="W878" s="13"/>
      <c r="X878" s="300"/>
      <c r="Y878" s="13"/>
      <c r="Z878" s="13"/>
      <c r="AA878" s="300"/>
      <c r="AB878" s="13"/>
      <c r="AC878" s="13"/>
      <c r="AD878" s="300"/>
      <c r="AE878" s="13"/>
      <c r="AF878" s="13"/>
      <c r="AG878" s="300"/>
      <c r="AH878" s="13"/>
      <c r="AI878" s="13"/>
      <c r="AJ878" s="300"/>
      <c r="AK878" s="13"/>
      <c r="AL878" s="301"/>
      <c r="AM878" s="300"/>
      <c r="AN878" s="13"/>
      <c r="AO878" s="301"/>
      <c r="AP878" s="300"/>
    </row>
    <row r="879">
      <c r="A879" s="13"/>
      <c r="B879" s="13"/>
      <c r="C879" s="13"/>
      <c r="D879" s="13"/>
      <c r="E879" s="13"/>
      <c r="F879" s="13"/>
      <c r="G879" s="13"/>
      <c r="H879" s="13"/>
      <c r="I879" s="13"/>
      <c r="J879" s="13"/>
      <c r="K879" s="13"/>
      <c r="L879" s="13"/>
      <c r="M879" s="13"/>
      <c r="N879" s="13"/>
      <c r="O879" s="13"/>
      <c r="P879" s="13"/>
      <c r="Q879" s="13"/>
      <c r="R879" s="300"/>
      <c r="S879" s="13"/>
      <c r="T879" s="13"/>
      <c r="U879" s="300"/>
      <c r="V879" s="13"/>
      <c r="W879" s="13"/>
      <c r="X879" s="300"/>
      <c r="Y879" s="13"/>
      <c r="Z879" s="13"/>
      <c r="AA879" s="300"/>
      <c r="AB879" s="13"/>
      <c r="AC879" s="13"/>
      <c r="AD879" s="300"/>
      <c r="AE879" s="13"/>
      <c r="AF879" s="13"/>
      <c r="AG879" s="300"/>
      <c r="AH879" s="13"/>
      <c r="AI879" s="13"/>
      <c r="AJ879" s="300"/>
      <c r="AK879" s="13"/>
      <c r="AL879" s="301"/>
      <c r="AM879" s="300"/>
      <c r="AN879" s="13"/>
      <c r="AO879" s="301"/>
      <c r="AP879" s="300"/>
    </row>
    <row r="880">
      <c r="A880" s="13"/>
      <c r="B880" s="13"/>
      <c r="C880" s="13"/>
      <c r="D880" s="13"/>
      <c r="E880" s="13"/>
      <c r="F880" s="13"/>
      <c r="G880" s="13"/>
      <c r="H880" s="13"/>
      <c r="I880" s="13"/>
      <c r="J880" s="13"/>
      <c r="K880" s="13"/>
      <c r="L880" s="13"/>
      <c r="M880" s="13"/>
      <c r="N880" s="13"/>
      <c r="O880" s="13"/>
      <c r="P880" s="13"/>
      <c r="Q880" s="13"/>
      <c r="R880" s="300"/>
      <c r="S880" s="13"/>
      <c r="T880" s="13"/>
      <c r="U880" s="300"/>
      <c r="V880" s="13"/>
      <c r="W880" s="13"/>
      <c r="X880" s="300"/>
      <c r="Y880" s="13"/>
      <c r="Z880" s="13"/>
      <c r="AA880" s="300"/>
      <c r="AB880" s="13"/>
      <c r="AC880" s="13"/>
      <c r="AD880" s="300"/>
      <c r="AE880" s="13"/>
      <c r="AF880" s="13"/>
      <c r="AG880" s="300"/>
      <c r="AH880" s="13"/>
      <c r="AI880" s="13"/>
      <c r="AJ880" s="300"/>
      <c r="AK880" s="13"/>
      <c r="AL880" s="301"/>
      <c r="AM880" s="300"/>
      <c r="AN880" s="13"/>
      <c r="AO880" s="301"/>
      <c r="AP880" s="300"/>
    </row>
    <row r="881">
      <c r="A881" s="13"/>
      <c r="B881" s="13"/>
      <c r="C881" s="13"/>
      <c r="D881" s="13"/>
      <c r="E881" s="13"/>
      <c r="F881" s="13"/>
      <c r="G881" s="13"/>
      <c r="H881" s="13"/>
      <c r="I881" s="13"/>
      <c r="J881" s="13"/>
      <c r="K881" s="13"/>
      <c r="L881" s="13"/>
      <c r="M881" s="13"/>
      <c r="N881" s="13"/>
      <c r="O881" s="13"/>
      <c r="P881" s="13"/>
      <c r="Q881" s="13"/>
      <c r="R881" s="300"/>
      <c r="S881" s="13"/>
      <c r="T881" s="13"/>
      <c r="U881" s="300"/>
      <c r="V881" s="13"/>
      <c r="W881" s="13"/>
      <c r="X881" s="300"/>
      <c r="Y881" s="13"/>
      <c r="Z881" s="13"/>
      <c r="AA881" s="300"/>
      <c r="AB881" s="13"/>
      <c r="AC881" s="13"/>
      <c r="AD881" s="300"/>
      <c r="AE881" s="13"/>
      <c r="AF881" s="13"/>
      <c r="AG881" s="300"/>
      <c r="AH881" s="13"/>
      <c r="AI881" s="13"/>
      <c r="AJ881" s="300"/>
      <c r="AK881" s="13"/>
      <c r="AL881" s="301"/>
      <c r="AM881" s="300"/>
      <c r="AN881" s="13"/>
      <c r="AO881" s="301"/>
      <c r="AP881" s="300"/>
    </row>
    <row r="882">
      <c r="A882" s="13"/>
      <c r="B882" s="13"/>
      <c r="C882" s="13"/>
      <c r="D882" s="13"/>
      <c r="E882" s="13"/>
      <c r="F882" s="13"/>
      <c r="G882" s="13"/>
      <c r="H882" s="13"/>
      <c r="I882" s="13"/>
      <c r="J882" s="13"/>
      <c r="K882" s="13"/>
      <c r="L882" s="13"/>
      <c r="M882" s="13"/>
      <c r="N882" s="13"/>
      <c r="O882" s="13"/>
      <c r="P882" s="13"/>
      <c r="Q882" s="13"/>
      <c r="R882" s="300"/>
      <c r="S882" s="13"/>
      <c r="T882" s="13"/>
      <c r="U882" s="300"/>
      <c r="V882" s="13"/>
      <c r="W882" s="13"/>
      <c r="X882" s="300"/>
      <c r="Y882" s="13"/>
      <c r="Z882" s="13"/>
      <c r="AA882" s="300"/>
      <c r="AB882" s="13"/>
      <c r="AC882" s="13"/>
      <c r="AD882" s="300"/>
      <c r="AE882" s="13"/>
      <c r="AF882" s="13"/>
      <c r="AG882" s="300"/>
      <c r="AH882" s="13"/>
      <c r="AI882" s="13"/>
      <c r="AJ882" s="300"/>
      <c r="AK882" s="13"/>
      <c r="AL882" s="301"/>
      <c r="AM882" s="300"/>
      <c r="AN882" s="13"/>
      <c r="AO882" s="301"/>
      <c r="AP882" s="300"/>
    </row>
    <row r="883">
      <c r="A883" s="13"/>
      <c r="B883" s="13"/>
      <c r="C883" s="13"/>
      <c r="D883" s="13"/>
      <c r="E883" s="13"/>
      <c r="F883" s="13"/>
      <c r="G883" s="13"/>
      <c r="H883" s="13"/>
      <c r="I883" s="13"/>
      <c r="J883" s="13"/>
      <c r="K883" s="13"/>
      <c r="L883" s="13"/>
      <c r="M883" s="13"/>
      <c r="N883" s="13"/>
      <c r="O883" s="13"/>
      <c r="P883" s="13"/>
      <c r="Q883" s="13"/>
      <c r="R883" s="300"/>
      <c r="S883" s="13"/>
      <c r="T883" s="13"/>
      <c r="U883" s="300"/>
      <c r="V883" s="13"/>
      <c r="W883" s="13"/>
      <c r="X883" s="300"/>
      <c r="Y883" s="13"/>
      <c r="Z883" s="13"/>
      <c r="AA883" s="300"/>
      <c r="AB883" s="13"/>
      <c r="AC883" s="13"/>
      <c r="AD883" s="300"/>
      <c r="AE883" s="13"/>
      <c r="AF883" s="13"/>
      <c r="AG883" s="300"/>
      <c r="AH883" s="13"/>
      <c r="AI883" s="13"/>
      <c r="AJ883" s="300"/>
      <c r="AK883" s="13"/>
      <c r="AL883" s="301"/>
      <c r="AM883" s="300"/>
      <c r="AN883" s="13"/>
      <c r="AO883" s="301"/>
      <c r="AP883" s="300"/>
    </row>
    <row r="884">
      <c r="A884" s="13"/>
      <c r="B884" s="13"/>
      <c r="C884" s="13"/>
      <c r="D884" s="13"/>
      <c r="E884" s="13"/>
      <c r="F884" s="13"/>
      <c r="G884" s="13"/>
      <c r="H884" s="13"/>
      <c r="I884" s="13"/>
      <c r="J884" s="13"/>
      <c r="K884" s="13"/>
      <c r="L884" s="13"/>
      <c r="M884" s="13"/>
      <c r="N884" s="13"/>
      <c r="O884" s="13"/>
      <c r="P884" s="13"/>
      <c r="Q884" s="13"/>
      <c r="R884" s="300"/>
      <c r="S884" s="13"/>
      <c r="T884" s="13"/>
      <c r="U884" s="300"/>
      <c r="V884" s="13"/>
      <c r="W884" s="13"/>
      <c r="X884" s="300"/>
      <c r="Y884" s="13"/>
      <c r="Z884" s="13"/>
      <c r="AA884" s="300"/>
      <c r="AB884" s="13"/>
      <c r="AC884" s="13"/>
      <c r="AD884" s="300"/>
      <c r="AE884" s="13"/>
      <c r="AF884" s="13"/>
      <c r="AG884" s="300"/>
      <c r="AH884" s="13"/>
      <c r="AI884" s="13"/>
      <c r="AJ884" s="300"/>
      <c r="AK884" s="13"/>
      <c r="AL884" s="301"/>
      <c r="AM884" s="300"/>
      <c r="AN884" s="13"/>
      <c r="AO884" s="301"/>
      <c r="AP884" s="300"/>
    </row>
    <row r="885">
      <c r="A885" s="13"/>
      <c r="B885" s="13"/>
      <c r="C885" s="13"/>
      <c r="D885" s="13"/>
      <c r="E885" s="13"/>
      <c r="F885" s="13"/>
      <c r="G885" s="13"/>
      <c r="H885" s="13"/>
      <c r="I885" s="13"/>
      <c r="J885" s="13"/>
      <c r="K885" s="13"/>
      <c r="L885" s="13"/>
      <c r="M885" s="13"/>
      <c r="N885" s="13"/>
      <c r="O885" s="13"/>
      <c r="P885" s="13"/>
      <c r="Q885" s="13"/>
      <c r="R885" s="300"/>
      <c r="S885" s="13"/>
      <c r="T885" s="13"/>
      <c r="U885" s="300"/>
      <c r="V885" s="13"/>
      <c r="W885" s="13"/>
      <c r="X885" s="300"/>
      <c r="Y885" s="13"/>
      <c r="Z885" s="13"/>
      <c r="AA885" s="300"/>
      <c r="AB885" s="13"/>
      <c r="AC885" s="13"/>
      <c r="AD885" s="300"/>
      <c r="AE885" s="13"/>
      <c r="AF885" s="13"/>
      <c r="AG885" s="300"/>
      <c r="AH885" s="13"/>
      <c r="AI885" s="13"/>
      <c r="AJ885" s="300"/>
      <c r="AK885" s="13"/>
      <c r="AL885" s="301"/>
      <c r="AM885" s="300"/>
      <c r="AN885" s="13"/>
      <c r="AO885" s="301"/>
      <c r="AP885" s="300"/>
    </row>
    <row r="886">
      <c r="A886" s="13"/>
      <c r="B886" s="13"/>
      <c r="C886" s="13"/>
      <c r="D886" s="13"/>
      <c r="E886" s="13"/>
      <c r="F886" s="13"/>
      <c r="G886" s="13"/>
      <c r="H886" s="13"/>
      <c r="I886" s="13"/>
      <c r="J886" s="13"/>
      <c r="K886" s="13"/>
      <c r="L886" s="13"/>
      <c r="M886" s="13"/>
      <c r="N886" s="13"/>
      <c r="O886" s="13"/>
      <c r="P886" s="13"/>
      <c r="Q886" s="13"/>
      <c r="R886" s="300"/>
      <c r="S886" s="13"/>
      <c r="T886" s="13"/>
      <c r="U886" s="300"/>
      <c r="V886" s="13"/>
      <c r="W886" s="13"/>
      <c r="X886" s="300"/>
      <c r="Y886" s="13"/>
      <c r="Z886" s="13"/>
      <c r="AA886" s="300"/>
      <c r="AB886" s="13"/>
      <c r="AC886" s="13"/>
      <c r="AD886" s="300"/>
      <c r="AE886" s="13"/>
      <c r="AF886" s="13"/>
      <c r="AG886" s="300"/>
      <c r="AH886" s="13"/>
      <c r="AI886" s="13"/>
      <c r="AJ886" s="300"/>
      <c r="AK886" s="13"/>
      <c r="AL886" s="301"/>
      <c r="AM886" s="300"/>
      <c r="AN886" s="13"/>
      <c r="AO886" s="301"/>
      <c r="AP886" s="300"/>
    </row>
    <row r="887">
      <c r="A887" s="13"/>
      <c r="B887" s="13"/>
      <c r="C887" s="13"/>
      <c r="D887" s="13"/>
      <c r="E887" s="13"/>
      <c r="F887" s="13"/>
      <c r="G887" s="13"/>
      <c r="H887" s="13"/>
      <c r="I887" s="13"/>
      <c r="J887" s="13"/>
      <c r="K887" s="13"/>
      <c r="L887" s="13"/>
      <c r="M887" s="13"/>
      <c r="N887" s="13"/>
      <c r="O887" s="13"/>
      <c r="P887" s="13"/>
      <c r="Q887" s="13"/>
      <c r="R887" s="300"/>
      <c r="S887" s="13"/>
      <c r="T887" s="13"/>
      <c r="U887" s="300"/>
      <c r="V887" s="13"/>
      <c r="W887" s="13"/>
      <c r="X887" s="300"/>
      <c r="Y887" s="13"/>
      <c r="Z887" s="13"/>
      <c r="AA887" s="300"/>
      <c r="AB887" s="13"/>
      <c r="AC887" s="13"/>
      <c r="AD887" s="300"/>
      <c r="AE887" s="13"/>
      <c r="AF887" s="13"/>
      <c r="AG887" s="300"/>
      <c r="AH887" s="13"/>
      <c r="AI887" s="13"/>
      <c r="AJ887" s="300"/>
      <c r="AK887" s="13"/>
      <c r="AL887" s="301"/>
      <c r="AM887" s="300"/>
      <c r="AN887" s="13"/>
      <c r="AO887" s="301"/>
      <c r="AP887" s="300"/>
    </row>
    <row r="888">
      <c r="A888" s="13"/>
      <c r="B888" s="13"/>
      <c r="C888" s="13"/>
      <c r="D888" s="13"/>
      <c r="E888" s="13"/>
      <c r="F888" s="13"/>
      <c r="G888" s="13"/>
      <c r="H888" s="13"/>
      <c r="I888" s="13"/>
      <c r="J888" s="13"/>
      <c r="K888" s="13"/>
      <c r="L888" s="13"/>
      <c r="M888" s="13"/>
      <c r="N888" s="13"/>
      <c r="O888" s="13"/>
      <c r="P888" s="13"/>
      <c r="Q888" s="13"/>
      <c r="R888" s="300"/>
      <c r="S888" s="13"/>
      <c r="T888" s="13"/>
      <c r="U888" s="300"/>
      <c r="V888" s="13"/>
      <c r="W888" s="13"/>
      <c r="X888" s="300"/>
      <c r="Y888" s="13"/>
      <c r="Z888" s="13"/>
      <c r="AA888" s="300"/>
      <c r="AB888" s="13"/>
      <c r="AC888" s="13"/>
      <c r="AD888" s="300"/>
      <c r="AE888" s="13"/>
      <c r="AF888" s="13"/>
      <c r="AG888" s="300"/>
      <c r="AH888" s="13"/>
      <c r="AI888" s="13"/>
      <c r="AJ888" s="300"/>
      <c r="AK888" s="13"/>
      <c r="AL888" s="301"/>
      <c r="AM888" s="300"/>
      <c r="AN888" s="13"/>
      <c r="AO888" s="301"/>
      <c r="AP888" s="300"/>
    </row>
    <row r="889">
      <c r="A889" s="13"/>
      <c r="B889" s="13"/>
      <c r="C889" s="13"/>
      <c r="D889" s="13"/>
      <c r="E889" s="13"/>
      <c r="F889" s="13"/>
      <c r="G889" s="13"/>
      <c r="H889" s="13"/>
      <c r="I889" s="13"/>
      <c r="J889" s="13"/>
      <c r="K889" s="13"/>
      <c r="L889" s="13"/>
      <c r="M889" s="13"/>
      <c r="N889" s="13"/>
      <c r="O889" s="13"/>
      <c r="P889" s="13"/>
      <c r="Q889" s="13"/>
      <c r="R889" s="300"/>
      <c r="S889" s="13"/>
      <c r="T889" s="13"/>
      <c r="U889" s="300"/>
      <c r="V889" s="13"/>
      <c r="W889" s="13"/>
      <c r="X889" s="300"/>
      <c r="Y889" s="13"/>
      <c r="Z889" s="13"/>
      <c r="AA889" s="300"/>
      <c r="AB889" s="13"/>
      <c r="AC889" s="13"/>
      <c r="AD889" s="300"/>
      <c r="AE889" s="13"/>
      <c r="AF889" s="13"/>
      <c r="AG889" s="300"/>
      <c r="AH889" s="13"/>
      <c r="AI889" s="13"/>
      <c r="AJ889" s="300"/>
      <c r="AK889" s="13"/>
      <c r="AL889" s="301"/>
      <c r="AM889" s="300"/>
      <c r="AN889" s="13"/>
      <c r="AO889" s="301"/>
      <c r="AP889" s="300"/>
    </row>
    <row r="890">
      <c r="A890" s="13"/>
      <c r="B890" s="13"/>
      <c r="C890" s="13"/>
      <c r="D890" s="13"/>
      <c r="E890" s="13"/>
      <c r="F890" s="13"/>
      <c r="G890" s="13"/>
      <c r="H890" s="13"/>
      <c r="I890" s="13"/>
      <c r="J890" s="13"/>
      <c r="K890" s="13"/>
      <c r="L890" s="13"/>
      <c r="M890" s="13"/>
      <c r="N890" s="13"/>
      <c r="O890" s="13"/>
      <c r="P890" s="13"/>
      <c r="Q890" s="13"/>
      <c r="R890" s="300"/>
      <c r="S890" s="13"/>
      <c r="T890" s="13"/>
      <c r="U890" s="300"/>
      <c r="V890" s="13"/>
      <c r="W890" s="13"/>
      <c r="X890" s="300"/>
      <c r="Y890" s="13"/>
      <c r="Z890" s="13"/>
      <c r="AA890" s="300"/>
      <c r="AB890" s="13"/>
      <c r="AC890" s="13"/>
      <c r="AD890" s="300"/>
      <c r="AE890" s="13"/>
      <c r="AF890" s="13"/>
      <c r="AG890" s="300"/>
      <c r="AH890" s="13"/>
      <c r="AI890" s="13"/>
      <c r="AJ890" s="300"/>
      <c r="AK890" s="13"/>
      <c r="AL890" s="301"/>
      <c r="AM890" s="300"/>
      <c r="AN890" s="13"/>
      <c r="AO890" s="301"/>
      <c r="AP890" s="300"/>
    </row>
    <row r="891">
      <c r="A891" s="13"/>
      <c r="B891" s="13"/>
      <c r="C891" s="13"/>
      <c r="D891" s="13"/>
      <c r="E891" s="13"/>
      <c r="F891" s="13"/>
      <c r="G891" s="13"/>
      <c r="H891" s="13"/>
      <c r="I891" s="13"/>
      <c r="J891" s="13"/>
      <c r="K891" s="13"/>
      <c r="L891" s="13"/>
      <c r="M891" s="13"/>
      <c r="N891" s="13"/>
      <c r="O891" s="13"/>
      <c r="P891" s="13"/>
      <c r="Q891" s="13"/>
      <c r="R891" s="300"/>
      <c r="S891" s="13"/>
      <c r="T891" s="13"/>
      <c r="U891" s="300"/>
      <c r="V891" s="13"/>
      <c r="W891" s="13"/>
      <c r="X891" s="300"/>
      <c r="Y891" s="13"/>
      <c r="Z891" s="13"/>
      <c r="AA891" s="300"/>
      <c r="AB891" s="13"/>
      <c r="AC891" s="13"/>
      <c r="AD891" s="300"/>
      <c r="AE891" s="13"/>
      <c r="AF891" s="13"/>
      <c r="AG891" s="300"/>
      <c r="AH891" s="13"/>
      <c r="AI891" s="13"/>
      <c r="AJ891" s="300"/>
      <c r="AK891" s="13"/>
      <c r="AL891" s="301"/>
      <c r="AM891" s="300"/>
      <c r="AN891" s="13"/>
      <c r="AO891" s="301"/>
      <c r="AP891" s="300"/>
    </row>
    <row r="892">
      <c r="A892" s="13"/>
      <c r="B892" s="13"/>
      <c r="C892" s="13"/>
      <c r="D892" s="13"/>
      <c r="E892" s="13"/>
      <c r="F892" s="13"/>
      <c r="G892" s="13"/>
      <c r="H892" s="13"/>
      <c r="I892" s="13"/>
      <c r="J892" s="13"/>
      <c r="K892" s="13"/>
      <c r="L892" s="13"/>
      <c r="M892" s="13"/>
      <c r="N892" s="13"/>
      <c r="O892" s="13"/>
      <c r="P892" s="13"/>
      <c r="Q892" s="13"/>
      <c r="R892" s="300"/>
      <c r="S892" s="13"/>
      <c r="T892" s="13"/>
      <c r="U892" s="300"/>
      <c r="V892" s="13"/>
      <c r="W892" s="13"/>
      <c r="X892" s="300"/>
      <c r="Y892" s="13"/>
      <c r="Z892" s="13"/>
      <c r="AA892" s="300"/>
      <c r="AB892" s="13"/>
      <c r="AC892" s="13"/>
      <c r="AD892" s="300"/>
      <c r="AE892" s="13"/>
      <c r="AF892" s="13"/>
      <c r="AG892" s="300"/>
      <c r="AH892" s="13"/>
      <c r="AI892" s="13"/>
      <c r="AJ892" s="300"/>
      <c r="AK892" s="13"/>
      <c r="AL892" s="301"/>
      <c r="AM892" s="300"/>
      <c r="AN892" s="13"/>
      <c r="AO892" s="301"/>
      <c r="AP892" s="300"/>
    </row>
    <row r="893">
      <c r="A893" s="13"/>
      <c r="B893" s="13"/>
      <c r="C893" s="13"/>
      <c r="D893" s="13"/>
      <c r="E893" s="13"/>
      <c r="F893" s="13"/>
      <c r="G893" s="13"/>
      <c r="H893" s="13"/>
      <c r="I893" s="13"/>
      <c r="J893" s="13"/>
      <c r="K893" s="13"/>
      <c r="L893" s="13"/>
      <c r="M893" s="13"/>
      <c r="N893" s="13"/>
      <c r="O893" s="13"/>
      <c r="P893" s="13"/>
      <c r="Q893" s="13"/>
      <c r="R893" s="300"/>
      <c r="S893" s="13"/>
      <c r="T893" s="13"/>
      <c r="U893" s="300"/>
      <c r="V893" s="13"/>
      <c r="W893" s="13"/>
      <c r="X893" s="300"/>
      <c r="Y893" s="13"/>
      <c r="Z893" s="13"/>
      <c r="AA893" s="300"/>
      <c r="AB893" s="13"/>
      <c r="AC893" s="13"/>
      <c r="AD893" s="300"/>
      <c r="AE893" s="13"/>
      <c r="AF893" s="13"/>
      <c r="AG893" s="300"/>
      <c r="AH893" s="13"/>
      <c r="AI893" s="13"/>
      <c r="AJ893" s="300"/>
      <c r="AK893" s="13"/>
      <c r="AL893" s="301"/>
      <c r="AM893" s="300"/>
      <c r="AN893" s="13"/>
      <c r="AO893" s="301"/>
      <c r="AP893" s="300"/>
    </row>
    <row r="894">
      <c r="A894" s="13"/>
      <c r="B894" s="13"/>
      <c r="C894" s="13"/>
      <c r="D894" s="13"/>
      <c r="E894" s="13"/>
      <c r="F894" s="13"/>
      <c r="G894" s="13"/>
      <c r="H894" s="13"/>
      <c r="I894" s="13"/>
      <c r="J894" s="13"/>
      <c r="K894" s="13"/>
      <c r="L894" s="13"/>
      <c r="M894" s="13"/>
      <c r="N894" s="13"/>
      <c r="O894" s="13"/>
      <c r="P894" s="13"/>
      <c r="Q894" s="13"/>
      <c r="R894" s="300"/>
      <c r="S894" s="13"/>
      <c r="T894" s="13"/>
      <c r="U894" s="300"/>
      <c r="V894" s="13"/>
      <c r="W894" s="13"/>
      <c r="X894" s="300"/>
      <c r="Y894" s="13"/>
      <c r="Z894" s="13"/>
      <c r="AA894" s="300"/>
      <c r="AB894" s="13"/>
      <c r="AC894" s="13"/>
      <c r="AD894" s="300"/>
      <c r="AE894" s="13"/>
      <c r="AF894" s="13"/>
      <c r="AG894" s="300"/>
      <c r="AH894" s="13"/>
      <c r="AI894" s="13"/>
      <c r="AJ894" s="300"/>
      <c r="AK894" s="13"/>
      <c r="AL894" s="301"/>
      <c r="AM894" s="300"/>
      <c r="AN894" s="13"/>
      <c r="AO894" s="301"/>
      <c r="AP894" s="300"/>
    </row>
    <row r="895">
      <c r="A895" s="13"/>
      <c r="B895" s="13"/>
      <c r="C895" s="13"/>
      <c r="D895" s="13"/>
      <c r="E895" s="13"/>
      <c r="F895" s="13"/>
      <c r="G895" s="13"/>
      <c r="H895" s="13"/>
      <c r="I895" s="13"/>
      <c r="J895" s="13"/>
      <c r="K895" s="13"/>
      <c r="L895" s="13"/>
      <c r="M895" s="13"/>
      <c r="N895" s="13"/>
      <c r="O895" s="13"/>
      <c r="P895" s="13"/>
      <c r="Q895" s="13"/>
      <c r="R895" s="300"/>
      <c r="S895" s="13"/>
      <c r="T895" s="13"/>
      <c r="U895" s="300"/>
      <c r="V895" s="13"/>
      <c r="W895" s="13"/>
      <c r="X895" s="300"/>
      <c r="Y895" s="13"/>
      <c r="Z895" s="13"/>
      <c r="AA895" s="300"/>
      <c r="AB895" s="13"/>
      <c r="AC895" s="13"/>
      <c r="AD895" s="300"/>
      <c r="AE895" s="13"/>
      <c r="AF895" s="13"/>
      <c r="AG895" s="300"/>
      <c r="AH895" s="13"/>
      <c r="AI895" s="13"/>
      <c r="AJ895" s="300"/>
      <c r="AK895" s="13"/>
      <c r="AL895" s="301"/>
      <c r="AM895" s="300"/>
      <c r="AN895" s="13"/>
      <c r="AO895" s="301"/>
      <c r="AP895" s="300"/>
    </row>
    <row r="896">
      <c r="A896" s="13"/>
      <c r="B896" s="13"/>
      <c r="C896" s="13"/>
      <c r="D896" s="13"/>
      <c r="E896" s="13"/>
      <c r="F896" s="13"/>
      <c r="G896" s="13"/>
      <c r="H896" s="13"/>
      <c r="I896" s="13"/>
      <c r="J896" s="13"/>
      <c r="K896" s="13"/>
      <c r="L896" s="13"/>
      <c r="M896" s="13"/>
      <c r="N896" s="13"/>
      <c r="O896" s="13"/>
      <c r="P896" s="13"/>
      <c r="Q896" s="13"/>
      <c r="R896" s="300"/>
      <c r="S896" s="13"/>
      <c r="T896" s="13"/>
      <c r="U896" s="300"/>
      <c r="V896" s="13"/>
      <c r="W896" s="13"/>
      <c r="X896" s="300"/>
      <c r="Y896" s="13"/>
      <c r="Z896" s="13"/>
      <c r="AA896" s="300"/>
      <c r="AB896" s="13"/>
      <c r="AC896" s="13"/>
      <c r="AD896" s="300"/>
      <c r="AE896" s="13"/>
      <c r="AF896" s="13"/>
      <c r="AG896" s="300"/>
      <c r="AH896" s="13"/>
      <c r="AI896" s="13"/>
      <c r="AJ896" s="300"/>
      <c r="AK896" s="13"/>
      <c r="AL896" s="301"/>
      <c r="AM896" s="300"/>
      <c r="AN896" s="13"/>
      <c r="AO896" s="301"/>
      <c r="AP896" s="300"/>
    </row>
    <row r="897">
      <c r="A897" s="13"/>
      <c r="B897" s="13"/>
      <c r="C897" s="13"/>
      <c r="D897" s="13"/>
      <c r="E897" s="13"/>
      <c r="F897" s="13"/>
      <c r="G897" s="13"/>
      <c r="H897" s="13"/>
      <c r="I897" s="13"/>
      <c r="J897" s="13"/>
      <c r="K897" s="13"/>
      <c r="L897" s="13"/>
      <c r="M897" s="13"/>
      <c r="N897" s="13"/>
      <c r="O897" s="13"/>
      <c r="P897" s="13"/>
      <c r="Q897" s="13"/>
      <c r="R897" s="300"/>
      <c r="S897" s="13"/>
      <c r="T897" s="13"/>
      <c r="U897" s="300"/>
      <c r="V897" s="13"/>
      <c r="W897" s="13"/>
      <c r="X897" s="300"/>
      <c r="Y897" s="13"/>
      <c r="Z897" s="13"/>
      <c r="AA897" s="300"/>
      <c r="AB897" s="13"/>
      <c r="AC897" s="13"/>
      <c r="AD897" s="300"/>
      <c r="AE897" s="13"/>
      <c r="AF897" s="13"/>
      <c r="AG897" s="300"/>
      <c r="AH897" s="13"/>
      <c r="AI897" s="13"/>
      <c r="AJ897" s="300"/>
      <c r="AK897" s="13"/>
      <c r="AL897" s="301"/>
      <c r="AM897" s="300"/>
      <c r="AN897" s="13"/>
      <c r="AO897" s="301"/>
      <c r="AP897" s="300"/>
    </row>
    <row r="898">
      <c r="A898" s="13"/>
      <c r="B898" s="13"/>
      <c r="C898" s="13"/>
      <c r="D898" s="13"/>
      <c r="E898" s="13"/>
      <c r="F898" s="13"/>
      <c r="G898" s="13"/>
      <c r="H898" s="13"/>
      <c r="I898" s="13"/>
      <c r="J898" s="13"/>
      <c r="K898" s="13"/>
      <c r="L898" s="13"/>
      <c r="M898" s="13"/>
      <c r="N898" s="13"/>
      <c r="O898" s="13"/>
      <c r="P898" s="13"/>
      <c r="Q898" s="13"/>
      <c r="R898" s="300"/>
      <c r="S898" s="13"/>
      <c r="T898" s="13"/>
      <c r="U898" s="300"/>
      <c r="V898" s="13"/>
      <c r="W898" s="13"/>
      <c r="X898" s="300"/>
      <c r="Y898" s="13"/>
      <c r="Z898" s="13"/>
      <c r="AA898" s="300"/>
      <c r="AB898" s="13"/>
      <c r="AC898" s="13"/>
      <c r="AD898" s="300"/>
      <c r="AE898" s="13"/>
      <c r="AF898" s="13"/>
      <c r="AG898" s="300"/>
      <c r="AH898" s="13"/>
      <c r="AI898" s="13"/>
      <c r="AJ898" s="300"/>
      <c r="AK898" s="13"/>
      <c r="AL898" s="301"/>
      <c r="AM898" s="300"/>
      <c r="AN898" s="13"/>
      <c r="AO898" s="301"/>
      <c r="AP898" s="300"/>
    </row>
    <row r="899">
      <c r="A899" s="13"/>
      <c r="B899" s="13"/>
      <c r="C899" s="13"/>
      <c r="D899" s="13"/>
      <c r="E899" s="13"/>
      <c r="F899" s="13"/>
      <c r="G899" s="13"/>
      <c r="H899" s="13"/>
      <c r="I899" s="13"/>
      <c r="J899" s="13"/>
      <c r="K899" s="13"/>
      <c r="L899" s="13"/>
      <c r="M899" s="13"/>
      <c r="N899" s="13"/>
      <c r="O899" s="13"/>
      <c r="P899" s="13"/>
      <c r="Q899" s="13"/>
      <c r="R899" s="300"/>
      <c r="S899" s="13"/>
      <c r="T899" s="13"/>
      <c r="U899" s="300"/>
      <c r="V899" s="13"/>
      <c r="W899" s="13"/>
      <c r="X899" s="300"/>
      <c r="Y899" s="13"/>
      <c r="Z899" s="13"/>
      <c r="AA899" s="300"/>
      <c r="AB899" s="13"/>
      <c r="AC899" s="13"/>
      <c r="AD899" s="300"/>
      <c r="AE899" s="13"/>
      <c r="AF899" s="13"/>
      <c r="AG899" s="300"/>
      <c r="AH899" s="13"/>
      <c r="AI899" s="13"/>
      <c r="AJ899" s="300"/>
      <c r="AK899" s="13"/>
      <c r="AL899" s="301"/>
      <c r="AM899" s="300"/>
      <c r="AN899" s="13"/>
      <c r="AO899" s="301"/>
      <c r="AP899" s="300"/>
    </row>
    <row r="900">
      <c r="A900" s="13"/>
      <c r="B900" s="13"/>
      <c r="C900" s="13"/>
      <c r="D900" s="13"/>
      <c r="E900" s="13"/>
      <c r="F900" s="13"/>
      <c r="G900" s="13"/>
      <c r="H900" s="13"/>
      <c r="I900" s="13"/>
      <c r="J900" s="13"/>
      <c r="K900" s="13"/>
      <c r="L900" s="13"/>
      <c r="M900" s="13"/>
      <c r="N900" s="13"/>
      <c r="O900" s="13"/>
      <c r="P900" s="13"/>
      <c r="Q900" s="13"/>
      <c r="R900" s="300"/>
      <c r="S900" s="13"/>
      <c r="T900" s="13"/>
      <c r="U900" s="300"/>
      <c r="V900" s="13"/>
      <c r="W900" s="13"/>
      <c r="X900" s="300"/>
      <c r="Y900" s="13"/>
      <c r="Z900" s="13"/>
      <c r="AA900" s="300"/>
      <c r="AB900" s="13"/>
      <c r="AC900" s="13"/>
      <c r="AD900" s="300"/>
      <c r="AE900" s="13"/>
      <c r="AF900" s="13"/>
      <c r="AG900" s="300"/>
      <c r="AH900" s="13"/>
      <c r="AI900" s="13"/>
      <c r="AJ900" s="300"/>
      <c r="AK900" s="13"/>
      <c r="AL900" s="301"/>
      <c r="AM900" s="300"/>
      <c r="AN900" s="13"/>
      <c r="AO900" s="301"/>
      <c r="AP900" s="300"/>
    </row>
    <row r="901">
      <c r="A901" s="13"/>
      <c r="B901" s="13"/>
      <c r="C901" s="13"/>
      <c r="D901" s="13"/>
      <c r="E901" s="13"/>
      <c r="F901" s="13"/>
      <c r="G901" s="13"/>
      <c r="H901" s="13"/>
      <c r="I901" s="13"/>
      <c r="J901" s="13"/>
      <c r="K901" s="13"/>
      <c r="L901" s="13"/>
      <c r="M901" s="13"/>
      <c r="N901" s="13"/>
      <c r="O901" s="13"/>
      <c r="P901" s="13"/>
      <c r="Q901" s="13"/>
      <c r="R901" s="300"/>
      <c r="S901" s="13"/>
      <c r="T901" s="13"/>
      <c r="U901" s="300"/>
      <c r="V901" s="13"/>
      <c r="W901" s="13"/>
      <c r="X901" s="300"/>
      <c r="Y901" s="13"/>
      <c r="Z901" s="13"/>
      <c r="AA901" s="300"/>
      <c r="AB901" s="13"/>
      <c r="AC901" s="13"/>
      <c r="AD901" s="300"/>
      <c r="AE901" s="13"/>
      <c r="AF901" s="13"/>
      <c r="AG901" s="300"/>
      <c r="AH901" s="13"/>
      <c r="AI901" s="13"/>
      <c r="AJ901" s="300"/>
      <c r="AK901" s="13"/>
      <c r="AL901" s="301"/>
      <c r="AM901" s="300"/>
      <c r="AN901" s="13"/>
      <c r="AO901" s="301"/>
      <c r="AP901" s="300"/>
    </row>
    <row r="902">
      <c r="A902" s="13"/>
      <c r="B902" s="13"/>
      <c r="C902" s="13"/>
      <c r="D902" s="13"/>
      <c r="E902" s="13"/>
      <c r="F902" s="13"/>
      <c r="G902" s="13"/>
      <c r="H902" s="13"/>
      <c r="I902" s="13"/>
      <c r="J902" s="13"/>
      <c r="K902" s="13"/>
      <c r="L902" s="13"/>
      <c r="M902" s="13"/>
      <c r="N902" s="13"/>
      <c r="O902" s="13"/>
      <c r="P902" s="13"/>
      <c r="Q902" s="13"/>
      <c r="R902" s="300"/>
      <c r="S902" s="13"/>
      <c r="T902" s="13"/>
      <c r="U902" s="300"/>
      <c r="V902" s="13"/>
      <c r="W902" s="13"/>
      <c r="X902" s="300"/>
      <c r="Y902" s="13"/>
      <c r="Z902" s="13"/>
      <c r="AA902" s="300"/>
      <c r="AB902" s="13"/>
      <c r="AC902" s="13"/>
      <c r="AD902" s="300"/>
      <c r="AE902" s="13"/>
      <c r="AF902" s="13"/>
      <c r="AG902" s="300"/>
      <c r="AH902" s="13"/>
      <c r="AI902" s="13"/>
      <c r="AJ902" s="300"/>
      <c r="AK902" s="13"/>
      <c r="AL902" s="301"/>
      <c r="AM902" s="300"/>
      <c r="AN902" s="13"/>
      <c r="AO902" s="301"/>
      <c r="AP902" s="300"/>
    </row>
    <row r="903">
      <c r="A903" s="13"/>
      <c r="B903" s="13"/>
      <c r="C903" s="13"/>
      <c r="D903" s="13"/>
      <c r="E903" s="13"/>
      <c r="F903" s="13"/>
      <c r="G903" s="13"/>
      <c r="H903" s="13"/>
      <c r="I903" s="13"/>
      <c r="J903" s="13"/>
      <c r="K903" s="13"/>
      <c r="L903" s="13"/>
      <c r="M903" s="13"/>
      <c r="N903" s="13"/>
      <c r="O903" s="13"/>
      <c r="P903" s="13"/>
      <c r="Q903" s="13"/>
      <c r="R903" s="300"/>
      <c r="S903" s="13"/>
      <c r="T903" s="13"/>
      <c r="U903" s="300"/>
      <c r="V903" s="13"/>
      <c r="W903" s="13"/>
      <c r="X903" s="300"/>
      <c r="Y903" s="13"/>
      <c r="Z903" s="13"/>
      <c r="AA903" s="300"/>
      <c r="AB903" s="13"/>
      <c r="AC903" s="13"/>
      <c r="AD903" s="300"/>
      <c r="AE903" s="13"/>
      <c r="AF903" s="13"/>
      <c r="AG903" s="300"/>
      <c r="AH903" s="13"/>
      <c r="AI903" s="13"/>
      <c r="AJ903" s="300"/>
      <c r="AK903" s="13"/>
      <c r="AL903" s="301"/>
      <c r="AM903" s="300"/>
      <c r="AN903" s="13"/>
      <c r="AO903" s="301"/>
      <c r="AP903" s="300"/>
    </row>
    <row r="904">
      <c r="A904" s="13"/>
      <c r="B904" s="13"/>
      <c r="C904" s="13"/>
      <c r="D904" s="13"/>
      <c r="E904" s="13"/>
      <c r="F904" s="13"/>
      <c r="G904" s="13"/>
      <c r="H904" s="13"/>
      <c r="I904" s="13"/>
      <c r="J904" s="13"/>
      <c r="K904" s="13"/>
      <c r="L904" s="13"/>
      <c r="M904" s="13"/>
      <c r="N904" s="13"/>
      <c r="O904" s="13"/>
      <c r="P904" s="13"/>
      <c r="Q904" s="13"/>
      <c r="R904" s="300"/>
      <c r="S904" s="13"/>
      <c r="T904" s="13"/>
      <c r="U904" s="300"/>
      <c r="V904" s="13"/>
      <c r="W904" s="13"/>
      <c r="X904" s="300"/>
      <c r="Y904" s="13"/>
      <c r="Z904" s="13"/>
      <c r="AA904" s="300"/>
      <c r="AB904" s="13"/>
      <c r="AC904" s="13"/>
      <c r="AD904" s="300"/>
      <c r="AE904" s="13"/>
      <c r="AF904" s="13"/>
      <c r="AG904" s="300"/>
      <c r="AH904" s="13"/>
      <c r="AI904" s="13"/>
      <c r="AJ904" s="300"/>
      <c r="AK904" s="13"/>
      <c r="AL904" s="301"/>
      <c r="AM904" s="300"/>
      <c r="AN904" s="13"/>
      <c r="AO904" s="301"/>
      <c r="AP904" s="300"/>
    </row>
    <row r="905">
      <c r="A905" s="13"/>
      <c r="B905" s="13"/>
      <c r="C905" s="13"/>
      <c r="D905" s="13"/>
      <c r="E905" s="13"/>
      <c r="F905" s="13"/>
      <c r="G905" s="13"/>
      <c r="H905" s="13"/>
      <c r="I905" s="13"/>
      <c r="J905" s="13"/>
      <c r="K905" s="13"/>
      <c r="L905" s="13"/>
      <c r="M905" s="13"/>
      <c r="N905" s="13"/>
      <c r="O905" s="13"/>
      <c r="P905" s="13"/>
      <c r="Q905" s="13"/>
      <c r="R905" s="300"/>
      <c r="S905" s="13"/>
      <c r="T905" s="13"/>
      <c r="U905" s="300"/>
      <c r="V905" s="13"/>
      <c r="W905" s="13"/>
      <c r="X905" s="300"/>
      <c r="Y905" s="13"/>
      <c r="Z905" s="13"/>
      <c r="AA905" s="300"/>
      <c r="AB905" s="13"/>
      <c r="AC905" s="13"/>
      <c r="AD905" s="300"/>
      <c r="AE905" s="13"/>
      <c r="AF905" s="13"/>
      <c r="AG905" s="300"/>
      <c r="AH905" s="13"/>
      <c r="AI905" s="13"/>
      <c r="AJ905" s="300"/>
      <c r="AK905" s="13"/>
      <c r="AL905" s="301"/>
      <c r="AM905" s="300"/>
      <c r="AN905" s="13"/>
      <c r="AO905" s="301"/>
      <c r="AP905" s="300"/>
    </row>
    <row r="906">
      <c r="A906" s="13"/>
      <c r="B906" s="13"/>
      <c r="C906" s="13"/>
      <c r="D906" s="13"/>
      <c r="E906" s="13"/>
      <c r="F906" s="13"/>
      <c r="G906" s="13"/>
      <c r="H906" s="13"/>
      <c r="I906" s="13"/>
      <c r="J906" s="13"/>
      <c r="K906" s="13"/>
      <c r="L906" s="13"/>
      <c r="M906" s="13"/>
      <c r="N906" s="13"/>
      <c r="O906" s="13"/>
      <c r="P906" s="13"/>
      <c r="Q906" s="13"/>
      <c r="R906" s="300"/>
      <c r="S906" s="13"/>
      <c r="T906" s="13"/>
      <c r="U906" s="300"/>
      <c r="V906" s="13"/>
      <c r="W906" s="13"/>
      <c r="X906" s="300"/>
      <c r="Y906" s="13"/>
      <c r="Z906" s="13"/>
      <c r="AA906" s="300"/>
      <c r="AB906" s="13"/>
      <c r="AC906" s="13"/>
      <c r="AD906" s="300"/>
      <c r="AE906" s="13"/>
      <c r="AF906" s="13"/>
      <c r="AG906" s="300"/>
      <c r="AH906" s="13"/>
      <c r="AI906" s="13"/>
      <c r="AJ906" s="300"/>
      <c r="AK906" s="13"/>
      <c r="AL906" s="301"/>
      <c r="AM906" s="300"/>
      <c r="AN906" s="13"/>
      <c r="AO906" s="301"/>
      <c r="AP906" s="300"/>
    </row>
    <row r="907">
      <c r="A907" s="13"/>
      <c r="B907" s="13"/>
      <c r="C907" s="13"/>
      <c r="D907" s="13"/>
      <c r="E907" s="13"/>
      <c r="F907" s="13"/>
      <c r="G907" s="13"/>
      <c r="H907" s="13"/>
      <c r="I907" s="13"/>
      <c r="J907" s="13"/>
      <c r="K907" s="13"/>
      <c r="L907" s="13"/>
      <c r="M907" s="13"/>
      <c r="N907" s="13"/>
      <c r="O907" s="13"/>
      <c r="P907" s="13"/>
      <c r="Q907" s="13"/>
      <c r="R907" s="300"/>
      <c r="S907" s="13"/>
      <c r="T907" s="13"/>
      <c r="U907" s="300"/>
      <c r="V907" s="13"/>
      <c r="W907" s="13"/>
      <c r="X907" s="300"/>
      <c r="Y907" s="13"/>
      <c r="Z907" s="13"/>
      <c r="AA907" s="300"/>
      <c r="AB907" s="13"/>
      <c r="AC907" s="13"/>
      <c r="AD907" s="300"/>
      <c r="AE907" s="13"/>
      <c r="AF907" s="13"/>
      <c r="AG907" s="300"/>
      <c r="AH907" s="13"/>
      <c r="AI907" s="13"/>
      <c r="AJ907" s="300"/>
      <c r="AK907" s="13"/>
      <c r="AL907" s="301"/>
      <c r="AM907" s="300"/>
      <c r="AN907" s="13"/>
      <c r="AO907" s="301"/>
      <c r="AP907" s="300"/>
    </row>
    <row r="908">
      <c r="A908" s="13"/>
      <c r="B908" s="13"/>
      <c r="C908" s="13"/>
      <c r="D908" s="13"/>
      <c r="E908" s="13"/>
      <c r="F908" s="13"/>
      <c r="G908" s="13"/>
      <c r="H908" s="13"/>
      <c r="I908" s="13"/>
      <c r="J908" s="13"/>
      <c r="K908" s="13"/>
      <c r="L908" s="13"/>
      <c r="M908" s="13"/>
      <c r="N908" s="13"/>
      <c r="O908" s="13"/>
      <c r="P908" s="13"/>
      <c r="Q908" s="13"/>
      <c r="R908" s="300"/>
      <c r="S908" s="13"/>
      <c r="T908" s="13"/>
      <c r="U908" s="300"/>
      <c r="V908" s="13"/>
      <c r="W908" s="13"/>
      <c r="X908" s="300"/>
      <c r="Y908" s="13"/>
      <c r="Z908" s="13"/>
      <c r="AA908" s="300"/>
      <c r="AB908" s="13"/>
      <c r="AC908" s="13"/>
      <c r="AD908" s="300"/>
      <c r="AE908" s="13"/>
      <c r="AF908" s="13"/>
      <c r="AG908" s="300"/>
      <c r="AH908" s="13"/>
      <c r="AI908" s="13"/>
      <c r="AJ908" s="300"/>
      <c r="AK908" s="13"/>
      <c r="AL908" s="301"/>
      <c r="AM908" s="300"/>
      <c r="AN908" s="13"/>
      <c r="AO908" s="301"/>
      <c r="AP908" s="300"/>
    </row>
    <row r="909">
      <c r="A909" s="13"/>
      <c r="B909" s="13"/>
      <c r="C909" s="13"/>
      <c r="D909" s="13"/>
      <c r="E909" s="13"/>
      <c r="F909" s="13"/>
      <c r="G909" s="13"/>
      <c r="H909" s="13"/>
      <c r="I909" s="13"/>
      <c r="J909" s="13"/>
      <c r="K909" s="13"/>
      <c r="L909" s="13"/>
      <c r="M909" s="13"/>
      <c r="N909" s="13"/>
      <c r="O909" s="13"/>
      <c r="P909" s="13"/>
      <c r="Q909" s="13"/>
      <c r="R909" s="300"/>
      <c r="S909" s="13"/>
      <c r="T909" s="13"/>
      <c r="U909" s="300"/>
      <c r="V909" s="13"/>
      <c r="W909" s="13"/>
      <c r="X909" s="300"/>
      <c r="Y909" s="13"/>
      <c r="Z909" s="13"/>
      <c r="AA909" s="300"/>
      <c r="AB909" s="13"/>
      <c r="AC909" s="13"/>
      <c r="AD909" s="300"/>
      <c r="AE909" s="13"/>
      <c r="AF909" s="13"/>
      <c r="AG909" s="300"/>
      <c r="AH909" s="13"/>
      <c r="AI909" s="13"/>
      <c r="AJ909" s="300"/>
      <c r="AK909" s="13"/>
      <c r="AL909" s="301"/>
      <c r="AM909" s="300"/>
      <c r="AN909" s="13"/>
      <c r="AO909" s="301"/>
      <c r="AP909" s="300"/>
    </row>
    <row r="910">
      <c r="A910" s="13"/>
      <c r="B910" s="13"/>
      <c r="C910" s="13"/>
      <c r="D910" s="13"/>
      <c r="E910" s="13"/>
      <c r="F910" s="13"/>
      <c r="G910" s="13"/>
      <c r="H910" s="13"/>
      <c r="I910" s="13"/>
      <c r="J910" s="13"/>
      <c r="K910" s="13"/>
      <c r="L910" s="13"/>
      <c r="M910" s="13"/>
      <c r="N910" s="13"/>
      <c r="O910" s="13"/>
      <c r="P910" s="13"/>
      <c r="Q910" s="13"/>
      <c r="R910" s="300"/>
      <c r="S910" s="13"/>
      <c r="T910" s="13"/>
      <c r="U910" s="300"/>
      <c r="V910" s="13"/>
      <c r="W910" s="13"/>
      <c r="X910" s="300"/>
      <c r="Y910" s="13"/>
      <c r="Z910" s="13"/>
      <c r="AA910" s="300"/>
      <c r="AB910" s="13"/>
      <c r="AC910" s="13"/>
      <c r="AD910" s="300"/>
      <c r="AE910" s="13"/>
      <c r="AF910" s="13"/>
      <c r="AG910" s="300"/>
      <c r="AH910" s="13"/>
      <c r="AI910" s="13"/>
      <c r="AJ910" s="300"/>
      <c r="AK910" s="13"/>
      <c r="AL910" s="301"/>
      <c r="AM910" s="300"/>
      <c r="AN910" s="13"/>
      <c r="AO910" s="301"/>
      <c r="AP910" s="300"/>
    </row>
    <row r="911">
      <c r="A911" s="13"/>
      <c r="B911" s="13"/>
      <c r="C911" s="13"/>
      <c r="D911" s="13"/>
      <c r="E911" s="13"/>
      <c r="F911" s="13"/>
      <c r="G911" s="13"/>
      <c r="H911" s="13"/>
      <c r="I911" s="13"/>
      <c r="J911" s="13"/>
      <c r="K911" s="13"/>
      <c r="L911" s="13"/>
      <c r="M911" s="13"/>
      <c r="N911" s="13"/>
      <c r="O911" s="13"/>
      <c r="P911" s="13"/>
      <c r="Q911" s="13"/>
      <c r="R911" s="300"/>
      <c r="S911" s="13"/>
      <c r="T911" s="13"/>
      <c r="U911" s="300"/>
      <c r="V911" s="13"/>
      <c r="W911" s="13"/>
      <c r="X911" s="300"/>
      <c r="Y911" s="13"/>
      <c r="Z911" s="13"/>
      <c r="AA911" s="300"/>
      <c r="AB911" s="13"/>
      <c r="AC911" s="13"/>
      <c r="AD911" s="300"/>
      <c r="AE911" s="13"/>
      <c r="AF911" s="13"/>
      <c r="AG911" s="300"/>
      <c r="AH911" s="13"/>
      <c r="AI911" s="13"/>
      <c r="AJ911" s="300"/>
      <c r="AK911" s="13"/>
      <c r="AL911" s="301"/>
      <c r="AM911" s="300"/>
      <c r="AN911" s="13"/>
      <c r="AO911" s="301"/>
      <c r="AP911" s="300"/>
    </row>
    <row r="912">
      <c r="A912" s="13"/>
      <c r="B912" s="13"/>
      <c r="C912" s="13"/>
      <c r="D912" s="13"/>
      <c r="E912" s="13"/>
      <c r="F912" s="13"/>
      <c r="G912" s="13"/>
      <c r="H912" s="13"/>
      <c r="I912" s="13"/>
      <c r="J912" s="13"/>
      <c r="K912" s="13"/>
      <c r="L912" s="13"/>
      <c r="M912" s="13"/>
      <c r="N912" s="13"/>
      <c r="O912" s="13"/>
      <c r="P912" s="13"/>
      <c r="Q912" s="13"/>
      <c r="R912" s="300"/>
      <c r="S912" s="13"/>
      <c r="T912" s="13"/>
      <c r="U912" s="300"/>
      <c r="V912" s="13"/>
      <c r="W912" s="13"/>
      <c r="X912" s="300"/>
      <c r="Y912" s="13"/>
      <c r="Z912" s="13"/>
      <c r="AA912" s="300"/>
      <c r="AB912" s="13"/>
      <c r="AC912" s="13"/>
      <c r="AD912" s="300"/>
      <c r="AE912" s="13"/>
      <c r="AF912" s="13"/>
      <c r="AG912" s="300"/>
      <c r="AH912" s="13"/>
      <c r="AI912" s="13"/>
      <c r="AJ912" s="300"/>
      <c r="AK912" s="13"/>
      <c r="AL912" s="301"/>
      <c r="AM912" s="300"/>
      <c r="AN912" s="13"/>
      <c r="AO912" s="301"/>
      <c r="AP912" s="300"/>
    </row>
    <row r="913">
      <c r="A913" s="13"/>
      <c r="B913" s="13"/>
      <c r="C913" s="13"/>
      <c r="D913" s="13"/>
      <c r="E913" s="13"/>
      <c r="F913" s="13"/>
      <c r="G913" s="13"/>
      <c r="H913" s="13"/>
      <c r="I913" s="13"/>
      <c r="J913" s="13"/>
      <c r="K913" s="13"/>
      <c r="L913" s="13"/>
      <c r="M913" s="13"/>
      <c r="N913" s="13"/>
      <c r="O913" s="13"/>
      <c r="P913" s="13"/>
      <c r="Q913" s="13"/>
      <c r="R913" s="300"/>
      <c r="S913" s="13"/>
      <c r="T913" s="13"/>
      <c r="U913" s="300"/>
      <c r="V913" s="13"/>
      <c r="W913" s="13"/>
      <c r="X913" s="300"/>
      <c r="Y913" s="13"/>
      <c r="Z913" s="13"/>
      <c r="AA913" s="300"/>
      <c r="AB913" s="13"/>
      <c r="AC913" s="13"/>
      <c r="AD913" s="300"/>
      <c r="AE913" s="13"/>
      <c r="AF913" s="13"/>
      <c r="AG913" s="300"/>
      <c r="AH913" s="13"/>
      <c r="AI913" s="13"/>
      <c r="AJ913" s="300"/>
      <c r="AK913" s="13"/>
      <c r="AL913" s="301"/>
      <c r="AM913" s="300"/>
      <c r="AN913" s="13"/>
      <c r="AO913" s="301"/>
      <c r="AP913" s="300"/>
    </row>
    <row r="914">
      <c r="A914" s="13"/>
      <c r="B914" s="13"/>
      <c r="C914" s="13"/>
      <c r="D914" s="13"/>
      <c r="E914" s="13"/>
      <c r="F914" s="13"/>
      <c r="G914" s="13"/>
      <c r="H914" s="13"/>
      <c r="I914" s="13"/>
      <c r="J914" s="13"/>
      <c r="K914" s="13"/>
      <c r="L914" s="13"/>
      <c r="M914" s="13"/>
      <c r="N914" s="13"/>
      <c r="O914" s="13"/>
      <c r="P914" s="13"/>
      <c r="Q914" s="13"/>
      <c r="R914" s="300"/>
      <c r="S914" s="13"/>
      <c r="T914" s="13"/>
      <c r="U914" s="300"/>
      <c r="V914" s="13"/>
      <c r="W914" s="13"/>
      <c r="X914" s="300"/>
      <c r="Y914" s="13"/>
      <c r="Z914" s="13"/>
      <c r="AA914" s="300"/>
      <c r="AB914" s="13"/>
      <c r="AC914" s="13"/>
      <c r="AD914" s="300"/>
      <c r="AE914" s="13"/>
      <c r="AF914" s="13"/>
      <c r="AG914" s="300"/>
      <c r="AH914" s="13"/>
      <c r="AI914" s="13"/>
      <c r="AJ914" s="300"/>
      <c r="AK914" s="13"/>
      <c r="AL914" s="301"/>
      <c r="AM914" s="300"/>
      <c r="AN914" s="13"/>
      <c r="AO914" s="301"/>
      <c r="AP914" s="300"/>
    </row>
    <row r="915">
      <c r="A915" s="13"/>
      <c r="B915" s="13"/>
      <c r="C915" s="13"/>
      <c r="D915" s="13"/>
      <c r="E915" s="13"/>
      <c r="F915" s="13"/>
      <c r="G915" s="13"/>
      <c r="H915" s="13"/>
      <c r="I915" s="13"/>
      <c r="J915" s="13"/>
      <c r="K915" s="13"/>
      <c r="L915" s="13"/>
      <c r="M915" s="13"/>
      <c r="N915" s="13"/>
      <c r="O915" s="13"/>
      <c r="P915" s="13"/>
      <c r="Q915" s="13"/>
      <c r="R915" s="300"/>
      <c r="S915" s="13"/>
      <c r="T915" s="13"/>
      <c r="U915" s="300"/>
      <c r="V915" s="13"/>
      <c r="W915" s="13"/>
      <c r="X915" s="300"/>
      <c r="Y915" s="13"/>
      <c r="Z915" s="13"/>
      <c r="AA915" s="300"/>
      <c r="AB915" s="13"/>
      <c r="AC915" s="13"/>
      <c r="AD915" s="300"/>
      <c r="AE915" s="13"/>
      <c r="AF915" s="13"/>
      <c r="AG915" s="300"/>
      <c r="AH915" s="13"/>
      <c r="AI915" s="13"/>
      <c r="AJ915" s="300"/>
      <c r="AK915" s="13"/>
      <c r="AL915" s="301"/>
      <c r="AM915" s="300"/>
      <c r="AN915" s="13"/>
      <c r="AO915" s="301"/>
      <c r="AP915" s="300"/>
    </row>
    <row r="916">
      <c r="A916" s="13"/>
      <c r="B916" s="13"/>
      <c r="C916" s="13"/>
      <c r="D916" s="13"/>
      <c r="E916" s="13"/>
      <c r="F916" s="13"/>
      <c r="G916" s="13"/>
      <c r="H916" s="13"/>
      <c r="I916" s="13"/>
      <c r="J916" s="13"/>
      <c r="K916" s="13"/>
      <c r="L916" s="13"/>
      <c r="M916" s="13"/>
      <c r="N916" s="13"/>
      <c r="O916" s="13"/>
      <c r="P916" s="13"/>
      <c r="Q916" s="13"/>
      <c r="R916" s="300"/>
      <c r="S916" s="13"/>
      <c r="T916" s="13"/>
      <c r="U916" s="300"/>
      <c r="V916" s="13"/>
      <c r="W916" s="13"/>
      <c r="X916" s="300"/>
      <c r="Y916" s="13"/>
      <c r="Z916" s="13"/>
      <c r="AA916" s="300"/>
      <c r="AB916" s="13"/>
      <c r="AC916" s="13"/>
      <c r="AD916" s="300"/>
      <c r="AE916" s="13"/>
      <c r="AF916" s="13"/>
      <c r="AG916" s="300"/>
      <c r="AH916" s="13"/>
      <c r="AI916" s="13"/>
      <c r="AJ916" s="300"/>
      <c r="AK916" s="13"/>
      <c r="AL916" s="301"/>
      <c r="AM916" s="300"/>
      <c r="AN916" s="13"/>
      <c r="AO916" s="301"/>
      <c r="AP916" s="300"/>
    </row>
    <row r="917">
      <c r="A917" s="13"/>
      <c r="B917" s="13"/>
      <c r="C917" s="13"/>
      <c r="D917" s="13"/>
      <c r="E917" s="13"/>
      <c r="F917" s="13"/>
      <c r="G917" s="13"/>
      <c r="H917" s="13"/>
      <c r="I917" s="13"/>
      <c r="J917" s="13"/>
      <c r="K917" s="13"/>
      <c r="L917" s="13"/>
      <c r="M917" s="13"/>
      <c r="N917" s="13"/>
      <c r="O917" s="13"/>
      <c r="P917" s="13"/>
      <c r="Q917" s="13"/>
      <c r="R917" s="300"/>
      <c r="S917" s="13"/>
      <c r="T917" s="13"/>
      <c r="U917" s="300"/>
      <c r="V917" s="13"/>
      <c r="W917" s="13"/>
      <c r="X917" s="300"/>
      <c r="Y917" s="13"/>
      <c r="Z917" s="13"/>
      <c r="AA917" s="300"/>
      <c r="AB917" s="13"/>
      <c r="AC917" s="13"/>
      <c r="AD917" s="300"/>
      <c r="AE917" s="13"/>
      <c r="AF917" s="13"/>
      <c r="AG917" s="300"/>
      <c r="AH917" s="13"/>
      <c r="AI917" s="13"/>
      <c r="AJ917" s="300"/>
      <c r="AK917" s="13"/>
      <c r="AL917" s="301"/>
      <c r="AM917" s="300"/>
      <c r="AN917" s="13"/>
      <c r="AO917" s="301"/>
      <c r="AP917" s="300"/>
    </row>
    <row r="918">
      <c r="A918" s="13"/>
      <c r="B918" s="13"/>
      <c r="C918" s="13"/>
      <c r="D918" s="13"/>
      <c r="E918" s="13"/>
      <c r="F918" s="13"/>
      <c r="G918" s="13"/>
      <c r="H918" s="13"/>
      <c r="I918" s="13"/>
      <c r="J918" s="13"/>
      <c r="K918" s="13"/>
      <c r="L918" s="13"/>
      <c r="M918" s="13"/>
      <c r="N918" s="13"/>
      <c r="O918" s="13"/>
      <c r="P918" s="13"/>
      <c r="Q918" s="13"/>
      <c r="R918" s="300"/>
      <c r="S918" s="13"/>
      <c r="T918" s="13"/>
      <c r="U918" s="300"/>
      <c r="V918" s="13"/>
      <c r="W918" s="13"/>
      <c r="X918" s="300"/>
      <c r="Y918" s="13"/>
      <c r="Z918" s="13"/>
      <c r="AA918" s="300"/>
      <c r="AB918" s="13"/>
      <c r="AC918" s="13"/>
      <c r="AD918" s="300"/>
      <c r="AE918" s="13"/>
      <c r="AF918" s="13"/>
      <c r="AG918" s="300"/>
      <c r="AH918" s="13"/>
      <c r="AI918" s="13"/>
      <c r="AJ918" s="300"/>
      <c r="AK918" s="13"/>
      <c r="AL918" s="301"/>
      <c r="AM918" s="300"/>
      <c r="AN918" s="13"/>
      <c r="AO918" s="301"/>
      <c r="AP918" s="300"/>
    </row>
    <row r="919">
      <c r="A919" s="13"/>
      <c r="B919" s="13"/>
      <c r="C919" s="13"/>
      <c r="D919" s="13"/>
      <c r="E919" s="13"/>
      <c r="F919" s="13"/>
      <c r="G919" s="13"/>
      <c r="H919" s="13"/>
      <c r="I919" s="13"/>
      <c r="J919" s="13"/>
      <c r="K919" s="13"/>
      <c r="L919" s="13"/>
      <c r="M919" s="13"/>
      <c r="N919" s="13"/>
      <c r="O919" s="13"/>
      <c r="P919" s="13"/>
      <c r="Q919" s="13"/>
      <c r="R919" s="300"/>
      <c r="S919" s="13"/>
      <c r="T919" s="13"/>
      <c r="U919" s="300"/>
      <c r="V919" s="13"/>
      <c r="W919" s="13"/>
      <c r="X919" s="300"/>
      <c r="Y919" s="13"/>
      <c r="Z919" s="13"/>
      <c r="AA919" s="300"/>
      <c r="AB919" s="13"/>
      <c r="AC919" s="13"/>
      <c r="AD919" s="300"/>
      <c r="AE919" s="13"/>
      <c r="AF919" s="13"/>
      <c r="AG919" s="300"/>
      <c r="AH919" s="13"/>
      <c r="AI919" s="13"/>
      <c r="AJ919" s="300"/>
      <c r="AK919" s="13"/>
      <c r="AL919" s="301"/>
      <c r="AM919" s="300"/>
      <c r="AN919" s="13"/>
      <c r="AO919" s="301"/>
      <c r="AP919" s="300"/>
    </row>
    <row r="920">
      <c r="A920" s="13"/>
      <c r="B920" s="13"/>
      <c r="C920" s="13"/>
      <c r="D920" s="13"/>
      <c r="E920" s="13"/>
      <c r="F920" s="13"/>
      <c r="G920" s="13"/>
      <c r="H920" s="13"/>
      <c r="I920" s="13"/>
      <c r="J920" s="13"/>
      <c r="K920" s="13"/>
      <c r="L920" s="13"/>
      <c r="M920" s="13"/>
      <c r="N920" s="13"/>
      <c r="O920" s="13"/>
      <c r="P920" s="13"/>
      <c r="Q920" s="13"/>
      <c r="R920" s="300"/>
      <c r="S920" s="13"/>
      <c r="T920" s="13"/>
      <c r="U920" s="300"/>
      <c r="V920" s="13"/>
      <c r="W920" s="13"/>
      <c r="X920" s="300"/>
      <c r="Y920" s="13"/>
      <c r="Z920" s="13"/>
      <c r="AA920" s="300"/>
      <c r="AB920" s="13"/>
      <c r="AC920" s="13"/>
      <c r="AD920" s="300"/>
      <c r="AE920" s="13"/>
      <c r="AF920" s="13"/>
      <c r="AG920" s="300"/>
      <c r="AH920" s="13"/>
      <c r="AI920" s="13"/>
      <c r="AJ920" s="300"/>
      <c r="AK920" s="13"/>
      <c r="AL920" s="301"/>
      <c r="AM920" s="300"/>
      <c r="AN920" s="13"/>
      <c r="AO920" s="301"/>
      <c r="AP920" s="300"/>
    </row>
    <row r="921">
      <c r="A921" s="13"/>
      <c r="B921" s="13"/>
      <c r="C921" s="13"/>
      <c r="D921" s="13"/>
      <c r="E921" s="13"/>
      <c r="F921" s="13"/>
      <c r="G921" s="13"/>
      <c r="H921" s="13"/>
      <c r="I921" s="13"/>
      <c r="J921" s="13"/>
      <c r="K921" s="13"/>
      <c r="L921" s="13"/>
      <c r="M921" s="13"/>
      <c r="N921" s="13"/>
      <c r="O921" s="13"/>
      <c r="P921" s="13"/>
      <c r="Q921" s="13"/>
      <c r="R921" s="300"/>
      <c r="S921" s="13"/>
      <c r="T921" s="13"/>
      <c r="U921" s="300"/>
      <c r="V921" s="13"/>
      <c r="W921" s="13"/>
      <c r="X921" s="300"/>
      <c r="Y921" s="13"/>
      <c r="Z921" s="13"/>
      <c r="AA921" s="300"/>
      <c r="AB921" s="13"/>
      <c r="AC921" s="13"/>
      <c r="AD921" s="300"/>
      <c r="AE921" s="13"/>
      <c r="AF921" s="13"/>
      <c r="AG921" s="300"/>
      <c r="AH921" s="13"/>
      <c r="AI921" s="13"/>
      <c r="AJ921" s="300"/>
      <c r="AK921" s="13"/>
      <c r="AL921" s="301"/>
      <c r="AM921" s="300"/>
      <c r="AN921" s="13"/>
      <c r="AO921" s="301"/>
      <c r="AP921" s="300"/>
    </row>
    <row r="922">
      <c r="A922" s="13"/>
      <c r="B922" s="13"/>
      <c r="C922" s="13"/>
      <c r="D922" s="13"/>
      <c r="E922" s="13"/>
      <c r="F922" s="13"/>
      <c r="G922" s="13"/>
      <c r="H922" s="13"/>
      <c r="I922" s="13"/>
      <c r="J922" s="13"/>
      <c r="K922" s="13"/>
      <c r="L922" s="13"/>
      <c r="M922" s="13"/>
      <c r="N922" s="13"/>
      <c r="O922" s="13"/>
      <c r="P922" s="13"/>
      <c r="Q922" s="13"/>
      <c r="R922" s="300"/>
      <c r="S922" s="13"/>
      <c r="T922" s="13"/>
      <c r="U922" s="300"/>
      <c r="V922" s="13"/>
      <c r="W922" s="13"/>
      <c r="X922" s="300"/>
      <c r="Y922" s="13"/>
      <c r="Z922" s="13"/>
      <c r="AA922" s="300"/>
      <c r="AB922" s="13"/>
      <c r="AC922" s="13"/>
      <c r="AD922" s="300"/>
      <c r="AE922" s="13"/>
      <c r="AF922" s="13"/>
      <c r="AG922" s="300"/>
      <c r="AH922" s="13"/>
      <c r="AI922" s="13"/>
      <c r="AJ922" s="300"/>
      <c r="AK922" s="13"/>
      <c r="AL922" s="301"/>
      <c r="AM922" s="300"/>
      <c r="AN922" s="13"/>
      <c r="AO922" s="301"/>
      <c r="AP922" s="300"/>
    </row>
    <row r="923">
      <c r="A923" s="13"/>
      <c r="B923" s="13"/>
      <c r="C923" s="13"/>
      <c r="D923" s="13"/>
      <c r="E923" s="13"/>
      <c r="F923" s="13"/>
      <c r="G923" s="13"/>
      <c r="H923" s="13"/>
      <c r="I923" s="13"/>
      <c r="J923" s="13"/>
      <c r="K923" s="13"/>
      <c r="L923" s="13"/>
      <c r="M923" s="13"/>
      <c r="N923" s="13"/>
      <c r="O923" s="13"/>
      <c r="P923" s="13"/>
      <c r="Q923" s="13"/>
      <c r="R923" s="300"/>
      <c r="S923" s="13"/>
      <c r="T923" s="13"/>
      <c r="U923" s="300"/>
      <c r="V923" s="13"/>
      <c r="W923" s="13"/>
      <c r="X923" s="300"/>
      <c r="Y923" s="13"/>
      <c r="Z923" s="13"/>
      <c r="AA923" s="300"/>
      <c r="AB923" s="13"/>
      <c r="AC923" s="13"/>
      <c r="AD923" s="300"/>
      <c r="AE923" s="13"/>
      <c r="AF923" s="13"/>
      <c r="AG923" s="300"/>
      <c r="AH923" s="13"/>
      <c r="AI923" s="13"/>
      <c r="AJ923" s="300"/>
      <c r="AK923" s="13"/>
      <c r="AL923" s="301"/>
      <c r="AM923" s="300"/>
      <c r="AN923" s="13"/>
      <c r="AO923" s="301"/>
      <c r="AP923" s="300"/>
    </row>
    <row r="924">
      <c r="A924" s="13"/>
      <c r="B924" s="13"/>
      <c r="C924" s="13"/>
      <c r="D924" s="13"/>
      <c r="E924" s="13"/>
      <c r="F924" s="13"/>
      <c r="G924" s="13"/>
      <c r="H924" s="13"/>
      <c r="I924" s="13"/>
      <c r="J924" s="13"/>
      <c r="K924" s="13"/>
      <c r="L924" s="13"/>
      <c r="M924" s="13"/>
      <c r="N924" s="13"/>
      <c r="O924" s="13"/>
      <c r="P924" s="13"/>
      <c r="Q924" s="13"/>
      <c r="R924" s="300"/>
      <c r="S924" s="13"/>
      <c r="T924" s="13"/>
      <c r="U924" s="300"/>
      <c r="V924" s="13"/>
      <c r="W924" s="13"/>
      <c r="X924" s="300"/>
      <c r="Y924" s="13"/>
      <c r="Z924" s="13"/>
      <c r="AA924" s="300"/>
      <c r="AB924" s="13"/>
      <c r="AC924" s="13"/>
      <c r="AD924" s="300"/>
      <c r="AE924" s="13"/>
      <c r="AF924" s="13"/>
      <c r="AG924" s="300"/>
      <c r="AH924" s="13"/>
      <c r="AI924" s="13"/>
      <c r="AJ924" s="300"/>
      <c r="AK924" s="13"/>
      <c r="AL924" s="301"/>
      <c r="AM924" s="300"/>
      <c r="AN924" s="13"/>
      <c r="AO924" s="301"/>
      <c r="AP924" s="300"/>
    </row>
    <row r="925">
      <c r="A925" s="13"/>
      <c r="B925" s="13"/>
      <c r="C925" s="13"/>
      <c r="D925" s="13"/>
      <c r="E925" s="13"/>
      <c r="F925" s="13"/>
      <c r="G925" s="13"/>
      <c r="H925" s="13"/>
      <c r="I925" s="13"/>
      <c r="J925" s="13"/>
      <c r="K925" s="13"/>
      <c r="L925" s="13"/>
      <c r="M925" s="13"/>
      <c r="N925" s="13"/>
      <c r="O925" s="13"/>
      <c r="P925" s="13"/>
      <c r="Q925" s="13"/>
      <c r="R925" s="300"/>
      <c r="S925" s="13"/>
      <c r="T925" s="13"/>
      <c r="U925" s="300"/>
      <c r="V925" s="13"/>
      <c r="W925" s="13"/>
      <c r="X925" s="300"/>
      <c r="Y925" s="13"/>
      <c r="Z925" s="13"/>
      <c r="AA925" s="300"/>
      <c r="AB925" s="13"/>
      <c r="AC925" s="13"/>
      <c r="AD925" s="300"/>
      <c r="AE925" s="13"/>
      <c r="AF925" s="13"/>
      <c r="AG925" s="300"/>
      <c r="AH925" s="13"/>
      <c r="AI925" s="13"/>
      <c r="AJ925" s="300"/>
      <c r="AK925" s="13"/>
      <c r="AL925" s="301"/>
      <c r="AM925" s="300"/>
      <c r="AN925" s="13"/>
      <c r="AO925" s="301"/>
      <c r="AP925" s="300"/>
    </row>
    <row r="926">
      <c r="A926" s="13"/>
      <c r="B926" s="13"/>
      <c r="C926" s="13"/>
      <c r="D926" s="13"/>
      <c r="E926" s="13"/>
      <c r="F926" s="13"/>
      <c r="G926" s="13"/>
      <c r="H926" s="13"/>
      <c r="I926" s="13"/>
      <c r="J926" s="13"/>
      <c r="K926" s="13"/>
      <c r="L926" s="13"/>
      <c r="M926" s="13"/>
      <c r="N926" s="13"/>
      <c r="O926" s="13"/>
      <c r="P926" s="13"/>
      <c r="Q926" s="13"/>
      <c r="R926" s="300"/>
      <c r="S926" s="13"/>
      <c r="T926" s="13"/>
      <c r="U926" s="300"/>
      <c r="V926" s="13"/>
      <c r="W926" s="13"/>
      <c r="X926" s="300"/>
      <c r="Y926" s="13"/>
      <c r="Z926" s="13"/>
      <c r="AA926" s="300"/>
      <c r="AB926" s="13"/>
      <c r="AC926" s="13"/>
      <c r="AD926" s="300"/>
      <c r="AE926" s="13"/>
      <c r="AF926" s="13"/>
      <c r="AG926" s="300"/>
      <c r="AH926" s="13"/>
      <c r="AI926" s="13"/>
      <c r="AJ926" s="300"/>
      <c r="AK926" s="13"/>
      <c r="AL926" s="301"/>
      <c r="AM926" s="300"/>
      <c r="AN926" s="13"/>
      <c r="AO926" s="301"/>
      <c r="AP926" s="300"/>
    </row>
    <row r="927">
      <c r="A927" s="13"/>
      <c r="B927" s="13"/>
      <c r="C927" s="13"/>
      <c r="D927" s="13"/>
      <c r="E927" s="13"/>
      <c r="F927" s="13"/>
      <c r="G927" s="13"/>
      <c r="H927" s="13"/>
      <c r="I927" s="13"/>
      <c r="J927" s="13"/>
      <c r="K927" s="13"/>
      <c r="L927" s="13"/>
      <c r="M927" s="13"/>
      <c r="N927" s="13"/>
      <c r="O927" s="13"/>
      <c r="P927" s="13"/>
      <c r="Q927" s="13"/>
      <c r="R927" s="300"/>
      <c r="S927" s="13"/>
      <c r="T927" s="13"/>
      <c r="U927" s="300"/>
      <c r="V927" s="13"/>
      <c r="W927" s="13"/>
      <c r="X927" s="300"/>
      <c r="Y927" s="13"/>
      <c r="Z927" s="13"/>
      <c r="AA927" s="300"/>
      <c r="AB927" s="13"/>
      <c r="AC927" s="13"/>
      <c r="AD927" s="300"/>
      <c r="AE927" s="13"/>
      <c r="AF927" s="13"/>
      <c r="AG927" s="300"/>
      <c r="AH927" s="13"/>
      <c r="AI927" s="13"/>
      <c r="AJ927" s="300"/>
      <c r="AK927" s="13"/>
      <c r="AL927" s="301"/>
      <c r="AM927" s="300"/>
      <c r="AN927" s="13"/>
      <c r="AO927" s="301"/>
      <c r="AP927" s="300"/>
    </row>
    <row r="928">
      <c r="A928" s="13"/>
      <c r="B928" s="13"/>
      <c r="C928" s="13"/>
      <c r="D928" s="13"/>
      <c r="E928" s="13"/>
      <c r="F928" s="13"/>
      <c r="G928" s="13"/>
      <c r="H928" s="13"/>
      <c r="I928" s="13"/>
      <c r="J928" s="13"/>
      <c r="K928" s="13"/>
      <c r="L928" s="13"/>
      <c r="M928" s="13"/>
      <c r="N928" s="13"/>
      <c r="O928" s="13"/>
      <c r="P928" s="13"/>
      <c r="Q928" s="13"/>
      <c r="R928" s="300"/>
      <c r="S928" s="13"/>
      <c r="T928" s="13"/>
      <c r="U928" s="300"/>
      <c r="V928" s="13"/>
      <c r="W928" s="13"/>
      <c r="X928" s="300"/>
      <c r="Y928" s="13"/>
      <c r="Z928" s="13"/>
      <c r="AA928" s="300"/>
      <c r="AB928" s="13"/>
      <c r="AC928" s="13"/>
      <c r="AD928" s="300"/>
      <c r="AE928" s="13"/>
      <c r="AF928" s="13"/>
      <c r="AG928" s="300"/>
      <c r="AH928" s="13"/>
      <c r="AI928" s="13"/>
      <c r="AJ928" s="300"/>
      <c r="AK928" s="13"/>
      <c r="AL928" s="301"/>
      <c r="AM928" s="300"/>
      <c r="AN928" s="13"/>
      <c r="AO928" s="301"/>
      <c r="AP928" s="300"/>
    </row>
    <row r="929">
      <c r="A929" s="13"/>
      <c r="B929" s="13"/>
      <c r="C929" s="13"/>
      <c r="D929" s="13"/>
      <c r="E929" s="13"/>
      <c r="F929" s="13"/>
      <c r="G929" s="13"/>
      <c r="H929" s="13"/>
      <c r="I929" s="13"/>
      <c r="J929" s="13"/>
      <c r="K929" s="13"/>
      <c r="L929" s="13"/>
      <c r="M929" s="13"/>
      <c r="N929" s="13"/>
      <c r="O929" s="13"/>
      <c r="P929" s="13"/>
      <c r="Q929" s="13"/>
      <c r="R929" s="300"/>
      <c r="S929" s="13"/>
      <c r="T929" s="13"/>
      <c r="U929" s="300"/>
      <c r="V929" s="13"/>
      <c r="W929" s="13"/>
      <c r="X929" s="300"/>
      <c r="Y929" s="13"/>
      <c r="Z929" s="13"/>
      <c r="AA929" s="300"/>
      <c r="AB929" s="13"/>
      <c r="AC929" s="13"/>
      <c r="AD929" s="300"/>
      <c r="AE929" s="13"/>
      <c r="AF929" s="13"/>
      <c r="AG929" s="300"/>
      <c r="AH929" s="13"/>
      <c r="AI929" s="13"/>
      <c r="AJ929" s="300"/>
      <c r="AK929" s="13"/>
      <c r="AL929" s="301"/>
      <c r="AM929" s="300"/>
      <c r="AN929" s="13"/>
      <c r="AO929" s="301"/>
      <c r="AP929" s="300"/>
    </row>
    <row r="930">
      <c r="A930" s="13"/>
      <c r="B930" s="13"/>
      <c r="C930" s="13"/>
      <c r="D930" s="13"/>
      <c r="E930" s="13"/>
      <c r="F930" s="13"/>
      <c r="G930" s="13"/>
      <c r="H930" s="13"/>
      <c r="I930" s="13"/>
      <c r="J930" s="13"/>
      <c r="K930" s="13"/>
      <c r="L930" s="13"/>
      <c r="M930" s="13"/>
      <c r="N930" s="13"/>
      <c r="O930" s="13"/>
      <c r="P930" s="13"/>
      <c r="Q930" s="13"/>
      <c r="R930" s="300"/>
      <c r="S930" s="13"/>
      <c r="T930" s="13"/>
      <c r="U930" s="300"/>
      <c r="V930" s="13"/>
      <c r="W930" s="13"/>
      <c r="X930" s="300"/>
      <c r="Y930" s="13"/>
      <c r="Z930" s="13"/>
      <c r="AA930" s="300"/>
      <c r="AB930" s="13"/>
      <c r="AC930" s="13"/>
      <c r="AD930" s="300"/>
      <c r="AE930" s="13"/>
      <c r="AF930" s="13"/>
      <c r="AG930" s="300"/>
      <c r="AH930" s="13"/>
      <c r="AI930" s="13"/>
      <c r="AJ930" s="300"/>
      <c r="AK930" s="13"/>
      <c r="AL930" s="301"/>
      <c r="AM930" s="300"/>
      <c r="AN930" s="13"/>
      <c r="AO930" s="301"/>
      <c r="AP930" s="300"/>
    </row>
    <row r="931">
      <c r="A931" s="13"/>
      <c r="B931" s="13"/>
      <c r="C931" s="13"/>
      <c r="D931" s="13"/>
      <c r="E931" s="13"/>
      <c r="F931" s="13"/>
      <c r="G931" s="13"/>
      <c r="H931" s="13"/>
      <c r="I931" s="13"/>
      <c r="J931" s="13"/>
      <c r="K931" s="13"/>
      <c r="L931" s="13"/>
      <c r="M931" s="13"/>
      <c r="N931" s="13"/>
      <c r="O931" s="13"/>
      <c r="P931" s="13"/>
      <c r="Q931" s="13"/>
      <c r="R931" s="300"/>
      <c r="S931" s="13"/>
      <c r="T931" s="13"/>
      <c r="U931" s="300"/>
      <c r="V931" s="13"/>
      <c r="W931" s="13"/>
      <c r="X931" s="300"/>
      <c r="Y931" s="13"/>
      <c r="Z931" s="13"/>
      <c r="AA931" s="300"/>
      <c r="AB931" s="13"/>
      <c r="AC931" s="13"/>
      <c r="AD931" s="300"/>
      <c r="AE931" s="13"/>
      <c r="AF931" s="13"/>
      <c r="AG931" s="300"/>
      <c r="AH931" s="13"/>
      <c r="AI931" s="13"/>
      <c r="AJ931" s="300"/>
      <c r="AK931" s="13"/>
      <c r="AL931" s="301"/>
      <c r="AM931" s="300"/>
      <c r="AN931" s="13"/>
      <c r="AO931" s="301"/>
      <c r="AP931" s="300"/>
    </row>
    <row r="932">
      <c r="A932" s="13"/>
      <c r="B932" s="13"/>
      <c r="C932" s="13"/>
      <c r="D932" s="13"/>
      <c r="E932" s="13"/>
      <c r="F932" s="13"/>
      <c r="G932" s="13"/>
      <c r="H932" s="13"/>
      <c r="I932" s="13"/>
      <c r="J932" s="13"/>
      <c r="K932" s="13"/>
      <c r="L932" s="13"/>
      <c r="M932" s="13"/>
      <c r="N932" s="13"/>
      <c r="O932" s="13"/>
      <c r="P932" s="13"/>
      <c r="Q932" s="13"/>
      <c r="R932" s="300"/>
      <c r="S932" s="13"/>
      <c r="T932" s="13"/>
      <c r="U932" s="300"/>
      <c r="V932" s="13"/>
      <c r="W932" s="13"/>
      <c r="X932" s="300"/>
      <c r="Y932" s="13"/>
      <c r="Z932" s="13"/>
      <c r="AA932" s="300"/>
      <c r="AB932" s="13"/>
      <c r="AC932" s="13"/>
      <c r="AD932" s="300"/>
      <c r="AE932" s="13"/>
      <c r="AF932" s="13"/>
      <c r="AG932" s="300"/>
      <c r="AH932" s="13"/>
      <c r="AI932" s="13"/>
      <c r="AJ932" s="300"/>
      <c r="AK932" s="13"/>
      <c r="AL932" s="301"/>
      <c r="AM932" s="300"/>
      <c r="AN932" s="13"/>
      <c r="AO932" s="301"/>
      <c r="AP932" s="300"/>
    </row>
    <row r="933">
      <c r="A933" s="13"/>
      <c r="B933" s="13"/>
      <c r="C933" s="13"/>
      <c r="D933" s="13"/>
      <c r="E933" s="13"/>
      <c r="F933" s="13"/>
      <c r="G933" s="13"/>
      <c r="H933" s="13"/>
      <c r="I933" s="13"/>
      <c r="J933" s="13"/>
      <c r="K933" s="13"/>
      <c r="L933" s="13"/>
      <c r="M933" s="13"/>
      <c r="N933" s="13"/>
      <c r="O933" s="13"/>
      <c r="P933" s="13"/>
      <c r="Q933" s="13"/>
      <c r="R933" s="300"/>
      <c r="S933" s="13"/>
      <c r="T933" s="13"/>
      <c r="U933" s="300"/>
      <c r="V933" s="13"/>
      <c r="W933" s="13"/>
      <c r="X933" s="300"/>
      <c r="Y933" s="13"/>
      <c r="Z933" s="13"/>
      <c r="AA933" s="300"/>
      <c r="AB933" s="13"/>
      <c r="AC933" s="13"/>
      <c r="AD933" s="300"/>
      <c r="AE933" s="13"/>
      <c r="AF933" s="13"/>
      <c r="AG933" s="300"/>
      <c r="AH933" s="13"/>
      <c r="AI933" s="13"/>
      <c r="AJ933" s="300"/>
      <c r="AK933" s="13"/>
      <c r="AL933" s="301"/>
      <c r="AM933" s="300"/>
      <c r="AN933" s="13"/>
      <c r="AO933" s="301"/>
      <c r="AP933" s="300"/>
    </row>
    <row r="934">
      <c r="A934" s="13"/>
      <c r="B934" s="13"/>
      <c r="C934" s="13"/>
      <c r="D934" s="13"/>
      <c r="E934" s="13"/>
      <c r="F934" s="13"/>
      <c r="G934" s="13"/>
      <c r="H934" s="13"/>
      <c r="I934" s="13"/>
      <c r="J934" s="13"/>
      <c r="K934" s="13"/>
      <c r="L934" s="13"/>
      <c r="M934" s="13"/>
      <c r="N934" s="13"/>
      <c r="O934" s="13"/>
      <c r="P934" s="13"/>
      <c r="Q934" s="13"/>
      <c r="R934" s="300"/>
      <c r="S934" s="13"/>
      <c r="T934" s="13"/>
      <c r="U934" s="300"/>
      <c r="V934" s="13"/>
      <c r="W934" s="13"/>
      <c r="X934" s="300"/>
      <c r="Y934" s="13"/>
      <c r="Z934" s="13"/>
      <c r="AA934" s="300"/>
      <c r="AB934" s="13"/>
      <c r="AC934" s="13"/>
      <c r="AD934" s="300"/>
      <c r="AE934" s="13"/>
      <c r="AF934" s="13"/>
      <c r="AG934" s="300"/>
      <c r="AH934" s="13"/>
      <c r="AI934" s="13"/>
      <c r="AJ934" s="300"/>
      <c r="AK934" s="13"/>
      <c r="AL934" s="301"/>
      <c r="AM934" s="300"/>
      <c r="AN934" s="13"/>
      <c r="AO934" s="301"/>
      <c r="AP934" s="300"/>
    </row>
    <row r="935">
      <c r="A935" s="13"/>
      <c r="B935" s="13"/>
      <c r="C935" s="13"/>
      <c r="D935" s="13"/>
      <c r="E935" s="13"/>
      <c r="F935" s="13"/>
      <c r="G935" s="13"/>
      <c r="H935" s="13"/>
      <c r="I935" s="13"/>
      <c r="J935" s="13"/>
      <c r="K935" s="13"/>
      <c r="L935" s="13"/>
      <c r="M935" s="13"/>
      <c r="N935" s="13"/>
      <c r="O935" s="13"/>
      <c r="P935" s="13"/>
      <c r="Q935" s="13"/>
      <c r="R935" s="300"/>
      <c r="S935" s="13"/>
      <c r="T935" s="13"/>
      <c r="U935" s="300"/>
      <c r="V935" s="13"/>
      <c r="W935" s="13"/>
      <c r="X935" s="300"/>
      <c r="Y935" s="13"/>
      <c r="Z935" s="13"/>
      <c r="AA935" s="300"/>
      <c r="AB935" s="13"/>
      <c r="AC935" s="13"/>
      <c r="AD935" s="300"/>
      <c r="AE935" s="13"/>
      <c r="AF935" s="13"/>
      <c r="AG935" s="300"/>
      <c r="AH935" s="13"/>
      <c r="AI935" s="13"/>
      <c r="AJ935" s="300"/>
      <c r="AK935" s="13"/>
      <c r="AL935" s="301"/>
      <c r="AM935" s="300"/>
      <c r="AN935" s="13"/>
      <c r="AO935" s="301"/>
      <c r="AP935" s="300"/>
    </row>
    <row r="936">
      <c r="A936" s="13"/>
      <c r="B936" s="13"/>
      <c r="C936" s="13"/>
      <c r="D936" s="13"/>
      <c r="E936" s="13"/>
      <c r="F936" s="13"/>
      <c r="G936" s="13"/>
      <c r="H936" s="13"/>
      <c r="I936" s="13"/>
      <c r="J936" s="13"/>
      <c r="K936" s="13"/>
      <c r="L936" s="13"/>
      <c r="M936" s="13"/>
      <c r="N936" s="13"/>
      <c r="O936" s="13"/>
      <c r="P936" s="13"/>
      <c r="Q936" s="13"/>
      <c r="R936" s="300"/>
      <c r="S936" s="13"/>
      <c r="T936" s="13"/>
      <c r="U936" s="300"/>
      <c r="V936" s="13"/>
      <c r="W936" s="13"/>
      <c r="X936" s="300"/>
      <c r="Y936" s="13"/>
      <c r="Z936" s="13"/>
      <c r="AA936" s="300"/>
      <c r="AB936" s="13"/>
      <c r="AC936" s="13"/>
      <c r="AD936" s="300"/>
      <c r="AE936" s="13"/>
      <c r="AF936" s="13"/>
      <c r="AG936" s="300"/>
      <c r="AH936" s="13"/>
      <c r="AI936" s="13"/>
      <c r="AJ936" s="300"/>
      <c r="AK936" s="13"/>
      <c r="AL936" s="301"/>
      <c r="AM936" s="300"/>
      <c r="AN936" s="13"/>
      <c r="AO936" s="301"/>
      <c r="AP936" s="300"/>
    </row>
    <row r="937">
      <c r="A937" s="13"/>
      <c r="B937" s="13"/>
      <c r="C937" s="13"/>
      <c r="D937" s="13"/>
      <c r="E937" s="13"/>
      <c r="F937" s="13"/>
      <c r="G937" s="13"/>
      <c r="H937" s="13"/>
      <c r="I937" s="13"/>
      <c r="J937" s="13"/>
      <c r="K937" s="13"/>
      <c r="L937" s="13"/>
      <c r="M937" s="13"/>
      <c r="N937" s="13"/>
      <c r="O937" s="13"/>
      <c r="P937" s="13"/>
      <c r="Q937" s="13"/>
      <c r="R937" s="300"/>
      <c r="S937" s="13"/>
      <c r="T937" s="13"/>
      <c r="U937" s="300"/>
      <c r="V937" s="13"/>
      <c r="W937" s="13"/>
      <c r="X937" s="300"/>
      <c r="Y937" s="13"/>
      <c r="Z937" s="13"/>
      <c r="AA937" s="300"/>
      <c r="AB937" s="13"/>
      <c r="AC937" s="13"/>
      <c r="AD937" s="300"/>
      <c r="AE937" s="13"/>
      <c r="AF937" s="13"/>
      <c r="AG937" s="300"/>
      <c r="AH937" s="13"/>
      <c r="AI937" s="13"/>
      <c r="AJ937" s="300"/>
      <c r="AK937" s="13"/>
      <c r="AL937" s="301"/>
      <c r="AM937" s="300"/>
      <c r="AN937" s="13"/>
      <c r="AO937" s="301"/>
      <c r="AP937" s="300"/>
    </row>
    <row r="938">
      <c r="A938" s="13"/>
      <c r="B938" s="13"/>
      <c r="C938" s="13"/>
      <c r="D938" s="13"/>
      <c r="E938" s="13"/>
      <c r="F938" s="13"/>
      <c r="G938" s="13"/>
      <c r="H938" s="13"/>
      <c r="I938" s="13"/>
      <c r="J938" s="13"/>
      <c r="K938" s="13"/>
      <c r="L938" s="13"/>
      <c r="M938" s="13"/>
      <c r="N938" s="13"/>
      <c r="O938" s="13"/>
      <c r="P938" s="13"/>
      <c r="Q938" s="13"/>
      <c r="R938" s="300"/>
      <c r="S938" s="13"/>
      <c r="T938" s="13"/>
      <c r="U938" s="300"/>
      <c r="V938" s="13"/>
      <c r="W938" s="13"/>
      <c r="X938" s="300"/>
      <c r="Y938" s="13"/>
      <c r="Z938" s="13"/>
      <c r="AA938" s="300"/>
      <c r="AB938" s="13"/>
      <c r="AC938" s="13"/>
      <c r="AD938" s="300"/>
      <c r="AE938" s="13"/>
      <c r="AF938" s="13"/>
      <c r="AG938" s="300"/>
      <c r="AH938" s="13"/>
      <c r="AI938" s="13"/>
      <c r="AJ938" s="300"/>
      <c r="AK938" s="13"/>
      <c r="AL938" s="301"/>
      <c r="AM938" s="300"/>
      <c r="AN938" s="13"/>
      <c r="AO938" s="301"/>
      <c r="AP938" s="300"/>
    </row>
    <row r="939">
      <c r="A939" s="13"/>
      <c r="B939" s="13"/>
      <c r="C939" s="13"/>
      <c r="D939" s="13"/>
      <c r="E939" s="13"/>
      <c r="F939" s="13"/>
      <c r="G939" s="13"/>
      <c r="H939" s="13"/>
      <c r="I939" s="13"/>
      <c r="J939" s="13"/>
      <c r="K939" s="13"/>
      <c r="L939" s="13"/>
      <c r="M939" s="13"/>
      <c r="N939" s="13"/>
      <c r="O939" s="13"/>
      <c r="P939" s="13"/>
      <c r="Q939" s="13"/>
      <c r="R939" s="300"/>
      <c r="S939" s="13"/>
      <c r="T939" s="13"/>
      <c r="U939" s="300"/>
      <c r="V939" s="13"/>
      <c r="W939" s="13"/>
      <c r="X939" s="300"/>
      <c r="Y939" s="13"/>
      <c r="Z939" s="13"/>
      <c r="AA939" s="300"/>
      <c r="AB939" s="13"/>
      <c r="AC939" s="13"/>
      <c r="AD939" s="300"/>
      <c r="AE939" s="13"/>
      <c r="AF939" s="13"/>
      <c r="AG939" s="300"/>
      <c r="AH939" s="13"/>
      <c r="AI939" s="13"/>
      <c r="AJ939" s="300"/>
      <c r="AK939" s="13"/>
      <c r="AL939" s="301"/>
      <c r="AM939" s="300"/>
      <c r="AN939" s="13"/>
      <c r="AO939" s="301"/>
      <c r="AP939" s="300"/>
    </row>
    <row r="940">
      <c r="A940" s="13"/>
      <c r="B940" s="13"/>
      <c r="C940" s="13"/>
      <c r="D940" s="13"/>
      <c r="E940" s="13"/>
      <c r="F940" s="13"/>
      <c r="G940" s="13"/>
      <c r="H940" s="13"/>
      <c r="I940" s="13"/>
      <c r="J940" s="13"/>
      <c r="K940" s="13"/>
      <c r="L940" s="13"/>
      <c r="M940" s="13"/>
      <c r="N940" s="13"/>
      <c r="O940" s="13"/>
      <c r="P940" s="13"/>
      <c r="Q940" s="13"/>
      <c r="R940" s="300"/>
      <c r="S940" s="13"/>
      <c r="T940" s="13"/>
      <c r="U940" s="300"/>
      <c r="V940" s="13"/>
      <c r="W940" s="13"/>
      <c r="X940" s="300"/>
      <c r="Y940" s="13"/>
      <c r="Z940" s="13"/>
      <c r="AA940" s="300"/>
      <c r="AB940" s="13"/>
      <c r="AC940" s="13"/>
      <c r="AD940" s="300"/>
      <c r="AE940" s="13"/>
      <c r="AF940" s="13"/>
      <c r="AG940" s="300"/>
      <c r="AH940" s="13"/>
      <c r="AI940" s="13"/>
      <c r="AJ940" s="300"/>
      <c r="AK940" s="13"/>
      <c r="AL940" s="301"/>
      <c r="AM940" s="300"/>
      <c r="AN940" s="13"/>
      <c r="AO940" s="301"/>
      <c r="AP940" s="300"/>
    </row>
    <row r="941">
      <c r="A941" s="13"/>
      <c r="B941" s="13"/>
      <c r="C941" s="13"/>
      <c r="D941" s="13"/>
      <c r="E941" s="13"/>
      <c r="F941" s="13"/>
      <c r="G941" s="13"/>
      <c r="H941" s="13"/>
      <c r="I941" s="13"/>
      <c r="J941" s="13"/>
      <c r="K941" s="13"/>
      <c r="L941" s="13"/>
      <c r="M941" s="13"/>
      <c r="N941" s="13"/>
      <c r="O941" s="13"/>
      <c r="P941" s="13"/>
      <c r="Q941" s="13"/>
      <c r="R941" s="300"/>
      <c r="S941" s="13"/>
      <c r="T941" s="13"/>
      <c r="U941" s="300"/>
      <c r="V941" s="13"/>
      <c r="W941" s="13"/>
      <c r="X941" s="300"/>
      <c r="Y941" s="13"/>
      <c r="Z941" s="13"/>
      <c r="AA941" s="300"/>
      <c r="AB941" s="13"/>
      <c r="AC941" s="13"/>
      <c r="AD941" s="300"/>
      <c r="AE941" s="13"/>
      <c r="AF941" s="13"/>
      <c r="AG941" s="300"/>
      <c r="AH941" s="13"/>
      <c r="AI941" s="13"/>
      <c r="AJ941" s="300"/>
      <c r="AK941" s="13"/>
      <c r="AL941" s="301"/>
      <c r="AM941" s="300"/>
      <c r="AN941" s="13"/>
      <c r="AO941" s="301"/>
      <c r="AP941" s="300"/>
    </row>
    <row r="942">
      <c r="A942" s="13"/>
      <c r="B942" s="13"/>
      <c r="C942" s="13"/>
      <c r="D942" s="13"/>
      <c r="E942" s="13"/>
      <c r="F942" s="13"/>
      <c r="G942" s="13"/>
      <c r="H942" s="13"/>
      <c r="I942" s="13"/>
      <c r="J942" s="13"/>
      <c r="K942" s="13"/>
      <c r="L942" s="13"/>
      <c r="M942" s="13"/>
      <c r="N942" s="13"/>
      <c r="O942" s="13"/>
      <c r="P942" s="13"/>
      <c r="Q942" s="13"/>
      <c r="R942" s="300"/>
      <c r="S942" s="13"/>
      <c r="T942" s="13"/>
      <c r="U942" s="300"/>
      <c r="V942" s="13"/>
      <c r="W942" s="13"/>
      <c r="X942" s="300"/>
      <c r="Y942" s="13"/>
      <c r="Z942" s="13"/>
      <c r="AA942" s="300"/>
      <c r="AB942" s="13"/>
      <c r="AC942" s="13"/>
      <c r="AD942" s="300"/>
      <c r="AE942" s="13"/>
      <c r="AF942" s="13"/>
      <c r="AG942" s="300"/>
      <c r="AH942" s="13"/>
      <c r="AI942" s="13"/>
      <c r="AJ942" s="300"/>
      <c r="AK942" s="13"/>
      <c r="AL942" s="301"/>
      <c r="AM942" s="300"/>
      <c r="AN942" s="13"/>
      <c r="AO942" s="301"/>
      <c r="AP942" s="300"/>
    </row>
    <row r="943">
      <c r="A943" s="13"/>
      <c r="B943" s="13"/>
      <c r="C943" s="13"/>
      <c r="D943" s="13"/>
      <c r="E943" s="13"/>
      <c r="F943" s="13"/>
      <c r="G943" s="13"/>
      <c r="H943" s="13"/>
      <c r="I943" s="13"/>
      <c r="J943" s="13"/>
      <c r="K943" s="13"/>
      <c r="L943" s="13"/>
      <c r="M943" s="13"/>
      <c r="N943" s="13"/>
      <c r="O943" s="13"/>
      <c r="P943" s="13"/>
      <c r="Q943" s="13"/>
      <c r="R943" s="300"/>
      <c r="S943" s="13"/>
      <c r="T943" s="13"/>
      <c r="U943" s="300"/>
      <c r="V943" s="13"/>
      <c r="W943" s="13"/>
      <c r="X943" s="300"/>
      <c r="Y943" s="13"/>
      <c r="Z943" s="13"/>
      <c r="AA943" s="300"/>
      <c r="AB943" s="13"/>
      <c r="AC943" s="13"/>
      <c r="AD943" s="300"/>
      <c r="AE943" s="13"/>
      <c r="AF943" s="13"/>
      <c r="AG943" s="300"/>
      <c r="AH943" s="13"/>
      <c r="AI943" s="13"/>
      <c r="AJ943" s="300"/>
      <c r="AK943" s="13"/>
      <c r="AL943" s="301"/>
      <c r="AM943" s="300"/>
      <c r="AN943" s="13"/>
      <c r="AO943" s="301"/>
      <c r="AP943" s="300"/>
    </row>
    <row r="944">
      <c r="A944" s="13"/>
      <c r="B944" s="13"/>
      <c r="C944" s="13"/>
      <c r="D944" s="13"/>
      <c r="E944" s="13"/>
      <c r="F944" s="13"/>
      <c r="G944" s="13"/>
      <c r="H944" s="13"/>
      <c r="I944" s="13"/>
      <c r="J944" s="13"/>
      <c r="K944" s="13"/>
      <c r="L944" s="13"/>
      <c r="M944" s="13"/>
      <c r="N944" s="13"/>
      <c r="O944" s="13"/>
      <c r="P944" s="13"/>
      <c r="Q944" s="13"/>
      <c r="R944" s="300"/>
      <c r="S944" s="13"/>
      <c r="T944" s="13"/>
      <c r="U944" s="300"/>
      <c r="V944" s="13"/>
      <c r="W944" s="13"/>
      <c r="X944" s="300"/>
      <c r="Y944" s="13"/>
      <c r="Z944" s="13"/>
      <c r="AA944" s="300"/>
      <c r="AB944" s="13"/>
      <c r="AC944" s="13"/>
      <c r="AD944" s="300"/>
      <c r="AE944" s="13"/>
      <c r="AF944" s="13"/>
      <c r="AG944" s="300"/>
      <c r="AH944" s="13"/>
      <c r="AI944" s="13"/>
      <c r="AJ944" s="300"/>
      <c r="AK944" s="13"/>
      <c r="AL944" s="301"/>
      <c r="AM944" s="300"/>
      <c r="AN944" s="13"/>
      <c r="AO944" s="301"/>
      <c r="AP944" s="300"/>
    </row>
    <row r="945">
      <c r="A945" s="13"/>
      <c r="B945" s="13"/>
      <c r="C945" s="13"/>
      <c r="D945" s="13"/>
      <c r="E945" s="13"/>
      <c r="F945" s="13"/>
      <c r="G945" s="13"/>
      <c r="H945" s="13"/>
      <c r="I945" s="13"/>
      <c r="J945" s="13"/>
      <c r="K945" s="13"/>
      <c r="L945" s="13"/>
      <c r="M945" s="13"/>
      <c r="N945" s="13"/>
      <c r="O945" s="13"/>
      <c r="P945" s="13"/>
      <c r="Q945" s="13"/>
      <c r="R945" s="300"/>
      <c r="S945" s="13"/>
      <c r="T945" s="13"/>
      <c r="U945" s="300"/>
      <c r="V945" s="13"/>
      <c r="W945" s="13"/>
      <c r="X945" s="300"/>
      <c r="Y945" s="13"/>
      <c r="Z945" s="13"/>
      <c r="AA945" s="300"/>
      <c r="AB945" s="13"/>
      <c r="AC945" s="13"/>
      <c r="AD945" s="300"/>
      <c r="AE945" s="13"/>
      <c r="AF945" s="13"/>
      <c r="AG945" s="300"/>
      <c r="AH945" s="13"/>
      <c r="AI945" s="13"/>
      <c r="AJ945" s="300"/>
      <c r="AK945" s="13"/>
      <c r="AL945" s="301"/>
      <c r="AM945" s="300"/>
      <c r="AN945" s="13"/>
      <c r="AO945" s="301"/>
      <c r="AP945" s="300"/>
    </row>
    <row r="946">
      <c r="A946" s="13"/>
      <c r="B946" s="13"/>
      <c r="C946" s="13"/>
      <c r="D946" s="13"/>
      <c r="E946" s="13"/>
      <c r="F946" s="13"/>
      <c r="G946" s="13"/>
      <c r="H946" s="13"/>
      <c r="I946" s="13"/>
      <c r="J946" s="13"/>
      <c r="K946" s="13"/>
      <c r="L946" s="13"/>
      <c r="M946" s="13"/>
      <c r="N946" s="13"/>
      <c r="O946" s="13"/>
      <c r="P946" s="13"/>
      <c r="Q946" s="13"/>
      <c r="R946" s="300"/>
      <c r="S946" s="13"/>
      <c r="T946" s="13"/>
      <c r="U946" s="300"/>
      <c r="V946" s="13"/>
      <c r="W946" s="13"/>
      <c r="X946" s="300"/>
      <c r="Y946" s="13"/>
      <c r="Z946" s="13"/>
      <c r="AA946" s="300"/>
      <c r="AB946" s="13"/>
      <c r="AC946" s="13"/>
      <c r="AD946" s="300"/>
      <c r="AE946" s="13"/>
      <c r="AF946" s="13"/>
      <c r="AG946" s="300"/>
      <c r="AH946" s="13"/>
      <c r="AI946" s="13"/>
      <c r="AJ946" s="300"/>
      <c r="AK946" s="13"/>
      <c r="AL946" s="301"/>
      <c r="AM946" s="300"/>
      <c r="AN946" s="13"/>
      <c r="AO946" s="301"/>
      <c r="AP946" s="300"/>
    </row>
    <row r="947">
      <c r="A947" s="13"/>
      <c r="B947" s="13"/>
      <c r="C947" s="13"/>
      <c r="D947" s="13"/>
      <c r="E947" s="13"/>
      <c r="F947" s="13"/>
      <c r="G947" s="13"/>
      <c r="H947" s="13"/>
      <c r="I947" s="13"/>
      <c r="J947" s="13"/>
      <c r="K947" s="13"/>
      <c r="L947" s="13"/>
      <c r="M947" s="13"/>
      <c r="N947" s="13"/>
      <c r="O947" s="13"/>
      <c r="P947" s="13"/>
      <c r="Q947" s="13"/>
      <c r="R947" s="300"/>
      <c r="S947" s="13"/>
      <c r="T947" s="13"/>
      <c r="U947" s="300"/>
      <c r="V947" s="13"/>
      <c r="W947" s="13"/>
      <c r="X947" s="300"/>
      <c r="Y947" s="13"/>
      <c r="Z947" s="13"/>
      <c r="AA947" s="300"/>
      <c r="AB947" s="13"/>
      <c r="AC947" s="13"/>
      <c r="AD947" s="300"/>
      <c r="AE947" s="13"/>
      <c r="AF947" s="13"/>
      <c r="AG947" s="300"/>
      <c r="AH947" s="13"/>
      <c r="AI947" s="13"/>
      <c r="AJ947" s="300"/>
      <c r="AK947" s="13"/>
      <c r="AL947" s="301"/>
      <c r="AM947" s="300"/>
      <c r="AN947" s="13"/>
      <c r="AO947" s="301"/>
      <c r="AP947" s="300"/>
    </row>
    <row r="948">
      <c r="A948" s="13"/>
      <c r="B948" s="13"/>
      <c r="C948" s="13"/>
      <c r="D948" s="13"/>
      <c r="E948" s="13"/>
      <c r="F948" s="13"/>
      <c r="G948" s="13"/>
      <c r="H948" s="13"/>
      <c r="I948" s="13"/>
      <c r="J948" s="13"/>
      <c r="K948" s="13"/>
      <c r="L948" s="13"/>
      <c r="M948" s="13"/>
      <c r="N948" s="13"/>
      <c r="O948" s="13"/>
      <c r="P948" s="13"/>
      <c r="Q948" s="13"/>
      <c r="R948" s="300"/>
      <c r="S948" s="13"/>
      <c r="T948" s="13"/>
      <c r="U948" s="300"/>
      <c r="V948" s="13"/>
      <c r="W948" s="13"/>
      <c r="X948" s="300"/>
      <c r="Y948" s="13"/>
      <c r="Z948" s="13"/>
      <c r="AA948" s="300"/>
      <c r="AB948" s="13"/>
      <c r="AC948" s="13"/>
      <c r="AD948" s="300"/>
      <c r="AE948" s="13"/>
      <c r="AF948" s="13"/>
      <c r="AG948" s="300"/>
      <c r="AH948" s="13"/>
      <c r="AI948" s="13"/>
      <c r="AJ948" s="300"/>
      <c r="AK948" s="13"/>
      <c r="AL948" s="301"/>
      <c r="AM948" s="300"/>
      <c r="AN948" s="13"/>
      <c r="AO948" s="301"/>
      <c r="AP948" s="300"/>
    </row>
    <row r="949">
      <c r="A949" s="13"/>
      <c r="B949" s="13"/>
      <c r="C949" s="13"/>
      <c r="D949" s="13"/>
      <c r="E949" s="13"/>
      <c r="F949" s="13"/>
      <c r="G949" s="13"/>
      <c r="H949" s="13"/>
      <c r="I949" s="13"/>
      <c r="J949" s="13"/>
      <c r="K949" s="13"/>
      <c r="L949" s="13"/>
      <c r="M949" s="13"/>
      <c r="N949" s="13"/>
      <c r="O949" s="13"/>
      <c r="P949" s="13"/>
      <c r="Q949" s="13"/>
      <c r="R949" s="300"/>
      <c r="S949" s="13"/>
      <c r="T949" s="13"/>
      <c r="U949" s="300"/>
      <c r="V949" s="13"/>
      <c r="W949" s="13"/>
      <c r="X949" s="300"/>
      <c r="Y949" s="13"/>
      <c r="Z949" s="13"/>
      <c r="AA949" s="300"/>
      <c r="AB949" s="13"/>
      <c r="AC949" s="13"/>
      <c r="AD949" s="300"/>
      <c r="AE949" s="13"/>
      <c r="AF949" s="13"/>
      <c r="AG949" s="300"/>
      <c r="AH949" s="13"/>
      <c r="AI949" s="13"/>
      <c r="AJ949" s="300"/>
      <c r="AK949" s="13"/>
      <c r="AL949" s="301"/>
      <c r="AM949" s="300"/>
      <c r="AN949" s="13"/>
      <c r="AO949" s="301"/>
      <c r="AP949" s="300"/>
    </row>
    <row r="950">
      <c r="A950" s="13"/>
      <c r="B950" s="13"/>
      <c r="C950" s="13"/>
      <c r="D950" s="13"/>
      <c r="E950" s="13"/>
      <c r="F950" s="13"/>
      <c r="G950" s="13"/>
      <c r="H950" s="13"/>
      <c r="I950" s="13"/>
      <c r="J950" s="13"/>
      <c r="K950" s="13"/>
      <c r="L950" s="13"/>
      <c r="M950" s="13"/>
      <c r="N950" s="13"/>
      <c r="O950" s="13"/>
      <c r="P950" s="13"/>
      <c r="Q950" s="13"/>
      <c r="R950" s="300"/>
      <c r="S950" s="13"/>
      <c r="T950" s="13"/>
      <c r="U950" s="300"/>
      <c r="V950" s="13"/>
      <c r="W950" s="13"/>
      <c r="X950" s="300"/>
      <c r="Y950" s="13"/>
      <c r="Z950" s="13"/>
      <c r="AA950" s="300"/>
      <c r="AB950" s="13"/>
      <c r="AC950" s="13"/>
      <c r="AD950" s="300"/>
      <c r="AE950" s="13"/>
      <c r="AF950" s="13"/>
      <c r="AG950" s="300"/>
      <c r="AH950" s="13"/>
      <c r="AI950" s="13"/>
      <c r="AJ950" s="300"/>
      <c r="AK950" s="13"/>
      <c r="AL950" s="301"/>
      <c r="AM950" s="300"/>
      <c r="AN950" s="13"/>
      <c r="AO950" s="301"/>
      <c r="AP950" s="300"/>
    </row>
    <row r="951">
      <c r="A951" s="13"/>
      <c r="B951" s="13"/>
      <c r="C951" s="13"/>
      <c r="D951" s="13"/>
      <c r="E951" s="13"/>
      <c r="F951" s="13"/>
      <c r="G951" s="13"/>
      <c r="H951" s="13"/>
      <c r="I951" s="13"/>
      <c r="J951" s="13"/>
      <c r="K951" s="13"/>
      <c r="L951" s="13"/>
      <c r="M951" s="13"/>
      <c r="N951" s="13"/>
      <c r="O951" s="13"/>
      <c r="P951" s="13"/>
      <c r="Q951" s="13"/>
      <c r="R951" s="300"/>
      <c r="S951" s="13"/>
      <c r="T951" s="13"/>
      <c r="U951" s="300"/>
      <c r="V951" s="13"/>
      <c r="W951" s="13"/>
      <c r="X951" s="300"/>
      <c r="Y951" s="13"/>
      <c r="Z951" s="13"/>
      <c r="AA951" s="300"/>
      <c r="AB951" s="13"/>
      <c r="AC951" s="13"/>
      <c r="AD951" s="300"/>
      <c r="AE951" s="13"/>
      <c r="AF951" s="13"/>
      <c r="AG951" s="300"/>
      <c r="AH951" s="13"/>
      <c r="AI951" s="13"/>
      <c r="AJ951" s="300"/>
      <c r="AK951" s="13"/>
      <c r="AL951" s="301"/>
      <c r="AM951" s="300"/>
      <c r="AN951" s="13"/>
      <c r="AO951" s="301"/>
      <c r="AP951" s="300"/>
    </row>
    <row r="952">
      <c r="A952" s="13"/>
      <c r="B952" s="13"/>
      <c r="C952" s="13"/>
      <c r="D952" s="13"/>
      <c r="E952" s="13"/>
      <c r="F952" s="13"/>
      <c r="G952" s="13"/>
      <c r="H952" s="13"/>
      <c r="I952" s="13"/>
      <c r="J952" s="13"/>
      <c r="K952" s="13"/>
      <c r="L952" s="13"/>
      <c r="M952" s="13"/>
      <c r="N952" s="13"/>
      <c r="O952" s="13"/>
      <c r="P952" s="13"/>
      <c r="Q952" s="13"/>
      <c r="R952" s="300"/>
      <c r="S952" s="13"/>
      <c r="T952" s="13"/>
      <c r="U952" s="300"/>
      <c r="V952" s="13"/>
      <c r="W952" s="13"/>
      <c r="X952" s="300"/>
      <c r="Y952" s="13"/>
      <c r="Z952" s="13"/>
      <c r="AA952" s="300"/>
      <c r="AB952" s="13"/>
      <c r="AC952" s="13"/>
      <c r="AD952" s="300"/>
      <c r="AE952" s="13"/>
      <c r="AF952" s="13"/>
      <c r="AG952" s="300"/>
      <c r="AH952" s="13"/>
      <c r="AI952" s="13"/>
      <c r="AJ952" s="300"/>
      <c r="AK952" s="13"/>
      <c r="AL952" s="301"/>
      <c r="AM952" s="300"/>
      <c r="AN952" s="13"/>
      <c r="AO952" s="301"/>
      <c r="AP952" s="300"/>
    </row>
    <row r="953">
      <c r="A953" s="13"/>
      <c r="B953" s="13"/>
      <c r="C953" s="13"/>
      <c r="D953" s="13"/>
      <c r="E953" s="13"/>
      <c r="F953" s="13"/>
      <c r="G953" s="13"/>
      <c r="H953" s="13"/>
      <c r="I953" s="13"/>
      <c r="J953" s="13"/>
      <c r="K953" s="13"/>
      <c r="L953" s="13"/>
      <c r="M953" s="13"/>
      <c r="N953" s="13"/>
      <c r="O953" s="13"/>
      <c r="P953" s="13"/>
      <c r="Q953" s="13"/>
      <c r="R953" s="300"/>
      <c r="S953" s="13"/>
      <c r="T953" s="13"/>
      <c r="U953" s="300"/>
      <c r="V953" s="13"/>
      <c r="W953" s="13"/>
      <c r="X953" s="300"/>
      <c r="Y953" s="13"/>
      <c r="Z953" s="13"/>
      <c r="AA953" s="300"/>
      <c r="AB953" s="13"/>
      <c r="AC953" s="13"/>
      <c r="AD953" s="300"/>
      <c r="AE953" s="13"/>
      <c r="AF953" s="13"/>
      <c r="AG953" s="300"/>
      <c r="AH953" s="13"/>
      <c r="AI953" s="13"/>
      <c r="AJ953" s="300"/>
      <c r="AK953" s="13"/>
      <c r="AL953" s="301"/>
      <c r="AM953" s="300"/>
      <c r="AN953" s="13"/>
      <c r="AO953" s="301"/>
      <c r="AP953" s="300"/>
    </row>
    <row r="954">
      <c r="A954" s="13"/>
      <c r="B954" s="13"/>
      <c r="C954" s="13"/>
      <c r="D954" s="13"/>
      <c r="E954" s="13"/>
      <c r="F954" s="13"/>
      <c r="G954" s="13"/>
      <c r="H954" s="13"/>
      <c r="I954" s="13"/>
      <c r="J954" s="13"/>
      <c r="K954" s="13"/>
      <c r="L954" s="13"/>
      <c r="M954" s="13"/>
      <c r="N954" s="13"/>
      <c r="O954" s="13"/>
      <c r="P954" s="13"/>
      <c r="Q954" s="13"/>
      <c r="R954" s="300"/>
      <c r="S954" s="13"/>
      <c r="T954" s="13"/>
      <c r="U954" s="300"/>
      <c r="V954" s="13"/>
      <c r="W954" s="13"/>
      <c r="X954" s="300"/>
      <c r="Y954" s="13"/>
      <c r="Z954" s="13"/>
      <c r="AA954" s="300"/>
      <c r="AB954" s="13"/>
      <c r="AC954" s="13"/>
      <c r="AD954" s="300"/>
      <c r="AE954" s="13"/>
      <c r="AF954" s="13"/>
      <c r="AG954" s="300"/>
      <c r="AH954" s="13"/>
      <c r="AI954" s="13"/>
      <c r="AJ954" s="300"/>
      <c r="AK954" s="13"/>
      <c r="AL954" s="301"/>
      <c r="AM954" s="300"/>
      <c r="AN954" s="13"/>
      <c r="AO954" s="301"/>
      <c r="AP954" s="300"/>
    </row>
    <row r="955">
      <c r="A955" s="13"/>
      <c r="B955" s="13"/>
      <c r="C955" s="13"/>
      <c r="D955" s="13"/>
      <c r="E955" s="13"/>
      <c r="F955" s="13"/>
      <c r="G955" s="13"/>
      <c r="H955" s="13"/>
      <c r="I955" s="13"/>
      <c r="J955" s="13"/>
      <c r="K955" s="13"/>
      <c r="L955" s="13"/>
      <c r="M955" s="13"/>
      <c r="N955" s="13"/>
      <c r="O955" s="13"/>
      <c r="P955" s="13"/>
      <c r="Q955" s="13"/>
      <c r="R955" s="300"/>
      <c r="S955" s="13"/>
      <c r="T955" s="13"/>
      <c r="U955" s="300"/>
      <c r="V955" s="13"/>
      <c r="W955" s="13"/>
      <c r="X955" s="300"/>
      <c r="Y955" s="13"/>
      <c r="Z955" s="13"/>
      <c r="AA955" s="300"/>
      <c r="AB955" s="13"/>
      <c r="AC955" s="13"/>
      <c r="AD955" s="300"/>
      <c r="AE955" s="13"/>
      <c r="AF955" s="13"/>
      <c r="AG955" s="300"/>
      <c r="AH955" s="13"/>
      <c r="AI955" s="13"/>
      <c r="AJ955" s="300"/>
      <c r="AK955" s="13"/>
      <c r="AL955" s="301"/>
      <c r="AM955" s="300"/>
      <c r="AN955" s="13"/>
      <c r="AO955" s="301"/>
      <c r="AP955" s="300"/>
    </row>
    <row r="956">
      <c r="A956" s="13"/>
      <c r="B956" s="13"/>
      <c r="C956" s="13"/>
      <c r="D956" s="13"/>
      <c r="E956" s="13"/>
      <c r="F956" s="13"/>
      <c r="G956" s="13"/>
      <c r="H956" s="13"/>
      <c r="I956" s="13"/>
      <c r="J956" s="13"/>
      <c r="K956" s="13"/>
      <c r="L956" s="13"/>
      <c r="M956" s="13"/>
      <c r="N956" s="13"/>
      <c r="O956" s="13"/>
      <c r="P956" s="13"/>
      <c r="Q956" s="13"/>
      <c r="R956" s="300"/>
      <c r="S956" s="13"/>
      <c r="T956" s="13"/>
      <c r="U956" s="300"/>
      <c r="V956" s="13"/>
      <c r="W956" s="13"/>
      <c r="X956" s="300"/>
      <c r="Y956" s="13"/>
      <c r="Z956" s="13"/>
      <c r="AA956" s="300"/>
      <c r="AB956" s="13"/>
      <c r="AC956" s="13"/>
      <c r="AD956" s="300"/>
      <c r="AE956" s="13"/>
      <c r="AF956" s="13"/>
      <c r="AG956" s="300"/>
      <c r="AH956" s="13"/>
      <c r="AI956" s="13"/>
      <c r="AJ956" s="300"/>
      <c r="AK956" s="13"/>
      <c r="AL956" s="301"/>
      <c r="AM956" s="300"/>
      <c r="AN956" s="13"/>
      <c r="AO956" s="301"/>
      <c r="AP956" s="300"/>
    </row>
    <row r="957">
      <c r="A957" s="13"/>
      <c r="B957" s="13"/>
      <c r="C957" s="13"/>
      <c r="D957" s="13"/>
      <c r="E957" s="13"/>
      <c r="F957" s="13"/>
      <c r="G957" s="13"/>
      <c r="H957" s="13"/>
      <c r="I957" s="13"/>
      <c r="J957" s="13"/>
      <c r="K957" s="13"/>
      <c r="L957" s="13"/>
      <c r="M957" s="13"/>
      <c r="N957" s="13"/>
      <c r="O957" s="13"/>
      <c r="P957" s="13"/>
      <c r="Q957" s="13"/>
      <c r="R957" s="300"/>
      <c r="S957" s="13"/>
      <c r="T957" s="13"/>
      <c r="U957" s="300"/>
      <c r="V957" s="13"/>
      <c r="W957" s="13"/>
      <c r="X957" s="300"/>
      <c r="Y957" s="13"/>
      <c r="Z957" s="13"/>
      <c r="AA957" s="300"/>
      <c r="AB957" s="13"/>
      <c r="AC957" s="13"/>
      <c r="AD957" s="300"/>
      <c r="AE957" s="13"/>
      <c r="AF957" s="13"/>
      <c r="AG957" s="300"/>
      <c r="AH957" s="13"/>
      <c r="AI957" s="13"/>
      <c r="AJ957" s="300"/>
      <c r="AK957" s="13"/>
      <c r="AL957" s="301"/>
      <c r="AM957" s="300"/>
      <c r="AN957" s="13"/>
      <c r="AO957" s="301"/>
      <c r="AP957" s="300"/>
    </row>
    <row r="958">
      <c r="A958" s="13"/>
      <c r="B958" s="13"/>
      <c r="C958" s="13"/>
      <c r="D958" s="13"/>
      <c r="E958" s="13"/>
      <c r="F958" s="13"/>
      <c r="G958" s="13"/>
      <c r="H958" s="13"/>
      <c r="I958" s="13"/>
      <c r="J958" s="13"/>
      <c r="K958" s="13"/>
      <c r="L958" s="13"/>
      <c r="M958" s="13"/>
      <c r="N958" s="13"/>
      <c r="O958" s="13"/>
      <c r="P958" s="13"/>
      <c r="Q958" s="13"/>
      <c r="R958" s="300"/>
      <c r="S958" s="13"/>
      <c r="T958" s="13"/>
      <c r="U958" s="300"/>
      <c r="V958" s="13"/>
      <c r="W958" s="13"/>
      <c r="X958" s="300"/>
      <c r="Y958" s="13"/>
      <c r="Z958" s="13"/>
      <c r="AA958" s="300"/>
      <c r="AB958" s="13"/>
      <c r="AC958" s="13"/>
      <c r="AD958" s="300"/>
      <c r="AE958" s="13"/>
      <c r="AF958" s="13"/>
      <c r="AG958" s="300"/>
      <c r="AH958" s="13"/>
      <c r="AI958" s="13"/>
      <c r="AJ958" s="300"/>
      <c r="AK958" s="13"/>
      <c r="AL958" s="301"/>
      <c r="AM958" s="300"/>
      <c r="AN958" s="13"/>
      <c r="AO958" s="301"/>
      <c r="AP958" s="300"/>
    </row>
    <row r="959">
      <c r="A959" s="13"/>
      <c r="B959" s="13"/>
      <c r="C959" s="13"/>
      <c r="D959" s="13"/>
      <c r="E959" s="13"/>
      <c r="F959" s="13"/>
      <c r="G959" s="13"/>
      <c r="H959" s="13"/>
      <c r="I959" s="13"/>
      <c r="J959" s="13"/>
      <c r="K959" s="13"/>
      <c r="L959" s="13"/>
      <c r="M959" s="13"/>
      <c r="N959" s="13"/>
      <c r="O959" s="13"/>
      <c r="P959" s="13"/>
      <c r="Q959" s="13"/>
      <c r="R959" s="300"/>
      <c r="S959" s="13"/>
      <c r="T959" s="13"/>
      <c r="U959" s="300"/>
      <c r="V959" s="13"/>
      <c r="W959" s="13"/>
      <c r="X959" s="300"/>
      <c r="Y959" s="13"/>
      <c r="Z959" s="13"/>
      <c r="AA959" s="300"/>
      <c r="AB959" s="13"/>
      <c r="AC959" s="13"/>
      <c r="AD959" s="300"/>
      <c r="AE959" s="13"/>
      <c r="AF959" s="13"/>
      <c r="AG959" s="300"/>
      <c r="AH959" s="13"/>
      <c r="AI959" s="13"/>
      <c r="AJ959" s="300"/>
      <c r="AK959" s="13"/>
      <c r="AL959" s="301"/>
      <c r="AM959" s="300"/>
      <c r="AN959" s="13"/>
      <c r="AO959" s="301"/>
      <c r="AP959" s="300"/>
    </row>
    <row r="960">
      <c r="A960" s="13"/>
      <c r="B960" s="13"/>
      <c r="C960" s="13"/>
      <c r="D960" s="13"/>
      <c r="E960" s="13"/>
      <c r="F960" s="13"/>
      <c r="G960" s="13"/>
      <c r="H960" s="13"/>
      <c r="I960" s="13"/>
      <c r="J960" s="13"/>
      <c r="K960" s="13"/>
      <c r="L960" s="13"/>
      <c r="M960" s="13"/>
      <c r="N960" s="13"/>
      <c r="O960" s="13"/>
      <c r="P960" s="13"/>
      <c r="Q960" s="13"/>
      <c r="R960" s="300"/>
      <c r="S960" s="13"/>
      <c r="T960" s="13"/>
      <c r="U960" s="300"/>
      <c r="V960" s="13"/>
      <c r="W960" s="13"/>
      <c r="X960" s="300"/>
      <c r="Y960" s="13"/>
      <c r="Z960" s="13"/>
      <c r="AA960" s="300"/>
      <c r="AB960" s="13"/>
      <c r="AC960" s="13"/>
      <c r="AD960" s="300"/>
      <c r="AE960" s="13"/>
      <c r="AF960" s="13"/>
      <c r="AG960" s="300"/>
      <c r="AH960" s="13"/>
      <c r="AI960" s="13"/>
      <c r="AJ960" s="300"/>
      <c r="AK960" s="13"/>
      <c r="AL960" s="301"/>
      <c r="AM960" s="300"/>
      <c r="AN960" s="13"/>
      <c r="AO960" s="301"/>
      <c r="AP960" s="300"/>
    </row>
    <row r="961">
      <c r="A961" s="13"/>
      <c r="B961" s="13"/>
      <c r="C961" s="13"/>
      <c r="D961" s="13"/>
      <c r="E961" s="13"/>
      <c r="F961" s="13"/>
      <c r="G961" s="13"/>
      <c r="H961" s="13"/>
      <c r="I961" s="13"/>
      <c r="J961" s="13"/>
      <c r="K961" s="13"/>
      <c r="L961" s="13"/>
      <c r="M961" s="13"/>
      <c r="N961" s="13"/>
      <c r="O961" s="13"/>
      <c r="P961" s="13"/>
      <c r="Q961" s="13"/>
      <c r="R961" s="300"/>
      <c r="S961" s="13"/>
      <c r="T961" s="13"/>
      <c r="U961" s="300"/>
      <c r="V961" s="13"/>
      <c r="W961" s="13"/>
      <c r="X961" s="300"/>
      <c r="Y961" s="13"/>
      <c r="Z961" s="13"/>
      <c r="AA961" s="300"/>
      <c r="AB961" s="13"/>
      <c r="AC961" s="13"/>
      <c r="AD961" s="300"/>
      <c r="AE961" s="13"/>
      <c r="AF961" s="13"/>
      <c r="AG961" s="300"/>
      <c r="AH961" s="13"/>
      <c r="AI961" s="13"/>
      <c r="AJ961" s="300"/>
      <c r="AK961" s="13"/>
      <c r="AL961" s="301"/>
      <c r="AM961" s="300"/>
      <c r="AN961" s="13"/>
      <c r="AO961" s="301"/>
      <c r="AP961" s="300"/>
    </row>
    <row r="962">
      <c r="A962" s="13"/>
      <c r="B962" s="13"/>
      <c r="C962" s="13"/>
      <c r="D962" s="13"/>
      <c r="E962" s="13"/>
      <c r="F962" s="13"/>
      <c r="G962" s="13"/>
      <c r="H962" s="13"/>
      <c r="I962" s="13"/>
      <c r="J962" s="13"/>
      <c r="K962" s="13"/>
      <c r="L962" s="13"/>
      <c r="M962" s="13"/>
      <c r="N962" s="13"/>
      <c r="O962" s="13"/>
      <c r="P962" s="13"/>
      <c r="Q962" s="13"/>
      <c r="R962" s="300"/>
      <c r="S962" s="13"/>
      <c r="T962" s="13"/>
      <c r="U962" s="300"/>
      <c r="V962" s="13"/>
      <c r="W962" s="13"/>
      <c r="X962" s="300"/>
      <c r="Y962" s="13"/>
      <c r="Z962" s="13"/>
      <c r="AA962" s="300"/>
      <c r="AB962" s="13"/>
      <c r="AC962" s="13"/>
      <c r="AD962" s="300"/>
      <c r="AE962" s="13"/>
      <c r="AF962" s="13"/>
      <c r="AG962" s="300"/>
      <c r="AH962" s="13"/>
      <c r="AI962" s="13"/>
      <c r="AJ962" s="300"/>
      <c r="AK962" s="13"/>
      <c r="AL962" s="301"/>
      <c r="AM962" s="300"/>
      <c r="AN962" s="13"/>
      <c r="AO962" s="301"/>
      <c r="AP962" s="300"/>
    </row>
    <row r="963">
      <c r="A963" s="13"/>
      <c r="B963" s="13"/>
      <c r="C963" s="13"/>
      <c r="D963" s="13"/>
      <c r="E963" s="13"/>
      <c r="F963" s="13"/>
      <c r="G963" s="13"/>
      <c r="H963" s="13"/>
      <c r="I963" s="13"/>
      <c r="J963" s="13"/>
      <c r="K963" s="13"/>
      <c r="L963" s="13"/>
      <c r="M963" s="13"/>
      <c r="N963" s="13"/>
      <c r="O963" s="13"/>
      <c r="P963" s="13"/>
      <c r="Q963" s="13"/>
      <c r="R963" s="300"/>
      <c r="S963" s="13"/>
      <c r="T963" s="13"/>
      <c r="U963" s="300"/>
      <c r="V963" s="13"/>
      <c r="W963" s="13"/>
      <c r="X963" s="300"/>
      <c r="Y963" s="13"/>
      <c r="Z963" s="13"/>
      <c r="AA963" s="300"/>
      <c r="AB963" s="13"/>
      <c r="AC963" s="13"/>
      <c r="AD963" s="300"/>
      <c r="AE963" s="13"/>
      <c r="AF963" s="13"/>
      <c r="AG963" s="300"/>
      <c r="AH963" s="13"/>
      <c r="AI963" s="13"/>
      <c r="AJ963" s="300"/>
      <c r="AK963" s="13"/>
      <c r="AL963" s="301"/>
      <c r="AM963" s="300"/>
      <c r="AN963" s="13"/>
      <c r="AO963" s="301"/>
      <c r="AP963" s="300"/>
    </row>
    <row r="964">
      <c r="A964" s="13"/>
      <c r="B964" s="13"/>
      <c r="C964" s="13"/>
      <c r="D964" s="13"/>
      <c r="E964" s="13"/>
      <c r="F964" s="13"/>
      <c r="G964" s="13"/>
      <c r="H964" s="13"/>
      <c r="I964" s="13"/>
      <c r="J964" s="13"/>
      <c r="K964" s="13"/>
      <c r="L964" s="13"/>
      <c r="M964" s="13"/>
      <c r="N964" s="13"/>
      <c r="O964" s="13"/>
      <c r="P964" s="13"/>
      <c r="Q964" s="13"/>
      <c r="R964" s="300"/>
      <c r="S964" s="13"/>
      <c r="T964" s="13"/>
      <c r="U964" s="300"/>
      <c r="V964" s="13"/>
      <c r="W964" s="13"/>
      <c r="X964" s="300"/>
      <c r="Y964" s="13"/>
      <c r="Z964" s="13"/>
      <c r="AA964" s="300"/>
      <c r="AB964" s="13"/>
      <c r="AC964" s="13"/>
      <c r="AD964" s="300"/>
      <c r="AE964" s="13"/>
      <c r="AF964" s="13"/>
      <c r="AG964" s="300"/>
      <c r="AH964" s="13"/>
      <c r="AI964" s="13"/>
      <c r="AJ964" s="300"/>
      <c r="AK964" s="13"/>
      <c r="AL964" s="301"/>
      <c r="AM964" s="300"/>
      <c r="AN964" s="13"/>
      <c r="AO964" s="301"/>
      <c r="AP964" s="300"/>
    </row>
    <row r="965">
      <c r="A965" s="13"/>
      <c r="B965" s="13"/>
      <c r="C965" s="13"/>
      <c r="D965" s="13"/>
      <c r="E965" s="13"/>
      <c r="F965" s="13"/>
      <c r="G965" s="13"/>
      <c r="H965" s="13"/>
      <c r="I965" s="13"/>
      <c r="J965" s="13"/>
      <c r="K965" s="13"/>
      <c r="L965" s="13"/>
      <c r="M965" s="13"/>
      <c r="N965" s="13"/>
      <c r="O965" s="13"/>
      <c r="P965" s="13"/>
      <c r="Q965" s="13"/>
      <c r="R965" s="300"/>
      <c r="S965" s="13"/>
      <c r="T965" s="13"/>
      <c r="U965" s="300"/>
      <c r="V965" s="13"/>
      <c r="W965" s="13"/>
      <c r="X965" s="300"/>
      <c r="Y965" s="13"/>
      <c r="Z965" s="13"/>
      <c r="AA965" s="300"/>
      <c r="AB965" s="13"/>
      <c r="AC965" s="13"/>
      <c r="AD965" s="300"/>
      <c r="AE965" s="13"/>
      <c r="AF965" s="13"/>
      <c r="AG965" s="300"/>
      <c r="AH965" s="13"/>
      <c r="AI965" s="13"/>
      <c r="AJ965" s="300"/>
      <c r="AK965" s="13"/>
      <c r="AL965" s="301"/>
      <c r="AM965" s="300"/>
      <c r="AN965" s="13"/>
      <c r="AO965" s="301"/>
      <c r="AP965" s="300"/>
    </row>
    <row r="966">
      <c r="A966" s="13"/>
      <c r="B966" s="13"/>
      <c r="C966" s="13"/>
      <c r="D966" s="13"/>
      <c r="E966" s="13"/>
      <c r="F966" s="13"/>
      <c r="G966" s="13"/>
      <c r="H966" s="13"/>
      <c r="I966" s="13"/>
      <c r="J966" s="13"/>
      <c r="K966" s="13"/>
      <c r="L966" s="13"/>
      <c r="M966" s="13"/>
      <c r="N966" s="13"/>
      <c r="O966" s="13"/>
      <c r="P966" s="13"/>
      <c r="Q966" s="13"/>
      <c r="R966" s="300"/>
      <c r="S966" s="13"/>
      <c r="T966" s="13"/>
      <c r="U966" s="300"/>
      <c r="V966" s="13"/>
      <c r="W966" s="13"/>
      <c r="X966" s="300"/>
      <c r="Y966" s="13"/>
      <c r="Z966" s="13"/>
      <c r="AA966" s="300"/>
      <c r="AB966" s="13"/>
      <c r="AC966" s="13"/>
      <c r="AD966" s="300"/>
      <c r="AE966" s="13"/>
      <c r="AF966" s="13"/>
      <c r="AG966" s="300"/>
      <c r="AH966" s="13"/>
      <c r="AI966" s="13"/>
      <c r="AJ966" s="300"/>
      <c r="AK966" s="13"/>
      <c r="AL966" s="301"/>
      <c r="AM966" s="300"/>
      <c r="AN966" s="13"/>
      <c r="AO966" s="301"/>
      <c r="AP966" s="300"/>
    </row>
    <row r="967">
      <c r="A967" s="13"/>
      <c r="B967" s="13"/>
      <c r="C967" s="13"/>
      <c r="D967" s="13"/>
      <c r="E967" s="13"/>
      <c r="F967" s="13"/>
      <c r="G967" s="13"/>
      <c r="H967" s="13"/>
      <c r="I967" s="13"/>
      <c r="J967" s="13"/>
      <c r="K967" s="13"/>
      <c r="L967" s="13"/>
      <c r="M967" s="13"/>
      <c r="N967" s="13"/>
      <c r="O967" s="13"/>
      <c r="P967" s="13"/>
      <c r="Q967" s="13"/>
      <c r="R967" s="300"/>
      <c r="S967" s="13"/>
      <c r="T967" s="13"/>
      <c r="U967" s="300"/>
      <c r="V967" s="13"/>
      <c r="W967" s="13"/>
      <c r="X967" s="300"/>
      <c r="Y967" s="13"/>
      <c r="Z967" s="13"/>
      <c r="AA967" s="300"/>
      <c r="AB967" s="13"/>
      <c r="AC967" s="13"/>
      <c r="AD967" s="300"/>
      <c r="AE967" s="13"/>
      <c r="AF967" s="13"/>
      <c r="AG967" s="300"/>
      <c r="AH967" s="13"/>
      <c r="AI967" s="13"/>
      <c r="AJ967" s="300"/>
      <c r="AK967" s="13"/>
      <c r="AL967" s="301"/>
      <c r="AM967" s="300"/>
      <c r="AN967" s="13"/>
      <c r="AO967" s="301"/>
      <c r="AP967" s="300"/>
    </row>
    <row r="968">
      <c r="A968" s="13"/>
      <c r="B968" s="13"/>
      <c r="C968" s="13"/>
      <c r="D968" s="13"/>
      <c r="E968" s="13"/>
      <c r="F968" s="13"/>
      <c r="G968" s="13"/>
      <c r="H968" s="13"/>
      <c r="I968" s="13"/>
      <c r="J968" s="13"/>
      <c r="K968" s="13"/>
      <c r="L968" s="13"/>
      <c r="M968" s="13"/>
      <c r="N968" s="13"/>
      <c r="O968" s="13"/>
      <c r="P968" s="13"/>
      <c r="Q968" s="13"/>
      <c r="R968" s="300"/>
      <c r="S968" s="13"/>
      <c r="T968" s="13"/>
      <c r="U968" s="300"/>
      <c r="V968" s="13"/>
      <c r="W968" s="13"/>
      <c r="X968" s="300"/>
      <c r="Y968" s="13"/>
      <c r="Z968" s="13"/>
      <c r="AA968" s="300"/>
      <c r="AB968" s="13"/>
      <c r="AC968" s="13"/>
      <c r="AD968" s="300"/>
      <c r="AE968" s="13"/>
      <c r="AF968" s="13"/>
      <c r="AG968" s="300"/>
      <c r="AH968" s="13"/>
      <c r="AI968" s="13"/>
      <c r="AJ968" s="300"/>
      <c r="AK968" s="13"/>
      <c r="AL968" s="301"/>
      <c r="AM968" s="300"/>
      <c r="AN968" s="13"/>
      <c r="AO968" s="301"/>
      <c r="AP968" s="300"/>
    </row>
    <row r="969">
      <c r="A969" s="13"/>
      <c r="B969" s="13"/>
      <c r="C969" s="13"/>
      <c r="D969" s="13"/>
      <c r="E969" s="13"/>
      <c r="F969" s="13"/>
      <c r="G969" s="13"/>
      <c r="H969" s="13"/>
      <c r="I969" s="13"/>
      <c r="J969" s="13"/>
      <c r="K969" s="13"/>
      <c r="L969" s="13"/>
      <c r="M969" s="13"/>
      <c r="N969" s="13"/>
      <c r="O969" s="13"/>
      <c r="P969" s="13"/>
      <c r="Q969" s="13"/>
      <c r="R969" s="300"/>
      <c r="S969" s="13"/>
      <c r="T969" s="13"/>
      <c r="U969" s="300"/>
      <c r="V969" s="13"/>
      <c r="W969" s="13"/>
      <c r="X969" s="300"/>
      <c r="Y969" s="13"/>
      <c r="Z969" s="13"/>
      <c r="AA969" s="300"/>
      <c r="AB969" s="13"/>
      <c r="AC969" s="13"/>
      <c r="AD969" s="300"/>
      <c r="AE969" s="13"/>
      <c r="AF969" s="13"/>
      <c r="AG969" s="300"/>
      <c r="AH969" s="13"/>
      <c r="AI969" s="13"/>
      <c r="AJ969" s="300"/>
      <c r="AK969" s="13"/>
      <c r="AL969" s="301"/>
      <c r="AM969" s="300"/>
      <c r="AN969" s="13"/>
      <c r="AO969" s="301"/>
      <c r="AP969" s="300"/>
    </row>
    <row r="970">
      <c r="A970" s="13"/>
      <c r="B970" s="13"/>
      <c r="C970" s="13"/>
      <c r="D970" s="13"/>
      <c r="E970" s="13"/>
      <c r="F970" s="13"/>
      <c r="G970" s="13"/>
      <c r="H970" s="13"/>
      <c r="I970" s="13"/>
      <c r="J970" s="13"/>
      <c r="K970" s="13"/>
      <c r="L970" s="13"/>
      <c r="M970" s="13"/>
      <c r="N970" s="13"/>
      <c r="O970" s="13"/>
      <c r="P970" s="13"/>
      <c r="Q970" s="13"/>
      <c r="R970" s="300"/>
      <c r="S970" s="13"/>
      <c r="T970" s="13"/>
      <c r="U970" s="300"/>
      <c r="V970" s="13"/>
      <c r="W970" s="13"/>
      <c r="X970" s="300"/>
      <c r="Y970" s="13"/>
      <c r="Z970" s="13"/>
      <c r="AA970" s="300"/>
      <c r="AB970" s="13"/>
      <c r="AC970" s="13"/>
      <c r="AD970" s="300"/>
      <c r="AE970" s="13"/>
      <c r="AF970" s="13"/>
      <c r="AG970" s="300"/>
      <c r="AH970" s="13"/>
      <c r="AI970" s="13"/>
      <c r="AJ970" s="300"/>
      <c r="AK970" s="13"/>
      <c r="AL970" s="301"/>
      <c r="AM970" s="300"/>
      <c r="AN970" s="13"/>
      <c r="AO970" s="301"/>
      <c r="AP970" s="300"/>
    </row>
    <row r="971">
      <c r="A971" s="13"/>
      <c r="B971" s="13"/>
      <c r="C971" s="13"/>
      <c r="D971" s="13"/>
      <c r="E971" s="13"/>
      <c r="F971" s="13"/>
      <c r="G971" s="13"/>
      <c r="H971" s="13"/>
      <c r="I971" s="13"/>
      <c r="J971" s="13"/>
      <c r="K971" s="13"/>
      <c r="L971" s="13"/>
      <c r="M971" s="13"/>
      <c r="N971" s="13"/>
      <c r="O971" s="13"/>
      <c r="P971" s="13"/>
      <c r="Q971" s="13"/>
      <c r="R971" s="300"/>
      <c r="S971" s="13"/>
      <c r="T971" s="13"/>
      <c r="U971" s="300"/>
      <c r="V971" s="13"/>
      <c r="W971" s="13"/>
      <c r="X971" s="300"/>
      <c r="Y971" s="13"/>
      <c r="Z971" s="13"/>
      <c r="AA971" s="300"/>
      <c r="AB971" s="13"/>
      <c r="AC971" s="13"/>
      <c r="AD971" s="300"/>
      <c r="AE971" s="13"/>
      <c r="AF971" s="13"/>
      <c r="AG971" s="300"/>
      <c r="AH971" s="13"/>
      <c r="AI971" s="13"/>
      <c r="AJ971" s="300"/>
      <c r="AK971" s="13"/>
      <c r="AL971" s="301"/>
      <c r="AM971" s="300"/>
      <c r="AN971" s="13"/>
      <c r="AO971" s="301"/>
      <c r="AP971" s="300"/>
    </row>
    <row r="972">
      <c r="A972" s="13"/>
      <c r="B972" s="13"/>
      <c r="C972" s="13"/>
      <c r="D972" s="13"/>
      <c r="E972" s="13"/>
      <c r="F972" s="13"/>
      <c r="G972" s="13"/>
      <c r="H972" s="13"/>
      <c r="I972" s="13"/>
      <c r="J972" s="13"/>
      <c r="K972" s="13"/>
      <c r="L972" s="13"/>
      <c r="M972" s="13"/>
      <c r="N972" s="13"/>
      <c r="O972" s="13"/>
      <c r="P972" s="13"/>
      <c r="Q972" s="13"/>
      <c r="R972" s="300"/>
      <c r="S972" s="13"/>
      <c r="T972" s="13"/>
      <c r="U972" s="300"/>
      <c r="V972" s="13"/>
      <c r="W972" s="13"/>
      <c r="X972" s="300"/>
      <c r="Y972" s="13"/>
      <c r="Z972" s="13"/>
      <c r="AA972" s="300"/>
      <c r="AB972" s="13"/>
      <c r="AC972" s="13"/>
      <c r="AD972" s="300"/>
      <c r="AE972" s="13"/>
      <c r="AF972" s="13"/>
      <c r="AG972" s="300"/>
      <c r="AH972" s="13"/>
      <c r="AI972" s="13"/>
      <c r="AJ972" s="300"/>
      <c r="AK972" s="13"/>
      <c r="AL972" s="301"/>
      <c r="AM972" s="300"/>
      <c r="AN972" s="13"/>
      <c r="AO972" s="301"/>
      <c r="AP972" s="300"/>
    </row>
    <row r="973">
      <c r="A973" s="13"/>
      <c r="B973" s="13"/>
      <c r="C973" s="13"/>
      <c r="D973" s="13"/>
      <c r="E973" s="13"/>
      <c r="F973" s="13"/>
      <c r="G973" s="13"/>
      <c r="H973" s="13"/>
      <c r="I973" s="13"/>
      <c r="J973" s="13"/>
      <c r="K973" s="13"/>
      <c r="L973" s="13"/>
      <c r="M973" s="13"/>
      <c r="N973" s="13"/>
      <c r="O973" s="13"/>
      <c r="P973" s="13"/>
      <c r="Q973" s="13"/>
      <c r="R973" s="300"/>
      <c r="S973" s="13"/>
      <c r="T973" s="13"/>
      <c r="U973" s="300"/>
      <c r="V973" s="13"/>
      <c r="W973" s="13"/>
      <c r="X973" s="300"/>
      <c r="Y973" s="13"/>
      <c r="Z973" s="13"/>
      <c r="AA973" s="300"/>
      <c r="AB973" s="13"/>
      <c r="AC973" s="13"/>
      <c r="AD973" s="300"/>
      <c r="AE973" s="13"/>
      <c r="AF973" s="13"/>
      <c r="AG973" s="300"/>
      <c r="AH973" s="13"/>
      <c r="AI973" s="13"/>
      <c r="AJ973" s="300"/>
      <c r="AK973" s="13"/>
      <c r="AL973" s="301"/>
      <c r="AM973" s="300"/>
      <c r="AN973" s="13"/>
      <c r="AO973" s="301"/>
      <c r="AP973" s="300"/>
    </row>
    <row r="974">
      <c r="A974" s="13"/>
      <c r="B974" s="13"/>
      <c r="C974" s="13"/>
      <c r="D974" s="13"/>
      <c r="E974" s="13"/>
      <c r="F974" s="13"/>
      <c r="G974" s="13"/>
      <c r="H974" s="13"/>
      <c r="I974" s="13"/>
      <c r="J974" s="13"/>
      <c r="K974" s="13"/>
      <c r="L974" s="13"/>
      <c r="M974" s="13"/>
      <c r="N974" s="13"/>
      <c r="O974" s="13"/>
      <c r="P974" s="13"/>
      <c r="Q974" s="13"/>
      <c r="R974" s="300"/>
      <c r="S974" s="13"/>
      <c r="T974" s="13"/>
      <c r="U974" s="300"/>
      <c r="V974" s="13"/>
      <c r="W974" s="13"/>
      <c r="X974" s="300"/>
      <c r="Y974" s="13"/>
      <c r="Z974" s="13"/>
      <c r="AA974" s="300"/>
      <c r="AB974" s="13"/>
      <c r="AC974" s="13"/>
      <c r="AD974" s="300"/>
      <c r="AE974" s="13"/>
      <c r="AF974" s="13"/>
      <c r="AG974" s="300"/>
      <c r="AH974" s="13"/>
      <c r="AI974" s="13"/>
      <c r="AJ974" s="300"/>
      <c r="AK974" s="13"/>
      <c r="AL974" s="301"/>
      <c r="AM974" s="300"/>
      <c r="AN974" s="13"/>
      <c r="AO974" s="301"/>
      <c r="AP974" s="300"/>
    </row>
    <row r="975">
      <c r="A975" s="13"/>
      <c r="B975" s="13"/>
      <c r="C975" s="13"/>
      <c r="D975" s="13"/>
      <c r="E975" s="13"/>
      <c r="F975" s="13"/>
      <c r="G975" s="13"/>
      <c r="H975" s="13"/>
      <c r="I975" s="13"/>
      <c r="J975" s="13"/>
      <c r="K975" s="13"/>
      <c r="L975" s="13"/>
      <c r="M975" s="13"/>
      <c r="N975" s="13"/>
      <c r="O975" s="13"/>
      <c r="P975" s="13"/>
      <c r="Q975" s="13"/>
      <c r="R975" s="300"/>
      <c r="S975" s="13"/>
      <c r="T975" s="13"/>
      <c r="U975" s="300"/>
      <c r="V975" s="13"/>
      <c r="W975" s="13"/>
      <c r="X975" s="300"/>
      <c r="Y975" s="13"/>
      <c r="Z975" s="13"/>
      <c r="AA975" s="300"/>
      <c r="AB975" s="13"/>
      <c r="AC975" s="13"/>
      <c r="AD975" s="300"/>
      <c r="AE975" s="13"/>
      <c r="AF975" s="13"/>
      <c r="AG975" s="300"/>
      <c r="AH975" s="13"/>
      <c r="AI975" s="13"/>
      <c r="AJ975" s="300"/>
      <c r="AK975" s="13"/>
      <c r="AL975" s="301"/>
      <c r="AM975" s="300"/>
      <c r="AN975" s="13"/>
      <c r="AO975" s="301"/>
      <c r="AP975" s="300"/>
    </row>
    <row r="976">
      <c r="A976" s="13"/>
      <c r="B976" s="13"/>
      <c r="C976" s="13"/>
      <c r="D976" s="13"/>
      <c r="E976" s="13"/>
      <c r="F976" s="13"/>
      <c r="G976" s="13"/>
      <c r="H976" s="13"/>
      <c r="I976" s="13"/>
      <c r="J976" s="13"/>
      <c r="K976" s="13"/>
      <c r="L976" s="13"/>
      <c r="M976" s="13"/>
      <c r="N976" s="13"/>
      <c r="O976" s="13"/>
      <c r="P976" s="13"/>
      <c r="Q976" s="13"/>
      <c r="R976" s="300"/>
      <c r="S976" s="13"/>
      <c r="T976" s="13"/>
      <c r="U976" s="300"/>
      <c r="V976" s="13"/>
      <c r="W976" s="13"/>
      <c r="X976" s="300"/>
      <c r="Y976" s="13"/>
      <c r="Z976" s="13"/>
      <c r="AA976" s="300"/>
      <c r="AB976" s="13"/>
      <c r="AC976" s="13"/>
      <c r="AD976" s="300"/>
      <c r="AE976" s="13"/>
      <c r="AF976" s="13"/>
      <c r="AG976" s="300"/>
      <c r="AH976" s="13"/>
      <c r="AI976" s="13"/>
      <c r="AJ976" s="300"/>
      <c r="AK976" s="13"/>
      <c r="AL976" s="301"/>
      <c r="AM976" s="300"/>
      <c r="AN976" s="13"/>
      <c r="AO976" s="301"/>
      <c r="AP976" s="300"/>
    </row>
    <row r="977">
      <c r="A977" s="13"/>
      <c r="B977" s="13"/>
      <c r="C977" s="13"/>
      <c r="D977" s="13"/>
      <c r="E977" s="13"/>
      <c r="F977" s="13"/>
      <c r="G977" s="13"/>
      <c r="H977" s="13"/>
      <c r="I977" s="13"/>
      <c r="J977" s="13"/>
      <c r="K977" s="13"/>
      <c r="L977" s="13"/>
      <c r="M977" s="13"/>
      <c r="N977" s="13"/>
      <c r="O977" s="13"/>
      <c r="P977" s="13"/>
      <c r="Q977" s="13"/>
      <c r="R977" s="300"/>
      <c r="S977" s="13"/>
      <c r="T977" s="13"/>
      <c r="U977" s="300"/>
      <c r="V977" s="13"/>
      <c r="W977" s="13"/>
      <c r="X977" s="300"/>
      <c r="Y977" s="13"/>
      <c r="Z977" s="13"/>
      <c r="AA977" s="300"/>
      <c r="AB977" s="13"/>
      <c r="AC977" s="13"/>
      <c r="AD977" s="300"/>
      <c r="AE977" s="13"/>
      <c r="AF977" s="13"/>
      <c r="AG977" s="300"/>
      <c r="AH977" s="13"/>
      <c r="AI977" s="13"/>
      <c r="AJ977" s="300"/>
      <c r="AK977" s="13"/>
      <c r="AL977" s="301"/>
      <c r="AM977" s="300"/>
      <c r="AN977" s="13"/>
      <c r="AO977" s="301"/>
      <c r="AP977" s="300"/>
    </row>
    <row r="978">
      <c r="A978" s="13"/>
      <c r="B978" s="13"/>
      <c r="C978" s="13"/>
      <c r="D978" s="13"/>
      <c r="E978" s="13"/>
      <c r="F978" s="13"/>
      <c r="G978" s="13"/>
      <c r="H978" s="13"/>
      <c r="I978" s="13"/>
      <c r="J978" s="13"/>
      <c r="K978" s="13"/>
      <c r="L978" s="13"/>
      <c r="M978" s="13"/>
      <c r="N978" s="13"/>
      <c r="O978" s="13"/>
      <c r="P978" s="13"/>
      <c r="Q978" s="13"/>
      <c r="R978" s="300"/>
      <c r="S978" s="13"/>
      <c r="T978" s="13"/>
      <c r="U978" s="300"/>
      <c r="V978" s="13"/>
      <c r="W978" s="13"/>
      <c r="X978" s="300"/>
      <c r="Y978" s="13"/>
      <c r="Z978" s="13"/>
      <c r="AA978" s="300"/>
      <c r="AB978" s="13"/>
      <c r="AC978" s="13"/>
      <c r="AD978" s="300"/>
      <c r="AE978" s="13"/>
      <c r="AF978" s="13"/>
      <c r="AG978" s="300"/>
      <c r="AH978" s="13"/>
      <c r="AI978" s="13"/>
      <c r="AJ978" s="300"/>
      <c r="AK978" s="13"/>
      <c r="AL978" s="301"/>
      <c r="AM978" s="300"/>
      <c r="AN978" s="13"/>
      <c r="AO978" s="301"/>
      <c r="AP978" s="300"/>
    </row>
    <row r="979">
      <c r="A979" s="13"/>
      <c r="B979" s="13"/>
      <c r="C979" s="13"/>
      <c r="D979" s="13"/>
      <c r="E979" s="13"/>
      <c r="F979" s="13"/>
      <c r="G979" s="13"/>
      <c r="H979" s="13"/>
      <c r="I979" s="13"/>
      <c r="J979" s="13"/>
      <c r="K979" s="13"/>
      <c r="L979" s="13"/>
      <c r="M979" s="13"/>
      <c r="N979" s="13"/>
      <c r="O979" s="13"/>
      <c r="P979" s="13"/>
      <c r="Q979" s="13"/>
      <c r="R979" s="300"/>
      <c r="S979" s="13"/>
      <c r="T979" s="13"/>
      <c r="U979" s="300"/>
      <c r="V979" s="13"/>
      <c r="W979" s="13"/>
      <c r="X979" s="300"/>
      <c r="Y979" s="13"/>
      <c r="Z979" s="13"/>
      <c r="AA979" s="300"/>
      <c r="AB979" s="13"/>
      <c r="AC979" s="13"/>
      <c r="AD979" s="300"/>
      <c r="AE979" s="13"/>
      <c r="AF979" s="13"/>
      <c r="AG979" s="300"/>
      <c r="AH979" s="13"/>
      <c r="AI979" s="13"/>
      <c r="AJ979" s="300"/>
      <c r="AK979" s="13"/>
      <c r="AL979" s="301"/>
      <c r="AM979" s="300"/>
      <c r="AN979" s="13"/>
      <c r="AO979" s="301"/>
      <c r="AP979" s="300"/>
    </row>
    <row r="980">
      <c r="A980" s="13"/>
      <c r="B980" s="13"/>
      <c r="C980" s="13"/>
      <c r="D980" s="13"/>
      <c r="E980" s="13"/>
      <c r="F980" s="13"/>
      <c r="G980" s="13"/>
      <c r="H980" s="13"/>
      <c r="I980" s="13"/>
      <c r="J980" s="13"/>
      <c r="K980" s="13"/>
      <c r="L980" s="13"/>
      <c r="M980" s="13"/>
      <c r="N980" s="13"/>
      <c r="O980" s="13"/>
      <c r="P980" s="13"/>
      <c r="Q980" s="13"/>
      <c r="R980" s="300"/>
      <c r="S980" s="13"/>
      <c r="T980" s="13"/>
      <c r="U980" s="300"/>
      <c r="V980" s="13"/>
      <c r="W980" s="13"/>
      <c r="X980" s="300"/>
      <c r="Y980" s="13"/>
      <c r="Z980" s="13"/>
      <c r="AA980" s="300"/>
      <c r="AB980" s="13"/>
      <c r="AC980" s="13"/>
      <c r="AD980" s="300"/>
      <c r="AE980" s="13"/>
      <c r="AF980" s="13"/>
      <c r="AG980" s="300"/>
      <c r="AH980" s="13"/>
      <c r="AI980" s="13"/>
      <c r="AJ980" s="300"/>
      <c r="AK980" s="13"/>
      <c r="AL980" s="301"/>
      <c r="AM980" s="300"/>
      <c r="AN980" s="13"/>
      <c r="AO980" s="301"/>
      <c r="AP980" s="300"/>
    </row>
    <row r="981">
      <c r="A981" s="13"/>
      <c r="B981" s="13"/>
      <c r="C981" s="13"/>
      <c r="D981" s="13"/>
      <c r="E981" s="13"/>
      <c r="F981" s="13"/>
      <c r="G981" s="13"/>
      <c r="H981" s="13"/>
      <c r="I981" s="13"/>
      <c r="J981" s="13"/>
      <c r="K981" s="13"/>
      <c r="L981" s="13"/>
      <c r="M981" s="13"/>
      <c r="N981" s="13"/>
      <c r="O981" s="13"/>
      <c r="P981" s="13"/>
      <c r="Q981" s="13"/>
      <c r="R981" s="300"/>
      <c r="S981" s="13"/>
      <c r="T981" s="13"/>
      <c r="U981" s="300"/>
      <c r="V981" s="13"/>
      <c r="W981" s="13"/>
      <c r="X981" s="300"/>
      <c r="Y981" s="13"/>
      <c r="Z981" s="13"/>
      <c r="AA981" s="300"/>
      <c r="AB981" s="13"/>
      <c r="AC981" s="13"/>
      <c r="AD981" s="300"/>
      <c r="AE981" s="13"/>
      <c r="AF981" s="13"/>
      <c r="AG981" s="300"/>
      <c r="AH981" s="13"/>
      <c r="AI981" s="13"/>
      <c r="AJ981" s="300"/>
      <c r="AK981" s="13"/>
      <c r="AL981" s="301"/>
      <c r="AM981" s="300"/>
      <c r="AN981" s="13"/>
      <c r="AO981" s="301"/>
      <c r="AP981" s="300"/>
    </row>
    <row r="982">
      <c r="A982" s="13"/>
      <c r="B982" s="13"/>
      <c r="C982" s="13"/>
      <c r="D982" s="13"/>
      <c r="E982" s="13"/>
      <c r="F982" s="13"/>
      <c r="G982" s="13"/>
      <c r="H982" s="13"/>
      <c r="I982" s="13"/>
      <c r="J982" s="13"/>
      <c r="K982" s="13"/>
      <c r="L982" s="13"/>
      <c r="M982" s="13"/>
      <c r="N982" s="13"/>
      <c r="O982" s="13"/>
      <c r="P982" s="13"/>
      <c r="Q982" s="13"/>
      <c r="R982" s="300"/>
      <c r="S982" s="13"/>
      <c r="T982" s="13"/>
      <c r="U982" s="300"/>
      <c r="V982" s="13"/>
      <c r="W982" s="13"/>
      <c r="X982" s="300"/>
      <c r="Y982" s="13"/>
      <c r="Z982" s="13"/>
      <c r="AA982" s="300"/>
      <c r="AB982" s="13"/>
      <c r="AC982" s="13"/>
      <c r="AD982" s="300"/>
      <c r="AE982" s="13"/>
      <c r="AF982" s="13"/>
      <c r="AG982" s="300"/>
      <c r="AH982" s="13"/>
      <c r="AI982" s="13"/>
      <c r="AJ982" s="300"/>
      <c r="AK982" s="13"/>
      <c r="AL982" s="301"/>
      <c r="AM982" s="300"/>
      <c r="AN982" s="13"/>
      <c r="AO982" s="301"/>
      <c r="AP982" s="300"/>
    </row>
    <row r="983">
      <c r="A983" s="13"/>
      <c r="B983" s="13"/>
      <c r="C983" s="13"/>
      <c r="D983" s="13"/>
      <c r="E983" s="13"/>
      <c r="F983" s="13"/>
      <c r="G983" s="13"/>
      <c r="H983" s="13"/>
      <c r="I983" s="13"/>
      <c r="J983" s="13"/>
      <c r="K983" s="13"/>
      <c r="L983" s="13"/>
      <c r="M983" s="13"/>
      <c r="N983" s="13"/>
      <c r="O983" s="13"/>
      <c r="P983" s="13"/>
      <c r="Q983" s="13"/>
      <c r="R983" s="300"/>
      <c r="S983" s="13"/>
      <c r="T983" s="13"/>
      <c r="U983" s="300"/>
      <c r="V983" s="13"/>
      <c r="W983" s="13"/>
      <c r="X983" s="300"/>
      <c r="Y983" s="13"/>
      <c r="Z983" s="13"/>
      <c r="AA983" s="300"/>
      <c r="AB983" s="13"/>
      <c r="AC983" s="13"/>
      <c r="AD983" s="300"/>
      <c r="AE983" s="13"/>
      <c r="AF983" s="13"/>
      <c r="AG983" s="300"/>
      <c r="AH983" s="13"/>
      <c r="AI983" s="13"/>
      <c r="AJ983" s="300"/>
      <c r="AK983" s="13"/>
      <c r="AL983" s="301"/>
      <c r="AM983" s="300"/>
      <c r="AN983" s="13"/>
      <c r="AO983" s="301"/>
      <c r="AP983" s="300"/>
    </row>
    <row r="984">
      <c r="A984" s="13"/>
      <c r="B984" s="13"/>
      <c r="C984" s="13"/>
      <c r="D984" s="13"/>
      <c r="E984" s="13"/>
      <c r="F984" s="13"/>
      <c r="G984" s="13"/>
      <c r="H984" s="13"/>
      <c r="I984" s="13"/>
      <c r="J984" s="13"/>
      <c r="K984" s="13"/>
      <c r="L984" s="13"/>
      <c r="M984" s="13"/>
      <c r="N984" s="13"/>
      <c r="O984" s="13"/>
      <c r="P984" s="13"/>
      <c r="Q984" s="13"/>
      <c r="R984" s="300"/>
      <c r="S984" s="13"/>
      <c r="T984" s="13"/>
      <c r="U984" s="300"/>
      <c r="V984" s="13"/>
      <c r="W984" s="13"/>
      <c r="X984" s="300"/>
      <c r="Y984" s="13"/>
      <c r="Z984" s="13"/>
      <c r="AA984" s="300"/>
      <c r="AB984" s="13"/>
      <c r="AC984" s="13"/>
      <c r="AD984" s="300"/>
      <c r="AE984" s="13"/>
      <c r="AF984" s="13"/>
      <c r="AG984" s="300"/>
      <c r="AH984" s="13"/>
      <c r="AI984" s="13"/>
      <c r="AJ984" s="300"/>
      <c r="AK984" s="13"/>
      <c r="AL984" s="301"/>
      <c r="AM984" s="300"/>
      <c r="AN984" s="13"/>
      <c r="AO984" s="301"/>
      <c r="AP984" s="300"/>
    </row>
    <row r="985">
      <c r="A985" s="13"/>
      <c r="B985" s="13"/>
      <c r="C985" s="13"/>
      <c r="D985" s="13"/>
      <c r="E985" s="13"/>
      <c r="F985" s="13"/>
      <c r="G985" s="13"/>
      <c r="H985" s="13"/>
      <c r="I985" s="13"/>
      <c r="J985" s="13"/>
      <c r="K985" s="13"/>
      <c r="L985" s="13"/>
      <c r="M985" s="13"/>
      <c r="N985" s="13"/>
      <c r="O985" s="13"/>
      <c r="P985" s="13"/>
      <c r="Q985" s="13"/>
      <c r="R985" s="300"/>
      <c r="S985" s="13"/>
      <c r="T985" s="13"/>
      <c r="U985" s="300"/>
      <c r="V985" s="13"/>
      <c r="W985" s="13"/>
      <c r="X985" s="300"/>
      <c r="Y985" s="13"/>
      <c r="Z985" s="13"/>
      <c r="AA985" s="300"/>
      <c r="AB985" s="13"/>
      <c r="AC985" s="13"/>
      <c r="AD985" s="300"/>
      <c r="AE985" s="13"/>
      <c r="AF985" s="13"/>
      <c r="AG985" s="300"/>
      <c r="AH985" s="13"/>
      <c r="AI985" s="13"/>
      <c r="AJ985" s="300"/>
      <c r="AK985" s="13"/>
      <c r="AL985" s="301"/>
      <c r="AM985" s="300"/>
      <c r="AN985" s="13"/>
      <c r="AO985" s="301"/>
      <c r="AP985" s="300"/>
    </row>
    <row r="986">
      <c r="A986" s="13"/>
      <c r="B986" s="13"/>
      <c r="C986" s="13"/>
      <c r="D986" s="13"/>
      <c r="E986" s="13"/>
      <c r="F986" s="13"/>
      <c r="G986" s="13"/>
      <c r="H986" s="13"/>
      <c r="I986" s="13"/>
      <c r="J986" s="13"/>
      <c r="K986" s="13"/>
      <c r="L986" s="13"/>
      <c r="M986" s="13"/>
      <c r="N986" s="13"/>
      <c r="O986" s="13"/>
      <c r="P986" s="13"/>
      <c r="Q986" s="13"/>
      <c r="R986" s="300"/>
      <c r="S986" s="13"/>
      <c r="T986" s="13"/>
      <c r="U986" s="300"/>
      <c r="V986" s="13"/>
      <c r="W986" s="13"/>
      <c r="X986" s="300"/>
      <c r="Y986" s="13"/>
      <c r="Z986" s="13"/>
      <c r="AA986" s="300"/>
      <c r="AB986" s="13"/>
      <c r="AC986" s="13"/>
      <c r="AD986" s="300"/>
      <c r="AE986" s="13"/>
      <c r="AF986" s="13"/>
      <c r="AG986" s="300"/>
      <c r="AH986" s="13"/>
      <c r="AI986" s="13"/>
      <c r="AJ986" s="300"/>
      <c r="AK986" s="13"/>
      <c r="AL986" s="301"/>
      <c r="AM986" s="300"/>
      <c r="AN986" s="13"/>
      <c r="AO986" s="301"/>
      <c r="AP986" s="300"/>
    </row>
    <row r="987">
      <c r="A987" s="13"/>
      <c r="B987" s="13"/>
      <c r="C987" s="13"/>
      <c r="D987" s="13"/>
      <c r="E987" s="13"/>
      <c r="F987" s="13"/>
      <c r="G987" s="13"/>
      <c r="H987" s="13"/>
      <c r="I987" s="13"/>
      <c r="J987" s="13"/>
      <c r="K987" s="13"/>
      <c r="L987" s="13"/>
      <c r="M987" s="13"/>
      <c r="N987" s="13"/>
      <c r="O987" s="13"/>
      <c r="P987" s="13"/>
      <c r="Q987" s="13"/>
      <c r="R987" s="300"/>
      <c r="S987" s="13"/>
      <c r="T987" s="13"/>
      <c r="U987" s="300"/>
      <c r="V987" s="13"/>
      <c r="W987" s="13"/>
      <c r="X987" s="300"/>
      <c r="Y987" s="13"/>
      <c r="Z987" s="13"/>
      <c r="AA987" s="300"/>
      <c r="AB987" s="13"/>
      <c r="AC987" s="13"/>
      <c r="AD987" s="300"/>
      <c r="AE987" s="13"/>
      <c r="AF987" s="13"/>
      <c r="AG987" s="300"/>
      <c r="AH987" s="13"/>
      <c r="AI987" s="13"/>
      <c r="AJ987" s="300"/>
      <c r="AK987" s="13"/>
      <c r="AL987" s="301"/>
      <c r="AM987" s="300"/>
      <c r="AN987" s="13"/>
      <c r="AO987" s="301"/>
      <c r="AP987" s="300"/>
    </row>
    <row r="988">
      <c r="A988" s="13"/>
      <c r="B988" s="13"/>
      <c r="C988" s="13"/>
      <c r="D988" s="13"/>
      <c r="E988" s="13"/>
      <c r="F988" s="13"/>
      <c r="G988" s="13"/>
      <c r="H988" s="13"/>
      <c r="I988" s="13"/>
      <c r="J988" s="13"/>
      <c r="K988" s="13"/>
      <c r="L988" s="13"/>
      <c r="M988" s="13"/>
      <c r="N988" s="13"/>
      <c r="O988" s="13"/>
      <c r="P988" s="13"/>
      <c r="Q988" s="13"/>
      <c r="R988" s="300"/>
      <c r="S988" s="13"/>
      <c r="T988" s="13"/>
      <c r="U988" s="300"/>
      <c r="V988" s="13"/>
      <c r="W988" s="13"/>
      <c r="X988" s="300"/>
      <c r="Y988" s="13"/>
      <c r="Z988" s="13"/>
      <c r="AA988" s="300"/>
      <c r="AB988" s="13"/>
      <c r="AC988" s="13"/>
      <c r="AD988" s="300"/>
      <c r="AE988" s="13"/>
      <c r="AF988" s="13"/>
      <c r="AG988" s="300"/>
      <c r="AH988" s="13"/>
      <c r="AI988" s="13"/>
      <c r="AJ988" s="300"/>
      <c r="AK988" s="13"/>
      <c r="AL988" s="301"/>
      <c r="AM988" s="300"/>
      <c r="AN988" s="13"/>
      <c r="AO988" s="301"/>
      <c r="AP988" s="300"/>
    </row>
    <row r="989">
      <c r="A989" s="13"/>
      <c r="B989" s="13"/>
      <c r="C989" s="13"/>
      <c r="D989" s="13"/>
      <c r="E989" s="13"/>
      <c r="F989" s="13"/>
      <c r="G989" s="13"/>
      <c r="H989" s="13"/>
      <c r="I989" s="13"/>
      <c r="J989" s="13"/>
      <c r="K989" s="13"/>
      <c r="L989" s="13"/>
      <c r="M989" s="13"/>
      <c r="N989" s="13"/>
      <c r="O989" s="13"/>
      <c r="P989" s="13"/>
      <c r="Q989" s="13"/>
      <c r="R989" s="300"/>
      <c r="S989" s="13"/>
      <c r="T989" s="13"/>
      <c r="U989" s="300"/>
      <c r="V989" s="13"/>
      <c r="W989" s="13"/>
      <c r="X989" s="300"/>
      <c r="Y989" s="13"/>
      <c r="Z989" s="13"/>
      <c r="AA989" s="300"/>
      <c r="AB989" s="13"/>
      <c r="AC989" s="13"/>
      <c r="AD989" s="300"/>
      <c r="AE989" s="13"/>
      <c r="AF989" s="13"/>
      <c r="AG989" s="300"/>
      <c r="AH989" s="13"/>
      <c r="AI989" s="13"/>
      <c r="AJ989" s="300"/>
      <c r="AK989" s="13"/>
      <c r="AL989" s="301"/>
      <c r="AM989" s="300"/>
      <c r="AN989" s="13"/>
      <c r="AO989" s="301"/>
      <c r="AP989" s="300"/>
    </row>
    <row r="990">
      <c r="A990" s="13"/>
      <c r="B990" s="13"/>
      <c r="C990" s="13"/>
      <c r="D990" s="13"/>
      <c r="E990" s="13"/>
      <c r="F990" s="13"/>
      <c r="G990" s="13"/>
      <c r="H990" s="13"/>
      <c r="I990" s="13"/>
      <c r="J990" s="13"/>
      <c r="K990" s="13"/>
      <c r="L990" s="13"/>
      <c r="M990" s="13"/>
      <c r="N990" s="13"/>
      <c r="O990" s="13"/>
      <c r="P990" s="13"/>
      <c r="Q990" s="13"/>
      <c r="R990" s="300"/>
      <c r="S990" s="13"/>
      <c r="T990" s="13"/>
      <c r="U990" s="300"/>
      <c r="V990" s="13"/>
      <c r="W990" s="13"/>
      <c r="X990" s="300"/>
      <c r="Y990" s="13"/>
      <c r="Z990" s="13"/>
      <c r="AA990" s="300"/>
      <c r="AB990" s="13"/>
      <c r="AC990" s="13"/>
      <c r="AD990" s="300"/>
      <c r="AE990" s="13"/>
      <c r="AF990" s="13"/>
      <c r="AG990" s="300"/>
      <c r="AH990" s="13"/>
      <c r="AI990" s="13"/>
      <c r="AJ990" s="300"/>
      <c r="AK990" s="13"/>
      <c r="AL990" s="301"/>
      <c r="AM990" s="300"/>
      <c r="AN990" s="13"/>
      <c r="AO990" s="301"/>
      <c r="AP990" s="300"/>
    </row>
    <row r="991">
      <c r="A991" s="13"/>
      <c r="B991" s="13"/>
      <c r="C991" s="13"/>
      <c r="D991" s="13"/>
      <c r="E991" s="13"/>
      <c r="F991" s="13"/>
      <c r="G991" s="13"/>
      <c r="H991" s="13"/>
      <c r="I991" s="13"/>
      <c r="J991" s="13"/>
      <c r="K991" s="13"/>
      <c r="L991" s="13"/>
      <c r="M991" s="13"/>
      <c r="N991" s="13"/>
      <c r="O991" s="13"/>
      <c r="P991" s="13"/>
      <c r="Q991" s="13"/>
      <c r="R991" s="300"/>
      <c r="S991" s="13"/>
      <c r="T991" s="13"/>
      <c r="U991" s="300"/>
      <c r="V991" s="13"/>
      <c r="W991" s="13"/>
      <c r="X991" s="300"/>
      <c r="Y991" s="13"/>
      <c r="Z991" s="13"/>
      <c r="AA991" s="300"/>
      <c r="AB991" s="13"/>
      <c r="AC991" s="13"/>
      <c r="AD991" s="300"/>
      <c r="AE991" s="13"/>
      <c r="AF991" s="13"/>
      <c r="AG991" s="300"/>
      <c r="AH991" s="13"/>
      <c r="AI991" s="13"/>
      <c r="AJ991" s="300"/>
      <c r="AK991" s="13"/>
      <c r="AL991" s="301"/>
      <c r="AM991" s="300"/>
      <c r="AN991" s="13"/>
      <c r="AO991" s="301"/>
      <c r="AP991" s="300"/>
    </row>
    <row r="992">
      <c r="A992" s="13"/>
      <c r="B992" s="13"/>
      <c r="C992" s="13"/>
      <c r="D992" s="13"/>
      <c r="E992" s="13"/>
      <c r="F992" s="13"/>
      <c r="G992" s="13"/>
      <c r="H992" s="13"/>
      <c r="I992" s="13"/>
      <c r="J992" s="13"/>
      <c r="K992" s="13"/>
      <c r="L992" s="13"/>
      <c r="M992" s="13"/>
      <c r="N992" s="13"/>
      <c r="O992" s="13"/>
      <c r="P992" s="13"/>
      <c r="Q992" s="13"/>
      <c r="R992" s="300"/>
      <c r="S992" s="13"/>
      <c r="T992" s="13"/>
      <c r="U992" s="300"/>
      <c r="V992" s="13"/>
      <c r="W992" s="13"/>
      <c r="X992" s="300"/>
      <c r="Y992" s="13"/>
      <c r="Z992" s="13"/>
      <c r="AA992" s="300"/>
      <c r="AB992" s="13"/>
      <c r="AC992" s="13"/>
      <c r="AD992" s="300"/>
      <c r="AE992" s="13"/>
      <c r="AF992" s="13"/>
      <c r="AG992" s="300"/>
      <c r="AH992" s="13"/>
      <c r="AI992" s="13"/>
      <c r="AJ992" s="300"/>
      <c r="AK992" s="13"/>
      <c r="AL992" s="301"/>
      <c r="AM992" s="300"/>
      <c r="AN992" s="13"/>
      <c r="AO992" s="301"/>
      <c r="AP992" s="300"/>
    </row>
    <row r="993">
      <c r="A993" s="13"/>
      <c r="B993" s="13"/>
      <c r="C993" s="13"/>
      <c r="D993" s="13"/>
      <c r="E993" s="13"/>
      <c r="F993" s="13"/>
      <c r="G993" s="13"/>
      <c r="H993" s="13"/>
      <c r="I993" s="13"/>
      <c r="J993" s="13"/>
      <c r="K993" s="13"/>
      <c r="L993" s="13"/>
      <c r="M993" s="13"/>
      <c r="N993" s="13"/>
      <c r="O993" s="13"/>
      <c r="P993" s="13"/>
      <c r="Q993" s="13"/>
      <c r="R993" s="300"/>
      <c r="S993" s="13"/>
      <c r="T993" s="13"/>
      <c r="U993" s="300"/>
      <c r="V993" s="13"/>
      <c r="W993" s="13"/>
      <c r="X993" s="300"/>
      <c r="Y993" s="13"/>
      <c r="Z993" s="13"/>
      <c r="AA993" s="300"/>
      <c r="AB993" s="13"/>
      <c r="AC993" s="13"/>
      <c r="AD993" s="300"/>
      <c r="AE993" s="13"/>
      <c r="AF993" s="13"/>
      <c r="AG993" s="300"/>
      <c r="AH993" s="13"/>
      <c r="AI993" s="13"/>
      <c r="AJ993" s="300"/>
      <c r="AK993" s="13"/>
      <c r="AL993" s="301"/>
      <c r="AM993" s="300"/>
      <c r="AN993" s="13"/>
      <c r="AO993" s="301"/>
      <c r="AP993" s="300"/>
    </row>
    <row r="994">
      <c r="A994" s="13"/>
      <c r="B994" s="13"/>
      <c r="C994" s="13"/>
      <c r="D994" s="13"/>
      <c r="E994" s="13"/>
      <c r="F994" s="13"/>
      <c r="G994" s="13"/>
      <c r="H994" s="13"/>
      <c r="I994" s="13"/>
      <c r="J994" s="13"/>
      <c r="K994" s="13"/>
      <c r="L994" s="13"/>
      <c r="M994" s="13"/>
      <c r="N994" s="13"/>
      <c r="O994" s="13"/>
      <c r="P994" s="13"/>
      <c r="Q994" s="13"/>
      <c r="R994" s="300"/>
      <c r="S994" s="13"/>
      <c r="T994" s="13"/>
      <c r="U994" s="300"/>
      <c r="V994" s="13"/>
      <c r="W994" s="13"/>
      <c r="X994" s="300"/>
      <c r="Y994" s="13"/>
      <c r="Z994" s="13"/>
      <c r="AA994" s="300"/>
      <c r="AB994" s="13"/>
      <c r="AC994" s="13"/>
      <c r="AD994" s="300"/>
      <c r="AE994" s="13"/>
      <c r="AF994" s="13"/>
      <c r="AG994" s="300"/>
      <c r="AH994" s="13"/>
      <c r="AI994" s="13"/>
      <c r="AJ994" s="300"/>
      <c r="AK994" s="13"/>
      <c r="AL994" s="301"/>
      <c r="AM994" s="300"/>
      <c r="AN994" s="13"/>
      <c r="AO994" s="301"/>
      <c r="AP994" s="300"/>
    </row>
    <row r="995">
      <c r="A995" s="13"/>
      <c r="B995" s="13"/>
      <c r="C995" s="13"/>
      <c r="D995" s="13"/>
      <c r="E995" s="13"/>
      <c r="F995" s="13"/>
      <c r="G995" s="13"/>
      <c r="H995" s="13"/>
      <c r="I995" s="13"/>
      <c r="J995" s="13"/>
      <c r="K995" s="13"/>
      <c r="L995" s="13"/>
      <c r="M995" s="13"/>
      <c r="N995" s="13"/>
      <c r="O995" s="13"/>
      <c r="P995" s="13"/>
      <c r="Q995" s="13"/>
      <c r="R995" s="300"/>
      <c r="S995" s="13"/>
      <c r="T995" s="13"/>
      <c r="U995" s="300"/>
      <c r="V995" s="13"/>
      <c r="W995" s="13"/>
      <c r="X995" s="300"/>
      <c r="Y995" s="13"/>
      <c r="Z995" s="13"/>
      <c r="AA995" s="300"/>
      <c r="AB995" s="13"/>
      <c r="AC995" s="13"/>
      <c r="AD995" s="300"/>
      <c r="AE995" s="13"/>
      <c r="AF995" s="13"/>
      <c r="AG995" s="300"/>
      <c r="AH995" s="13"/>
      <c r="AI995" s="13"/>
      <c r="AJ995" s="300"/>
      <c r="AK995" s="13"/>
      <c r="AL995" s="301"/>
      <c r="AM995" s="300"/>
      <c r="AN995" s="13"/>
      <c r="AO995" s="301"/>
      <c r="AP995" s="300"/>
    </row>
    <row r="996">
      <c r="A996" s="13"/>
      <c r="B996" s="13"/>
      <c r="C996" s="13"/>
      <c r="D996" s="13"/>
      <c r="E996" s="13"/>
      <c r="F996" s="13"/>
      <c r="G996" s="13"/>
      <c r="H996" s="13"/>
      <c r="I996" s="13"/>
      <c r="J996" s="13"/>
      <c r="K996" s="13"/>
      <c r="L996" s="13"/>
      <c r="M996" s="13"/>
      <c r="N996" s="13"/>
      <c r="O996" s="13"/>
      <c r="P996" s="13"/>
      <c r="Q996" s="13"/>
      <c r="R996" s="300"/>
      <c r="S996" s="13"/>
      <c r="T996" s="13"/>
      <c r="U996" s="300"/>
      <c r="V996" s="13"/>
      <c r="W996" s="13"/>
      <c r="X996" s="300"/>
      <c r="Y996" s="13"/>
      <c r="Z996" s="13"/>
      <c r="AA996" s="300"/>
      <c r="AB996" s="13"/>
      <c r="AC996" s="13"/>
      <c r="AD996" s="300"/>
      <c r="AE996" s="13"/>
      <c r="AF996" s="13"/>
      <c r="AG996" s="300"/>
      <c r="AH996" s="13"/>
      <c r="AI996" s="13"/>
      <c r="AJ996" s="300"/>
      <c r="AK996" s="13"/>
      <c r="AL996" s="301"/>
      <c r="AM996" s="300"/>
      <c r="AN996" s="13"/>
      <c r="AO996" s="301"/>
      <c r="AP996" s="300"/>
    </row>
    <row r="997">
      <c r="A997" s="13"/>
      <c r="B997" s="13"/>
      <c r="C997" s="13"/>
      <c r="D997" s="13"/>
      <c r="E997" s="13"/>
      <c r="F997" s="13"/>
      <c r="G997" s="13"/>
      <c r="H997" s="13"/>
      <c r="I997" s="13"/>
      <c r="J997" s="13"/>
      <c r="K997" s="13"/>
      <c r="L997" s="13"/>
      <c r="M997" s="13"/>
      <c r="N997" s="13"/>
      <c r="O997" s="13"/>
      <c r="P997" s="13"/>
      <c r="Q997" s="13"/>
      <c r="R997" s="300"/>
      <c r="S997" s="13"/>
      <c r="T997" s="13"/>
      <c r="U997" s="300"/>
      <c r="V997" s="13"/>
      <c r="W997" s="13"/>
      <c r="X997" s="300"/>
      <c r="Y997" s="13"/>
      <c r="Z997" s="13"/>
      <c r="AA997" s="300"/>
      <c r="AB997" s="13"/>
      <c r="AC997" s="13"/>
      <c r="AD997" s="300"/>
      <c r="AE997" s="13"/>
      <c r="AF997" s="13"/>
      <c r="AG997" s="300"/>
      <c r="AH997" s="13"/>
      <c r="AI997" s="13"/>
      <c r="AJ997" s="300"/>
      <c r="AK997" s="13"/>
      <c r="AL997" s="301"/>
      <c r="AM997" s="300"/>
      <c r="AN997" s="13"/>
      <c r="AO997" s="301"/>
      <c r="AP997" s="300"/>
    </row>
    <row r="998">
      <c r="A998" s="13"/>
      <c r="B998" s="13"/>
      <c r="C998" s="13"/>
      <c r="D998" s="13"/>
      <c r="E998" s="13"/>
      <c r="F998" s="13"/>
      <c r="G998" s="13"/>
      <c r="H998" s="13"/>
      <c r="I998" s="13"/>
      <c r="J998" s="13"/>
      <c r="K998" s="13"/>
      <c r="L998" s="13"/>
      <c r="M998" s="13"/>
      <c r="N998" s="13"/>
      <c r="O998" s="13"/>
      <c r="P998" s="13"/>
      <c r="Q998" s="13"/>
      <c r="R998" s="300"/>
      <c r="S998" s="13"/>
      <c r="T998" s="13"/>
      <c r="U998" s="300"/>
      <c r="V998" s="13"/>
      <c r="W998" s="13"/>
      <c r="X998" s="300"/>
      <c r="Y998" s="13"/>
      <c r="Z998" s="13"/>
      <c r="AA998" s="300"/>
      <c r="AB998" s="13"/>
      <c r="AC998" s="13"/>
      <c r="AD998" s="300"/>
      <c r="AE998" s="13"/>
      <c r="AF998" s="13"/>
      <c r="AG998" s="300"/>
      <c r="AH998" s="13"/>
      <c r="AI998" s="13"/>
      <c r="AJ998" s="300"/>
      <c r="AK998" s="13"/>
      <c r="AL998" s="301"/>
      <c r="AM998" s="300"/>
      <c r="AN998" s="13"/>
      <c r="AO998" s="301"/>
      <c r="AP998" s="300"/>
    </row>
    <row r="999">
      <c r="A999" s="13"/>
      <c r="B999" s="13"/>
      <c r="C999" s="13"/>
      <c r="D999" s="13"/>
      <c r="E999" s="13"/>
      <c r="F999" s="13"/>
      <c r="G999" s="13"/>
      <c r="H999" s="13"/>
      <c r="I999" s="13"/>
      <c r="J999" s="13"/>
      <c r="K999" s="13"/>
      <c r="L999" s="13"/>
      <c r="M999" s="13"/>
      <c r="N999" s="13"/>
      <c r="O999" s="13"/>
      <c r="P999" s="13"/>
      <c r="Q999" s="13"/>
      <c r="R999" s="300"/>
      <c r="S999" s="13"/>
      <c r="T999" s="13"/>
      <c r="U999" s="300"/>
      <c r="V999" s="13"/>
      <c r="W999" s="13"/>
      <c r="X999" s="300"/>
      <c r="Y999" s="13"/>
      <c r="Z999" s="13"/>
      <c r="AA999" s="300"/>
      <c r="AB999" s="13"/>
      <c r="AC999" s="13"/>
      <c r="AD999" s="300"/>
      <c r="AE999" s="13"/>
      <c r="AF999" s="13"/>
      <c r="AG999" s="300"/>
      <c r="AH999" s="13"/>
      <c r="AI999" s="13"/>
      <c r="AJ999" s="300"/>
      <c r="AK999" s="13"/>
      <c r="AL999" s="301"/>
      <c r="AM999" s="300"/>
      <c r="AN999" s="13"/>
      <c r="AO999" s="301"/>
      <c r="AP999" s="300"/>
    </row>
    <row r="1000">
      <c r="A1000" s="13"/>
      <c r="B1000" s="13"/>
      <c r="C1000" s="13"/>
      <c r="D1000" s="13"/>
      <c r="E1000" s="13"/>
      <c r="F1000" s="13"/>
      <c r="G1000" s="13"/>
      <c r="H1000" s="13"/>
      <c r="I1000" s="13"/>
      <c r="J1000" s="13"/>
      <c r="K1000" s="13"/>
      <c r="L1000" s="13"/>
      <c r="M1000" s="13"/>
      <c r="N1000" s="13"/>
      <c r="O1000" s="13"/>
      <c r="P1000" s="13"/>
      <c r="Q1000" s="13"/>
      <c r="R1000" s="300"/>
      <c r="S1000" s="13"/>
      <c r="T1000" s="13"/>
      <c r="U1000" s="300"/>
      <c r="V1000" s="13"/>
      <c r="W1000" s="13"/>
      <c r="X1000" s="300"/>
      <c r="Y1000" s="13"/>
      <c r="Z1000" s="13"/>
      <c r="AA1000" s="300"/>
      <c r="AB1000" s="13"/>
      <c r="AC1000" s="13"/>
      <c r="AD1000" s="300"/>
      <c r="AE1000" s="13"/>
      <c r="AF1000" s="13"/>
      <c r="AG1000" s="300"/>
      <c r="AH1000" s="13"/>
      <c r="AI1000" s="13"/>
      <c r="AJ1000" s="300"/>
      <c r="AK1000" s="13"/>
      <c r="AL1000" s="301"/>
      <c r="AM1000" s="300"/>
      <c r="AN1000" s="13"/>
      <c r="AO1000" s="301"/>
      <c r="AP1000" s="300"/>
    </row>
    <row r="1001">
      <c r="A1001" s="13"/>
      <c r="B1001" s="13"/>
      <c r="C1001" s="13"/>
      <c r="D1001" s="13"/>
      <c r="E1001" s="13"/>
      <c r="F1001" s="13"/>
      <c r="G1001" s="13"/>
      <c r="H1001" s="13"/>
      <c r="I1001" s="13"/>
      <c r="J1001" s="13"/>
      <c r="K1001" s="13"/>
      <c r="L1001" s="13"/>
      <c r="M1001" s="13"/>
      <c r="N1001" s="13"/>
      <c r="O1001" s="13"/>
      <c r="P1001" s="13"/>
      <c r="Q1001" s="13"/>
      <c r="R1001" s="300"/>
      <c r="S1001" s="13"/>
      <c r="T1001" s="13"/>
      <c r="U1001" s="300"/>
      <c r="V1001" s="13"/>
      <c r="W1001" s="13"/>
      <c r="X1001" s="300"/>
      <c r="Y1001" s="13"/>
      <c r="Z1001" s="13"/>
      <c r="AA1001" s="300"/>
      <c r="AB1001" s="13"/>
      <c r="AC1001" s="13"/>
      <c r="AD1001" s="300"/>
      <c r="AE1001" s="13"/>
      <c r="AF1001" s="13"/>
      <c r="AG1001" s="300"/>
      <c r="AH1001" s="13"/>
      <c r="AI1001" s="13"/>
      <c r="AJ1001" s="300"/>
      <c r="AK1001" s="13"/>
      <c r="AL1001" s="301"/>
      <c r="AM1001" s="300"/>
      <c r="AN1001" s="13"/>
      <c r="AO1001" s="301"/>
      <c r="AP1001" s="300"/>
    </row>
    <row r="1002">
      <c r="A1002" s="13"/>
      <c r="B1002" s="13"/>
      <c r="C1002" s="13"/>
      <c r="D1002" s="13"/>
      <c r="E1002" s="13"/>
      <c r="F1002" s="13"/>
      <c r="G1002" s="13"/>
      <c r="H1002" s="13"/>
      <c r="I1002" s="13"/>
      <c r="J1002" s="13"/>
      <c r="K1002" s="13"/>
      <c r="L1002" s="13"/>
      <c r="M1002" s="13"/>
      <c r="N1002" s="13"/>
      <c r="O1002" s="13"/>
      <c r="P1002" s="13"/>
      <c r="Q1002" s="13"/>
      <c r="R1002" s="300"/>
      <c r="S1002" s="13"/>
      <c r="T1002" s="13"/>
      <c r="U1002" s="300"/>
      <c r="V1002" s="13"/>
      <c r="W1002" s="13"/>
      <c r="X1002" s="300"/>
      <c r="Y1002" s="13"/>
      <c r="Z1002" s="13"/>
      <c r="AA1002" s="300"/>
      <c r="AB1002" s="13"/>
      <c r="AC1002" s="13"/>
      <c r="AD1002" s="300"/>
      <c r="AE1002" s="13"/>
      <c r="AF1002" s="13"/>
      <c r="AG1002" s="300"/>
      <c r="AH1002" s="13"/>
      <c r="AI1002" s="13"/>
      <c r="AJ1002" s="300"/>
      <c r="AK1002" s="13"/>
      <c r="AL1002" s="301"/>
      <c r="AM1002" s="300"/>
      <c r="AN1002" s="13"/>
      <c r="AO1002" s="301"/>
      <c r="AP1002" s="300"/>
    </row>
    <row r="1003">
      <c r="A1003" s="13"/>
      <c r="B1003" s="13"/>
      <c r="C1003" s="13"/>
      <c r="D1003" s="13"/>
      <c r="E1003" s="13"/>
      <c r="F1003" s="13"/>
      <c r="G1003" s="13"/>
      <c r="H1003" s="13"/>
      <c r="I1003" s="13"/>
      <c r="J1003" s="13"/>
      <c r="K1003" s="13"/>
      <c r="L1003" s="13"/>
      <c r="M1003" s="13"/>
      <c r="N1003" s="13"/>
      <c r="O1003" s="13"/>
      <c r="P1003" s="13"/>
      <c r="Q1003" s="13"/>
      <c r="R1003" s="300"/>
      <c r="S1003" s="13"/>
      <c r="T1003" s="13"/>
      <c r="U1003" s="300"/>
      <c r="V1003" s="13"/>
      <c r="W1003" s="13"/>
      <c r="X1003" s="300"/>
      <c r="Y1003" s="13"/>
      <c r="Z1003" s="13"/>
      <c r="AA1003" s="300"/>
      <c r="AB1003" s="13"/>
      <c r="AC1003" s="13"/>
      <c r="AD1003" s="300"/>
      <c r="AE1003" s="13"/>
      <c r="AF1003" s="13"/>
      <c r="AG1003" s="300"/>
      <c r="AH1003" s="13"/>
      <c r="AI1003" s="13"/>
      <c r="AJ1003" s="300"/>
      <c r="AK1003" s="13"/>
      <c r="AL1003" s="301"/>
      <c r="AM1003" s="300"/>
      <c r="AN1003" s="13"/>
      <c r="AO1003" s="301"/>
      <c r="AP1003" s="300"/>
    </row>
    <row r="1004">
      <c r="A1004" s="13"/>
      <c r="B1004" s="13"/>
      <c r="C1004" s="13"/>
      <c r="D1004" s="13"/>
      <c r="E1004" s="13"/>
      <c r="F1004" s="13"/>
      <c r="G1004" s="13"/>
      <c r="H1004" s="13"/>
      <c r="I1004" s="13"/>
      <c r="J1004" s="13"/>
      <c r="K1004" s="13"/>
      <c r="L1004" s="13"/>
      <c r="M1004" s="13"/>
      <c r="N1004" s="13"/>
      <c r="O1004" s="13"/>
      <c r="P1004" s="13"/>
      <c r="Q1004" s="13"/>
      <c r="R1004" s="300"/>
      <c r="S1004" s="13"/>
      <c r="T1004" s="13"/>
      <c r="U1004" s="300"/>
      <c r="V1004" s="13"/>
      <c r="W1004" s="13"/>
      <c r="X1004" s="300"/>
      <c r="Y1004" s="13"/>
      <c r="Z1004" s="13"/>
      <c r="AA1004" s="300"/>
      <c r="AB1004" s="13"/>
      <c r="AC1004" s="13"/>
      <c r="AD1004" s="300"/>
      <c r="AE1004" s="13"/>
      <c r="AF1004" s="13"/>
      <c r="AG1004" s="300"/>
      <c r="AH1004" s="13"/>
      <c r="AI1004" s="13"/>
      <c r="AJ1004" s="300"/>
      <c r="AK1004" s="13"/>
      <c r="AL1004" s="301"/>
      <c r="AM1004" s="300"/>
      <c r="AN1004" s="13"/>
      <c r="AO1004" s="301"/>
      <c r="AP1004" s="300"/>
    </row>
    <row r="1005">
      <c r="A1005" s="13"/>
      <c r="B1005" s="13"/>
      <c r="C1005" s="13"/>
      <c r="D1005" s="13"/>
      <c r="E1005" s="13"/>
      <c r="F1005" s="13"/>
      <c r="G1005" s="13"/>
      <c r="H1005" s="13"/>
      <c r="I1005" s="13"/>
      <c r="J1005" s="13"/>
      <c r="K1005" s="13"/>
      <c r="L1005" s="13"/>
      <c r="M1005" s="13"/>
      <c r="N1005" s="13"/>
      <c r="O1005" s="13"/>
      <c r="P1005" s="13"/>
      <c r="Q1005" s="13"/>
      <c r="R1005" s="300"/>
      <c r="S1005" s="13"/>
      <c r="T1005" s="13"/>
      <c r="U1005" s="300"/>
      <c r="V1005" s="13"/>
      <c r="W1005" s="13"/>
      <c r="X1005" s="300"/>
      <c r="Y1005" s="13"/>
      <c r="Z1005" s="13"/>
      <c r="AA1005" s="300"/>
      <c r="AB1005" s="13"/>
      <c r="AC1005" s="13"/>
      <c r="AD1005" s="300"/>
      <c r="AE1005" s="13"/>
      <c r="AF1005" s="13"/>
      <c r="AG1005" s="300"/>
      <c r="AH1005" s="13"/>
      <c r="AI1005" s="13"/>
      <c r="AJ1005" s="300"/>
      <c r="AK1005" s="13"/>
      <c r="AL1005" s="301"/>
      <c r="AM1005" s="300"/>
      <c r="AN1005" s="13"/>
      <c r="AO1005" s="301"/>
      <c r="AP1005" s="300"/>
    </row>
    <row r="1006">
      <c r="A1006" s="13"/>
      <c r="B1006" s="13"/>
      <c r="C1006" s="13"/>
      <c r="D1006" s="13"/>
      <c r="E1006" s="13"/>
      <c r="F1006" s="13"/>
      <c r="G1006" s="13"/>
      <c r="H1006" s="13"/>
      <c r="I1006" s="13"/>
      <c r="J1006" s="13"/>
      <c r="K1006" s="13"/>
      <c r="L1006" s="13"/>
      <c r="M1006" s="13"/>
      <c r="N1006" s="13"/>
      <c r="O1006" s="13"/>
      <c r="P1006" s="13"/>
      <c r="Q1006" s="13"/>
      <c r="R1006" s="300"/>
      <c r="S1006" s="13"/>
      <c r="T1006" s="13"/>
      <c r="U1006" s="300"/>
      <c r="V1006" s="13"/>
      <c r="W1006" s="13"/>
      <c r="X1006" s="300"/>
      <c r="Y1006" s="13"/>
      <c r="Z1006" s="13"/>
      <c r="AA1006" s="300"/>
      <c r="AB1006" s="13"/>
      <c r="AC1006" s="13"/>
      <c r="AD1006" s="300"/>
      <c r="AE1006" s="13"/>
      <c r="AF1006" s="13"/>
      <c r="AG1006" s="300"/>
      <c r="AH1006" s="13"/>
      <c r="AI1006" s="13"/>
      <c r="AJ1006" s="300"/>
      <c r="AK1006" s="13"/>
      <c r="AL1006" s="301"/>
      <c r="AM1006" s="300"/>
      <c r="AN1006" s="13"/>
      <c r="AO1006" s="301"/>
      <c r="AP1006" s="300"/>
    </row>
    <row r="1007">
      <c r="A1007" s="13"/>
      <c r="B1007" s="13"/>
      <c r="C1007" s="13"/>
      <c r="D1007" s="13"/>
      <c r="E1007" s="13"/>
      <c r="F1007" s="13"/>
      <c r="G1007" s="13"/>
      <c r="H1007" s="13"/>
      <c r="I1007" s="13"/>
      <c r="J1007" s="13"/>
      <c r="K1007" s="13"/>
      <c r="L1007" s="13"/>
      <c r="M1007" s="13"/>
      <c r="N1007" s="13"/>
      <c r="O1007" s="13"/>
      <c r="P1007" s="13"/>
      <c r="Q1007" s="13"/>
      <c r="R1007" s="300"/>
      <c r="S1007" s="13"/>
      <c r="T1007" s="13"/>
      <c r="U1007" s="300"/>
      <c r="V1007" s="13"/>
      <c r="W1007" s="13"/>
      <c r="X1007" s="300"/>
      <c r="Y1007" s="13"/>
      <c r="Z1007" s="13"/>
      <c r="AA1007" s="300"/>
      <c r="AB1007" s="13"/>
      <c r="AC1007" s="13"/>
      <c r="AD1007" s="300"/>
      <c r="AE1007" s="13"/>
      <c r="AF1007" s="13"/>
      <c r="AG1007" s="300"/>
      <c r="AH1007" s="13"/>
      <c r="AI1007" s="13"/>
      <c r="AJ1007" s="300"/>
      <c r="AK1007" s="13"/>
      <c r="AL1007" s="301"/>
      <c r="AM1007" s="300"/>
      <c r="AN1007" s="13"/>
      <c r="AO1007" s="301"/>
      <c r="AP1007" s="300"/>
    </row>
    <row r="1008">
      <c r="A1008" s="13"/>
      <c r="B1008" s="13"/>
      <c r="C1008" s="13"/>
      <c r="D1008" s="13"/>
      <c r="E1008" s="13"/>
      <c r="F1008" s="13"/>
      <c r="G1008" s="13"/>
      <c r="H1008" s="13"/>
      <c r="I1008" s="13"/>
      <c r="J1008" s="13"/>
      <c r="K1008" s="13"/>
      <c r="L1008" s="13"/>
      <c r="M1008" s="13"/>
      <c r="N1008" s="13"/>
      <c r="O1008" s="13"/>
      <c r="P1008" s="13"/>
      <c r="Q1008" s="13"/>
      <c r="R1008" s="300"/>
      <c r="S1008" s="13"/>
      <c r="T1008" s="13"/>
      <c r="U1008" s="300"/>
      <c r="V1008" s="13"/>
      <c r="W1008" s="13"/>
      <c r="X1008" s="300"/>
      <c r="Y1008" s="13"/>
      <c r="Z1008" s="13"/>
      <c r="AA1008" s="300"/>
      <c r="AB1008" s="13"/>
      <c r="AC1008" s="13"/>
      <c r="AD1008" s="300"/>
      <c r="AE1008" s="13"/>
      <c r="AF1008" s="13"/>
      <c r="AG1008" s="300"/>
      <c r="AH1008" s="13"/>
      <c r="AI1008" s="13"/>
      <c r="AJ1008" s="300"/>
      <c r="AK1008" s="13"/>
      <c r="AL1008" s="301"/>
      <c r="AM1008" s="300"/>
      <c r="AN1008" s="13"/>
      <c r="AO1008" s="301"/>
      <c r="AP1008" s="300"/>
    </row>
    <row r="1009">
      <c r="A1009" s="13"/>
      <c r="B1009" s="13"/>
      <c r="C1009" s="13"/>
      <c r="D1009" s="13"/>
      <c r="E1009" s="13"/>
      <c r="F1009" s="13"/>
      <c r="G1009" s="13"/>
      <c r="H1009" s="13"/>
      <c r="I1009" s="13"/>
      <c r="J1009" s="13"/>
      <c r="K1009" s="13"/>
      <c r="L1009" s="13"/>
      <c r="M1009" s="13"/>
      <c r="N1009" s="13"/>
      <c r="O1009" s="13"/>
      <c r="P1009" s="13"/>
      <c r="Q1009" s="13"/>
      <c r="R1009" s="300"/>
      <c r="S1009" s="13"/>
      <c r="T1009" s="13"/>
      <c r="U1009" s="300"/>
      <c r="V1009" s="13"/>
      <c r="W1009" s="13"/>
      <c r="X1009" s="300"/>
      <c r="Y1009" s="13"/>
      <c r="Z1009" s="13"/>
      <c r="AA1009" s="300"/>
      <c r="AB1009" s="13"/>
      <c r="AC1009" s="13"/>
      <c r="AD1009" s="300"/>
      <c r="AE1009" s="13"/>
      <c r="AF1009" s="13"/>
      <c r="AG1009" s="300"/>
      <c r="AH1009" s="13"/>
      <c r="AI1009" s="13"/>
      <c r="AJ1009" s="300"/>
      <c r="AK1009" s="13"/>
      <c r="AL1009" s="301"/>
      <c r="AM1009" s="300"/>
      <c r="AN1009" s="13"/>
      <c r="AO1009" s="301"/>
      <c r="AP1009" s="300"/>
    </row>
    <row r="1010">
      <c r="A1010" s="13"/>
      <c r="B1010" s="13"/>
      <c r="C1010" s="13"/>
      <c r="D1010" s="13"/>
      <c r="E1010" s="13"/>
      <c r="F1010" s="13"/>
      <c r="G1010" s="13"/>
      <c r="H1010" s="13"/>
      <c r="I1010" s="13"/>
      <c r="J1010" s="13"/>
      <c r="K1010" s="13"/>
      <c r="L1010" s="13"/>
      <c r="M1010" s="13"/>
      <c r="N1010" s="13"/>
      <c r="O1010" s="13"/>
      <c r="P1010" s="13"/>
      <c r="Q1010" s="13"/>
      <c r="R1010" s="300"/>
      <c r="S1010" s="13"/>
      <c r="T1010" s="13"/>
      <c r="U1010" s="300"/>
      <c r="V1010" s="13"/>
      <c r="W1010" s="13"/>
      <c r="X1010" s="300"/>
      <c r="Y1010" s="13"/>
      <c r="Z1010" s="13"/>
      <c r="AA1010" s="300"/>
      <c r="AB1010" s="13"/>
      <c r="AC1010" s="13"/>
      <c r="AD1010" s="300"/>
      <c r="AE1010" s="13"/>
      <c r="AF1010" s="13"/>
      <c r="AG1010" s="300"/>
      <c r="AH1010" s="13"/>
      <c r="AI1010" s="13"/>
      <c r="AJ1010" s="300"/>
      <c r="AK1010" s="13"/>
      <c r="AL1010" s="301"/>
      <c r="AM1010" s="300"/>
      <c r="AN1010" s="13"/>
      <c r="AO1010" s="301"/>
      <c r="AP1010" s="300"/>
    </row>
    <row r="1011">
      <c r="A1011" s="13"/>
      <c r="B1011" s="13"/>
      <c r="C1011" s="13"/>
      <c r="D1011" s="13"/>
      <c r="E1011" s="13"/>
      <c r="F1011" s="13"/>
      <c r="G1011" s="13"/>
      <c r="H1011" s="13"/>
      <c r="I1011" s="13"/>
      <c r="J1011" s="13"/>
      <c r="K1011" s="13"/>
      <c r="L1011" s="13"/>
      <c r="M1011" s="13"/>
      <c r="N1011" s="13"/>
      <c r="O1011" s="13"/>
      <c r="P1011" s="13"/>
      <c r="Q1011" s="13"/>
      <c r="R1011" s="300"/>
      <c r="S1011" s="13"/>
      <c r="T1011" s="13"/>
      <c r="U1011" s="300"/>
      <c r="V1011" s="13"/>
      <c r="W1011" s="13"/>
      <c r="X1011" s="300"/>
      <c r="Y1011" s="13"/>
      <c r="Z1011" s="13"/>
      <c r="AA1011" s="300"/>
      <c r="AB1011" s="13"/>
      <c r="AC1011" s="13"/>
      <c r="AD1011" s="300"/>
      <c r="AE1011" s="13"/>
      <c r="AF1011" s="13"/>
      <c r="AG1011" s="300"/>
      <c r="AH1011" s="13"/>
      <c r="AI1011" s="13"/>
      <c r="AJ1011" s="300"/>
      <c r="AK1011" s="13"/>
      <c r="AL1011" s="301"/>
      <c r="AM1011" s="300"/>
      <c r="AN1011" s="13"/>
      <c r="AO1011" s="301"/>
      <c r="AP1011" s="300"/>
    </row>
    <row r="1012">
      <c r="A1012" s="13"/>
      <c r="B1012" s="13"/>
      <c r="C1012" s="13"/>
      <c r="D1012" s="13"/>
      <c r="E1012" s="13"/>
      <c r="F1012" s="13"/>
      <c r="G1012" s="13"/>
      <c r="H1012" s="13"/>
      <c r="I1012" s="13"/>
      <c r="J1012" s="13"/>
      <c r="K1012" s="13"/>
      <c r="L1012" s="13"/>
      <c r="M1012" s="13"/>
      <c r="N1012" s="13"/>
      <c r="O1012" s="13"/>
      <c r="P1012" s="13"/>
      <c r="Q1012" s="13"/>
      <c r="R1012" s="300"/>
      <c r="S1012" s="13"/>
      <c r="T1012" s="13"/>
      <c r="U1012" s="300"/>
      <c r="V1012" s="13"/>
      <c r="W1012" s="13"/>
      <c r="X1012" s="300"/>
      <c r="Y1012" s="13"/>
      <c r="Z1012" s="13"/>
      <c r="AA1012" s="300"/>
      <c r="AB1012" s="13"/>
      <c r="AC1012" s="13"/>
      <c r="AD1012" s="300"/>
      <c r="AE1012" s="13"/>
      <c r="AF1012" s="13"/>
      <c r="AG1012" s="300"/>
      <c r="AH1012" s="13"/>
      <c r="AI1012" s="13"/>
      <c r="AJ1012" s="300"/>
      <c r="AK1012" s="13"/>
      <c r="AL1012" s="301"/>
      <c r="AM1012" s="300"/>
      <c r="AN1012" s="13"/>
      <c r="AO1012" s="301"/>
      <c r="AP1012" s="300"/>
    </row>
    <row r="1013">
      <c r="A1013" s="13"/>
      <c r="B1013" s="13"/>
      <c r="C1013" s="13"/>
      <c r="D1013" s="13"/>
      <c r="E1013" s="13"/>
      <c r="F1013" s="13"/>
      <c r="G1013" s="13"/>
      <c r="H1013" s="13"/>
      <c r="I1013" s="13"/>
      <c r="J1013" s="13"/>
      <c r="K1013" s="13"/>
      <c r="L1013" s="13"/>
      <c r="M1013" s="13"/>
      <c r="N1013" s="13"/>
      <c r="O1013" s="13"/>
      <c r="P1013" s="13"/>
      <c r="Q1013" s="13"/>
      <c r="R1013" s="300"/>
      <c r="S1013" s="13"/>
      <c r="T1013" s="13"/>
      <c r="U1013" s="300"/>
      <c r="V1013" s="13"/>
      <c r="W1013" s="13"/>
      <c r="X1013" s="300"/>
      <c r="Y1013" s="13"/>
      <c r="Z1013" s="13"/>
      <c r="AA1013" s="300"/>
      <c r="AB1013" s="13"/>
      <c r="AC1013" s="13"/>
      <c r="AD1013" s="300"/>
      <c r="AE1013" s="13"/>
      <c r="AF1013" s="13"/>
      <c r="AG1013" s="300"/>
      <c r="AH1013" s="13"/>
      <c r="AI1013" s="13"/>
      <c r="AJ1013" s="300"/>
      <c r="AK1013" s="13"/>
      <c r="AL1013" s="301"/>
      <c r="AM1013" s="300"/>
      <c r="AN1013" s="13"/>
      <c r="AO1013" s="301"/>
      <c r="AP1013" s="300"/>
    </row>
    <row r="1014">
      <c r="A1014" s="13"/>
      <c r="B1014" s="13"/>
      <c r="C1014" s="13"/>
      <c r="D1014" s="13"/>
      <c r="E1014" s="13"/>
      <c r="F1014" s="13"/>
      <c r="G1014" s="13"/>
      <c r="H1014" s="13"/>
      <c r="I1014" s="13"/>
      <c r="J1014" s="13"/>
      <c r="K1014" s="13"/>
      <c r="L1014" s="13"/>
      <c r="M1014" s="13"/>
      <c r="N1014" s="13"/>
      <c r="O1014" s="13"/>
      <c r="P1014" s="13"/>
      <c r="Q1014" s="13"/>
      <c r="R1014" s="300"/>
      <c r="S1014" s="13"/>
      <c r="T1014" s="13"/>
      <c r="U1014" s="300"/>
      <c r="V1014" s="13"/>
      <c r="W1014" s="13"/>
      <c r="X1014" s="300"/>
      <c r="Y1014" s="13"/>
      <c r="Z1014" s="13"/>
      <c r="AA1014" s="300"/>
      <c r="AB1014" s="13"/>
      <c r="AC1014" s="13"/>
      <c r="AD1014" s="300"/>
      <c r="AE1014" s="13"/>
      <c r="AF1014" s="13"/>
      <c r="AG1014" s="300"/>
      <c r="AH1014" s="13"/>
      <c r="AI1014" s="13"/>
      <c r="AJ1014" s="300"/>
      <c r="AK1014" s="13"/>
      <c r="AL1014" s="301"/>
      <c r="AM1014" s="300"/>
      <c r="AN1014" s="13"/>
      <c r="AO1014" s="301"/>
      <c r="AP1014" s="300"/>
    </row>
    <row r="1015">
      <c r="A1015" s="13"/>
      <c r="B1015" s="13"/>
      <c r="C1015" s="13"/>
      <c r="D1015" s="13"/>
      <c r="E1015" s="13"/>
      <c r="F1015" s="13"/>
      <c r="G1015" s="13"/>
      <c r="H1015" s="13"/>
      <c r="I1015" s="13"/>
      <c r="J1015" s="13"/>
      <c r="K1015" s="13"/>
      <c r="L1015" s="13"/>
      <c r="M1015" s="13"/>
      <c r="N1015" s="13"/>
      <c r="O1015" s="13"/>
      <c r="P1015" s="13"/>
      <c r="Q1015" s="13"/>
      <c r="R1015" s="300"/>
      <c r="S1015" s="13"/>
      <c r="T1015" s="13"/>
      <c r="U1015" s="300"/>
      <c r="V1015" s="13"/>
      <c r="W1015" s="13"/>
      <c r="X1015" s="300"/>
      <c r="Y1015" s="13"/>
      <c r="Z1015" s="13"/>
      <c r="AA1015" s="300"/>
      <c r="AB1015" s="13"/>
      <c r="AC1015" s="13"/>
      <c r="AD1015" s="300"/>
      <c r="AE1015" s="13"/>
      <c r="AF1015" s="13"/>
      <c r="AG1015" s="300"/>
      <c r="AH1015" s="13"/>
      <c r="AI1015" s="13"/>
      <c r="AJ1015" s="300"/>
      <c r="AK1015" s="13"/>
      <c r="AL1015" s="301"/>
      <c r="AM1015" s="300"/>
      <c r="AN1015" s="13"/>
      <c r="AO1015" s="301"/>
      <c r="AP1015" s="300"/>
    </row>
    <row r="1016">
      <c r="A1016" s="13"/>
      <c r="B1016" s="13"/>
      <c r="C1016" s="13"/>
      <c r="D1016" s="13"/>
      <c r="E1016" s="13"/>
      <c r="F1016" s="13"/>
      <c r="G1016" s="13"/>
      <c r="H1016" s="13"/>
      <c r="I1016" s="13"/>
      <c r="J1016" s="13"/>
      <c r="K1016" s="13"/>
      <c r="L1016" s="13"/>
      <c r="M1016" s="13"/>
      <c r="N1016" s="13"/>
      <c r="O1016" s="13"/>
      <c r="P1016" s="13"/>
      <c r="Q1016" s="13"/>
      <c r="R1016" s="300"/>
      <c r="S1016" s="13"/>
      <c r="T1016" s="13"/>
      <c r="U1016" s="300"/>
      <c r="V1016" s="13"/>
      <c r="W1016" s="13"/>
      <c r="X1016" s="300"/>
      <c r="Y1016" s="13"/>
      <c r="Z1016" s="13"/>
      <c r="AA1016" s="300"/>
      <c r="AB1016" s="13"/>
      <c r="AC1016" s="13"/>
      <c r="AD1016" s="300"/>
      <c r="AE1016" s="13"/>
      <c r="AF1016" s="13"/>
      <c r="AG1016" s="300"/>
      <c r="AH1016" s="13"/>
      <c r="AI1016" s="13"/>
      <c r="AJ1016" s="300"/>
      <c r="AK1016" s="13"/>
      <c r="AL1016" s="301"/>
      <c r="AM1016" s="300"/>
      <c r="AN1016" s="13"/>
      <c r="AO1016" s="301"/>
      <c r="AP1016" s="300"/>
    </row>
    <row r="1017">
      <c r="A1017" s="13"/>
      <c r="B1017" s="13"/>
      <c r="C1017" s="13"/>
      <c r="D1017" s="13"/>
      <c r="E1017" s="13"/>
      <c r="F1017" s="13"/>
      <c r="G1017" s="13"/>
      <c r="H1017" s="13"/>
      <c r="I1017" s="13"/>
      <c r="J1017" s="13"/>
      <c r="K1017" s="13"/>
      <c r="L1017" s="13"/>
      <c r="M1017" s="13"/>
      <c r="N1017" s="13"/>
      <c r="O1017" s="13"/>
      <c r="P1017" s="13"/>
      <c r="Q1017" s="13"/>
      <c r="R1017" s="300"/>
      <c r="S1017" s="13"/>
      <c r="T1017" s="13"/>
      <c r="U1017" s="300"/>
      <c r="V1017" s="13"/>
      <c r="W1017" s="13"/>
      <c r="X1017" s="300"/>
      <c r="Y1017" s="13"/>
      <c r="Z1017" s="13"/>
      <c r="AA1017" s="300"/>
      <c r="AB1017" s="13"/>
      <c r="AC1017" s="13"/>
      <c r="AD1017" s="300"/>
      <c r="AE1017" s="13"/>
      <c r="AF1017" s="13"/>
      <c r="AG1017" s="300"/>
      <c r="AH1017" s="13"/>
      <c r="AI1017" s="13"/>
      <c r="AJ1017" s="300"/>
      <c r="AK1017" s="13"/>
      <c r="AL1017" s="301"/>
      <c r="AM1017" s="300"/>
      <c r="AN1017" s="13"/>
      <c r="AO1017" s="301"/>
      <c r="AP1017" s="300"/>
    </row>
    <row r="1018">
      <c r="A1018" s="13"/>
      <c r="B1018" s="13"/>
      <c r="C1018" s="13"/>
      <c r="D1018" s="13"/>
      <c r="E1018" s="13"/>
      <c r="F1018" s="13"/>
      <c r="G1018" s="13"/>
      <c r="H1018" s="13"/>
      <c r="I1018" s="13"/>
      <c r="J1018" s="13"/>
      <c r="K1018" s="13"/>
      <c r="L1018" s="13"/>
      <c r="M1018" s="13"/>
      <c r="N1018" s="13"/>
      <c r="O1018" s="13"/>
      <c r="P1018" s="13"/>
      <c r="Q1018" s="13"/>
      <c r="R1018" s="300"/>
      <c r="S1018" s="13"/>
      <c r="T1018" s="13"/>
      <c r="U1018" s="300"/>
      <c r="V1018" s="13"/>
      <c r="W1018" s="13"/>
      <c r="X1018" s="300"/>
      <c r="Y1018" s="13"/>
      <c r="Z1018" s="13"/>
      <c r="AA1018" s="300"/>
      <c r="AB1018" s="13"/>
      <c r="AC1018" s="13"/>
      <c r="AD1018" s="300"/>
      <c r="AE1018" s="13"/>
      <c r="AF1018" s="13"/>
      <c r="AG1018" s="300"/>
      <c r="AH1018" s="13"/>
      <c r="AI1018" s="13"/>
      <c r="AJ1018" s="300"/>
      <c r="AK1018" s="13"/>
      <c r="AL1018" s="301"/>
      <c r="AM1018" s="300"/>
      <c r="AN1018" s="13"/>
      <c r="AO1018" s="301"/>
      <c r="AP1018" s="300"/>
    </row>
    <row r="1019">
      <c r="A1019" s="13"/>
      <c r="B1019" s="13"/>
      <c r="C1019" s="13"/>
      <c r="D1019" s="13"/>
      <c r="E1019" s="13"/>
      <c r="F1019" s="13"/>
      <c r="G1019" s="13"/>
      <c r="H1019" s="13"/>
      <c r="I1019" s="13"/>
      <c r="J1019" s="13"/>
      <c r="K1019" s="13"/>
      <c r="L1019" s="13"/>
      <c r="M1019" s="13"/>
      <c r="N1019" s="13"/>
      <c r="O1019" s="13"/>
      <c r="P1019" s="13"/>
      <c r="Q1019" s="13"/>
      <c r="R1019" s="300"/>
      <c r="S1019" s="13"/>
      <c r="T1019" s="13"/>
      <c r="U1019" s="300"/>
      <c r="V1019" s="13"/>
      <c r="W1019" s="13"/>
      <c r="X1019" s="300"/>
      <c r="Y1019" s="13"/>
      <c r="Z1019" s="13"/>
      <c r="AA1019" s="300"/>
      <c r="AB1019" s="13"/>
      <c r="AC1019" s="13"/>
      <c r="AD1019" s="300"/>
      <c r="AE1019" s="13"/>
      <c r="AF1019" s="13"/>
      <c r="AG1019" s="300"/>
      <c r="AH1019" s="13"/>
      <c r="AI1019" s="13"/>
      <c r="AJ1019" s="300"/>
      <c r="AK1019" s="13"/>
      <c r="AL1019" s="301"/>
      <c r="AM1019" s="300"/>
      <c r="AN1019" s="13"/>
      <c r="AO1019" s="301"/>
      <c r="AP1019" s="300"/>
    </row>
    <row r="1020">
      <c r="A1020" s="13"/>
      <c r="B1020" s="13"/>
      <c r="C1020" s="13"/>
      <c r="D1020" s="13"/>
      <c r="E1020" s="13"/>
      <c r="F1020" s="13"/>
      <c r="G1020" s="13"/>
      <c r="H1020" s="13"/>
      <c r="I1020" s="13"/>
      <c r="J1020" s="13"/>
      <c r="K1020" s="13"/>
      <c r="L1020" s="13"/>
      <c r="M1020" s="13"/>
      <c r="N1020" s="13"/>
      <c r="O1020" s="13"/>
      <c r="P1020" s="13"/>
      <c r="Q1020" s="13"/>
      <c r="R1020" s="300"/>
      <c r="S1020" s="13"/>
      <c r="T1020" s="13"/>
      <c r="U1020" s="300"/>
      <c r="V1020" s="13"/>
      <c r="W1020" s="13"/>
      <c r="X1020" s="300"/>
      <c r="Y1020" s="13"/>
      <c r="Z1020" s="13"/>
      <c r="AA1020" s="300"/>
      <c r="AB1020" s="13"/>
      <c r="AC1020" s="13"/>
      <c r="AD1020" s="300"/>
      <c r="AE1020" s="13"/>
      <c r="AF1020" s="13"/>
      <c r="AG1020" s="300"/>
      <c r="AH1020" s="13"/>
      <c r="AI1020" s="13"/>
      <c r="AJ1020" s="300"/>
      <c r="AK1020" s="13"/>
      <c r="AL1020" s="301"/>
      <c r="AM1020" s="300"/>
      <c r="AN1020" s="13"/>
      <c r="AO1020" s="301"/>
      <c r="AP1020" s="300"/>
    </row>
    <row r="1021">
      <c r="A1021" s="13"/>
      <c r="B1021" s="13"/>
      <c r="C1021" s="13"/>
      <c r="D1021" s="13"/>
      <c r="E1021" s="13"/>
      <c r="F1021" s="13"/>
      <c r="G1021" s="13"/>
      <c r="H1021" s="13"/>
      <c r="I1021" s="13"/>
      <c r="J1021" s="13"/>
      <c r="K1021" s="13"/>
      <c r="L1021" s="13"/>
      <c r="M1021" s="13"/>
      <c r="N1021" s="13"/>
      <c r="O1021" s="13"/>
      <c r="P1021" s="13"/>
      <c r="Q1021" s="13"/>
      <c r="R1021" s="300"/>
      <c r="S1021" s="13"/>
      <c r="T1021" s="13"/>
      <c r="U1021" s="300"/>
      <c r="V1021" s="13"/>
      <c r="W1021" s="13"/>
      <c r="X1021" s="300"/>
      <c r="Y1021" s="13"/>
      <c r="Z1021" s="13"/>
      <c r="AA1021" s="300"/>
      <c r="AB1021" s="13"/>
      <c r="AC1021" s="13"/>
      <c r="AD1021" s="300"/>
      <c r="AE1021" s="13"/>
      <c r="AF1021" s="13"/>
      <c r="AG1021" s="300"/>
      <c r="AH1021" s="13"/>
      <c r="AI1021" s="13"/>
      <c r="AJ1021" s="300"/>
      <c r="AK1021" s="13"/>
      <c r="AL1021" s="301"/>
      <c r="AM1021" s="300"/>
      <c r="AN1021" s="13"/>
      <c r="AO1021" s="301"/>
      <c r="AP1021" s="300"/>
    </row>
    <row r="1022">
      <c r="A1022" s="13"/>
      <c r="B1022" s="13"/>
      <c r="C1022" s="13"/>
      <c r="D1022" s="13"/>
      <c r="E1022" s="13"/>
      <c r="F1022" s="13"/>
      <c r="G1022" s="13"/>
      <c r="H1022" s="13"/>
      <c r="I1022" s="13"/>
      <c r="J1022" s="13"/>
      <c r="K1022" s="13"/>
      <c r="L1022" s="13"/>
      <c r="M1022" s="13"/>
      <c r="N1022" s="13"/>
      <c r="O1022" s="13"/>
      <c r="P1022" s="13"/>
      <c r="Q1022" s="13"/>
      <c r="R1022" s="300"/>
      <c r="S1022" s="13"/>
      <c r="T1022" s="13"/>
      <c r="U1022" s="300"/>
      <c r="V1022" s="13"/>
      <c r="W1022" s="13"/>
      <c r="X1022" s="300"/>
      <c r="Y1022" s="13"/>
      <c r="Z1022" s="13"/>
      <c r="AA1022" s="300"/>
      <c r="AB1022" s="13"/>
      <c r="AC1022" s="13"/>
      <c r="AD1022" s="300"/>
      <c r="AE1022" s="13"/>
      <c r="AF1022" s="13"/>
      <c r="AG1022" s="300"/>
      <c r="AH1022" s="13"/>
      <c r="AI1022" s="13"/>
      <c r="AJ1022" s="300"/>
      <c r="AK1022" s="13"/>
      <c r="AL1022" s="301"/>
      <c r="AM1022" s="300"/>
      <c r="AN1022" s="13"/>
      <c r="AO1022" s="301"/>
      <c r="AP1022" s="300"/>
    </row>
    <row r="1023">
      <c r="A1023" s="13"/>
      <c r="B1023" s="13"/>
      <c r="C1023" s="13"/>
      <c r="D1023" s="13"/>
      <c r="E1023" s="13"/>
      <c r="F1023" s="13"/>
      <c r="G1023" s="13"/>
      <c r="H1023" s="13"/>
      <c r="I1023" s="13"/>
      <c r="J1023" s="13"/>
      <c r="K1023" s="13"/>
      <c r="L1023" s="13"/>
      <c r="M1023" s="13"/>
      <c r="N1023" s="13"/>
      <c r="O1023" s="13"/>
      <c r="P1023" s="13"/>
      <c r="Q1023" s="13"/>
      <c r="R1023" s="300"/>
      <c r="S1023" s="13"/>
      <c r="T1023" s="13"/>
      <c r="U1023" s="300"/>
      <c r="V1023" s="13"/>
      <c r="W1023" s="13"/>
      <c r="X1023" s="300"/>
      <c r="Y1023" s="13"/>
      <c r="Z1023" s="13"/>
      <c r="AA1023" s="300"/>
      <c r="AB1023" s="13"/>
      <c r="AC1023" s="13"/>
      <c r="AD1023" s="300"/>
      <c r="AE1023" s="13"/>
      <c r="AF1023" s="13"/>
      <c r="AG1023" s="300"/>
      <c r="AH1023" s="13"/>
      <c r="AI1023" s="13"/>
      <c r="AJ1023" s="300"/>
      <c r="AK1023" s="13"/>
      <c r="AL1023" s="301"/>
      <c r="AM1023" s="300"/>
      <c r="AN1023" s="13"/>
      <c r="AO1023" s="301"/>
      <c r="AP1023" s="300"/>
    </row>
    <row r="1024">
      <c r="A1024" s="13"/>
      <c r="B1024" s="13"/>
      <c r="C1024" s="13"/>
      <c r="D1024" s="13"/>
      <c r="E1024" s="13"/>
      <c r="F1024" s="13"/>
      <c r="G1024" s="13"/>
      <c r="H1024" s="13"/>
      <c r="I1024" s="13"/>
      <c r="J1024" s="13"/>
      <c r="K1024" s="13"/>
      <c r="L1024" s="13"/>
      <c r="M1024" s="13"/>
      <c r="N1024" s="13"/>
      <c r="O1024" s="13"/>
      <c r="P1024" s="13"/>
      <c r="Q1024" s="13"/>
      <c r="R1024" s="300"/>
      <c r="S1024" s="13"/>
      <c r="T1024" s="13"/>
      <c r="U1024" s="300"/>
      <c r="V1024" s="13"/>
      <c r="W1024" s="13"/>
      <c r="X1024" s="300"/>
      <c r="Y1024" s="13"/>
      <c r="Z1024" s="13"/>
      <c r="AA1024" s="300"/>
      <c r="AB1024" s="13"/>
      <c r="AC1024" s="13"/>
      <c r="AD1024" s="300"/>
      <c r="AE1024" s="13"/>
      <c r="AF1024" s="13"/>
      <c r="AG1024" s="300"/>
      <c r="AH1024" s="13"/>
      <c r="AI1024" s="13"/>
      <c r="AJ1024" s="300"/>
      <c r="AK1024" s="13"/>
      <c r="AL1024" s="301"/>
      <c r="AM1024" s="300"/>
      <c r="AN1024" s="13"/>
      <c r="AO1024" s="301"/>
      <c r="AP1024" s="300"/>
    </row>
    <row r="1025">
      <c r="A1025" s="13"/>
      <c r="B1025" s="13"/>
      <c r="C1025" s="13"/>
      <c r="D1025" s="13"/>
      <c r="E1025" s="13"/>
      <c r="F1025" s="13"/>
      <c r="G1025" s="13"/>
      <c r="H1025" s="13"/>
      <c r="I1025" s="13"/>
      <c r="J1025" s="13"/>
      <c r="K1025" s="13"/>
      <c r="L1025" s="13"/>
      <c r="M1025" s="13"/>
      <c r="N1025" s="13"/>
      <c r="O1025" s="13"/>
      <c r="P1025" s="13"/>
      <c r="Q1025" s="13"/>
      <c r="R1025" s="300"/>
      <c r="S1025" s="13"/>
      <c r="T1025" s="13"/>
      <c r="U1025" s="300"/>
      <c r="V1025" s="13"/>
      <c r="W1025" s="13"/>
      <c r="X1025" s="300"/>
      <c r="Y1025" s="13"/>
      <c r="Z1025" s="13"/>
      <c r="AA1025" s="300"/>
      <c r="AB1025" s="13"/>
      <c r="AC1025" s="13"/>
      <c r="AD1025" s="300"/>
      <c r="AE1025" s="13"/>
      <c r="AF1025" s="13"/>
      <c r="AG1025" s="300"/>
      <c r="AH1025" s="13"/>
      <c r="AI1025" s="13"/>
      <c r="AJ1025" s="300"/>
      <c r="AK1025" s="13"/>
      <c r="AL1025" s="301"/>
      <c r="AM1025" s="300"/>
      <c r="AN1025" s="13"/>
      <c r="AO1025" s="301"/>
      <c r="AP1025" s="300"/>
    </row>
    <row r="1026">
      <c r="A1026" s="13"/>
      <c r="B1026" s="13"/>
      <c r="C1026" s="13"/>
      <c r="D1026" s="13"/>
      <c r="E1026" s="13"/>
      <c r="F1026" s="13"/>
      <c r="G1026" s="13"/>
      <c r="H1026" s="13"/>
      <c r="I1026" s="13"/>
      <c r="J1026" s="13"/>
      <c r="K1026" s="13"/>
      <c r="L1026" s="13"/>
      <c r="M1026" s="13"/>
      <c r="N1026" s="13"/>
      <c r="O1026" s="13"/>
      <c r="P1026" s="13"/>
      <c r="Q1026" s="13"/>
      <c r="R1026" s="300"/>
      <c r="S1026" s="13"/>
      <c r="T1026" s="13"/>
      <c r="U1026" s="300"/>
      <c r="V1026" s="13"/>
      <c r="W1026" s="13"/>
      <c r="X1026" s="300"/>
      <c r="Y1026" s="13"/>
      <c r="Z1026" s="13"/>
      <c r="AA1026" s="300"/>
      <c r="AB1026" s="13"/>
      <c r="AC1026" s="13"/>
      <c r="AD1026" s="300"/>
      <c r="AE1026" s="13"/>
      <c r="AF1026" s="13"/>
      <c r="AG1026" s="300"/>
      <c r="AH1026" s="13"/>
      <c r="AI1026" s="13"/>
      <c r="AJ1026" s="300"/>
      <c r="AK1026" s="13"/>
      <c r="AL1026" s="301"/>
      <c r="AM1026" s="300"/>
      <c r="AN1026" s="13"/>
      <c r="AO1026" s="301"/>
      <c r="AP1026" s="300"/>
    </row>
    <row r="1027">
      <c r="A1027" s="13"/>
      <c r="B1027" s="13"/>
      <c r="C1027" s="13"/>
      <c r="D1027" s="13"/>
      <c r="E1027" s="13"/>
      <c r="F1027" s="13"/>
      <c r="G1027" s="13"/>
      <c r="H1027" s="13"/>
      <c r="I1027" s="13"/>
      <c r="J1027" s="13"/>
      <c r="K1027" s="13"/>
      <c r="L1027" s="13"/>
      <c r="M1027" s="13"/>
      <c r="N1027" s="13"/>
      <c r="O1027" s="13"/>
      <c r="P1027" s="13"/>
      <c r="Q1027" s="13"/>
      <c r="R1027" s="300"/>
      <c r="S1027" s="13"/>
      <c r="T1027" s="13"/>
      <c r="U1027" s="300"/>
      <c r="V1027" s="13"/>
      <c r="W1027" s="13"/>
      <c r="X1027" s="300"/>
      <c r="Y1027" s="13"/>
      <c r="Z1027" s="13"/>
      <c r="AA1027" s="300"/>
      <c r="AB1027" s="13"/>
      <c r="AC1027" s="13"/>
      <c r="AD1027" s="300"/>
      <c r="AE1027" s="13"/>
      <c r="AF1027" s="13"/>
      <c r="AG1027" s="300"/>
      <c r="AH1027" s="13"/>
      <c r="AI1027" s="13"/>
      <c r="AJ1027" s="300"/>
      <c r="AK1027" s="13"/>
      <c r="AL1027" s="301"/>
      <c r="AM1027" s="300"/>
      <c r="AN1027" s="13"/>
      <c r="AO1027" s="301"/>
      <c r="AP1027" s="300"/>
    </row>
    <row r="1028">
      <c r="A1028" s="13"/>
      <c r="B1028" s="13"/>
      <c r="C1028" s="13"/>
      <c r="D1028" s="13"/>
      <c r="E1028" s="13"/>
      <c r="F1028" s="13"/>
      <c r="G1028" s="13"/>
      <c r="H1028" s="13"/>
      <c r="I1028" s="13"/>
      <c r="J1028" s="13"/>
      <c r="K1028" s="13"/>
      <c r="L1028" s="13"/>
      <c r="M1028" s="13"/>
      <c r="N1028" s="13"/>
      <c r="O1028" s="13"/>
      <c r="P1028" s="13"/>
      <c r="Q1028" s="13"/>
      <c r="R1028" s="300"/>
      <c r="S1028" s="13"/>
      <c r="T1028" s="13"/>
      <c r="U1028" s="300"/>
      <c r="V1028" s="13"/>
      <c r="W1028" s="13"/>
      <c r="X1028" s="300"/>
      <c r="Y1028" s="13"/>
      <c r="Z1028" s="13"/>
      <c r="AA1028" s="300"/>
      <c r="AB1028" s="13"/>
      <c r="AC1028" s="13"/>
      <c r="AD1028" s="300"/>
      <c r="AE1028" s="13"/>
      <c r="AF1028" s="13"/>
      <c r="AG1028" s="300"/>
      <c r="AH1028" s="13"/>
      <c r="AI1028" s="13"/>
      <c r="AJ1028" s="300"/>
      <c r="AK1028" s="13"/>
      <c r="AL1028" s="301"/>
      <c r="AM1028" s="300"/>
      <c r="AN1028" s="13"/>
      <c r="AO1028" s="301"/>
      <c r="AP1028" s="300"/>
    </row>
    <row r="1029">
      <c r="A1029" s="13"/>
      <c r="B1029" s="13"/>
      <c r="C1029" s="13"/>
      <c r="D1029" s="13"/>
      <c r="E1029" s="13"/>
      <c r="F1029" s="13"/>
      <c r="G1029" s="13"/>
      <c r="H1029" s="13"/>
      <c r="I1029" s="13"/>
      <c r="J1029" s="13"/>
      <c r="K1029" s="13"/>
      <c r="L1029" s="13"/>
      <c r="M1029" s="13"/>
      <c r="N1029" s="13"/>
      <c r="O1029" s="13"/>
      <c r="P1029" s="13"/>
      <c r="Q1029" s="13"/>
      <c r="R1029" s="300"/>
      <c r="S1029" s="13"/>
      <c r="T1029" s="13"/>
      <c r="U1029" s="300"/>
      <c r="V1029" s="13"/>
      <c r="W1029" s="13"/>
      <c r="X1029" s="300"/>
      <c r="Y1029" s="13"/>
      <c r="Z1029" s="13"/>
      <c r="AA1029" s="300"/>
      <c r="AB1029" s="13"/>
      <c r="AC1029" s="13"/>
      <c r="AD1029" s="300"/>
      <c r="AE1029" s="13"/>
      <c r="AF1029" s="13"/>
      <c r="AG1029" s="300"/>
      <c r="AH1029" s="13"/>
      <c r="AI1029" s="13"/>
      <c r="AJ1029" s="300"/>
      <c r="AK1029" s="13"/>
      <c r="AL1029" s="301"/>
      <c r="AM1029" s="300"/>
      <c r="AN1029" s="13"/>
      <c r="AO1029" s="301"/>
      <c r="AP1029" s="300"/>
    </row>
    <row r="1030">
      <c r="A1030" s="13"/>
      <c r="B1030" s="13"/>
      <c r="C1030" s="13"/>
      <c r="D1030" s="13"/>
      <c r="E1030" s="13"/>
      <c r="F1030" s="13"/>
      <c r="G1030" s="13"/>
      <c r="H1030" s="13"/>
      <c r="I1030" s="13"/>
      <c r="J1030" s="13"/>
      <c r="K1030" s="13"/>
      <c r="L1030" s="13"/>
      <c r="M1030" s="13"/>
      <c r="N1030" s="13"/>
      <c r="O1030" s="13"/>
      <c r="P1030" s="13"/>
      <c r="Q1030" s="13"/>
      <c r="R1030" s="300"/>
      <c r="S1030" s="13"/>
      <c r="T1030" s="13"/>
      <c r="U1030" s="300"/>
      <c r="V1030" s="13"/>
      <c r="W1030" s="13"/>
      <c r="X1030" s="300"/>
      <c r="Y1030" s="13"/>
      <c r="Z1030" s="13"/>
      <c r="AA1030" s="300"/>
      <c r="AB1030" s="13"/>
      <c r="AC1030" s="13"/>
      <c r="AD1030" s="300"/>
      <c r="AE1030" s="13"/>
      <c r="AF1030" s="13"/>
      <c r="AG1030" s="300"/>
      <c r="AH1030" s="13"/>
      <c r="AI1030" s="13"/>
      <c r="AJ1030" s="300"/>
      <c r="AK1030" s="13"/>
      <c r="AL1030" s="301"/>
      <c r="AM1030" s="300"/>
      <c r="AN1030" s="13"/>
      <c r="AO1030" s="301"/>
      <c r="AP1030" s="300"/>
    </row>
    <row r="1031">
      <c r="A1031" s="13"/>
      <c r="B1031" s="13"/>
      <c r="C1031" s="13"/>
      <c r="D1031" s="13"/>
      <c r="E1031" s="13"/>
      <c r="F1031" s="13"/>
      <c r="G1031" s="13"/>
      <c r="H1031" s="13"/>
      <c r="I1031" s="13"/>
      <c r="J1031" s="13"/>
      <c r="K1031" s="13"/>
      <c r="L1031" s="13"/>
      <c r="M1031" s="13"/>
      <c r="N1031" s="13"/>
      <c r="O1031" s="13"/>
      <c r="P1031" s="13"/>
      <c r="Q1031" s="13"/>
      <c r="R1031" s="300"/>
      <c r="S1031" s="13"/>
      <c r="T1031" s="13"/>
      <c r="U1031" s="300"/>
      <c r="V1031" s="13"/>
      <c r="W1031" s="13"/>
      <c r="X1031" s="300"/>
      <c r="Y1031" s="13"/>
      <c r="Z1031" s="13"/>
      <c r="AA1031" s="300"/>
      <c r="AB1031" s="13"/>
      <c r="AC1031" s="13"/>
      <c r="AD1031" s="300"/>
      <c r="AE1031" s="13"/>
      <c r="AF1031" s="13"/>
      <c r="AG1031" s="300"/>
      <c r="AH1031" s="13"/>
      <c r="AI1031" s="13"/>
      <c r="AJ1031" s="300"/>
      <c r="AK1031" s="13"/>
      <c r="AL1031" s="301"/>
      <c r="AM1031" s="300"/>
      <c r="AN1031" s="13"/>
      <c r="AO1031" s="301"/>
      <c r="AP1031" s="300"/>
    </row>
    <row r="1032">
      <c r="A1032" s="13"/>
      <c r="B1032" s="13"/>
      <c r="C1032" s="13"/>
      <c r="D1032" s="13"/>
      <c r="E1032" s="13"/>
      <c r="F1032" s="13"/>
      <c r="G1032" s="13"/>
      <c r="H1032" s="13"/>
      <c r="I1032" s="13"/>
      <c r="J1032" s="13"/>
      <c r="K1032" s="13"/>
      <c r="L1032" s="13"/>
      <c r="M1032" s="13"/>
      <c r="N1032" s="13"/>
      <c r="O1032" s="13"/>
      <c r="P1032" s="13"/>
      <c r="Q1032" s="13"/>
      <c r="R1032" s="300"/>
      <c r="S1032" s="13"/>
      <c r="T1032" s="13"/>
      <c r="U1032" s="300"/>
      <c r="V1032" s="13"/>
      <c r="W1032" s="13"/>
      <c r="X1032" s="300"/>
      <c r="Y1032" s="13"/>
      <c r="Z1032" s="13"/>
      <c r="AA1032" s="300"/>
      <c r="AB1032" s="13"/>
      <c r="AC1032" s="13"/>
      <c r="AD1032" s="300"/>
      <c r="AE1032" s="13"/>
      <c r="AF1032" s="13"/>
      <c r="AG1032" s="300"/>
      <c r="AH1032" s="13"/>
      <c r="AI1032" s="13"/>
      <c r="AJ1032" s="300"/>
      <c r="AK1032" s="13"/>
      <c r="AL1032" s="301"/>
      <c r="AM1032" s="300"/>
      <c r="AN1032" s="13"/>
      <c r="AO1032" s="301"/>
      <c r="AP1032" s="300"/>
    </row>
    <row r="1033">
      <c r="A1033" s="13"/>
      <c r="B1033" s="13"/>
      <c r="C1033" s="13"/>
      <c r="D1033" s="13"/>
      <c r="E1033" s="13"/>
      <c r="F1033" s="13"/>
      <c r="G1033" s="13"/>
      <c r="H1033" s="13"/>
      <c r="I1033" s="13"/>
      <c r="J1033" s="13"/>
      <c r="K1033" s="13"/>
      <c r="L1033" s="13"/>
      <c r="M1033" s="13"/>
      <c r="N1033" s="13"/>
      <c r="O1033" s="13"/>
      <c r="P1033" s="13"/>
      <c r="Q1033" s="13"/>
      <c r="R1033" s="300"/>
      <c r="S1033" s="13"/>
      <c r="T1033" s="13"/>
      <c r="U1033" s="300"/>
      <c r="V1033" s="13"/>
      <c r="W1033" s="13"/>
      <c r="X1033" s="300"/>
      <c r="Y1033" s="13"/>
      <c r="Z1033" s="13"/>
      <c r="AA1033" s="300"/>
      <c r="AB1033" s="13"/>
      <c r="AC1033" s="13"/>
      <c r="AD1033" s="300"/>
      <c r="AE1033" s="13"/>
      <c r="AF1033" s="13"/>
      <c r="AG1033" s="300"/>
      <c r="AH1033" s="13"/>
      <c r="AI1033" s="13"/>
      <c r="AJ1033" s="300"/>
      <c r="AK1033" s="13"/>
      <c r="AL1033" s="301"/>
      <c r="AM1033" s="300"/>
      <c r="AN1033" s="13"/>
      <c r="AO1033" s="301"/>
      <c r="AP1033" s="300"/>
    </row>
    <row r="1034">
      <c r="A1034" s="13"/>
      <c r="B1034" s="13"/>
      <c r="C1034" s="13"/>
      <c r="D1034" s="13"/>
      <c r="E1034" s="13"/>
      <c r="F1034" s="13"/>
      <c r="G1034" s="13"/>
      <c r="H1034" s="13"/>
      <c r="I1034" s="13"/>
      <c r="J1034" s="13"/>
      <c r="K1034" s="13"/>
      <c r="L1034" s="13"/>
      <c r="M1034" s="13"/>
      <c r="N1034" s="13"/>
      <c r="O1034" s="13"/>
      <c r="P1034" s="13"/>
      <c r="Q1034" s="13"/>
      <c r="R1034" s="300"/>
      <c r="S1034" s="13"/>
      <c r="T1034" s="13"/>
      <c r="U1034" s="300"/>
      <c r="V1034" s="13"/>
      <c r="W1034" s="13"/>
      <c r="X1034" s="300"/>
      <c r="Y1034" s="13"/>
      <c r="Z1034" s="13"/>
      <c r="AA1034" s="300"/>
      <c r="AB1034" s="13"/>
      <c r="AC1034" s="13"/>
      <c r="AD1034" s="300"/>
      <c r="AE1034" s="13"/>
      <c r="AF1034" s="13"/>
      <c r="AG1034" s="300"/>
      <c r="AH1034" s="13"/>
      <c r="AI1034" s="13"/>
      <c r="AJ1034" s="300"/>
      <c r="AK1034" s="13"/>
      <c r="AL1034" s="301"/>
      <c r="AM1034" s="300"/>
      <c r="AN1034" s="13"/>
      <c r="AO1034" s="301"/>
      <c r="AP1034" s="300"/>
    </row>
    <row r="1035">
      <c r="A1035" s="13"/>
      <c r="B1035" s="13"/>
      <c r="C1035" s="13"/>
      <c r="D1035" s="13"/>
      <c r="E1035" s="13"/>
      <c r="F1035" s="13"/>
      <c r="G1035" s="13"/>
      <c r="H1035" s="13"/>
      <c r="I1035" s="13"/>
      <c r="J1035" s="13"/>
      <c r="K1035" s="13"/>
      <c r="L1035" s="13"/>
      <c r="M1035" s="13"/>
      <c r="N1035" s="13"/>
      <c r="O1035" s="13"/>
      <c r="P1035" s="13"/>
      <c r="Q1035" s="13"/>
      <c r="R1035" s="300"/>
      <c r="S1035" s="13"/>
      <c r="T1035" s="13"/>
      <c r="U1035" s="300"/>
      <c r="V1035" s="13"/>
      <c r="W1035" s="13"/>
      <c r="X1035" s="300"/>
      <c r="Y1035" s="13"/>
      <c r="Z1035" s="13"/>
      <c r="AA1035" s="300"/>
      <c r="AB1035" s="13"/>
      <c r="AC1035" s="13"/>
      <c r="AD1035" s="300"/>
      <c r="AE1035" s="13"/>
      <c r="AF1035" s="13"/>
      <c r="AG1035" s="300"/>
      <c r="AH1035" s="13"/>
      <c r="AI1035" s="13"/>
      <c r="AJ1035" s="300"/>
      <c r="AK1035" s="13"/>
      <c r="AL1035" s="301"/>
      <c r="AM1035" s="300"/>
      <c r="AN1035" s="13"/>
      <c r="AO1035" s="301"/>
      <c r="AP1035" s="300"/>
    </row>
    <row r="1036">
      <c r="A1036" s="13"/>
      <c r="B1036" s="13"/>
      <c r="C1036" s="13"/>
      <c r="D1036" s="13"/>
      <c r="E1036" s="13"/>
      <c r="F1036" s="13"/>
      <c r="G1036" s="13"/>
      <c r="H1036" s="13"/>
      <c r="I1036" s="13"/>
      <c r="J1036" s="13"/>
      <c r="K1036" s="13"/>
      <c r="L1036" s="13"/>
      <c r="M1036" s="13"/>
      <c r="N1036" s="13"/>
      <c r="O1036" s="13"/>
      <c r="P1036" s="13"/>
      <c r="Q1036" s="13"/>
      <c r="R1036" s="300"/>
      <c r="S1036" s="13"/>
      <c r="T1036" s="13"/>
      <c r="U1036" s="300"/>
      <c r="V1036" s="13"/>
      <c r="W1036" s="13"/>
      <c r="X1036" s="300"/>
      <c r="Y1036" s="13"/>
      <c r="Z1036" s="13"/>
      <c r="AA1036" s="300"/>
      <c r="AB1036" s="13"/>
      <c r="AC1036" s="13"/>
      <c r="AD1036" s="300"/>
      <c r="AE1036" s="13"/>
      <c r="AF1036" s="13"/>
      <c r="AG1036" s="300"/>
      <c r="AH1036" s="13"/>
      <c r="AI1036" s="13"/>
      <c r="AJ1036" s="300"/>
      <c r="AK1036" s="13"/>
      <c r="AL1036" s="301"/>
      <c r="AM1036" s="300"/>
      <c r="AN1036" s="13"/>
      <c r="AO1036" s="301"/>
      <c r="AP1036" s="300"/>
    </row>
    <row r="1037">
      <c r="A1037" s="13"/>
      <c r="B1037" s="13"/>
      <c r="C1037" s="13"/>
      <c r="D1037" s="13"/>
      <c r="E1037" s="13"/>
      <c r="F1037" s="13"/>
      <c r="G1037" s="13"/>
      <c r="H1037" s="13"/>
      <c r="I1037" s="13"/>
      <c r="J1037" s="13"/>
      <c r="K1037" s="13"/>
      <c r="L1037" s="13"/>
      <c r="M1037" s="13"/>
      <c r="N1037" s="13"/>
      <c r="O1037" s="13"/>
      <c r="P1037" s="13"/>
      <c r="Q1037" s="13"/>
      <c r="R1037" s="300"/>
      <c r="S1037" s="13"/>
      <c r="T1037" s="13"/>
      <c r="U1037" s="300"/>
      <c r="V1037" s="13"/>
      <c r="W1037" s="13"/>
      <c r="X1037" s="300"/>
      <c r="Y1037" s="13"/>
      <c r="Z1037" s="13"/>
      <c r="AA1037" s="300"/>
      <c r="AB1037" s="13"/>
      <c r="AC1037" s="13"/>
      <c r="AD1037" s="300"/>
      <c r="AE1037" s="13"/>
      <c r="AF1037" s="13"/>
      <c r="AG1037" s="300"/>
      <c r="AH1037" s="13"/>
      <c r="AI1037" s="13"/>
      <c r="AJ1037" s="300"/>
      <c r="AK1037" s="13"/>
      <c r="AL1037" s="301"/>
      <c r="AM1037" s="300"/>
      <c r="AN1037" s="13"/>
      <c r="AO1037" s="301"/>
      <c r="AP1037" s="300"/>
    </row>
    <row r="1038">
      <c r="A1038" s="13"/>
      <c r="B1038" s="13"/>
      <c r="C1038" s="13"/>
      <c r="D1038" s="13"/>
      <c r="E1038" s="13"/>
      <c r="F1038" s="13"/>
      <c r="G1038" s="13"/>
      <c r="H1038" s="13"/>
      <c r="I1038" s="13"/>
      <c r="J1038" s="13"/>
      <c r="K1038" s="13"/>
      <c r="L1038" s="13"/>
      <c r="M1038" s="13"/>
      <c r="N1038" s="13"/>
      <c r="O1038" s="13"/>
      <c r="P1038" s="13"/>
      <c r="Q1038" s="13"/>
      <c r="R1038" s="300"/>
      <c r="S1038" s="13"/>
      <c r="T1038" s="13"/>
      <c r="U1038" s="300"/>
      <c r="V1038" s="13"/>
      <c r="W1038" s="13"/>
      <c r="X1038" s="300"/>
      <c r="Y1038" s="13"/>
      <c r="Z1038" s="13"/>
      <c r="AA1038" s="300"/>
      <c r="AB1038" s="13"/>
      <c r="AC1038" s="13"/>
      <c r="AD1038" s="300"/>
      <c r="AE1038" s="13"/>
      <c r="AF1038" s="13"/>
      <c r="AG1038" s="300"/>
      <c r="AH1038" s="13"/>
      <c r="AI1038" s="13"/>
      <c r="AJ1038" s="300"/>
      <c r="AK1038" s="13"/>
      <c r="AL1038" s="301"/>
      <c r="AM1038" s="300"/>
      <c r="AN1038" s="13"/>
      <c r="AO1038" s="301"/>
      <c r="AP1038" s="300"/>
    </row>
    <row r="1039">
      <c r="A1039" s="13"/>
      <c r="B1039" s="13"/>
      <c r="C1039" s="13"/>
      <c r="D1039" s="13"/>
      <c r="E1039" s="13"/>
      <c r="F1039" s="13"/>
      <c r="G1039" s="13"/>
      <c r="H1039" s="13"/>
      <c r="I1039" s="13"/>
      <c r="J1039" s="13"/>
      <c r="K1039" s="13"/>
      <c r="L1039" s="13"/>
      <c r="M1039" s="13"/>
      <c r="N1039" s="13"/>
      <c r="O1039" s="13"/>
      <c r="P1039" s="13"/>
      <c r="Q1039" s="13"/>
      <c r="R1039" s="300"/>
      <c r="S1039" s="13"/>
      <c r="T1039" s="13"/>
      <c r="U1039" s="300"/>
      <c r="V1039" s="13"/>
      <c r="W1039" s="13"/>
      <c r="X1039" s="300"/>
      <c r="Y1039" s="13"/>
      <c r="Z1039" s="13"/>
      <c r="AA1039" s="300"/>
      <c r="AB1039" s="13"/>
      <c r="AC1039" s="13"/>
      <c r="AD1039" s="300"/>
      <c r="AE1039" s="13"/>
      <c r="AF1039" s="13"/>
      <c r="AG1039" s="300"/>
      <c r="AH1039" s="13"/>
      <c r="AI1039" s="13"/>
      <c r="AJ1039" s="300"/>
      <c r="AK1039" s="13"/>
      <c r="AL1039" s="301"/>
      <c r="AM1039" s="300"/>
      <c r="AN1039" s="13"/>
      <c r="AO1039" s="301"/>
      <c r="AP1039" s="300"/>
    </row>
    <row r="1040">
      <c r="A1040" s="13"/>
      <c r="B1040" s="13"/>
      <c r="C1040" s="13"/>
      <c r="D1040" s="13"/>
      <c r="E1040" s="13"/>
      <c r="F1040" s="13"/>
      <c r="G1040" s="13"/>
      <c r="H1040" s="13"/>
      <c r="I1040" s="13"/>
      <c r="J1040" s="13"/>
      <c r="K1040" s="13"/>
      <c r="L1040" s="13"/>
      <c r="M1040" s="13"/>
      <c r="N1040" s="13"/>
      <c r="O1040" s="13"/>
      <c r="P1040" s="13"/>
      <c r="Q1040" s="13"/>
      <c r="R1040" s="300"/>
      <c r="S1040" s="13"/>
      <c r="T1040" s="13"/>
      <c r="U1040" s="300"/>
      <c r="V1040" s="13"/>
      <c r="W1040" s="13"/>
      <c r="X1040" s="300"/>
      <c r="Y1040" s="13"/>
      <c r="Z1040" s="13"/>
      <c r="AA1040" s="300"/>
      <c r="AB1040" s="13"/>
      <c r="AC1040" s="13"/>
      <c r="AD1040" s="300"/>
      <c r="AE1040" s="13"/>
      <c r="AF1040" s="13"/>
      <c r="AG1040" s="300"/>
      <c r="AH1040" s="13"/>
      <c r="AI1040" s="13"/>
      <c r="AJ1040" s="300"/>
      <c r="AK1040" s="13"/>
      <c r="AL1040" s="301"/>
      <c r="AM1040" s="300"/>
      <c r="AN1040" s="13"/>
      <c r="AO1040" s="301"/>
      <c r="AP1040" s="300"/>
    </row>
    <row r="1041">
      <c r="A1041" s="13"/>
      <c r="B1041" s="13"/>
      <c r="C1041" s="13"/>
      <c r="D1041" s="13"/>
      <c r="E1041" s="13"/>
      <c r="F1041" s="13"/>
      <c r="G1041" s="13"/>
      <c r="H1041" s="13"/>
      <c r="I1041" s="13"/>
      <c r="J1041" s="13"/>
      <c r="K1041" s="13"/>
      <c r="L1041" s="13"/>
      <c r="M1041" s="13"/>
      <c r="N1041" s="13"/>
      <c r="O1041" s="13"/>
      <c r="P1041" s="13"/>
      <c r="Q1041" s="13"/>
      <c r="R1041" s="300"/>
      <c r="S1041" s="13"/>
      <c r="T1041" s="13"/>
      <c r="U1041" s="300"/>
      <c r="V1041" s="13"/>
      <c r="W1041" s="13"/>
      <c r="X1041" s="300"/>
      <c r="Y1041" s="13"/>
      <c r="Z1041" s="13"/>
      <c r="AA1041" s="300"/>
      <c r="AB1041" s="13"/>
      <c r="AC1041" s="13"/>
      <c r="AD1041" s="300"/>
      <c r="AE1041" s="13"/>
      <c r="AF1041" s="13"/>
      <c r="AG1041" s="300"/>
      <c r="AH1041" s="13"/>
      <c r="AI1041" s="13"/>
      <c r="AJ1041" s="300"/>
      <c r="AK1041" s="13"/>
      <c r="AL1041" s="301"/>
      <c r="AM1041" s="300"/>
      <c r="AN1041" s="13"/>
      <c r="AO1041" s="301"/>
      <c r="AP1041" s="300"/>
    </row>
    <row r="1042">
      <c r="A1042" s="13"/>
      <c r="B1042" s="13"/>
      <c r="C1042" s="13"/>
      <c r="D1042" s="13"/>
      <c r="E1042" s="13"/>
      <c r="F1042" s="13"/>
      <c r="G1042" s="13"/>
      <c r="H1042" s="13"/>
      <c r="I1042" s="13"/>
      <c r="J1042" s="13"/>
      <c r="K1042" s="13"/>
      <c r="L1042" s="13"/>
      <c r="M1042" s="13"/>
      <c r="N1042" s="13"/>
      <c r="O1042" s="13"/>
      <c r="P1042" s="13"/>
      <c r="Q1042" s="13"/>
      <c r="R1042" s="300"/>
      <c r="S1042" s="13"/>
      <c r="T1042" s="13"/>
      <c r="U1042" s="300"/>
      <c r="V1042" s="13"/>
      <c r="W1042" s="13"/>
      <c r="X1042" s="300"/>
      <c r="Y1042" s="13"/>
      <c r="Z1042" s="13"/>
      <c r="AA1042" s="300"/>
      <c r="AB1042" s="13"/>
      <c r="AC1042" s="13"/>
      <c r="AD1042" s="300"/>
      <c r="AE1042" s="13"/>
      <c r="AF1042" s="13"/>
      <c r="AG1042" s="300"/>
      <c r="AH1042" s="13"/>
      <c r="AI1042" s="13"/>
      <c r="AJ1042" s="300"/>
      <c r="AK1042" s="13"/>
      <c r="AL1042" s="301"/>
      <c r="AM1042" s="300"/>
      <c r="AN1042" s="13"/>
      <c r="AO1042" s="301"/>
      <c r="AP1042" s="300"/>
    </row>
    <row r="1043">
      <c r="A1043" s="13"/>
      <c r="B1043" s="13"/>
      <c r="C1043" s="13"/>
      <c r="D1043" s="13"/>
      <c r="E1043" s="13"/>
      <c r="F1043" s="13"/>
      <c r="G1043" s="13"/>
      <c r="H1043" s="13"/>
      <c r="I1043" s="13"/>
      <c r="J1043" s="13"/>
      <c r="K1043" s="13"/>
      <c r="L1043" s="13"/>
      <c r="M1043" s="13"/>
      <c r="N1043" s="13"/>
      <c r="O1043" s="13"/>
      <c r="P1043" s="13"/>
      <c r="Q1043" s="13"/>
      <c r="R1043" s="300"/>
      <c r="S1043" s="13"/>
      <c r="T1043" s="13"/>
      <c r="U1043" s="300"/>
      <c r="V1043" s="13"/>
      <c r="W1043" s="13"/>
      <c r="X1043" s="300"/>
      <c r="Y1043" s="13"/>
      <c r="Z1043" s="13"/>
      <c r="AA1043" s="300"/>
      <c r="AB1043" s="13"/>
      <c r="AC1043" s="13"/>
      <c r="AD1043" s="300"/>
      <c r="AE1043" s="13"/>
      <c r="AF1043" s="13"/>
      <c r="AG1043" s="300"/>
      <c r="AH1043" s="13"/>
      <c r="AI1043" s="13"/>
      <c r="AJ1043" s="300"/>
      <c r="AK1043" s="13"/>
      <c r="AL1043" s="301"/>
      <c r="AM1043" s="300"/>
      <c r="AN1043" s="13"/>
      <c r="AO1043" s="301"/>
      <c r="AP1043" s="300"/>
    </row>
    <row r="1044">
      <c r="A1044" s="13"/>
      <c r="B1044" s="13"/>
      <c r="C1044" s="13"/>
      <c r="D1044" s="13"/>
      <c r="E1044" s="13"/>
      <c r="F1044" s="13"/>
      <c r="G1044" s="13"/>
      <c r="H1044" s="13"/>
      <c r="I1044" s="13"/>
      <c r="J1044" s="13"/>
      <c r="K1044" s="13"/>
      <c r="L1044" s="13"/>
      <c r="M1044" s="13"/>
      <c r="N1044" s="13"/>
      <c r="O1044" s="13"/>
      <c r="P1044" s="13"/>
      <c r="Q1044" s="13"/>
      <c r="R1044" s="300"/>
      <c r="S1044" s="13"/>
      <c r="T1044" s="13"/>
      <c r="U1044" s="300"/>
      <c r="V1044" s="13"/>
      <c r="W1044" s="13"/>
      <c r="X1044" s="300"/>
      <c r="Y1044" s="13"/>
      <c r="Z1044" s="13"/>
      <c r="AA1044" s="300"/>
      <c r="AB1044" s="13"/>
      <c r="AC1044" s="13"/>
      <c r="AD1044" s="300"/>
      <c r="AE1044" s="13"/>
      <c r="AF1044" s="13"/>
      <c r="AG1044" s="300"/>
      <c r="AH1044" s="13"/>
      <c r="AI1044" s="13"/>
      <c r="AJ1044" s="300"/>
      <c r="AK1044" s="13"/>
      <c r="AL1044" s="301"/>
      <c r="AM1044" s="300"/>
      <c r="AN1044" s="13"/>
      <c r="AO1044" s="301"/>
      <c r="AP1044" s="300"/>
    </row>
  </sheetData>
  <conditionalFormatting sqref="D1:D1044">
    <cfRule type="cellIs" dxfId="0" priority="1" operator="equal">
      <formula>1</formula>
    </cfRule>
  </conditionalFormatting>
  <conditionalFormatting sqref="D1:D1044">
    <cfRule type="cellIs" dxfId="1" priority="2" operator="equal">
      <formula>0</formula>
    </cfRule>
  </conditionalFormatting>
  <conditionalFormatting sqref="D1:D1044">
    <cfRule type="cellIs" dxfId="2" priority="3" operator="equal">
      <formula>2</formula>
    </cfRule>
  </conditionalFormatting>
  <conditionalFormatting sqref="D1:D1044">
    <cfRule type="cellIs" dxfId="3" priority="4" operator="equal">
      <formula>0.001</formula>
    </cfRule>
  </conditionalFormatting>
  <hyperlinks>
    <hyperlink r:id="rId1" ref="H2"/>
    <hyperlink r:id="rId2" ref="W2"/>
    <hyperlink r:id="rId3" ref="AC2"/>
    <hyperlink r:id="rId4" ref="AI2"/>
    <hyperlink r:id="rId5" ref="H3"/>
    <hyperlink r:id="rId6" ref="W3"/>
    <hyperlink r:id="rId7" ref="Z3"/>
    <hyperlink r:id="rId8" ref="AC3"/>
    <hyperlink r:id="rId9" ref="AI3"/>
    <hyperlink r:id="rId10" ref="H4"/>
    <hyperlink r:id="rId11" ref="W4"/>
    <hyperlink r:id="rId12" ref="Z4"/>
    <hyperlink r:id="rId13" ref="AC4"/>
    <hyperlink r:id="rId14" ref="H5"/>
    <hyperlink r:id="rId15" ref="AI6"/>
    <hyperlink r:id="rId16" ref="H9"/>
    <hyperlink r:id="rId17" ref="W9"/>
    <hyperlink r:id="rId18" ref="Z9"/>
    <hyperlink r:id="rId19" ref="AC9"/>
    <hyperlink r:id="rId20" ref="H10"/>
    <hyperlink r:id="rId21" ref="W10"/>
    <hyperlink r:id="rId22" ref="Z10"/>
    <hyperlink r:id="rId23" ref="AC10"/>
    <hyperlink r:id="rId24" ref="AF10"/>
    <hyperlink r:id="rId25" ref="H11"/>
    <hyperlink r:id="rId26" ref="W11"/>
    <hyperlink r:id="rId27" ref="Z11"/>
    <hyperlink r:id="rId28" ref="AC11"/>
    <hyperlink r:id="rId29" ref="H12"/>
    <hyperlink r:id="rId30" ref="H13"/>
    <hyperlink r:id="rId31" ref="W13"/>
    <hyperlink r:id="rId32" ref="Z13"/>
    <hyperlink r:id="rId33" ref="AC13"/>
    <hyperlink r:id="rId34" ref="H14"/>
    <hyperlink r:id="rId35" ref="W14"/>
    <hyperlink r:id="rId36" ref="Z14"/>
    <hyperlink r:id="rId37" ref="AC14"/>
    <hyperlink r:id="rId38" ref="H15"/>
    <hyperlink r:id="rId39" ref="W15"/>
    <hyperlink r:id="rId40" ref="Z15"/>
    <hyperlink r:id="rId41" ref="AC15"/>
    <hyperlink r:id="rId42" ref="AI15"/>
    <hyperlink r:id="rId43" ref="H16"/>
    <hyperlink r:id="rId44" ref="H17"/>
    <hyperlink r:id="rId45" ref="W17"/>
    <hyperlink r:id="rId46" ref="Z17"/>
    <hyperlink r:id="rId47" ref="AC17"/>
    <hyperlink r:id="rId48" ref="H18"/>
    <hyperlink r:id="rId49" ref="W18"/>
    <hyperlink r:id="rId50" ref="Z18"/>
    <hyperlink r:id="rId51" ref="AC18"/>
    <hyperlink r:id="rId52" ref="H19"/>
    <hyperlink r:id="rId53" ref="W19"/>
    <hyperlink r:id="rId54" ref="Z19"/>
    <hyperlink r:id="rId55" ref="AC19"/>
    <hyperlink r:id="rId56" ref="H20"/>
    <hyperlink r:id="rId57" ref="T20"/>
    <hyperlink r:id="rId58" ref="W20"/>
    <hyperlink r:id="rId59" ref="Z20"/>
    <hyperlink r:id="rId60" ref="AC20"/>
    <hyperlink r:id="rId61" ref="AI20"/>
    <hyperlink r:id="rId62" ref="H23"/>
    <hyperlink r:id="rId63" ref="T23"/>
    <hyperlink r:id="rId64" ref="W23"/>
    <hyperlink r:id="rId65" ref="Z23"/>
    <hyperlink r:id="rId66" ref="AC23"/>
    <hyperlink r:id="rId67" ref="H24"/>
    <hyperlink r:id="rId68" ref="T24"/>
    <hyperlink r:id="rId69" ref="W24"/>
    <hyperlink r:id="rId70" ref="Z24"/>
    <hyperlink r:id="rId71" ref="AC24"/>
    <hyperlink r:id="rId72" ref="W26"/>
    <hyperlink r:id="rId73" ref="AC26"/>
    <hyperlink r:id="rId74" ref="H27"/>
    <hyperlink r:id="rId75" location="page=133" ref="H29"/>
    <hyperlink r:id="rId76" ref="W29"/>
    <hyperlink r:id="rId77" ref="Z29"/>
    <hyperlink r:id="rId78" ref="AC29"/>
    <hyperlink r:id="rId79" ref="H30"/>
    <hyperlink r:id="rId80" ref="W30"/>
    <hyperlink r:id="rId81" ref="Z30"/>
    <hyperlink r:id="rId82" ref="AC30"/>
    <hyperlink r:id="rId83" ref="H31"/>
    <hyperlink r:id="rId84" ref="T31"/>
    <hyperlink r:id="rId85" ref="W31"/>
    <hyperlink r:id="rId86" ref="Z31"/>
    <hyperlink r:id="rId87" ref="AC31"/>
    <hyperlink r:id="rId88" ref="H32"/>
    <hyperlink r:id="rId89" ref="W32"/>
    <hyperlink r:id="rId90" ref="Z32"/>
    <hyperlink r:id="rId91" ref="AC32"/>
    <hyperlink r:id="rId92" ref="H34"/>
    <hyperlink r:id="rId93" ref="H35"/>
    <hyperlink r:id="rId94" ref="M35"/>
    <hyperlink r:id="rId95" ref="AC35"/>
    <hyperlink r:id="rId96" ref="H36"/>
    <hyperlink r:id="rId97" ref="W36"/>
    <hyperlink r:id="rId98" ref="Z36"/>
    <hyperlink r:id="rId99" ref="AC36"/>
    <hyperlink r:id="rId100" ref="H37"/>
    <hyperlink r:id="rId101" ref="M37"/>
    <hyperlink r:id="rId102" ref="T37"/>
    <hyperlink r:id="rId103" ref="W37"/>
    <hyperlink r:id="rId104" ref="Z37"/>
    <hyperlink r:id="rId105" ref="AC37"/>
    <hyperlink r:id="rId106" ref="AF37"/>
    <hyperlink r:id="rId107" ref="H38"/>
    <hyperlink r:id="rId108" ref="M38"/>
    <hyperlink r:id="rId109" ref="W38"/>
    <hyperlink r:id="rId110" ref="Z38"/>
    <hyperlink r:id="rId111" ref="AC38"/>
    <hyperlink r:id="rId112" ref="AF38"/>
    <hyperlink r:id="rId113" ref="H39"/>
    <hyperlink r:id="rId114" ref="M39"/>
    <hyperlink r:id="rId115" ref="W39"/>
    <hyperlink r:id="rId116" ref="Z39"/>
    <hyperlink r:id="rId117" ref="AC39"/>
    <hyperlink r:id="rId118" ref="AF39"/>
    <hyperlink r:id="rId119" ref="H40"/>
    <hyperlink r:id="rId120" ref="M40"/>
    <hyperlink r:id="rId121" ref="W40"/>
    <hyperlink r:id="rId122" ref="Z40"/>
    <hyperlink r:id="rId123" ref="AC40"/>
    <hyperlink r:id="rId124" ref="H41"/>
    <hyperlink r:id="rId125" ref="M41"/>
    <hyperlink r:id="rId126" ref="W41"/>
    <hyperlink r:id="rId127" ref="Z41"/>
    <hyperlink r:id="rId128" ref="AC41"/>
    <hyperlink r:id="rId129" ref="H42"/>
    <hyperlink r:id="rId130" ref="M42"/>
    <hyperlink r:id="rId131" ref="W42"/>
    <hyperlink r:id="rId132" ref="Z42"/>
    <hyperlink r:id="rId133" ref="AC42"/>
    <hyperlink r:id="rId134" ref="AF42"/>
    <hyperlink r:id="rId135" ref="H43"/>
    <hyperlink r:id="rId136" ref="M43"/>
    <hyperlink r:id="rId137" ref="T43"/>
    <hyperlink r:id="rId138" ref="W43"/>
    <hyperlink r:id="rId139" ref="Z43"/>
    <hyperlink r:id="rId140" ref="AC43"/>
    <hyperlink r:id="rId141" ref="AF43"/>
    <hyperlink r:id="rId142" ref="H44"/>
    <hyperlink r:id="rId143" ref="M44"/>
    <hyperlink r:id="rId144" ref="W44"/>
    <hyperlink r:id="rId145" ref="Z44"/>
    <hyperlink r:id="rId146" ref="AC44"/>
    <hyperlink r:id="rId147" ref="AF44"/>
    <hyperlink r:id="rId148" ref="AL44"/>
    <hyperlink r:id="rId149" ref="H45"/>
    <hyperlink r:id="rId150" ref="M45"/>
    <hyperlink r:id="rId151" ref="W45"/>
    <hyperlink r:id="rId152" ref="Z45"/>
    <hyperlink r:id="rId153" ref="AC45"/>
    <hyperlink r:id="rId154" ref="AF45"/>
    <hyperlink r:id="rId155" ref="AL45"/>
    <hyperlink r:id="rId156" location="Naive_implementations" ref="T46"/>
    <hyperlink r:id="rId157" location="Naive_implementations" ref="W46"/>
    <hyperlink r:id="rId158" location="Naive_implementations" ref="Z46"/>
    <hyperlink r:id="rId159" location="Naive_implementations" ref="Z47"/>
    <hyperlink r:id="rId160" ref="H48"/>
    <hyperlink r:id="rId161" ref="T48"/>
    <hyperlink r:id="rId162" ref="W48"/>
    <hyperlink r:id="rId163" ref="Z48"/>
    <hyperlink r:id="rId164" ref="AI48"/>
    <hyperlink r:id="rId165" ref="AO48"/>
    <hyperlink r:id="rId166" ref="H49"/>
    <hyperlink r:id="rId167" ref="W49"/>
    <hyperlink r:id="rId168" ref="Z49"/>
    <hyperlink r:id="rId169" ref="AO49"/>
    <hyperlink r:id="rId170" ref="H50"/>
    <hyperlink r:id="rId171" ref="W50"/>
    <hyperlink r:id="rId172" ref="Z50"/>
    <hyperlink r:id="rId173" ref="AI50"/>
    <hyperlink r:id="rId174" ref="H51"/>
    <hyperlink r:id="rId175" ref="W51"/>
    <hyperlink r:id="rId176" ref="Z51"/>
    <hyperlink r:id="rId177" ref="AI51"/>
    <hyperlink r:id="rId178" ref="H52"/>
    <hyperlink r:id="rId179" ref="M52"/>
    <hyperlink r:id="rId180" ref="W52"/>
    <hyperlink r:id="rId181" ref="AI52"/>
    <hyperlink r:id="rId182" ref="AO52"/>
    <hyperlink r:id="rId183" ref="H53"/>
    <hyperlink r:id="rId184" ref="W53"/>
    <hyperlink r:id="rId185" ref="Z53"/>
    <hyperlink r:id="rId186" ref="AI53"/>
    <hyperlink r:id="rId187" ref="AL53"/>
    <hyperlink r:id="rId188" ref="AO53"/>
    <hyperlink r:id="rId189" ref="H54"/>
    <hyperlink r:id="rId190" ref="M54"/>
    <hyperlink r:id="rId191" ref="W54"/>
    <hyperlink r:id="rId192" ref="Z54"/>
    <hyperlink r:id="rId193" ref="AI54"/>
    <hyperlink r:id="rId194" ref="AL54"/>
    <hyperlink r:id="rId195" ref="AO54"/>
    <hyperlink r:id="rId196" ref="H55"/>
    <hyperlink r:id="rId197" ref="M55"/>
    <hyperlink r:id="rId198" ref="W55"/>
    <hyperlink r:id="rId199" ref="Z55"/>
    <hyperlink r:id="rId200" ref="AI55"/>
    <hyperlink r:id="rId201" ref="AL55"/>
    <hyperlink r:id="rId202" ref="AO55"/>
    <hyperlink r:id="rId203" ref="H56"/>
    <hyperlink r:id="rId204" ref="W56"/>
    <hyperlink r:id="rId205" ref="Z56"/>
    <hyperlink r:id="rId206" ref="AI56"/>
    <hyperlink r:id="rId207" ref="AL56"/>
    <hyperlink r:id="rId208" ref="AO56"/>
    <hyperlink r:id="rId209" ref="H57"/>
    <hyperlink r:id="rId210" ref="T57"/>
    <hyperlink r:id="rId211" ref="W57"/>
    <hyperlink r:id="rId212" ref="Z57"/>
    <hyperlink r:id="rId213" ref="AI57"/>
    <hyperlink r:id="rId214" ref="AL57"/>
    <hyperlink r:id="rId215" ref="AO57"/>
    <hyperlink r:id="rId216" ref="H58"/>
    <hyperlink r:id="rId217" ref="M58"/>
    <hyperlink r:id="rId218" ref="W58"/>
    <hyperlink r:id="rId219" ref="Z58"/>
    <hyperlink r:id="rId220" ref="AI58"/>
    <hyperlink r:id="rId221" ref="AL58"/>
    <hyperlink r:id="rId222" ref="AO58"/>
    <hyperlink r:id="rId223" ref="H59"/>
    <hyperlink r:id="rId224" ref="W59"/>
    <hyperlink r:id="rId225" ref="Z59"/>
    <hyperlink r:id="rId226" ref="AI59"/>
    <hyperlink r:id="rId227" ref="AL59"/>
    <hyperlink r:id="rId228" ref="H60"/>
    <hyperlink r:id="rId229" ref="W60"/>
    <hyperlink r:id="rId230" ref="Z60"/>
    <hyperlink r:id="rId231" ref="AI60"/>
    <hyperlink r:id="rId232" ref="AL60"/>
    <hyperlink r:id="rId233" ref="AO60"/>
    <hyperlink r:id="rId234" ref="H61"/>
    <hyperlink r:id="rId235" ref="W61"/>
    <hyperlink r:id="rId236" ref="Z61"/>
    <hyperlink r:id="rId237" ref="AI61"/>
    <hyperlink r:id="rId238" ref="AL61"/>
    <hyperlink r:id="rId239" ref="AO61"/>
    <hyperlink r:id="rId240" ref="H62"/>
    <hyperlink r:id="rId241" ref="W62"/>
    <hyperlink r:id="rId242" ref="Z62"/>
    <hyperlink r:id="rId243" ref="AI62"/>
    <hyperlink r:id="rId244" ref="AL62"/>
    <hyperlink r:id="rId245" ref="AO62"/>
    <hyperlink r:id="rId246" ref="H63"/>
    <hyperlink r:id="rId247" ref="W63"/>
    <hyperlink r:id="rId248" ref="Z63"/>
    <hyperlink r:id="rId249" ref="AI63"/>
    <hyperlink r:id="rId250" ref="AL63"/>
    <hyperlink r:id="rId251" ref="AO63"/>
    <hyperlink r:id="rId252" ref="H64"/>
    <hyperlink r:id="rId253" ref="W64"/>
    <hyperlink r:id="rId254" ref="Z64"/>
    <hyperlink r:id="rId255" ref="AI64"/>
    <hyperlink r:id="rId256" ref="AL64"/>
    <hyperlink r:id="rId257" ref="AO64"/>
    <hyperlink r:id="rId258" ref="H65"/>
    <hyperlink r:id="rId259" ref="W65"/>
    <hyperlink r:id="rId260" ref="Z65"/>
    <hyperlink r:id="rId261" ref="AI65"/>
    <hyperlink r:id="rId262" ref="AL65"/>
    <hyperlink r:id="rId263" ref="AO65"/>
    <hyperlink r:id="rId264" ref="H66"/>
    <hyperlink r:id="rId265" ref="W66"/>
    <hyperlink r:id="rId266" ref="Z66"/>
    <hyperlink r:id="rId267" ref="AI66"/>
    <hyperlink r:id="rId268" ref="AL66"/>
    <hyperlink r:id="rId269" ref="AO66"/>
    <hyperlink r:id="rId270" ref="H67"/>
    <hyperlink r:id="rId271" ref="T67"/>
    <hyperlink r:id="rId272" ref="W67"/>
    <hyperlink r:id="rId273" ref="Z67"/>
    <hyperlink r:id="rId274" ref="AI67"/>
    <hyperlink r:id="rId275" ref="AL67"/>
    <hyperlink r:id="rId276" ref="AO67"/>
    <hyperlink r:id="rId277" ref="H68"/>
    <hyperlink r:id="rId278" ref="W68"/>
    <hyperlink r:id="rId279" ref="Z68"/>
    <hyperlink r:id="rId280" ref="AI68"/>
    <hyperlink r:id="rId281" ref="AL68"/>
    <hyperlink r:id="rId282" ref="H69"/>
    <hyperlink r:id="rId283" ref="W69"/>
    <hyperlink r:id="rId284" ref="Z69"/>
    <hyperlink r:id="rId285" ref="AI69"/>
    <hyperlink r:id="rId286" ref="AL69"/>
    <hyperlink r:id="rId287" ref="H70"/>
    <hyperlink r:id="rId288" ref="M70"/>
    <hyperlink r:id="rId289" ref="T70"/>
    <hyperlink r:id="rId290" ref="W70"/>
    <hyperlink r:id="rId291" ref="Z70"/>
    <hyperlink r:id="rId292" ref="AI70"/>
    <hyperlink r:id="rId293" ref="AL70"/>
    <hyperlink r:id="rId294" ref="AO70"/>
    <hyperlink r:id="rId295" ref="H71"/>
    <hyperlink r:id="rId296" ref="T71"/>
    <hyperlink r:id="rId297" ref="W71"/>
    <hyperlink r:id="rId298" ref="Z71"/>
    <hyperlink r:id="rId299" ref="AI71"/>
    <hyperlink r:id="rId300" ref="AL71"/>
    <hyperlink r:id="rId301" ref="H72"/>
    <hyperlink r:id="rId302" ref="W72"/>
    <hyperlink r:id="rId303" ref="Z72"/>
    <hyperlink r:id="rId304" ref="AI72"/>
    <hyperlink r:id="rId305" ref="AO72"/>
    <hyperlink r:id="rId306" ref="H73"/>
    <hyperlink r:id="rId307" ref="M73"/>
    <hyperlink r:id="rId308" ref="W73"/>
    <hyperlink r:id="rId309" ref="Z73"/>
    <hyperlink r:id="rId310" ref="AI73"/>
    <hyperlink r:id="rId311" ref="AO73"/>
    <hyperlink r:id="rId312" ref="H81"/>
    <hyperlink r:id="rId313" ref="H82"/>
    <hyperlink r:id="rId314" ref="H83"/>
    <hyperlink r:id="rId315" ref="H84"/>
    <hyperlink r:id="rId316" ref="H88"/>
    <hyperlink r:id="rId317" ref="H94"/>
    <hyperlink r:id="rId318" ref="H95"/>
    <hyperlink r:id="rId319" ref="H96"/>
    <hyperlink r:id="rId320" ref="H97"/>
    <hyperlink r:id="rId321" ref="H98"/>
  </hyperlinks>
  <drawing r:id="rId32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7.5"/>
    <col customWidth="1" min="2" max="2" width="16.25"/>
    <col customWidth="1" min="8" max="8" width="24.25"/>
  </cols>
  <sheetData>
    <row r="1">
      <c r="A1" s="310" t="s">
        <v>17</v>
      </c>
      <c r="B1" s="311" t="s">
        <v>7369</v>
      </c>
      <c r="C1" s="312" t="s">
        <v>7370</v>
      </c>
      <c r="D1" s="311" t="s">
        <v>1695</v>
      </c>
      <c r="E1" s="311" t="s">
        <v>1697</v>
      </c>
      <c r="F1" s="75" t="s">
        <v>1704</v>
      </c>
      <c r="G1" s="75" t="s">
        <v>1705</v>
      </c>
      <c r="H1" s="313" t="s">
        <v>1706</v>
      </c>
      <c r="I1" s="1" t="s">
        <v>7738</v>
      </c>
    </row>
    <row r="2">
      <c r="A2" s="72"/>
      <c r="B2" s="1" t="s">
        <v>7739</v>
      </c>
      <c r="H2" s="72"/>
    </row>
    <row r="3">
      <c r="A3" s="52" t="s">
        <v>23</v>
      </c>
      <c r="B3" s="9" t="s">
        <v>7740</v>
      </c>
      <c r="H3" s="72"/>
      <c r="I3" s="9" t="s">
        <v>7741</v>
      </c>
    </row>
    <row r="4">
      <c r="A4" s="52" t="s">
        <v>23</v>
      </c>
      <c r="B4" s="9" t="s">
        <v>7742</v>
      </c>
      <c r="H4" s="72"/>
      <c r="I4" s="9" t="s">
        <v>7741</v>
      </c>
    </row>
    <row r="5">
      <c r="A5" s="52" t="s">
        <v>23</v>
      </c>
      <c r="B5" s="153" t="s">
        <v>7743</v>
      </c>
      <c r="H5" s="72"/>
      <c r="I5" s="9" t="s">
        <v>7744</v>
      </c>
    </row>
    <row r="6">
      <c r="A6" s="52" t="s">
        <v>23</v>
      </c>
      <c r="B6" s="9" t="s">
        <v>7745</v>
      </c>
      <c r="H6" s="72"/>
      <c r="I6" s="9" t="s">
        <v>7746</v>
      </c>
    </row>
    <row r="7">
      <c r="A7" s="52" t="s">
        <v>23</v>
      </c>
      <c r="B7" s="9" t="s">
        <v>7747</v>
      </c>
      <c r="H7" s="72"/>
      <c r="I7" s="9" t="s">
        <v>7748</v>
      </c>
    </row>
    <row r="8">
      <c r="A8" s="52" t="s">
        <v>23</v>
      </c>
      <c r="B8" s="153" t="s">
        <v>7749</v>
      </c>
      <c r="H8" s="72"/>
      <c r="I8" s="9" t="s">
        <v>7744</v>
      </c>
    </row>
    <row r="9">
      <c r="A9" s="52" t="s">
        <v>23</v>
      </c>
      <c r="B9" s="9" t="s">
        <v>7750</v>
      </c>
      <c r="H9" s="72"/>
      <c r="I9" s="9" t="s">
        <v>7751</v>
      </c>
    </row>
    <row r="10">
      <c r="A10" s="52" t="s">
        <v>23</v>
      </c>
      <c r="B10" s="9" t="s">
        <v>7752</v>
      </c>
      <c r="C10" s="9" t="s">
        <v>7753</v>
      </c>
      <c r="H10" s="72"/>
      <c r="I10" s="9" t="s">
        <v>7751</v>
      </c>
    </row>
    <row r="11">
      <c r="A11" s="52" t="s">
        <v>23</v>
      </c>
      <c r="B11" s="9" t="s">
        <v>7754</v>
      </c>
      <c r="H11" s="72"/>
      <c r="I11" s="9" t="s">
        <v>7755</v>
      </c>
    </row>
    <row r="12">
      <c r="A12" s="52" t="s">
        <v>23</v>
      </c>
      <c r="B12" s="9" t="s">
        <v>7756</v>
      </c>
      <c r="H12" s="72"/>
      <c r="I12" s="9" t="s">
        <v>7757</v>
      </c>
    </row>
    <row r="13">
      <c r="A13" s="52" t="s">
        <v>23</v>
      </c>
      <c r="B13" s="9" t="s">
        <v>7758</v>
      </c>
      <c r="H13" s="72"/>
      <c r="I13" s="9" t="s">
        <v>7757</v>
      </c>
    </row>
    <row r="14">
      <c r="A14" s="52" t="s">
        <v>490</v>
      </c>
      <c r="B14" s="9" t="s">
        <v>7759</v>
      </c>
      <c r="H14" s="72"/>
      <c r="I14" s="9" t="s">
        <v>7757</v>
      </c>
    </row>
    <row r="15">
      <c r="A15" s="72"/>
      <c r="B15" s="1" t="s">
        <v>7760</v>
      </c>
      <c r="H15" s="72"/>
    </row>
    <row r="16">
      <c r="A16" s="52"/>
      <c r="C16" s="153" t="s">
        <v>7761</v>
      </c>
      <c r="H16" s="72"/>
      <c r="I16" s="9" t="s">
        <v>7762</v>
      </c>
    </row>
    <row r="17">
      <c r="A17" s="52"/>
      <c r="C17" s="9" t="s">
        <v>7763</v>
      </c>
      <c r="H17" s="72"/>
      <c r="I17" s="9" t="s">
        <v>7764</v>
      </c>
    </row>
    <row r="18">
      <c r="A18" s="52" t="s">
        <v>440</v>
      </c>
      <c r="B18" s="9" t="s">
        <v>7765</v>
      </c>
      <c r="H18" s="72"/>
      <c r="I18" s="9" t="s">
        <v>7766</v>
      </c>
    </row>
    <row r="19">
      <c r="A19" s="52"/>
      <c r="C19" s="9" t="s">
        <v>7767</v>
      </c>
      <c r="H19" s="72"/>
      <c r="I19" s="9" t="s">
        <v>7768</v>
      </c>
    </row>
    <row r="20">
      <c r="A20" s="52"/>
      <c r="C20" s="9" t="s">
        <v>7769</v>
      </c>
      <c r="H20" s="72"/>
      <c r="I20" s="9" t="s">
        <v>7770</v>
      </c>
    </row>
    <row r="21">
      <c r="A21" s="52"/>
      <c r="C21" s="9" t="s">
        <v>7771</v>
      </c>
      <c r="H21" s="72"/>
      <c r="I21" s="9" t="s">
        <v>7772</v>
      </c>
    </row>
    <row r="22">
      <c r="A22" s="52"/>
      <c r="C22" s="9" t="s">
        <v>7773</v>
      </c>
      <c r="H22" s="72"/>
      <c r="I22" s="9" t="s">
        <v>7770</v>
      </c>
    </row>
    <row r="23">
      <c r="A23" s="52"/>
      <c r="C23" s="9" t="s">
        <v>7774</v>
      </c>
      <c r="H23" s="72"/>
      <c r="I23" s="9" t="s">
        <v>7775</v>
      </c>
    </row>
    <row r="24">
      <c r="A24" s="52"/>
      <c r="C24" s="9" t="s">
        <v>7776</v>
      </c>
      <c r="H24" s="72"/>
      <c r="I24" s="9" t="s">
        <v>7777</v>
      </c>
    </row>
    <row r="25">
      <c r="A25" s="52"/>
      <c r="C25" s="9" t="s">
        <v>7778</v>
      </c>
      <c r="H25" s="72"/>
      <c r="I25" s="9" t="s">
        <v>7779</v>
      </c>
    </row>
    <row r="26">
      <c r="A26" s="72"/>
      <c r="B26" s="1" t="s">
        <v>7780</v>
      </c>
      <c r="H26" s="72"/>
    </row>
    <row r="27">
      <c r="A27" s="52" t="s">
        <v>7781</v>
      </c>
      <c r="C27" s="9" t="s">
        <v>7782</v>
      </c>
      <c r="H27" s="12" t="s">
        <v>7783</v>
      </c>
      <c r="I27" s="9" t="s">
        <v>7784</v>
      </c>
    </row>
    <row r="28">
      <c r="A28" s="52" t="s">
        <v>7785</v>
      </c>
      <c r="C28" s="9" t="s">
        <v>7786</v>
      </c>
      <c r="H28" s="72"/>
      <c r="I28" s="9" t="s">
        <v>7787</v>
      </c>
    </row>
    <row r="29">
      <c r="A29" s="52" t="s">
        <v>7785</v>
      </c>
      <c r="C29" s="9" t="s">
        <v>7788</v>
      </c>
      <c r="H29" s="72"/>
      <c r="I29" s="9" t="s">
        <v>7787</v>
      </c>
    </row>
    <row r="30">
      <c r="A30" s="52" t="s">
        <v>7789</v>
      </c>
      <c r="C30" s="9" t="s">
        <v>7790</v>
      </c>
      <c r="H30" s="33" t="s">
        <v>7791</v>
      </c>
      <c r="I30" s="9" t="s">
        <v>7792</v>
      </c>
    </row>
    <row r="31">
      <c r="A31" s="52" t="s">
        <v>7793</v>
      </c>
      <c r="C31" s="9" t="s">
        <v>7794</v>
      </c>
      <c r="H31" s="33" t="s">
        <v>7795</v>
      </c>
      <c r="I31" s="9" t="s">
        <v>7796</v>
      </c>
    </row>
    <row r="32">
      <c r="A32" s="52" t="s">
        <v>7793</v>
      </c>
      <c r="C32" s="9" t="s">
        <v>7797</v>
      </c>
      <c r="H32" s="33" t="s">
        <v>7795</v>
      </c>
      <c r="I32" s="9" t="s">
        <v>7796</v>
      </c>
    </row>
    <row r="33">
      <c r="A33" s="52" t="s">
        <v>585</v>
      </c>
      <c r="B33" s="9" t="s">
        <v>7798</v>
      </c>
      <c r="H33" s="72"/>
      <c r="I33" s="9" t="s">
        <v>7799</v>
      </c>
    </row>
    <row r="34">
      <c r="A34" s="52" t="s">
        <v>585</v>
      </c>
      <c r="B34" s="9" t="s">
        <v>7800</v>
      </c>
      <c r="H34" s="12" t="s">
        <v>7801</v>
      </c>
      <c r="I34" s="9" t="s">
        <v>7799</v>
      </c>
    </row>
    <row r="35">
      <c r="A35" s="52" t="s">
        <v>7802</v>
      </c>
      <c r="C35" s="9" t="s">
        <v>7803</v>
      </c>
      <c r="H35" s="12" t="s">
        <v>7804</v>
      </c>
      <c r="I35" s="9" t="s">
        <v>7796</v>
      </c>
    </row>
    <row r="36">
      <c r="A36" s="52" t="s">
        <v>7802</v>
      </c>
      <c r="C36" s="9" t="s">
        <v>7805</v>
      </c>
      <c r="H36" s="12" t="s">
        <v>7806</v>
      </c>
      <c r="I36" s="9" t="s">
        <v>7796</v>
      </c>
    </row>
    <row r="37">
      <c r="A37" s="52" t="s">
        <v>7802</v>
      </c>
      <c r="B37" s="9" t="s">
        <v>7807</v>
      </c>
      <c r="H37" s="33" t="s">
        <v>7808</v>
      </c>
      <c r="I37" s="9" t="s">
        <v>7796</v>
      </c>
    </row>
    <row r="38">
      <c r="A38" s="52" t="s">
        <v>7809</v>
      </c>
      <c r="B38" s="9" t="s">
        <v>7810</v>
      </c>
      <c r="C38" s="9" t="s">
        <v>7811</v>
      </c>
      <c r="H38" s="12" t="s">
        <v>7812</v>
      </c>
      <c r="I38" s="9" t="s">
        <v>7813</v>
      </c>
    </row>
    <row r="39">
      <c r="A39" s="52" t="s">
        <v>7809</v>
      </c>
      <c r="B39" s="9" t="s">
        <v>7810</v>
      </c>
      <c r="C39" s="9" t="s">
        <v>2379</v>
      </c>
      <c r="H39" s="52"/>
      <c r="I39" s="9" t="s">
        <v>7814</v>
      </c>
    </row>
    <row r="40">
      <c r="A40" s="52" t="s">
        <v>7802</v>
      </c>
      <c r="C40" s="9" t="s">
        <v>7815</v>
      </c>
      <c r="H40" s="72"/>
      <c r="I40" s="9" t="s">
        <v>7814</v>
      </c>
    </row>
    <row r="41">
      <c r="A41" s="52" t="s">
        <v>7802</v>
      </c>
      <c r="B41" s="9" t="s">
        <v>597</v>
      </c>
      <c r="C41" s="9" t="s">
        <v>7816</v>
      </c>
      <c r="H41" s="12" t="s">
        <v>7817</v>
      </c>
      <c r="I41" s="9" t="s">
        <v>7818</v>
      </c>
    </row>
    <row r="42">
      <c r="A42" s="52" t="s">
        <v>7802</v>
      </c>
      <c r="B42" s="9" t="s">
        <v>597</v>
      </c>
      <c r="C42" s="9" t="s">
        <v>7819</v>
      </c>
      <c r="H42" s="72"/>
      <c r="I42" s="9" t="s">
        <v>7820</v>
      </c>
    </row>
    <row r="43">
      <c r="A43" s="52" t="s">
        <v>7802</v>
      </c>
      <c r="C43" s="9" t="s">
        <v>7821</v>
      </c>
      <c r="H43" s="314" t="s">
        <v>7822</v>
      </c>
      <c r="I43" s="9" t="s">
        <v>7820</v>
      </c>
    </row>
    <row r="44">
      <c r="A44" s="52" t="s">
        <v>7802</v>
      </c>
      <c r="B44" s="9" t="s">
        <v>7823</v>
      </c>
      <c r="H44" s="33" t="s">
        <v>7824</v>
      </c>
      <c r="K44" s="9" t="s">
        <v>7825</v>
      </c>
    </row>
    <row r="45">
      <c r="A45" s="52" t="s">
        <v>7826</v>
      </c>
      <c r="B45" s="9" t="s">
        <v>7827</v>
      </c>
      <c r="H45" s="12" t="s">
        <v>7828</v>
      </c>
      <c r="I45" s="9" t="s">
        <v>7829</v>
      </c>
    </row>
    <row r="46">
      <c r="A46" s="52" t="s">
        <v>440</v>
      </c>
      <c r="B46" s="9" t="s">
        <v>7830</v>
      </c>
      <c r="C46" s="9" t="s">
        <v>7831</v>
      </c>
      <c r="H46" s="315" t="s">
        <v>7832</v>
      </c>
      <c r="I46" s="9" t="s">
        <v>7829</v>
      </c>
    </row>
    <row r="47">
      <c r="A47" s="52" t="s">
        <v>7826</v>
      </c>
      <c r="C47" s="9" t="s">
        <v>7833</v>
      </c>
      <c r="H47" s="12" t="s">
        <v>7834</v>
      </c>
      <c r="I47" s="9" t="s">
        <v>7835</v>
      </c>
    </row>
    <row r="48">
      <c r="A48" s="52" t="s">
        <v>7836</v>
      </c>
      <c r="B48" s="9" t="s">
        <v>7837</v>
      </c>
      <c r="H48" s="72"/>
      <c r="I48" s="9" t="s">
        <v>7838</v>
      </c>
    </row>
    <row r="49">
      <c r="A49" s="52" t="s">
        <v>7839</v>
      </c>
      <c r="B49" s="9" t="s">
        <v>7840</v>
      </c>
      <c r="H49" s="72"/>
      <c r="I49" s="9" t="s">
        <v>7841</v>
      </c>
    </row>
    <row r="50">
      <c r="A50" s="52" t="s">
        <v>7839</v>
      </c>
      <c r="B50" s="9" t="s">
        <v>7830</v>
      </c>
      <c r="C50" s="9" t="s">
        <v>7842</v>
      </c>
      <c r="H50" s="72"/>
      <c r="I50" s="9" t="s">
        <v>7841</v>
      </c>
    </row>
    <row r="51">
      <c r="A51" s="52" t="s">
        <v>7836</v>
      </c>
      <c r="B51" s="9" t="s">
        <v>7843</v>
      </c>
      <c r="H51" s="72"/>
      <c r="I51" s="9" t="s">
        <v>7838</v>
      </c>
      <c r="K51" s="9" t="s">
        <v>7844</v>
      </c>
    </row>
    <row r="52">
      <c r="A52" s="52" t="s">
        <v>485</v>
      </c>
      <c r="B52" s="9" t="s">
        <v>7845</v>
      </c>
      <c r="H52" s="72"/>
      <c r="I52" s="9" t="s">
        <v>7846</v>
      </c>
    </row>
    <row r="53">
      <c r="A53" s="52" t="s">
        <v>485</v>
      </c>
      <c r="B53" s="9"/>
      <c r="C53" s="9" t="s">
        <v>7847</v>
      </c>
      <c r="H53" s="72"/>
      <c r="I53" s="9" t="s">
        <v>7848</v>
      </c>
    </row>
    <row r="54">
      <c r="A54" s="52" t="s">
        <v>485</v>
      </c>
      <c r="B54" s="9" t="s">
        <v>7849</v>
      </c>
      <c r="H54" s="52"/>
      <c r="I54" s="9" t="s">
        <v>7846</v>
      </c>
    </row>
    <row r="55">
      <c r="A55" s="52" t="s">
        <v>485</v>
      </c>
      <c r="B55" s="9" t="s">
        <v>7850</v>
      </c>
      <c r="H55" s="12" t="s">
        <v>7851</v>
      </c>
      <c r="I55" s="9" t="s">
        <v>7846</v>
      </c>
    </row>
    <row r="56">
      <c r="A56" s="52" t="s">
        <v>485</v>
      </c>
      <c r="B56" s="9" t="s">
        <v>7852</v>
      </c>
      <c r="H56" s="12" t="s">
        <v>7851</v>
      </c>
      <c r="I56" s="9" t="s">
        <v>7853</v>
      </c>
    </row>
    <row r="57">
      <c r="A57" s="52" t="s">
        <v>485</v>
      </c>
      <c r="B57" s="9" t="s">
        <v>7854</v>
      </c>
      <c r="H57" s="12" t="s">
        <v>7855</v>
      </c>
      <c r="I57" s="9" t="s">
        <v>7856</v>
      </c>
    </row>
    <row r="58">
      <c r="A58" s="52" t="s">
        <v>7857</v>
      </c>
      <c r="B58" s="9" t="s">
        <v>7858</v>
      </c>
      <c r="H58" s="33" t="s">
        <v>7859</v>
      </c>
      <c r="I58" s="9" t="s">
        <v>7860</v>
      </c>
    </row>
    <row r="59">
      <c r="A59" s="52" t="s">
        <v>7861</v>
      </c>
      <c r="C59" s="153" t="s">
        <v>7425</v>
      </c>
      <c r="H59" s="72"/>
      <c r="I59" s="9" t="s">
        <v>7862</v>
      </c>
    </row>
    <row r="60">
      <c r="A60" s="52" t="s">
        <v>7861</v>
      </c>
      <c r="C60" s="153" t="s">
        <v>7431</v>
      </c>
      <c r="H60" s="72"/>
      <c r="I60" s="9" t="s">
        <v>7862</v>
      </c>
    </row>
    <row r="61">
      <c r="A61" s="52" t="s">
        <v>23</v>
      </c>
      <c r="C61" s="9" t="s">
        <v>7863</v>
      </c>
      <c r="H61" s="12" t="s">
        <v>7864</v>
      </c>
      <c r="I61" s="9" t="s">
        <v>7865</v>
      </c>
    </row>
    <row r="62">
      <c r="A62" s="52" t="s">
        <v>440</v>
      </c>
      <c r="C62" s="9" t="s">
        <v>7866</v>
      </c>
      <c r="H62" s="72"/>
      <c r="I62" s="9" t="s">
        <v>7867</v>
      </c>
    </row>
    <row r="63">
      <c r="A63" s="52" t="s">
        <v>440</v>
      </c>
      <c r="C63" s="9" t="s">
        <v>7868</v>
      </c>
      <c r="H63" s="12" t="s">
        <v>7869</v>
      </c>
      <c r="I63" s="9" t="s">
        <v>7870</v>
      </c>
    </row>
    <row r="64">
      <c r="A64" s="52" t="s">
        <v>440</v>
      </c>
      <c r="C64" s="9" t="s">
        <v>7871</v>
      </c>
      <c r="H64" s="52" t="s">
        <v>7830</v>
      </c>
      <c r="I64" s="9" t="s">
        <v>7870</v>
      </c>
    </row>
    <row r="65">
      <c r="A65" s="52" t="s">
        <v>440</v>
      </c>
      <c r="C65" s="9" t="s">
        <v>7872</v>
      </c>
      <c r="H65" s="52" t="s">
        <v>7830</v>
      </c>
      <c r="I65" s="9" t="s">
        <v>7870</v>
      </c>
    </row>
    <row r="66">
      <c r="A66" s="52" t="s">
        <v>440</v>
      </c>
      <c r="B66" s="9" t="s">
        <v>7873</v>
      </c>
      <c r="H66" s="72"/>
      <c r="I66" s="9" t="s">
        <v>7874</v>
      </c>
    </row>
    <row r="67">
      <c r="A67" s="52" t="s">
        <v>440</v>
      </c>
      <c r="B67" s="9" t="s">
        <v>7875</v>
      </c>
      <c r="H67" s="33" t="s">
        <v>7876</v>
      </c>
      <c r="I67" s="9" t="s">
        <v>7874</v>
      </c>
    </row>
    <row r="68">
      <c r="A68" s="52" t="s">
        <v>440</v>
      </c>
      <c r="B68" s="9" t="s">
        <v>7877</v>
      </c>
      <c r="H68" s="33" t="s">
        <v>7878</v>
      </c>
      <c r="I68" s="9" t="s">
        <v>7874</v>
      </c>
    </row>
    <row r="69">
      <c r="A69" s="52" t="s">
        <v>440</v>
      </c>
      <c r="B69" s="9" t="s">
        <v>7879</v>
      </c>
      <c r="H69" s="33" t="s">
        <v>7880</v>
      </c>
      <c r="I69" s="9" t="s">
        <v>7874</v>
      </c>
    </row>
    <row r="70">
      <c r="A70" s="52" t="s">
        <v>440</v>
      </c>
      <c r="B70" s="9" t="s">
        <v>7881</v>
      </c>
      <c r="H70" s="33" t="s">
        <v>7882</v>
      </c>
      <c r="I70" s="9" t="s">
        <v>7874</v>
      </c>
    </row>
    <row r="71">
      <c r="A71" s="52" t="s">
        <v>440</v>
      </c>
      <c r="B71" s="9" t="s">
        <v>7883</v>
      </c>
      <c r="H71" s="33" t="s">
        <v>7884</v>
      </c>
      <c r="I71" s="9" t="s">
        <v>7885</v>
      </c>
    </row>
    <row r="72">
      <c r="A72" s="52" t="s">
        <v>440</v>
      </c>
      <c r="B72" s="9" t="s">
        <v>7886</v>
      </c>
      <c r="H72" s="72"/>
      <c r="I72" s="9" t="s">
        <v>7885</v>
      </c>
    </row>
    <row r="73">
      <c r="A73" s="52" t="s">
        <v>440</v>
      </c>
      <c r="B73" s="9" t="s">
        <v>7887</v>
      </c>
      <c r="H73" s="72"/>
      <c r="I73" s="9" t="s">
        <v>7888</v>
      </c>
    </row>
    <row r="74">
      <c r="A74" s="52" t="s">
        <v>7889</v>
      </c>
      <c r="B74" s="9" t="s">
        <v>7890</v>
      </c>
      <c r="H74" s="12" t="s">
        <v>7891</v>
      </c>
      <c r="K74" s="9" t="s">
        <v>7892</v>
      </c>
    </row>
    <row r="75">
      <c r="A75" s="52" t="s">
        <v>490</v>
      </c>
      <c r="B75" s="9" t="s">
        <v>7893</v>
      </c>
      <c r="H75" s="12" t="s">
        <v>7894</v>
      </c>
      <c r="I75" s="9" t="s">
        <v>7895</v>
      </c>
      <c r="J75" s="9" t="s">
        <v>7896</v>
      </c>
    </row>
    <row r="76">
      <c r="A76" s="52" t="s">
        <v>490</v>
      </c>
      <c r="B76" s="9" t="s">
        <v>7897</v>
      </c>
      <c r="H76" s="12" t="s">
        <v>7898</v>
      </c>
      <c r="I76" s="9" t="s">
        <v>7899</v>
      </c>
    </row>
    <row r="77">
      <c r="A77" s="52" t="s">
        <v>490</v>
      </c>
      <c r="B77" s="9" t="s">
        <v>7900</v>
      </c>
      <c r="H77" s="33" t="s">
        <v>7901</v>
      </c>
      <c r="I77" s="9" t="s">
        <v>7902</v>
      </c>
    </row>
    <row r="78">
      <c r="A78" s="52" t="s">
        <v>490</v>
      </c>
      <c r="B78" s="9" t="s">
        <v>7903</v>
      </c>
      <c r="H78" s="33" t="s">
        <v>7904</v>
      </c>
      <c r="I78" s="9" t="s">
        <v>7905</v>
      </c>
    </row>
    <row r="79">
      <c r="A79" s="52" t="s">
        <v>490</v>
      </c>
      <c r="B79" s="9" t="s">
        <v>7906</v>
      </c>
      <c r="H79" s="12" t="s">
        <v>7907</v>
      </c>
      <c r="K79" s="9" t="s">
        <v>7908</v>
      </c>
    </row>
    <row r="80">
      <c r="A80" s="52" t="s">
        <v>490</v>
      </c>
      <c r="B80" s="9" t="s">
        <v>7909</v>
      </c>
      <c r="H80" s="12" t="s">
        <v>7910</v>
      </c>
      <c r="I80" s="9" t="s">
        <v>7911</v>
      </c>
    </row>
    <row r="81">
      <c r="A81" s="52" t="s">
        <v>490</v>
      </c>
      <c r="B81" s="9" t="s">
        <v>7912</v>
      </c>
      <c r="H81" s="72"/>
      <c r="I81" s="9" t="s">
        <v>7885</v>
      </c>
    </row>
    <row r="82">
      <c r="A82" s="52" t="s">
        <v>490</v>
      </c>
      <c r="B82" s="9" t="s">
        <v>7913</v>
      </c>
      <c r="H82" s="12" t="s">
        <v>7914</v>
      </c>
      <c r="I82" s="9" t="s">
        <v>7915</v>
      </c>
    </row>
    <row r="83">
      <c r="A83" s="52" t="s">
        <v>490</v>
      </c>
      <c r="B83" s="9" t="s">
        <v>7916</v>
      </c>
      <c r="H83" s="12" t="s">
        <v>7917</v>
      </c>
      <c r="I83" s="9" t="s">
        <v>7885</v>
      </c>
    </row>
    <row r="84">
      <c r="A84" s="52" t="s">
        <v>490</v>
      </c>
      <c r="B84" s="9" t="s">
        <v>7918</v>
      </c>
      <c r="H84" s="12" t="s">
        <v>7919</v>
      </c>
      <c r="I84" s="9" t="s">
        <v>7885</v>
      </c>
    </row>
    <row r="85">
      <c r="A85" s="52" t="s">
        <v>490</v>
      </c>
      <c r="B85" s="9" t="s">
        <v>7920</v>
      </c>
      <c r="H85" s="315" t="s">
        <v>7921</v>
      </c>
      <c r="I85" s="9" t="s">
        <v>7885</v>
      </c>
    </row>
    <row r="86">
      <c r="A86" s="52" t="s">
        <v>23</v>
      </c>
      <c r="B86" s="9" t="s">
        <v>7922</v>
      </c>
      <c r="H86" s="72"/>
      <c r="I86" s="9" t="s">
        <v>7741</v>
      </c>
    </row>
    <row r="87">
      <c r="A87" s="52" t="s">
        <v>23</v>
      </c>
      <c r="B87" s="9" t="s">
        <v>7923</v>
      </c>
      <c r="H87" s="72"/>
      <c r="I87" s="9" t="s">
        <v>7741</v>
      </c>
    </row>
    <row r="88">
      <c r="A88" s="52" t="s">
        <v>23</v>
      </c>
      <c r="B88" s="9" t="s">
        <v>7924</v>
      </c>
      <c r="H88" s="316" t="s">
        <v>7925</v>
      </c>
      <c r="K88" s="9" t="s">
        <v>7926</v>
      </c>
    </row>
    <row r="89">
      <c r="A89" s="52" t="s">
        <v>23</v>
      </c>
      <c r="B89" s="9" t="s">
        <v>7927</v>
      </c>
      <c r="H89" s="12" t="s">
        <v>7928</v>
      </c>
      <c r="I89" s="9" t="s">
        <v>7757</v>
      </c>
    </row>
    <row r="90">
      <c r="A90" s="52" t="s">
        <v>23</v>
      </c>
      <c r="B90" s="9" t="s">
        <v>7929</v>
      </c>
      <c r="H90" s="12" t="s">
        <v>7930</v>
      </c>
      <c r="I90" s="9" t="s">
        <v>7931</v>
      </c>
    </row>
    <row r="91">
      <c r="A91" s="52" t="s">
        <v>23</v>
      </c>
      <c r="C91" s="153" t="s">
        <v>7932</v>
      </c>
      <c r="H91" s="52" t="s">
        <v>27</v>
      </c>
      <c r="I91" s="9" t="s">
        <v>7862</v>
      </c>
    </row>
    <row r="92">
      <c r="A92" s="52" t="s">
        <v>23</v>
      </c>
      <c r="B92" s="9" t="s">
        <v>7933</v>
      </c>
      <c r="H92" s="52" t="s">
        <v>7830</v>
      </c>
      <c r="I92" s="9" t="s">
        <v>7757</v>
      </c>
    </row>
    <row r="93">
      <c r="A93" s="52" t="s">
        <v>23</v>
      </c>
      <c r="C93" s="153" t="s">
        <v>7934</v>
      </c>
      <c r="H93" s="317" t="s">
        <v>7935</v>
      </c>
      <c r="I93" s="9" t="s">
        <v>7862</v>
      </c>
    </row>
    <row r="94">
      <c r="A94" s="52" t="s">
        <v>23</v>
      </c>
      <c r="C94" s="153" t="s">
        <v>7936</v>
      </c>
      <c r="H94" s="52" t="s">
        <v>7830</v>
      </c>
      <c r="I94" s="9" t="s">
        <v>7862</v>
      </c>
    </row>
    <row r="95">
      <c r="A95" s="52" t="s">
        <v>23</v>
      </c>
      <c r="C95" s="153" t="s">
        <v>7937</v>
      </c>
      <c r="H95" s="52" t="s">
        <v>7830</v>
      </c>
      <c r="I95" s="9" t="s">
        <v>7862</v>
      </c>
    </row>
    <row r="96">
      <c r="A96" s="52" t="s">
        <v>23</v>
      </c>
      <c r="C96" s="153" t="s">
        <v>7938</v>
      </c>
      <c r="H96" s="52" t="s">
        <v>7830</v>
      </c>
      <c r="I96" s="9" t="s">
        <v>7862</v>
      </c>
    </row>
    <row r="97">
      <c r="A97" s="52" t="s">
        <v>23</v>
      </c>
      <c r="C97" s="153" t="s">
        <v>7939</v>
      </c>
      <c r="H97" s="52" t="s">
        <v>7830</v>
      </c>
      <c r="I97" s="9" t="s">
        <v>7862</v>
      </c>
    </row>
    <row r="98">
      <c r="A98" s="52" t="s">
        <v>23</v>
      </c>
      <c r="B98" s="9" t="s">
        <v>7940</v>
      </c>
      <c r="H98" s="72"/>
      <c r="I98" s="9" t="s">
        <v>7941</v>
      </c>
    </row>
    <row r="99">
      <c r="A99" s="52" t="s">
        <v>23</v>
      </c>
      <c r="C99" s="9" t="s">
        <v>7942</v>
      </c>
      <c r="H99" s="52" t="s">
        <v>7830</v>
      </c>
    </row>
    <row r="100">
      <c r="A100" s="52" t="s">
        <v>23</v>
      </c>
      <c r="B100" s="9" t="s">
        <v>7943</v>
      </c>
      <c r="H100" s="52" t="s">
        <v>7830</v>
      </c>
      <c r="I100" s="9" t="s">
        <v>7944</v>
      </c>
    </row>
    <row r="101">
      <c r="A101" s="52" t="s">
        <v>23</v>
      </c>
      <c r="C101" s="153" t="s">
        <v>7945</v>
      </c>
      <c r="H101" s="72"/>
      <c r="I101" s="9" t="s">
        <v>7862</v>
      </c>
    </row>
    <row r="102">
      <c r="A102" s="52" t="s">
        <v>23</v>
      </c>
      <c r="C102" s="153" t="s">
        <v>7946</v>
      </c>
      <c r="H102" s="72"/>
      <c r="I102" s="9" t="s">
        <v>7862</v>
      </c>
    </row>
    <row r="103">
      <c r="A103" s="52" t="s">
        <v>23</v>
      </c>
      <c r="C103" s="153" t="s">
        <v>7947</v>
      </c>
      <c r="H103" s="12" t="s">
        <v>7948</v>
      </c>
      <c r="I103" s="9" t="s">
        <v>7862</v>
      </c>
    </row>
    <row r="104">
      <c r="A104" s="52" t="s">
        <v>23</v>
      </c>
      <c r="B104" s="9" t="s">
        <v>7949</v>
      </c>
      <c r="C104" s="153" t="s">
        <v>7950</v>
      </c>
      <c r="H104" s="72"/>
      <c r="I104" s="9" t="s">
        <v>7862</v>
      </c>
    </row>
    <row r="105">
      <c r="A105" s="52" t="s">
        <v>23</v>
      </c>
      <c r="C105" s="153" t="s">
        <v>7604</v>
      </c>
      <c r="H105" s="72"/>
      <c r="I105" s="9" t="s">
        <v>7862</v>
      </c>
    </row>
    <row r="106">
      <c r="A106" s="52" t="s">
        <v>23</v>
      </c>
      <c r="C106" s="153" t="s">
        <v>7951</v>
      </c>
      <c r="H106" s="12" t="s">
        <v>7952</v>
      </c>
      <c r="I106" s="9" t="s">
        <v>7862</v>
      </c>
    </row>
    <row r="107">
      <c r="A107" s="52" t="s">
        <v>23</v>
      </c>
      <c r="C107" s="153" t="s">
        <v>7640</v>
      </c>
      <c r="H107" s="72"/>
      <c r="I107" s="9" t="s">
        <v>7862</v>
      </c>
    </row>
    <row r="108">
      <c r="A108" s="52" t="s">
        <v>23</v>
      </c>
      <c r="C108" s="153" t="s">
        <v>7630</v>
      </c>
      <c r="H108" s="72"/>
      <c r="I108" s="9" t="s">
        <v>7862</v>
      </c>
    </row>
    <row r="109">
      <c r="A109" s="52" t="s">
        <v>23</v>
      </c>
      <c r="C109" s="9" t="s">
        <v>7953</v>
      </c>
      <c r="H109" s="72"/>
    </row>
    <row r="110">
      <c r="A110" s="52" t="s">
        <v>23</v>
      </c>
      <c r="C110" s="9" t="s">
        <v>7954</v>
      </c>
      <c r="H110" s="12" t="s">
        <v>7955</v>
      </c>
    </row>
    <row r="111">
      <c r="A111" s="52" t="s">
        <v>23</v>
      </c>
      <c r="C111" s="9" t="s">
        <v>7956</v>
      </c>
      <c r="H111" s="12" t="s">
        <v>7957</v>
      </c>
    </row>
    <row r="112">
      <c r="A112" s="52" t="s">
        <v>23</v>
      </c>
      <c r="C112" s="9" t="s">
        <v>7958</v>
      </c>
      <c r="H112" s="72"/>
    </row>
    <row r="113">
      <c r="A113" s="52" t="s">
        <v>23</v>
      </c>
      <c r="C113" s="9" t="s">
        <v>7959</v>
      </c>
      <c r="H113" s="72"/>
    </row>
    <row r="114">
      <c r="A114" s="52" t="s">
        <v>23</v>
      </c>
      <c r="C114" s="9" t="s">
        <v>7960</v>
      </c>
      <c r="H114" s="72"/>
    </row>
    <row r="115">
      <c r="A115" s="9" t="s">
        <v>7961</v>
      </c>
      <c r="C115" s="9" t="s">
        <v>7962</v>
      </c>
      <c r="H115" s="72"/>
    </row>
    <row r="116">
      <c r="A116" s="52" t="s">
        <v>23</v>
      </c>
      <c r="C116" s="9" t="s">
        <v>7963</v>
      </c>
      <c r="H116" s="72"/>
    </row>
    <row r="117">
      <c r="A117" s="52" t="s">
        <v>23</v>
      </c>
      <c r="C117" s="9" t="s">
        <v>7964</v>
      </c>
      <c r="H117" s="72"/>
    </row>
    <row r="118">
      <c r="A118" s="52" t="s">
        <v>23</v>
      </c>
      <c r="C118" s="9" t="s">
        <v>7965</v>
      </c>
      <c r="H118" s="72"/>
    </row>
    <row r="119">
      <c r="A119" s="52" t="s">
        <v>23</v>
      </c>
      <c r="C119" s="9" t="s">
        <v>7966</v>
      </c>
      <c r="H119" s="72"/>
    </row>
    <row r="120">
      <c r="A120" s="52" t="s">
        <v>23</v>
      </c>
      <c r="C120" s="153" t="s">
        <v>7967</v>
      </c>
      <c r="H120" s="72"/>
      <c r="I120" s="9" t="s">
        <v>7862</v>
      </c>
    </row>
    <row r="121">
      <c r="A121" s="52" t="s">
        <v>23</v>
      </c>
      <c r="C121" s="9" t="s">
        <v>7968</v>
      </c>
      <c r="H121" s="72"/>
    </row>
    <row r="122">
      <c r="A122" s="52" t="s">
        <v>23</v>
      </c>
      <c r="C122" s="153" t="s">
        <v>7969</v>
      </c>
      <c r="H122" s="72"/>
      <c r="I122" s="9" t="s">
        <v>7862</v>
      </c>
    </row>
    <row r="123">
      <c r="A123" s="52" t="s">
        <v>23</v>
      </c>
      <c r="C123" s="153" t="s">
        <v>7970</v>
      </c>
      <c r="H123" s="72"/>
      <c r="I123" s="9" t="s">
        <v>7862</v>
      </c>
    </row>
    <row r="124">
      <c r="A124" s="52" t="s">
        <v>23</v>
      </c>
      <c r="C124" s="9" t="s">
        <v>7971</v>
      </c>
      <c r="H124" s="72"/>
    </row>
    <row r="125">
      <c r="A125" s="52" t="s">
        <v>23</v>
      </c>
      <c r="C125" s="9" t="s">
        <v>7972</v>
      </c>
      <c r="H125" s="72"/>
    </row>
    <row r="126">
      <c r="C126" s="9" t="s">
        <v>7973</v>
      </c>
      <c r="H126" s="72"/>
    </row>
    <row r="127">
      <c r="H127" s="72"/>
    </row>
    <row r="128">
      <c r="A128" s="72"/>
      <c r="H128" s="72"/>
    </row>
    <row r="129">
      <c r="A129" s="72"/>
      <c r="H129" s="72"/>
    </row>
    <row r="130">
      <c r="A130" s="72"/>
      <c r="H130" s="72"/>
    </row>
    <row r="131">
      <c r="A131" s="72"/>
      <c r="H131" s="72"/>
    </row>
    <row r="132">
      <c r="A132" s="72"/>
      <c r="H132" s="72"/>
    </row>
    <row r="133">
      <c r="A133" s="72"/>
      <c r="H133" s="72"/>
    </row>
    <row r="134">
      <c r="A134" s="72"/>
      <c r="H134" s="72"/>
    </row>
    <row r="135">
      <c r="A135" s="72"/>
      <c r="H135" s="72"/>
    </row>
    <row r="136">
      <c r="A136" s="72"/>
      <c r="H136" s="72"/>
    </row>
    <row r="137">
      <c r="A137" s="72"/>
      <c r="H137" s="72"/>
    </row>
    <row r="138">
      <c r="A138" s="72"/>
      <c r="H138" s="72"/>
    </row>
    <row r="139">
      <c r="A139" s="72"/>
      <c r="H139" s="72"/>
    </row>
    <row r="140">
      <c r="A140" s="72"/>
      <c r="H140" s="72"/>
    </row>
    <row r="141">
      <c r="A141" s="72"/>
      <c r="H141" s="72"/>
    </row>
    <row r="142">
      <c r="A142" s="72"/>
      <c r="H142" s="72"/>
    </row>
    <row r="143">
      <c r="A143" s="72"/>
      <c r="H143" s="72"/>
    </row>
    <row r="144">
      <c r="A144" s="72"/>
      <c r="H144" s="72"/>
    </row>
    <row r="145">
      <c r="A145" s="72"/>
      <c r="H145" s="72"/>
    </row>
    <row r="146">
      <c r="A146" s="72"/>
      <c r="H146" s="72"/>
    </row>
    <row r="147">
      <c r="A147" s="72"/>
      <c r="H147" s="72"/>
    </row>
    <row r="148">
      <c r="A148" s="72"/>
      <c r="H148" s="72"/>
    </row>
    <row r="149">
      <c r="A149" s="72"/>
      <c r="H149" s="72"/>
    </row>
    <row r="150">
      <c r="A150" s="72"/>
      <c r="H150" s="72"/>
    </row>
    <row r="151">
      <c r="A151" s="72"/>
      <c r="H151" s="72"/>
    </row>
    <row r="152">
      <c r="A152" s="72"/>
      <c r="H152" s="72"/>
    </row>
    <row r="153">
      <c r="A153" s="72"/>
      <c r="H153" s="72"/>
    </row>
    <row r="154">
      <c r="A154" s="72"/>
      <c r="H154" s="72"/>
    </row>
    <row r="155">
      <c r="A155" s="72"/>
      <c r="H155" s="72"/>
    </row>
    <row r="156">
      <c r="A156" s="72"/>
      <c r="H156" s="72"/>
    </row>
    <row r="157">
      <c r="A157" s="72"/>
      <c r="H157" s="72"/>
    </row>
    <row r="158">
      <c r="A158" s="72"/>
      <c r="H158" s="72"/>
    </row>
    <row r="159">
      <c r="A159" s="72"/>
      <c r="H159" s="72"/>
    </row>
    <row r="160">
      <c r="A160" s="72"/>
      <c r="H160" s="72"/>
    </row>
    <row r="161">
      <c r="A161" s="72"/>
      <c r="H161" s="72"/>
    </row>
    <row r="162">
      <c r="A162" s="72"/>
      <c r="H162" s="72"/>
    </row>
    <row r="163">
      <c r="A163" s="72"/>
      <c r="H163" s="72"/>
    </row>
    <row r="164">
      <c r="A164" s="72"/>
      <c r="H164" s="72"/>
    </row>
    <row r="165">
      <c r="A165" s="72"/>
      <c r="H165" s="72"/>
    </row>
    <row r="166">
      <c r="A166" s="72"/>
      <c r="H166" s="72"/>
    </row>
    <row r="167">
      <c r="A167" s="72"/>
      <c r="H167" s="72"/>
    </row>
    <row r="168">
      <c r="A168" s="72"/>
      <c r="H168" s="72"/>
    </row>
    <row r="169">
      <c r="A169" s="72"/>
      <c r="H169" s="72"/>
    </row>
    <row r="170">
      <c r="A170" s="72"/>
      <c r="H170" s="72"/>
    </row>
    <row r="171">
      <c r="A171" s="72"/>
      <c r="H171" s="72"/>
    </row>
    <row r="172">
      <c r="A172" s="72"/>
      <c r="H172" s="72"/>
    </row>
    <row r="173">
      <c r="A173" s="72"/>
      <c r="H173" s="72"/>
    </row>
    <row r="174">
      <c r="A174" s="72"/>
      <c r="H174" s="72"/>
    </row>
    <row r="175">
      <c r="A175" s="72"/>
      <c r="H175" s="72"/>
    </row>
    <row r="176">
      <c r="A176" s="72"/>
      <c r="H176" s="72"/>
    </row>
    <row r="177">
      <c r="A177" s="72"/>
      <c r="H177" s="72"/>
    </row>
    <row r="178">
      <c r="A178" s="72"/>
      <c r="H178" s="72"/>
    </row>
    <row r="179">
      <c r="A179" s="72"/>
      <c r="H179" s="72"/>
    </row>
    <row r="180">
      <c r="A180" s="72"/>
      <c r="H180" s="72"/>
    </row>
    <row r="181">
      <c r="A181" s="72"/>
      <c r="H181" s="72"/>
    </row>
    <row r="182">
      <c r="A182" s="72"/>
      <c r="H182" s="72"/>
    </row>
    <row r="183">
      <c r="A183" s="72"/>
      <c r="H183" s="72"/>
    </row>
    <row r="184">
      <c r="A184" s="72"/>
      <c r="H184" s="72"/>
    </row>
    <row r="185">
      <c r="A185" s="72"/>
      <c r="H185" s="72"/>
    </row>
    <row r="186">
      <c r="A186" s="72"/>
      <c r="H186" s="72"/>
    </row>
    <row r="187">
      <c r="A187" s="72"/>
      <c r="H187" s="72"/>
    </row>
    <row r="188">
      <c r="A188" s="72"/>
      <c r="H188" s="72"/>
    </row>
    <row r="189">
      <c r="A189" s="72"/>
      <c r="H189" s="72"/>
    </row>
    <row r="190">
      <c r="A190" s="72"/>
      <c r="H190" s="72"/>
    </row>
    <row r="191">
      <c r="A191" s="72"/>
      <c r="H191" s="72"/>
    </row>
    <row r="192">
      <c r="A192" s="72"/>
      <c r="H192" s="72"/>
    </row>
    <row r="193">
      <c r="A193" s="72"/>
      <c r="H193" s="72"/>
    </row>
    <row r="194">
      <c r="A194" s="72"/>
      <c r="H194" s="72"/>
    </row>
    <row r="195">
      <c r="A195" s="72"/>
      <c r="H195" s="72"/>
    </row>
    <row r="196">
      <c r="A196" s="72"/>
      <c r="H196" s="72"/>
    </row>
    <row r="197">
      <c r="A197" s="72"/>
      <c r="H197" s="72"/>
    </row>
    <row r="198">
      <c r="A198" s="72"/>
      <c r="H198" s="72"/>
    </row>
    <row r="199">
      <c r="A199" s="72"/>
      <c r="H199" s="72"/>
    </row>
    <row r="200">
      <c r="A200" s="72"/>
      <c r="H200" s="72"/>
    </row>
    <row r="201">
      <c r="A201" s="72"/>
      <c r="H201" s="72"/>
    </row>
    <row r="202">
      <c r="A202" s="72"/>
      <c r="H202" s="72"/>
    </row>
    <row r="203">
      <c r="A203" s="72"/>
      <c r="H203" s="72"/>
    </row>
    <row r="204">
      <c r="A204" s="72"/>
      <c r="H204" s="72"/>
    </row>
    <row r="205">
      <c r="A205" s="72"/>
      <c r="H205" s="72"/>
    </row>
    <row r="206">
      <c r="A206" s="72"/>
      <c r="H206" s="72"/>
    </row>
    <row r="207">
      <c r="A207" s="72"/>
      <c r="H207" s="72"/>
    </row>
    <row r="208">
      <c r="A208" s="72"/>
      <c r="H208" s="72"/>
    </row>
    <row r="209">
      <c r="A209" s="72"/>
      <c r="H209" s="72"/>
    </row>
    <row r="210">
      <c r="A210" s="72"/>
      <c r="H210" s="72"/>
    </row>
    <row r="211">
      <c r="A211" s="72"/>
      <c r="H211" s="72"/>
    </row>
    <row r="212">
      <c r="A212" s="72"/>
      <c r="H212" s="72"/>
    </row>
    <row r="213">
      <c r="A213" s="72"/>
      <c r="H213" s="72"/>
    </row>
    <row r="214">
      <c r="A214" s="72"/>
      <c r="H214" s="72"/>
    </row>
    <row r="215">
      <c r="A215" s="72"/>
      <c r="H215" s="72"/>
    </row>
    <row r="216">
      <c r="A216" s="72"/>
      <c r="H216" s="72"/>
    </row>
    <row r="217">
      <c r="A217" s="72"/>
      <c r="H217" s="72"/>
    </row>
    <row r="218">
      <c r="A218" s="72"/>
      <c r="H218" s="72"/>
    </row>
    <row r="219">
      <c r="A219" s="72"/>
      <c r="H219" s="72"/>
    </row>
    <row r="220">
      <c r="A220" s="72"/>
      <c r="H220" s="72"/>
    </row>
    <row r="221">
      <c r="A221" s="72"/>
      <c r="H221" s="72"/>
    </row>
    <row r="222">
      <c r="A222" s="72"/>
      <c r="H222" s="72"/>
    </row>
    <row r="223">
      <c r="A223" s="72"/>
      <c r="H223" s="72"/>
    </row>
    <row r="224">
      <c r="A224" s="72"/>
      <c r="H224" s="72"/>
    </row>
    <row r="225">
      <c r="A225" s="72"/>
      <c r="H225" s="72"/>
    </row>
    <row r="226">
      <c r="A226" s="72"/>
      <c r="H226" s="72"/>
    </row>
    <row r="227">
      <c r="A227" s="72"/>
      <c r="H227" s="72"/>
    </row>
    <row r="228">
      <c r="A228" s="72"/>
      <c r="H228" s="72"/>
    </row>
    <row r="229">
      <c r="A229" s="72"/>
      <c r="H229" s="72"/>
    </row>
    <row r="230">
      <c r="A230" s="72"/>
      <c r="H230" s="72"/>
    </row>
    <row r="231">
      <c r="A231" s="72"/>
      <c r="H231" s="72"/>
    </row>
    <row r="232">
      <c r="A232" s="72"/>
      <c r="H232" s="72"/>
    </row>
    <row r="233">
      <c r="A233" s="72"/>
      <c r="H233" s="72"/>
    </row>
    <row r="234">
      <c r="A234" s="72"/>
      <c r="H234" s="72"/>
    </row>
    <row r="235">
      <c r="A235" s="72"/>
      <c r="H235" s="72"/>
    </row>
    <row r="236">
      <c r="A236" s="72"/>
      <c r="H236" s="72"/>
    </row>
    <row r="237">
      <c r="A237" s="72"/>
      <c r="H237" s="72"/>
    </row>
    <row r="238">
      <c r="A238" s="72"/>
      <c r="H238" s="72"/>
    </row>
    <row r="239">
      <c r="A239" s="72"/>
      <c r="H239" s="72"/>
    </row>
    <row r="240">
      <c r="A240" s="72"/>
      <c r="H240" s="72"/>
    </row>
    <row r="241">
      <c r="A241" s="72"/>
      <c r="H241" s="72"/>
    </row>
    <row r="242">
      <c r="A242" s="72"/>
      <c r="H242" s="72"/>
    </row>
    <row r="243">
      <c r="A243" s="72"/>
      <c r="H243" s="72"/>
    </row>
    <row r="244">
      <c r="A244" s="72"/>
      <c r="H244" s="72"/>
    </row>
    <row r="245">
      <c r="A245" s="72"/>
      <c r="H245" s="72"/>
    </row>
    <row r="246">
      <c r="A246" s="72"/>
      <c r="H246" s="72"/>
    </row>
    <row r="247">
      <c r="A247" s="72"/>
      <c r="H247" s="72"/>
    </row>
    <row r="248">
      <c r="A248" s="72"/>
      <c r="H248" s="72"/>
    </row>
    <row r="249">
      <c r="A249" s="72"/>
      <c r="H249" s="72"/>
    </row>
    <row r="250">
      <c r="A250" s="72"/>
      <c r="H250" s="72"/>
    </row>
    <row r="251">
      <c r="A251" s="72"/>
      <c r="H251" s="72"/>
    </row>
    <row r="252">
      <c r="A252" s="72"/>
      <c r="H252" s="72"/>
    </row>
    <row r="253">
      <c r="A253" s="72"/>
      <c r="H253" s="72"/>
    </row>
    <row r="254">
      <c r="A254" s="72"/>
      <c r="H254" s="72"/>
    </row>
    <row r="255">
      <c r="A255" s="72"/>
      <c r="H255" s="72"/>
    </row>
    <row r="256">
      <c r="A256" s="72"/>
      <c r="H256" s="72"/>
    </row>
    <row r="257">
      <c r="A257" s="72"/>
      <c r="H257" s="72"/>
    </row>
    <row r="258">
      <c r="A258" s="72"/>
      <c r="H258" s="72"/>
    </row>
    <row r="259">
      <c r="A259" s="72"/>
      <c r="H259" s="72"/>
    </row>
    <row r="260">
      <c r="A260" s="72"/>
      <c r="H260" s="72"/>
    </row>
    <row r="261">
      <c r="A261" s="72"/>
      <c r="H261" s="72"/>
    </row>
    <row r="262">
      <c r="A262" s="72"/>
      <c r="H262" s="72"/>
    </row>
    <row r="263">
      <c r="A263" s="72"/>
      <c r="H263" s="72"/>
    </row>
    <row r="264">
      <c r="A264" s="72"/>
      <c r="H264" s="72"/>
    </row>
    <row r="265">
      <c r="A265" s="72"/>
      <c r="H265" s="72"/>
    </row>
    <row r="266">
      <c r="A266" s="72"/>
      <c r="H266" s="72"/>
    </row>
    <row r="267">
      <c r="A267" s="72"/>
      <c r="H267" s="72"/>
    </row>
    <row r="268">
      <c r="A268" s="72"/>
      <c r="H268" s="72"/>
    </row>
    <row r="269">
      <c r="A269" s="72"/>
      <c r="H269" s="72"/>
    </row>
    <row r="270">
      <c r="A270" s="72"/>
      <c r="H270" s="72"/>
    </row>
    <row r="271">
      <c r="A271" s="72"/>
      <c r="H271" s="72"/>
    </row>
    <row r="272">
      <c r="A272" s="72"/>
      <c r="H272" s="72"/>
    </row>
    <row r="273">
      <c r="A273" s="72"/>
      <c r="H273" s="72"/>
    </row>
    <row r="274">
      <c r="A274" s="72"/>
      <c r="H274" s="72"/>
    </row>
    <row r="275">
      <c r="A275" s="72"/>
      <c r="H275" s="72"/>
    </row>
    <row r="276">
      <c r="A276" s="72"/>
      <c r="H276" s="72"/>
    </row>
    <row r="277">
      <c r="A277" s="72"/>
      <c r="H277" s="72"/>
    </row>
    <row r="278">
      <c r="A278" s="72"/>
      <c r="H278" s="72"/>
    </row>
    <row r="279">
      <c r="A279" s="72"/>
      <c r="H279" s="72"/>
    </row>
    <row r="280">
      <c r="A280" s="72"/>
      <c r="H280" s="72"/>
    </row>
    <row r="281">
      <c r="A281" s="72"/>
      <c r="H281" s="72"/>
    </row>
    <row r="282">
      <c r="A282" s="72"/>
      <c r="H282" s="72"/>
    </row>
    <row r="283">
      <c r="A283" s="72"/>
      <c r="H283" s="72"/>
    </row>
    <row r="284">
      <c r="A284" s="72"/>
      <c r="H284" s="72"/>
    </row>
    <row r="285">
      <c r="A285" s="72"/>
      <c r="H285" s="72"/>
    </row>
    <row r="286">
      <c r="A286" s="72"/>
      <c r="H286" s="72"/>
    </row>
    <row r="287">
      <c r="A287" s="72"/>
      <c r="H287" s="72"/>
    </row>
    <row r="288">
      <c r="A288" s="72"/>
      <c r="H288" s="72"/>
    </row>
    <row r="289">
      <c r="A289" s="72"/>
      <c r="H289" s="72"/>
    </row>
    <row r="290">
      <c r="A290" s="72"/>
      <c r="H290" s="72"/>
    </row>
    <row r="291">
      <c r="A291" s="72"/>
      <c r="H291" s="72"/>
    </row>
    <row r="292">
      <c r="A292" s="72"/>
      <c r="H292" s="72"/>
    </row>
    <row r="293">
      <c r="A293" s="72"/>
      <c r="H293" s="72"/>
    </row>
    <row r="294">
      <c r="A294" s="72"/>
      <c r="H294" s="72"/>
    </row>
    <row r="295">
      <c r="A295" s="72"/>
      <c r="H295" s="72"/>
    </row>
    <row r="296">
      <c r="A296" s="72"/>
      <c r="H296" s="72"/>
    </row>
    <row r="297">
      <c r="A297" s="72"/>
      <c r="H297" s="72"/>
    </row>
    <row r="298">
      <c r="A298" s="72"/>
      <c r="H298" s="72"/>
    </row>
    <row r="299">
      <c r="A299" s="72"/>
      <c r="H299" s="72"/>
    </row>
    <row r="300">
      <c r="A300" s="72"/>
      <c r="H300" s="72"/>
    </row>
    <row r="301">
      <c r="A301" s="72"/>
      <c r="H301" s="72"/>
    </row>
    <row r="302">
      <c r="A302" s="72"/>
      <c r="H302" s="72"/>
    </row>
    <row r="303">
      <c r="A303" s="72"/>
      <c r="H303" s="72"/>
    </row>
    <row r="304">
      <c r="A304" s="72"/>
      <c r="H304" s="72"/>
    </row>
    <row r="305">
      <c r="A305" s="72"/>
      <c r="H305" s="72"/>
    </row>
    <row r="306">
      <c r="A306" s="72"/>
      <c r="H306" s="72"/>
    </row>
    <row r="307">
      <c r="A307" s="72"/>
      <c r="H307" s="72"/>
    </row>
    <row r="308">
      <c r="A308" s="72"/>
      <c r="H308" s="72"/>
    </row>
    <row r="309">
      <c r="A309" s="72"/>
      <c r="H309" s="72"/>
    </row>
    <row r="310">
      <c r="A310" s="72"/>
      <c r="H310" s="72"/>
    </row>
    <row r="311">
      <c r="A311" s="72"/>
      <c r="H311" s="72"/>
    </row>
    <row r="312">
      <c r="A312" s="72"/>
      <c r="H312" s="72"/>
    </row>
    <row r="313">
      <c r="A313" s="72"/>
      <c r="H313" s="72"/>
    </row>
    <row r="314">
      <c r="A314" s="72"/>
      <c r="H314" s="72"/>
    </row>
    <row r="315">
      <c r="A315" s="72"/>
      <c r="H315" s="72"/>
    </row>
    <row r="316">
      <c r="A316" s="72"/>
      <c r="H316" s="72"/>
    </row>
    <row r="317">
      <c r="A317" s="72"/>
      <c r="H317" s="72"/>
    </row>
    <row r="318">
      <c r="A318" s="72"/>
      <c r="H318" s="72"/>
    </row>
    <row r="319">
      <c r="A319" s="72"/>
      <c r="H319" s="72"/>
    </row>
    <row r="320">
      <c r="A320" s="72"/>
      <c r="H320" s="72"/>
    </row>
    <row r="321">
      <c r="A321" s="72"/>
      <c r="H321" s="72"/>
    </row>
    <row r="322">
      <c r="A322" s="72"/>
      <c r="H322" s="72"/>
    </row>
    <row r="323">
      <c r="A323" s="72"/>
      <c r="H323" s="72"/>
    </row>
    <row r="324">
      <c r="A324" s="72"/>
      <c r="H324" s="72"/>
    </row>
    <row r="325">
      <c r="A325" s="72"/>
      <c r="H325" s="72"/>
    </row>
    <row r="326">
      <c r="A326" s="72"/>
      <c r="H326" s="72"/>
    </row>
    <row r="327">
      <c r="A327" s="72"/>
      <c r="H327" s="72"/>
    </row>
    <row r="328">
      <c r="A328" s="72"/>
      <c r="H328" s="72"/>
    </row>
    <row r="329">
      <c r="A329" s="72"/>
      <c r="H329" s="72"/>
    </row>
    <row r="330">
      <c r="A330" s="72"/>
      <c r="H330" s="72"/>
    </row>
    <row r="331">
      <c r="A331" s="72"/>
      <c r="H331" s="72"/>
    </row>
    <row r="332">
      <c r="A332" s="72"/>
      <c r="H332" s="72"/>
    </row>
    <row r="333">
      <c r="A333" s="72"/>
      <c r="H333" s="72"/>
    </row>
    <row r="334">
      <c r="A334" s="72"/>
      <c r="H334" s="72"/>
    </row>
    <row r="335">
      <c r="A335" s="72"/>
      <c r="H335" s="72"/>
    </row>
    <row r="336">
      <c r="A336" s="72"/>
      <c r="H336" s="72"/>
    </row>
    <row r="337">
      <c r="A337" s="72"/>
      <c r="H337" s="72"/>
    </row>
    <row r="338">
      <c r="A338" s="72"/>
      <c r="H338" s="72"/>
    </row>
    <row r="339">
      <c r="A339" s="72"/>
      <c r="H339" s="72"/>
    </row>
    <row r="340">
      <c r="A340" s="72"/>
      <c r="H340" s="72"/>
    </row>
    <row r="341">
      <c r="A341" s="72"/>
      <c r="H341" s="72"/>
    </row>
    <row r="342">
      <c r="A342" s="72"/>
      <c r="H342" s="72"/>
    </row>
    <row r="343">
      <c r="A343" s="72"/>
      <c r="H343" s="72"/>
    </row>
    <row r="344">
      <c r="A344" s="72"/>
      <c r="H344" s="72"/>
    </row>
    <row r="345">
      <c r="A345" s="72"/>
      <c r="H345" s="72"/>
    </row>
    <row r="346">
      <c r="A346" s="72"/>
      <c r="H346" s="72"/>
    </row>
    <row r="347">
      <c r="A347" s="72"/>
      <c r="H347" s="72"/>
    </row>
    <row r="348">
      <c r="A348" s="72"/>
      <c r="H348" s="72"/>
    </row>
    <row r="349">
      <c r="A349" s="72"/>
      <c r="H349" s="72"/>
    </row>
    <row r="350">
      <c r="A350" s="72"/>
      <c r="H350" s="72"/>
    </row>
    <row r="351">
      <c r="A351" s="72"/>
      <c r="H351" s="72"/>
    </row>
    <row r="352">
      <c r="A352" s="72"/>
      <c r="H352" s="72"/>
    </row>
    <row r="353">
      <c r="A353" s="72"/>
      <c r="H353" s="72"/>
    </row>
    <row r="354">
      <c r="A354" s="72"/>
      <c r="H354" s="72"/>
    </row>
    <row r="355">
      <c r="A355" s="72"/>
      <c r="H355" s="72"/>
    </row>
    <row r="356">
      <c r="A356" s="72"/>
      <c r="H356" s="72"/>
    </row>
    <row r="357">
      <c r="A357" s="72"/>
      <c r="H357" s="72"/>
    </row>
    <row r="358">
      <c r="A358" s="72"/>
      <c r="H358" s="72"/>
    </row>
    <row r="359">
      <c r="A359" s="72"/>
      <c r="H359" s="72"/>
    </row>
    <row r="360">
      <c r="A360" s="72"/>
      <c r="H360" s="72"/>
    </row>
    <row r="361">
      <c r="A361" s="72"/>
      <c r="H361" s="72"/>
    </row>
    <row r="362">
      <c r="A362" s="72"/>
      <c r="H362" s="72"/>
    </row>
    <row r="363">
      <c r="A363" s="72"/>
      <c r="H363" s="72"/>
    </row>
    <row r="364">
      <c r="A364" s="72"/>
      <c r="H364" s="72"/>
    </row>
    <row r="365">
      <c r="A365" s="72"/>
      <c r="H365" s="72"/>
    </row>
    <row r="366">
      <c r="A366" s="72"/>
      <c r="H366" s="72"/>
    </row>
    <row r="367">
      <c r="A367" s="72"/>
      <c r="H367" s="72"/>
    </row>
    <row r="368">
      <c r="A368" s="72"/>
      <c r="H368" s="72"/>
    </row>
    <row r="369">
      <c r="A369" s="72"/>
      <c r="H369" s="72"/>
    </row>
    <row r="370">
      <c r="A370" s="72"/>
      <c r="H370" s="72"/>
    </row>
    <row r="371">
      <c r="A371" s="72"/>
      <c r="H371" s="72"/>
    </row>
    <row r="372">
      <c r="A372" s="72"/>
      <c r="H372" s="72"/>
    </row>
    <row r="373">
      <c r="A373" s="72"/>
      <c r="H373" s="72"/>
    </row>
    <row r="374">
      <c r="A374" s="72"/>
      <c r="H374" s="72"/>
    </row>
    <row r="375">
      <c r="A375" s="72"/>
      <c r="H375" s="72"/>
    </row>
    <row r="376">
      <c r="A376" s="72"/>
      <c r="H376" s="72"/>
    </row>
    <row r="377">
      <c r="A377" s="72"/>
      <c r="H377" s="72"/>
    </row>
    <row r="378">
      <c r="A378" s="72"/>
      <c r="H378" s="72"/>
    </row>
    <row r="379">
      <c r="A379" s="72"/>
      <c r="H379" s="72"/>
    </row>
    <row r="380">
      <c r="A380" s="72"/>
      <c r="H380" s="72"/>
    </row>
    <row r="381">
      <c r="A381" s="72"/>
      <c r="H381" s="72"/>
    </row>
    <row r="382">
      <c r="A382" s="72"/>
      <c r="H382" s="72"/>
    </row>
    <row r="383">
      <c r="A383" s="72"/>
      <c r="H383" s="72"/>
    </row>
    <row r="384">
      <c r="A384" s="72"/>
      <c r="H384" s="72"/>
    </row>
    <row r="385">
      <c r="A385" s="72"/>
      <c r="H385" s="72"/>
    </row>
    <row r="386">
      <c r="A386" s="72"/>
      <c r="H386" s="72"/>
    </row>
    <row r="387">
      <c r="A387" s="72"/>
      <c r="H387" s="72"/>
    </row>
    <row r="388">
      <c r="A388" s="72"/>
      <c r="H388" s="72"/>
    </row>
    <row r="389">
      <c r="A389" s="72"/>
      <c r="H389" s="72"/>
    </row>
    <row r="390">
      <c r="A390" s="72"/>
      <c r="H390" s="72"/>
    </row>
    <row r="391">
      <c r="A391" s="72"/>
      <c r="H391" s="72"/>
    </row>
    <row r="392">
      <c r="A392" s="72"/>
      <c r="H392" s="72"/>
    </row>
    <row r="393">
      <c r="A393" s="72"/>
      <c r="H393" s="72"/>
    </row>
    <row r="394">
      <c r="A394" s="72"/>
      <c r="H394" s="72"/>
    </row>
    <row r="395">
      <c r="A395" s="72"/>
      <c r="H395" s="72"/>
    </row>
    <row r="396">
      <c r="A396" s="72"/>
      <c r="H396" s="72"/>
    </row>
    <row r="397">
      <c r="A397" s="72"/>
      <c r="H397" s="72"/>
    </row>
    <row r="398">
      <c r="A398" s="72"/>
      <c r="H398" s="72"/>
    </row>
    <row r="399">
      <c r="A399" s="72"/>
      <c r="H399" s="72"/>
    </row>
    <row r="400">
      <c r="A400" s="72"/>
      <c r="H400" s="72"/>
    </row>
    <row r="401">
      <c r="A401" s="72"/>
      <c r="H401" s="72"/>
    </row>
    <row r="402">
      <c r="A402" s="72"/>
      <c r="H402" s="72"/>
    </row>
    <row r="403">
      <c r="A403" s="72"/>
      <c r="H403" s="72"/>
    </row>
    <row r="404">
      <c r="A404" s="72"/>
      <c r="H404" s="72"/>
    </row>
    <row r="405">
      <c r="A405" s="72"/>
      <c r="H405" s="72"/>
    </row>
    <row r="406">
      <c r="A406" s="72"/>
      <c r="H406" s="72"/>
    </row>
    <row r="407">
      <c r="A407" s="72"/>
      <c r="H407" s="72"/>
    </row>
    <row r="408">
      <c r="A408" s="72"/>
      <c r="H408" s="72"/>
    </row>
    <row r="409">
      <c r="A409" s="72"/>
      <c r="H409" s="72"/>
    </row>
    <row r="410">
      <c r="A410" s="72"/>
      <c r="H410" s="72"/>
    </row>
    <row r="411">
      <c r="A411" s="72"/>
      <c r="H411" s="72"/>
    </row>
    <row r="412">
      <c r="A412" s="72"/>
      <c r="H412" s="72"/>
    </row>
    <row r="413">
      <c r="A413" s="72"/>
      <c r="H413" s="72"/>
    </row>
    <row r="414">
      <c r="A414" s="72"/>
      <c r="H414" s="72"/>
    </row>
    <row r="415">
      <c r="A415" s="72"/>
      <c r="H415" s="72"/>
    </row>
    <row r="416">
      <c r="A416" s="72"/>
      <c r="H416" s="72"/>
    </row>
    <row r="417">
      <c r="A417" s="72"/>
      <c r="H417" s="72"/>
    </row>
    <row r="418">
      <c r="A418" s="72"/>
      <c r="H418" s="72"/>
    </row>
    <row r="419">
      <c r="A419" s="72"/>
      <c r="H419" s="72"/>
    </row>
    <row r="420">
      <c r="A420" s="72"/>
      <c r="H420" s="72"/>
    </row>
    <row r="421">
      <c r="A421" s="72"/>
      <c r="H421" s="72"/>
    </row>
    <row r="422">
      <c r="A422" s="72"/>
      <c r="H422" s="72"/>
    </row>
    <row r="423">
      <c r="A423" s="72"/>
      <c r="H423" s="72"/>
    </row>
    <row r="424">
      <c r="A424" s="72"/>
      <c r="H424" s="72"/>
    </row>
    <row r="425">
      <c r="A425" s="72"/>
      <c r="H425" s="72"/>
    </row>
    <row r="426">
      <c r="A426" s="72"/>
      <c r="H426" s="72"/>
    </row>
    <row r="427">
      <c r="A427" s="72"/>
      <c r="H427" s="72"/>
    </row>
    <row r="428">
      <c r="A428" s="72"/>
      <c r="H428" s="72"/>
    </row>
    <row r="429">
      <c r="A429" s="72"/>
      <c r="H429" s="72"/>
    </row>
    <row r="430">
      <c r="A430" s="72"/>
      <c r="H430" s="72"/>
    </row>
    <row r="431">
      <c r="A431" s="72"/>
      <c r="H431" s="72"/>
    </row>
    <row r="432">
      <c r="A432" s="72"/>
      <c r="H432" s="72"/>
    </row>
    <row r="433">
      <c r="A433" s="72"/>
      <c r="H433" s="72"/>
    </row>
    <row r="434">
      <c r="A434" s="72"/>
      <c r="H434" s="72"/>
    </row>
    <row r="435">
      <c r="A435" s="72"/>
      <c r="H435" s="72"/>
    </row>
    <row r="436">
      <c r="A436" s="72"/>
      <c r="H436" s="72"/>
    </row>
    <row r="437">
      <c r="A437" s="72"/>
      <c r="H437" s="72"/>
    </row>
    <row r="438">
      <c r="A438" s="72"/>
      <c r="H438" s="72"/>
    </row>
    <row r="439">
      <c r="A439" s="72"/>
      <c r="H439" s="72"/>
    </row>
    <row r="440">
      <c r="A440" s="72"/>
      <c r="H440" s="72"/>
    </row>
    <row r="441">
      <c r="A441" s="72"/>
      <c r="H441" s="72"/>
    </row>
    <row r="442">
      <c r="A442" s="72"/>
      <c r="H442" s="72"/>
    </row>
    <row r="443">
      <c r="A443" s="72"/>
      <c r="H443" s="72"/>
    </row>
    <row r="444">
      <c r="A444" s="72"/>
      <c r="H444" s="72"/>
    </row>
    <row r="445">
      <c r="A445" s="72"/>
      <c r="H445" s="72"/>
    </row>
    <row r="446">
      <c r="A446" s="72"/>
      <c r="H446" s="72"/>
    </row>
    <row r="447">
      <c r="A447" s="72"/>
      <c r="H447" s="72"/>
    </row>
    <row r="448">
      <c r="A448" s="72"/>
      <c r="H448" s="72"/>
    </row>
    <row r="449">
      <c r="A449" s="72"/>
      <c r="H449" s="72"/>
    </row>
    <row r="450">
      <c r="A450" s="72"/>
      <c r="H450" s="72"/>
    </row>
    <row r="451">
      <c r="A451" s="72"/>
      <c r="H451" s="72"/>
    </row>
    <row r="452">
      <c r="A452" s="72"/>
      <c r="H452" s="72"/>
    </row>
    <row r="453">
      <c r="A453" s="72"/>
      <c r="H453" s="72"/>
    </row>
    <row r="454">
      <c r="A454" s="72"/>
      <c r="H454" s="72"/>
    </row>
    <row r="455">
      <c r="A455" s="72"/>
      <c r="H455" s="72"/>
    </row>
    <row r="456">
      <c r="A456" s="72"/>
      <c r="H456" s="72"/>
    </row>
    <row r="457">
      <c r="A457" s="72"/>
      <c r="H457" s="72"/>
    </row>
    <row r="458">
      <c r="A458" s="72"/>
      <c r="H458" s="72"/>
    </row>
    <row r="459">
      <c r="A459" s="72"/>
      <c r="H459" s="72"/>
    </row>
    <row r="460">
      <c r="A460" s="72"/>
      <c r="H460" s="72"/>
    </row>
    <row r="461">
      <c r="A461" s="72"/>
      <c r="H461" s="72"/>
    </row>
    <row r="462">
      <c r="A462" s="72"/>
      <c r="H462" s="72"/>
    </row>
    <row r="463">
      <c r="A463" s="72"/>
      <c r="H463" s="72"/>
    </row>
    <row r="464">
      <c r="A464" s="72"/>
      <c r="H464" s="72"/>
    </row>
    <row r="465">
      <c r="A465" s="72"/>
      <c r="H465" s="72"/>
    </row>
    <row r="466">
      <c r="A466" s="72"/>
      <c r="H466" s="72"/>
    </row>
    <row r="467">
      <c r="A467" s="72"/>
      <c r="H467" s="72"/>
    </row>
    <row r="468">
      <c r="A468" s="72"/>
      <c r="H468" s="72"/>
    </row>
    <row r="469">
      <c r="A469" s="72"/>
      <c r="H469" s="72"/>
    </row>
    <row r="470">
      <c r="A470" s="72"/>
      <c r="H470" s="72"/>
    </row>
    <row r="471">
      <c r="A471" s="72"/>
      <c r="H471" s="72"/>
    </row>
    <row r="472">
      <c r="A472" s="72"/>
      <c r="H472" s="72"/>
    </row>
    <row r="473">
      <c r="A473" s="72"/>
      <c r="H473" s="72"/>
    </row>
    <row r="474">
      <c r="A474" s="72"/>
      <c r="H474" s="72"/>
    </row>
    <row r="475">
      <c r="A475" s="72"/>
      <c r="H475" s="72"/>
    </row>
    <row r="476">
      <c r="A476" s="72"/>
      <c r="H476" s="72"/>
    </row>
    <row r="477">
      <c r="A477" s="72"/>
      <c r="H477" s="72"/>
    </row>
    <row r="478">
      <c r="A478" s="72"/>
      <c r="H478" s="72"/>
    </row>
    <row r="479">
      <c r="A479" s="72"/>
      <c r="H479" s="72"/>
    </row>
    <row r="480">
      <c r="A480" s="72"/>
      <c r="H480" s="72"/>
    </row>
    <row r="481">
      <c r="A481" s="72"/>
      <c r="H481" s="72"/>
    </row>
    <row r="482">
      <c r="A482" s="72"/>
      <c r="H482" s="72"/>
    </row>
    <row r="483">
      <c r="A483" s="72"/>
      <c r="H483" s="72"/>
    </row>
    <row r="484">
      <c r="A484" s="72"/>
      <c r="H484" s="72"/>
    </row>
    <row r="485">
      <c r="A485" s="72"/>
      <c r="H485" s="72"/>
    </row>
    <row r="486">
      <c r="A486" s="72"/>
      <c r="H486" s="72"/>
    </row>
    <row r="487">
      <c r="A487" s="72"/>
      <c r="H487" s="72"/>
    </row>
    <row r="488">
      <c r="A488" s="72"/>
      <c r="H488" s="72"/>
    </row>
    <row r="489">
      <c r="A489" s="72"/>
      <c r="H489" s="72"/>
    </row>
    <row r="490">
      <c r="A490" s="72"/>
      <c r="H490" s="72"/>
    </row>
    <row r="491">
      <c r="A491" s="72"/>
      <c r="H491" s="72"/>
    </row>
    <row r="492">
      <c r="A492" s="72"/>
      <c r="H492" s="72"/>
    </row>
    <row r="493">
      <c r="A493" s="72"/>
      <c r="H493" s="72"/>
    </row>
    <row r="494">
      <c r="A494" s="72"/>
      <c r="H494" s="72"/>
    </row>
    <row r="495">
      <c r="A495" s="72"/>
      <c r="H495" s="72"/>
    </row>
    <row r="496">
      <c r="A496" s="72"/>
      <c r="H496" s="72"/>
    </row>
    <row r="497">
      <c r="A497" s="72"/>
      <c r="H497" s="72"/>
    </row>
    <row r="498">
      <c r="A498" s="72"/>
      <c r="H498" s="72"/>
    </row>
    <row r="499">
      <c r="A499" s="72"/>
      <c r="H499" s="72"/>
    </row>
    <row r="500">
      <c r="A500" s="72"/>
      <c r="H500" s="72"/>
    </row>
    <row r="501">
      <c r="A501" s="72"/>
      <c r="H501" s="72"/>
    </row>
    <row r="502">
      <c r="A502" s="72"/>
      <c r="H502" s="72"/>
    </row>
    <row r="503">
      <c r="A503" s="72"/>
      <c r="H503" s="72"/>
    </row>
    <row r="504">
      <c r="A504" s="72"/>
      <c r="H504" s="72"/>
    </row>
    <row r="505">
      <c r="A505" s="72"/>
      <c r="H505" s="72"/>
    </row>
    <row r="506">
      <c r="A506" s="72"/>
      <c r="H506" s="72"/>
    </row>
    <row r="507">
      <c r="A507" s="72"/>
      <c r="H507" s="72"/>
    </row>
    <row r="508">
      <c r="A508" s="72"/>
      <c r="H508" s="72"/>
    </row>
    <row r="509">
      <c r="A509" s="72"/>
      <c r="H509" s="72"/>
    </row>
    <row r="510">
      <c r="A510" s="72"/>
      <c r="H510" s="72"/>
    </row>
    <row r="511">
      <c r="A511" s="72"/>
      <c r="H511" s="72"/>
    </row>
    <row r="512">
      <c r="A512" s="72"/>
      <c r="H512" s="72"/>
    </row>
    <row r="513">
      <c r="A513" s="72"/>
      <c r="H513" s="72"/>
    </row>
    <row r="514">
      <c r="A514" s="72"/>
      <c r="H514" s="72"/>
    </row>
    <row r="515">
      <c r="A515" s="72"/>
      <c r="H515" s="72"/>
    </row>
    <row r="516">
      <c r="A516" s="72"/>
      <c r="H516" s="72"/>
    </row>
    <row r="517">
      <c r="A517" s="72"/>
      <c r="H517" s="72"/>
    </row>
    <row r="518">
      <c r="A518" s="72"/>
      <c r="H518" s="72"/>
    </row>
    <row r="519">
      <c r="A519" s="72"/>
      <c r="H519" s="72"/>
    </row>
    <row r="520">
      <c r="A520" s="72"/>
      <c r="H520" s="72"/>
    </row>
    <row r="521">
      <c r="A521" s="72"/>
      <c r="H521" s="72"/>
    </row>
    <row r="522">
      <c r="A522" s="72"/>
      <c r="H522" s="72"/>
    </row>
    <row r="523">
      <c r="A523" s="72"/>
      <c r="H523" s="72"/>
    </row>
    <row r="524">
      <c r="A524" s="72"/>
      <c r="H524" s="72"/>
    </row>
    <row r="525">
      <c r="A525" s="72"/>
      <c r="H525" s="72"/>
    </row>
    <row r="526">
      <c r="A526" s="72"/>
      <c r="H526" s="72"/>
    </row>
    <row r="527">
      <c r="A527" s="72"/>
      <c r="H527" s="72"/>
    </row>
    <row r="528">
      <c r="A528" s="72"/>
      <c r="H528" s="72"/>
    </row>
    <row r="529">
      <c r="A529" s="72"/>
      <c r="H529" s="72"/>
    </row>
    <row r="530">
      <c r="A530" s="72"/>
      <c r="H530" s="72"/>
    </row>
    <row r="531">
      <c r="A531" s="72"/>
      <c r="H531" s="72"/>
    </row>
    <row r="532">
      <c r="A532" s="72"/>
      <c r="H532" s="72"/>
    </row>
    <row r="533">
      <c r="A533" s="72"/>
      <c r="H533" s="72"/>
    </row>
    <row r="534">
      <c r="A534" s="72"/>
      <c r="H534" s="72"/>
    </row>
    <row r="535">
      <c r="A535" s="72"/>
      <c r="H535" s="72"/>
    </row>
    <row r="536">
      <c r="A536" s="72"/>
      <c r="H536" s="72"/>
    </row>
    <row r="537">
      <c r="A537" s="72"/>
      <c r="H537" s="72"/>
    </row>
    <row r="538">
      <c r="A538" s="72"/>
      <c r="H538" s="72"/>
    </row>
    <row r="539">
      <c r="A539" s="72"/>
      <c r="H539" s="72"/>
    </row>
    <row r="540">
      <c r="A540" s="72"/>
      <c r="H540" s="72"/>
    </row>
    <row r="541">
      <c r="A541" s="72"/>
      <c r="H541" s="72"/>
    </row>
    <row r="542">
      <c r="A542" s="72"/>
      <c r="H542" s="72"/>
    </row>
    <row r="543">
      <c r="A543" s="72"/>
      <c r="H543" s="72"/>
    </row>
    <row r="544">
      <c r="A544" s="72"/>
      <c r="H544" s="72"/>
    </row>
    <row r="545">
      <c r="A545" s="72"/>
      <c r="H545" s="72"/>
    </row>
    <row r="546">
      <c r="A546" s="72"/>
      <c r="H546" s="72"/>
    </row>
    <row r="547">
      <c r="A547" s="72"/>
      <c r="H547" s="72"/>
    </row>
    <row r="548">
      <c r="A548" s="72"/>
      <c r="H548" s="72"/>
    </row>
    <row r="549">
      <c r="A549" s="72"/>
      <c r="H549" s="72"/>
    </row>
    <row r="550">
      <c r="A550" s="72"/>
      <c r="H550" s="72"/>
    </row>
    <row r="551">
      <c r="A551" s="72"/>
      <c r="H551" s="72"/>
    </row>
    <row r="552">
      <c r="A552" s="72"/>
      <c r="H552" s="72"/>
    </row>
    <row r="553">
      <c r="A553" s="72"/>
      <c r="H553" s="72"/>
    </row>
    <row r="554">
      <c r="A554" s="72"/>
      <c r="H554" s="72"/>
    </row>
    <row r="555">
      <c r="A555" s="72"/>
      <c r="H555" s="72"/>
    </row>
    <row r="556">
      <c r="A556" s="72"/>
      <c r="H556" s="72"/>
    </row>
    <row r="557">
      <c r="A557" s="72"/>
      <c r="H557" s="72"/>
    </row>
    <row r="558">
      <c r="A558" s="72"/>
      <c r="H558" s="72"/>
    </row>
    <row r="559">
      <c r="A559" s="72"/>
      <c r="H559" s="72"/>
    </row>
    <row r="560">
      <c r="A560" s="72"/>
      <c r="H560" s="72"/>
    </row>
    <row r="561">
      <c r="A561" s="72"/>
      <c r="H561" s="72"/>
    </row>
    <row r="562">
      <c r="A562" s="72"/>
      <c r="H562" s="72"/>
    </row>
    <row r="563">
      <c r="A563" s="72"/>
      <c r="H563" s="72"/>
    </row>
    <row r="564">
      <c r="A564" s="72"/>
      <c r="H564" s="72"/>
    </row>
    <row r="565">
      <c r="A565" s="72"/>
      <c r="H565" s="72"/>
    </row>
    <row r="566">
      <c r="A566" s="72"/>
      <c r="H566" s="72"/>
    </row>
    <row r="567">
      <c r="A567" s="72"/>
      <c r="H567" s="72"/>
    </row>
    <row r="568">
      <c r="A568" s="72"/>
      <c r="H568" s="72"/>
    </row>
    <row r="569">
      <c r="A569" s="72"/>
      <c r="H569" s="72"/>
    </row>
    <row r="570">
      <c r="A570" s="72"/>
      <c r="H570" s="72"/>
    </row>
    <row r="571">
      <c r="A571" s="72"/>
      <c r="H571" s="72"/>
    </row>
    <row r="572">
      <c r="A572" s="72"/>
      <c r="H572" s="72"/>
    </row>
    <row r="573">
      <c r="A573" s="72"/>
      <c r="H573" s="72"/>
    </row>
    <row r="574">
      <c r="A574" s="72"/>
      <c r="H574" s="72"/>
    </row>
    <row r="575">
      <c r="A575" s="72"/>
      <c r="H575" s="72"/>
    </row>
    <row r="576">
      <c r="A576" s="72"/>
      <c r="H576" s="72"/>
    </row>
    <row r="577">
      <c r="A577" s="72"/>
      <c r="H577" s="72"/>
    </row>
    <row r="578">
      <c r="A578" s="72"/>
      <c r="H578" s="72"/>
    </row>
    <row r="579">
      <c r="A579" s="72"/>
      <c r="H579" s="72"/>
    </row>
    <row r="580">
      <c r="A580" s="72"/>
      <c r="H580" s="72"/>
    </row>
    <row r="581">
      <c r="A581" s="72"/>
      <c r="H581" s="72"/>
    </row>
    <row r="582">
      <c r="A582" s="72"/>
      <c r="H582" s="72"/>
    </row>
    <row r="583">
      <c r="A583" s="72"/>
      <c r="H583" s="72"/>
    </row>
    <row r="584">
      <c r="A584" s="72"/>
      <c r="H584" s="72"/>
    </row>
    <row r="585">
      <c r="A585" s="72"/>
      <c r="H585" s="72"/>
    </row>
    <row r="586">
      <c r="A586" s="72"/>
      <c r="H586" s="72"/>
    </row>
    <row r="587">
      <c r="A587" s="72"/>
      <c r="H587" s="72"/>
    </row>
    <row r="588">
      <c r="A588" s="72"/>
      <c r="H588" s="72"/>
    </row>
    <row r="589">
      <c r="A589" s="72"/>
      <c r="H589" s="72"/>
    </row>
    <row r="590">
      <c r="A590" s="72"/>
      <c r="H590" s="72"/>
    </row>
    <row r="591">
      <c r="A591" s="72"/>
      <c r="H591" s="72"/>
    </row>
    <row r="592">
      <c r="A592" s="72"/>
      <c r="H592" s="72"/>
    </row>
    <row r="593">
      <c r="A593" s="72"/>
      <c r="H593" s="72"/>
    </row>
    <row r="594">
      <c r="A594" s="72"/>
      <c r="H594" s="72"/>
    </row>
    <row r="595">
      <c r="A595" s="72"/>
      <c r="H595" s="72"/>
    </row>
    <row r="596">
      <c r="A596" s="72"/>
      <c r="H596" s="72"/>
    </row>
    <row r="597">
      <c r="A597" s="72"/>
      <c r="H597" s="72"/>
    </row>
    <row r="598">
      <c r="A598" s="72"/>
      <c r="H598" s="72"/>
    </row>
    <row r="599">
      <c r="A599" s="72"/>
      <c r="H599" s="72"/>
    </row>
    <row r="600">
      <c r="A600" s="72"/>
      <c r="H600" s="72"/>
    </row>
    <row r="601">
      <c r="A601" s="72"/>
      <c r="H601" s="72"/>
    </row>
    <row r="602">
      <c r="A602" s="72"/>
      <c r="H602" s="72"/>
    </row>
    <row r="603">
      <c r="A603" s="72"/>
      <c r="H603" s="72"/>
    </row>
    <row r="604">
      <c r="A604" s="72"/>
      <c r="H604" s="72"/>
    </row>
    <row r="605">
      <c r="A605" s="72"/>
      <c r="H605" s="72"/>
    </row>
    <row r="606">
      <c r="A606" s="72"/>
      <c r="H606" s="72"/>
    </row>
    <row r="607">
      <c r="A607" s="72"/>
      <c r="H607" s="72"/>
    </row>
    <row r="608">
      <c r="A608" s="72"/>
      <c r="H608" s="72"/>
    </row>
    <row r="609">
      <c r="A609" s="72"/>
      <c r="H609" s="72"/>
    </row>
    <row r="610">
      <c r="A610" s="72"/>
      <c r="H610" s="72"/>
    </row>
    <row r="611">
      <c r="A611" s="72"/>
      <c r="H611" s="72"/>
    </row>
    <row r="612">
      <c r="A612" s="72"/>
      <c r="H612" s="72"/>
    </row>
    <row r="613">
      <c r="A613" s="72"/>
      <c r="H613" s="72"/>
    </row>
    <row r="614">
      <c r="A614" s="72"/>
      <c r="H614" s="72"/>
    </row>
    <row r="615">
      <c r="A615" s="72"/>
      <c r="H615" s="72"/>
    </row>
    <row r="616">
      <c r="A616" s="72"/>
      <c r="H616" s="72"/>
    </row>
    <row r="617">
      <c r="A617" s="72"/>
      <c r="H617" s="72"/>
    </row>
    <row r="618">
      <c r="A618" s="72"/>
      <c r="H618" s="72"/>
    </row>
    <row r="619">
      <c r="A619" s="72"/>
      <c r="H619" s="72"/>
    </row>
    <row r="620">
      <c r="A620" s="72"/>
      <c r="H620" s="72"/>
    </row>
    <row r="621">
      <c r="A621" s="72"/>
      <c r="H621" s="72"/>
    </row>
    <row r="622">
      <c r="A622" s="72"/>
      <c r="H622" s="72"/>
    </row>
    <row r="623">
      <c r="A623" s="72"/>
      <c r="H623" s="72"/>
    </row>
    <row r="624">
      <c r="A624" s="72"/>
      <c r="H624" s="72"/>
    </row>
    <row r="625">
      <c r="A625" s="72"/>
      <c r="H625" s="72"/>
    </row>
    <row r="626">
      <c r="A626" s="72"/>
      <c r="H626" s="72"/>
    </row>
    <row r="627">
      <c r="A627" s="72"/>
      <c r="H627" s="72"/>
    </row>
    <row r="628">
      <c r="A628" s="72"/>
      <c r="H628" s="72"/>
    </row>
    <row r="629">
      <c r="A629" s="72"/>
      <c r="H629" s="72"/>
    </row>
    <row r="630">
      <c r="A630" s="72"/>
      <c r="H630" s="72"/>
    </row>
    <row r="631">
      <c r="A631" s="72"/>
      <c r="H631" s="72"/>
    </row>
    <row r="632">
      <c r="A632" s="72"/>
      <c r="H632" s="72"/>
    </row>
    <row r="633">
      <c r="A633" s="72"/>
      <c r="H633" s="72"/>
    </row>
    <row r="634">
      <c r="A634" s="72"/>
      <c r="H634" s="72"/>
    </row>
    <row r="635">
      <c r="A635" s="72"/>
      <c r="H635" s="72"/>
    </row>
    <row r="636">
      <c r="A636" s="72"/>
      <c r="H636" s="72"/>
    </row>
    <row r="637">
      <c r="A637" s="72"/>
      <c r="H637" s="72"/>
    </row>
    <row r="638">
      <c r="A638" s="72"/>
      <c r="H638" s="72"/>
    </row>
    <row r="639">
      <c r="A639" s="72"/>
      <c r="H639" s="72"/>
    </row>
    <row r="640">
      <c r="A640" s="72"/>
      <c r="H640" s="72"/>
    </row>
    <row r="641">
      <c r="A641" s="72"/>
      <c r="H641" s="72"/>
    </row>
    <row r="642">
      <c r="A642" s="72"/>
      <c r="H642" s="72"/>
    </row>
    <row r="643">
      <c r="A643" s="72"/>
      <c r="H643" s="72"/>
    </row>
    <row r="644">
      <c r="A644" s="72"/>
      <c r="H644" s="72"/>
    </row>
    <row r="645">
      <c r="A645" s="72"/>
      <c r="H645" s="72"/>
    </row>
    <row r="646">
      <c r="A646" s="72"/>
      <c r="H646" s="72"/>
    </row>
    <row r="647">
      <c r="A647" s="72"/>
      <c r="H647" s="72"/>
    </row>
    <row r="648">
      <c r="A648" s="72"/>
      <c r="H648" s="72"/>
    </row>
    <row r="649">
      <c r="A649" s="72"/>
      <c r="H649" s="72"/>
    </row>
    <row r="650">
      <c r="A650" s="72"/>
      <c r="H650" s="72"/>
    </row>
    <row r="651">
      <c r="A651" s="72"/>
      <c r="H651" s="72"/>
    </row>
    <row r="652">
      <c r="A652" s="72"/>
      <c r="H652" s="72"/>
    </row>
    <row r="653">
      <c r="A653" s="72"/>
      <c r="H653" s="72"/>
    </row>
    <row r="654">
      <c r="A654" s="72"/>
      <c r="H654" s="72"/>
    </row>
    <row r="655">
      <c r="A655" s="72"/>
      <c r="H655" s="72"/>
    </row>
    <row r="656">
      <c r="A656" s="72"/>
      <c r="H656" s="72"/>
    </row>
    <row r="657">
      <c r="A657" s="72"/>
      <c r="H657" s="72"/>
    </row>
    <row r="658">
      <c r="A658" s="72"/>
      <c r="H658" s="72"/>
    </row>
    <row r="659">
      <c r="A659" s="72"/>
      <c r="H659" s="72"/>
    </row>
    <row r="660">
      <c r="A660" s="72"/>
      <c r="H660" s="72"/>
    </row>
    <row r="661">
      <c r="A661" s="72"/>
      <c r="H661" s="72"/>
    </row>
    <row r="662">
      <c r="A662" s="72"/>
      <c r="H662" s="72"/>
    </row>
    <row r="663">
      <c r="A663" s="72"/>
      <c r="H663" s="72"/>
    </row>
    <row r="664">
      <c r="A664" s="72"/>
      <c r="H664" s="72"/>
    </row>
    <row r="665">
      <c r="A665" s="72"/>
      <c r="H665" s="72"/>
    </row>
    <row r="666">
      <c r="A666" s="72"/>
      <c r="H666" s="72"/>
    </row>
    <row r="667">
      <c r="A667" s="72"/>
      <c r="H667" s="72"/>
    </row>
    <row r="668">
      <c r="A668" s="72"/>
      <c r="H668" s="72"/>
    </row>
    <row r="669">
      <c r="A669" s="72"/>
      <c r="H669" s="72"/>
    </row>
    <row r="670">
      <c r="A670" s="72"/>
      <c r="H670" s="72"/>
    </row>
    <row r="671">
      <c r="A671" s="72"/>
      <c r="H671" s="72"/>
    </row>
    <row r="672">
      <c r="A672" s="72"/>
      <c r="H672" s="72"/>
    </row>
    <row r="673">
      <c r="A673" s="72"/>
      <c r="H673" s="72"/>
    </row>
    <row r="674">
      <c r="A674" s="72"/>
      <c r="H674" s="72"/>
    </row>
    <row r="675">
      <c r="A675" s="72"/>
      <c r="H675" s="72"/>
    </row>
    <row r="676">
      <c r="A676" s="72"/>
      <c r="H676" s="72"/>
    </row>
    <row r="677">
      <c r="A677" s="72"/>
      <c r="H677" s="72"/>
    </row>
    <row r="678">
      <c r="A678" s="72"/>
      <c r="H678" s="72"/>
    </row>
    <row r="679">
      <c r="A679" s="72"/>
      <c r="H679" s="72"/>
    </row>
    <row r="680">
      <c r="A680" s="72"/>
      <c r="H680" s="72"/>
    </row>
    <row r="681">
      <c r="A681" s="72"/>
      <c r="H681" s="72"/>
    </row>
    <row r="682">
      <c r="A682" s="72"/>
      <c r="H682" s="72"/>
    </row>
    <row r="683">
      <c r="A683" s="72"/>
      <c r="H683" s="72"/>
    </row>
    <row r="684">
      <c r="A684" s="72"/>
      <c r="H684" s="72"/>
    </row>
    <row r="685">
      <c r="A685" s="72"/>
      <c r="H685" s="72"/>
    </row>
    <row r="686">
      <c r="A686" s="72"/>
      <c r="H686" s="72"/>
    </row>
    <row r="687">
      <c r="A687" s="72"/>
      <c r="H687" s="72"/>
    </row>
    <row r="688">
      <c r="A688" s="72"/>
      <c r="H688" s="72"/>
    </row>
    <row r="689">
      <c r="A689" s="72"/>
      <c r="H689" s="72"/>
    </row>
    <row r="690">
      <c r="A690" s="72"/>
      <c r="H690" s="72"/>
    </row>
    <row r="691">
      <c r="A691" s="72"/>
      <c r="H691" s="72"/>
    </row>
    <row r="692">
      <c r="A692" s="72"/>
      <c r="H692" s="72"/>
    </row>
    <row r="693">
      <c r="A693" s="72"/>
      <c r="H693" s="72"/>
    </row>
    <row r="694">
      <c r="A694" s="72"/>
      <c r="H694" s="72"/>
    </row>
    <row r="695">
      <c r="A695" s="72"/>
      <c r="H695" s="72"/>
    </row>
    <row r="696">
      <c r="A696" s="72"/>
      <c r="H696" s="72"/>
    </row>
    <row r="697">
      <c r="A697" s="72"/>
      <c r="H697" s="72"/>
    </row>
    <row r="698">
      <c r="A698" s="72"/>
      <c r="H698" s="72"/>
    </row>
    <row r="699">
      <c r="A699" s="72"/>
      <c r="H699" s="72"/>
    </row>
    <row r="700">
      <c r="A700" s="72"/>
      <c r="H700" s="72"/>
    </row>
    <row r="701">
      <c r="A701" s="72"/>
      <c r="H701" s="72"/>
    </row>
    <row r="702">
      <c r="A702" s="72"/>
      <c r="H702" s="72"/>
    </row>
    <row r="703">
      <c r="A703" s="72"/>
      <c r="H703" s="72"/>
    </row>
    <row r="704">
      <c r="A704" s="72"/>
      <c r="H704" s="72"/>
    </row>
    <row r="705">
      <c r="A705" s="72"/>
      <c r="H705" s="72"/>
    </row>
    <row r="706">
      <c r="A706" s="72"/>
      <c r="H706" s="72"/>
    </row>
    <row r="707">
      <c r="A707" s="72"/>
      <c r="H707" s="72"/>
    </row>
    <row r="708">
      <c r="A708" s="72"/>
      <c r="H708" s="72"/>
    </row>
    <row r="709">
      <c r="A709" s="72"/>
      <c r="H709" s="72"/>
    </row>
    <row r="710">
      <c r="A710" s="72"/>
      <c r="H710" s="72"/>
    </row>
    <row r="711">
      <c r="A711" s="72"/>
      <c r="H711" s="72"/>
    </row>
    <row r="712">
      <c r="A712" s="72"/>
      <c r="H712" s="72"/>
    </row>
    <row r="713">
      <c r="A713" s="72"/>
      <c r="H713" s="72"/>
    </row>
    <row r="714">
      <c r="A714" s="72"/>
      <c r="H714" s="72"/>
    </row>
    <row r="715">
      <c r="A715" s="72"/>
      <c r="H715" s="72"/>
    </row>
    <row r="716">
      <c r="A716" s="72"/>
      <c r="H716" s="72"/>
    </row>
    <row r="717">
      <c r="A717" s="72"/>
      <c r="H717" s="72"/>
    </row>
    <row r="718">
      <c r="A718" s="72"/>
      <c r="H718" s="72"/>
    </row>
    <row r="719">
      <c r="A719" s="72"/>
      <c r="H719" s="72"/>
    </row>
    <row r="720">
      <c r="A720" s="72"/>
      <c r="H720" s="72"/>
    </row>
    <row r="721">
      <c r="A721" s="72"/>
      <c r="H721" s="72"/>
    </row>
    <row r="722">
      <c r="A722" s="72"/>
      <c r="H722" s="72"/>
    </row>
    <row r="723">
      <c r="A723" s="72"/>
      <c r="H723" s="72"/>
    </row>
    <row r="724">
      <c r="A724" s="72"/>
      <c r="H724" s="72"/>
    </row>
    <row r="725">
      <c r="A725" s="72"/>
      <c r="H725" s="72"/>
    </row>
    <row r="726">
      <c r="A726" s="72"/>
      <c r="H726" s="72"/>
    </row>
    <row r="727">
      <c r="A727" s="72"/>
      <c r="H727" s="72"/>
    </row>
    <row r="728">
      <c r="A728" s="72"/>
      <c r="H728" s="72"/>
    </row>
    <row r="729">
      <c r="A729" s="72"/>
      <c r="H729" s="72"/>
    </row>
    <row r="730">
      <c r="A730" s="72"/>
      <c r="H730" s="72"/>
    </row>
    <row r="731">
      <c r="A731" s="72"/>
      <c r="H731" s="72"/>
    </row>
    <row r="732">
      <c r="A732" s="72"/>
      <c r="H732" s="72"/>
    </row>
    <row r="733">
      <c r="A733" s="72"/>
      <c r="H733" s="72"/>
    </row>
    <row r="734">
      <c r="A734" s="72"/>
      <c r="H734" s="72"/>
    </row>
    <row r="735">
      <c r="A735" s="72"/>
      <c r="H735" s="72"/>
    </row>
    <row r="736">
      <c r="A736" s="72"/>
      <c r="H736" s="72"/>
    </row>
    <row r="737">
      <c r="A737" s="72"/>
      <c r="H737" s="72"/>
    </row>
    <row r="738">
      <c r="A738" s="72"/>
      <c r="H738" s="72"/>
    </row>
    <row r="739">
      <c r="A739" s="72"/>
      <c r="H739" s="72"/>
    </row>
    <row r="740">
      <c r="A740" s="72"/>
      <c r="H740" s="72"/>
    </row>
    <row r="741">
      <c r="A741" s="72"/>
      <c r="H741" s="72"/>
    </row>
    <row r="742">
      <c r="A742" s="72"/>
      <c r="H742" s="72"/>
    </row>
    <row r="743">
      <c r="A743" s="72"/>
      <c r="H743" s="72"/>
    </row>
    <row r="744">
      <c r="A744" s="72"/>
      <c r="H744" s="72"/>
    </row>
    <row r="745">
      <c r="A745" s="72"/>
      <c r="H745" s="72"/>
    </row>
    <row r="746">
      <c r="A746" s="72"/>
      <c r="H746" s="72"/>
    </row>
    <row r="747">
      <c r="A747" s="72"/>
      <c r="H747" s="72"/>
    </row>
    <row r="748">
      <c r="A748" s="72"/>
      <c r="H748" s="72"/>
    </row>
    <row r="749">
      <c r="A749" s="72"/>
      <c r="H749" s="72"/>
    </row>
    <row r="750">
      <c r="A750" s="72"/>
      <c r="H750" s="72"/>
    </row>
    <row r="751">
      <c r="A751" s="72"/>
      <c r="H751" s="72"/>
    </row>
    <row r="752">
      <c r="A752" s="72"/>
      <c r="H752" s="72"/>
    </row>
    <row r="753">
      <c r="A753" s="72"/>
      <c r="H753" s="72"/>
    </row>
    <row r="754">
      <c r="A754" s="72"/>
      <c r="H754" s="72"/>
    </row>
    <row r="755">
      <c r="A755" s="72"/>
      <c r="H755" s="72"/>
    </row>
    <row r="756">
      <c r="A756" s="72"/>
      <c r="H756" s="72"/>
    </row>
    <row r="757">
      <c r="A757" s="72"/>
      <c r="H757" s="72"/>
    </row>
    <row r="758">
      <c r="A758" s="72"/>
      <c r="H758" s="72"/>
    </row>
    <row r="759">
      <c r="A759" s="72"/>
      <c r="H759" s="72"/>
    </row>
    <row r="760">
      <c r="A760" s="72"/>
      <c r="H760" s="72"/>
    </row>
    <row r="761">
      <c r="A761" s="72"/>
      <c r="H761" s="72"/>
    </row>
    <row r="762">
      <c r="A762" s="72"/>
      <c r="H762" s="72"/>
    </row>
    <row r="763">
      <c r="A763" s="72"/>
      <c r="H763" s="72"/>
    </row>
    <row r="764">
      <c r="A764" s="72"/>
      <c r="H764" s="72"/>
    </row>
    <row r="765">
      <c r="A765" s="72"/>
      <c r="H765" s="72"/>
    </row>
    <row r="766">
      <c r="A766" s="72"/>
      <c r="H766" s="72"/>
    </row>
    <row r="767">
      <c r="A767" s="72"/>
      <c r="H767" s="72"/>
    </row>
    <row r="768">
      <c r="A768" s="72"/>
      <c r="H768" s="72"/>
    </row>
    <row r="769">
      <c r="A769" s="72"/>
      <c r="H769" s="72"/>
    </row>
    <row r="770">
      <c r="A770" s="72"/>
      <c r="H770" s="72"/>
    </row>
    <row r="771">
      <c r="A771" s="72"/>
      <c r="H771" s="72"/>
    </row>
    <row r="772">
      <c r="A772" s="72"/>
      <c r="H772" s="72"/>
    </row>
    <row r="773">
      <c r="A773" s="72"/>
      <c r="H773" s="72"/>
    </row>
    <row r="774">
      <c r="A774" s="72"/>
      <c r="H774" s="72"/>
    </row>
    <row r="775">
      <c r="A775" s="72"/>
      <c r="H775" s="72"/>
    </row>
    <row r="776">
      <c r="A776" s="72"/>
      <c r="H776" s="72"/>
    </row>
    <row r="777">
      <c r="A777" s="72"/>
      <c r="H777" s="72"/>
    </row>
    <row r="778">
      <c r="A778" s="72"/>
      <c r="H778" s="72"/>
    </row>
    <row r="779">
      <c r="A779" s="72"/>
      <c r="H779" s="72"/>
    </row>
    <row r="780">
      <c r="A780" s="72"/>
      <c r="H780" s="72"/>
    </row>
    <row r="781">
      <c r="A781" s="72"/>
      <c r="H781" s="72"/>
    </row>
    <row r="782">
      <c r="A782" s="72"/>
      <c r="H782" s="72"/>
    </row>
    <row r="783">
      <c r="A783" s="72"/>
      <c r="H783" s="72"/>
    </row>
    <row r="784">
      <c r="A784" s="72"/>
      <c r="H784" s="72"/>
    </row>
    <row r="785">
      <c r="A785" s="72"/>
      <c r="H785" s="72"/>
    </row>
    <row r="786">
      <c r="A786" s="72"/>
      <c r="H786" s="72"/>
    </row>
    <row r="787">
      <c r="A787" s="72"/>
      <c r="H787" s="72"/>
    </row>
    <row r="788">
      <c r="A788" s="72"/>
      <c r="H788" s="72"/>
    </row>
    <row r="789">
      <c r="A789" s="72"/>
      <c r="H789" s="72"/>
    </row>
    <row r="790">
      <c r="A790" s="72"/>
      <c r="H790" s="72"/>
    </row>
    <row r="791">
      <c r="A791" s="72"/>
      <c r="H791" s="72"/>
    </row>
    <row r="792">
      <c r="A792" s="72"/>
      <c r="H792" s="72"/>
    </row>
    <row r="793">
      <c r="A793" s="72"/>
      <c r="H793" s="72"/>
    </row>
    <row r="794">
      <c r="A794" s="72"/>
      <c r="H794" s="72"/>
    </row>
    <row r="795">
      <c r="A795" s="72"/>
      <c r="H795" s="72"/>
    </row>
    <row r="796">
      <c r="A796" s="72"/>
      <c r="H796" s="72"/>
    </row>
    <row r="797">
      <c r="A797" s="72"/>
      <c r="H797" s="72"/>
    </row>
    <row r="798">
      <c r="A798" s="72"/>
      <c r="H798" s="72"/>
    </row>
    <row r="799">
      <c r="A799" s="72"/>
      <c r="H799" s="72"/>
    </row>
    <row r="800">
      <c r="A800" s="72"/>
      <c r="H800" s="72"/>
    </row>
    <row r="801">
      <c r="A801" s="72"/>
      <c r="H801" s="72"/>
    </row>
    <row r="802">
      <c r="A802" s="72"/>
      <c r="H802" s="72"/>
    </row>
    <row r="803">
      <c r="A803" s="72"/>
      <c r="H803" s="72"/>
    </row>
    <row r="804">
      <c r="A804" s="72"/>
      <c r="H804" s="72"/>
    </row>
    <row r="805">
      <c r="A805" s="72"/>
      <c r="H805" s="72"/>
    </row>
    <row r="806">
      <c r="A806" s="72"/>
      <c r="H806" s="72"/>
    </row>
    <row r="807">
      <c r="A807" s="72"/>
      <c r="H807" s="72"/>
    </row>
    <row r="808">
      <c r="A808" s="72"/>
      <c r="H808" s="72"/>
    </row>
    <row r="809">
      <c r="A809" s="72"/>
      <c r="H809" s="72"/>
    </row>
    <row r="810">
      <c r="A810" s="72"/>
      <c r="H810" s="72"/>
    </row>
    <row r="811">
      <c r="A811" s="72"/>
      <c r="H811" s="72"/>
    </row>
    <row r="812">
      <c r="A812" s="72"/>
      <c r="H812" s="72"/>
    </row>
    <row r="813">
      <c r="A813" s="72"/>
      <c r="H813" s="72"/>
    </row>
    <row r="814">
      <c r="A814" s="72"/>
      <c r="H814" s="72"/>
    </row>
    <row r="815">
      <c r="A815" s="72"/>
      <c r="H815" s="72"/>
    </row>
    <row r="816">
      <c r="A816" s="72"/>
      <c r="H816" s="72"/>
    </row>
    <row r="817">
      <c r="A817" s="72"/>
      <c r="H817" s="72"/>
    </row>
    <row r="818">
      <c r="A818" s="72"/>
      <c r="H818" s="72"/>
    </row>
    <row r="819">
      <c r="A819" s="72"/>
      <c r="H819" s="72"/>
    </row>
    <row r="820">
      <c r="A820" s="72"/>
      <c r="H820" s="72"/>
    </row>
    <row r="821">
      <c r="A821" s="72"/>
      <c r="H821" s="72"/>
    </row>
    <row r="822">
      <c r="A822" s="72"/>
      <c r="H822" s="72"/>
    </row>
    <row r="823">
      <c r="A823" s="72"/>
      <c r="H823" s="72"/>
    </row>
    <row r="824">
      <c r="A824" s="72"/>
      <c r="H824" s="72"/>
    </row>
    <row r="825">
      <c r="A825" s="72"/>
      <c r="H825" s="72"/>
    </row>
    <row r="826">
      <c r="A826" s="72"/>
      <c r="H826" s="72"/>
    </row>
    <row r="827">
      <c r="A827" s="72"/>
      <c r="H827" s="72"/>
    </row>
    <row r="828">
      <c r="A828" s="72"/>
      <c r="H828" s="72"/>
    </row>
    <row r="829">
      <c r="A829" s="72"/>
      <c r="H829" s="72"/>
    </row>
    <row r="830">
      <c r="A830" s="72"/>
      <c r="H830" s="72"/>
    </row>
    <row r="831">
      <c r="A831" s="72"/>
      <c r="H831" s="72"/>
    </row>
    <row r="832">
      <c r="A832" s="72"/>
      <c r="H832" s="72"/>
    </row>
    <row r="833">
      <c r="A833" s="72"/>
      <c r="H833" s="72"/>
    </row>
    <row r="834">
      <c r="A834" s="72"/>
      <c r="H834" s="72"/>
    </row>
    <row r="835">
      <c r="A835" s="72"/>
      <c r="H835" s="72"/>
    </row>
    <row r="836">
      <c r="A836" s="72"/>
      <c r="H836" s="72"/>
    </row>
    <row r="837">
      <c r="A837" s="72"/>
      <c r="H837" s="72"/>
    </row>
    <row r="838">
      <c r="A838" s="72"/>
      <c r="H838" s="72"/>
    </row>
    <row r="839">
      <c r="A839" s="72"/>
      <c r="H839" s="72"/>
    </row>
    <row r="840">
      <c r="A840" s="72"/>
      <c r="H840" s="72"/>
    </row>
    <row r="841">
      <c r="A841" s="72"/>
      <c r="H841" s="72"/>
    </row>
    <row r="842">
      <c r="A842" s="72"/>
      <c r="H842" s="72"/>
    </row>
    <row r="843">
      <c r="A843" s="72"/>
      <c r="H843" s="72"/>
    </row>
    <row r="844">
      <c r="A844" s="72"/>
      <c r="H844" s="72"/>
    </row>
    <row r="845">
      <c r="A845" s="72"/>
      <c r="H845" s="72"/>
    </row>
    <row r="846">
      <c r="A846" s="72"/>
      <c r="H846" s="72"/>
    </row>
    <row r="847">
      <c r="A847" s="72"/>
      <c r="H847" s="72"/>
    </row>
    <row r="848">
      <c r="A848" s="72"/>
      <c r="H848" s="72"/>
    </row>
    <row r="849">
      <c r="A849" s="72"/>
      <c r="H849" s="72"/>
    </row>
    <row r="850">
      <c r="A850" s="72"/>
      <c r="H850" s="72"/>
    </row>
    <row r="851">
      <c r="A851" s="72"/>
      <c r="H851" s="72"/>
    </row>
    <row r="852">
      <c r="A852" s="72"/>
      <c r="H852" s="72"/>
    </row>
    <row r="853">
      <c r="A853" s="72"/>
      <c r="H853" s="72"/>
    </row>
    <row r="854">
      <c r="A854" s="72"/>
      <c r="H854" s="72"/>
    </row>
    <row r="855">
      <c r="A855" s="72"/>
      <c r="H855" s="72"/>
    </row>
    <row r="856">
      <c r="A856" s="72"/>
      <c r="H856" s="72"/>
    </row>
    <row r="857">
      <c r="A857" s="72"/>
      <c r="H857" s="72"/>
    </row>
    <row r="858">
      <c r="A858" s="72"/>
      <c r="H858" s="72"/>
    </row>
    <row r="859">
      <c r="A859" s="72"/>
      <c r="H859" s="72"/>
    </row>
    <row r="860">
      <c r="A860" s="72"/>
      <c r="H860" s="72"/>
    </row>
    <row r="861">
      <c r="A861" s="72"/>
      <c r="H861" s="72"/>
    </row>
    <row r="862">
      <c r="A862" s="72"/>
      <c r="H862" s="72"/>
    </row>
    <row r="863">
      <c r="A863" s="72"/>
      <c r="H863" s="72"/>
    </row>
    <row r="864">
      <c r="A864" s="72"/>
      <c r="H864" s="72"/>
    </row>
    <row r="865">
      <c r="A865" s="72"/>
      <c r="H865" s="72"/>
    </row>
    <row r="866">
      <c r="A866" s="72"/>
      <c r="H866" s="72"/>
    </row>
    <row r="867">
      <c r="A867" s="72"/>
      <c r="H867" s="72"/>
    </row>
    <row r="868">
      <c r="A868" s="72"/>
      <c r="H868" s="72"/>
    </row>
    <row r="869">
      <c r="A869" s="72"/>
      <c r="H869" s="72"/>
    </row>
    <row r="870">
      <c r="A870" s="72"/>
      <c r="H870" s="72"/>
    </row>
    <row r="871">
      <c r="A871" s="72"/>
      <c r="H871" s="72"/>
    </row>
    <row r="872">
      <c r="A872" s="72"/>
      <c r="H872" s="72"/>
    </row>
    <row r="873">
      <c r="A873" s="72"/>
      <c r="H873" s="72"/>
    </row>
    <row r="874">
      <c r="A874" s="72"/>
      <c r="H874" s="72"/>
    </row>
    <row r="875">
      <c r="A875" s="72"/>
      <c r="H875" s="72"/>
    </row>
    <row r="876">
      <c r="A876" s="72"/>
      <c r="H876" s="72"/>
    </row>
    <row r="877">
      <c r="A877" s="72"/>
      <c r="H877" s="72"/>
    </row>
    <row r="878">
      <c r="A878" s="72"/>
      <c r="H878" s="72"/>
    </row>
    <row r="879">
      <c r="A879" s="72"/>
      <c r="H879" s="72"/>
    </row>
    <row r="880">
      <c r="A880" s="72"/>
      <c r="H880" s="72"/>
    </row>
    <row r="881">
      <c r="A881" s="72"/>
      <c r="H881" s="72"/>
    </row>
    <row r="882">
      <c r="A882" s="72"/>
      <c r="H882" s="72"/>
    </row>
    <row r="883">
      <c r="A883" s="72"/>
      <c r="H883" s="72"/>
    </row>
    <row r="884">
      <c r="A884" s="72"/>
      <c r="H884" s="72"/>
    </row>
    <row r="885">
      <c r="A885" s="72"/>
      <c r="H885" s="72"/>
    </row>
    <row r="886">
      <c r="A886" s="72"/>
      <c r="H886" s="72"/>
    </row>
    <row r="887">
      <c r="A887" s="72"/>
      <c r="H887" s="72"/>
    </row>
    <row r="888">
      <c r="A888" s="72"/>
      <c r="H888" s="72"/>
    </row>
    <row r="889">
      <c r="A889" s="72"/>
      <c r="H889" s="72"/>
    </row>
    <row r="890">
      <c r="A890" s="72"/>
      <c r="H890" s="72"/>
    </row>
    <row r="891">
      <c r="A891" s="72"/>
      <c r="H891" s="72"/>
    </row>
    <row r="892">
      <c r="A892" s="72"/>
      <c r="H892" s="72"/>
    </row>
    <row r="893">
      <c r="A893" s="72"/>
      <c r="H893" s="72"/>
    </row>
    <row r="894">
      <c r="A894" s="72"/>
      <c r="H894" s="72"/>
    </row>
    <row r="895">
      <c r="A895" s="72"/>
      <c r="H895" s="72"/>
    </row>
    <row r="896">
      <c r="A896" s="72"/>
      <c r="H896" s="72"/>
    </row>
    <row r="897">
      <c r="A897" s="72"/>
      <c r="H897" s="72"/>
    </row>
    <row r="898">
      <c r="A898" s="72"/>
      <c r="H898" s="72"/>
    </row>
    <row r="899">
      <c r="A899" s="72"/>
      <c r="H899" s="72"/>
    </row>
    <row r="900">
      <c r="A900" s="72"/>
      <c r="H900" s="72"/>
    </row>
    <row r="901">
      <c r="A901" s="72"/>
      <c r="H901" s="72"/>
    </row>
    <row r="902">
      <c r="A902" s="72"/>
      <c r="H902" s="72"/>
    </row>
    <row r="903">
      <c r="A903" s="72"/>
      <c r="H903" s="72"/>
    </row>
    <row r="904">
      <c r="A904" s="72"/>
      <c r="H904" s="72"/>
    </row>
    <row r="905">
      <c r="A905" s="72"/>
      <c r="H905" s="72"/>
    </row>
    <row r="906">
      <c r="A906" s="72"/>
      <c r="H906" s="72"/>
    </row>
    <row r="907">
      <c r="A907" s="72"/>
      <c r="H907" s="72"/>
    </row>
    <row r="908">
      <c r="A908" s="72"/>
      <c r="H908" s="72"/>
    </row>
    <row r="909">
      <c r="A909" s="72"/>
      <c r="H909" s="72"/>
    </row>
    <row r="910">
      <c r="A910" s="72"/>
      <c r="H910" s="72"/>
    </row>
    <row r="911">
      <c r="A911" s="72"/>
      <c r="H911" s="72"/>
    </row>
    <row r="912">
      <c r="A912" s="72"/>
      <c r="H912" s="72"/>
    </row>
    <row r="913">
      <c r="A913" s="72"/>
      <c r="H913" s="72"/>
    </row>
    <row r="914">
      <c r="A914" s="72"/>
      <c r="H914" s="72"/>
    </row>
    <row r="915">
      <c r="A915" s="72"/>
      <c r="H915" s="72"/>
    </row>
    <row r="916">
      <c r="A916" s="72"/>
      <c r="H916" s="72"/>
    </row>
    <row r="917">
      <c r="A917" s="72"/>
      <c r="H917" s="72"/>
    </row>
    <row r="918">
      <c r="A918" s="72"/>
      <c r="H918" s="72"/>
    </row>
    <row r="919">
      <c r="A919" s="72"/>
      <c r="H919" s="72"/>
    </row>
    <row r="920">
      <c r="A920" s="72"/>
      <c r="H920" s="72"/>
    </row>
    <row r="921">
      <c r="A921" s="72"/>
      <c r="H921" s="72"/>
    </row>
    <row r="922">
      <c r="A922" s="72"/>
      <c r="H922" s="72"/>
    </row>
    <row r="923">
      <c r="A923" s="72"/>
      <c r="H923" s="72"/>
    </row>
    <row r="924">
      <c r="A924" s="72"/>
      <c r="H924" s="72"/>
    </row>
    <row r="925">
      <c r="A925" s="72"/>
      <c r="H925" s="72"/>
    </row>
    <row r="926">
      <c r="A926" s="72"/>
      <c r="H926" s="72"/>
    </row>
    <row r="927">
      <c r="A927" s="72"/>
      <c r="H927" s="72"/>
    </row>
    <row r="928">
      <c r="A928" s="72"/>
      <c r="H928" s="72"/>
    </row>
    <row r="929">
      <c r="A929" s="72"/>
      <c r="H929" s="72"/>
    </row>
    <row r="930">
      <c r="A930" s="72"/>
      <c r="H930" s="72"/>
    </row>
    <row r="931">
      <c r="A931" s="72"/>
      <c r="H931" s="72"/>
    </row>
    <row r="932">
      <c r="A932" s="72"/>
      <c r="H932" s="72"/>
    </row>
    <row r="933">
      <c r="A933" s="72"/>
      <c r="H933" s="72"/>
    </row>
    <row r="934">
      <c r="A934" s="72"/>
      <c r="H934" s="72"/>
    </row>
    <row r="935">
      <c r="A935" s="72"/>
      <c r="H935" s="72"/>
    </row>
    <row r="936">
      <c r="A936" s="72"/>
      <c r="H936" s="72"/>
    </row>
    <row r="937">
      <c r="A937" s="72"/>
      <c r="H937" s="72"/>
    </row>
    <row r="938">
      <c r="A938" s="72"/>
      <c r="H938" s="72"/>
    </row>
    <row r="939">
      <c r="A939" s="72"/>
      <c r="H939" s="72"/>
    </row>
    <row r="940">
      <c r="A940" s="72"/>
      <c r="H940" s="72"/>
    </row>
    <row r="941">
      <c r="A941" s="72"/>
      <c r="H941" s="72"/>
    </row>
    <row r="942">
      <c r="A942" s="72"/>
      <c r="H942" s="72"/>
    </row>
    <row r="943">
      <c r="A943" s="72"/>
      <c r="H943" s="72"/>
    </row>
    <row r="944">
      <c r="A944" s="72"/>
      <c r="H944" s="72"/>
    </row>
    <row r="945">
      <c r="A945" s="72"/>
      <c r="H945" s="72"/>
    </row>
    <row r="946">
      <c r="A946" s="72"/>
      <c r="H946" s="72"/>
    </row>
    <row r="947">
      <c r="A947" s="72"/>
      <c r="H947" s="72"/>
    </row>
    <row r="948">
      <c r="A948" s="72"/>
      <c r="H948" s="72"/>
    </row>
    <row r="949">
      <c r="A949" s="72"/>
      <c r="H949" s="72"/>
    </row>
    <row r="950">
      <c r="A950" s="72"/>
      <c r="H950" s="72"/>
    </row>
    <row r="951">
      <c r="A951" s="72"/>
      <c r="H951" s="72"/>
    </row>
    <row r="952">
      <c r="A952" s="72"/>
      <c r="H952" s="72"/>
    </row>
    <row r="953">
      <c r="A953" s="72"/>
      <c r="H953" s="72"/>
    </row>
    <row r="954">
      <c r="A954" s="72"/>
      <c r="H954" s="72"/>
    </row>
    <row r="955">
      <c r="A955" s="72"/>
      <c r="H955" s="72"/>
    </row>
    <row r="956">
      <c r="A956" s="72"/>
      <c r="H956" s="72"/>
    </row>
    <row r="957">
      <c r="A957" s="72"/>
      <c r="H957" s="72"/>
    </row>
    <row r="958">
      <c r="A958" s="72"/>
      <c r="H958" s="72"/>
    </row>
    <row r="959">
      <c r="A959" s="72"/>
      <c r="H959" s="72"/>
    </row>
    <row r="960">
      <c r="A960" s="72"/>
      <c r="H960" s="72"/>
    </row>
    <row r="961">
      <c r="A961" s="72"/>
      <c r="H961" s="72"/>
    </row>
    <row r="962">
      <c r="A962" s="72"/>
      <c r="H962" s="72"/>
    </row>
    <row r="963">
      <c r="A963" s="72"/>
      <c r="H963" s="72"/>
    </row>
    <row r="964">
      <c r="A964" s="72"/>
      <c r="H964" s="72"/>
    </row>
    <row r="965">
      <c r="A965" s="72"/>
      <c r="H965" s="72"/>
    </row>
    <row r="966">
      <c r="A966" s="72"/>
      <c r="H966" s="72"/>
    </row>
    <row r="967">
      <c r="A967" s="72"/>
      <c r="H967" s="72"/>
    </row>
    <row r="968">
      <c r="A968" s="72"/>
      <c r="H968" s="72"/>
    </row>
    <row r="969">
      <c r="A969" s="72"/>
      <c r="H969" s="72"/>
    </row>
    <row r="970">
      <c r="A970" s="72"/>
      <c r="H970" s="72"/>
    </row>
    <row r="971">
      <c r="A971" s="72"/>
      <c r="H971" s="72"/>
    </row>
    <row r="972">
      <c r="A972" s="72"/>
      <c r="H972" s="72"/>
    </row>
    <row r="973">
      <c r="A973" s="72"/>
      <c r="H973" s="72"/>
    </row>
    <row r="974">
      <c r="A974" s="72"/>
      <c r="H974" s="72"/>
    </row>
    <row r="975">
      <c r="A975" s="72"/>
      <c r="H975" s="72"/>
    </row>
    <row r="976">
      <c r="A976" s="72"/>
      <c r="H976" s="72"/>
    </row>
    <row r="977">
      <c r="A977" s="72"/>
      <c r="H977" s="72"/>
    </row>
    <row r="978">
      <c r="A978" s="72"/>
      <c r="H978" s="72"/>
    </row>
    <row r="979">
      <c r="A979" s="72"/>
      <c r="H979" s="72"/>
    </row>
    <row r="980">
      <c r="A980" s="72"/>
      <c r="H980" s="72"/>
    </row>
    <row r="981">
      <c r="A981" s="72"/>
      <c r="H981" s="72"/>
    </row>
    <row r="982">
      <c r="A982" s="72"/>
      <c r="H982" s="72"/>
    </row>
    <row r="983">
      <c r="A983" s="72"/>
      <c r="H983" s="72"/>
    </row>
    <row r="984">
      <c r="A984" s="72"/>
      <c r="H984" s="72"/>
    </row>
    <row r="985">
      <c r="A985" s="72"/>
      <c r="H985" s="72"/>
    </row>
    <row r="986">
      <c r="A986" s="72"/>
      <c r="H986" s="72"/>
    </row>
    <row r="987">
      <c r="A987" s="72"/>
      <c r="H987" s="72"/>
    </row>
    <row r="988">
      <c r="A988" s="72"/>
      <c r="H988" s="72"/>
    </row>
    <row r="989">
      <c r="A989" s="72"/>
      <c r="H989" s="72"/>
    </row>
    <row r="990">
      <c r="A990" s="72"/>
      <c r="H990" s="72"/>
    </row>
    <row r="991">
      <c r="A991" s="72"/>
      <c r="H991" s="72"/>
    </row>
    <row r="992">
      <c r="A992" s="72"/>
      <c r="H992" s="72"/>
    </row>
    <row r="993">
      <c r="A993" s="72"/>
      <c r="H993" s="72"/>
    </row>
    <row r="994">
      <c r="A994" s="72"/>
      <c r="H994" s="72"/>
    </row>
    <row r="995">
      <c r="A995" s="72"/>
      <c r="H995" s="72"/>
    </row>
    <row r="996">
      <c r="A996" s="72"/>
      <c r="H996" s="72"/>
    </row>
    <row r="997">
      <c r="A997" s="72"/>
      <c r="H997" s="72"/>
    </row>
    <row r="998">
      <c r="A998" s="72"/>
      <c r="H998" s="72"/>
    </row>
    <row r="999">
      <c r="A999" s="72"/>
      <c r="H999" s="72"/>
    </row>
    <row r="1000">
      <c r="A1000" s="72"/>
      <c r="H1000" s="72"/>
    </row>
    <row r="1001">
      <c r="A1001" s="72"/>
      <c r="H1001" s="72"/>
    </row>
    <row r="1002">
      <c r="A1002" s="72"/>
      <c r="H1002" s="72"/>
    </row>
    <row r="1003">
      <c r="A1003" s="72"/>
      <c r="H1003" s="72"/>
    </row>
    <row r="1004">
      <c r="A1004" s="72"/>
      <c r="H1004" s="72"/>
    </row>
    <row r="1005">
      <c r="A1005" s="72"/>
      <c r="H1005" s="72"/>
    </row>
    <row r="1006">
      <c r="A1006" s="72"/>
      <c r="H1006" s="72"/>
    </row>
    <row r="1007">
      <c r="A1007" s="72"/>
      <c r="H1007" s="72"/>
    </row>
    <row r="1008">
      <c r="A1008" s="72"/>
      <c r="H1008" s="72"/>
    </row>
    <row r="1009">
      <c r="A1009" s="72"/>
      <c r="H1009" s="72"/>
    </row>
    <row r="1010">
      <c r="A1010" s="72"/>
      <c r="H1010" s="72"/>
    </row>
    <row r="1011">
      <c r="A1011" s="72"/>
      <c r="H1011" s="72"/>
    </row>
    <row r="1012">
      <c r="A1012" s="72"/>
      <c r="H1012" s="72"/>
    </row>
    <row r="1013">
      <c r="A1013" s="72"/>
      <c r="H1013" s="72"/>
    </row>
    <row r="1014">
      <c r="A1014" s="72"/>
      <c r="H1014" s="72"/>
    </row>
    <row r="1015">
      <c r="A1015" s="72"/>
      <c r="H1015" s="72"/>
    </row>
    <row r="1016">
      <c r="A1016" s="72"/>
      <c r="H1016" s="72"/>
    </row>
    <row r="1017">
      <c r="A1017" s="72"/>
      <c r="H1017" s="72"/>
    </row>
    <row r="1018">
      <c r="A1018" s="72"/>
      <c r="H1018" s="72"/>
    </row>
  </sheetData>
  <hyperlinks>
    <hyperlink r:id="rId1" ref="H27"/>
    <hyperlink r:id="rId2" ref="H30"/>
    <hyperlink r:id="rId3" ref="H31"/>
    <hyperlink r:id="rId4" ref="H32"/>
    <hyperlink r:id="rId5" ref="H34"/>
    <hyperlink r:id="rId6" ref="H35"/>
    <hyperlink r:id="rId7" ref="H36"/>
    <hyperlink r:id="rId8" ref="H37"/>
    <hyperlink r:id="rId9" ref="H38"/>
    <hyperlink r:id="rId10" ref="H41"/>
    <hyperlink r:id="rId11" ref="H43"/>
    <hyperlink r:id="rId12" ref="H44"/>
    <hyperlink r:id="rId13" ref="H45"/>
    <hyperlink r:id="rId14" ref="H46"/>
    <hyperlink r:id="rId15" ref="H47"/>
    <hyperlink r:id="rId16" ref="H55"/>
    <hyperlink r:id="rId17" ref="H56"/>
    <hyperlink r:id="rId18" ref="H57"/>
    <hyperlink r:id="rId19" ref="H58"/>
    <hyperlink r:id="rId20" ref="H61"/>
    <hyperlink r:id="rId21" ref="H63"/>
    <hyperlink r:id="rId22" ref="H67"/>
    <hyperlink r:id="rId23" ref="H68"/>
    <hyperlink r:id="rId24" ref="H69"/>
    <hyperlink r:id="rId25" ref="H70"/>
    <hyperlink r:id="rId26" ref="H71"/>
    <hyperlink r:id="rId27" ref="H74"/>
    <hyperlink r:id="rId28" ref="H75"/>
    <hyperlink r:id="rId29" ref="H76"/>
    <hyperlink r:id="rId30" ref="H77"/>
    <hyperlink r:id="rId31" ref="H78"/>
    <hyperlink r:id="rId32" ref="H79"/>
    <hyperlink r:id="rId33" ref="H80"/>
    <hyperlink r:id="rId34" ref="H82"/>
    <hyperlink r:id="rId35" ref="H83"/>
    <hyperlink r:id="rId36" ref="H84"/>
    <hyperlink r:id="rId37" ref="H85"/>
    <hyperlink r:id="rId38" ref="H88"/>
    <hyperlink r:id="rId39" ref="H89"/>
    <hyperlink r:id="rId40" ref="H90"/>
    <hyperlink r:id="rId41" ref="H103"/>
    <hyperlink r:id="rId42" ref="H106"/>
    <hyperlink r:id="rId43" ref="H110"/>
    <hyperlink r:id="rId44" ref="H111"/>
  </hyperlinks>
  <drawing r:id="rId4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6.13"/>
  </cols>
  <sheetData>
    <row r="1">
      <c r="A1" s="6" t="s">
        <v>7369</v>
      </c>
      <c r="B1" s="6" t="s">
        <v>7974</v>
      </c>
      <c r="C1" s="9" t="s">
        <v>7975</v>
      </c>
      <c r="D1" s="9" t="s">
        <v>7976</v>
      </c>
      <c r="E1" s="9" t="s">
        <v>9</v>
      </c>
      <c r="F1" s="9" t="s">
        <v>7977</v>
      </c>
      <c r="G1" s="9" t="s">
        <v>7978</v>
      </c>
      <c r="H1" s="9" t="s">
        <v>7979</v>
      </c>
      <c r="I1" s="9" t="s">
        <v>7980</v>
      </c>
      <c r="J1" s="9" t="s">
        <v>7981</v>
      </c>
      <c r="K1" s="9" t="s">
        <v>7982</v>
      </c>
      <c r="L1" s="9" t="s">
        <v>7983</v>
      </c>
      <c r="M1" s="9" t="s">
        <v>7984</v>
      </c>
      <c r="N1" s="9" t="s">
        <v>7985</v>
      </c>
      <c r="O1" s="9" t="s">
        <v>7986</v>
      </c>
      <c r="P1" s="9" t="s">
        <v>7987</v>
      </c>
      <c r="Q1" s="9" t="s">
        <v>7988</v>
      </c>
      <c r="R1" s="9" t="s">
        <v>7989</v>
      </c>
    </row>
    <row r="2">
      <c r="A2" s="6" t="s">
        <v>7990</v>
      </c>
      <c r="B2" s="6" t="s">
        <v>7991</v>
      </c>
      <c r="F2" s="9">
        <v>1.0</v>
      </c>
      <c r="G2" s="9">
        <v>1.0</v>
      </c>
      <c r="H2" s="9">
        <v>1.0</v>
      </c>
      <c r="I2" s="9">
        <v>1.0</v>
      </c>
      <c r="J2" s="9">
        <v>1.0</v>
      </c>
      <c r="K2" s="9">
        <v>1.0</v>
      </c>
      <c r="L2" s="9">
        <v>1.0</v>
      </c>
      <c r="M2" s="9">
        <v>0.0</v>
      </c>
      <c r="N2" s="9">
        <v>0.0</v>
      </c>
      <c r="O2" s="9">
        <v>0.0</v>
      </c>
      <c r="P2" s="9">
        <v>0.0</v>
      </c>
    </row>
    <row r="3">
      <c r="A3" s="6" t="s">
        <v>7992</v>
      </c>
      <c r="B3" s="6" t="s">
        <v>7545</v>
      </c>
      <c r="F3" s="9">
        <v>1.0</v>
      </c>
      <c r="G3" s="9">
        <v>1.0</v>
      </c>
      <c r="H3" s="9">
        <v>1.0</v>
      </c>
      <c r="I3" s="9">
        <v>1.0</v>
      </c>
      <c r="J3" s="9">
        <v>1.0</v>
      </c>
      <c r="K3" s="9">
        <v>0.0</v>
      </c>
      <c r="L3" s="9">
        <v>1.0</v>
      </c>
      <c r="M3" s="9">
        <v>0.0</v>
      </c>
      <c r="N3" s="9">
        <v>0.0</v>
      </c>
      <c r="O3" s="9">
        <v>0.0</v>
      </c>
      <c r="P3" s="9">
        <v>0.0</v>
      </c>
    </row>
    <row r="4">
      <c r="A4" s="6" t="s">
        <v>7483</v>
      </c>
      <c r="B4" s="6" t="s">
        <v>7993</v>
      </c>
      <c r="F4" s="9">
        <v>1.0</v>
      </c>
      <c r="G4" s="9">
        <v>1.0</v>
      </c>
      <c r="H4" s="9">
        <v>1.0</v>
      </c>
      <c r="I4" s="9">
        <v>1.0</v>
      </c>
      <c r="J4" s="9">
        <v>0.0</v>
      </c>
      <c r="K4" s="9">
        <v>0.0</v>
      </c>
      <c r="L4" s="9">
        <v>0.0</v>
      </c>
      <c r="M4" s="9">
        <v>0.0</v>
      </c>
      <c r="N4" s="9">
        <v>0.0</v>
      </c>
      <c r="O4" s="9">
        <v>0.0</v>
      </c>
      <c r="P4" s="9">
        <v>0.0</v>
      </c>
    </row>
    <row r="5">
      <c r="A5" s="6" t="s">
        <v>7994</v>
      </c>
      <c r="B5" s="6" t="s">
        <v>7604</v>
      </c>
      <c r="F5" s="9">
        <v>1.0</v>
      </c>
      <c r="G5" s="9">
        <v>1.0</v>
      </c>
      <c r="H5" s="9">
        <v>1.0</v>
      </c>
      <c r="I5" s="9">
        <v>0.0</v>
      </c>
      <c r="J5" s="9">
        <v>0.0</v>
      </c>
      <c r="K5" s="9">
        <v>1.0</v>
      </c>
      <c r="L5" s="9">
        <v>1.0</v>
      </c>
      <c r="M5" s="9">
        <v>1.0</v>
      </c>
      <c r="N5" s="9">
        <v>0.0</v>
      </c>
      <c r="O5" s="9">
        <v>0.0</v>
      </c>
      <c r="P5" s="9">
        <v>0.0</v>
      </c>
    </row>
    <row r="6">
      <c r="A6" s="6" t="s">
        <v>7995</v>
      </c>
      <c r="B6" s="6" t="s">
        <v>7995</v>
      </c>
      <c r="F6" s="9">
        <v>1.0</v>
      </c>
      <c r="G6" s="9">
        <v>1.0</v>
      </c>
      <c r="H6" s="9">
        <v>1.0</v>
      </c>
      <c r="I6" s="9">
        <v>1.0</v>
      </c>
      <c r="J6" s="9">
        <v>0.0</v>
      </c>
      <c r="K6" s="9">
        <v>1.0</v>
      </c>
      <c r="L6" s="9">
        <v>0.0</v>
      </c>
      <c r="M6" s="9">
        <v>0.0</v>
      </c>
      <c r="N6" s="9">
        <v>0.0</v>
      </c>
      <c r="O6" s="9">
        <v>0.0</v>
      </c>
      <c r="P6" s="9">
        <v>0.0</v>
      </c>
    </row>
    <row r="7">
      <c r="A7" s="6" t="s">
        <v>7996</v>
      </c>
      <c r="B7" s="6" t="s">
        <v>7997</v>
      </c>
      <c r="F7" s="9">
        <v>1.0</v>
      </c>
      <c r="G7" s="9">
        <v>1.0</v>
      </c>
      <c r="H7" s="9">
        <v>1.0</v>
      </c>
      <c r="I7" s="9">
        <v>1.0</v>
      </c>
      <c r="J7" s="9">
        <v>0.0</v>
      </c>
      <c r="K7" s="9" t="s">
        <v>4010</v>
      </c>
      <c r="L7" s="9">
        <v>0.0</v>
      </c>
      <c r="M7" s="9">
        <v>0.0</v>
      </c>
      <c r="N7" s="9">
        <v>0.0</v>
      </c>
      <c r="O7" s="9">
        <v>0.0</v>
      </c>
      <c r="P7" s="9">
        <v>0.0</v>
      </c>
    </row>
    <row r="8">
      <c r="A8" s="6" t="s">
        <v>7998</v>
      </c>
      <c r="B8" s="6" t="s">
        <v>7999</v>
      </c>
      <c r="F8" s="9">
        <v>1.0</v>
      </c>
      <c r="G8" s="9">
        <v>1.0</v>
      </c>
      <c r="H8" s="9">
        <v>0.0</v>
      </c>
      <c r="I8" s="9"/>
      <c r="J8" s="9"/>
      <c r="K8" s="9"/>
      <c r="L8" s="9"/>
      <c r="M8" s="9"/>
      <c r="N8" s="9"/>
      <c r="O8" s="9"/>
      <c r="P8" s="9"/>
    </row>
    <row r="9">
      <c r="A9" s="6" t="s">
        <v>8000</v>
      </c>
      <c r="B9" s="13"/>
      <c r="F9" s="9">
        <v>1.0</v>
      </c>
      <c r="G9" s="9">
        <v>1.0</v>
      </c>
      <c r="H9" s="9">
        <v>1.0</v>
      </c>
      <c r="I9" s="9">
        <v>0.0</v>
      </c>
      <c r="J9" s="9">
        <v>0.0</v>
      </c>
      <c r="K9" s="9">
        <v>0.0</v>
      </c>
      <c r="L9" s="9">
        <v>0.0</v>
      </c>
      <c r="M9" s="9">
        <v>0.0</v>
      </c>
      <c r="N9" s="9">
        <v>1.0</v>
      </c>
      <c r="O9" s="9">
        <v>1.0</v>
      </c>
      <c r="P9" s="9">
        <v>0.0</v>
      </c>
    </row>
    <row r="10">
      <c r="A10" s="6" t="s">
        <v>8001</v>
      </c>
      <c r="B10" s="13"/>
      <c r="F10" s="9">
        <v>1.0</v>
      </c>
      <c r="G10" s="9">
        <v>1.0</v>
      </c>
      <c r="H10" s="9">
        <v>1.0</v>
      </c>
      <c r="I10" s="9">
        <v>0.0</v>
      </c>
      <c r="J10" s="9">
        <v>0.0</v>
      </c>
      <c r="K10" s="9">
        <v>0.0</v>
      </c>
      <c r="L10" s="9">
        <v>0.0</v>
      </c>
      <c r="M10" s="9">
        <v>0.0</v>
      </c>
      <c r="N10" s="9">
        <v>1.0</v>
      </c>
      <c r="O10" s="9">
        <v>0.0</v>
      </c>
      <c r="P10" s="9">
        <v>1.0</v>
      </c>
    </row>
    <row r="11">
      <c r="A11" s="6" t="s">
        <v>8002</v>
      </c>
      <c r="B11" s="13"/>
      <c r="F11" s="9">
        <v>1.0</v>
      </c>
      <c r="G11" s="9">
        <v>1.0</v>
      </c>
      <c r="H11" s="9">
        <v>1.0</v>
      </c>
      <c r="I11" s="9">
        <v>0.0</v>
      </c>
      <c r="J11" s="9">
        <v>0.0</v>
      </c>
      <c r="K11" s="9">
        <v>0.0</v>
      </c>
      <c r="L11" s="9">
        <v>0.0</v>
      </c>
      <c r="M11" s="9">
        <v>0.0</v>
      </c>
      <c r="N11" s="9">
        <v>1.0</v>
      </c>
      <c r="O11" s="9">
        <v>1.0</v>
      </c>
      <c r="P11" s="9">
        <v>1.0</v>
      </c>
    </row>
    <row r="12">
      <c r="A12" s="6" t="s">
        <v>7810</v>
      </c>
      <c r="B12" s="6" t="s">
        <v>2375</v>
      </c>
      <c r="Q12" s="9">
        <v>1.0</v>
      </c>
    </row>
    <row r="13">
      <c r="A13" s="6" t="s">
        <v>7989</v>
      </c>
      <c r="B13" s="6" t="s">
        <v>8003</v>
      </c>
      <c r="R13" s="9">
        <v>1.0</v>
      </c>
    </row>
    <row r="14">
      <c r="A14" s="6" t="s">
        <v>8004</v>
      </c>
      <c r="B14" s="13"/>
    </row>
    <row r="15">
      <c r="A15" s="13"/>
      <c r="B15" s="13"/>
    </row>
    <row r="16">
      <c r="A16" s="13"/>
      <c r="B16" s="13"/>
    </row>
    <row r="17">
      <c r="A17" s="13"/>
      <c r="B17" s="13"/>
    </row>
    <row r="18">
      <c r="A18" s="13"/>
      <c r="B18" s="13"/>
    </row>
    <row r="19">
      <c r="A19" s="13"/>
      <c r="B19" s="13"/>
    </row>
    <row r="20">
      <c r="A20" s="13"/>
      <c r="B20" s="13"/>
    </row>
    <row r="21">
      <c r="A21" s="13"/>
      <c r="B21" s="13"/>
    </row>
    <row r="22">
      <c r="A22" s="13"/>
      <c r="B22" s="13"/>
    </row>
    <row r="23">
      <c r="A23" s="13"/>
      <c r="B23" s="13"/>
    </row>
    <row r="24">
      <c r="A24" s="13"/>
      <c r="B24" s="13"/>
    </row>
    <row r="25">
      <c r="A25" s="13"/>
      <c r="B25" s="13"/>
    </row>
    <row r="26">
      <c r="A26" s="13"/>
      <c r="B26" s="13"/>
    </row>
    <row r="27">
      <c r="A27" s="13"/>
      <c r="B27" s="13"/>
    </row>
    <row r="28">
      <c r="A28" s="13"/>
      <c r="B28" s="13"/>
    </row>
    <row r="29">
      <c r="A29" s="13"/>
      <c r="B29" s="13"/>
    </row>
    <row r="30">
      <c r="A30" s="13"/>
      <c r="B30" s="13"/>
    </row>
    <row r="31">
      <c r="A31" s="13"/>
      <c r="B31" s="13"/>
    </row>
    <row r="32">
      <c r="A32" s="13"/>
      <c r="B32" s="13"/>
    </row>
    <row r="33">
      <c r="A33" s="13"/>
      <c r="B33" s="13"/>
    </row>
    <row r="34">
      <c r="A34" s="13"/>
      <c r="B34" s="13"/>
    </row>
    <row r="35">
      <c r="A35" s="13"/>
      <c r="B35" s="13"/>
    </row>
    <row r="36">
      <c r="A36" s="13"/>
      <c r="B36" s="13"/>
    </row>
    <row r="37">
      <c r="A37" s="13"/>
      <c r="B37" s="13"/>
    </row>
    <row r="38">
      <c r="A38" s="13"/>
      <c r="B38" s="13"/>
    </row>
    <row r="39">
      <c r="A39" s="13"/>
      <c r="B39" s="13"/>
    </row>
    <row r="40">
      <c r="A40" s="13"/>
      <c r="B40" s="13"/>
    </row>
    <row r="41">
      <c r="A41" s="13"/>
      <c r="B41" s="13"/>
    </row>
    <row r="42">
      <c r="A42" s="13"/>
      <c r="B42" s="13"/>
    </row>
    <row r="43">
      <c r="A43" s="13"/>
      <c r="B43" s="13"/>
    </row>
    <row r="44">
      <c r="A44" s="13"/>
      <c r="B44" s="13"/>
    </row>
    <row r="45">
      <c r="A45" s="13"/>
      <c r="B45" s="13"/>
    </row>
    <row r="46">
      <c r="A46" s="13"/>
      <c r="B46" s="13"/>
    </row>
    <row r="47">
      <c r="A47" s="13"/>
      <c r="B47" s="13"/>
    </row>
    <row r="48">
      <c r="A48" s="13"/>
      <c r="B48" s="13"/>
    </row>
    <row r="49">
      <c r="A49" s="13"/>
      <c r="B49" s="13"/>
    </row>
    <row r="50">
      <c r="A50" s="13"/>
      <c r="B50" s="13"/>
    </row>
    <row r="51">
      <c r="A51" s="13"/>
      <c r="B51" s="13"/>
    </row>
    <row r="52">
      <c r="A52" s="13"/>
      <c r="B52" s="13"/>
    </row>
    <row r="53">
      <c r="A53" s="13"/>
      <c r="B53" s="13"/>
    </row>
    <row r="54">
      <c r="A54" s="13"/>
      <c r="B54" s="13"/>
    </row>
    <row r="55">
      <c r="A55" s="13"/>
      <c r="B55" s="13"/>
    </row>
    <row r="56">
      <c r="A56" s="13"/>
      <c r="B56" s="13"/>
    </row>
    <row r="57">
      <c r="A57" s="13"/>
      <c r="B57" s="13"/>
    </row>
    <row r="58">
      <c r="A58" s="13"/>
      <c r="B58" s="13"/>
    </row>
    <row r="59">
      <c r="A59" s="13"/>
      <c r="B59" s="13"/>
    </row>
    <row r="60">
      <c r="A60" s="13"/>
      <c r="B60" s="13"/>
    </row>
    <row r="61">
      <c r="A61" s="13"/>
      <c r="B61" s="13"/>
    </row>
    <row r="62">
      <c r="A62" s="13"/>
      <c r="B62" s="13"/>
    </row>
    <row r="63">
      <c r="A63" s="13"/>
      <c r="B63" s="13"/>
    </row>
    <row r="64">
      <c r="A64" s="13"/>
      <c r="B64" s="13"/>
    </row>
    <row r="65">
      <c r="A65" s="13"/>
      <c r="B65" s="13"/>
    </row>
    <row r="66">
      <c r="A66" s="13"/>
      <c r="B66" s="13"/>
    </row>
    <row r="67">
      <c r="A67" s="13"/>
      <c r="B67" s="13"/>
    </row>
    <row r="68">
      <c r="A68" s="13"/>
      <c r="B68" s="13"/>
    </row>
    <row r="69">
      <c r="A69" s="13"/>
      <c r="B69" s="13"/>
    </row>
    <row r="70">
      <c r="A70" s="13"/>
      <c r="B70" s="13"/>
    </row>
    <row r="71">
      <c r="A71" s="13"/>
      <c r="B71" s="13"/>
    </row>
    <row r="72">
      <c r="A72" s="13"/>
      <c r="B72" s="13"/>
    </row>
    <row r="73">
      <c r="A73" s="13"/>
      <c r="B73" s="13"/>
    </row>
    <row r="74">
      <c r="A74" s="13"/>
      <c r="B74" s="13"/>
    </row>
    <row r="75">
      <c r="A75" s="13"/>
      <c r="B75" s="13"/>
    </row>
    <row r="76">
      <c r="A76" s="13"/>
      <c r="B76" s="13"/>
    </row>
    <row r="77">
      <c r="A77" s="13"/>
      <c r="B77" s="13"/>
    </row>
    <row r="78">
      <c r="A78" s="13"/>
      <c r="B78" s="13"/>
    </row>
    <row r="79">
      <c r="A79" s="13"/>
      <c r="B79" s="13"/>
    </row>
    <row r="80">
      <c r="A80" s="13"/>
      <c r="B80" s="13"/>
    </row>
    <row r="81">
      <c r="A81" s="13"/>
      <c r="B81" s="13"/>
    </row>
    <row r="82">
      <c r="A82" s="13"/>
      <c r="B82" s="13"/>
    </row>
    <row r="83">
      <c r="A83" s="13"/>
      <c r="B83" s="13"/>
    </row>
    <row r="84">
      <c r="A84" s="13"/>
      <c r="B84" s="13"/>
    </row>
    <row r="85">
      <c r="A85" s="13"/>
      <c r="B85" s="13"/>
    </row>
    <row r="86">
      <c r="A86" s="13"/>
      <c r="B86" s="13"/>
    </row>
    <row r="87">
      <c r="A87" s="13"/>
      <c r="B87" s="13"/>
    </row>
    <row r="88">
      <c r="A88" s="13"/>
      <c r="B88" s="13"/>
    </row>
    <row r="89">
      <c r="A89" s="13"/>
      <c r="B89" s="13"/>
    </row>
    <row r="90">
      <c r="A90" s="13"/>
      <c r="B90" s="13"/>
    </row>
    <row r="91">
      <c r="A91" s="13"/>
      <c r="B91" s="13"/>
    </row>
    <row r="92">
      <c r="A92" s="13"/>
      <c r="B92" s="13"/>
    </row>
    <row r="93">
      <c r="A93" s="13"/>
      <c r="B93" s="13"/>
    </row>
    <row r="94">
      <c r="A94" s="13"/>
      <c r="B94" s="13"/>
    </row>
    <row r="95">
      <c r="A95" s="13"/>
      <c r="B95" s="13"/>
    </row>
    <row r="96">
      <c r="A96" s="13"/>
      <c r="B96" s="13"/>
    </row>
    <row r="97">
      <c r="A97" s="13"/>
      <c r="B97" s="13"/>
    </row>
    <row r="98">
      <c r="A98" s="13"/>
      <c r="B98" s="13"/>
    </row>
    <row r="99">
      <c r="A99" s="13"/>
      <c r="B99" s="13"/>
    </row>
    <row r="100">
      <c r="A100" s="13"/>
      <c r="B100" s="13"/>
    </row>
    <row r="101">
      <c r="A101" s="13"/>
      <c r="B101" s="13"/>
    </row>
    <row r="102">
      <c r="A102" s="13"/>
      <c r="B102" s="13"/>
    </row>
    <row r="103">
      <c r="A103" s="13"/>
      <c r="B103" s="13"/>
    </row>
    <row r="104">
      <c r="A104" s="13"/>
      <c r="B104" s="13"/>
    </row>
    <row r="105">
      <c r="A105" s="13"/>
      <c r="B105" s="13"/>
    </row>
    <row r="106">
      <c r="A106" s="13"/>
      <c r="B106" s="13"/>
    </row>
    <row r="107">
      <c r="A107" s="13"/>
      <c r="B107" s="13"/>
    </row>
    <row r="108">
      <c r="A108" s="13"/>
      <c r="B108" s="13"/>
    </row>
    <row r="109">
      <c r="A109" s="13"/>
      <c r="B109" s="13"/>
    </row>
    <row r="110">
      <c r="A110" s="13"/>
      <c r="B110" s="13"/>
    </row>
    <row r="111">
      <c r="A111" s="13"/>
      <c r="B111" s="13"/>
    </row>
    <row r="112">
      <c r="A112" s="13"/>
      <c r="B112" s="13"/>
    </row>
    <row r="113">
      <c r="A113" s="13"/>
      <c r="B113" s="13"/>
    </row>
    <row r="114">
      <c r="A114" s="13"/>
      <c r="B114" s="13"/>
    </row>
    <row r="115">
      <c r="A115" s="13"/>
      <c r="B115" s="13"/>
    </row>
    <row r="116">
      <c r="A116" s="13"/>
      <c r="B116" s="13"/>
    </row>
    <row r="117">
      <c r="A117" s="13"/>
      <c r="B117" s="13"/>
    </row>
    <row r="118">
      <c r="A118" s="13"/>
      <c r="B118" s="13"/>
    </row>
    <row r="119">
      <c r="A119" s="13"/>
      <c r="B119" s="13"/>
    </row>
    <row r="120">
      <c r="A120" s="13"/>
      <c r="B120" s="13"/>
    </row>
    <row r="121">
      <c r="A121" s="13"/>
      <c r="B121" s="13"/>
    </row>
    <row r="122">
      <c r="A122" s="13"/>
      <c r="B122" s="13"/>
    </row>
    <row r="123">
      <c r="A123" s="13"/>
      <c r="B123" s="13"/>
    </row>
    <row r="124">
      <c r="A124" s="13"/>
      <c r="B124" s="13"/>
    </row>
    <row r="125">
      <c r="A125" s="13"/>
      <c r="B125" s="13"/>
    </row>
    <row r="126">
      <c r="A126" s="13"/>
      <c r="B126" s="13"/>
    </row>
    <row r="127">
      <c r="A127" s="13"/>
      <c r="B127" s="13"/>
    </row>
    <row r="128">
      <c r="A128" s="13"/>
      <c r="B128" s="13"/>
    </row>
    <row r="129">
      <c r="A129" s="13"/>
      <c r="B129" s="13"/>
    </row>
    <row r="130">
      <c r="A130" s="13"/>
      <c r="B130" s="13"/>
    </row>
    <row r="131">
      <c r="A131" s="13"/>
      <c r="B131" s="13"/>
    </row>
    <row r="132">
      <c r="A132" s="13"/>
      <c r="B132" s="13"/>
    </row>
    <row r="133">
      <c r="A133" s="13"/>
      <c r="B133" s="13"/>
    </row>
    <row r="134">
      <c r="A134" s="13"/>
      <c r="B134" s="13"/>
    </row>
    <row r="135">
      <c r="A135" s="13"/>
      <c r="B135" s="13"/>
    </row>
    <row r="136">
      <c r="A136" s="13"/>
      <c r="B136" s="13"/>
    </row>
    <row r="137">
      <c r="A137" s="13"/>
      <c r="B137" s="13"/>
    </row>
    <row r="138">
      <c r="A138" s="13"/>
      <c r="B138" s="13"/>
    </row>
    <row r="139">
      <c r="A139" s="13"/>
      <c r="B139" s="13"/>
    </row>
    <row r="140">
      <c r="A140" s="13"/>
      <c r="B140" s="13"/>
    </row>
    <row r="141">
      <c r="A141" s="13"/>
      <c r="B141" s="13"/>
    </row>
    <row r="142">
      <c r="A142" s="13"/>
      <c r="B142" s="13"/>
    </row>
    <row r="143">
      <c r="A143" s="13"/>
      <c r="B143" s="13"/>
    </row>
    <row r="144">
      <c r="A144" s="13"/>
      <c r="B144" s="13"/>
    </row>
    <row r="145">
      <c r="A145" s="13"/>
      <c r="B145" s="13"/>
    </row>
    <row r="146">
      <c r="A146" s="13"/>
      <c r="B146" s="13"/>
    </row>
    <row r="147">
      <c r="A147" s="13"/>
      <c r="B147" s="13"/>
    </row>
    <row r="148">
      <c r="A148" s="13"/>
      <c r="B148" s="13"/>
    </row>
    <row r="149">
      <c r="A149" s="13"/>
      <c r="B149" s="13"/>
    </row>
    <row r="150">
      <c r="A150" s="13"/>
      <c r="B150" s="13"/>
    </row>
    <row r="151">
      <c r="A151" s="13"/>
      <c r="B151" s="13"/>
    </row>
    <row r="152">
      <c r="A152" s="13"/>
      <c r="B152" s="13"/>
    </row>
    <row r="153">
      <c r="A153" s="13"/>
      <c r="B153" s="13"/>
    </row>
    <row r="154">
      <c r="A154" s="13"/>
      <c r="B154" s="13"/>
    </row>
    <row r="155">
      <c r="A155" s="13"/>
      <c r="B155" s="13"/>
    </row>
    <row r="156">
      <c r="A156" s="13"/>
      <c r="B156" s="13"/>
    </row>
    <row r="157">
      <c r="A157" s="13"/>
      <c r="B157" s="13"/>
    </row>
    <row r="158">
      <c r="A158" s="13"/>
      <c r="B158" s="13"/>
    </row>
    <row r="159">
      <c r="A159" s="13"/>
      <c r="B159" s="13"/>
    </row>
    <row r="160">
      <c r="A160" s="13"/>
      <c r="B160" s="13"/>
    </row>
    <row r="161">
      <c r="A161" s="13"/>
      <c r="B161" s="13"/>
    </row>
    <row r="162">
      <c r="A162" s="13"/>
      <c r="B162" s="13"/>
    </row>
    <row r="163">
      <c r="A163" s="13"/>
      <c r="B163" s="13"/>
    </row>
    <row r="164">
      <c r="A164" s="13"/>
      <c r="B164" s="13"/>
    </row>
    <row r="165">
      <c r="A165" s="13"/>
      <c r="B165" s="13"/>
    </row>
    <row r="166">
      <c r="A166" s="13"/>
      <c r="B166" s="13"/>
    </row>
    <row r="167">
      <c r="A167" s="13"/>
      <c r="B167" s="13"/>
    </row>
    <row r="168">
      <c r="A168" s="13"/>
      <c r="B168" s="13"/>
    </row>
    <row r="169">
      <c r="A169" s="13"/>
      <c r="B169" s="13"/>
    </row>
    <row r="170">
      <c r="A170" s="13"/>
      <c r="B170" s="13"/>
    </row>
    <row r="171">
      <c r="A171" s="13"/>
      <c r="B171" s="13"/>
    </row>
    <row r="172">
      <c r="A172" s="13"/>
      <c r="B172" s="13"/>
    </row>
    <row r="173">
      <c r="A173" s="13"/>
      <c r="B173" s="13"/>
    </row>
    <row r="174">
      <c r="A174" s="13"/>
      <c r="B174" s="13"/>
    </row>
    <row r="175">
      <c r="A175" s="13"/>
      <c r="B175" s="13"/>
    </row>
    <row r="176">
      <c r="A176" s="13"/>
      <c r="B176" s="13"/>
    </row>
    <row r="177">
      <c r="A177" s="13"/>
      <c r="B177" s="13"/>
    </row>
    <row r="178">
      <c r="A178" s="13"/>
      <c r="B178" s="13"/>
    </row>
    <row r="179">
      <c r="A179" s="13"/>
      <c r="B179" s="13"/>
    </row>
    <row r="180">
      <c r="A180" s="13"/>
      <c r="B180" s="13"/>
    </row>
    <row r="181">
      <c r="A181" s="13"/>
      <c r="B181" s="13"/>
    </row>
    <row r="182">
      <c r="A182" s="13"/>
      <c r="B182" s="13"/>
    </row>
    <row r="183">
      <c r="A183" s="13"/>
      <c r="B183" s="13"/>
    </row>
    <row r="184">
      <c r="A184" s="13"/>
      <c r="B184" s="13"/>
    </row>
    <row r="185">
      <c r="A185" s="13"/>
      <c r="B185" s="13"/>
    </row>
    <row r="186">
      <c r="A186" s="13"/>
      <c r="B186" s="13"/>
    </row>
    <row r="187">
      <c r="A187" s="13"/>
      <c r="B187" s="13"/>
    </row>
    <row r="188">
      <c r="A188" s="13"/>
      <c r="B188" s="13"/>
    </row>
    <row r="189">
      <c r="A189" s="13"/>
      <c r="B189" s="13"/>
    </row>
    <row r="190">
      <c r="A190" s="13"/>
      <c r="B190" s="13"/>
    </row>
    <row r="191">
      <c r="A191" s="13"/>
      <c r="B191" s="13"/>
    </row>
    <row r="192">
      <c r="A192" s="13"/>
      <c r="B192" s="13"/>
    </row>
    <row r="193">
      <c r="A193" s="13"/>
      <c r="B193" s="13"/>
    </row>
    <row r="194">
      <c r="A194" s="13"/>
      <c r="B194" s="13"/>
    </row>
    <row r="195">
      <c r="A195" s="13"/>
      <c r="B195" s="13"/>
    </row>
    <row r="196">
      <c r="A196" s="13"/>
      <c r="B196" s="13"/>
    </row>
    <row r="197">
      <c r="A197" s="13"/>
      <c r="B197" s="13"/>
    </row>
    <row r="198">
      <c r="A198" s="13"/>
      <c r="B198" s="13"/>
    </row>
    <row r="199">
      <c r="A199" s="13"/>
      <c r="B199" s="13"/>
    </row>
    <row r="200">
      <c r="A200" s="13"/>
      <c r="B200" s="13"/>
    </row>
    <row r="201">
      <c r="A201" s="13"/>
      <c r="B201" s="13"/>
    </row>
    <row r="202">
      <c r="A202" s="13"/>
      <c r="B202" s="13"/>
    </row>
    <row r="203">
      <c r="A203" s="13"/>
      <c r="B203" s="13"/>
    </row>
    <row r="204">
      <c r="A204" s="13"/>
      <c r="B204" s="13"/>
    </row>
    <row r="205">
      <c r="A205" s="13"/>
      <c r="B205" s="13"/>
    </row>
    <row r="206">
      <c r="A206" s="13"/>
      <c r="B206" s="13"/>
    </row>
    <row r="207">
      <c r="A207" s="13"/>
      <c r="B207" s="13"/>
    </row>
    <row r="208">
      <c r="A208" s="13"/>
      <c r="B208" s="13"/>
    </row>
    <row r="209">
      <c r="A209" s="13"/>
      <c r="B209" s="13"/>
    </row>
    <row r="210">
      <c r="A210" s="13"/>
      <c r="B210" s="13"/>
    </row>
    <row r="211">
      <c r="A211" s="13"/>
      <c r="B211" s="13"/>
    </row>
    <row r="212">
      <c r="A212" s="13"/>
      <c r="B212" s="13"/>
    </row>
    <row r="213">
      <c r="A213" s="13"/>
      <c r="B213" s="13"/>
    </row>
    <row r="214">
      <c r="A214" s="13"/>
      <c r="B214" s="13"/>
    </row>
    <row r="215">
      <c r="A215" s="13"/>
      <c r="B215" s="13"/>
    </row>
    <row r="216">
      <c r="A216" s="13"/>
      <c r="B216" s="13"/>
    </row>
    <row r="217">
      <c r="A217" s="13"/>
      <c r="B217" s="13"/>
    </row>
    <row r="218">
      <c r="A218" s="13"/>
      <c r="B218" s="13"/>
    </row>
    <row r="219">
      <c r="A219" s="13"/>
      <c r="B219" s="13"/>
    </row>
    <row r="220">
      <c r="A220" s="13"/>
      <c r="B220" s="13"/>
    </row>
    <row r="221">
      <c r="A221" s="13"/>
      <c r="B221" s="13"/>
    </row>
    <row r="222">
      <c r="A222" s="13"/>
      <c r="B222" s="13"/>
    </row>
    <row r="223">
      <c r="A223" s="13"/>
      <c r="B223" s="13"/>
    </row>
    <row r="224">
      <c r="A224" s="13"/>
      <c r="B224" s="13"/>
    </row>
    <row r="225">
      <c r="A225" s="13"/>
      <c r="B225" s="13"/>
    </row>
    <row r="226">
      <c r="A226" s="13"/>
      <c r="B226" s="13"/>
    </row>
    <row r="227">
      <c r="A227" s="13"/>
      <c r="B227" s="13"/>
    </row>
    <row r="228">
      <c r="A228" s="13"/>
      <c r="B228" s="13"/>
    </row>
    <row r="229">
      <c r="A229" s="13"/>
      <c r="B229" s="13"/>
    </row>
    <row r="230">
      <c r="A230" s="13"/>
      <c r="B230" s="13"/>
    </row>
    <row r="231">
      <c r="A231" s="13"/>
      <c r="B231" s="13"/>
    </row>
    <row r="232">
      <c r="A232" s="13"/>
      <c r="B232" s="13"/>
    </row>
    <row r="233">
      <c r="A233" s="13"/>
      <c r="B233" s="13"/>
    </row>
    <row r="234">
      <c r="A234" s="13"/>
      <c r="B234" s="13"/>
    </row>
    <row r="235">
      <c r="A235" s="13"/>
      <c r="B235" s="13"/>
    </row>
    <row r="236">
      <c r="A236" s="13"/>
      <c r="B236" s="13"/>
    </row>
    <row r="237">
      <c r="A237" s="13"/>
      <c r="B237" s="13"/>
    </row>
    <row r="238">
      <c r="A238" s="13"/>
      <c r="B238" s="13"/>
    </row>
    <row r="239">
      <c r="A239" s="13"/>
      <c r="B239" s="13"/>
    </row>
    <row r="240">
      <c r="A240" s="13"/>
      <c r="B240" s="13"/>
    </row>
    <row r="241">
      <c r="A241" s="13"/>
      <c r="B241" s="13"/>
    </row>
    <row r="242">
      <c r="A242" s="13"/>
      <c r="B242" s="13"/>
    </row>
    <row r="243">
      <c r="A243" s="13"/>
      <c r="B243" s="13"/>
    </row>
    <row r="244">
      <c r="A244" s="13"/>
      <c r="B244" s="13"/>
    </row>
    <row r="245">
      <c r="A245" s="13"/>
      <c r="B245" s="13"/>
    </row>
    <row r="246">
      <c r="A246" s="13"/>
      <c r="B246" s="13"/>
    </row>
    <row r="247">
      <c r="A247" s="13"/>
      <c r="B247" s="13"/>
    </row>
    <row r="248">
      <c r="A248" s="13"/>
      <c r="B248" s="13"/>
    </row>
    <row r="249">
      <c r="A249" s="13"/>
      <c r="B249" s="13"/>
    </row>
    <row r="250">
      <c r="A250" s="13"/>
      <c r="B250" s="13"/>
    </row>
    <row r="251">
      <c r="A251" s="13"/>
      <c r="B251" s="13"/>
    </row>
    <row r="252">
      <c r="A252" s="13"/>
      <c r="B252" s="13"/>
    </row>
    <row r="253">
      <c r="A253" s="13"/>
      <c r="B253" s="13"/>
    </row>
    <row r="254">
      <c r="A254" s="13"/>
      <c r="B254" s="13"/>
    </row>
    <row r="255">
      <c r="A255" s="13"/>
      <c r="B255" s="13"/>
    </row>
    <row r="256">
      <c r="A256" s="13"/>
      <c r="B256" s="13"/>
    </row>
    <row r="257">
      <c r="A257" s="13"/>
      <c r="B257" s="13"/>
    </row>
    <row r="258">
      <c r="A258" s="13"/>
      <c r="B258" s="13"/>
    </row>
    <row r="259">
      <c r="A259" s="13"/>
      <c r="B259" s="13"/>
    </row>
    <row r="260">
      <c r="A260" s="13"/>
      <c r="B260" s="13"/>
    </row>
    <row r="261">
      <c r="A261" s="13"/>
      <c r="B261" s="13"/>
    </row>
    <row r="262">
      <c r="A262" s="13"/>
      <c r="B262" s="13"/>
    </row>
    <row r="263">
      <c r="A263" s="13"/>
      <c r="B263" s="13"/>
    </row>
    <row r="264">
      <c r="A264" s="13"/>
      <c r="B264" s="13"/>
    </row>
    <row r="265">
      <c r="A265" s="13"/>
      <c r="B265" s="13"/>
    </row>
    <row r="266">
      <c r="A266" s="13"/>
      <c r="B266" s="13"/>
    </row>
    <row r="267">
      <c r="A267" s="13"/>
      <c r="B267" s="13"/>
    </row>
    <row r="268">
      <c r="A268" s="13"/>
      <c r="B268" s="13"/>
    </row>
    <row r="269">
      <c r="A269" s="13"/>
      <c r="B269" s="13"/>
    </row>
    <row r="270">
      <c r="A270" s="13"/>
      <c r="B270" s="13"/>
    </row>
    <row r="271">
      <c r="A271" s="13"/>
      <c r="B271" s="13"/>
    </row>
    <row r="272">
      <c r="A272" s="13"/>
      <c r="B272" s="13"/>
    </row>
    <row r="273">
      <c r="A273" s="13"/>
      <c r="B273" s="13"/>
    </row>
    <row r="274">
      <c r="A274" s="13"/>
      <c r="B274" s="13"/>
    </row>
    <row r="275">
      <c r="A275" s="13"/>
      <c r="B275" s="13"/>
    </row>
    <row r="276">
      <c r="A276" s="13"/>
      <c r="B276" s="13"/>
    </row>
    <row r="277">
      <c r="A277" s="13"/>
      <c r="B277" s="13"/>
    </row>
    <row r="278">
      <c r="A278" s="13"/>
      <c r="B278" s="13"/>
    </row>
    <row r="279">
      <c r="A279" s="13"/>
      <c r="B279" s="13"/>
    </row>
    <row r="280">
      <c r="A280" s="13"/>
      <c r="B280" s="13"/>
    </row>
    <row r="281">
      <c r="A281" s="13"/>
      <c r="B281" s="13"/>
    </row>
    <row r="282">
      <c r="A282" s="13"/>
      <c r="B282" s="13"/>
    </row>
    <row r="283">
      <c r="A283" s="13"/>
      <c r="B283" s="13"/>
    </row>
    <row r="284">
      <c r="A284" s="13"/>
      <c r="B284" s="13"/>
    </row>
    <row r="285">
      <c r="A285" s="13"/>
      <c r="B285" s="13"/>
    </row>
    <row r="286">
      <c r="A286" s="13"/>
      <c r="B286" s="13"/>
    </row>
    <row r="287">
      <c r="A287" s="13"/>
      <c r="B287" s="13"/>
    </row>
    <row r="288">
      <c r="A288" s="13"/>
      <c r="B288" s="13"/>
    </row>
    <row r="289">
      <c r="A289" s="13"/>
      <c r="B289" s="13"/>
    </row>
    <row r="290">
      <c r="A290" s="13"/>
      <c r="B290" s="13"/>
    </row>
    <row r="291">
      <c r="A291" s="13"/>
      <c r="B291" s="13"/>
    </row>
    <row r="292">
      <c r="A292" s="13"/>
      <c r="B292" s="13"/>
    </row>
    <row r="293">
      <c r="A293" s="13"/>
      <c r="B293" s="13"/>
    </row>
    <row r="294">
      <c r="A294" s="13"/>
      <c r="B294" s="13"/>
    </row>
    <row r="295">
      <c r="A295" s="13"/>
      <c r="B295" s="13"/>
    </row>
    <row r="296">
      <c r="A296" s="13"/>
      <c r="B296" s="13"/>
    </row>
    <row r="297">
      <c r="A297" s="13"/>
      <c r="B297" s="13"/>
    </row>
    <row r="298">
      <c r="A298" s="13"/>
      <c r="B298" s="13"/>
    </row>
    <row r="299">
      <c r="A299" s="13"/>
      <c r="B299" s="13"/>
    </row>
    <row r="300">
      <c r="A300" s="13"/>
      <c r="B300" s="13"/>
    </row>
    <row r="301">
      <c r="A301" s="13"/>
      <c r="B301" s="13"/>
    </row>
    <row r="302">
      <c r="A302" s="13"/>
      <c r="B302" s="13"/>
    </row>
    <row r="303">
      <c r="A303" s="13"/>
      <c r="B303" s="13"/>
    </row>
    <row r="304">
      <c r="A304" s="13"/>
      <c r="B304" s="13"/>
    </row>
    <row r="305">
      <c r="A305" s="13"/>
      <c r="B305" s="13"/>
    </row>
    <row r="306">
      <c r="A306" s="13"/>
      <c r="B306" s="13"/>
    </row>
    <row r="307">
      <c r="A307" s="13"/>
      <c r="B307" s="13"/>
    </row>
    <row r="308">
      <c r="A308" s="13"/>
      <c r="B308" s="13"/>
    </row>
    <row r="309">
      <c r="A309" s="13"/>
      <c r="B309" s="13"/>
    </row>
    <row r="310">
      <c r="A310" s="13"/>
      <c r="B310" s="13"/>
    </row>
    <row r="311">
      <c r="A311" s="13"/>
      <c r="B311" s="13"/>
    </row>
    <row r="312">
      <c r="A312" s="13"/>
      <c r="B312" s="13"/>
    </row>
    <row r="313">
      <c r="A313" s="13"/>
      <c r="B313" s="13"/>
    </row>
    <row r="314">
      <c r="A314" s="13"/>
      <c r="B314" s="13"/>
    </row>
    <row r="315">
      <c r="A315" s="13"/>
      <c r="B315" s="13"/>
    </row>
    <row r="316">
      <c r="A316" s="13"/>
      <c r="B316" s="13"/>
    </row>
    <row r="317">
      <c r="A317" s="13"/>
      <c r="B317" s="13"/>
    </row>
    <row r="318">
      <c r="A318" s="13"/>
      <c r="B318" s="13"/>
    </row>
    <row r="319">
      <c r="A319" s="13"/>
      <c r="B319" s="13"/>
    </row>
    <row r="320">
      <c r="A320" s="13"/>
      <c r="B320" s="13"/>
    </row>
    <row r="321">
      <c r="A321" s="13"/>
      <c r="B321" s="13"/>
    </row>
    <row r="322">
      <c r="A322" s="13"/>
      <c r="B322" s="13"/>
    </row>
    <row r="323">
      <c r="A323" s="13"/>
      <c r="B323" s="13"/>
    </row>
    <row r="324">
      <c r="A324" s="13"/>
      <c r="B324" s="13"/>
    </row>
    <row r="325">
      <c r="A325" s="13"/>
      <c r="B325" s="13"/>
    </row>
    <row r="326">
      <c r="A326" s="13"/>
      <c r="B326" s="13"/>
    </row>
    <row r="327">
      <c r="A327" s="13"/>
      <c r="B327" s="13"/>
    </row>
    <row r="328">
      <c r="A328" s="13"/>
      <c r="B328" s="13"/>
    </row>
    <row r="329">
      <c r="A329" s="13"/>
      <c r="B329" s="13"/>
    </row>
    <row r="330">
      <c r="A330" s="13"/>
      <c r="B330" s="13"/>
    </row>
    <row r="331">
      <c r="A331" s="13"/>
      <c r="B331" s="13"/>
    </row>
    <row r="332">
      <c r="A332" s="13"/>
      <c r="B332" s="13"/>
    </row>
    <row r="333">
      <c r="A333" s="13"/>
      <c r="B333" s="13"/>
    </row>
    <row r="334">
      <c r="A334" s="13"/>
      <c r="B334" s="13"/>
    </row>
    <row r="335">
      <c r="A335" s="13"/>
      <c r="B335" s="13"/>
    </row>
    <row r="336">
      <c r="A336" s="13"/>
      <c r="B336" s="13"/>
    </row>
    <row r="337">
      <c r="A337" s="13"/>
      <c r="B337" s="13"/>
    </row>
    <row r="338">
      <c r="A338" s="13"/>
      <c r="B338" s="13"/>
    </row>
    <row r="339">
      <c r="A339" s="13"/>
      <c r="B339" s="13"/>
    </row>
    <row r="340">
      <c r="A340" s="13"/>
      <c r="B340" s="13"/>
    </row>
    <row r="341">
      <c r="A341" s="13"/>
      <c r="B341" s="13"/>
    </row>
    <row r="342">
      <c r="A342" s="13"/>
      <c r="B342" s="13"/>
    </row>
    <row r="343">
      <c r="A343" s="13"/>
      <c r="B343" s="13"/>
    </row>
    <row r="344">
      <c r="A344" s="13"/>
      <c r="B344" s="13"/>
    </row>
    <row r="345">
      <c r="A345" s="13"/>
      <c r="B345" s="13"/>
    </row>
    <row r="346">
      <c r="A346" s="13"/>
      <c r="B346" s="13"/>
    </row>
    <row r="347">
      <c r="A347" s="13"/>
      <c r="B347" s="13"/>
    </row>
    <row r="348">
      <c r="A348" s="13"/>
      <c r="B348" s="13"/>
    </row>
    <row r="349">
      <c r="A349" s="13"/>
      <c r="B349" s="13"/>
    </row>
    <row r="350">
      <c r="A350" s="13"/>
      <c r="B350" s="13"/>
    </row>
    <row r="351">
      <c r="A351" s="13"/>
      <c r="B351" s="13"/>
    </row>
    <row r="352">
      <c r="A352" s="13"/>
      <c r="B352" s="13"/>
    </row>
    <row r="353">
      <c r="A353" s="13"/>
      <c r="B353" s="13"/>
    </row>
    <row r="354">
      <c r="A354" s="13"/>
      <c r="B354" s="13"/>
    </row>
    <row r="355">
      <c r="A355" s="13"/>
      <c r="B355" s="13"/>
    </row>
    <row r="356">
      <c r="A356" s="13"/>
      <c r="B356" s="13"/>
    </row>
    <row r="357">
      <c r="A357" s="13"/>
      <c r="B357" s="13"/>
    </row>
    <row r="358">
      <c r="A358" s="13"/>
      <c r="B358" s="13"/>
    </row>
    <row r="359">
      <c r="A359" s="13"/>
      <c r="B359" s="13"/>
    </row>
    <row r="360">
      <c r="A360" s="13"/>
      <c r="B360" s="13"/>
    </row>
    <row r="361">
      <c r="A361" s="13"/>
      <c r="B361" s="13"/>
    </row>
    <row r="362">
      <c r="A362" s="13"/>
      <c r="B362" s="13"/>
    </row>
    <row r="363">
      <c r="A363" s="13"/>
      <c r="B363" s="13"/>
    </row>
    <row r="364">
      <c r="A364" s="13"/>
      <c r="B364" s="13"/>
    </row>
    <row r="365">
      <c r="A365" s="13"/>
      <c r="B365" s="13"/>
    </row>
    <row r="366">
      <c r="A366" s="13"/>
      <c r="B366" s="13"/>
    </row>
    <row r="367">
      <c r="A367" s="13"/>
      <c r="B367" s="13"/>
    </row>
    <row r="368">
      <c r="A368" s="13"/>
      <c r="B368" s="13"/>
    </row>
    <row r="369">
      <c r="A369" s="13"/>
      <c r="B369" s="13"/>
    </row>
    <row r="370">
      <c r="A370" s="13"/>
      <c r="B370" s="13"/>
    </row>
    <row r="371">
      <c r="A371" s="13"/>
      <c r="B371" s="13"/>
    </row>
    <row r="372">
      <c r="A372" s="13"/>
      <c r="B372" s="13"/>
    </row>
    <row r="373">
      <c r="A373" s="13"/>
      <c r="B373" s="13"/>
    </row>
    <row r="374">
      <c r="A374" s="13"/>
      <c r="B374" s="13"/>
    </row>
    <row r="375">
      <c r="A375" s="13"/>
      <c r="B375" s="13"/>
    </row>
    <row r="376">
      <c r="A376" s="13"/>
      <c r="B376" s="13"/>
    </row>
    <row r="377">
      <c r="A377" s="13"/>
      <c r="B377" s="13"/>
    </row>
    <row r="378">
      <c r="A378" s="13"/>
      <c r="B378" s="13"/>
    </row>
    <row r="379">
      <c r="A379" s="13"/>
      <c r="B379" s="13"/>
    </row>
    <row r="380">
      <c r="A380" s="13"/>
      <c r="B380" s="13"/>
    </row>
    <row r="381">
      <c r="A381" s="13"/>
      <c r="B381" s="13"/>
    </row>
    <row r="382">
      <c r="A382" s="13"/>
      <c r="B382" s="13"/>
    </row>
    <row r="383">
      <c r="A383" s="13"/>
      <c r="B383" s="13"/>
    </row>
    <row r="384">
      <c r="A384" s="13"/>
      <c r="B384" s="13"/>
    </row>
    <row r="385">
      <c r="A385" s="13"/>
      <c r="B385" s="13"/>
    </row>
    <row r="386">
      <c r="A386" s="13"/>
      <c r="B386" s="13"/>
    </row>
    <row r="387">
      <c r="A387" s="13"/>
      <c r="B387" s="13"/>
    </row>
    <row r="388">
      <c r="A388" s="13"/>
      <c r="B388" s="13"/>
    </row>
    <row r="389">
      <c r="A389" s="13"/>
      <c r="B389" s="13"/>
    </row>
    <row r="390">
      <c r="A390" s="13"/>
      <c r="B390" s="13"/>
    </row>
    <row r="391">
      <c r="A391" s="13"/>
      <c r="B391" s="13"/>
    </row>
    <row r="392">
      <c r="A392" s="13"/>
      <c r="B392" s="13"/>
    </row>
    <row r="393">
      <c r="A393" s="13"/>
      <c r="B393" s="13"/>
    </row>
    <row r="394">
      <c r="A394" s="13"/>
      <c r="B394" s="13"/>
    </row>
    <row r="395">
      <c r="A395" s="13"/>
      <c r="B395" s="13"/>
    </row>
    <row r="396">
      <c r="A396" s="13"/>
      <c r="B396" s="13"/>
    </row>
    <row r="397">
      <c r="A397" s="13"/>
      <c r="B397" s="13"/>
    </row>
    <row r="398">
      <c r="A398" s="13"/>
      <c r="B398" s="13"/>
    </row>
    <row r="399">
      <c r="A399" s="13"/>
      <c r="B399" s="13"/>
    </row>
    <row r="400">
      <c r="A400" s="13"/>
      <c r="B400" s="13"/>
    </row>
    <row r="401">
      <c r="A401" s="13"/>
      <c r="B401" s="13"/>
    </row>
    <row r="402">
      <c r="A402" s="13"/>
      <c r="B402" s="13"/>
    </row>
    <row r="403">
      <c r="A403" s="13"/>
      <c r="B403" s="13"/>
    </row>
    <row r="404">
      <c r="A404" s="13"/>
      <c r="B404" s="13"/>
    </row>
    <row r="405">
      <c r="A405" s="13"/>
      <c r="B405" s="13"/>
    </row>
    <row r="406">
      <c r="A406" s="13"/>
      <c r="B406" s="13"/>
    </row>
    <row r="407">
      <c r="A407" s="13"/>
      <c r="B407" s="13"/>
    </row>
    <row r="408">
      <c r="A408" s="13"/>
      <c r="B408" s="13"/>
    </row>
    <row r="409">
      <c r="A409" s="13"/>
      <c r="B409" s="13"/>
    </row>
    <row r="410">
      <c r="A410" s="13"/>
      <c r="B410" s="13"/>
    </row>
    <row r="411">
      <c r="A411" s="13"/>
      <c r="B411" s="13"/>
    </row>
    <row r="412">
      <c r="A412" s="13"/>
      <c r="B412" s="13"/>
    </row>
    <row r="413">
      <c r="A413" s="13"/>
      <c r="B413" s="13"/>
    </row>
    <row r="414">
      <c r="A414" s="13"/>
      <c r="B414" s="13"/>
    </row>
    <row r="415">
      <c r="A415" s="13"/>
      <c r="B415" s="13"/>
    </row>
    <row r="416">
      <c r="A416" s="13"/>
      <c r="B416" s="13"/>
    </row>
    <row r="417">
      <c r="A417" s="13"/>
      <c r="B417" s="13"/>
    </row>
    <row r="418">
      <c r="A418" s="13"/>
      <c r="B418" s="13"/>
    </row>
    <row r="419">
      <c r="A419" s="13"/>
      <c r="B419" s="13"/>
    </row>
    <row r="420">
      <c r="A420" s="13"/>
      <c r="B420" s="13"/>
    </row>
    <row r="421">
      <c r="A421" s="13"/>
      <c r="B421" s="13"/>
    </row>
    <row r="422">
      <c r="A422" s="13"/>
      <c r="B422" s="13"/>
    </row>
    <row r="423">
      <c r="A423" s="13"/>
      <c r="B423" s="13"/>
    </row>
    <row r="424">
      <c r="A424" s="13"/>
      <c r="B424" s="13"/>
    </row>
    <row r="425">
      <c r="A425" s="13"/>
      <c r="B425" s="13"/>
    </row>
    <row r="426">
      <c r="A426" s="13"/>
      <c r="B426" s="13"/>
    </row>
    <row r="427">
      <c r="A427" s="13"/>
      <c r="B427" s="13"/>
    </row>
    <row r="428">
      <c r="A428" s="13"/>
      <c r="B428" s="13"/>
    </row>
    <row r="429">
      <c r="A429" s="13"/>
      <c r="B429" s="13"/>
    </row>
    <row r="430">
      <c r="A430" s="13"/>
      <c r="B430" s="13"/>
    </row>
    <row r="431">
      <c r="A431" s="13"/>
      <c r="B431" s="13"/>
    </row>
    <row r="432">
      <c r="A432" s="13"/>
      <c r="B432" s="13"/>
    </row>
    <row r="433">
      <c r="A433" s="13"/>
      <c r="B433" s="13"/>
    </row>
    <row r="434">
      <c r="A434" s="13"/>
      <c r="B434" s="13"/>
    </row>
    <row r="435">
      <c r="A435" s="13"/>
      <c r="B435" s="13"/>
    </row>
    <row r="436">
      <c r="A436" s="13"/>
      <c r="B436" s="13"/>
    </row>
    <row r="437">
      <c r="A437" s="13"/>
      <c r="B437" s="13"/>
    </row>
    <row r="438">
      <c r="A438" s="13"/>
      <c r="B438" s="13"/>
    </row>
    <row r="439">
      <c r="A439" s="13"/>
      <c r="B439" s="13"/>
    </row>
    <row r="440">
      <c r="A440" s="13"/>
      <c r="B440" s="13"/>
    </row>
    <row r="441">
      <c r="A441" s="13"/>
      <c r="B441" s="13"/>
    </row>
    <row r="442">
      <c r="A442" s="13"/>
      <c r="B442" s="13"/>
    </row>
    <row r="443">
      <c r="A443" s="13"/>
      <c r="B443" s="13"/>
    </row>
    <row r="444">
      <c r="A444" s="13"/>
      <c r="B444" s="13"/>
    </row>
    <row r="445">
      <c r="A445" s="13"/>
      <c r="B445" s="13"/>
    </row>
    <row r="446">
      <c r="A446" s="13"/>
      <c r="B446" s="13"/>
    </row>
    <row r="447">
      <c r="A447" s="13"/>
      <c r="B447" s="13"/>
    </row>
    <row r="448">
      <c r="A448" s="13"/>
      <c r="B448" s="13"/>
    </row>
    <row r="449">
      <c r="A449" s="13"/>
      <c r="B449" s="13"/>
    </row>
    <row r="450">
      <c r="A450" s="13"/>
      <c r="B450" s="13"/>
    </row>
    <row r="451">
      <c r="A451" s="13"/>
      <c r="B451" s="13"/>
    </row>
    <row r="452">
      <c r="A452" s="13"/>
      <c r="B452" s="13"/>
    </row>
    <row r="453">
      <c r="A453" s="13"/>
      <c r="B453" s="13"/>
    </row>
    <row r="454">
      <c r="A454" s="13"/>
      <c r="B454" s="13"/>
    </row>
    <row r="455">
      <c r="A455" s="13"/>
      <c r="B455" s="13"/>
    </row>
    <row r="456">
      <c r="A456" s="13"/>
      <c r="B456" s="13"/>
    </row>
    <row r="457">
      <c r="A457" s="13"/>
      <c r="B457" s="13"/>
    </row>
    <row r="458">
      <c r="A458" s="13"/>
      <c r="B458" s="13"/>
    </row>
    <row r="459">
      <c r="A459" s="13"/>
      <c r="B459" s="13"/>
    </row>
    <row r="460">
      <c r="A460" s="13"/>
      <c r="B460" s="13"/>
    </row>
    <row r="461">
      <c r="A461" s="13"/>
      <c r="B461" s="13"/>
    </row>
    <row r="462">
      <c r="A462" s="13"/>
      <c r="B462" s="13"/>
    </row>
    <row r="463">
      <c r="A463" s="13"/>
      <c r="B463" s="13"/>
    </row>
    <row r="464">
      <c r="A464" s="13"/>
      <c r="B464" s="13"/>
    </row>
    <row r="465">
      <c r="A465" s="13"/>
      <c r="B465" s="13"/>
    </row>
    <row r="466">
      <c r="A466" s="13"/>
      <c r="B466" s="13"/>
    </row>
    <row r="467">
      <c r="A467" s="13"/>
      <c r="B467" s="13"/>
    </row>
    <row r="468">
      <c r="A468" s="13"/>
      <c r="B468" s="13"/>
    </row>
    <row r="469">
      <c r="A469" s="13"/>
      <c r="B469" s="13"/>
    </row>
    <row r="470">
      <c r="A470" s="13"/>
      <c r="B470" s="13"/>
    </row>
    <row r="471">
      <c r="A471" s="13"/>
      <c r="B471" s="13"/>
    </row>
    <row r="472">
      <c r="A472" s="13"/>
      <c r="B472" s="13"/>
    </row>
    <row r="473">
      <c r="A473" s="13"/>
      <c r="B473" s="13"/>
    </row>
    <row r="474">
      <c r="A474" s="13"/>
      <c r="B474" s="13"/>
    </row>
    <row r="475">
      <c r="A475" s="13"/>
      <c r="B475" s="13"/>
    </row>
    <row r="476">
      <c r="A476" s="13"/>
      <c r="B476" s="13"/>
    </row>
    <row r="477">
      <c r="A477" s="13"/>
      <c r="B477" s="13"/>
    </row>
    <row r="478">
      <c r="A478" s="13"/>
      <c r="B478" s="13"/>
    </row>
    <row r="479">
      <c r="A479" s="13"/>
      <c r="B479" s="13"/>
    </row>
    <row r="480">
      <c r="A480" s="13"/>
      <c r="B480" s="13"/>
    </row>
    <row r="481">
      <c r="A481" s="13"/>
      <c r="B481" s="13"/>
    </row>
    <row r="482">
      <c r="A482" s="13"/>
      <c r="B482" s="13"/>
    </row>
    <row r="483">
      <c r="A483" s="13"/>
      <c r="B483" s="13"/>
    </row>
    <row r="484">
      <c r="A484" s="13"/>
      <c r="B484" s="13"/>
    </row>
    <row r="485">
      <c r="A485" s="13"/>
      <c r="B485" s="13"/>
    </row>
    <row r="486">
      <c r="A486" s="13"/>
      <c r="B486" s="13"/>
    </row>
    <row r="487">
      <c r="A487" s="13"/>
      <c r="B487" s="13"/>
    </row>
    <row r="488">
      <c r="A488" s="13"/>
      <c r="B488" s="13"/>
    </row>
    <row r="489">
      <c r="A489" s="13"/>
      <c r="B489" s="13"/>
    </row>
    <row r="490">
      <c r="A490" s="13"/>
      <c r="B490" s="13"/>
    </row>
    <row r="491">
      <c r="A491" s="13"/>
      <c r="B491" s="13"/>
    </row>
    <row r="492">
      <c r="A492" s="13"/>
      <c r="B492" s="13"/>
    </row>
    <row r="493">
      <c r="A493" s="13"/>
      <c r="B493" s="13"/>
    </row>
    <row r="494">
      <c r="A494" s="13"/>
      <c r="B494" s="13"/>
    </row>
    <row r="495">
      <c r="A495" s="13"/>
      <c r="B495" s="13"/>
    </row>
    <row r="496">
      <c r="A496" s="13"/>
      <c r="B496" s="13"/>
    </row>
    <row r="497">
      <c r="A497" s="13"/>
      <c r="B497" s="13"/>
    </row>
    <row r="498">
      <c r="A498" s="13"/>
      <c r="B498" s="13"/>
    </row>
    <row r="499">
      <c r="A499" s="13"/>
      <c r="B499" s="13"/>
    </row>
    <row r="500">
      <c r="A500" s="13"/>
      <c r="B500" s="13"/>
    </row>
    <row r="501">
      <c r="A501" s="13"/>
      <c r="B501" s="13"/>
    </row>
    <row r="502">
      <c r="A502" s="13"/>
      <c r="B502" s="13"/>
    </row>
    <row r="503">
      <c r="A503" s="13"/>
      <c r="B503" s="13"/>
    </row>
    <row r="504">
      <c r="A504" s="13"/>
      <c r="B504" s="13"/>
    </row>
    <row r="505">
      <c r="A505" s="13"/>
      <c r="B505" s="13"/>
    </row>
    <row r="506">
      <c r="A506" s="13"/>
      <c r="B506" s="13"/>
    </row>
    <row r="507">
      <c r="A507" s="13"/>
      <c r="B507" s="13"/>
    </row>
    <row r="508">
      <c r="A508" s="13"/>
      <c r="B508" s="13"/>
    </row>
    <row r="509">
      <c r="A509" s="13"/>
      <c r="B509" s="13"/>
    </row>
    <row r="510">
      <c r="A510" s="13"/>
      <c r="B510" s="13"/>
    </row>
    <row r="511">
      <c r="A511" s="13"/>
      <c r="B511" s="13"/>
    </row>
    <row r="512">
      <c r="A512" s="13"/>
      <c r="B512" s="13"/>
    </row>
    <row r="513">
      <c r="A513" s="13"/>
      <c r="B513" s="13"/>
    </row>
    <row r="514">
      <c r="A514" s="13"/>
      <c r="B514" s="13"/>
    </row>
    <row r="515">
      <c r="A515" s="13"/>
      <c r="B515" s="13"/>
    </row>
    <row r="516">
      <c r="A516" s="13"/>
      <c r="B516" s="13"/>
    </row>
    <row r="517">
      <c r="A517" s="13"/>
      <c r="B517" s="13"/>
    </row>
    <row r="518">
      <c r="A518" s="13"/>
      <c r="B518" s="13"/>
    </row>
    <row r="519">
      <c r="A519" s="13"/>
      <c r="B519" s="13"/>
    </row>
    <row r="520">
      <c r="A520" s="13"/>
      <c r="B520" s="13"/>
    </row>
    <row r="521">
      <c r="A521" s="13"/>
      <c r="B521" s="13"/>
    </row>
    <row r="522">
      <c r="A522" s="13"/>
      <c r="B522" s="13"/>
    </row>
    <row r="523">
      <c r="A523" s="13"/>
      <c r="B523" s="13"/>
    </row>
    <row r="524">
      <c r="A524" s="13"/>
      <c r="B524" s="13"/>
    </row>
    <row r="525">
      <c r="A525" s="13"/>
      <c r="B525" s="13"/>
    </row>
    <row r="526">
      <c r="A526" s="13"/>
      <c r="B526" s="13"/>
    </row>
    <row r="527">
      <c r="A527" s="13"/>
      <c r="B527" s="13"/>
    </row>
    <row r="528">
      <c r="A528" s="13"/>
      <c r="B528" s="13"/>
    </row>
    <row r="529">
      <c r="A529" s="13"/>
      <c r="B529" s="13"/>
    </row>
    <row r="530">
      <c r="A530" s="13"/>
      <c r="B530" s="13"/>
    </row>
    <row r="531">
      <c r="A531" s="13"/>
      <c r="B531" s="13"/>
    </row>
    <row r="532">
      <c r="A532" s="13"/>
      <c r="B532" s="13"/>
    </row>
    <row r="533">
      <c r="A533" s="13"/>
      <c r="B533" s="13"/>
    </row>
    <row r="534">
      <c r="A534" s="13"/>
      <c r="B534" s="13"/>
    </row>
    <row r="535">
      <c r="A535" s="13"/>
      <c r="B535" s="13"/>
    </row>
    <row r="536">
      <c r="A536" s="13"/>
      <c r="B536" s="13"/>
    </row>
    <row r="537">
      <c r="A537" s="13"/>
      <c r="B537" s="13"/>
    </row>
    <row r="538">
      <c r="A538" s="13"/>
      <c r="B538" s="13"/>
    </row>
    <row r="539">
      <c r="A539" s="13"/>
      <c r="B539" s="13"/>
    </row>
    <row r="540">
      <c r="A540" s="13"/>
      <c r="B540" s="13"/>
    </row>
    <row r="541">
      <c r="A541" s="13"/>
      <c r="B541" s="13"/>
    </row>
    <row r="542">
      <c r="A542" s="13"/>
      <c r="B542" s="13"/>
    </row>
    <row r="543">
      <c r="A543" s="13"/>
      <c r="B543" s="13"/>
    </row>
    <row r="544">
      <c r="A544" s="13"/>
      <c r="B544" s="13"/>
    </row>
    <row r="545">
      <c r="A545" s="13"/>
      <c r="B545" s="13"/>
    </row>
    <row r="546">
      <c r="A546" s="13"/>
      <c r="B546" s="13"/>
    </row>
    <row r="547">
      <c r="A547" s="13"/>
      <c r="B547" s="13"/>
    </row>
    <row r="548">
      <c r="A548" s="13"/>
      <c r="B548" s="13"/>
    </row>
    <row r="549">
      <c r="A549" s="13"/>
      <c r="B549" s="13"/>
    </row>
    <row r="550">
      <c r="A550" s="13"/>
      <c r="B550" s="13"/>
    </row>
    <row r="551">
      <c r="A551" s="13"/>
      <c r="B551" s="13"/>
    </row>
    <row r="552">
      <c r="A552" s="13"/>
      <c r="B552" s="13"/>
    </row>
    <row r="553">
      <c r="A553" s="13"/>
      <c r="B553" s="13"/>
    </row>
    <row r="554">
      <c r="A554" s="13"/>
      <c r="B554" s="13"/>
    </row>
    <row r="555">
      <c r="A555" s="13"/>
      <c r="B555" s="13"/>
    </row>
    <row r="556">
      <c r="A556" s="13"/>
      <c r="B556" s="13"/>
    </row>
    <row r="557">
      <c r="A557" s="13"/>
      <c r="B557" s="13"/>
    </row>
    <row r="558">
      <c r="A558" s="13"/>
      <c r="B558" s="13"/>
    </row>
    <row r="559">
      <c r="A559" s="13"/>
      <c r="B559" s="13"/>
    </row>
    <row r="560">
      <c r="A560" s="13"/>
      <c r="B560" s="13"/>
    </row>
    <row r="561">
      <c r="A561" s="13"/>
      <c r="B561" s="13"/>
    </row>
    <row r="562">
      <c r="A562" s="13"/>
      <c r="B562" s="13"/>
    </row>
    <row r="563">
      <c r="A563" s="13"/>
      <c r="B563" s="13"/>
    </row>
    <row r="564">
      <c r="A564" s="13"/>
      <c r="B564" s="13"/>
    </row>
    <row r="565">
      <c r="A565" s="13"/>
      <c r="B565" s="13"/>
    </row>
    <row r="566">
      <c r="A566" s="13"/>
      <c r="B566" s="13"/>
    </row>
    <row r="567">
      <c r="A567" s="13"/>
      <c r="B567" s="13"/>
    </row>
    <row r="568">
      <c r="A568" s="13"/>
      <c r="B568" s="13"/>
    </row>
    <row r="569">
      <c r="A569" s="13"/>
      <c r="B569" s="13"/>
    </row>
    <row r="570">
      <c r="A570" s="13"/>
      <c r="B570" s="13"/>
    </row>
    <row r="571">
      <c r="A571" s="13"/>
      <c r="B571" s="13"/>
    </row>
    <row r="572">
      <c r="A572" s="13"/>
      <c r="B572" s="13"/>
    </row>
    <row r="573">
      <c r="A573" s="13"/>
      <c r="B573" s="13"/>
    </row>
    <row r="574">
      <c r="A574" s="13"/>
      <c r="B574" s="13"/>
    </row>
    <row r="575">
      <c r="A575" s="13"/>
      <c r="B575" s="13"/>
    </row>
    <row r="576">
      <c r="A576" s="13"/>
      <c r="B576" s="13"/>
    </row>
    <row r="577">
      <c r="A577" s="13"/>
      <c r="B577" s="13"/>
    </row>
    <row r="578">
      <c r="A578" s="13"/>
      <c r="B578" s="13"/>
    </row>
    <row r="579">
      <c r="A579" s="13"/>
      <c r="B579" s="13"/>
    </row>
    <row r="580">
      <c r="A580" s="13"/>
      <c r="B580" s="13"/>
    </row>
    <row r="581">
      <c r="A581" s="13"/>
      <c r="B581" s="13"/>
    </row>
    <row r="582">
      <c r="A582" s="13"/>
      <c r="B582" s="13"/>
    </row>
    <row r="583">
      <c r="A583" s="13"/>
      <c r="B583" s="13"/>
    </row>
    <row r="584">
      <c r="A584" s="13"/>
      <c r="B584" s="13"/>
    </row>
    <row r="585">
      <c r="A585" s="13"/>
      <c r="B585" s="13"/>
    </row>
    <row r="586">
      <c r="A586" s="13"/>
      <c r="B586" s="13"/>
    </row>
    <row r="587">
      <c r="A587" s="13"/>
      <c r="B587" s="13"/>
    </row>
    <row r="588">
      <c r="A588" s="13"/>
      <c r="B588" s="13"/>
    </row>
    <row r="589">
      <c r="A589" s="13"/>
      <c r="B589" s="13"/>
    </row>
    <row r="590">
      <c r="A590" s="13"/>
      <c r="B590" s="13"/>
    </row>
    <row r="591">
      <c r="A591" s="13"/>
      <c r="B591" s="13"/>
    </row>
    <row r="592">
      <c r="A592" s="13"/>
      <c r="B592" s="13"/>
    </row>
    <row r="593">
      <c r="A593" s="13"/>
      <c r="B593" s="13"/>
    </row>
    <row r="594">
      <c r="A594" s="13"/>
      <c r="B594" s="13"/>
    </row>
    <row r="595">
      <c r="A595" s="13"/>
      <c r="B595" s="13"/>
    </row>
    <row r="596">
      <c r="A596" s="13"/>
      <c r="B596" s="13"/>
    </row>
    <row r="597">
      <c r="A597" s="13"/>
      <c r="B597" s="13"/>
    </row>
    <row r="598">
      <c r="A598" s="13"/>
      <c r="B598" s="13"/>
    </row>
    <row r="599">
      <c r="A599" s="13"/>
      <c r="B599" s="13"/>
    </row>
    <row r="600">
      <c r="A600" s="13"/>
      <c r="B600" s="13"/>
    </row>
    <row r="601">
      <c r="A601" s="13"/>
      <c r="B601" s="13"/>
    </row>
    <row r="602">
      <c r="A602" s="13"/>
      <c r="B602" s="13"/>
    </row>
    <row r="603">
      <c r="A603" s="13"/>
      <c r="B603" s="13"/>
    </row>
    <row r="604">
      <c r="A604" s="13"/>
      <c r="B604" s="13"/>
    </row>
    <row r="605">
      <c r="A605" s="13"/>
      <c r="B605" s="13"/>
    </row>
    <row r="606">
      <c r="A606" s="13"/>
      <c r="B606" s="13"/>
    </row>
    <row r="607">
      <c r="A607" s="13"/>
      <c r="B607" s="13"/>
    </row>
    <row r="608">
      <c r="A608" s="13"/>
      <c r="B608" s="13"/>
    </row>
    <row r="609">
      <c r="A609" s="13"/>
      <c r="B609" s="13"/>
    </row>
    <row r="610">
      <c r="A610" s="13"/>
      <c r="B610" s="13"/>
    </row>
    <row r="611">
      <c r="A611" s="13"/>
      <c r="B611" s="13"/>
    </row>
    <row r="612">
      <c r="A612" s="13"/>
      <c r="B612" s="13"/>
    </row>
    <row r="613">
      <c r="A613" s="13"/>
      <c r="B613" s="13"/>
    </row>
    <row r="614">
      <c r="A614" s="13"/>
      <c r="B614" s="13"/>
    </row>
    <row r="615">
      <c r="A615" s="13"/>
      <c r="B615" s="13"/>
    </row>
    <row r="616">
      <c r="A616" s="13"/>
      <c r="B616" s="13"/>
    </row>
    <row r="617">
      <c r="A617" s="13"/>
      <c r="B617" s="13"/>
    </row>
    <row r="618">
      <c r="A618" s="13"/>
      <c r="B618" s="13"/>
    </row>
    <row r="619">
      <c r="A619" s="13"/>
      <c r="B619" s="13"/>
    </row>
    <row r="620">
      <c r="A620" s="13"/>
      <c r="B620" s="13"/>
    </row>
    <row r="621">
      <c r="A621" s="13"/>
      <c r="B621" s="13"/>
    </row>
    <row r="622">
      <c r="A622" s="13"/>
      <c r="B622" s="13"/>
    </row>
    <row r="623">
      <c r="A623" s="13"/>
      <c r="B623" s="13"/>
    </row>
    <row r="624">
      <c r="A624" s="13"/>
      <c r="B624" s="13"/>
    </row>
    <row r="625">
      <c r="A625" s="13"/>
      <c r="B625" s="13"/>
    </row>
    <row r="626">
      <c r="A626" s="13"/>
      <c r="B626" s="13"/>
    </row>
    <row r="627">
      <c r="A627" s="13"/>
      <c r="B627" s="13"/>
    </row>
    <row r="628">
      <c r="A628" s="13"/>
      <c r="B628" s="13"/>
    </row>
    <row r="629">
      <c r="A629" s="13"/>
      <c r="B629" s="13"/>
    </row>
    <row r="630">
      <c r="A630" s="13"/>
      <c r="B630" s="13"/>
    </row>
    <row r="631">
      <c r="A631" s="13"/>
      <c r="B631" s="13"/>
    </row>
    <row r="632">
      <c r="A632" s="13"/>
      <c r="B632" s="13"/>
    </row>
    <row r="633">
      <c r="A633" s="13"/>
      <c r="B633" s="13"/>
    </row>
    <row r="634">
      <c r="A634" s="13"/>
      <c r="B634" s="13"/>
    </row>
    <row r="635">
      <c r="A635" s="13"/>
      <c r="B635" s="13"/>
    </row>
    <row r="636">
      <c r="A636" s="13"/>
      <c r="B636" s="13"/>
    </row>
    <row r="637">
      <c r="A637" s="13"/>
      <c r="B637" s="13"/>
    </row>
    <row r="638">
      <c r="A638" s="13"/>
      <c r="B638" s="13"/>
    </row>
    <row r="639">
      <c r="A639" s="13"/>
      <c r="B639" s="13"/>
    </row>
    <row r="640">
      <c r="A640" s="13"/>
      <c r="B640" s="13"/>
    </row>
    <row r="641">
      <c r="A641" s="13"/>
      <c r="B641" s="13"/>
    </row>
    <row r="642">
      <c r="A642" s="13"/>
      <c r="B642" s="13"/>
    </row>
    <row r="643">
      <c r="A643" s="13"/>
      <c r="B643" s="13"/>
    </row>
    <row r="644">
      <c r="A644" s="13"/>
      <c r="B644" s="13"/>
    </row>
    <row r="645">
      <c r="A645" s="13"/>
      <c r="B645" s="13"/>
    </row>
    <row r="646">
      <c r="A646" s="13"/>
      <c r="B646" s="13"/>
    </row>
    <row r="647">
      <c r="A647" s="13"/>
      <c r="B647" s="13"/>
    </row>
    <row r="648">
      <c r="A648" s="13"/>
      <c r="B648" s="13"/>
    </row>
    <row r="649">
      <c r="A649" s="13"/>
      <c r="B649" s="13"/>
    </row>
    <row r="650">
      <c r="A650" s="13"/>
      <c r="B650" s="13"/>
    </row>
    <row r="651">
      <c r="A651" s="13"/>
      <c r="B651" s="13"/>
    </row>
    <row r="652">
      <c r="A652" s="13"/>
      <c r="B652" s="13"/>
    </row>
    <row r="653">
      <c r="A653" s="13"/>
      <c r="B653" s="13"/>
    </row>
    <row r="654">
      <c r="A654" s="13"/>
      <c r="B654" s="13"/>
    </row>
    <row r="655">
      <c r="A655" s="13"/>
      <c r="B655" s="13"/>
    </row>
    <row r="656">
      <c r="A656" s="13"/>
      <c r="B656" s="13"/>
    </row>
    <row r="657">
      <c r="A657" s="13"/>
      <c r="B657" s="13"/>
    </row>
    <row r="658">
      <c r="A658" s="13"/>
      <c r="B658" s="13"/>
    </row>
    <row r="659">
      <c r="A659" s="13"/>
      <c r="B659" s="13"/>
    </row>
    <row r="660">
      <c r="A660" s="13"/>
      <c r="B660" s="13"/>
    </row>
    <row r="661">
      <c r="A661" s="13"/>
      <c r="B661" s="13"/>
    </row>
    <row r="662">
      <c r="A662" s="13"/>
      <c r="B662" s="13"/>
    </row>
    <row r="663">
      <c r="A663" s="13"/>
      <c r="B663" s="13"/>
    </row>
    <row r="664">
      <c r="A664" s="13"/>
      <c r="B664" s="13"/>
    </row>
    <row r="665">
      <c r="A665" s="13"/>
      <c r="B665" s="13"/>
    </row>
    <row r="666">
      <c r="A666" s="13"/>
      <c r="B666" s="13"/>
    </row>
    <row r="667">
      <c r="A667" s="13"/>
      <c r="B667" s="13"/>
    </row>
    <row r="668">
      <c r="A668" s="13"/>
      <c r="B668" s="13"/>
    </row>
    <row r="669">
      <c r="A669" s="13"/>
      <c r="B669" s="13"/>
    </row>
    <row r="670">
      <c r="A670" s="13"/>
      <c r="B670" s="13"/>
    </row>
    <row r="671">
      <c r="A671" s="13"/>
      <c r="B671" s="13"/>
    </row>
    <row r="672">
      <c r="A672" s="13"/>
      <c r="B672" s="13"/>
    </row>
    <row r="673">
      <c r="A673" s="13"/>
      <c r="B673" s="13"/>
    </row>
    <row r="674">
      <c r="A674" s="13"/>
      <c r="B674" s="13"/>
    </row>
    <row r="675">
      <c r="A675" s="13"/>
      <c r="B675" s="13"/>
    </row>
    <row r="676">
      <c r="A676" s="13"/>
      <c r="B676" s="13"/>
    </row>
    <row r="677">
      <c r="A677" s="13"/>
      <c r="B677" s="13"/>
    </row>
    <row r="678">
      <c r="A678" s="13"/>
      <c r="B678" s="13"/>
    </row>
    <row r="679">
      <c r="A679" s="13"/>
      <c r="B679" s="13"/>
    </row>
    <row r="680">
      <c r="A680" s="13"/>
      <c r="B680" s="13"/>
    </row>
    <row r="681">
      <c r="A681" s="13"/>
      <c r="B681" s="13"/>
    </row>
    <row r="682">
      <c r="A682" s="13"/>
      <c r="B682" s="13"/>
    </row>
    <row r="683">
      <c r="A683" s="13"/>
      <c r="B683" s="13"/>
    </row>
    <row r="684">
      <c r="A684" s="13"/>
      <c r="B684" s="13"/>
    </row>
    <row r="685">
      <c r="A685" s="13"/>
      <c r="B685" s="13"/>
    </row>
    <row r="686">
      <c r="A686" s="13"/>
      <c r="B686" s="13"/>
    </row>
    <row r="687">
      <c r="A687" s="13"/>
      <c r="B687" s="13"/>
    </row>
    <row r="688">
      <c r="A688" s="13"/>
      <c r="B688" s="13"/>
    </row>
    <row r="689">
      <c r="A689" s="13"/>
      <c r="B689" s="13"/>
    </row>
    <row r="690">
      <c r="A690" s="13"/>
      <c r="B690" s="13"/>
    </row>
    <row r="691">
      <c r="A691" s="13"/>
      <c r="B691" s="13"/>
    </row>
    <row r="692">
      <c r="A692" s="13"/>
      <c r="B692" s="13"/>
    </row>
    <row r="693">
      <c r="A693" s="13"/>
      <c r="B693" s="13"/>
    </row>
    <row r="694">
      <c r="A694" s="13"/>
      <c r="B694" s="13"/>
    </row>
    <row r="695">
      <c r="A695" s="13"/>
      <c r="B695" s="13"/>
    </row>
    <row r="696">
      <c r="A696" s="13"/>
      <c r="B696" s="13"/>
    </row>
    <row r="697">
      <c r="A697" s="13"/>
      <c r="B697" s="13"/>
    </row>
    <row r="698">
      <c r="A698" s="13"/>
      <c r="B698" s="13"/>
    </row>
    <row r="699">
      <c r="A699" s="13"/>
      <c r="B699" s="13"/>
    </row>
    <row r="700">
      <c r="A700" s="13"/>
      <c r="B700" s="13"/>
    </row>
    <row r="701">
      <c r="A701" s="13"/>
      <c r="B701" s="13"/>
    </row>
    <row r="702">
      <c r="A702" s="13"/>
      <c r="B702" s="13"/>
    </row>
    <row r="703">
      <c r="A703" s="13"/>
      <c r="B703" s="13"/>
    </row>
    <row r="704">
      <c r="A704" s="13"/>
      <c r="B704" s="13"/>
    </row>
    <row r="705">
      <c r="A705" s="13"/>
      <c r="B705" s="13"/>
    </row>
    <row r="706">
      <c r="A706" s="13"/>
      <c r="B706" s="13"/>
    </row>
    <row r="707">
      <c r="A707" s="13"/>
      <c r="B707" s="13"/>
    </row>
    <row r="708">
      <c r="A708" s="13"/>
      <c r="B708" s="13"/>
    </row>
    <row r="709">
      <c r="A709" s="13"/>
      <c r="B709" s="13"/>
    </row>
    <row r="710">
      <c r="A710" s="13"/>
      <c r="B710" s="13"/>
    </row>
    <row r="711">
      <c r="A711" s="13"/>
      <c r="B711" s="13"/>
    </row>
    <row r="712">
      <c r="A712" s="13"/>
      <c r="B712" s="13"/>
    </row>
    <row r="713">
      <c r="A713" s="13"/>
      <c r="B713" s="13"/>
    </row>
    <row r="714">
      <c r="A714" s="13"/>
      <c r="B714" s="13"/>
    </row>
    <row r="715">
      <c r="A715" s="13"/>
      <c r="B715" s="13"/>
    </row>
    <row r="716">
      <c r="A716" s="13"/>
      <c r="B716" s="13"/>
    </row>
    <row r="717">
      <c r="A717" s="13"/>
      <c r="B717" s="13"/>
    </row>
    <row r="718">
      <c r="A718" s="13"/>
      <c r="B718" s="13"/>
    </row>
    <row r="719">
      <c r="A719" s="13"/>
      <c r="B719" s="13"/>
    </row>
    <row r="720">
      <c r="A720" s="13"/>
      <c r="B720" s="13"/>
    </row>
    <row r="721">
      <c r="A721" s="13"/>
      <c r="B721" s="13"/>
    </row>
    <row r="722">
      <c r="A722" s="13"/>
      <c r="B722" s="13"/>
    </row>
    <row r="723">
      <c r="A723" s="13"/>
      <c r="B723" s="13"/>
    </row>
    <row r="724">
      <c r="A724" s="13"/>
      <c r="B724" s="13"/>
    </row>
    <row r="725">
      <c r="A725" s="13"/>
      <c r="B725" s="13"/>
    </row>
    <row r="726">
      <c r="A726" s="13"/>
      <c r="B726" s="13"/>
    </row>
    <row r="727">
      <c r="A727" s="13"/>
      <c r="B727" s="13"/>
    </row>
    <row r="728">
      <c r="A728" s="13"/>
      <c r="B728" s="13"/>
    </row>
    <row r="729">
      <c r="A729" s="13"/>
      <c r="B729" s="13"/>
    </row>
    <row r="730">
      <c r="A730" s="13"/>
      <c r="B730" s="13"/>
    </row>
    <row r="731">
      <c r="A731" s="13"/>
      <c r="B731" s="13"/>
    </row>
    <row r="732">
      <c r="A732" s="13"/>
      <c r="B732" s="13"/>
    </row>
    <row r="733">
      <c r="A733" s="13"/>
      <c r="B733" s="13"/>
    </row>
    <row r="734">
      <c r="A734" s="13"/>
      <c r="B734" s="13"/>
    </row>
    <row r="735">
      <c r="A735" s="13"/>
      <c r="B735" s="13"/>
    </row>
    <row r="736">
      <c r="A736" s="13"/>
      <c r="B736" s="13"/>
    </row>
    <row r="737">
      <c r="A737" s="13"/>
      <c r="B737" s="13"/>
    </row>
    <row r="738">
      <c r="A738" s="13"/>
      <c r="B738" s="13"/>
    </row>
    <row r="739">
      <c r="A739" s="13"/>
      <c r="B739" s="13"/>
    </row>
    <row r="740">
      <c r="A740" s="13"/>
      <c r="B740" s="13"/>
    </row>
    <row r="741">
      <c r="A741" s="13"/>
      <c r="B741" s="13"/>
    </row>
    <row r="742">
      <c r="A742" s="13"/>
      <c r="B742" s="13"/>
    </row>
    <row r="743">
      <c r="A743" s="13"/>
      <c r="B743" s="13"/>
    </row>
    <row r="744">
      <c r="A744" s="13"/>
      <c r="B744" s="13"/>
    </row>
    <row r="745">
      <c r="A745" s="13"/>
      <c r="B745" s="13"/>
    </row>
    <row r="746">
      <c r="A746" s="13"/>
      <c r="B746" s="13"/>
    </row>
    <row r="747">
      <c r="A747" s="13"/>
      <c r="B747" s="13"/>
    </row>
    <row r="748">
      <c r="A748" s="13"/>
      <c r="B748" s="13"/>
    </row>
    <row r="749">
      <c r="A749" s="13"/>
      <c r="B749" s="13"/>
    </row>
    <row r="750">
      <c r="A750" s="13"/>
      <c r="B750" s="13"/>
    </row>
    <row r="751">
      <c r="A751" s="13"/>
      <c r="B751" s="13"/>
    </row>
    <row r="752">
      <c r="A752" s="13"/>
      <c r="B752" s="13"/>
    </row>
    <row r="753">
      <c r="A753" s="13"/>
      <c r="B753" s="13"/>
    </row>
    <row r="754">
      <c r="A754" s="13"/>
      <c r="B754" s="13"/>
    </row>
    <row r="755">
      <c r="A755" s="13"/>
      <c r="B755" s="13"/>
    </row>
    <row r="756">
      <c r="A756" s="13"/>
      <c r="B756" s="13"/>
    </row>
    <row r="757">
      <c r="A757" s="13"/>
      <c r="B757" s="13"/>
    </row>
    <row r="758">
      <c r="A758" s="13"/>
      <c r="B758" s="13"/>
    </row>
    <row r="759">
      <c r="A759" s="13"/>
      <c r="B759" s="13"/>
    </row>
    <row r="760">
      <c r="A760" s="13"/>
      <c r="B760" s="13"/>
    </row>
    <row r="761">
      <c r="A761" s="13"/>
      <c r="B761" s="13"/>
    </row>
    <row r="762">
      <c r="A762" s="13"/>
      <c r="B762" s="13"/>
    </row>
    <row r="763">
      <c r="A763" s="13"/>
      <c r="B763" s="13"/>
    </row>
    <row r="764">
      <c r="A764" s="13"/>
      <c r="B764" s="13"/>
    </row>
    <row r="765">
      <c r="A765" s="13"/>
      <c r="B765" s="13"/>
    </row>
    <row r="766">
      <c r="A766" s="13"/>
      <c r="B766" s="13"/>
    </row>
    <row r="767">
      <c r="A767" s="13"/>
      <c r="B767" s="13"/>
    </row>
    <row r="768">
      <c r="A768" s="13"/>
      <c r="B768" s="13"/>
    </row>
    <row r="769">
      <c r="A769" s="13"/>
      <c r="B769" s="13"/>
    </row>
    <row r="770">
      <c r="A770" s="13"/>
      <c r="B770" s="13"/>
    </row>
    <row r="771">
      <c r="A771" s="13"/>
      <c r="B771" s="13"/>
    </row>
    <row r="772">
      <c r="A772" s="13"/>
      <c r="B772" s="13"/>
    </row>
    <row r="773">
      <c r="A773" s="13"/>
      <c r="B773" s="13"/>
    </row>
    <row r="774">
      <c r="A774" s="13"/>
      <c r="B774" s="13"/>
    </row>
    <row r="775">
      <c r="A775" s="13"/>
      <c r="B775" s="13"/>
    </row>
    <row r="776">
      <c r="A776" s="13"/>
      <c r="B776" s="13"/>
    </row>
    <row r="777">
      <c r="A777" s="13"/>
      <c r="B777" s="13"/>
    </row>
    <row r="778">
      <c r="A778" s="13"/>
      <c r="B778" s="13"/>
    </row>
    <row r="779">
      <c r="A779" s="13"/>
      <c r="B779" s="13"/>
    </row>
    <row r="780">
      <c r="A780" s="13"/>
      <c r="B780" s="13"/>
    </row>
    <row r="781">
      <c r="A781" s="13"/>
      <c r="B781" s="13"/>
    </row>
    <row r="782">
      <c r="A782" s="13"/>
      <c r="B782" s="13"/>
    </row>
    <row r="783">
      <c r="A783" s="13"/>
      <c r="B783" s="13"/>
    </row>
    <row r="784">
      <c r="A784" s="13"/>
      <c r="B784" s="13"/>
    </row>
    <row r="785">
      <c r="A785" s="13"/>
      <c r="B785" s="13"/>
    </row>
    <row r="786">
      <c r="A786" s="13"/>
      <c r="B786" s="13"/>
    </row>
    <row r="787">
      <c r="A787" s="13"/>
      <c r="B787" s="13"/>
    </row>
    <row r="788">
      <c r="A788" s="13"/>
      <c r="B788" s="13"/>
    </row>
    <row r="789">
      <c r="A789" s="13"/>
      <c r="B789" s="13"/>
    </row>
    <row r="790">
      <c r="A790" s="13"/>
      <c r="B790" s="13"/>
    </row>
    <row r="791">
      <c r="A791" s="13"/>
      <c r="B791" s="13"/>
    </row>
    <row r="792">
      <c r="A792" s="13"/>
      <c r="B792" s="13"/>
    </row>
    <row r="793">
      <c r="A793" s="13"/>
      <c r="B793" s="13"/>
    </row>
    <row r="794">
      <c r="A794" s="13"/>
      <c r="B794" s="13"/>
    </row>
    <row r="795">
      <c r="A795" s="13"/>
      <c r="B795" s="13"/>
    </row>
    <row r="796">
      <c r="A796" s="13"/>
      <c r="B796" s="13"/>
    </row>
    <row r="797">
      <c r="A797" s="13"/>
      <c r="B797" s="13"/>
    </row>
    <row r="798">
      <c r="A798" s="13"/>
      <c r="B798" s="13"/>
    </row>
    <row r="799">
      <c r="A799" s="13"/>
      <c r="B799" s="13"/>
    </row>
    <row r="800">
      <c r="A800" s="13"/>
      <c r="B800" s="13"/>
    </row>
    <row r="801">
      <c r="A801" s="13"/>
      <c r="B801" s="13"/>
    </row>
    <row r="802">
      <c r="A802" s="13"/>
      <c r="B802" s="13"/>
    </row>
    <row r="803">
      <c r="A803" s="13"/>
      <c r="B803" s="13"/>
    </row>
    <row r="804">
      <c r="A804" s="13"/>
      <c r="B804" s="13"/>
    </row>
    <row r="805">
      <c r="A805" s="13"/>
      <c r="B805" s="13"/>
    </row>
    <row r="806">
      <c r="A806" s="13"/>
      <c r="B806" s="13"/>
    </row>
    <row r="807">
      <c r="A807" s="13"/>
      <c r="B807" s="13"/>
    </row>
    <row r="808">
      <c r="A808" s="13"/>
      <c r="B808" s="13"/>
    </row>
    <row r="809">
      <c r="A809" s="13"/>
      <c r="B809" s="13"/>
    </row>
    <row r="810">
      <c r="A810" s="13"/>
      <c r="B810" s="13"/>
    </row>
    <row r="811">
      <c r="A811" s="13"/>
      <c r="B811" s="13"/>
    </row>
    <row r="812">
      <c r="A812" s="13"/>
      <c r="B812" s="13"/>
    </row>
    <row r="813">
      <c r="A813" s="13"/>
      <c r="B813" s="13"/>
    </row>
    <row r="814">
      <c r="A814" s="13"/>
      <c r="B814" s="13"/>
    </row>
    <row r="815">
      <c r="A815" s="13"/>
      <c r="B815" s="13"/>
    </row>
    <row r="816">
      <c r="A816" s="13"/>
      <c r="B816" s="13"/>
    </row>
    <row r="817">
      <c r="A817" s="13"/>
      <c r="B817" s="13"/>
    </row>
    <row r="818">
      <c r="A818" s="13"/>
      <c r="B818" s="13"/>
    </row>
    <row r="819">
      <c r="A819" s="13"/>
      <c r="B819" s="13"/>
    </row>
    <row r="820">
      <c r="A820" s="13"/>
      <c r="B820" s="13"/>
    </row>
    <row r="821">
      <c r="A821" s="13"/>
      <c r="B821" s="13"/>
    </row>
    <row r="822">
      <c r="A822" s="13"/>
      <c r="B822" s="13"/>
    </row>
    <row r="823">
      <c r="A823" s="13"/>
      <c r="B823" s="13"/>
    </row>
    <row r="824">
      <c r="A824" s="13"/>
      <c r="B824" s="13"/>
    </row>
    <row r="825">
      <c r="A825" s="13"/>
      <c r="B825" s="13"/>
    </row>
    <row r="826">
      <c r="A826" s="13"/>
      <c r="B826" s="13"/>
    </row>
    <row r="827">
      <c r="A827" s="13"/>
      <c r="B827" s="13"/>
    </row>
    <row r="828">
      <c r="A828" s="13"/>
      <c r="B828" s="13"/>
    </row>
    <row r="829">
      <c r="A829" s="13"/>
      <c r="B829" s="13"/>
    </row>
    <row r="830">
      <c r="A830" s="13"/>
      <c r="B830" s="13"/>
    </row>
    <row r="831">
      <c r="A831" s="13"/>
      <c r="B831" s="13"/>
    </row>
    <row r="832">
      <c r="A832" s="13"/>
      <c r="B832" s="13"/>
    </row>
    <row r="833">
      <c r="A833" s="13"/>
      <c r="B833" s="13"/>
    </row>
    <row r="834">
      <c r="A834" s="13"/>
      <c r="B834" s="13"/>
    </row>
    <row r="835">
      <c r="A835" s="13"/>
      <c r="B835" s="13"/>
    </row>
    <row r="836">
      <c r="A836" s="13"/>
      <c r="B836" s="13"/>
    </row>
    <row r="837">
      <c r="A837" s="13"/>
      <c r="B837" s="13"/>
    </row>
    <row r="838">
      <c r="A838" s="13"/>
      <c r="B838" s="13"/>
    </row>
    <row r="839">
      <c r="A839" s="13"/>
      <c r="B839" s="13"/>
    </row>
    <row r="840">
      <c r="A840" s="13"/>
      <c r="B840" s="13"/>
    </row>
    <row r="841">
      <c r="A841" s="13"/>
      <c r="B841" s="13"/>
    </row>
    <row r="842">
      <c r="A842" s="13"/>
      <c r="B842" s="13"/>
    </row>
    <row r="843">
      <c r="A843" s="13"/>
      <c r="B843" s="13"/>
    </row>
    <row r="844">
      <c r="A844" s="13"/>
      <c r="B844" s="13"/>
    </row>
    <row r="845">
      <c r="A845" s="13"/>
      <c r="B845" s="13"/>
    </row>
    <row r="846">
      <c r="A846" s="13"/>
      <c r="B846" s="13"/>
    </row>
    <row r="847">
      <c r="A847" s="13"/>
      <c r="B847" s="13"/>
    </row>
    <row r="848">
      <c r="A848" s="13"/>
      <c r="B848" s="13"/>
    </row>
    <row r="849">
      <c r="A849" s="13"/>
      <c r="B849" s="13"/>
    </row>
    <row r="850">
      <c r="A850" s="13"/>
      <c r="B850" s="13"/>
    </row>
    <row r="851">
      <c r="A851" s="13"/>
      <c r="B851" s="13"/>
    </row>
    <row r="852">
      <c r="A852" s="13"/>
      <c r="B852" s="13"/>
    </row>
    <row r="853">
      <c r="A853" s="13"/>
      <c r="B853" s="13"/>
    </row>
    <row r="854">
      <c r="A854" s="13"/>
      <c r="B854" s="13"/>
    </row>
    <row r="855">
      <c r="A855" s="13"/>
      <c r="B855" s="13"/>
    </row>
    <row r="856">
      <c r="A856" s="13"/>
      <c r="B856" s="13"/>
    </row>
    <row r="857">
      <c r="A857" s="13"/>
      <c r="B857" s="13"/>
    </row>
    <row r="858">
      <c r="A858" s="13"/>
      <c r="B858" s="13"/>
    </row>
    <row r="859">
      <c r="A859" s="13"/>
      <c r="B859" s="13"/>
    </row>
    <row r="860">
      <c r="A860" s="13"/>
      <c r="B860" s="13"/>
    </row>
    <row r="861">
      <c r="A861" s="13"/>
      <c r="B861" s="13"/>
    </row>
    <row r="862">
      <c r="A862" s="13"/>
      <c r="B862" s="13"/>
    </row>
    <row r="863">
      <c r="A863" s="13"/>
      <c r="B863" s="13"/>
    </row>
    <row r="864">
      <c r="A864" s="13"/>
      <c r="B864" s="13"/>
    </row>
    <row r="865">
      <c r="A865" s="13"/>
      <c r="B865" s="13"/>
    </row>
    <row r="866">
      <c r="A866" s="13"/>
      <c r="B866" s="13"/>
    </row>
    <row r="867">
      <c r="A867" s="13"/>
      <c r="B867" s="13"/>
    </row>
    <row r="868">
      <c r="A868" s="13"/>
      <c r="B868" s="13"/>
    </row>
    <row r="869">
      <c r="A869" s="13"/>
      <c r="B869" s="13"/>
    </row>
    <row r="870">
      <c r="A870" s="13"/>
      <c r="B870" s="13"/>
    </row>
    <row r="871">
      <c r="A871" s="13"/>
      <c r="B871" s="13"/>
    </row>
    <row r="872">
      <c r="A872" s="13"/>
      <c r="B872" s="13"/>
    </row>
    <row r="873">
      <c r="A873" s="13"/>
      <c r="B873" s="13"/>
    </row>
    <row r="874">
      <c r="A874" s="13"/>
      <c r="B874" s="13"/>
    </row>
    <row r="875">
      <c r="A875" s="13"/>
      <c r="B875" s="13"/>
    </row>
    <row r="876">
      <c r="A876" s="13"/>
      <c r="B876" s="13"/>
    </row>
    <row r="877">
      <c r="A877" s="13"/>
      <c r="B877" s="13"/>
    </row>
    <row r="878">
      <c r="A878" s="13"/>
      <c r="B878" s="13"/>
    </row>
    <row r="879">
      <c r="A879" s="13"/>
      <c r="B879" s="13"/>
    </row>
    <row r="880">
      <c r="A880" s="13"/>
      <c r="B880" s="13"/>
    </row>
    <row r="881">
      <c r="A881" s="13"/>
      <c r="B881" s="13"/>
    </row>
    <row r="882">
      <c r="A882" s="13"/>
      <c r="B882" s="13"/>
    </row>
    <row r="883">
      <c r="A883" s="13"/>
      <c r="B883" s="13"/>
    </row>
    <row r="884">
      <c r="A884" s="13"/>
      <c r="B884" s="13"/>
    </row>
    <row r="885">
      <c r="A885" s="13"/>
      <c r="B885" s="13"/>
    </row>
    <row r="886">
      <c r="A886" s="13"/>
      <c r="B886" s="13"/>
    </row>
    <row r="887">
      <c r="A887" s="13"/>
      <c r="B887" s="13"/>
    </row>
    <row r="888">
      <c r="A888" s="13"/>
      <c r="B888" s="13"/>
    </row>
    <row r="889">
      <c r="A889" s="13"/>
      <c r="B889" s="13"/>
    </row>
    <row r="890">
      <c r="A890" s="13"/>
      <c r="B890" s="13"/>
    </row>
    <row r="891">
      <c r="A891" s="13"/>
      <c r="B891" s="13"/>
    </row>
    <row r="892">
      <c r="A892" s="13"/>
      <c r="B892" s="13"/>
    </row>
    <row r="893">
      <c r="A893" s="13"/>
      <c r="B893" s="13"/>
    </row>
    <row r="894">
      <c r="A894" s="13"/>
      <c r="B894" s="13"/>
    </row>
    <row r="895">
      <c r="A895" s="13"/>
      <c r="B895" s="13"/>
    </row>
    <row r="896">
      <c r="A896" s="13"/>
      <c r="B896" s="13"/>
    </row>
    <row r="897">
      <c r="A897" s="13"/>
      <c r="B897" s="13"/>
    </row>
    <row r="898">
      <c r="A898" s="13"/>
      <c r="B898" s="13"/>
    </row>
    <row r="899">
      <c r="A899" s="13"/>
      <c r="B899" s="13"/>
    </row>
    <row r="900">
      <c r="A900" s="13"/>
      <c r="B900" s="13"/>
    </row>
    <row r="901">
      <c r="A901" s="13"/>
      <c r="B901" s="13"/>
    </row>
    <row r="902">
      <c r="A902" s="13"/>
      <c r="B902" s="13"/>
    </row>
    <row r="903">
      <c r="A903" s="13"/>
      <c r="B903" s="13"/>
    </row>
    <row r="904">
      <c r="A904" s="13"/>
      <c r="B904" s="13"/>
    </row>
    <row r="905">
      <c r="A905" s="13"/>
      <c r="B905" s="13"/>
    </row>
    <row r="906">
      <c r="A906" s="13"/>
      <c r="B906" s="13"/>
    </row>
    <row r="907">
      <c r="A907" s="13"/>
      <c r="B907" s="13"/>
    </row>
    <row r="908">
      <c r="A908" s="13"/>
      <c r="B908" s="13"/>
    </row>
    <row r="909">
      <c r="A909" s="13"/>
      <c r="B909" s="13"/>
    </row>
    <row r="910">
      <c r="A910" s="13"/>
      <c r="B910" s="13"/>
    </row>
    <row r="911">
      <c r="A911" s="13"/>
      <c r="B911" s="13"/>
    </row>
    <row r="912">
      <c r="A912" s="13"/>
      <c r="B912" s="13"/>
    </row>
    <row r="913">
      <c r="A913" s="13"/>
      <c r="B913" s="13"/>
    </row>
    <row r="914">
      <c r="A914" s="13"/>
      <c r="B914" s="13"/>
    </row>
    <row r="915">
      <c r="A915" s="13"/>
      <c r="B915" s="13"/>
    </row>
    <row r="916">
      <c r="A916" s="13"/>
      <c r="B916" s="13"/>
    </row>
    <row r="917">
      <c r="A917" s="13"/>
      <c r="B917" s="13"/>
    </row>
    <row r="918">
      <c r="A918" s="13"/>
      <c r="B918" s="13"/>
    </row>
    <row r="919">
      <c r="A919" s="13"/>
      <c r="B919" s="13"/>
    </row>
    <row r="920">
      <c r="A920" s="13"/>
      <c r="B920" s="13"/>
    </row>
    <row r="921">
      <c r="A921" s="13"/>
      <c r="B921" s="13"/>
    </row>
    <row r="922">
      <c r="A922" s="13"/>
      <c r="B922" s="13"/>
    </row>
    <row r="923">
      <c r="A923" s="13"/>
      <c r="B923" s="13"/>
    </row>
    <row r="924">
      <c r="A924" s="13"/>
      <c r="B924" s="13"/>
    </row>
    <row r="925">
      <c r="A925" s="13"/>
      <c r="B925" s="13"/>
    </row>
    <row r="926">
      <c r="A926" s="13"/>
      <c r="B926" s="13"/>
    </row>
    <row r="927">
      <c r="A927" s="13"/>
      <c r="B927" s="13"/>
    </row>
    <row r="928">
      <c r="A928" s="13"/>
      <c r="B928" s="13"/>
    </row>
    <row r="929">
      <c r="A929" s="13"/>
      <c r="B929" s="13"/>
    </row>
    <row r="930">
      <c r="A930" s="13"/>
      <c r="B930" s="13"/>
    </row>
    <row r="931">
      <c r="A931" s="13"/>
      <c r="B931" s="13"/>
    </row>
    <row r="932">
      <c r="A932" s="13"/>
      <c r="B932" s="13"/>
    </row>
    <row r="933">
      <c r="A933" s="13"/>
      <c r="B933" s="13"/>
    </row>
    <row r="934">
      <c r="A934" s="13"/>
      <c r="B934" s="13"/>
    </row>
    <row r="935">
      <c r="A935" s="13"/>
      <c r="B935" s="13"/>
    </row>
    <row r="936">
      <c r="A936" s="13"/>
      <c r="B936" s="13"/>
    </row>
    <row r="937">
      <c r="A937" s="13"/>
      <c r="B937" s="13"/>
    </row>
    <row r="938">
      <c r="A938" s="13"/>
      <c r="B938" s="13"/>
    </row>
    <row r="939">
      <c r="A939" s="13"/>
      <c r="B939" s="13"/>
    </row>
    <row r="940">
      <c r="A940" s="13"/>
      <c r="B940" s="13"/>
    </row>
    <row r="941">
      <c r="A941" s="13"/>
      <c r="B941" s="13"/>
    </row>
    <row r="942">
      <c r="A942" s="13"/>
      <c r="B942" s="13"/>
    </row>
    <row r="943">
      <c r="A943" s="13"/>
      <c r="B943" s="13"/>
    </row>
    <row r="944">
      <c r="A944" s="13"/>
      <c r="B944" s="13"/>
    </row>
    <row r="945">
      <c r="A945" s="13"/>
      <c r="B945" s="13"/>
    </row>
    <row r="946">
      <c r="A946" s="13"/>
      <c r="B946" s="13"/>
    </row>
    <row r="947">
      <c r="A947" s="13"/>
      <c r="B947" s="13"/>
    </row>
    <row r="948">
      <c r="A948" s="13"/>
      <c r="B948" s="13"/>
    </row>
    <row r="949">
      <c r="A949" s="13"/>
      <c r="B949" s="13"/>
    </row>
    <row r="950">
      <c r="A950" s="13"/>
      <c r="B950" s="13"/>
    </row>
    <row r="951">
      <c r="A951" s="13"/>
      <c r="B951" s="13"/>
    </row>
    <row r="952">
      <c r="A952" s="13"/>
      <c r="B952" s="13"/>
    </row>
    <row r="953">
      <c r="A953" s="13"/>
      <c r="B953" s="13"/>
    </row>
    <row r="954">
      <c r="A954" s="13"/>
      <c r="B954" s="13"/>
    </row>
    <row r="955">
      <c r="A955" s="13"/>
      <c r="B955" s="13"/>
    </row>
    <row r="956">
      <c r="A956" s="13"/>
      <c r="B956" s="13"/>
    </row>
    <row r="957">
      <c r="A957" s="13"/>
      <c r="B957" s="13"/>
    </row>
    <row r="958">
      <c r="A958" s="13"/>
      <c r="B958" s="13"/>
    </row>
    <row r="959">
      <c r="A959" s="13"/>
      <c r="B959" s="13"/>
    </row>
    <row r="960">
      <c r="A960" s="13"/>
      <c r="B960" s="13"/>
    </row>
    <row r="961">
      <c r="A961" s="13"/>
      <c r="B961" s="13"/>
    </row>
    <row r="962">
      <c r="A962" s="13"/>
      <c r="B962" s="13"/>
    </row>
    <row r="963">
      <c r="A963" s="13"/>
      <c r="B963" s="13"/>
    </row>
    <row r="964">
      <c r="A964" s="13"/>
      <c r="B964" s="13"/>
    </row>
    <row r="965">
      <c r="A965" s="13"/>
      <c r="B965" s="13"/>
    </row>
    <row r="966">
      <c r="A966" s="13"/>
      <c r="B966" s="13"/>
    </row>
    <row r="967">
      <c r="A967" s="13"/>
      <c r="B967" s="13"/>
    </row>
    <row r="968">
      <c r="A968" s="13"/>
      <c r="B968" s="13"/>
    </row>
    <row r="969">
      <c r="A969" s="13"/>
      <c r="B969" s="13"/>
    </row>
    <row r="970">
      <c r="A970" s="13"/>
      <c r="B970" s="13"/>
    </row>
    <row r="971">
      <c r="A971" s="13"/>
      <c r="B971" s="13"/>
    </row>
    <row r="972">
      <c r="A972" s="13"/>
      <c r="B972" s="13"/>
    </row>
    <row r="973">
      <c r="A973" s="13"/>
      <c r="B973" s="13"/>
    </row>
    <row r="974">
      <c r="A974" s="13"/>
      <c r="B974" s="13"/>
    </row>
    <row r="975">
      <c r="A975" s="13"/>
      <c r="B975" s="13"/>
    </row>
    <row r="976">
      <c r="A976" s="13"/>
      <c r="B976" s="13"/>
    </row>
    <row r="977">
      <c r="A977" s="13"/>
      <c r="B977" s="13"/>
    </row>
    <row r="978">
      <c r="A978" s="13"/>
      <c r="B978" s="13"/>
    </row>
    <row r="979">
      <c r="A979" s="13"/>
      <c r="B979" s="13"/>
    </row>
    <row r="980">
      <c r="A980" s="13"/>
      <c r="B980" s="13"/>
    </row>
    <row r="981">
      <c r="A981" s="13"/>
      <c r="B981" s="13"/>
    </row>
    <row r="982">
      <c r="A982" s="13"/>
      <c r="B982" s="13"/>
    </row>
    <row r="983">
      <c r="A983" s="13"/>
      <c r="B983" s="13"/>
    </row>
    <row r="984">
      <c r="A984" s="13"/>
      <c r="B984" s="13"/>
    </row>
    <row r="985">
      <c r="A985" s="13"/>
      <c r="B985" s="13"/>
    </row>
    <row r="986">
      <c r="A986" s="13"/>
      <c r="B986" s="13"/>
    </row>
    <row r="987">
      <c r="A987" s="13"/>
      <c r="B987" s="13"/>
    </row>
    <row r="988">
      <c r="A988" s="13"/>
      <c r="B988" s="13"/>
    </row>
    <row r="989">
      <c r="A989" s="13"/>
      <c r="B989" s="13"/>
    </row>
    <row r="990">
      <c r="A990" s="13"/>
      <c r="B990" s="13"/>
    </row>
    <row r="991">
      <c r="A991" s="13"/>
      <c r="B991" s="13"/>
    </row>
    <row r="992">
      <c r="A992" s="13"/>
      <c r="B992" s="13"/>
    </row>
    <row r="993">
      <c r="A993" s="13"/>
      <c r="B993" s="13"/>
    </row>
    <row r="994">
      <c r="A994" s="13"/>
      <c r="B994" s="13"/>
    </row>
    <row r="995">
      <c r="A995" s="13"/>
      <c r="B995" s="13"/>
    </row>
    <row r="996">
      <c r="A996" s="13"/>
      <c r="B996" s="13"/>
    </row>
    <row r="997">
      <c r="A997" s="13"/>
      <c r="B997" s="13"/>
    </row>
    <row r="998">
      <c r="A998" s="13"/>
      <c r="B998" s="13"/>
    </row>
    <row r="999">
      <c r="A999" s="13"/>
      <c r="B999" s="13"/>
    </row>
    <row r="1000">
      <c r="A1000" s="13"/>
      <c r="B1000" s="13"/>
    </row>
    <row r="1001">
      <c r="A1001" s="13"/>
      <c r="B1001" s="13"/>
    </row>
    <row r="1002">
      <c r="A1002" s="13"/>
      <c r="B1002" s="13"/>
    </row>
    <row r="1003">
      <c r="A1003" s="13"/>
      <c r="B1003" s="1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75"/>
    <col customWidth="1" min="2" max="2" width="31.88"/>
    <col customWidth="1" min="3" max="3" width="16.88"/>
    <col customWidth="1" min="4" max="4" width="13.25"/>
    <col customWidth="1" min="5" max="6" width="9.38"/>
    <col customWidth="1" min="7" max="7" width="9.63"/>
    <col customWidth="1" min="8" max="8" width="10.5"/>
    <col customWidth="1" min="9" max="9" width="10.13"/>
    <col customWidth="1" min="10" max="10" width="24.88"/>
    <col customWidth="1" min="11" max="11" width="24.63"/>
    <col customWidth="1" min="12" max="12" width="14.5"/>
    <col customWidth="1" min="13" max="13" width="38.63"/>
    <col customWidth="1" min="14" max="14" width="33.63"/>
    <col customWidth="1" min="15" max="15" width="8.0"/>
    <col customWidth="1" min="16" max="16" width="38.63"/>
    <col customWidth="1" min="17" max="18" width="9.38"/>
    <col customWidth="1" min="19" max="19" width="18.25"/>
    <col customWidth="1" min="20" max="20" width="13.0"/>
    <col customWidth="1" min="21" max="21" width="16.88"/>
    <col customWidth="1" min="22" max="22" width="13.63"/>
    <col customWidth="1" min="23" max="23" width="25.63"/>
    <col customWidth="1" min="24" max="24" width="25.88"/>
    <col customWidth="1" min="29" max="29" width="15.0"/>
    <col customWidth="1" min="30" max="30" width="10.75"/>
    <col customWidth="1" min="31" max="31" width="19.88"/>
    <col customWidth="1" min="35" max="35" width="22.38"/>
    <col customWidth="1" min="37" max="37" width="21.0"/>
    <col customWidth="1" min="38" max="38" width="15.0"/>
    <col customWidth="1" min="39" max="39" width="9.63"/>
    <col customWidth="1" min="40" max="40" width="36.0"/>
    <col customWidth="1" min="41" max="41" width="16.75"/>
    <col customWidth="1" min="42" max="42" width="18.63"/>
    <col customWidth="1" min="43" max="43" width="35.13"/>
    <col customWidth="1" min="44" max="44" width="36.0"/>
    <col customWidth="1" min="45" max="45" width="16.75"/>
    <col customWidth="1" min="46" max="46" width="18.63"/>
    <col customWidth="1" min="47" max="47" width="33.75"/>
    <col customWidth="1" min="49" max="49" width="15.5"/>
    <col customWidth="1" min="50" max="50" width="20.63"/>
    <col customWidth="1" min="55" max="55" width="20.63"/>
  </cols>
  <sheetData>
    <row r="1" ht="63.75" customHeight="1">
      <c r="A1" s="74" t="s">
        <v>2</v>
      </c>
      <c r="B1" s="75" t="s">
        <v>0</v>
      </c>
      <c r="C1" s="76" t="s">
        <v>8005</v>
      </c>
      <c r="D1" s="76" t="s">
        <v>3</v>
      </c>
      <c r="E1" s="74" t="s">
        <v>1696</v>
      </c>
      <c r="F1" s="76" t="s">
        <v>1697</v>
      </c>
      <c r="G1" s="74" t="s">
        <v>1698</v>
      </c>
      <c r="H1" s="74" t="s">
        <v>1699</v>
      </c>
      <c r="I1" s="75" t="s">
        <v>5749</v>
      </c>
      <c r="J1" s="75" t="s">
        <v>1701</v>
      </c>
      <c r="K1" s="77" t="s">
        <v>1702</v>
      </c>
      <c r="L1" s="77" t="s">
        <v>1703</v>
      </c>
      <c r="M1" s="74" t="s">
        <v>8006</v>
      </c>
      <c r="N1" s="318" t="s">
        <v>1704</v>
      </c>
      <c r="O1" s="319" t="s">
        <v>1705</v>
      </c>
      <c r="P1" s="75" t="s">
        <v>1706</v>
      </c>
      <c r="Q1" s="75" t="s">
        <v>1707</v>
      </c>
      <c r="R1" s="75" t="s">
        <v>1708</v>
      </c>
      <c r="S1" s="74" t="s">
        <v>1709</v>
      </c>
      <c r="T1" s="75" t="s">
        <v>1710</v>
      </c>
      <c r="U1" s="78" t="s">
        <v>1711</v>
      </c>
      <c r="V1" s="76" t="s">
        <v>1712</v>
      </c>
      <c r="W1" s="75" t="s">
        <v>1714</v>
      </c>
      <c r="X1" s="79" t="s">
        <v>1715</v>
      </c>
      <c r="Y1" s="76" t="s">
        <v>1717</v>
      </c>
      <c r="Z1" s="76" t="s">
        <v>1718</v>
      </c>
      <c r="AA1" s="79" t="s">
        <v>1719</v>
      </c>
      <c r="AB1" s="79" t="s">
        <v>1720</v>
      </c>
      <c r="AC1" s="79" t="s">
        <v>1723</v>
      </c>
      <c r="AD1" s="320" t="s">
        <v>1721</v>
      </c>
      <c r="AE1" s="79" t="s">
        <v>1724</v>
      </c>
      <c r="AF1" s="76" t="s">
        <v>1725</v>
      </c>
      <c r="AG1" s="76" t="s">
        <v>1727</v>
      </c>
      <c r="AH1" s="75" t="s">
        <v>1728</v>
      </c>
      <c r="AI1" s="76" t="s">
        <v>1729</v>
      </c>
      <c r="AJ1" s="75" t="s">
        <v>1730</v>
      </c>
      <c r="AK1" s="76" t="s">
        <v>1731</v>
      </c>
      <c r="AL1" s="75" t="s">
        <v>1732</v>
      </c>
      <c r="AM1" s="75" t="s">
        <v>1733</v>
      </c>
      <c r="AN1" s="75" t="s">
        <v>1734</v>
      </c>
      <c r="AO1" s="75" t="s">
        <v>1735</v>
      </c>
      <c r="AP1" s="75" t="s">
        <v>1736</v>
      </c>
      <c r="AQ1" s="75" t="s">
        <v>1737</v>
      </c>
      <c r="AR1" s="75" t="s">
        <v>1738</v>
      </c>
      <c r="AS1" s="75" t="s">
        <v>1739</v>
      </c>
      <c r="AT1" s="75" t="s">
        <v>1740</v>
      </c>
      <c r="AU1" s="10" t="s">
        <v>1741</v>
      </c>
      <c r="AV1" s="75" t="s">
        <v>1748</v>
      </c>
      <c r="AW1" s="75" t="s">
        <v>1749</v>
      </c>
      <c r="AX1" s="75" t="s">
        <v>1751</v>
      </c>
      <c r="AY1" s="75" t="s">
        <v>1752</v>
      </c>
      <c r="AZ1" s="74" t="s">
        <v>1754</v>
      </c>
      <c r="BA1" s="75" t="s">
        <v>1755</v>
      </c>
      <c r="BB1" s="74" t="s">
        <v>1757</v>
      </c>
      <c r="BC1" s="75" t="s">
        <v>1758</v>
      </c>
      <c r="BD1" s="74" t="s">
        <v>1759</v>
      </c>
      <c r="BE1" s="74" t="s">
        <v>1760</v>
      </c>
      <c r="BF1" s="74"/>
      <c r="BG1" s="74"/>
    </row>
    <row r="2">
      <c r="A2" s="16"/>
      <c r="B2" s="16" t="s">
        <v>8007</v>
      </c>
      <c r="C2" s="7">
        <v>1.0</v>
      </c>
      <c r="D2" s="53" t="s">
        <v>8008</v>
      </c>
      <c r="E2" s="7"/>
      <c r="F2" s="53"/>
      <c r="G2" s="16"/>
      <c r="H2" s="9">
        <v>1.0</v>
      </c>
      <c r="I2" s="83">
        <v>1.0</v>
      </c>
      <c r="J2" s="16" t="s">
        <v>8009</v>
      </c>
      <c r="K2" s="53"/>
      <c r="L2" s="90"/>
      <c r="M2" s="39" t="str">
        <f t="shared" ref="M2:M5" si="1">CONCATENATE("[",P2," ",N2," (",O2,")","]")</f>
        <v>[- Dense APSP algorithm (-)]</v>
      </c>
      <c r="N2" s="321" t="s">
        <v>8010</v>
      </c>
      <c r="O2" s="322" t="s">
        <v>1937</v>
      </c>
      <c r="P2" s="7" t="s">
        <v>1937</v>
      </c>
      <c r="Q2" s="7"/>
      <c r="R2" s="7"/>
      <c r="S2" s="81"/>
      <c r="T2" s="81"/>
      <c r="U2" s="39"/>
      <c r="V2" s="16"/>
      <c r="W2" s="16" t="s">
        <v>8009</v>
      </c>
      <c r="X2" s="93" t="s">
        <v>2542</v>
      </c>
      <c r="Y2" s="85"/>
      <c r="Z2" s="85"/>
      <c r="AA2" s="85" t="s">
        <v>1813</v>
      </c>
      <c r="AB2" s="85" t="s">
        <v>1814</v>
      </c>
      <c r="AC2" s="131"/>
      <c r="AD2" s="323"/>
      <c r="AE2" s="131"/>
      <c r="AF2" s="21"/>
      <c r="AG2" s="87"/>
      <c r="AH2" s="16">
        <v>0.0</v>
      </c>
      <c r="AI2" s="87"/>
      <c r="AJ2" s="83">
        <v>0.0</v>
      </c>
      <c r="AK2" s="324"/>
      <c r="AL2" s="83">
        <v>0.0</v>
      </c>
      <c r="AM2" s="16">
        <v>0.0</v>
      </c>
      <c r="AN2" s="7"/>
      <c r="AO2" s="7">
        <v>0.0</v>
      </c>
      <c r="AP2" s="7">
        <v>0.0</v>
      </c>
      <c r="AQ2" s="7"/>
      <c r="AR2" s="82"/>
      <c r="AS2" s="7"/>
      <c r="AT2" s="7"/>
      <c r="AU2" s="7"/>
      <c r="AV2" s="7"/>
      <c r="AW2" s="7"/>
      <c r="AX2" s="7"/>
      <c r="AY2" s="7"/>
      <c r="AZ2" s="7"/>
      <c r="BA2" s="7"/>
      <c r="BB2" s="7"/>
      <c r="BC2" s="7"/>
      <c r="BD2" s="7"/>
      <c r="BE2" s="7"/>
      <c r="BF2" s="7"/>
      <c r="BG2" s="7"/>
    </row>
    <row r="3">
      <c r="A3" s="16"/>
      <c r="B3" s="16" t="s">
        <v>8007</v>
      </c>
      <c r="C3" s="7">
        <v>1.0</v>
      </c>
      <c r="D3" s="53" t="s">
        <v>8011</v>
      </c>
      <c r="E3" s="7"/>
      <c r="F3" s="53"/>
      <c r="G3" s="16"/>
      <c r="H3" s="9">
        <v>1.0</v>
      </c>
      <c r="I3" s="83">
        <v>1.0</v>
      </c>
      <c r="J3" s="7" t="s">
        <v>8012</v>
      </c>
      <c r="K3" s="53"/>
      <c r="L3" s="90"/>
      <c r="M3" s="39" t="str">
        <f t="shared" si="1"/>
        <v>[- Sparse APSP algorithm (-)]</v>
      </c>
      <c r="N3" s="321" t="s">
        <v>8013</v>
      </c>
      <c r="O3" s="322" t="s">
        <v>1937</v>
      </c>
      <c r="P3" s="7" t="s">
        <v>1937</v>
      </c>
      <c r="Q3" s="7"/>
      <c r="R3" s="7"/>
      <c r="S3" s="81"/>
      <c r="T3" s="81"/>
      <c r="U3" s="39"/>
      <c r="V3" s="7"/>
      <c r="W3" s="7" t="s">
        <v>8012</v>
      </c>
      <c r="X3" s="93" t="s">
        <v>2542</v>
      </c>
      <c r="Y3" s="85"/>
      <c r="Z3" s="85"/>
      <c r="AA3" s="85" t="s">
        <v>1813</v>
      </c>
      <c r="AB3" s="85" t="s">
        <v>1814</v>
      </c>
      <c r="AC3" s="131"/>
      <c r="AD3" s="323"/>
      <c r="AE3" s="131"/>
      <c r="AF3" s="21"/>
      <c r="AG3" s="87"/>
      <c r="AH3" s="16">
        <v>0.0</v>
      </c>
      <c r="AI3" s="87"/>
      <c r="AJ3" s="83">
        <v>0.0</v>
      </c>
      <c r="AK3" s="324"/>
      <c r="AL3" s="83">
        <v>0.0</v>
      </c>
      <c r="AM3" s="16">
        <v>0.0</v>
      </c>
      <c r="AN3" s="7"/>
      <c r="AO3" s="7">
        <v>0.0</v>
      </c>
      <c r="AP3" s="7">
        <v>0.0</v>
      </c>
      <c r="AQ3" s="7"/>
      <c r="AR3" s="82"/>
      <c r="AS3" s="7"/>
      <c r="AT3" s="7"/>
      <c r="AU3" s="7"/>
      <c r="AV3" s="7"/>
      <c r="AW3" s="7"/>
      <c r="AX3" s="7"/>
      <c r="AY3" s="7"/>
      <c r="AZ3" s="7"/>
      <c r="BA3" s="7"/>
      <c r="BB3" s="7"/>
      <c r="BC3" s="7"/>
      <c r="BD3" s="7"/>
      <c r="BE3" s="7"/>
      <c r="BF3" s="7"/>
      <c r="BG3" s="7"/>
    </row>
    <row r="4">
      <c r="A4" s="16"/>
      <c r="B4" s="16" t="s">
        <v>8007</v>
      </c>
      <c r="C4" s="7">
        <v>1.0</v>
      </c>
      <c r="D4" s="53" t="s">
        <v>8014</v>
      </c>
      <c r="E4" s="7"/>
      <c r="F4" s="53"/>
      <c r="G4" s="16"/>
      <c r="H4" s="9">
        <v>1.0</v>
      </c>
      <c r="I4" s="83">
        <v>1.0</v>
      </c>
      <c r="J4" s="7" t="s">
        <v>8015</v>
      </c>
      <c r="K4" s="53"/>
      <c r="L4" s="90"/>
      <c r="M4" s="39" t="str">
        <f t="shared" si="1"/>
        <v>[- Binary representation search with matrix multiplication (-)]</v>
      </c>
      <c r="N4" s="321" t="s">
        <v>8016</v>
      </c>
      <c r="O4" s="322" t="s">
        <v>1937</v>
      </c>
      <c r="P4" s="7" t="s">
        <v>1937</v>
      </c>
      <c r="Q4" s="7"/>
      <c r="R4" s="7"/>
      <c r="S4" s="81"/>
      <c r="T4" s="81"/>
      <c r="U4" s="39"/>
      <c r="V4" s="7"/>
      <c r="W4" s="7" t="s">
        <v>8015</v>
      </c>
      <c r="X4" s="93" t="s">
        <v>2542</v>
      </c>
      <c r="Y4" s="85"/>
      <c r="Z4" s="85"/>
      <c r="AA4" s="85" t="s">
        <v>1813</v>
      </c>
      <c r="AB4" s="85" t="s">
        <v>1814</v>
      </c>
      <c r="AC4" s="85" t="s">
        <v>8017</v>
      </c>
      <c r="AD4" s="325"/>
      <c r="AE4" s="85" t="s">
        <v>8018</v>
      </c>
      <c r="AF4" s="21"/>
      <c r="AG4" s="87"/>
      <c r="AH4" s="16">
        <v>0.0</v>
      </c>
      <c r="AI4" s="87"/>
      <c r="AJ4" s="83">
        <v>0.0</v>
      </c>
      <c r="AK4" s="324"/>
      <c r="AL4" s="83">
        <v>0.0</v>
      </c>
      <c r="AM4" s="16">
        <v>0.0</v>
      </c>
      <c r="AN4" s="7"/>
      <c r="AO4" s="7">
        <v>0.0</v>
      </c>
      <c r="AP4" s="7">
        <v>0.0</v>
      </c>
      <c r="AQ4" s="7"/>
      <c r="AR4" s="82"/>
      <c r="AS4" s="7"/>
      <c r="AT4" s="7"/>
      <c r="AU4" s="7"/>
      <c r="AV4" s="7"/>
      <c r="AW4" s="7"/>
      <c r="AX4" s="7"/>
      <c r="AY4" s="7"/>
      <c r="AZ4" s="7"/>
      <c r="BA4" s="7"/>
      <c r="BB4" s="7"/>
      <c r="BC4" s="7"/>
      <c r="BD4" s="7"/>
      <c r="BE4" s="7"/>
      <c r="BF4" s="7"/>
      <c r="BG4" s="7"/>
    </row>
    <row r="5">
      <c r="A5" s="16"/>
      <c r="B5" s="16" t="s">
        <v>8007</v>
      </c>
      <c r="C5" s="7">
        <v>1.0</v>
      </c>
      <c r="D5" s="53" t="s">
        <v>8019</v>
      </c>
      <c r="E5" s="7"/>
      <c r="F5" s="53"/>
      <c r="G5" s="16"/>
      <c r="H5" s="9">
        <v>1.0</v>
      </c>
      <c r="I5" s="83">
        <v>1.0</v>
      </c>
      <c r="J5" s="7" t="s">
        <v>8020</v>
      </c>
      <c r="K5" s="53"/>
      <c r="L5" s="90"/>
      <c r="M5" s="39" t="str">
        <f t="shared" si="1"/>
        <v>[https://dl.acm.org/doi/abs/10.1145/2736283 Cygan, Gabow, Sankowski (2012)]</v>
      </c>
      <c r="N5" s="321" t="s">
        <v>8021</v>
      </c>
      <c r="O5" s="322">
        <v>2012.0</v>
      </c>
      <c r="P5" s="47" t="s">
        <v>8022</v>
      </c>
      <c r="Q5" s="7"/>
      <c r="R5" s="7"/>
      <c r="S5" s="81"/>
      <c r="T5" s="81"/>
      <c r="U5" s="39"/>
      <c r="V5" s="7"/>
      <c r="W5" s="7" t="s">
        <v>8020</v>
      </c>
      <c r="X5" s="93" t="s">
        <v>8023</v>
      </c>
      <c r="Y5" s="85"/>
      <c r="Z5" s="85"/>
      <c r="AA5" s="85" t="s">
        <v>1813</v>
      </c>
      <c r="AB5" s="85" t="s">
        <v>1814</v>
      </c>
      <c r="AC5" s="131"/>
      <c r="AD5" s="323"/>
      <c r="AE5" s="131"/>
      <c r="AF5" s="21"/>
      <c r="AG5" s="87"/>
      <c r="AH5" s="16">
        <v>0.0</v>
      </c>
      <c r="AI5" s="87"/>
      <c r="AJ5" s="83">
        <v>0.0</v>
      </c>
      <c r="AK5" s="324"/>
      <c r="AL5" s="83">
        <v>0.0</v>
      </c>
      <c r="AM5" s="16">
        <v>0.0</v>
      </c>
      <c r="AN5" s="7"/>
      <c r="AO5" s="7">
        <v>0.0</v>
      </c>
      <c r="AP5" s="7">
        <v>0.0</v>
      </c>
      <c r="AQ5" s="7"/>
      <c r="AR5" s="82"/>
      <c r="AS5" s="7"/>
      <c r="AT5" s="7"/>
      <c r="AU5" s="7"/>
      <c r="AV5" s="7"/>
      <c r="AW5" s="7"/>
      <c r="AX5" s="7"/>
      <c r="AY5" s="7"/>
      <c r="AZ5" s="7"/>
      <c r="BA5" s="7"/>
      <c r="BB5" s="7"/>
      <c r="BC5" s="7"/>
      <c r="BD5" s="7"/>
      <c r="BE5" s="7"/>
      <c r="BF5" s="7"/>
      <c r="BG5" s="7"/>
    </row>
    <row r="6">
      <c r="A6" s="197">
        <v>6.0</v>
      </c>
      <c r="B6" s="120" t="s">
        <v>109</v>
      </c>
      <c r="C6" s="7">
        <v>1.0</v>
      </c>
      <c r="D6" s="53" t="s">
        <v>118</v>
      </c>
      <c r="E6" s="7"/>
      <c r="F6" s="53"/>
      <c r="G6" s="16"/>
      <c r="H6" s="83">
        <v>1.0</v>
      </c>
      <c r="I6" s="9">
        <v>1.0</v>
      </c>
      <c r="J6" s="115"/>
      <c r="K6" s="143"/>
      <c r="L6" s="90"/>
      <c r="N6" s="321" t="s">
        <v>8024</v>
      </c>
      <c r="O6" s="326">
        <v>2018.0</v>
      </c>
      <c r="P6" s="49" t="s">
        <v>8025</v>
      </c>
      <c r="Q6" s="82"/>
      <c r="R6" s="82"/>
      <c r="S6" s="83"/>
      <c r="T6" s="83"/>
      <c r="V6" s="16"/>
      <c r="W6" s="16" t="s">
        <v>8026</v>
      </c>
      <c r="X6" s="93" t="s">
        <v>8027</v>
      </c>
      <c r="Y6" s="85"/>
      <c r="Z6" s="85"/>
      <c r="AA6" s="85" t="s">
        <v>8028</v>
      </c>
      <c r="AB6" s="131"/>
      <c r="AC6" s="131"/>
      <c r="AD6" s="323"/>
      <c r="AE6" s="131"/>
      <c r="AF6" s="21"/>
      <c r="AG6" s="21"/>
      <c r="AH6" s="16">
        <v>1.0</v>
      </c>
      <c r="AI6" s="84"/>
      <c r="AJ6" s="83">
        <v>0.0</v>
      </c>
      <c r="AK6" s="117"/>
      <c r="AL6" s="83">
        <v>0.0</v>
      </c>
      <c r="AM6" s="16">
        <v>0.0</v>
      </c>
      <c r="AN6" s="7"/>
      <c r="AO6" s="7">
        <v>1.0</v>
      </c>
      <c r="AP6" s="7">
        <v>0.0</v>
      </c>
      <c r="AQ6" s="7"/>
      <c r="AR6" s="7" t="s">
        <v>8029</v>
      </c>
      <c r="AS6" s="82"/>
      <c r="AT6" s="82"/>
      <c r="AU6" s="82"/>
      <c r="AV6" s="82"/>
      <c r="AW6" s="7"/>
      <c r="AX6" s="82"/>
      <c r="AY6" s="7"/>
      <c r="AZ6" s="7"/>
      <c r="BA6" s="7"/>
      <c r="BB6" s="7"/>
      <c r="BC6" s="7"/>
      <c r="BD6" s="7"/>
      <c r="BE6" s="7" t="s">
        <v>23</v>
      </c>
      <c r="BF6" s="7"/>
      <c r="BG6" s="7"/>
    </row>
    <row r="7">
      <c r="A7" s="197">
        <v>6.0</v>
      </c>
      <c r="B7" s="120" t="s">
        <v>109</v>
      </c>
      <c r="C7" s="7">
        <v>1.0</v>
      </c>
      <c r="D7" s="53" t="s">
        <v>122</v>
      </c>
      <c r="E7" s="7"/>
      <c r="F7" s="53"/>
      <c r="G7" s="16"/>
      <c r="H7" s="83">
        <v>1.0</v>
      </c>
      <c r="I7" s="9">
        <v>1.0</v>
      </c>
      <c r="J7" s="115"/>
      <c r="K7" s="143"/>
      <c r="L7" s="90"/>
      <c r="M7" s="140"/>
      <c r="N7" s="327"/>
      <c r="O7" s="322">
        <v>2018.0</v>
      </c>
      <c r="P7" s="24" t="s">
        <v>8030</v>
      </c>
      <c r="Q7" s="82"/>
      <c r="R7" s="82"/>
      <c r="S7" s="81"/>
      <c r="T7" s="81"/>
      <c r="U7" s="39"/>
      <c r="V7" s="7"/>
      <c r="W7" s="7" t="s">
        <v>8031</v>
      </c>
      <c r="X7" s="93" t="s">
        <v>8032</v>
      </c>
      <c r="Y7" s="85"/>
      <c r="Z7" s="85"/>
      <c r="AA7" s="85" t="s">
        <v>1813</v>
      </c>
      <c r="AB7" s="85" t="s">
        <v>1814</v>
      </c>
      <c r="AC7" s="131"/>
      <c r="AD7" s="323"/>
      <c r="AE7" s="131"/>
      <c r="AF7" s="21"/>
      <c r="AG7" s="21"/>
      <c r="AH7" s="16">
        <v>0.0</v>
      </c>
      <c r="AI7" s="84"/>
      <c r="AJ7" s="83">
        <v>0.0</v>
      </c>
      <c r="AK7" s="117"/>
      <c r="AL7" s="83">
        <v>0.0</v>
      </c>
      <c r="AM7" s="16">
        <v>0.0</v>
      </c>
      <c r="AN7" s="7"/>
      <c r="AO7" s="7">
        <v>0.0</v>
      </c>
      <c r="AP7" s="7">
        <v>0.0</v>
      </c>
      <c r="AQ7" s="7"/>
      <c r="AR7" s="7" t="s">
        <v>8029</v>
      </c>
      <c r="AS7" s="82"/>
      <c r="AT7" s="82"/>
      <c r="AU7" s="82"/>
      <c r="AV7" s="82"/>
      <c r="AW7" s="7"/>
      <c r="AX7" s="82"/>
      <c r="AY7" s="7"/>
      <c r="AZ7" s="7"/>
      <c r="BA7" s="7"/>
      <c r="BB7" s="7"/>
      <c r="BC7" s="7"/>
      <c r="BD7" s="7"/>
      <c r="BE7" s="7" t="s">
        <v>23</v>
      </c>
      <c r="BF7" s="7"/>
      <c r="BG7" s="7"/>
    </row>
    <row r="8">
      <c r="A8" s="197">
        <v>6.0</v>
      </c>
      <c r="B8" s="120" t="s">
        <v>109</v>
      </c>
      <c r="C8" s="7">
        <v>1.0</v>
      </c>
      <c r="D8" s="53" t="s">
        <v>118</v>
      </c>
      <c r="E8" s="7"/>
      <c r="F8" s="53"/>
      <c r="G8" s="16"/>
      <c r="H8" s="83">
        <v>1.0</v>
      </c>
      <c r="I8" s="9">
        <v>1.0</v>
      </c>
      <c r="J8" s="23" t="s">
        <v>115</v>
      </c>
      <c r="K8" s="153" t="s">
        <v>8033</v>
      </c>
      <c r="L8" s="97" t="s">
        <v>8034</v>
      </c>
      <c r="M8" s="140"/>
      <c r="N8" s="321" t="s">
        <v>8035</v>
      </c>
      <c r="O8" s="322">
        <v>1973.0</v>
      </c>
      <c r="P8" s="24" t="s">
        <v>8036</v>
      </c>
      <c r="Q8" s="82"/>
      <c r="R8" s="82"/>
      <c r="S8" s="81"/>
      <c r="T8" s="81"/>
      <c r="U8" s="39"/>
      <c r="V8" s="7"/>
      <c r="W8" s="7" t="s">
        <v>834</v>
      </c>
      <c r="X8" s="93" t="s">
        <v>8032</v>
      </c>
      <c r="Y8" s="131"/>
      <c r="Z8" s="131"/>
      <c r="AA8" s="131"/>
      <c r="AB8" s="131"/>
      <c r="AC8" s="131"/>
      <c r="AD8" s="323"/>
      <c r="AE8" s="131"/>
      <c r="AF8" s="21"/>
      <c r="AG8" s="21"/>
      <c r="AH8" s="16">
        <v>0.0</v>
      </c>
      <c r="AI8" s="84"/>
      <c r="AJ8" s="83">
        <v>0.0</v>
      </c>
      <c r="AK8" s="117"/>
      <c r="AL8" s="83">
        <v>0.0</v>
      </c>
      <c r="AM8" s="16">
        <v>0.0</v>
      </c>
      <c r="AN8" s="7"/>
      <c r="AO8" s="7">
        <v>0.0</v>
      </c>
      <c r="AP8" s="7">
        <v>0.0</v>
      </c>
      <c r="AQ8" s="7"/>
      <c r="AR8" s="7" t="s">
        <v>8029</v>
      </c>
      <c r="AS8" s="82"/>
      <c r="AT8" s="82"/>
      <c r="AU8" s="82"/>
      <c r="AV8" s="82"/>
      <c r="AW8" s="7"/>
      <c r="AX8" s="82"/>
      <c r="AY8" s="7"/>
      <c r="AZ8" s="7"/>
      <c r="BA8" s="7"/>
      <c r="BB8" s="7"/>
      <c r="BC8" s="7"/>
      <c r="BD8" s="7"/>
      <c r="BE8" s="7" t="s">
        <v>23</v>
      </c>
      <c r="BF8" s="7"/>
      <c r="BG8" s="7"/>
    </row>
    <row r="9">
      <c r="A9" s="197">
        <v>6.0</v>
      </c>
      <c r="B9" s="120" t="s">
        <v>109</v>
      </c>
      <c r="C9" s="7">
        <v>1.0</v>
      </c>
      <c r="D9" s="53" t="s">
        <v>122</v>
      </c>
      <c r="E9" s="7"/>
      <c r="F9" s="53"/>
      <c r="G9" s="16"/>
      <c r="H9" s="83">
        <v>1.0</v>
      </c>
      <c r="I9" s="9">
        <v>1.0</v>
      </c>
      <c r="J9" s="23"/>
      <c r="K9" s="153"/>
      <c r="L9" s="328"/>
      <c r="M9" s="39" t="str">
        <f t="shared" ref="M9:M17" si="2">CONCATENATE("[",P9," ",N9," (",O9,")","]")</f>
        <v>[https://scholar.google.com/scholar?hl=en&amp;as_sdt=0%2C22&amp;q=On+economical+construction+of+the+transitive+closure+of+an+oriented+graph.&amp;btnG= Method of Four Russians (1970)]</v>
      </c>
      <c r="N9" s="321" t="s">
        <v>8037</v>
      </c>
      <c r="O9" s="322">
        <v>1970.0</v>
      </c>
      <c r="P9" s="24" t="s">
        <v>8038</v>
      </c>
      <c r="Q9" s="82"/>
      <c r="R9" s="82"/>
      <c r="S9" s="81"/>
      <c r="T9" s="81"/>
      <c r="U9" s="39"/>
      <c r="V9" s="23"/>
      <c r="W9" s="23" t="s">
        <v>8039</v>
      </c>
      <c r="X9" s="93" t="s">
        <v>8032</v>
      </c>
      <c r="Y9" s="85"/>
      <c r="Z9" s="85"/>
      <c r="AA9" s="85" t="s">
        <v>1813</v>
      </c>
      <c r="AB9" s="85" t="s">
        <v>1814</v>
      </c>
      <c r="AC9" s="131"/>
      <c r="AD9" s="323"/>
      <c r="AE9" s="131"/>
      <c r="AF9" s="21"/>
      <c r="AG9" s="21"/>
      <c r="AH9" s="16">
        <v>0.0</v>
      </c>
      <c r="AI9" s="84"/>
      <c r="AJ9" s="83">
        <v>0.0</v>
      </c>
      <c r="AK9" s="117"/>
      <c r="AL9" s="83">
        <v>0.0</v>
      </c>
      <c r="AM9" s="16">
        <v>0.0</v>
      </c>
      <c r="AN9" s="7"/>
      <c r="AO9" s="7">
        <v>0.0</v>
      </c>
      <c r="AP9" s="7">
        <v>0.0</v>
      </c>
      <c r="AQ9" s="7"/>
      <c r="AR9" s="7" t="s">
        <v>8029</v>
      </c>
      <c r="AS9" s="82"/>
      <c r="AT9" s="82"/>
      <c r="AU9" s="82"/>
      <c r="AV9" s="82"/>
      <c r="AW9" s="7"/>
      <c r="AX9" s="82"/>
      <c r="AY9" s="7"/>
      <c r="AZ9" s="7"/>
      <c r="BA9" s="7"/>
      <c r="BB9" s="7"/>
      <c r="BC9" s="7"/>
      <c r="BD9" s="7"/>
      <c r="BE9" s="7" t="s">
        <v>23</v>
      </c>
      <c r="BF9" s="7"/>
      <c r="BG9" s="7"/>
    </row>
    <row r="10">
      <c r="A10" s="197">
        <v>6.0</v>
      </c>
      <c r="B10" s="120" t="s">
        <v>109</v>
      </c>
      <c r="C10" s="7">
        <v>1.0</v>
      </c>
      <c r="D10" s="53" t="s">
        <v>122</v>
      </c>
      <c r="E10" s="7"/>
      <c r="F10" s="53"/>
      <c r="G10" s="16"/>
      <c r="H10" s="83">
        <v>1.0</v>
      </c>
      <c r="I10" s="9">
        <v>1.0</v>
      </c>
      <c r="J10" s="23"/>
      <c r="K10" s="153"/>
      <c r="L10" s="328"/>
      <c r="M10" s="39" t="str">
        <f t="shared" si="2"/>
        <v>[https://ieeexplore.ieee.org/abstract/document/5438580 Bansal, Williams (2009)]</v>
      </c>
      <c r="N10" s="321" t="s">
        <v>8040</v>
      </c>
      <c r="O10" s="322">
        <v>2009.0</v>
      </c>
      <c r="P10" s="24" t="s">
        <v>8041</v>
      </c>
      <c r="Q10" s="82"/>
      <c r="R10" s="82"/>
      <c r="S10" s="81"/>
      <c r="T10" s="81"/>
      <c r="U10" s="39"/>
      <c r="V10" s="23"/>
      <c r="W10" s="23" t="s">
        <v>8042</v>
      </c>
      <c r="X10" s="93" t="s">
        <v>8032</v>
      </c>
      <c r="Y10" s="85"/>
      <c r="Z10" s="85"/>
      <c r="AA10" s="85" t="s">
        <v>8043</v>
      </c>
      <c r="AB10" s="85" t="s">
        <v>1814</v>
      </c>
      <c r="AC10" s="131"/>
      <c r="AD10" s="323"/>
      <c r="AE10" s="131"/>
      <c r="AF10" s="21"/>
      <c r="AG10" s="21"/>
      <c r="AH10" s="16">
        <v>1.0</v>
      </c>
      <c r="AI10" s="84" t="s">
        <v>2187</v>
      </c>
      <c r="AJ10" s="83">
        <v>0.0</v>
      </c>
      <c r="AK10" s="117"/>
      <c r="AL10" s="83">
        <v>0.0</v>
      </c>
      <c r="AM10" s="16">
        <v>0.0</v>
      </c>
      <c r="AN10" s="7"/>
      <c r="AO10" s="7">
        <v>0.0</v>
      </c>
      <c r="AP10" s="7">
        <v>0.0</v>
      </c>
      <c r="AQ10" s="7"/>
      <c r="AR10" s="7" t="s">
        <v>8029</v>
      </c>
      <c r="AS10" s="82"/>
      <c r="AT10" s="82"/>
      <c r="AU10" s="82"/>
      <c r="AV10" s="82"/>
      <c r="AW10" s="7"/>
      <c r="AX10" s="82"/>
      <c r="AY10" s="7"/>
      <c r="AZ10" s="7"/>
      <c r="BA10" s="7"/>
      <c r="BB10" s="7"/>
      <c r="BC10" s="7"/>
      <c r="BD10" s="7"/>
      <c r="BE10" s="7" t="s">
        <v>23</v>
      </c>
      <c r="BF10" s="7"/>
      <c r="BG10" s="7"/>
    </row>
    <row r="11">
      <c r="A11" s="197">
        <v>6.0</v>
      </c>
      <c r="B11" s="120" t="s">
        <v>109</v>
      </c>
      <c r="C11" s="7">
        <v>1.0</v>
      </c>
      <c r="D11" s="53" t="s">
        <v>122</v>
      </c>
      <c r="E11" s="7"/>
      <c r="F11" s="53"/>
      <c r="G11" s="16"/>
      <c r="H11" s="83">
        <v>1.0</v>
      </c>
      <c r="I11" s="9">
        <v>1.0</v>
      </c>
      <c r="J11" s="23"/>
      <c r="K11" s="153"/>
      <c r="L11" s="328"/>
      <c r="M11" s="39" t="str">
        <f t="shared" si="2"/>
        <v>[https://ieeexplore.ieee.org/abstract/document/5438580 Bansal, Williams (2009)]</v>
      </c>
      <c r="N11" s="321" t="s">
        <v>8040</v>
      </c>
      <c r="O11" s="322">
        <v>2009.0</v>
      </c>
      <c r="P11" s="24" t="s">
        <v>8041</v>
      </c>
      <c r="Q11" s="82"/>
      <c r="R11" s="82"/>
      <c r="S11" s="81"/>
      <c r="T11" s="81"/>
      <c r="U11" s="39"/>
      <c r="V11" s="23"/>
      <c r="W11" s="23" t="s">
        <v>8044</v>
      </c>
      <c r="X11" s="93" t="s">
        <v>8045</v>
      </c>
      <c r="Y11" s="85"/>
      <c r="Z11" s="85"/>
      <c r="AA11" s="85" t="s">
        <v>8046</v>
      </c>
      <c r="AB11" s="85" t="s">
        <v>1814</v>
      </c>
      <c r="AC11" s="131"/>
      <c r="AD11" s="323"/>
      <c r="AE11" s="131"/>
      <c r="AF11" s="21"/>
      <c r="AG11" s="21"/>
      <c r="AH11" s="16">
        <v>1.0</v>
      </c>
      <c r="AI11" s="84" t="s">
        <v>2187</v>
      </c>
      <c r="AJ11" s="83">
        <v>0.0</v>
      </c>
      <c r="AK11" s="117"/>
      <c r="AL11" s="83">
        <v>0.0</v>
      </c>
      <c r="AM11" s="16">
        <v>0.0</v>
      </c>
      <c r="AN11" s="7"/>
      <c r="AO11" s="7">
        <v>0.0</v>
      </c>
      <c r="AP11" s="7">
        <v>0.0</v>
      </c>
      <c r="AQ11" s="7"/>
      <c r="AR11" s="7" t="s">
        <v>8029</v>
      </c>
      <c r="AS11" s="82"/>
      <c r="AT11" s="82"/>
      <c r="AU11" s="82"/>
      <c r="AV11" s="82"/>
      <c r="AW11" s="7"/>
      <c r="AX11" s="82"/>
      <c r="AY11" s="7"/>
      <c r="AZ11" s="7"/>
      <c r="BA11" s="7"/>
      <c r="BB11" s="7"/>
      <c r="BC11" s="7"/>
      <c r="BD11" s="7"/>
      <c r="BE11" s="7" t="s">
        <v>23</v>
      </c>
      <c r="BF11" s="7"/>
      <c r="BG11" s="7"/>
    </row>
    <row r="12">
      <c r="A12" s="197">
        <v>6.0</v>
      </c>
      <c r="B12" s="120" t="s">
        <v>109</v>
      </c>
      <c r="C12" s="7">
        <v>1.0</v>
      </c>
      <c r="D12" s="53" t="s">
        <v>122</v>
      </c>
      <c r="E12" s="7"/>
      <c r="F12" s="53"/>
      <c r="G12" s="16"/>
      <c r="H12" s="83">
        <v>1.0</v>
      </c>
      <c r="I12" s="9">
        <v>1.0</v>
      </c>
      <c r="J12" s="23"/>
      <c r="K12" s="153"/>
      <c r="L12" s="328"/>
      <c r="M12" s="39" t="str">
        <f t="shared" si="2"/>
        <v>[https://epubs.siam.org/doi/abs/10.1137/1.9781611973730.16 Chan (2015)]</v>
      </c>
      <c r="N12" s="321" t="s">
        <v>3196</v>
      </c>
      <c r="O12" s="322">
        <v>2015.0</v>
      </c>
      <c r="P12" s="24" t="s">
        <v>8047</v>
      </c>
      <c r="Q12" s="82"/>
      <c r="R12" s="82"/>
      <c r="S12" s="81"/>
      <c r="T12" s="81"/>
      <c r="U12" s="39"/>
      <c r="V12" s="23"/>
      <c r="W12" s="23" t="s">
        <v>8048</v>
      </c>
      <c r="X12" s="93" t="s">
        <v>8032</v>
      </c>
      <c r="Y12" s="85"/>
      <c r="Z12" s="85"/>
      <c r="AA12" s="85" t="s">
        <v>8043</v>
      </c>
      <c r="AB12" s="85" t="s">
        <v>1814</v>
      </c>
      <c r="AC12" s="131"/>
      <c r="AD12" s="323"/>
      <c r="AE12" s="131"/>
      <c r="AF12" s="21"/>
      <c r="AG12" s="21"/>
      <c r="AH12" s="16">
        <v>0.0</v>
      </c>
      <c r="AI12" s="84"/>
      <c r="AJ12" s="83">
        <v>0.0</v>
      </c>
      <c r="AK12" s="117"/>
      <c r="AL12" s="83">
        <v>0.0</v>
      </c>
      <c r="AM12" s="16">
        <v>0.0</v>
      </c>
      <c r="AN12" s="7"/>
      <c r="AO12" s="7">
        <v>0.0</v>
      </c>
      <c r="AP12" s="7">
        <v>0.0</v>
      </c>
      <c r="AQ12" s="7"/>
      <c r="AR12" s="7" t="s">
        <v>8029</v>
      </c>
      <c r="AS12" s="82"/>
      <c r="AT12" s="82"/>
      <c r="AU12" s="82"/>
      <c r="AV12" s="82"/>
      <c r="AW12" s="7"/>
      <c r="AX12" s="82"/>
      <c r="AY12" s="7"/>
      <c r="AZ12" s="7"/>
      <c r="BA12" s="7"/>
      <c r="BB12" s="7"/>
      <c r="BC12" s="7"/>
      <c r="BD12" s="7"/>
      <c r="BE12" s="7" t="s">
        <v>23</v>
      </c>
      <c r="BF12" s="7"/>
      <c r="BG12" s="7"/>
    </row>
    <row r="13">
      <c r="A13" s="197">
        <v>6.0</v>
      </c>
      <c r="B13" s="120" t="s">
        <v>109</v>
      </c>
      <c r="C13" s="7">
        <v>1.0</v>
      </c>
      <c r="D13" s="53" t="s">
        <v>122</v>
      </c>
      <c r="E13" s="7"/>
      <c r="F13" s="53"/>
      <c r="G13" s="16"/>
      <c r="H13" s="83">
        <v>1.0</v>
      </c>
      <c r="I13" s="9">
        <v>1.0</v>
      </c>
      <c r="J13" s="23"/>
      <c r="K13" s="153"/>
      <c r="L13" s="328"/>
      <c r="M13" s="39" t="str">
        <f t="shared" si="2"/>
        <v>[https://epubs.siam.org/doi/abs/10.1137/1.9781611973730.16 Chan (2015)]</v>
      </c>
      <c r="N13" s="321" t="s">
        <v>3196</v>
      </c>
      <c r="O13" s="322">
        <v>2015.0</v>
      </c>
      <c r="P13" s="24" t="s">
        <v>8047</v>
      </c>
      <c r="Q13" s="82"/>
      <c r="R13" s="82"/>
      <c r="S13" s="81"/>
      <c r="T13" s="81"/>
      <c r="U13" s="39"/>
      <c r="V13" s="23"/>
      <c r="W13" s="23" t="s">
        <v>8049</v>
      </c>
      <c r="X13" s="93" t="s">
        <v>8045</v>
      </c>
      <c r="Y13" s="85"/>
      <c r="Z13" s="85"/>
      <c r="AA13" s="85" t="s">
        <v>8046</v>
      </c>
      <c r="AB13" s="85" t="s">
        <v>1814</v>
      </c>
      <c r="AC13" s="131"/>
      <c r="AD13" s="323"/>
      <c r="AE13" s="131"/>
      <c r="AF13" s="21"/>
      <c r="AG13" s="21"/>
      <c r="AH13" s="16">
        <v>0.0</v>
      </c>
      <c r="AI13" s="84"/>
      <c r="AJ13" s="83">
        <v>0.0</v>
      </c>
      <c r="AK13" s="117"/>
      <c r="AL13" s="83">
        <v>0.0</v>
      </c>
      <c r="AM13" s="16">
        <v>0.0</v>
      </c>
      <c r="AN13" s="7"/>
      <c r="AO13" s="7">
        <v>0.0</v>
      </c>
      <c r="AP13" s="7">
        <v>0.0</v>
      </c>
      <c r="AQ13" s="7"/>
      <c r="AR13" s="7" t="s">
        <v>8029</v>
      </c>
      <c r="AS13" s="82"/>
      <c r="AT13" s="82"/>
      <c r="AU13" s="82"/>
      <c r="AV13" s="82"/>
      <c r="AW13" s="7"/>
      <c r="AX13" s="82"/>
      <c r="AY13" s="7"/>
      <c r="AZ13" s="7"/>
      <c r="BA13" s="7"/>
      <c r="BB13" s="7"/>
      <c r="BC13" s="7"/>
      <c r="BD13" s="7"/>
      <c r="BE13" s="7" t="s">
        <v>23</v>
      </c>
      <c r="BF13" s="7"/>
      <c r="BG13" s="7"/>
    </row>
    <row r="14">
      <c r="A14" s="197">
        <v>6.0</v>
      </c>
      <c r="B14" s="120" t="s">
        <v>109</v>
      </c>
      <c r="C14" s="7">
        <v>1.0</v>
      </c>
      <c r="D14" s="53" t="s">
        <v>122</v>
      </c>
      <c r="E14" s="7"/>
      <c r="F14" s="53"/>
      <c r="G14" s="16"/>
      <c r="H14" s="83">
        <v>1.0</v>
      </c>
      <c r="I14" s="9">
        <v>1.0</v>
      </c>
      <c r="J14" s="23"/>
      <c r="K14" s="153"/>
      <c r="L14" s="328"/>
      <c r="M14" s="39" t="str">
        <f t="shared" si="2"/>
        <v>[https://www.sciencedirect.com/science/article/pii/S0890540118300099 Yu (2015)]</v>
      </c>
      <c r="N14" s="321" t="s">
        <v>8050</v>
      </c>
      <c r="O14" s="322">
        <v>2015.0</v>
      </c>
      <c r="P14" s="24" t="s">
        <v>127</v>
      </c>
      <c r="Q14" s="82"/>
      <c r="R14" s="82"/>
      <c r="S14" s="81"/>
      <c r="T14" s="81"/>
      <c r="U14" s="39"/>
      <c r="V14" s="23"/>
      <c r="W14" s="23" t="s">
        <v>126</v>
      </c>
      <c r="X14" s="93" t="s">
        <v>8045</v>
      </c>
      <c r="Y14" s="85"/>
      <c r="Z14" s="85"/>
      <c r="AA14" s="85" t="s">
        <v>8051</v>
      </c>
      <c r="AB14" s="85" t="s">
        <v>1814</v>
      </c>
      <c r="AC14" s="131"/>
      <c r="AD14" s="323"/>
      <c r="AE14" s="131"/>
      <c r="AF14" s="21"/>
      <c r="AG14" s="21"/>
      <c r="AH14" s="16">
        <v>0.0</v>
      </c>
      <c r="AI14" s="84"/>
      <c r="AJ14" s="83">
        <v>0.0</v>
      </c>
      <c r="AK14" s="117"/>
      <c r="AL14" s="83">
        <v>0.0</v>
      </c>
      <c r="AM14" s="16">
        <v>0.0</v>
      </c>
      <c r="AN14" s="7"/>
      <c r="AO14" s="7">
        <v>0.0</v>
      </c>
      <c r="AP14" s="7">
        <v>0.0</v>
      </c>
      <c r="AQ14" s="7"/>
      <c r="AR14" s="7" t="s">
        <v>8029</v>
      </c>
      <c r="AS14" s="82"/>
      <c r="AT14" s="82"/>
      <c r="AU14" s="82"/>
      <c r="AV14" s="82"/>
      <c r="AW14" s="7"/>
      <c r="AX14" s="82"/>
      <c r="AY14" s="7"/>
      <c r="AZ14" s="7"/>
      <c r="BA14" s="7"/>
      <c r="BB14" s="7"/>
      <c r="BC14" s="7"/>
      <c r="BD14" s="7"/>
      <c r="BE14" s="7" t="s">
        <v>23</v>
      </c>
      <c r="BF14" s="7"/>
      <c r="BG14" s="7"/>
    </row>
    <row r="15">
      <c r="A15" s="16"/>
      <c r="B15" s="16" t="s">
        <v>8052</v>
      </c>
      <c r="C15" s="7">
        <v>1.0</v>
      </c>
      <c r="D15" s="53"/>
      <c r="E15" s="7"/>
      <c r="F15" s="53"/>
      <c r="G15" s="16"/>
      <c r="H15" s="83">
        <v>1.0</v>
      </c>
      <c r="I15" s="9">
        <v>1.0</v>
      </c>
      <c r="J15" s="23" t="s">
        <v>8053</v>
      </c>
      <c r="K15" s="153"/>
      <c r="L15" s="328"/>
      <c r="M15" s="39" t="str">
        <f t="shared" si="2"/>
        <v>[http://www.cs.cmu.edu/~./theorylunch/pastSemesterIndices/slides/20070117.pdf Williams (2007)]</v>
      </c>
      <c r="N15" s="321" t="s">
        <v>3171</v>
      </c>
      <c r="O15" s="322">
        <v>2007.0</v>
      </c>
      <c r="P15" s="24" t="s">
        <v>8054</v>
      </c>
      <c r="Q15" s="82"/>
      <c r="R15" s="82"/>
      <c r="S15" s="81"/>
      <c r="T15" s="81"/>
      <c r="U15" s="39"/>
      <c r="V15" s="23"/>
      <c r="W15" s="23" t="s">
        <v>8053</v>
      </c>
      <c r="X15" s="93" t="s">
        <v>8055</v>
      </c>
      <c r="Y15" s="85"/>
      <c r="Z15" s="85"/>
      <c r="AA15" s="85" t="s">
        <v>1813</v>
      </c>
      <c r="AB15" s="85" t="s">
        <v>1814</v>
      </c>
      <c r="AC15" s="131"/>
      <c r="AD15" s="323"/>
      <c r="AE15" s="131"/>
      <c r="AF15" s="21"/>
      <c r="AG15" s="21"/>
      <c r="AH15" s="16">
        <v>0.0</v>
      </c>
      <c r="AI15" s="84"/>
      <c r="AJ15" s="83">
        <v>0.0</v>
      </c>
      <c r="AK15" s="117"/>
      <c r="AL15" s="83">
        <v>0.0</v>
      </c>
      <c r="AM15" s="16">
        <v>0.0</v>
      </c>
      <c r="AN15" s="7"/>
      <c r="AO15" s="7">
        <v>0.0</v>
      </c>
      <c r="AP15" s="7">
        <v>0.0</v>
      </c>
      <c r="AQ15" s="7"/>
      <c r="AR15" s="7"/>
      <c r="AS15" s="82"/>
      <c r="AT15" s="82"/>
      <c r="AU15" s="82"/>
      <c r="AV15" s="82"/>
      <c r="AW15" s="7"/>
      <c r="AX15" s="82"/>
      <c r="AY15" s="7"/>
      <c r="AZ15" s="7"/>
      <c r="BA15" s="7"/>
      <c r="BB15" s="7"/>
      <c r="BC15" s="7"/>
      <c r="BD15" s="7"/>
      <c r="BE15" s="7"/>
      <c r="BF15" s="7"/>
      <c r="BG15" s="7"/>
    </row>
    <row r="16">
      <c r="A16" s="16"/>
      <c r="B16" s="16" t="s">
        <v>8052</v>
      </c>
      <c r="C16" s="7">
        <v>1.0</v>
      </c>
      <c r="D16" s="53"/>
      <c r="E16" s="7"/>
      <c r="F16" s="53"/>
      <c r="G16" s="16"/>
      <c r="H16" s="83">
        <v>1.0</v>
      </c>
      <c r="I16" s="9">
        <v>1.0</v>
      </c>
      <c r="J16" s="23" t="s">
        <v>8056</v>
      </c>
      <c r="K16" s="153"/>
      <c r="L16" s="328"/>
      <c r="M16" s="39" t="str">
        <f t="shared" si="2"/>
        <v>[https://epubs.siam.org/doi/abs/10.1137/1.9781611974782.142 Larsen, Williams (Theorem 1.1) (2017)]</v>
      </c>
      <c r="N16" s="321" t="s">
        <v>8057</v>
      </c>
      <c r="O16" s="322">
        <v>2017.0</v>
      </c>
      <c r="P16" s="24" t="s">
        <v>1601</v>
      </c>
      <c r="Q16" s="82"/>
      <c r="R16" s="82"/>
      <c r="S16" s="81"/>
      <c r="T16" s="81"/>
      <c r="U16" s="39"/>
      <c r="V16" s="23"/>
      <c r="W16" s="23" t="s">
        <v>8056</v>
      </c>
      <c r="X16" s="93" t="s">
        <v>8055</v>
      </c>
      <c r="Y16" s="85"/>
      <c r="Z16" s="85"/>
      <c r="AA16" s="85" t="s">
        <v>1813</v>
      </c>
      <c r="AB16" s="85" t="s">
        <v>1814</v>
      </c>
      <c r="AC16" s="131"/>
      <c r="AD16" s="323"/>
      <c r="AE16" s="131"/>
      <c r="AF16" s="21"/>
      <c r="AG16" s="21"/>
      <c r="AH16" s="16">
        <v>1.0</v>
      </c>
      <c r="AI16" s="84" t="s">
        <v>1907</v>
      </c>
      <c r="AJ16" s="83">
        <v>0.0</v>
      </c>
      <c r="AK16" s="117"/>
      <c r="AL16" s="83">
        <v>0.0</v>
      </c>
      <c r="AM16" s="16">
        <v>0.0</v>
      </c>
      <c r="AN16" s="7"/>
      <c r="AO16" s="7">
        <v>0.0</v>
      </c>
      <c r="AP16" s="7">
        <v>0.0</v>
      </c>
      <c r="AQ16" s="7"/>
      <c r="AR16" s="7"/>
      <c r="AS16" s="82"/>
      <c r="AT16" s="82"/>
      <c r="AU16" s="82"/>
      <c r="AV16" s="82"/>
      <c r="AW16" s="7"/>
      <c r="AX16" s="82"/>
      <c r="AY16" s="7"/>
      <c r="AZ16" s="7"/>
      <c r="BA16" s="7"/>
      <c r="BB16" s="7"/>
      <c r="BC16" s="7"/>
      <c r="BD16" s="7"/>
      <c r="BE16" s="7"/>
      <c r="BF16" s="7"/>
      <c r="BG16" s="7"/>
    </row>
    <row r="17">
      <c r="A17" s="16"/>
      <c r="B17" s="16" t="s">
        <v>8052</v>
      </c>
      <c r="C17" s="7">
        <v>1.0</v>
      </c>
      <c r="D17" s="53"/>
      <c r="E17" s="7"/>
      <c r="F17" s="53"/>
      <c r="G17" s="16"/>
      <c r="H17" s="83">
        <v>1.0</v>
      </c>
      <c r="I17" s="9">
        <v>1.0</v>
      </c>
      <c r="J17" s="23" t="s">
        <v>8058</v>
      </c>
      <c r="K17" s="153"/>
      <c r="L17" s="328"/>
      <c r="M17" s="39" t="str">
        <f t="shared" si="2"/>
        <v>[https://epubs.siam.org/doi/abs/10.1137/1.9781611974782.142 Larsen, Williams (follows from Theorem 2.1) (2017)]</v>
      </c>
      <c r="N17" s="321" t="s">
        <v>8059</v>
      </c>
      <c r="O17" s="322">
        <v>2017.0</v>
      </c>
      <c r="P17" s="24" t="s">
        <v>1601</v>
      </c>
      <c r="Q17" s="82"/>
      <c r="R17" s="82"/>
      <c r="S17" s="81"/>
      <c r="T17" s="81"/>
      <c r="U17" s="39"/>
      <c r="V17" s="23"/>
      <c r="W17" s="23" t="s">
        <v>8058</v>
      </c>
      <c r="X17" s="93" t="s">
        <v>8055</v>
      </c>
      <c r="Y17" s="85"/>
      <c r="Z17" s="85"/>
      <c r="AA17" s="85" t="s">
        <v>8060</v>
      </c>
      <c r="AB17" s="85" t="s">
        <v>1814</v>
      </c>
      <c r="AC17" s="131"/>
      <c r="AD17" s="323"/>
      <c r="AE17" s="131"/>
      <c r="AF17" s="21"/>
      <c r="AG17" s="21"/>
      <c r="AH17" s="16">
        <v>0.0</v>
      </c>
      <c r="AI17" s="84"/>
      <c r="AJ17" s="83">
        <v>0.0</v>
      </c>
      <c r="AK17" s="117"/>
      <c r="AL17" s="83">
        <v>0.0</v>
      </c>
      <c r="AM17" s="16">
        <v>0.0</v>
      </c>
      <c r="AN17" s="7"/>
      <c r="AO17" s="7">
        <v>0.0</v>
      </c>
      <c r="AP17" s="7">
        <v>0.0</v>
      </c>
      <c r="AQ17" s="7"/>
      <c r="AR17" s="7"/>
      <c r="AS17" s="82"/>
      <c r="AT17" s="82"/>
      <c r="AU17" s="82"/>
      <c r="AV17" s="82"/>
      <c r="AW17" s="7"/>
      <c r="AX17" s="82"/>
      <c r="AY17" s="7"/>
      <c r="AZ17" s="7"/>
      <c r="BA17" s="7"/>
      <c r="BB17" s="7"/>
      <c r="BC17" s="7"/>
      <c r="BD17" s="7"/>
      <c r="BE17" s="7"/>
      <c r="BF17" s="7"/>
      <c r="BG17" s="7"/>
    </row>
    <row r="18">
      <c r="A18" s="16"/>
      <c r="B18" s="16" t="s">
        <v>8061</v>
      </c>
      <c r="C18" s="7">
        <v>0.0</v>
      </c>
      <c r="D18" s="53"/>
      <c r="E18" s="7"/>
      <c r="F18" s="53"/>
      <c r="G18" s="16"/>
      <c r="H18" s="81"/>
      <c r="J18" s="115"/>
      <c r="K18" s="143"/>
      <c r="L18" s="90"/>
      <c r="M18" s="39"/>
      <c r="N18" s="327"/>
      <c r="O18" s="322">
        <v>2018.0</v>
      </c>
      <c r="P18" s="24" t="s">
        <v>8062</v>
      </c>
      <c r="Q18" s="82"/>
      <c r="R18" s="82"/>
      <c r="S18" s="81"/>
      <c r="T18" s="81"/>
      <c r="U18" s="39"/>
      <c r="V18" s="7"/>
      <c r="W18" s="7"/>
      <c r="X18" s="93"/>
      <c r="Y18" s="131"/>
      <c r="Z18" s="131"/>
      <c r="AA18" s="131"/>
      <c r="AB18" s="131"/>
      <c r="AC18" s="131"/>
      <c r="AD18" s="323"/>
      <c r="AE18" s="131"/>
      <c r="AF18" s="90"/>
      <c r="AG18" s="87"/>
      <c r="AH18" s="39"/>
      <c r="AI18" s="87"/>
      <c r="AJ18" s="81"/>
      <c r="AK18" s="116"/>
      <c r="AL18" s="81"/>
      <c r="AM18" s="31"/>
      <c r="AN18" s="7"/>
      <c r="AO18" s="7"/>
      <c r="AP18" s="7"/>
      <c r="AQ18" s="7"/>
      <c r="AR18" s="82"/>
      <c r="AS18" s="82"/>
      <c r="AT18" s="82"/>
      <c r="AU18" s="82"/>
      <c r="AV18" s="82"/>
      <c r="AW18" s="7"/>
      <c r="AX18" s="82"/>
      <c r="AY18" s="7"/>
      <c r="AZ18" s="7"/>
      <c r="BA18" s="7"/>
      <c r="BB18" s="7"/>
      <c r="BC18" s="7"/>
      <c r="BD18" s="7"/>
      <c r="BE18" s="7"/>
      <c r="BF18" s="7"/>
      <c r="BG18" s="7"/>
    </row>
    <row r="19">
      <c r="A19" s="16">
        <v>1.0</v>
      </c>
      <c r="B19" s="16" t="s">
        <v>8063</v>
      </c>
      <c r="C19" s="53">
        <v>1.0</v>
      </c>
      <c r="D19" s="53"/>
      <c r="E19" s="7"/>
      <c r="F19" s="53"/>
      <c r="G19" s="7"/>
      <c r="H19" s="16">
        <v>1.0</v>
      </c>
      <c r="I19" s="81">
        <v>1.0</v>
      </c>
      <c r="J19" s="23" t="s">
        <v>1963</v>
      </c>
      <c r="K19" s="53"/>
      <c r="L19" s="53"/>
      <c r="M19" s="39" t="str">
        <f t="shared" ref="M19:M73" si="3">CONCATENATE("[",P19," ",N19," (",O19,")","]")</f>
        <v>[https://epubs.siam.org/doi/abs/10.1137/0217049 Parallel Merge Sort - Cole (1) (1988)]</v>
      </c>
      <c r="N19" s="16" t="s">
        <v>5971</v>
      </c>
      <c r="O19" s="83">
        <v>1988.0</v>
      </c>
      <c r="P19" s="25" t="s">
        <v>5972</v>
      </c>
      <c r="Q19" s="82"/>
      <c r="R19" s="82"/>
      <c r="S19" s="82"/>
      <c r="T19" s="83"/>
      <c r="U19" s="83"/>
      <c r="V19" s="23"/>
      <c r="W19" s="23" t="s">
        <v>1963</v>
      </c>
      <c r="X19" s="93" t="s">
        <v>1939</v>
      </c>
      <c r="Y19" s="93"/>
      <c r="Z19" s="93"/>
      <c r="AA19" s="93" t="s">
        <v>2486</v>
      </c>
      <c r="AB19" s="93" t="s">
        <v>1814</v>
      </c>
      <c r="AC19" s="93"/>
      <c r="AD19" s="329"/>
      <c r="AE19" s="93"/>
      <c r="AF19" s="87"/>
      <c r="AG19" s="104"/>
      <c r="AH19" s="81">
        <v>0.0</v>
      </c>
      <c r="AI19" s="87"/>
      <c r="AJ19" s="81">
        <v>0.0</v>
      </c>
      <c r="AK19" s="116"/>
      <c r="AL19" s="81">
        <v>0.0</v>
      </c>
      <c r="AM19" s="83">
        <v>1.0</v>
      </c>
      <c r="AN19" s="16" t="s">
        <v>35</v>
      </c>
      <c r="AO19" s="81">
        <v>0.0</v>
      </c>
      <c r="AP19" s="81">
        <v>0.0</v>
      </c>
      <c r="AQ19" s="39"/>
      <c r="AR19" s="7" t="s">
        <v>1942</v>
      </c>
      <c r="AS19" s="7"/>
      <c r="AT19" s="7"/>
      <c r="AV19" s="7"/>
      <c r="AW19" s="82"/>
      <c r="AX19" s="82"/>
      <c r="AY19" s="82"/>
      <c r="AZ19" s="82"/>
      <c r="BA19" s="82"/>
      <c r="BB19" s="7">
        <v>4.0</v>
      </c>
      <c r="BC19" s="82"/>
      <c r="BD19" s="7"/>
      <c r="BE19" s="7" t="s">
        <v>23</v>
      </c>
      <c r="BF19" s="7"/>
      <c r="BG19" s="7"/>
    </row>
    <row r="20">
      <c r="A20" s="16">
        <v>1.0</v>
      </c>
      <c r="B20" s="16" t="s">
        <v>8063</v>
      </c>
      <c r="C20" s="53">
        <v>1.0</v>
      </c>
      <c r="D20" s="53"/>
      <c r="E20" s="7"/>
      <c r="F20" s="53"/>
      <c r="G20" s="7"/>
      <c r="H20" s="16">
        <v>1.0</v>
      </c>
      <c r="I20" s="81">
        <v>1.0</v>
      </c>
      <c r="J20" s="23" t="s">
        <v>1963</v>
      </c>
      <c r="K20" s="53"/>
      <c r="L20" s="53"/>
      <c r="M20" s="39" t="str">
        <f t="shared" si="3"/>
        <v>[https://epubs.siam.org/doi/abs/10.1137/0217049 Parallel Merge Sort - Cole (2) (1988)]</v>
      </c>
      <c r="N20" s="16" t="s">
        <v>5977</v>
      </c>
      <c r="O20" s="83">
        <v>1988.0</v>
      </c>
      <c r="P20" s="25" t="s">
        <v>5972</v>
      </c>
      <c r="Q20" s="82"/>
      <c r="R20" s="82"/>
      <c r="S20" s="82"/>
      <c r="T20" s="83"/>
      <c r="U20" s="83"/>
      <c r="V20" s="23"/>
      <c r="W20" s="23" t="s">
        <v>1963</v>
      </c>
      <c r="X20" s="93" t="s">
        <v>1939</v>
      </c>
      <c r="Y20" s="93"/>
      <c r="Z20" s="93"/>
      <c r="AA20" s="93" t="s">
        <v>2436</v>
      </c>
      <c r="AB20" s="93" t="s">
        <v>1814</v>
      </c>
      <c r="AC20" s="93"/>
      <c r="AD20" s="329"/>
      <c r="AE20" s="93"/>
      <c r="AF20" s="87"/>
      <c r="AG20" s="104"/>
      <c r="AH20" s="81">
        <v>0.0</v>
      </c>
      <c r="AI20" s="87"/>
      <c r="AJ20" s="81">
        <v>0.0</v>
      </c>
      <c r="AK20" s="116"/>
      <c r="AL20" s="81">
        <v>0.0</v>
      </c>
      <c r="AM20" s="83">
        <v>1.0</v>
      </c>
      <c r="AN20" s="16" t="s">
        <v>35</v>
      </c>
      <c r="AO20" s="81">
        <v>0.0</v>
      </c>
      <c r="AP20" s="81">
        <v>0.0</v>
      </c>
      <c r="AQ20" s="39"/>
      <c r="AR20" s="7" t="s">
        <v>1942</v>
      </c>
      <c r="AS20" s="7"/>
      <c r="AT20" s="7"/>
      <c r="AV20" s="7"/>
      <c r="AW20" s="82"/>
      <c r="AX20" s="82"/>
      <c r="AY20" s="82"/>
      <c r="AZ20" s="82"/>
      <c r="BA20" s="82"/>
      <c r="BB20" s="7">
        <v>4.0</v>
      </c>
      <c r="BC20" s="82"/>
      <c r="BD20" s="7"/>
      <c r="BE20" s="7" t="s">
        <v>23</v>
      </c>
      <c r="BF20" s="7"/>
      <c r="BG20" s="7"/>
    </row>
    <row r="21">
      <c r="A21" s="16">
        <v>5.0</v>
      </c>
      <c r="B21" s="16" t="s">
        <v>76</v>
      </c>
      <c r="C21" s="7">
        <v>2.0</v>
      </c>
      <c r="D21" s="53"/>
      <c r="E21" s="7"/>
      <c r="F21" s="53"/>
      <c r="G21" s="16"/>
      <c r="H21" s="83">
        <v>1.0</v>
      </c>
      <c r="I21" s="9">
        <v>1.0</v>
      </c>
      <c r="J21" s="23" t="s">
        <v>2037</v>
      </c>
      <c r="K21" s="153" t="s">
        <v>6118</v>
      </c>
      <c r="L21" s="90"/>
      <c r="M21" s="39" t="str">
        <f t="shared" si="3"/>
        <v>[https://eprints.utas.edu.au/160/1/iplFlow.pdf MKM Algorithm (1978)]</v>
      </c>
      <c r="N21" s="321" t="s">
        <v>8064</v>
      </c>
      <c r="O21" s="330">
        <v>1978.0</v>
      </c>
      <c r="P21" s="47" t="s">
        <v>8065</v>
      </c>
      <c r="Q21" s="82"/>
      <c r="R21" s="82"/>
      <c r="S21" s="81"/>
      <c r="T21" s="81"/>
      <c r="U21" s="16">
        <v>0.0</v>
      </c>
      <c r="V21" s="7"/>
      <c r="W21" s="7" t="s">
        <v>2037</v>
      </c>
      <c r="X21" s="93" t="s">
        <v>2031</v>
      </c>
      <c r="Y21" s="93"/>
      <c r="Z21" s="93"/>
      <c r="AA21" s="93" t="s">
        <v>1813</v>
      </c>
      <c r="AB21" s="93" t="s">
        <v>1814</v>
      </c>
      <c r="AC21" s="93" t="s">
        <v>92</v>
      </c>
      <c r="AD21" s="329" t="s">
        <v>2185</v>
      </c>
      <c r="AE21" s="331" t="s">
        <v>2023</v>
      </c>
      <c r="AF21" s="21"/>
      <c r="AG21" s="104"/>
      <c r="AH21" s="16">
        <v>0.0</v>
      </c>
      <c r="AI21" s="84"/>
      <c r="AJ21" s="83">
        <v>0.0</v>
      </c>
      <c r="AK21" s="116"/>
      <c r="AL21" s="83">
        <v>0.0</v>
      </c>
      <c r="AM21" s="10">
        <v>0.0</v>
      </c>
      <c r="AN21" s="7"/>
      <c r="AO21" s="7">
        <v>0.0</v>
      </c>
      <c r="AP21" s="7">
        <v>0.0</v>
      </c>
      <c r="AQ21" s="7"/>
      <c r="AR21" s="332" t="s">
        <v>2024</v>
      </c>
      <c r="AS21" s="82"/>
      <c r="AT21" s="82"/>
      <c r="AU21" s="82"/>
      <c r="AV21" s="82"/>
      <c r="AW21" s="7"/>
      <c r="AX21" s="82"/>
      <c r="AY21" s="7"/>
      <c r="AZ21" s="7"/>
      <c r="BA21" s="7"/>
      <c r="BB21" s="7">
        <v>2.0</v>
      </c>
      <c r="BC21" s="333"/>
      <c r="BD21" s="7"/>
      <c r="BE21" s="7" t="s">
        <v>23</v>
      </c>
      <c r="BF21" s="7"/>
      <c r="BG21" s="7"/>
    </row>
    <row r="22">
      <c r="A22" s="16">
        <v>5.0</v>
      </c>
      <c r="B22" s="16" t="s">
        <v>76</v>
      </c>
      <c r="C22" s="7">
        <v>2.0</v>
      </c>
      <c r="D22" s="53"/>
      <c r="E22" s="7"/>
      <c r="F22" s="53"/>
      <c r="G22" s="16"/>
      <c r="H22" s="334">
        <v>1.0</v>
      </c>
      <c r="I22" s="2">
        <v>1.0</v>
      </c>
      <c r="J22" s="23" t="s">
        <v>8066</v>
      </c>
      <c r="K22" s="153" t="s">
        <v>6118</v>
      </c>
      <c r="L22" s="335"/>
      <c r="M22" s="39" t="str">
        <f t="shared" si="3"/>
        <v>[https://link.springer.com/article/10.1007/BF00264254 Galil (1978)]</v>
      </c>
      <c r="N22" s="321" t="s">
        <v>8067</v>
      </c>
      <c r="O22" s="330">
        <v>1978.0</v>
      </c>
      <c r="P22" s="114" t="s">
        <v>8068</v>
      </c>
      <c r="Q22" s="82"/>
      <c r="R22" s="82"/>
      <c r="S22" s="81"/>
      <c r="T22" s="81"/>
      <c r="U22" s="127">
        <v>0.0</v>
      </c>
      <c r="V22" s="7"/>
      <c r="W22" s="7" t="s">
        <v>8066</v>
      </c>
      <c r="X22" s="93" t="s">
        <v>2031</v>
      </c>
      <c r="Y22" s="93"/>
      <c r="Z22" s="93"/>
      <c r="AA22" s="93" t="s">
        <v>1813</v>
      </c>
      <c r="AB22" s="93" t="s">
        <v>1814</v>
      </c>
      <c r="AC22" s="93" t="s">
        <v>92</v>
      </c>
      <c r="AD22" s="329" t="s">
        <v>2185</v>
      </c>
      <c r="AE22" s="336" t="s">
        <v>8068</v>
      </c>
      <c r="AF22" s="90"/>
      <c r="AG22" s="104"/>
      <c r="AH22" s="39">
        <v>0.0</v>
      </c>
      <c r="AI22" s="87"/>
      <c r="AJ22" s="81">
        <v>0.0</v>
      </c>
      <c r="AK22" s="116"/>
      <c r="AL22" s="81">
        <v>0.0</v>
      </c>
      <c r="AM22" s="2">
        <v>0.0</v>
      </c>
      <c r="AN22" s="333"/>
      <c r="AO22" s="333">
        <v>0.0</v>
      </c>
      <c r="AP22" s="333">
        <v>0.0</v>
      </c>
      <c r="AQ22" s="333"/>
      <c r="AR22" s="332" t="s">
        <v>2024</v>
      </c>
      <c r="AS22" s="82"/>
      <c r="AT22" s="82"/>
      <c r="AU22" s="332"/>
      <c r="AV22" s="332"/>
      <c r="AW22" s="333"/>
      <c r="AX22" s="82"/>
      <c r="AY22" s="333"/>
      <c r="AZ22" s="333"/>
      <c r="BA22" s="333"/>
      <c r="BB22" s="7">
        <v>2.0</v>
      </c>
      <c r="BC22" s="333"/>
      <c r="BD22" s="7"/>
      <c r="BE22" s="7" t="s">
        <v>23</v>
      </c>
      <c r="BF22" s="7"/>
      <c r="BG22" s="7"/>
    </row>
    <row r="23">
      <c r="A23" s="16">
        <v>5.0</v>
      </c>
      <c r="B23" s="16" t="s">
        <v>76</v>
      </c>
      <c r="C23" s="53">
        <v>2.0</v>
      </c>
      <c r="D23" s="53"/>
      <c r="E23" s="7"/>
      <c r="F23" s="53"/>
      <c r="G23" s="7"/>
      <c r="H23" s="16">
        <v>1.0</v>
      </c>
      <c r="I23" s="81">
        <v>1.0</v>
      </c>
      <c r="J23" s="16" t="s">
        <v>6117</v>
      </c>
      <c r="K23" s="53" t="s">
        <v>6118</v>
      </c>
      <c r="L23" s="53"/>
      <c r="M23" s="39" t="str">
        <f t="shared" si="3"/>
        <v>[http://users.umiacs.umd.edu/~vishkin/TEACHING/4CLASS/SV82-maxflow.pdf Shiloach (1981)]</v>
      </c>
      <c r="N23" s="321" t="s">
        <v>6119</v>
      </c>
      <c r="O23" s="326">
        <v>1981.0</v>
      </c>
      <c r="P23" s="47" t="s">
        <v>6120</v>
      </c>
      <c r="Q23" s="82"/>
      <c r="R23" s="82"/>
      <c r="S23" s="82"/>
      <c r="T23" s="83"/>
      <c r="U23" s="83">
        <v>0.0</v>
      </c>
      <c r="V23" s="170"/>
      <c r="W23" s="170" t="s">
        <v>6117</v>
      </c>
      <c r="X23" s="93" t="s">
        <v>8069</v>
      </c>
      <c r="Y23" s="93"/>
      <c r="Z23" s="93"/>
      <c r="AA23" s="93" t="s">
        <v>6125</v>
      </c>
      <c r="AB23" s="93" t="s">
        <v>1814</v>
      </c>
      <c r="AC23" s="93" t="s">
        <v>92</v>
      </c>
      <c r="AD23" s="329" t="s">
        <v>2185</v>
      </c>
      <c r="AE23" s="93" t="s">
        <v>2735</v>
      </c>
      <c r="AF23" s="87"/>
      <c r="AG23" s="104"/>
      <c r="AH23" s="81">
        <v>0.0</v>
      </c>
      <c r="AI23" s="87"/>
      <c r="AJ23" s="81">
        <v>0.0</v>
      </c>
      <c r="AK23" s="90"/>
      <c r="AL23" s="81">
        <v>0.0</v>
      </c>
      <c r="AM23" s="83">
        <v>1.0</v>
      </c>
      <c r="AN23" s="16" t="s">
        <v>3737</v>
      </c>
      <c r="AO23" s="81">
        <v>0.0</v>
      </c>
      <c r="AP23" s="81">
        <v>0.0</v>
      </c>
      <c r="AQ23" s="39"/>
      <c r="AR23" s="14" t="s">
        <v>2024</v>
      </c>
      <c r="AS23" s="82"/>
      <c r="AT23" s="82"/>
      <c r="AU23" s="7"/>
      <c r="AV23" s="7"/>
      <c r="AW23" s="82"/>
      <c r="AX23" s="82"/>
      <c r="AY23" s="82"/>
      <c r="AZ23" s="82"/>
      <c r="BA23" s="82"/>
      <c r="BB23" s="7">
        <v>2.0</v>
      </c>
      <c r="BC23" s="82"/>
      <c r="BD23" s="7"/>
      <c r="BE23" s="7" t="s">
        <v>23</v>
      </c>
      <c r="BF23" s="7"/>
      <c r="BG23" s="7"/>
    </row>
    <row r="24">
      <c r="A24" s="16">
        <v>5.0</v>
      </c>
      <c r="B24" s="16" t="s">
        <v>76</v>
      </c>
      <c r="C24" s="53">
        <v>1.0</v>
      </c>
      <c r="D24" s="53"/>
      <c r="E24" s="7"/>
      <c r="F24" s="53"/>
      <c r="G24" s="7"/>
      <c r="H24" s="16">
        <v>1.0</v>
      </c>
      <c r="I24" s="81">
        <v>1.0</v>
      </c>
      <c r="J24" s="16" t="s">
        <v>8070</v>
      </c>
      <c r="K24" s="53" t="s">
        <v>6118</v>
      </c>
      <c r="L24" s="53"/>
      <c r="M24" s="39" t="str">
        <f t="shared" si="3"/>
        <v>[https://www.sciencedirect.com/science/article/pii/002200008590039X Gabow (1985)]</v>
      </c>
      <c r="N24" s="321" t="s">
        <v>8071</v>
      </c>
      <c r="O24" s="326">
        <v>1985.0</v>
      </c>
      <c r="P24" s="47" t="s">
        <v>8072</v>
      </c>
      <c r="Q24" s="82"/>
      <c r="R24" s="82"/>
      <c r="S24" s="82"/>
      <c r="T24" s="83"/>
      <c r="U24" s="83">
        <v>0.0</v>
      </c>
      <c r="V24" s="16"/>
      <c r="W24" s="16" t="s">
        <v>8070</v>
      </c>
      <c r="X24" s="93" t="s">
        <v>2031</v>
      </c>
      <c r="Y24" s="93"/>
      <c r="Z24" s="93"/>
      <c r="AA24" s="93" t="s">
        <v>1813</v>
      </c>
      <c r="AB24" s="93" t="s">
        <v>1814</v>
      </c>
      <c r="AC24" s="93" t="s">
        <v>92</v>
      </c>
      <c r="AD24" s="329" t="s">
        <v>2185</v>
      </c>
      <c r="AE24" s="93" t="s">
        <v>2735</v>
      </c>
      <c r="AF24" s="87"/>
      <c r="AG24" s="108"/>
      <c r="AH24" s="81">
        <v>0.0</v>
      </c>
      <c r="AI24" s="87"/>
      <c r="AJ24" s="81">
        <v>0.0</v>
      </c>
      <c r="AK24" s="90"/>
      <c r="AL24" s="81">
        <v>0.0</v>
      </c>
      <c r="AM24" s="81">
        <v>0.0</v>
      </c>
      <c r="AN24" s="39"/>
      <c r="AO24" s="81">
        <v>0.0</v>
      </c>
      <c r="AP24" s="81">
        <v>0.0</v>
      </c>
      <c r="AQ24" s="39"/>
      <c r="AR24" s="14" t="s">
        <v>2024</v>
      </c>
      <c r="AS24" s="82"/>
      <c r="AT24" s="82"/>
      <c r="AU24" s="7"/>
      <c r="AV24" s="7"/>
      <c r="AW24" s="82"/>
      <c r="AX24" s="82"/>
      <c r="AY24" s="82"/>
      <c r="AZ24" s="82"/>
      <c r="BA24" s="82"/>
      <c r="BB24" s="7">
        <v>2.0</v>
      </c>
      <c r="BC24" s="82"/>
      <c r="BD24" s="7"/>
      <c r="BE24" s="7" t="s">
        <v>23</v>
      </c>
      <c r="BF24" s="7"/>
      <c r="BG24" s="7"/>
    </row>
    <row r="25">
      <c r="A25" s="16">
        <v>5.0</v>
      </c>
      <c r="B25" s="16" t="s">
        <v>76</v>
      </c>
      <c r="C25" s="53">
        <v>1.0</v>
      </c>
      <c r="D25" s="53"/>
      <c r="E25" s="7"/>
      <c r="F25" s="53"/>
      <c r="G25" s="7"/>
      <c r="H25" s="16">
        <v>1.0</v>
      </c>
      <c r="I25" s="81">
        <v>1.0</v>
      </c>
      <c r="J25" s="16" t="s">
        <v>8073</v>
      </c>
      <c r="K25" s="53" t="s">
        <v>6118</v>
      </c>
      <c r="L25" s="53"/>
      <c r="M25" s="39" t="str">
        <f t="shared" si="3"/>
        <v>[https://ieeexplore.ieee.org/stamp/stamp.jsp?tp=&amp;arnumber=6979027 Lee, Sidford (2014)]</v>
      </c>
      <c r="N25" s="321" t="s">
        <v>8074</v>
      </c>
      <c r="O25" s="326">
        <v>2014.0</v>
      </c>
      <c r="P25" s="25" t="s">
        <v>8075</v>
      </c>
      <c r="Q25" s="82"/>
      <c r="R25" s="82"/>
      <c r="S25" s="82"/>
      <c r="T25" s="81"/>
      <c r="U25" s="83">
        <v>0.0</v>
      </c>
      <c r="V25" s="16"/>
      <c r="W25" s="16" t="s">
        <v>8073</v>
      </c>
      <c r="X25" s="93" t="s">
        <v>2031</v>
      </c>
      <c r="Y25" s="93"/>
      <c r="Z25" s="93"/>
      <c r="AA25" s="93" t="s">
        <v>1813</v>
      </c>
      <c r="AB25" s="93" t="s">
        <v>1814</v>
      </c>
      <c r="AC25" s="93" t="s">
        <v>92</v>
      </c>
      <c r="AD25" s="329" t="s">
        <v>2185</v>
      </c>
      <c r="AE25" s="93" t="s">
        <v>8076</v>
      </c>
      <c r="AF25" s="87"/>
      <c r="AG25" s="87"/>
      <c r="AH25" s="81">
        <v>0.0</v>
      </c>
      <c r="AI25" s="87"/>
      <c r="AJ25" s="81">
        <v>0.0</v>
      </c>
      <c r="AK25" s="90"/>
      <c r="AL25" s="81">
        <v>0.0</v>
      </c>
      <c r="AM25" s="81">
        <v>0.0</v>
      </c>
      <c r="AN25" s="39"/>
      <c r="AO25" s="81">
        <v>0.0</v>
      </c>
      <c r="AP25" s="81">
        <v>0.0</v>
      </c>
      <c r="AQ25" s="39"/>
      <c r="AR25" s="14" t="s">
        <v>2024</v>
      </c>
      <c r="AS25" s="82"/>
      <c r="AT25" s="82"/>
      <c r="AU25" s="7"/>
      <c r="AV25" s="7"/>
      <c r="AW25" s="82"/>
      <c r="AX25" s="82"/>
      <c r="AY25" s="82"/>
      <c r="AZ25" s="82"/>
      <c r="BA25" s="82"/>
      <c r="BB25" s="7">
        <v>2.0</v>
      </c>
      <c r="BC25" s="82"/>
      <c r="BD25" s="7"/>
      <c r="BE25" s="7" t="s">
        <v>23</v>
      </c>
      <c r="BF25" s="7"/>
      <c r="BG25" s="7"/>
    </row>
    <row r="26">
      <c r="A26" s="16">
        <v>5.0</v>
      </c>
      <c r="B26" s="16" t="s">
        <v>76</v>
      </c>
      <c r="C26" s="53">
        <v>2.0</v>
      </c>
      <c r="D26" s="53"/>
      <c r="E26" s="7"/>
      <c r="F26" s="53"/>
      <c r="G26" s="7"/>
      <c r="H26" s="16">
        <v>1.0</v>
      </c>
      <c r="I26" s="81">
        <v>1.0</v>
      </c>
      <c r="J26" s="16" t="s">
        <v>8077</v>
      </c>
      <c r="K26" s="153" t="s">
        <v>6118</v>
      </c>
      <c r="L26" s="53"/>
      <c r="M26" s="39" t="str">
        <f t="shared" si="3"/>
        <v>[https://ieeexplore.ieee.org/stamp/stamp.jsp?tp=&amp;arnumber=7782974 Madry (2016)]</v>
      </c>
      <c r="N26" s="321" t="s">
        <v>8078</v>
      </c>
      <c r="O26" s="326">
        <v>2016.0</v>
      </c>
      <c r="P26" s="17" t="s">
        <v>8079</v>
      </c>
      <c r="Q26" s="82"/>
      <c r="R26" s="82"/>
      <c r="S26" s="82"/>
      <c r="T26" s="81"/>
      <c r="U26" s="83">
        <v>0.0</v>
      </c>
      <c r="V26" s="16"/>
      <c r="W26" s="16" t="s">
        <v>8077</v>
      </c>
      <c r="X26" s="93" t="s">
        <v>2031</v>
      </c>
      <c r="Y26" s="93"/>
      <c r="Z26" s="93"/>
      <c r="AA26" s="93" t="s">
        <v>1813</v>
      </c>
      <c r="AB26" s="93" t="s">
        <v>1814</v>
      </c>
      <c r="AC26" s="93" t="s">
        <v>92</v>
      </c>
      <c r="AD26" s="329" t="s">
        <v>2185</v>
      </c>
      <c r="AE26" s="93" t="s">
        <v>8076</v>
      </c>
      <c r="AF26" s="87"/>
      <c r="AG26" s="87"/>
      <c r="AH26" s="81">
        <v>0.0</v>
      </c>
      <c r="AI26" s="87"/>
      <c r="AJ26" s="81">
        <v>0.0</v>
      </c>
      <c r="AK26" s="90"/>
      <c r="AL26" s="81">
        <v>0.0</v>
      </c>
      <c r="AM26" s="81">
        <v>0.0</v>
      </c>
      <c r="AN26" s="39"/>
      <c r="AO26" s="81">
        <v>0.0</v>
      </c>
      <c r="AP26" s="81">
        <v>0.0</v>
      </c>
      <c r="AQ26" s="39"/>
      <c r="AR26" s="14" t="s">
        <v>2024</v>
      </c>
      <c r="AS26" s="82"/>
      <c r="AT26" s="82"/>
      <c r="AU26" s="7"/>
      <c r="AV26" s="7"/>
      <c r="AW26" s="82"/>
      <c r="AX26" s="82"/>
      <c r="AY26" s="82"/>
      <c r="AZ26" s="82"/>
      <c r="BA26" s="82"/>
      <c r="BB26" s="7">
        <v>2.0</v>
      </c>
      <c r="BC26" s="82"/>
      <c r="BD26" s="7"/>
      <c r="BE26" s="7" t="s">
        <v>23</v>
      </c>
      <c r="BF26" s="7"/>
      <c r="BG26" s="7"/>
    </row>
    <row r="27">
      <c r="A27" s="16">
        <v>5.0</v>
      </c>
      <c r="B27" s="16" t="s">
        <v>76</v>
      </c>
      <c r="C27" s="53">
        <v>1.0</v>
      </c>
      <c r="D27" s="53"/>
      <c r="E27" s="7"/>
      <c r="F27" s="53"/>
      <c r="G27" s="7"/>
      <c r="H27" s="16">
        <v>1.0</v>
      </c>
      <c r="I27" s="81">
        <v>1.0</v>
      </c>
      <c r="J27" s="16" t="s">
        <v>8080</v>
      </c>
      <c r="K27" s="153" t="s">
        <v>6118</v>
      </c>
      <c r="L27" s="53"/>
      <c r="M27" s="39" t="str">
        <f t="shared" si="3"/>
        <v>[https://epubs.siam.org/doi/abs/10.1137/20M1383525 Kathuria, Liu, Sidford (2020)]</v>
      </c>
      <c r="N27" s="321" t="s">
        <v>8081</v>
      </c>
      <c r="O27" s="326">
        <v>2020.0</v>
      </c>
      <c r="P27" s="17" t="s">
        <v>8082</v>
      </c>
      <c r="Q27" s="82"/>
      <c r="R27" s="82"/>
      <c r="S27" s="82"/>
      <c r="T27" s="81"/>
      <c r="U27" s="83">
        <v>0.0</v>
      </c>
      <c r="V27" s="16"/>
      <c r="W27" s="16" t="s">
        <v>8080</v>
      </c>
      <c r="X27" s="93" t="s">
        <v>8083</v>
      </c>
      <c r="Y27" s="93"/>
      <c r="Z27" s="93"/>
      <c r="AA27" s="93" t="s">
        <v>1813</v>
      </c>
      <c r="AB27" s="93" t="s">
        <v>1814</v>
      </c>
      <c r="AC27" s="93" t="s">
        <v>8084</v>
      </c>
      <c r="AD27" s="329" t="s">
        <v>2185</v>
      </c>
      <c r="AE27" s="93" t="s">
        <v>8085</v>
      </c>
      <c r="AF27" s="87"/>
      <c r="AG27" s="87"/>
      <c r="AH27" s="81">
        <v>0.0</v>
      </c>
      <c r="AI27" s="84"/>
      <c r="AJ27" s="83">
        <v>1.0</v>
      </c>
      <c r="AK27" s="21" t="s">
        <v>8086</v>
      </c>
      <c r="AL27" s="81">
        <v>0.0</v>
      </c>
      <c r="AM27" s="81">
        <v>0.0</v>
      </c>
      <c r="AN27" s="39"/>
      <c r="AO27" s="81">
        <v>0.0</v>
      </c>
      <c r="AP27" s="81">
        <v>0.0</v>
      </c>
      <c r="AQ27" s="39"/>
      <c r="AR27" s="14" t="s">
        <v>2024</v>
      </c>
      <c r="AS27" s="82"/>
      <c r="AT27" s="82"/>
      <c r="AU27" s="7"/>
      <c r="AV27" s="7"/>
      <c r="AW27" s="82"/>
      <c r="AX27" s="82"/>
      <c r="AY27" s="82"/>
      <c r="AZ27" s="82"/>
      <c r="BA27" s="82"/>
      <c r="BB27" s="7">
        <v>2.0</v>
      </c>
      <c r="BC27" s="82"/>
      <c r="BD27" s="7"/>
      <c r="BE27" s="7" t="s">
        <v>23</v>
      </c>
      <c r="BF27" s="7"/>
      <c r="BG27" s="7"/>
    </row>
    <row r="28">
      <c r="A28" s="16">
        <v>5.0</v>
      </c>
      <c r="B28" s="16" t="s">
        <v>76</v>
      </c>
      <c r="C28" s="53">
        <v>1.0</v>
      </c>
      <c r="D28" s="53"/>
      <c r="E28" s="7"/>
      <c r="F28" s="53"/>
      <c r="G28" s="7"/>
      <c r="H28" s="16">
        <v>1.0</v>
      </c>
      <c r="I28" s="81">
        <v>1.0</v>
      </c>
      <c r="J28" s="16" t="s">
        <v>8087</v>
      </c>
      <c r="K28" s="153" t="s">
        <v>6118</v>
      </c>
      <c r="L28" s="53"/>
      <c r="M28" s="39" t="str">
        <f t="shared" si="3"/>
        <v>[https://epubs.siam.org/doi/abs/10.1137/20M1383525 Kathuria, Liu, Sidford (2020)]</v>
      </c>
      <c r="N28" s="321" t="s">
        <v>8081</v>
      </c>
      <c r="O28" s="326">
        <v>2020.0</v>
      </c>
      <c r="P28" s="17" t="s">
        <v>8082</v>
      </c>
      <c r="Q28" s="82"/>
      <c r="R28" s="82"/>
      <c r="S28" s="82"/>
      <c r="T28" s="81"/>
      <c r="U28" s="83">
        <v>0.0</v>
      </c>
      <c r="V28" s="16"/>
      <c r="W28" s="16" t="s">
        <v>8087</v>
      </c>
      <c r="X28" s="93" t="s">
        <v>2031</v>
      </c>
      <c r="Y28" s="93"/>
      <c r="Z28" s="93"/>
      <c r="AA28" s="93" t="s">
        <v>1813</v>
      </c>
      <c r="AB28" s="93" t="s">
        <v>1814</v>
      </c>
      <c r="AC28" s="93" t="s">
        <v>8084</v>
      </c>
      <c r="AD28" s="329" t="s">
        <v>2185</v>
      </c>
      <c r="AE28" s="93" t="s">
        <v>8085</v>
      </c>
      <c r="AF28" s="87"/>
      <c r="AG28" s="87"/>
      <c r="AH28" s="81">
        <v>0.0</v>
      </c>
      <c r="AI28" s="87"/>
      <c r="AJ28" s="81">
        <v>0.0</v>
      </c>
      <c r="AK28" s="90"/>
      <c r="AL28" s="81">
        <v>0.0</v>
      </c>
      <c r="AM28" s="81">
        <v>0.0</v>
      </c>
      <c r="AN28" s="39"/>
      <c r="AO28" s="81">
        <v>0.0</v>
      </c>
      <c r="AP28" s="81">
        <v>0.0</v>
      </c>
      <c r="AQ28" s="39"/>
      <c r="AR28" s="14" t="s">
        <v>2024</v>
      </c>
      <c r="AS28" s="82"/>
      <c r="AT28" s="82"/>
      <c r="AU28" s="7"/>
      <c r="AV28" s="7"/>
      <c r="AW28" s="82"/>
      <c r="AX28" s="82"/>
      <c r="AY28" s="82"/>
      <c r="AZ28" s="82"/>
      <c r="BA28" s="82"/>
      <c r="BB28" s="7">
        <v>2.0</v>
      </c>
      <c r="BC28" s="82"/>
      <c r="BD28" s="7"/>
      <c r="BE28" s="7" t="s">
        <v>23</v>
      </c>
      <c r="BF28" s="7"/>
      <c r="BG28" s="7"/>
    </row>
    <row r="29">
      <c r="A29" s="16">
        <v>5.0</v>
      </c>
      <c r="B29" s="16" t="s">
        <v>76</v>
      </c>
      <c r="C29" s="53">
        <v>1.0</v>
      </c>
      <c r="D29" s="53"/>
      <c r="E29" s="7"/>
      <c r="F29" s="53"/>
      <c r="G29" s="7"/>
      <c r="H29" s="16">
        <v>1.0</v>
      </c>
      <c r="I29" s="81">
        <v>1.0</v>
      </c>
      <c r="J29" s="16" t="s">
        <v>8088</v>
      </c>
      <c r="K29" s="53" t="s">
        <v>6118</v>
      </c>
      <c r="L29" s="53"/>
      <c r="M29" s="39" t="str">
        <f t="shared" si="3"/>
        <v>[https://arxiv.org/abs/2101.05719 Brand et al (2021)]</v>
      </c>
      <c r="N29" s="321" t="s">
        <v>8089</v>
      </c>
      <c r="O29" s="326">
        <v>2021.0</v>
      </c>
      <c r="P29" s="17" t="s">
        <v>8090</v>
      </c>
      <c r="Q29" s="82"/>
      <c r="R29" s="82"/>
      <c r="S29" s="82"/>
      <c r="T29" s="81"/>
      <c r="U29" s="83">
        <v>0.0</v>
      </c>
      <c r="V29" s="16"/>
      <c r="W29" s="16" t="s">
        <v>8088</v>
      </c>
      <c r="X29" s="93" t="s">
        <v>2031</v>
      </c>
      <c r="Y29" s="93"/>
      <c r="Z29" s="93"/>
      <c r="AA29" s="93" t="s">
        <v>1813</v>
      </c>
      <c r="AB29" s="93" t="s">
        <v>1814</v>
      </c>
      <c r="AC29" s="93" t="s">
        <v>92</v>
      </c>
      <c r="AD29" s="329" t="s">
        <v>2185</v>
      </c>
      <c r="AE29" s="93" t="s">
        <v>8076</v>
      </c>
      <c r="AF29" s="87"/>
      <c r="AG29" s="87"/>
      <c r="AH29" s="83">
        <v>1.0</v>
      </c>
      <c r="AI29" s="87"/>
      <c r="AJ29" s="81">
        <v>0.0</v>
      </c>
      <c r="AK29" s="90"/>
      <c r="AL29" s="81">
        <v>0.0</v>
      </c>
      <c r="AM29" s="81">
        <v>0.0</v>
      </c>
      <c r="AN29" s="39"/>
      <c r="AO29" s="81">
        <v>0.0</v>
      </c>
      <c r="AP29" s="81">
        <v>0.0</v>
      </c>
      <c r="AQ29" s="39"/>
      <c r="AR29" s="14" t="s">
        <v>2024</v>
      </c>
      <c r="AS29" s="82"/>
      <c r="AT29" s="82"/>
      <c r="AU29" s="7"/>
      <c r="AV29" s="7"/>
      <c r="AW29" s="82"/>
      <c r="AX29" s="82"/>
      <c r="AY29" s="82"/>
      <c r="AZ29" s="82"/>
      <c r="BA29" s="82"/>
      <c r="BB29" s="7">
        <v>2.0</v>
      </c>
      <c r="BC29" s="82"/>
      <c r="BD29" s="7"/>
      <c r="BE29" s="7" t="s">
        <v>23</v>
      </c>
      <c r="BF29" s="7"/>
      <c r="BG29" s="7"/>
    </row>
    <row r="30">
      <c r="A30" s="16">
        <v>5.0</v>
      </c>
      <c r="B30" s="16" t="s">
        <v>76</v>
      </c>
      <c r="C30" s="53">
        <v>2.0</v>
      </c>
      <c r="D30" s="53"/>
      <c r="E30" s="7"/>
      <c r="F30" s="53"/>
      <c r="G30" s="7"/>
      <c r="H30" s="16">
        <v>1.0</v>
      </c>
      <c r="I30" s="81">
        <v>1.0</v>
      </c>
      <c r="J30" s="16" t="s">
        <v>8091</v>
      </c>
      <c r="K30" s="53" t="s">
        <v>6118</v>
      </c>
      <c r="L30" s="53"/>
      <c r="M30" s="39" t="str">
        <f t="shared" si="3"/>
        <v>[https://arxiv.org/abs/2101.07233 Gao, Liu, Peng (2021)]</v>
      </c>
      <c r="N30" s="321" t="s">
        <v>8092</v>
      </c>
      <c r="O30" s="326">
        <v>2021.0</v>
      </c>
      <c r="P30" s="17" t="s">
        <v>8093</v>
      </c>
      <c r="Q30" s="82"/>
      <c r="R30" s="82"/>
      <c r="S30" s="82"/>
      <c r="T30" s="81"/>
      <c r="U30" s="83">
        <v>0.0</v>
      </c>
      <c r="V30" s="16"/>
      <c r="W30" s="16" t="s">
        <v>8091</v>
      </c>
      <c r="X30" s="93" t="s">
        <v>2031</v>
      </c>
      <c r="Y30" s="93"/>
      <c r="Z30" s="93"/>
      <c r="AA30" s="93" t="s">
        <v>1813</v>
      </c>
      <c r="AB30" s="93" t="s">
        <v>1814</v>
      </c>
      <c r="AC30" s="93" t="s">
        <v>92</v>
      </c>
      <c r="AD30" s="329" t="s">
        <v>2185</v>
      </c>
      <c r="AE30" s="93" t="s">
        <v>8076</v>
      </c>
      <c r="AF30" s="87"/>
      <c r="AG30" s="87"/>
      <c r="AH30" s="81">
        <v>0.0</v>
      </c>
      <c r="AI30" s="87"/>
      <c r="AJ30" s="81">
        <v>0.0</v>
      </c>
      <c r="AK30" s="90"/>
      <c r="AL30" s="81">
        <v>0.0</v>
      </c>
      <c r="AM30" s="81">
        <v>0.0</v>
      </c>
      <c r="AN30" s="39"/>
      <c r="AO30" s="81">
        <v>0.0</v>
      </c>
      <c r="AP30" s="81">
        <v>0.0</v>
      </c>
      <c r="AQ30" s="39"/>
      <c r="AR30" s="14" t="s">
        <v>2024</v>
      </c>
      <c r="AS30" s="82"/>
      <c r="AT30" s="82"/>
      <c r="AU30" s="7"/>
      <c r="AV30" s="7"/>
      <c r="AW30" s="82"/>
      <c r="AX30" s="82"/>
      <c r="AY30" s="82"/>
      <c r="AZ30" s="82"/>
      <c r="BA30" s="82"/>
      <c r="BB30" s="7">
        <v>2.0</v>
      </c>
      <c r="BC30" s="82"/>
      <c r="BD30" s="7"/>
      <c r="BE30" s="7" t="s">
        <v>23</v>
      </c>
      <c r="BF30" s="7"/>
      <c r="BG30" s="7"/>
    </row>
    <row r="31">
      <c r="A31" s="16">
        <v>5.0</v>
      </c>
      <c r="B31" s="16" t="s">
        <v>76</v>
      </c>
      <c r="C31" s="53">
        <v>1.0</v>
      </c>
      <c r="D31" s="53"/>
      <c r="E31" s="7"/>
      <c r="F31" s="53"/>
      <c r="G31" s="7"/>
      <c r="H31" s="16">
        <v>1.0</v>
      </c>
      <c r="I31" s="81">
        <v>1.0</v>
      </c>
      <c r="J31" s="16" t="s">
        <v>103</v>
      </c>
      <c r="K31" s="53" t="s">
        <v>6118</v>
      </c>
      <c r="L31" s="53"/>
      <c r="M31" s="39" t="str">
        <f t="shared" si="3"/>
        <v>[https://arxiv.org/abs/2203.00671 Chen et al (2022)]</v>
      </c>
      <c r="N31" s="321" t="s">
        <v>8094</v>
      </c>
      <c r="O31" s="326">
        <v>2022.0</v>
      </c>
      <c r="P31" s="17" t="s">
        <v>95</v>
      </c>
      <c r="Q31" s="82"/>
      <c r="R31" s="82"/>
      <c r="S31" s="82"/>
      <c r="T31" s="81"/>
      <c r="U31" s="83">
        <v>0.0</v>
      </c>
      <c r="V31" s="16"/>
      <c r="W31" s="16" t="s">
        <v>103</v>
      </c>
      <c r="X31" s="93" t="s">
        <v>2031</v>
      </c>
      <c r="Y31" s="93"/>
      <c r="Z31" s="93"/>
      <c r="AA31" s="93" t="s">
        <v>1813</v>
      </c>
      <c r="AB31" s="93" t="s">
        <v>1814</v>
      </c>
      <c r="AC31" s="93" t="s">
        <v>92</v>
      </c>
      <c r="AD31" s="329" t="s">
        <v>2185</v>
      </c>
      <c r="AE31" s="93" t="s">
        <v>8076</v>
      </c>
      <c r="AF31" s="87"/>
      <c r="AG31" s="87"/>
      <c r="AH31" s="81">
        <v>0.0</v>
      </c>
      <c r="AI31" s="87"/>
      <c r="AJ31" s="81">
        <v>0.0</v>
      </c>
      <c r="AK31" s="90"/>
      <c r="AL31" s="81">
        <v>0.0</v>
      </c>
      <c r="AM31" s="81">
        <v>0.0</v>
      </c>
      <c r="AN31" s="39"/>
      <c r="AO31" s="81">
        <v>0.0</v>
      </c>
      <c r="AP31" s="81">
        <v>0.0</v>
      </c>
      <c r="AQ31" s="39"/>
      <c r="AR31" s="14" t="s">
        <v>2024</v>
      </c>
      <c r="AS31" s="82"/>
      <c r="AT31" s="82"/>
      <c r="AU31" s="7"/>
      <c r="AV31" s="7"/>
      <c r="AW31" s="82"/>
      <c r="AX31" s="82"/>
      <c r="AY31" s="82"/>
      <c r="AZ31" s="82"/>
      <c r="BA31" s="82"/>
      <c r="BB31" s="7">
        <v>2.0</v>
      </c>
      <c r="BC31" s="82"/>
      <c r="BD31" s="7"/>
      <c r="BE31" s="7" t="s">
        <v>23</v>
      </c>
      <c r="BF31" s="7"/>
      <c r="BG31" s="7"/>
    </row>
    <row r="32">
      <c r="A32" s="16">
        <v>5.0</v>
      </c>
      <c r="B32" s="16" t="s">
        <v>76</v>
      </c>
      <c r="C32" s="53">
        <v>2.0</v>
      </c>
      <c r="D32" s="53" t="s">
        <v>84</v>
      </c>
      <c r="E32" s="7"/>
      <c r="F32" s="53"/>
      <c r="G32" s="7"/>
      <c r="H32" s="16">
        <v>1.0</v>
      </c>
      <c r="I32" s="83">
        <v>1.0</v>
      </c>
      <c r="J32" s="16" t="s">
        <v>6126</v>
      </c>
      <c r="K32" s="53" t="s">
        <v>6118</v>
      </c>
      <c r="L32" s="53"/>
      <c r="M32" s="39" t="str">
        <f t="shared" si="3"/>
        <v>[https://dl.acm.org/citation.cfm?id=290181 Goldberg &amp; Rao (Parallel) (1997)]</v>
      </c>
      <c r="N32" s="16" t="s">
        <v>6127</v>
      </c>
      <c r="O32" s="81">
        <v>1997.0</v>
      </c>
      <c r="P32" s="28" t="s">
        <v>2817</v>
      </c>
      <c r="Q32" s="82"/>
      <c r="R32" s="82"/>
      <c r="S32" s="82"/>
      <c r="T32" s="81"/>
      <c r="U32" s="83">
        <v>0.0</v>
      </c>
      <c r="V32" s="16">
        <v>4.66</v>
      </c>
      <c r="W32" s="16" t="s">
        <v>6126</v>
      </c>
      <c r="X32" s="93" t="s">
        <v>2031</v>
      </c>
      <c r="Y32" s="93"/>
      <c r="Z32" s="93"/>
      <c r="AA32" s="93" t="s">
        <v>5906</v>
      </c>
      <c r="AB32" s="93" t="s">
        <v>1814</v>
      </c>
      <c r="AC32" s="93" t="s">
        <v>251</v>
      </c>
      <c r="AD32" s="329" t="s">
        <v>3038</v>
      </c>
      <c r="AE32" s="121" t="s">
        <v>2817</v>
      </c>
      <c r="AF32" s="84">
        <v>0.0</v>
      </c>
      <c r="AG32" s="87"/>
      <c r="AH32" s="29">
        <v>0.0</v>
      </c>
      <c r="AI32" s="87"/>
      <c r="AJ32" s="83">
        <v>0.0</v>
      </c>
      <c r="AK32" s="90"/>
      <c r="AL32" s="83">
        <v>0.0</v>
      </c>
      <c r="AM32" s="83">
        <v>1.0</v>
      </c>
      <c r="AN32" s="16" t="s">
        <v>268</v>
      </c>
      <c r="AO32" s="83">
        <v>0.0</v>
      </c>
      <c r="AP32" s="83">
        <v>0.0</v>
      </c>
      <c r="AQ32" s="39"/>
      <c r="AR32" s="14" t="s">
        <v>2024</v>
      </c>
      <c r="AS32" s="82"/>
      <c r="AT32" s="82"/>
      <c r="AU32" s="7"/>
      <c r="AV32" s="7"/>
      <c r="AW32" s="82"/>
      <c r="AX32" s="82"/>
      <c r="AY32" s="82"/>
      <c r="AZ32" s="82"/>
      <c r="BA32" s="82"/>
      <c r="BB32" s="7">
        <v>2.0</v>
      </c>
      <c r="BC32" s="82"/>
      <c r="BD32" s="7"/>
      <c r="BE32" s="7" t="s">
        <v>23</v>
      </c>
      <c r="BF32" s="7"/>
      <c r="BG32" s="7"/>
    </row>
    <row r="33">
      <c r="A33" s="16">
        <v>5.0</v>
      </c>
      <c r="B33" s="16" t="s">
        <v>76</v>
      </c>
      <c r="C33" s="53">
        <v>2.0</v>
      </c>
      <c r="D33" s="53" t="s">
        <v>84</v>
      </c>
      <c r="E33" s="7"/>
      <c r="F33" s="53"/>
      <c r="G33" s="7"/>
      <c r="H33" s="16">
        <v>1.0</v>
      </c>
      <c r="I33" s="83">
        <v>1.0</v>
      </c>
      <c r="J33" s="16" t="s">
        <v>6131</v>
      </c>
      <c r="K33" s="53" t="s">
        <v>6118</v>
      </c>
      <c r="L33" s="53"/>
      <c r="M33" s="39" t="str">
        <f t="shared" si="3"/>
        <v>[https://dl.acm.org/citation.cfm?id=290181 Goldberg &amp; Rao (Parallel) (1997)]</v>
      </c>
      <c r="N33" s="16" t="s">
        <v>6127</v>
      </c>
      <c r="O33" s="81">
        <v>1997.0</v>
      </c>
      <c r="P33" s="28" t="s">
        <v>2817</v>
      </c>
      <c r="Q33" s="82"/>
      <c r="R33" s="82"/>
      <c r="S33" s="82"/>
      <c r="T33" s="81"/>
      <c r="U33" s="83">
        <v>0.0</v>
      </c>
      <c r="V33" s="16">
        <v>5.0</v>
      </c>
      <c r="W33" s="16" t="s">
        <v>6131</v>
      </c>
      <c r="X33" s="93" t="s">
        <v>2031</v>
      </c>
      <c r="Y33" s="93"/>
      <c r="Z33" s="93"/>
      <c r="AA33" s="93" t="s">
        <v>5906</v>
      </c>
      <c r="AB33" s="93" t="s">
        <v>1814</v>
      </c>
      <c r="AC33" s="93" t="s">
        <v>251</v>
      </c>
      <c r="AD33" s="329" t="s">
        <v>3038</v>
      </c>
      <c r="AE33" s="121" t="s">
        <v>2817</v>
      </c>
      <c r="AF33" s="84">
        <v>0.0</v>
      </c>
      <c r="AG33" s="87"/>
      <c r="AH33" s="29">
        <v>0.0</v>
      </c>
      <c r="AI33" s="87"/>
      <c r="AJ33" s="83">
        <v>0.0</v>
      </c>
      <c r="AK33" s="90"/>
      <c r="AL33" s="83">
        <v>0.0</v>
      </c>
      <c r="AM33" s="83">
        <v>1.0</v>
      </c>
      <c r="AN33" s="16" t="s">
        <v>268</v>
      </c>
      <c r="AO33" s="83">
        <v>0.0</v>
      </c>
      <c r="AP33" s="83">
        <v>0.0</v>
      </c>
      <c r="AQ33" s="39"/>
      <c r="AR33" s="14" t="s">
        <v>2024</v>
      </c>
      <c r="AS33" s="82"/>
      <c r="AT33" s="82"/>
      <c r="AU33" s="7"/>
      <c r="AV33" s="7"/>
      <c r="AW33" s="82"/>
      <c r="AX33" s="82"/>
      <c r="AY33" s="82"/>
      <c r="AZ33" s="82"/>
      <c r="BA33" s="82"/>
      <c r="BB33" s="7">
        <v>2.0</v>
      </c>
      <c r="BC33" s="82"/>
      <c r="BD33" s="7"/>
      <c r="BE33" s="7" t="s">
        <v>23</v>
      </c>
      <c r="BF33" s="7"/>
      <c r="BG33" s="7"/>
    </row>
    <row r="34">
      <c r="A34" s="16">
        <v>6.0</v>
      </c>
      <c r="B34" s="16" t="s">
        <v>110</v>
      </c>
      <c r="C34" s="53">
        <v>1.0</v>
      </c>
      <c r="D34" s="53"/>
      <c r="E34" s="7"/>
      <c r="F34" s="53"/>
      <c r="G34" s="7"/>
      <c r="H34" s="16">
        <v>1.0</v>
      </c>
      <c r="I34" s="81">
        <v>1.0</v>
      </c>
      <c r="J34" s="16" t="s">
        <v>8095</v>
      </c>
      <c r="K34" s="53"/>
      <c r="L34" s="53"/>
      <c r="M34" s="39" t="str">
        <f t="shared" si="3"/>
        <v>[https://scholar.google.com/scholar?hl=en&amp;as_sdt=0%2C22&amp;q=On+economical+construction+of+the+transitive+closure+of+an+oriented+graph.&amp;btnG= Method of Four Russians (1970)]</v>
      </c>
      <c r="N34" s="321" t="s">
        <v>8037</v>
      </c>
      <c r="O34" s="322">
        <v>1970.0</v>
      </c>
      <c r="P34" s="24" t="s">
        <v>8038</v>
      </c>
      <c r="Q34" s="82"/>
      <c r="R34" s="82"/>
      <c r="S34" s="82"/>
      <c r="T34" s="81">
        <v>1.0</v>
      </c>
      <c r="U34" s="81">
        <v>0.0</v>
      </c>
      <c r="V34" s="16"/>
      <c r="W34" s="16" t="s">
        <v>8095</v>
      </c>
      <c r="X34" s="93" t="s">
        <v>2050</v>
      </c>
      <c r="Y34" s="93"/>
      <c r="Z34" s="93"/>
      <c r="AA34" s="93" t="s">
        <v>1813</v>
      </c>
      <c r="AB34" s="93" t="s">
        <v>1814</v>
      </c>
      <c r="AC34" s="93"/>
      <c r="AD34" s="329"/>
      <c r="AE34" s="93"/>
      <c r="AF34" s="87"/>
      <c r="AG34" s="87"/>
      <c r="AH34" s="81">
        <v>0.0</v>
      </c>
      <c r="AI34" s="87"/>
      <c r="AJ34" s="81">
        <v>0.0</v>
      </c>
      <c r="AK34" s="90"/>
      <c r="AL34" s="81">
        <v>0.0</v>
      </c>
      <c r="AM34" s="83">
        <v>0.0</v>
      </c>
      <c r="AN34" s="39"/>
      <c r="AO34" s="81">
        <v>0.0</v>
      </c>
      <c r="AP34" s="81">
        <v>0.0</v>
      </c>
      <c r="AQ34" s="31"/>
      <c r="AR34" s="7" t="s">
        <v>2053</v>
      </c>
      <c r="AS34" s="82"/>
      <c r="AT34" s="82"/>
      <c r="AU34" s="7"/>
      <c r="AV34" s="7"/>
      <c r="AW34" s="82"/>
      <c r="AX34" s="82"/>
      <c r="AY34" s="82"/>
      <c r="AZ34" s="82"/>
      <c r="BA34" s="82"/>
      <c r="BB34" s="7">
        <v>3.0</v>
      </c>
      <c r="BC34" s="82"/>
      <c r="BD34" s="7"/>
      <c r="BE34" s="7" t="s">
        <v>23</v>
      </c>
      <c r="BF34" s="7"/>
      <c r="BG34" s="7"/>
    </row>
    <row r="35">
      <c r="A35" s="16">
        <v>6.0</v>
      </c>
      <c r="B35" s="16" t="s">
        <v>110</v>
      </c>
      <c r="C35" s="53">
        <v>2.0</v>
      </c>
      <c r="D35" s="53"/>
      <c r="E35" s="7"/>
      <c r="F35" s="53"/>
      <c r="G35" s="7"/>
      <c r="H35" s="16">
        <v>1.0</v>
      </c>
      <c r="I35" s="81">
        <v>1.0</v>
      </c>
      <c r="J35" s="16" t="s">
        <v>116</v>
      </c>
      <c r="K35" s="53" t="s">
        <v>2068</v>
      </c>
      <c r="L35" s="91" t="s">
        <v>2069</v>
      </c>
      <c r="M35" s="39" t="str">
        <f t="shared" si="3"/>
        <v>[https://arxiv.org/pdf/2010.05846.pdf Alman, Vassilevska Williams (2020)]</v>
      </c>
      <c r="N35" s="321" t="s">
        <v>8096</v>
      </c>
      <c r="O35" s="326">
        <v>2020.0</v>
      </c>
      <c r="P35" s="17" t="s">
        <v>117</v>
      </c>
      <c r="Q35" s="82"/>
      <c r="R35" s="82"/>
      <c r="S35" s="82"/>
      <c r="T35" s="81">
        <v>1.0</v>
      </c>
      <c r="U35" s="81">
        <v>0.0</v>
      </c>
      <c r="V35" s="16"/>
      <c r="W35" s="16" t="s">
        <v>116</v>
      </c>
      <c r="X35" s="93" t="s">
        <v>2050</v>
      </c>
      <c r="Y35" s="93"/>
      <c r="Z35" s="93"/>
      <c r="AA35" s="93" t="s">
        <v>1813</v>
      </c>
      <c r="AB35" s="93" t="s">
        <v>1814</v>
      </c>
      <c r="AC35" s="93" t="s">
        <v>115</v>
      </c>
      <c r="AD35" s="329" t="s">
        <v>1938</v>
      </c>
      <c r="AE35" s="93" t="s">
        <v>8097</v>
      </c>
      <c r="AF35" s="87"/>
      <c r="AG35" s="87"/>
      <c r="AH35" s="81">
        <v>0.0</v>
      </c>
      <c r="AI35" s="87"/>
      <c r="AJ35" s="81">
        <v>0.0</v>
      </c>
      <c r="AK35" s="90"/>
      <c r="AL35" s="81">
        <v>0.0</v>
      </c>
      <c r="AM35" s="83">
        <v>0.0</v>
      </c>
      <c r="AN35" s="39"/>
      <c r="AO35" s="81">
        <v>0.0</v>
      </c>
      <c r="AP35" s="81">
        <v>0.0</v>
      </c>
      <c r="AQ35" s="31"/>
      <c r="AR35" s="7" t="s">
        <v>2053</v>
      </c>
      <c r="AS35" s="82"/>
      <c r="AT35" s="82"/>
      <c r="AU35" s="7"/>
      <c r="AV35" s="7"/>
      <c r="AW35" s="82"/>
      <c r="AX35" s="82"/>
      <c r="AY35" s="82"/>
      <c r="AZ35" s="82"/>
      <c r="BA35" s="82"/>
      <c r="BB35" s="7">
        <v>3.0</v>
      </c>
      <c r="BC35" s="82"/>
      <c r="BD35" s="7"/>
      <c r="BE35" s="7" t="s">
        <v>23</v>
      </c>
      <c r="BF35" s="7"/>
      <c r="BG35" s="7"/>
    </row>
    <row r="36">
      <c r="A36" s="16"/>
      <c r="B36" s="16" t="s">
        <v>8098</v>
      </c>
      <c r="C36" s="53">
        <v>1.0</v>
      </c>
      <c r="D36" s="53"/>
      <c r="E36" s="7"/>
      <c r="F36" s="53"/>
      <c r="G36" s="7"/>
      <c r="H36" s="16">
        <v>1.0</v>
      </c>
      <c r="I36" s="81">
        <v>1.0</v>
      </c>
      <c r="J36" s="16" t="s">
        <v>8099</v>
      </c>
      <c r="K36" s="53"/>
      <c r="L36" s="53"/>
      <c r="M36" s="39" t="str">
        <f t="shared" si="3"/>
        <v>[https://www.sciencedirect.com/science/article/abs/pii/S0167637704000409?via%3Dihub Byskov (2004)]</v>
      </c>
      <c r="N36" s="16" t="s">
        <v>2852</v>
      </c>
      <c r="O36" s="16">
        <v>2004.0</v>
      </c>
      <c r="P36" s="25" t="s">
        <v>2853</v>
      </c>
      <c r="Q36" s="82"/>
      <c r="R36" s="82"/>
      <c r="S36" s="82"/>
      <c r="T36" s="16"/>
      <c r="U36" s="16"/>
      <c r="V36" s="16"/>
      <c r="W36" s="16" t="s">
        <v>8099</v>
      </c>
      <c r="X36" s="93" t="s">
        <v>2102</v>
      </c>
      <c r="Y36" s="93"/>
      <c r="Z36" s="93"/>
      <c r="AA36" s="93" t="s">
        <v>1813</v>
      </c>
      <c r="AB36" s="93" t="s">
        <v>1814</v>
      </c>
      <c r="AC36" s="93"/>
      <c r="AD36" s="329"/>
      <c r="AE36" s="93"/>
      <c r="AF36" s="87"/>
      <c r="AG36" s="87"/>
      <c r="AH36" s="81">
        <v>0.0</v>
      </c>
      <c r="AI36" s="87"/>
      <c r="AJ36" s="81">
        <v>0.0</v>
      </c>
      <c r="AK36" s="90"/>
      <c r="AL36" s="81">
        <v>0.0</v>
      </c>
      <c r="AM36" s="81">
        <v>0.0</v>
      </c>
      <c r="AN36" s="39"/>
      <c r="AO36" s="81">
        <v>0.0</v>
      </c>
      <c r="AP36" s="81">
        <v>0.0</v>
      </c>
      <c r="AQ36" s="39"/>
      <c r="AR36" s="7" t="s">
        <v>1285</v>
      </c>
      <c r="AS36" s="82"/>
      <c r="AT36" s="82"/>
      <c r="AU36" s="7"/>
      <c r="AV36" s="7"/>
      <c r="AW36" s="7"/>
      <c r="AX36" s="82"/>
      <c r="AY36" s="82"/>
      <c r="AZ36" s="82"/>
      <c r="BA36" s="82"/>
      <c r="BB36" s="7"/>
      <c r="BC36" s="82"/>
      <c r="BD36" s="7"/>
      <c r="BE36" s="7" t="s">
        <v>23</v>
      </c>
      <c r="BF36" s="7"/>
      <c r="BG36" s="7"/>
    </row>
    <row r="37">
      <c r="A37" s="16"/>
      <c r="B37" s="16" t="s">
        <v>8098</v>
      </c>
      <c r="C37" s="53">
        <v>1.0</v>
      </c>
      <c r="D37" s="53"/>
      <c r="E37" s="7"/>
      <c r="F37" s="53"/>
      <c r="G37" s="7"/>
      <c r="H37" s="16">
        <v>1.0</v>
      </c>
      <c r="I37" s="83">
        <v>1.0</v>
      </c>
      <c r="J37" s="16" t="s">
        <v>1266</v>
      </c>
      <c r="K37" s="53"/>
      <c r="L37" s="53"/>
      <c r="M37" s="39" t="str">
        <f t="shared" si="3"/>
        <v>[https://ieeexplore.ieee.org/stamp/stamp.jsp?arnumber=4031392 Bjorklund, Husfeldt, Theorem 1 (2006)]</v>
      </c>
      <c r="N37" s="337" t="s">
        <v>8100</v>
      </c>
      <c r="O37" s="326">
        <v>2006.0</v>
      </c>
      <c r="P37" s="17" t="s">
        <v>1267</v>
      </c>
      <c r="Q37" s="82"/>
      <c r="R37" s="82"/>
      <c r="S37" s="82"/>
      <c r="T37" s="16"/>
      <c r="U37" s="16"/>
      <c r="V37" s="16"/>
      <c r="W37" s="16" t="s">
        <v>1266</v>
      </c>
      <c r="X37" s="93" t="s">
        <v>2102</v>
      </c>
      <c r="Y37" s="93"/>
      <c r="Z37" s="93"/>
      <c r="AA37" s="93" t="s">
        <v>1813</v>
      </c>
      <c r="AB37" s="93" t="s">
        <v>1814</v>
      </c>
      <c r="AC37" s="93" t="s">
        <v>1266</v>
      </c>
      <c r="AD37" s="338" t="s">
        <v>2001</v>
      </c>
      <c r="AE37" s="339" t="s">
        <v>1267</v>
      </c>
      <c r="AF37" s="84"/>
      <c r="AG37" s="87"/>
      <c r="AH37" s="83">
        <v>0.0</v>
      </c>
      <c r="AI37" s="84"/>
      <c r="AJ37" s="83">
        <v>0.0</v>
      </c>
      <c r="AK37" s="90"/>
      <c r="AL37" s="83">
        <v>0.0</v>
      </c>
      <c r="AM37" s="83">
        <v>0.0</v>
      </c>
      <c r="AN37" s="39"/>
      <c r="AO37" s="83">
        <v>0.0</v>
      </c>
      <c r="AP37" s="83">
        <v>0.0</v>
      </c>
      <c r="AQ37" s="39"/>
      <c r="AR37" s="7" t="s">
        <v>1285</v>
      </c>
      <c r="AS37" s="82"/>
      <c r="AT37" s="82"/>
      <c r="AU37" s="7"/>
      <c r="AV37" s="7"/>
      <c r="AW37" s="7"/>
      <c r="AX37" s="82"/>
      <c r="AY37" s="82"/>
      <c r="AZ37" s="82"/>
      <c r="BA37" s="82"/>
      <c r="BB37" s="7"/>
      <c r="BC37" s="82"/>
      <c r="BD37" s="7"/>
      <c r="BE37" s="7" t="s">
        <v>23</v>
      </c>
      <c r="BF37" s="7"/>
      <c r="BG37" s="7"/>
    </row>
    <row r="38">
      <c r="A38" s="16"/>
      <c r="B38" s="16" t="s">
        <v>8098</v>
      </c>
      <c r="C38" s="340">
        <v>1.0</v>
      </c>
      <c r="D38" s="200"/>
      <c r="E38" s="56"/>
      <c r="F38" s="200"/>
      <c r="G38" s="56"/>
      <c r="H38" s="197">
        <v>1.0</v>
      </c>
      <c r="I38" s="197">
        <v>1.0</v>
      </c>
      <c r="J38" s="34" t="s">
        <v>8101</v>
      </c>
      <c r="K38" s="200"/>
      <c r="L38" s="200"/>
      <c r="M38" s="69" t="str">
        <f t="shared" si="3"/>
        <v>[https://ieeexplore.ieee.org/stamp/stamp.jsp?arnumber=4031392 Bjorklund, Husfeldt, Proposition 2 (2006)]</v>
      </c>
      <c r="N38" s="107" t="s">
        <v>8102</v>
      </c>
      <c r="O38" s="197">
        <v>2006.0</v>
      </c>
      <c r="P38" s="26" t="s">
        <v>1267</v>
      </c>
      <c r="Q38" s="198"/>
      <c r="R38" s="198"/>
      <c r="S38" s="198"/>
      <c r="T38" s="34"/>
      <c r="U38" s="34"/>
      <c r="V38" s="34"/>
      <c r="W38" s="34" t="s">
        <v>8101</v>
      </c>
      <c r="X38" s="341" t="s">
        <v>2102</v>
      </c>
      <c r="Y38" s="341"/>
      <c r="Z38" s="341"/>
      <c r="AA38" s="341" t="s">
        <v>1813</v>
      </c>
      <c r="AB38" s="341" t="s">
        <v>1814</v>
      </c>
      <c r="AC38" s="341" t="s">
        <v>8103</v>
      </c>
      <c r="AD38" s="342" t="s">
        <v>2517</v>
      </c>
      <c r="AE38" s="343" t="s">
        <v>1267</v>
      </c>
      <c r="AF38" s="199"/>
      <c r="AG38" s="87"/>
      <c r="AH38" s="197">
        <v>0.0</v>
      </c>
      <c r="AI38" s="200"/>
      <c r="AJ38" s="197">
        <v>0.0</v>
      </c>
      <c r="AK38" s="210"/>
      <c r="AL38" s="197">
        <v>0.0</v>
      </c>
      <c r="AM38" s="197">
        <v>0.0</v>
      </c>
      <c r="AN38" s="69"/>
      <c r="AO38" s="197">
        <v>0.0</v>
      </c>
      <c r="AP38" s="197">
        <v>0.0</v>
      </c>
      <c r="AQ38" s="69"/>
      <c r="AR38" s="7" t="s">
        <v>1285</v>
      </c>
      <c r="AS38" s="198"/>
      <c r="AT38" s="198"/>
      <c r="AU38" s="56"/>
      <c r="AV38" s="56"/>
      <c r="AW38" s="56"/>
      <c r="AX38" s="198"/>
      <c r="AY38" s="198"/>
      <c r="AZ38" s="198"/>
      <c r="BA38" s="198"/>
      <c r="BB38" s="56"/>
      <c r="BC38" s="198"/>
      <c r="BD38" s="56"/>
      <c r="BE38" s="56" t="s">
        <v>23</v>
      </c>
      <c r="BF38" s="56"/>
      <c r="BG38" s="56"/>
    </row>
    <row r="39">
      <c r="A39" s="16"/>
      <c r="B39" s="16" t="s">
        <v>8098</v>
      </c>
      <c r="C39" s="53">
        <v>1.0</v>
      </c>
      <c r="D39" s="53"/>
      <c r="E39" s="7"/>
      <c r="F39" s="53"/>
      <c r="G39" s="7"/>
      <c r="H39" s="16">
        <v>1.0</v>
      </c>
      <c r="I39" s="83">
        <v>1.0</v>
      </c>
      <c r="J39" s="16" t="s">
        <v>1286</v>
      </c>
      <c r="K39" s="53"/>
      <c r="L39" s="53"/>
      <c r="M39" s="39" t="str">
        <f t="shared" si="3"/>
        <v>[https://drops.dagstuhl.de/opus/volltexte/2021/14182/pdf/LIPIcs-ICALP-2021-113.pdf Zamir (2021)]</v>
      </c>
      <c r="N39" s="321" t="s">
        <v>8104</v>
      </c>
      <c r="O39" s="326">
        <v>2021.0</v>
      </c>
      <c r="P39" s="17" t="s">
        <v>1287</v>
      </c>
      <c r="Q39" s="82"/>
      <c r="R39" s="82"/>
      <c r="S39" s="82"/>
      <c r="T39" s="16"/>
      <c r="U39" s="16"/>
      <c r="V39" s="16"/>
      <c r="W39" s="16" t="s">
        <v>1286</v>
      </c>
      <c r="X39" s="93" t="s">
        <v>2102</v>
      </c>
      <c r="Y39" s="93"/>
      <c r="Z39" s="93"/>
      <c r="AA39" s="93" t="s">
        <v>1813</v>
      </c>
      <c r="AB39" s="93" t="s">
        <v>1814</v>
      </c>
      <c r="AC39" s="93"/>
      <c r="AD39" s="338"/>
      <c r="AE39" s="339"/>
      <c r="AF39" s="84"/>
      <c r="AG39" s="87"/>
      <c r="AH39" s="83">
        <v>0.0</v>
      </c>
      <c r="AI39" s="84"/>
      <c r="AJ39" s="83">
        <v>0.0</v>
      </c>
      <c r="AK39" s="90"/>
      <c r="AL39" s="83">
        <v>0.0</v>
      </c>
      <c r="AM39" s="83">
        <v>0.0</v>
      </c>
      <c r="AN39" s="39"/>
      <c r="AO39" s="83">
        <v>0.0</v>
      </c>
      <c r="AP39" s="83">
        <v>0.0</v>
      </c>
      <c r="AQ39" s="39"/>
      <c r="AR39" s="7" t="s">
        <v>1285</v>
      </c>
      <c r="AS39" s="82"/>
      <c r="AT39" s="82"/>
      <c r="AU39" s="7"/>
      <c r="AV39" s="7"/>
      <c r="AW39" s="7"/>
      <c r="AX39" s="82"/>
      <c r="AY39" s="82"/>
      <c r="AZ39" s="82"/>
      <c r="BA39" s="82"/>
      <c r="BB39" s="7"/>
      <c r="BC39" s="82"/>
      <c r="BD39" s="7"/>
      <c r="BE39" s="7" t="s">
        <v>23</v>
      </c>
      <c r="BF39" s="7"/>
      <c r="BG39" s="7"/>
    </row>
    <row r="40">
      <c r="A40" s="16"/>
      <c r="B40" s="16" t="s">
        <v>8105</v>
      </c>
      <c r="C40" s="53">
        <v>1.0</v>
      </c>
      <c r="D40" s="53"/>
      <c r="E40" s="7"/>
      <c r="F40" s="53"/>
      <c r="G40" s="7"/>
      <c r="H40" s="16">
        <v>1.0</v>
      </c>
      <c r="I40" s="81">
        <v>1.0</v>
      </c>
      <c r="J40" s="16" t="s">
        <v>8106</v>
      </c>
      <c r="K40" s="53"/>
      <c r="L40" s="53"/>
      <c r="M40" s="39" t="str">
        <f t="shared" si="3"/>
        <v>[https://www.sciencedirect.com/science/article/abs/pii/S0167637704000409?via%3Dihub Byskov, Theorem 14 (2004)]</v>
      </c>
      <c r="N40" s="107" t="s">
        <v>8107</v>
      </c>
      <c r="O40" s="16">
        <v>2004.0</v>
      </c>
      <c r="P40" s="25" t="s">
        <v>2853</v>
      </c>
      <c r="Q40" s="82"/>
      <c r="R40" s="82"/>
      <c r="S40" s="82"/>
      <c r="T40" s="16"/>
      <c r="U40" s="16"/>
      <c r="V40" s="16"/>
      <c r="W40" s="16" t="s">
        <v>8106</v>
      </c>
      <c r="X40" s="93" t="s">
        <v>2102</v>
      </c>
      <c r="Y40" s="93"/>
      <c r="Z40" s="93"/>
      <c r="AA40" s="93" t="s">
        <v>1813</v>
      </c>
      <c r="AB40" s="93" t="s">
        <v>1814</v>
      </c>
      <c r="AC40" s="93"/>
      <c r="AD40" s="329"/>
      <c r="AE40" s="93"/>
      <c r="AF40" s="87"/>
      <c r="AG40" s="87"/>
      <c r="AH40" s="81">
        <v>0.0</v>
      </c>
      <c r="AI40" s="87"/>
      <c r="AJ40" s="81">
        <v>0.0</v>
      </c>
      <c r="AK40" s="90"/>
      <c r="AL40" s="81">
        <v>0.0</v>
      </c>
      <c r="AM40" s="81">
        <v>0.0</v>
      </c>
      <c r="AN40" s="39"/>
      <c r="AO40" s="81">
        <v>0.0</v>
      </c>
      <c r="AP40" s="81">
        <v>0.0</v>
      </c>
      <c r="AQ40" s="39"/>
      <c r="AR40" s="7" t="s">
        <v>8108</v>
      </c>
      <c r="AS40" s="82"/>
      <c r="AT40" s="82"/>
      <c r="AU40" s="7"/>
      <c r="AV40" s="7"/>
      <c r="AW40" s="7"/>
      <c r="AX40" s="82"/>
      <c r="AY40" s="82"/>
      <c r="AZ40" s="82"/>
      <c r="BA40" s="82"/>
      <c r="BB40" s="7"/>
      <c r="BC40" s="82"/>
      <c r="BD40" s="7"/>
      <c r="BE40" s="7" t="s">
        <v>23</v>
      </c>
      <c r="BF40" s="7"/>
      <c r="BG40" s="7"/>
    </row>
    <row r="41">
      <c r="A41" s="16"/>
      <c r="B41" s="16" t="s">
        <v>8105</v>
      </c>
      <c r="C41" s="53">
        <v>1.0</v>
      </c>
      <c r="D41" s="53"/>
      <c r="E41" s="7"/>
      <c r="F41" s="53"/>
      <c r="G41" s="7"/>
      <c r="H41" s="16">
        <v>1.0</v>
      </c>
      <c r="I41" s="81">
        <v>1.0</v>
      </c>
      <c r="J41" s="16" t="s">
        <v>8109</v>
      </c>
      <c r="K41" s="53"/>
      <c r="L41" s="53"/>
      <c r="M41" s="39" t="str">
        <f t="shared" si="3"/>
        <v>[https://www.sciencedirect.com/science/article/abs/pii/S0167637704000409?via%3Dihub Byskov, Theorem 20 (2004)]</v>
      </c>
      <c r="N41" s="107" t="s">
        <v>8110</v>
      </c>
      <c r="O41" s="16">
        <v>2004.0</v>
      </c>
      <c r="P41" s="25" t="s">
        <v>2853</v>
      </c>
      <c r="Q41" s="82"/>
      <c r="R41" s="82"/>
      <c r="S41" s="82"/>
      <c r="T41" s="16"/>
      <c r="U41" s="16"/>
      <c r="V41" s="16"/>
      <c r="W41" s="16" t="s">
        <v>8109</v>
      </c>
      <c r="X41" s="93" t="s">
        <v>2102</v>
      </c>
      <c r="Y41" s="93"/>
      <c r="Z41" s="93"/>
      <c r="AA41" s="93" t="s">
        <v>1813</v>
      </c>
      <c r="AB41" s="93" t="s">
        <v>1814</v>
      </c>
      <c r="AC41" s="93" t="s">
        <v>789</v>
      </c>
      <c r="AD41" s="329" t="s">
        <v>2001</v>
      </c>
      <c r="AE41" s="336" t="s">
        <v>8111</v>
      </c>
      <c r="AF41" s="87"/>
      <c r="AG41" s="87"/>
      <c r="AH41" s="81">
        <v>0.0</v>
      </c>
      <c r="AI41" s="87"/>
      <c r="AJ41" s="81">
        <v>0.0</v>
      </c>
      <c r="AK41" s="90"/>
      <c r="AL41" s="81">
        <v>0.0</v>
      </c>
      <c r="AM41" s="81">
        <v>0.0</v>
      </c>
      <c r="AN41" s="39"/>
      <c r="AO41" s="81">
        <v>0.0</v>
      </c>
      <c r="AP41" s="81">
        <v>0.0</v>
      </c>
      <c r="AQ41" s="39"/>
      <c r="AR41" s="7" t="s">
        <v>8108</v>
      </c>
      <c r="AS41" s="82"/>
      <c r="AT41" s="82"/>
      <c r="AU41" s="7"/>
      <c r="AV41" s="7"/>
      <c r="AW41" s="7"/>
      <c r="AX41" s="82"/>
      <c r="AY41" s="82"/>
      <c r="AZ41" s="82"/>
      <c r="BA41" s="82"/>
      <c r="BB41" s="7"/>
      <c r="BC41" s="82"/>
      <c r="BD41" s="7"/>
      <c r="BE41" s="7" t="s">
        <v>23</v>
      </c>
      <c r="BF41" s="7"/>
      <c r="BG41" s="7"/>
    </row>
    <row r="42">
      <c r="A42" s="16"/>
      <c r="B42" s="16" t="s">
        <v>8105</v>
      </c>
      <c r="C42" s="53">
        <v>1.0</v>
      </c>
      <c r="D42" s="53"/>
      <c r="E42" s="7"/>
      <c r="F42" s="53"/>
      <c r="G42" s="7"/>
      <c r="H42" s="16">
        <v>1.0</v>
      </c>
      <c r="I42" s="83">
        <v>1.0</v>
      </c>
      <c r="J42" s="16" t="s">
        <v>1266</v>
      </c>
      <c r="K42" s="53"/>
      <c r="L42" s="53"/>
      <c r="M42" s="39" t="str">
        <f t="shared" si="3"/>
        <v>[https://ieeexplore.ieee.org/stamp/stamp.jsp?arnumber=4031392 Bjorklund, Husfeldt, Theorem 1 (2006)]</v>
      </c>
      <c r="N42" s="337" t="s">
        <v>8100</v>
      </c>
      <c r="O42" s="326">
        <v>2006.0</v>
      </c>
      <c r="P42" s="17" t="s">
        <v>1267</v>
      </c>
      <c r="Q42" s="82"/>
      <c r="R42" s="82"/>
      <c r="S42" s="82"/>
      <c r="T42" s="16"/>
      <c r="U42" s="16"/>
      <c r="V42" s="16"/>
      <c r="W42" s="16" t="s">
        <v>1266</v>
      </c>
      <c r="X42" s="93" t="s">
        <v>2102</v>
      </c>
      <c r="Y42" s="93"/>
      <c r="Z42" s="93"/>
      <c r="AA42" s="93" t="s">
        <v>1813</v>
      </c>
      <c r="AB42" s="93" t="s">
        <v>1814</v>
      </c>
      <c r="AC42" s="93" t="s">
        <v>1266</v>
      </c>
      <c r="AD42" s="329" t="s">
        <v>2001</v>
      </c>
      <c r="AE42" s="339" t="s">
        <v>1267</v>
      </c>
      <c r="AF42" s="84"/>
      <c r="AG42" s="87"/>
      <c r="AH42" s="83">
        <v>0.0</v>
      </c>
      <c r="AI42" s="84"/>
      <c r="AJ42" s="83">
        <v>0.0</v>
      </c>
      <c r="AK42" s="90"/>
      <c r="AL42" s="83">
        <v>0.0</v>
      </c>
      <c r="AM42" s="83">
        <v>0.0</v>
      </c>
      <c r="AN42" s="39"/>
      <c r="AO42" s="83">
        <v>0.0</v>
      </c>
      <c r="AP42" s="83">
        <v>0.0</v>
      </c>
      <c r="AQ42" s="39"/>
      <c r="AR42" s="7" t="s">
        <v>8108</v>
      </c>
      <c r="AS42" s="82"/>
      <c r="AT42" s="82"/>
      <c r="AU42" s="7"/>
      <c r="AV42" s="7"/>
      <c r="AW42" s="7"/>
      <c r="AX42" s="82"/>
      <c r="AY42" s="82"/>
      <c r="AZ42" s="82"/>
      <c r="BA42" s="82"/>
      <c r="BB42" s="7"/>
      <c r="BC42" s="82"/>
      <c r="BD42" s="7"/>
      <c r="BE42" s="7" t="s">
        <v>23</v>
      </c>
      <c r="BF42" s="7"/>
      <c r="BG42" s="7"/>
    </row>
    <row r="43">
      <c r="A43" s="16"/>
      <c r="B43" s="16" t="s">
        <v>8105</v>
      </c>
      <c r="C43" s="340">
        <v>1.0</v>
      </c>
      <c r="D43" s="200"/>
      <c r="E43" s="56"/>
      <c r="F43" s="200"/>
      <c r="G43" s="56"/>
      <c r="H43" s="197">
        <v>1.0</v>
      </c>
      <c r="I43" s="197">
        <v>1.0</v>
      </c>
      <c r="J43" s="34" t="s">
        <v>8101</v>
      </c>
      <c r="K43" s="200"/>
      <c r="L43" s="200"/>
      <c r="M43" s="69" t="str">
        <f t="shared" si="3"/>
        <v>[https://ieeexplore.ieee.org/stamp/stamp.jsp?arnumber=4031392 Bjorklund, Husfeldt, Proposition 2 (2006)]</v>
      </c>
      <c r="N43" s="107" t="s">
        <v>8102</v>
      </c>
      <c r="O43" s="197">
        <v>2006.0</v>
      </c>
      <c r="P43" s="26" t="s">
        <v>1267</v>
      </c>
      <c r="Q43" s="198"/>
      <c r="R43" s="198"/>
      <c r="S43" s="198"/>
      <c r="T43" s="34"/>
      <c r="U43" s="34"/>
      <c r="V43" s="34"/>
      <c r="W43" s="34" t="s">
        <v>8101</v>
      </c>
      <c r="X43" s="341" t="s">
        <v>2102</v>
      </c>
      <c r="Y43" s="341"/>
      <c r="Z43" s="341"/>
      <c r="AA43" s="341" t="s">
        <v>1813</v>
      </c>
      <c r="AB43" s="341" t="s">
        <v>1814</v>
      </c>
      <c r="AC43" s="341" t="s">
        <v>8103</v>
      </c>
      <c r="AD43" s="329" t="s">
        <v>2517</v>
      </c>
      <c r="AE43" s="343" t="s">
        <v>1267</v>
      </c>
      <c r="AF43" s="199"/>
      <c r="AG43" s="87"/>
      <c r="AH43" s="197">
        <v>0.0</v>
      </c>
      <c r="AI43" s="200"/>
      <c r="AJ43" s="197">
        <v>0.0</v>
      </c>
      <c r="AK43" s="210"/>
      <c r="AL43" s="197">
        <v>0.0</v>
      </c>
      <c r="AM43" s="197">
        <v>0.0</v>
      </c>
      <c r="AN43" s="69"/>
      <c r="AO43" s="197">
        <v>0.0</v>
      </c>
      <c r="AP43" s="197">
        <v>0.0</v>
      </c>
      <c r="AQ43" s="69"/>
      <c r="AR43" s="7" t="s">
        <v>8108</v>
      </c>
      <c r="AS43" s="198"/>
      <c r="AT43" s="198"/>
      <c r="AU43" s="56"/>
      <c r="AV43" s="56"/>
      <c r="AW43" s="56"/>
      <c r="AX43" s="198"/>
      <c r="AY43" s="198"/>
      <c r="AZ43" s="198"/>
      <c r="BA43" s="198"/>
      <c r="BB43" s="56"/>
      <c r="BC43" s="198"/>
      <c r="BD43" s="56"/>
      <c r="BE43" s="56" t="s">
        <v>23</v>
      </c>
      <c r="BF43" s="56"/>
      <c r="BG43" s="56"/>
    </row>
    <row r="44">
      <c r="A44" s="16"/>
      <c r="B44" s="16" t="s">
        <v>8105</v>
      </c>
      <c r="C44" s="53">
        <v>1.0</v>
      </c>
      <c r="D44" s="53"/>
      <c r="E44" s="7"/>
      <c r="F44" s="53"/>
      <c r="G44" s="7"/>
      <c r="H44" s="16">
        <v>1.0</v>
      </c>
      <c r="I44" s="83">
        <v>1.0</v>
      </c>
      <c r="J44" s="16" t="s">
        <v>1286</v>
      </c>
      <c r="K44" s="53"/>
      <c r="L44" s="53"/>
      <c r="M44" s="39" t="str">
        <f t="shared" si="3"/>
        <v>[https://drops.dagstuhl.de/opus/volltexte/2021/14182/pdf/LIPIcs-ICALP-2021-113.pdf Zamir (2021)]</v>
      </c>
      <c r="N44" s="321" t="s">
        <v>8104</v>
      </c>
      <c r="O44" s="326">
        <v>2021.0</v>
      </c>
      <c r="P44" s="17" t="s">
        <v>1287</v>
      </c>
      <c r="Q44" s="82"/>
      <c r="R44" s="82"/>
      <c r="S44" s="82"/>
      <c r="T44" s="16"/>
      <c r="U44" s="16"/>
      <c r="V44" s="16"/>
      <c r="W44" s="16" t="s">
        <v>1286</v>
      </c>
      <c r="X44" s="93" t="s">
        <v>2102</v>
      </c>
      <c r="Y44" s="93"/>
      <c r="Z44" s="93"/>
      <c r="AA44" s="93" t="s">
        <v>1813</v>
      </c>
      <c r="AB44" s="93" t="s">
        <v>1814</v>
      </c>
      <c r="AC44" s="93"/>
      <c r="AD44" s="329"/>
      <c r="AE44" s="339"/>
      <c r="AF44" s="84"/>
      <c r="AG44" s="87"/>
      <c r="AH44" s="83">
        <v>1.0</v>
      </c>
      <c r="AI44" s="84" t="s">
        <v>1907</v>
      </c>
      <c r="AJ44" s="83">
        <v>0.0</v>
      </c>
      <c r="AK44" s="90"/>
      <c r="AL44" s="83">
        <v>0.0</v>
      </c>
      <c r="AM44" s="83">
        <v>0.0</v>
      </c>
      <c r="AN44" s="39"/>
      <c r="AO44" s="83">
        <v>0.0</v>
      </c>
      <c r="AP44" s="83">
        <v>0.0</v>
      </c>
      <c r="AQ44" s="39"/>
      <c r="AR44" s="7" t="s">
        <v>8108</v>
      </c>
      <c r="AS44" s="82"/>
      <c r="AT44" s="82"/>
      <c r="AU44" s="7"/>
      <c r="AV44" s="7"/>
      <c r="AW44" s="7"/>
      <c r="AX44" s="82"/>
      <c r="AY44" s="82"/>
      <c r="AZ44" s="82"/>
      <c r="BA44" s="82"/>
      <c r="BB44" s="7"/>
      <c r="BC44" s="82"/>
      <c r="BD44" s="7"/>
      <c r="BE44" s="7" t="s">
        <v>23</v>
      </c>
      <c r="BF44" s="7"/>
      <c r="BG44" s="7"/>
    </row>
    <row r="45">
      <c r="A45" s="16"/>
      <c r="B45" s="16" t="s">
        <v>1269</v>
      </c>
      <c r="C45" s="53">
        <v>1.0</v>
      </c>
      <c r="D45" s="53"/>
      <c r="E45" s="7"/>
      <c r="F45" s="53"/>
      <c r="G45" s="7"/>
      <c r="H45" s="16">
        <v>1.0</v>
      </c>
      <c r="I45" s="83">
        <v>1.0</v>
      </c>
      <c r="J45" s="16" t="s">
        <v>8112</v>
      </c>
      <c r="K45" s="53"/>
      <c r="L45" s="53"/>
      <c r="M45" s="39" t="str">
        <f t="shared" si="3"/>
        <v>[https://academic.oup.com/comjnl/article/14/1/38/356253?login=true Christofides (1971)]</v>
      </c>
      <c r="N45" s="321" t="s">
        <v>8113</v>
      </c>
      <c r="O45" s="326">
        <v>1971.0</v>
      </c>
      <c r="P45" s="17" t="s">
        <v>8114</v>
      </c>
      <c r="Q45" s="82"/>
      <c r="R45" s="82"/>
      <c r="S45" s="82"/>
      <c r="T45" s="16"/>
      <c r="U45" s="16"/>
      <c r="V45" s="16"/>
      <c r="W45" s="16" t="s">
        <v>8112</v>
      </c>
      <c r="X45" s="93" t="s">
        <v>2102</v>
      </c>
      <c r="Y45" s="93"/>
      <c r="Z45" s="93"/>
      <c r="AA45" s="93" t="s">
        <v>1813</v>
      </c>
      <c r="AB45" s="93" t="s">
        <v>1814</v>
      </c>
      <c r="AC45" s="93" t="s">
        <v>8103</v>
      </c>
      <c r="AD45" s="329" t="s">
        <v>2517</v>
      </c>
      <c r="AE45" s="331" t="s">
        <v>8115</v>
      </c>
      <c r="AF45" s="84"/>
      <c r="AG45" s="87"/>
      <c r="AH45" s="83">
        <v>0.0</v>
      </c>
      <c r="AI45" s="84"/>
      <c r="AJ45" s="83">
        <v>0.0</v>
      </c>
      <c r="AK45" s="90"/>
      <c r="AL45" s="83">
        <v>0.0</v>
      </c>
      <c r="AM45" s="83">
        <v>0.0</v>
      </c>
      <c r="AN45" s="39"/>
      <c r="AO45" s="83">
        <v>0.0</v>
      </c>
      <c r="AP45" s="83">
        <v>0.0</v>
      </c>
      <c r="AQ45" s="39"/>
      <c r="AR45" s="7" t="s">
        <v>8116</v>
      </c>
      <c r="AS45" s="82"/>
      <c r="AT45" s="82"/>
      <c r="AU45" s="7"/>
      <c r="AV45" s="7"/>
      <c r="AW45" s="7"/>
      <c r="AX45" s="82"/>
      <c r="AY45" s="82"/>
      <c r="AZ45" s="82"/>
      <c r="BA45" s="82"/>
      <c r="BB45" s="7"/>
      <c r="BC45" s="82"/>
      <c r="BD45" s="7"/>
      <c r="BE45" s="7" t="s">
        <v>23</v>
      </c>
      <c r="BF45" s="7"/>
      <c r="BG45" s="7"/>
    </row>
    <row r="46">
      <c r="A46" s="16"/>
      <c r="B46" s="16" t="s">
        <v>1269</v>
      </c>
      <c r="C46" s="53">
        <v>1.0</v>
      </c>
      <c r="D46" s="53"/>
      <c r="E46" s="7"/>
      <c r="F46" s="53"/>
      <c r="G46" s="7"/>
      <c r="H46" s="16">
        <v>1.0</v>
      </c>
      <c r="I46" s="83">
        <v>1.0</v>
      </c>
      <c r="J46" s="16" t="s">
        <v>8117</v>
      </c>
      <c r="K46" s="53"/>
      <c r="L46" s="53"/>
      <c r="M46" s="39" t="str">
        <f t="shared" si="3"/>
        <v>[https://www.sciencedirect.com/science/article/pii/002001907690065X?via%3Dihub Lawler (1976)]</v>
      </c>
      <c r="N46" s="321" t="s">
        <v>2829</v>
      </c>
      <c r="O46" s="326">
        <v>1976.0</v>
      </c>
      <c r="P46" s="17" t="s">
        <v>2830</v>
      </c>
      <c r="Q46" s="82"/>
      <c r="R46" s="82"/>
      <c r="S46" s="82"/>
      <c r="T46" s="16"/>
      <c r="U46" s="16"/>
      <c r="V46" s="16"/>
      <c r="W46" s="16" t="s">
        <v>8117</v>
      </c>
      <c r="X46" s="93" t="s">
        <v>2102</v>
      </c>
      <c r="Y46" s="93"/>
      <c r="Z46" s="93"/>
      <c r="AA46" s="93" t="s">
        <v>1813</v>
      </c>
      <c r="AB46" s="93" t="s">
        <v>1814</v>
      </c>
      <c r="AC46" s="93" t="s">
        <v>8118</v>
      </c>
      <c r="AD46" s="329" t="s">
        <v>2001</v>
      </c>
      <c r="AE46" s="331" t="s">
        <v>8111</v>
      </c>
      <c r="AF46" s="84"/>
      <c r="AG46" s="87"/>
      <c r="AH46" s="83">
        <v>0.0</v>
      </c>
      <c r="AI46" s="84"/>
      <c r="AJ46" s="83">
        <v>0.0</v>
      </c>
      <c r="AK46" s="90"/>
      <c r="AL46" s="83">
        <v>0.0</v>
      </c>
      <c r="AM46" s="83">
        <v>0.0</v>
      </c>
      <c r="AN46" s="39"/>
      <c r="AO46" s="83">
        <v>0.0</v>
      </c>
      <c r="AP46" s="83">
        <v>0.0</v>
      </c>
      <c r="AQ46" s="39"/>
      <c r="AR46" s="7" t="s">
        <v>8116</v>
      </c>
      <c r="AS46" s="82"/>
      <c r="AT46" s="82"/>
      <c r="AU46" s="7"/>
      <c r="AV46" s="7"/>
      <c r="AW46" s="7"/>
      <c r="AX46" s="82"/>
      <c r="AY46" s="82"/>
      <c r="AZ46" s="82"/>
      <c r="BA46" s="82"/>
      <c r="BB46" s="7"/>
      <c r="BC46" s="82"/>
      <c r="BD46" s="7"/>
      <c r="BE46" s="7" t="s">
        <v>23</v>
      </c>
      <c r="BF46" s="7"/>
      <c r="BG46" s="7"/>
    </row>
    <row r="47">
      <c r="A47" s="16"/>
      <c r="B47" s="16" t="s">
        <v>1269</v>
      </c>
      <c r="C47" s="53">
        <v>1.0</v>
      </c>
      <c r="D47" s="53"/>
      <c r="E47" s="7"/>
      <c r="F47" s="53"/>
      <c r="G47" s="7"/>
      <c r="H47" s="16">
        <v>1.0</v>
      </c>
      <c r="I47" s="83">
        <v>1.0</v>
      </c>
      <c r="J47" s="16" t="s">
        <v>8119</v>
      </c>
      <c r="K47" s="53"/>
      <c r="L47" s="53"/>
      <c r="M47" s="39" t="str">
        <f t="shared" si="3"/>
        <v>[https://arxiv.org/pdf/cs/0011009.pdf Eppstein (2003)]</v>
      </c>
      <c r="N47" s="321" t="s">
        <v>1849</v>
      </c>
      <c r="O47" s="326">
        <v>2003.0</v>
      </c>
      <c r="P47" s="17" t="s">
        <v>8120</v>
      </c>
      <c r="Q47" s="82"/>
      <c r="R47" s="82"/>
      <c r="S47" s="82"/>
      <c r="T47" s="16"/>
      <c r="U47" s="16"/>
      <c r="V47" s="16"/>
      <c r="W47" s="16" t="s">
        <v>8119</v>
      </c>
      <c r="X47" s="93" t="s">
        <v>2102</v>
      </c>
      <c r="Y47" s="93"/>
      <c r="Z47" s="93"/>
      <c r="AA47" s="93" t="s">
        <v>1813</v>
      </c>
      <c r="AB47" s="93" t="s">
        <v>1814</v>
      </c>
      <c r="AC47" s="93" t="s">
        <v>789</v>
      </c>
      <c r="AD47" s="329" t="s">
        <v>2001</v>
      </c>
      <c r="AE47" s="336" t="s">
        <v>8120</v>
      </c>
      <c r="AF47" s="84"/>
      <c r="AG47" s="87"/>
      <c r="AH47" s="83">
        <v>0.0</v>
      </c>
      <c r="AI47" s="84"/>
      <c r="AJ47" s="83">
        <v>0.0</v>
      </c>
      <c r="AK47" s="90"/>
      <c r="AL47" s="83">
        <v>0.0</v>
      </c>
      <c r="AM47" s="83">
        <v>0.0</v>
      </c>
      <c r="AN47" s="39"/>
      <c r="AO47" s="83">
        <v>0.0</v>
      </c>
      <c r="AP47" s="83">
        <v>0.0</v>
      </c>
      <c r="AQ47" s="39"/>
      <c r="AR47" s="7" t="s">
        <v>8116</v>
      </c>
      <c r="AS47" s="82"/>
      <c r="AT47" s="82"/>
      <c r="AU47" s="7"/>
      <c r="AV47" s="7"/>
      <c r="AW47" s="7"/>
      <c r="AX47" s="82"/>
      <c r="AY47" s="82"/>
      <c r="AZ47" s="82"/>
      <c r="BA47" s="82"/>
      <c r="BB47" s="7"/>
      <c r="BC47" s="82"/>
      <c r="BD47" s="7"/>
      <c r="BE47" s="7" t="s">
        <v>23</v>
      </c>
      <c r="BF47" s="7"/>
      <c r="BG47" s="7"/>
    </row>
    <row r="48">
      <c r="A48" s="16"/>
      <c r="B48" s="16" t="s">
        <v>1269</v>
      </c>
      <c r="C48" s="53">
        <v>1.0</v>
      </c>
      <c r="D48" s="53"/>
      <c r="E48" s="7"/>
      <c r="F48" s="53"/>
      <c r="G48" s="7"/>
      <c r="H48" s="16">
        <v>1.0</v>
      </c>
      <c r="I48" s="83">
        <v>1.0</v>
      </c>
      <c r="J48" s="16" t="s">
        <v>8121</v>
      </c>
      <c r="K48" s="53"/>
      <c r="L48" s="53"/>
      <c r="M48" s="39" t="str">
        <f t="shared" si="3"/>
        <v>[https://www.sciencedirect.com/science/article/pii/S0167637704000409 Byskov (2004)]</v>
      </c>
      <c r="N48" s="321" t="s">
        <v>2852</v>
      </c>
      <c r="O48" s="326">
        <v>2004.0</v>
      </c>
      <c r="P48" s="17" t="s">
        <v>8111</v>
      </c>
      <c r="Q48" s="82"/>
      <c r="R48" s="82"/>
      <c r="S48" s="82"/>
      <c r="T48" s="16"/>
      <c r="U48" s="16"/>
      <c r="V48" s="16"/>
      <c r="W48" s="16" t="s">
        <v>8121</v>
      </c>
      <c r="X48" s="93" t="s">
        <v>2102</v>
      </c>
      <c r="Y48" s="93"/>
      <c r="Z48" s="93"/>
      <c r="AA48" s="93" t="s">
        <v>1813</v>
      </c>
      <c r="AB48" s="93" t="s">
        <v>1814</v>
      </c>
      <c r="AC48" s="93" t="s">
        <v>789</v>
      </c>
      <c r="AD48" s="329" t="s">
        <v>2001</v>
      </c>
      <c r="AE48" s="336" t="s">
        <v>8111</v>
      </c>
      <c r="AF48" s="84"/>
      <c r="AG48" s="87"/>
      <c r="AH48" s="83">
        <v>0.0</v>
      </c>
      <c r="AI48" s="84"/>
      <c r="AJ48" s="83">
        <v>0.0</v>
      </c>
      <c r="AK48" s="90"/>
      <c r="AL48" s="83">
        <v>0.0</v>
      </c>
      <c r="AM48" s="83">
        <v>0.0</v>
      </c>
      <c r="AN48" s="39"/>
      <c r="AO48" s="83">
        <v>0.0</v>
      </c>
      <c r="AP48" s="83">
        <v>0.0</v>
      </c>
      <c r="AQ48" s="39"/>
      <c r="AR48" s="7" t="s">
        <v>8116</v>
      </c>
      <c r="AS48" s="82"/>
      <c r="AT48" s="82"/>
      <c r="AU48" s="7"/>
      <c r="AV48" s="7"/>
      <c r="AW48" s="7"/>
      <c r="AX48" s="82"/>
      <c r="AY48" s="82"/>
      <c r="AZ48" s="82"/>
      <c r="BA48" s="82"/>
      <c r="BB48" s="7"/>
      <c r="BC48" s="82"/>
      <c r="BD48" s="7"/>
      <c r="BE48" s="7" t="s">
        <v>23</v>
      </c>
      <c r="BF48" s="7"/>
      <c r="BG48" s="7"/>
    </row>
    <row r="49">
      <c r="A49" s="16"/>
      <c r="B49" s="16" t="s">
        <v>1269</v>
      </c>
      <c r="C49" s="53">
        <v>1.0</v>
      </c>
      <c r="D49" s="53"/>
      <c r="E49" s="7"/>
      <c r="F49" s="53"/>
      <c r="G49" s="7"/>
      <c r="H49" s="16">
        <v>1.0</v>
      </c>
      <c r="I49" s="83">
        <v>1.0</v>
      </c>
      <c r="J49" s="16" t="s">
        <v>1266</v>
      </c>
      <c r="K49" s="53"/>
      <c r="L49" s="53"/>
      <c r="M49" s="39" t="str">
        <f t="shared" si="3"/>
        <v>[https://ieeexplore.ieee.org/stamp/stamp.jsp?arnumber=4031392 Bjorklund, Husfeldt, Theorem 1 (2006)]</v>
      </c>
      <c r="N49" s="337" t="s">
        <v>8100</v>
      </c>
      <c r="O49" s="326">
        <v>2006.0</v>
      </c>
      <c r="P49" s="17" t="s">
        <v>1267</v>
      </c>
      <c r="Q49" s="82"/>
      <c r="R49" s="82"/>
      <c r="S49" s="82"/>
      <c r="T49" s="16"/>
      <c r="U49" s="16"/>
      <c r="V49" s="16"/>
      <c r="W49" s="16" t="s">
        <v>1266</v>
      </c>
      <c r="X49" s="93" t="s">
        <v>2102</v>
      </c>
      <c r="Y49" s="93"/>
      <c r="Z49" s="93"/>
      <c r="AA49" s="93" t="s">
        <v>1813</v>
      </c>
      <c r="AB49" s="93" t="s">
        <v>1814</v>
      </c>
      <c r="AC49" s="93" t="s">
        <v>1266</v>
      </c>
      <c r="AD49" s="329" t="s">
        <v>2001</v>
      </c>
      <c r="AE49" s="339" t="s">
        <v>1267</v>
      </c>
      <c r="AF49" s="84"/>
      <c r="AG49" s="87"/>
      <c r="AH49" s="83">
        <v>0.0</v>
      </c>
      <c r="AI49" s="84"/>
      <c r="AJ49" s="83">
        <v>0.0</v>
      </c>
      <c r="AK49" s="90"/>
      <c r="AL49" s="83">
        <v>0.0</v>
      </c>
      <c r="AM49" s="83">
        <v>0.0</v>
      </c>
      <c r="AN49" s="39"/>
      <c r="AO49" s="83">
        <v>0.0</v>
      </c>
      <c r="AP49" s="83">
        <v>0.0</v>
      </c>
      <c r="AQ49" s="39"/>
      <c r="AR49" s="7" t="s">
        <v>8116</v>
      </c>
      <c r="AS49" s="82"/>
      <c r="AT49" s="82"/>
      <c r="AU49" s="7"/>
      <c r="AV49" s="7"/>
      <c r="AW49" s="7"/>
      <c r="AX49" s="82"/>
      <c r="AY49" s="82"/>
      <c r="AZ49" s="82"/>
      <c r="BA49" s="82"/>
      <c r="BB49" s="7"/>
      <c r="BC49" s="82"/>
      <c r="BD49" s="7"/>
      <c r="BE49" s="7" t="s">
        <v>23</v>
      </c>
      <c r="BF49" s="7"/>
      <c r="BG49" s="7"/>
    </row>
    <row r="50">
      <c r="A50" s="16"/>
      <c r="B50" s="16" t="s">
        <v>1269</v>
      </c>
      <c r="C50" s="53">
        <v>1.0</v>
      </c>
      <c r="D50" s="53"/>
      <c r="E50" s="7"/>
      <c r="F50" s="53"/>
      <c r="G50" s="7"/>
      <c r="H50" s="16">
        <v>1.0</v>
      </c>
      <c r="I50" s="83">
        <v>1.0</v>
      </c>
      <c r="J50" s="16" t="s">
        <v>8101</v>
      </c>
      <c r="K50" s="53"/>
      <c r="L50" s="53"/>
      <c r="M50" s="39" t="str">
        <f t="shared" si="3"/>
        <v>[https://ieeexplore.ieee.org/stamp/stamp.jsp?arnumber=4031392 Bjorklund, Husfeldt, Proposition 2 (2006)]</v>
      </c>
      <c r="N50" s="107" t="s">
        <v>8102</v>
      </c>
      <c r="O50" s="326">
        <v>2006.0</v>
      </c>
      <c r="P50" s="17" t="s">
        <v>1267</v>
      </c>
      <c r="Q50" s="82"/>
      <c r="R50" s="82"/>
      <c r="S50" s="82"/>
      <c r="T50" s="16"/>
      <c r="U50" s="16"/>
      <c r="V50" s="16"/>
      <c r="W50" s="16" t="s">
        <v>8101</v>
      </c>
      <c r="X50" s="93" t="s">
        <v>2102</v>
      </c>
      <c r="Y50" s="93"/>
      <c r="Z50" s="93"/>
      <c r="AA50" s="93" t="s">
        <v>1813</v>
      </c>
      <c r="AB50" s="93" t="s">
        <v>1814</v>
      </c>
      <c r="AC50" s="93" t="s">
        <v>8103</v>
      </c>
      <c r="AD50" s="329" t="s">
        <v>2517</v>
      </c>
      <c r="AE50" s="339" t="s">
        <v>1267</v>
      </c>
      <c r="AF50" s="84"/>
      <c r="AG50" s="87"/>
      <c r="AH50" s="83">
        <v>0.0</v>
      </c>
      <c r="AI50" s="84"/>
      <c r="AJ50" s="83">
        <v>0.0</v>
      </c>
      <c r="AK50" s="90"/>
      <c r="AL50" s="83">
        <v>0.0</v>
      </c>
      <c r="AM50" s="83">
        <v>0.0</v>
      </c>
      <c r="AN50" s="39"/>
      <c r="AO50" s="83">
        <v>0.0</v>
      </c>
      <c r="AP50" s="83">
        <v>0.0</v>
      </c>
      <c r="AQ50" s="39"/>
      <c r="AR50" s="7" t="s">
        <v>8116</v>
      </c>
      <c r="AS50" s="82"/>
      <c r="AT50" s="82"/>
      <c r="AU50" s="7"/>
      <c r="AV50" s="7"/>
      <c r="AW50" s="7"/>
      <c r="AX50" s="82"/>
      <c r="AY50" s="82"/>
      <c r="AZ50" s="82"/>
      <c r="BA50" s="82"/>
      <c r="BB50" s="7"/>
      <c r="BC50" s="82"/>
      <c r="BD50" s="7"/>
      <c r="BE50" s="7" t="s">
        <v>23</v>
      </c>
      <c r="BF50" s="7"/>
      <c r="BG50" s="7"/>
    </row>
    <row r="51">
      <c r="A51" s="16"/>
      <c r="B51" s="16" t="s">
        <v>1269</v>
      </c>
      <c r="C51" s="53">
        <v>1.0</v>
      </c>
      <c r="D51" s="53"/>
      <c r="E51" s="7"/>
      <c r="F51" s="53"/>
      <c r="G51" s="7"/>
      <c r="H51" s="16">
        <v>1.0</v>
      </c>
      <c r="I51" s="83">
        <v>1.0</v>
      </c>
      <c r="J51" s="16" t="s">
        <v>1266</v>
      </c>
      <c r="K51" s="53"/>
      <c r="L51" s="53"/>
      <c r="M51" s="39" t="str">
        <f t="shared" si="3"/>
        <v>[https://ieeexplore.ieee.org/stamp/stamp.jsp?arnumber=4031393 Koivisto (2006)]</v>
      </c>
      <c r="N51" s="321" t="s">
        <v>8122</v>
      </c>
      <c r="O51" s="326">
        <v>2006.0</v>
      </c>
      <c r="P51" s="17" t="s">
        <v>8123</v>
      </c>
      <c r="Q51" s="82"/>
      <c r="R51" s="82"/>
      <c r="S51" s="82"/>
      <c r="T51" s="16"/>
      <c r="U51" s="16"/>
      <c r="V51" s="16"/>
      <c r="W51" s="16" t="s">
        <v>1266</v>
      </c>
      <c r="X51" s="93" t="s">
        <v>2102</v>
      </c>
      <c r="Y51" s="93"/>
      <c r="Z51" s="93"/>
      <c r="AA51" s="93" t="s">
        <v>1813</v>
      </c>
      <c r="AB51" s="93" t="s">
        <v>1814</v>
      </c>
      <c r="AC51" s="93"/>
      <c r="AD51" s="344"/>
      <c r="AE51" s="345"/>
      <c r="AF51" s="84"/>
      <c r="AG51" s="87"/>
      <c r="AH51" s="83">
        <v>0.0</v>
      </c>
      <c r="AI51" s="84"/>
      <c r="AJ51" s="83">
        <v>0.0</v>
      </c>
      <c r="AK51" s="90"/>
      <c r="AL51" s="83">
        <v>0.0</v>
      </c>
      <c r="AM51" s="83">
        <v>0.0</v>
      </c>
      <c r="AN51" s="39"/>
      <c r="AO51" s="83">
        <v>0.0</v>
      </c>
      <c r="AP51" s="83">
        <v>0.0</v>
      </c>
      <c r="AQ51" s="39"/>
      <c r="AR51" s="7" t="s">
        <v>8116</v>
      </c>
      <c r="AS51" s="82"/>
      <c r="AT51" s="82"/>
      <c r="AU51" s="7"/>
      <c r="AV51" s="7"/>
      <c r="AW51" s="7"/>
      <c r="AX51" s="82"/>
      <c r="AY51" s="82"/>
      <c r="AZ51" s="82"/>
      <c r="BA51" s="82"/>
      <c r="BB51" s="7"/>
      <c r="BC51" s="82"/>
      <c r="BD51" s="7"/>
      <c r="BE51" s="7" t="s">
        <v>23</v>
      </c>
      <c r="BF51" s="7"/>
      <c r="BG51" s="7"/>
    </row>
    <row r="52">
      <c r="A52" s="16"/>
      <c r="B52" s="16" t="s">
        <v>8124</v>
      </c>
      <c r="C52" s="53">
        <v>1.0</v>
      </c>
      <c r="D52" s="53"/>
      <c r="E52" s="7"/>
      <c r="F52" s="53"/>
      <c r="G52" s="7"/>
      <c r="H52" s="16">
        <v>1.0</v>
      </c>
      <c r="I52" s="81">
        <v>1.0</v>
      </c>
      <c r="J52" s="16" t="s">
        <v>148</v>
      </c>
      <c r="K52" s="53" t="s">
        <v>1945</v>
      </c>
      <c r="L52" s="53" t="s">
        <v>1981</v>
      </c>
      <c r="M52" s="39" t="str">
        <f t="shared" si="3"/>
        <v>[ BFS/DFS for connected components (-)]</v>
      </c>
      <c r="N52" s="16" t="s">
        <v>8125</v>
      </c>
      <c r="O52" s="16" t="s">
        <v>1937</v>
      </c>
      <c r="P52" s="346"/>
      <c r="Q52" s="82"/>
      <c r="R52" s="82"/>
      <c r="S52" s="82"/>
      <c r="T52" s="16"/>
      <c r="U52" s="16"/>
      <c r="V52" s="16"/>
      <c r="W52" s="16" t="s">
        <v>148</v>
      </c>
      <c r="X52" s="93" t="s">
        <v>2102</v>
      </c>
      <c r="Y52" s="93"/>
      <c r="Z52" s="93"/>
      <c r="AA52" s="93" t="s">
        <v>1813</v>
      </c>
      <c r="AB52" s="93" t="s">
        <v>1814</v>
      </c>
      <c r="AC52" s="347" t="s">
        <v>2103</v>
      </c>
      <c r="AD52" s="329" t="s">
        <v>1763</v>
      </c>
      <c r="AE52" s="93" t="s">
        <v>1956</v>
      </c>
      <c r="AF52" s="87"/>
      <c r="AG52" s="87"/>
      <c r="AH52" s="81">
        <v>0.0</v>
      </c>
      <c r="AI52" s="87"/>
      <c r="AJ52" s="81">
        <v>0.0</v>
      </c>
      <c r="AK52" s="90"/>
      <c r="AL52" s="81">
        <v>0.0</v>
      </c>
      <c r="AM52" s="81">
        <v>0.0</v>
      </c>
      <c r="AN52" s="39"/>
      <c r="AO52" s="81">
        <v>0.0</v>
      </c>
      <c r="AP52" s="81">
        <v>0.0</v>
      </c>
      <c r="AQ52" s="39"/>
      <c r="AR52" s="7" t="s">
        <v>1294</v>
      </c>
      <c r="AS52" s="82"/>
      <c r="AT52" s="82"/>
      <c r="AU52" s="7"/>
      <c r="AV52" s="7"/>
      <c r="AW52" s="7"/>
      <c r="AX52" s="82"/>
      <c r="AY52" s="82"/>
      <c r="AZ52" s="82"/>
      <c r="BA52" s="82"/>
      <c r="BB52" s="7"/>
      <c r="BC52" s="82"/>
      <c r="BD52" s="7"/>
      <c r="BE52" s="7" t="s">
        <v>23</v>
      </c>
      <c r="BF52" s="7"/>
      <c r="BG52" s="7"/>
    </row>
    <row r="53">
      <c r="A53" s="16"/>
      <c r="B53" s="16" t="s">
        <v>8126</v>
      </c>
      <c r="C53" s="53">
        <v>1.0</v>
      </c>
      <c r="D53" s="53"/>
      <c r="E53" s="7"/>
      <c r="F53" s="53"/>
      <c r="G53" s="7"/>
      <c r="H53" s="16">
        <v>1.0</v>
      </c>
      <c r="I53" s="81">
        <v>1.0</v>
      </c>
      <c r="J53" s="16" t="s">
        <v>8127</v>
      </c>
      <c r="K53" s="53"/>
      <c r="L53" s="53"/>
      <c r="M53" s="39" t="str">
        <f t="shared" si="3"/>
        <v>[https://link.springer.com/chapter/10.1007/978-3-540-45193-8_6 Angelsmark, Jonsson (2003)]</v>
      </c>
      <c r="N53" s="16" t="s">
        <v>8128</v>
      </c>
      <c r="O53" s="16">
        <v>2003.0</v>
      </c>
      <c r="P53" s="25" t="s">
        <v>8129</v>
      </c>
      <c r="Q53" s="82"/>
      <c r="R53" s="82"/>
      <c r="S53" s="82"/>
      <c r="T53" s="16"/>
      <c r="U53" s="16"/>
      <c r="V53" s="16"/>
      <c r="W53" s="16" t="s">
        <v>8127</v>
      </c>
      <c r="X53" s="93" t="s">
        <v>2102</v>
      </c>
      <c r="Y53" s="93"/>
      <c r="Z53" s="93"/>
      <c r="AA53" s="93" t="s">
        <v>1813</v>
      </c>
      <c r="AB53" s="93" t="s">
        <v>1814</v>
      </c>
      <c r="AC53" s="93"/>
      <c r="AD53" s="329"/>
      <c r="AE53" s="93"/>
      <c r="AF53" s="87"/>
      <c r="AG53" s="87"/>
      <c r="AH53" s="81">
        <v>0.0</v>
      </c>
      <c r="AI53" s="87"/>
      <c r="AJ53" s="81">
        <v>0.0</v>
      </c>
      <c r="AK53" s="90"/>
      <c r="AL53" s="81">
        <v>0.0</v>
      </c>
      <c r="AM53" s="81">
        <v>0.0</v>
      </c>
      <c r="AN53" s="39"/>
      <c r="AO53" s="81">
        <v>0.0</v>
      </c>
      <c r="AP53" s="81">
        <v>0.0</v>
      </c>
      <c r="AQ53" s="39"/>
      <c r="AR53" s="7" t="s">
        <v>1296</v>
      </c>
      <c r="AS53" s="82"/>
      <c r="AT53" s="82"/>
      <c r="AU53" s="7"/>
      <c r="AV53" s="7"/>
      <c r="AW53" s="7"/>
      <c r="AX53" s="82"/>
      <c r="AY53" s="82"/>
      <c r="AZ53" s="82"/>
      <c r="BA53" s="82"/>
      <c r="BB53" s="7"/>
      <c r="BC53" s="82"/>
      <c r="BD53" s="7"/>
      <c r="BE53" s="7" t="s">
        <v>23</v>
      </c>
      <c r="BF53" s="7"/>
      <c r="BG53" s="7"/>
    </row>
    <row r="54">
      <c r="A54" s="16"/>
      <c r="B54" s="16" t="s">
        <v>8126</v>
      </c>
      <c r="C54" s="53">
        <v>1.0</v>
      </c>
      <c r="D54" s="53"/>
      <c r="E54" s="7"/>
      <c r="F54" s="53"/>
      <c r="G54" s="7"/>
      <c r="H54" s="16">
        <v>1.0</v>
      </c>
      <c r="I54" s="81">
        <v>1.0</v>
      </c>
      <c r="J54" s="16" t="s">
        <v>8130</v>
      </c>
      <c r="K54" s="53"/>
      <c r="L54" s="53"/>
      <c r="M54" s="39" t="str">
        <f t="shared" si="3"/>
        <v>[https://citeseerx.ist.psu.edu/viewdoc/download?doi=10.1.1.634.4498&amp;rep=rep1&amp;type=pdf Fürer, Kasiviswanathan (2005)]</v>
      </c>
      <c r="N54" s="16" t="s">
        <v>8131</v>
      </c>
      <c r="O54" s="16">
        <v>2005.0</v>
      </c>
      <c r="P54" s="25" t="s">
        <v>8132</v>
      </c>
      <c r="Q54" s="82"/>
      <c r="R54" s="82"/>
      <c r="S54" s="82"/>
      <c r="T54" s="16"/>
      <c r="U54" s="16"/>
      <c r="V54" s="16"/>
      <c r="W54" s="16" t="s">
        <v>8130</v>
      </c>
      <c r="X54" s="93" t="s">
        <v>2102</v>
      </c>
      <c r="Y54" s="93"/>
      <c r="Z54" s="93"/>
      <c r="AA54" s="93" t="s">
        <v>1813</v>
      </c>
      <c r="AB54" s="93" t="s">
        <v>1814</v>
      </c>
      <c r="AC54" s="93"/>
      <c r="AD54" s="329"/>
      <c r="AE54" s="93"/>
      <c r="AF54" s="87"/>
      <c r="AG54" s="87"/>
      <c r="AH54" s="81">
        <v>0.0</v>
      </c>
      <c r="AI54" s="87"/>
      <c r="AJ54" s="81">
        <v>0.0</v>
      </c>
      <c r="AK54" s="90"/>
      <c r="AL54" s="81">
        <v>0.0</v>
      </c>
      <c r="AM54" s="81">
        <v>0.0</v>
      </c>
      <c r="AN54" s="39"/>
      <c r="AO54" s="81">
        <v>0.0</v>
      </c>
      <c r="AP54" s="81">
        <v>0.0</v>
      </c>
      <c r="AQ54" s="39"/>
      <c r="AR54" s="7" t="s">
        <v>1296</v>
      </c>
      <c r="AS54" s="82"/>
      <c r="AT54" s="82"/>
      <c r="AU54" s="7"/>
      <c r="AV54" s="7"/>
      <c r="AW54" s="7"/>
      <c r="AX54" s="82"/>
      <c r="AY54" s="82"/>
      <c r="AZ54" s="82"/>
      <c r="BA54" s="82"/>
      <c r="BB54" s="7"/>
      <c r="BC54" s="82"/>
      <c r="BD54" s="7"/>
      <c r="BE54" s="7" t="s">
        <v>23</v>
      </c>
      <c r="BF54" s="7"/>
      <c r="BG54" s="7"/>
    </row>
    <row r="55">
      <c r="A55" s="16"/>
      <c r="B55" s="16" t="s">
        <v>8126</v>
      </c>
      <c r="C55" s="53">
        <v>1.0</v>
      </c>
      <c r="D55" s="53"/>
      <c r="E55" s="7"/>
      <c r="F55" s="53"/>
      <c r="G55" s="7"/>
      <c r="H55" s="16">
        <v>1.0</v>
      </c>
      <c r="I55" s="81">
        <v>1.0</v>
      </c>
      <c r="J55" s="16" t="s">
        <v>1297</v>
      </c>
      <c r="K55" s="53"/>
      <c r="L55" s="53"/>
      <c r="M55" s="39" t="str">
        <f t="shared" si="3"/>
        <v>[https://link.springer.com/chapter/10.1007/978-3-540-73545-8_9 Fomin; Gaspers &amp; Saurabh (2007)]</v>
      </c>
      <c r="N55" s="16" t="s">
        <v>2632</v>
      </c>
      <c r="O55" s="81">
        <v>2007.0</v>
      </c>
      <c r="P55" s="17" t="s">
        <v>1283</v>
      </c>
      <c r="Q55" s="82"/>
      <c r="R55" s="82"/>
      <c r="S55" s="82"/>
      <c r="T55" s="16"/>
      <c r="U55" s="16"/>
      <c r="V55" s="16"/>
      <c r="W55" s="16" t="s">
        <v>1297</v>
      </c>
      <c r="X55" s="93" t="s">
        <v>2102</v>
      </c>
      <c r="Y55" s="93"/>
      <c r="Z55" s="93"/>
      <c r="AA55" s="93" t="s">
        <v>1813</v>
      </c>
      <c r="AB55" s="93" t="s">
        <v>1814</v>
      </c>
      <c r="AC55" s="93"/>
      <c r="AD55" s="329"/>
      <c r="AE55" s="93"/>
      <c r="AF55" s="87"/>
      <c r="AG55" s="87"/>
      <c r="AH55" s="81">
        <v>0.0</v>
      </c>
      <c r="AI55" s="87"/>
      <c r="AJ55" s="81">
        <v>0.0</v>
      </c>
      <c r="AK55" s="90"/>
      <c r="AL55" s="81">
        <v>0.0</v>
      </c>
      <c r="AM55" s="81">
        <v>0.0</v>
      </c>
      <c r="AN55" s="39"/>
      <c r="AO55" s="81">
        <v>0.0</v>
      </c>
      <c r="AP55" s="81">
        <v>0.0</v>
      </c>
      <c r="AQ55" s="39"/>
      <c r="AR55" s="7" t="s">
        <v>1296</v>
      </c>
      <c r="AS55" s="82"/>
      <c r="AT55" s="82"/>
      <c r="AU55" s="7"/>
      <c r="AV55" s="7"/>
      <c r="AW55" s="7"/>
      <c r="AX55" s="82"/>
      <c r="AY55" s="82"/>
      <c r="AZ55" s="82"/>
      <c r="BA55" s="82"/>
      <c r="BB55" s="7"/>
      <c r="BC55" s="82"/>
      <c r="BD55" s="7"/>
      <c r="BE55" s="7" t="s">
        <v>23</v>
      </c>
      <c r="BF55" s="7"/>
      <c r="BG55" s="7"/>
    </row>
    <row r="56">
      <c r="A56" s="16"/>
      <c r="B56" s="16" t="s">
        <v>8133</v>
      </c>
      <c r="C56" s="53">
        <v>1.0</v>
      </c>
      <c r="D56" s="53"/>
      <c r="E56" s="7"/>
      <c r="F56" s="53"/>
      <c r="G56" s="7"/>
      <c r="H56" s="16">
        <v>1.0</v>
      </c>
      <c r="I56" s="81">
        <v>1.0</v>
      </c>
      <c r="J56" s="16" t="s">
        <v>1300</v>
      </c>
      <c r="K56" s="53"/>
      <c r="L56" s="53"/>
      <c r="M56" s="39" t="str">
        <f t="shared" si="3"/>
        <v>[https://link.springer.com/chapter/10.1007/978-3-540-73545-8_9 Fomin; Gaspers &amp; Saurabh (2007)]</v>
      </c>
      <c r="N56" s="16" t="s">
        <v>2632</v>
      </c>
      <c r="O56" s="81">
        <v>2007.0</v>
      </c>
      <c r="P56" s="17" t="s">
        <v>1283</v>
      </c>
      <c r="Q56" s="82"/>
      <c r="R56" s="82"/>
      <c r="S56" s="82"/>
      <c r="T56" s="16"/>
      <c r="U56" s="16"/>
      <c r="V56" s="16"/>
      <c r="W56" s="16" t="s">
        <v>1300</v>
      </c>
      <c r="X56" s="93" t="s">
        <v>2102</v>
      </c>
      <c r="Y56" s="93"/>
      <c r="Z56" s="93"/>
      <c r="AA56" s="93" t="s">
        <v>1813</v>
      </c>
      <c r="AB56" s="93" t="s">
        <v>1814</v>
      </c>
      <c r="AC56" s="93"/>
      <c r="AD56" s="329"/>
      <c r="AE56" s="93"/>
      <c r="AF56" s="87"/>
      <c r="AG56" s="87"/>
      <c r="AH56" s="81">
        <v>0.0</v>
      </c>
      <c r="AI56" s="87"/>
      <c r="AJ56" s="81">
        <v>0.0</v>
      </c>
      <c r="AK56" s="90"/>
      <c r="AL56" s="81">
        <v>0.0</v>
      </c>
      <c r="AM56" s="81">
        <v>0.0</v>
      </c>
      <c r="AN56" s="39"/>
      <c r="AO56" s="81">
        <v>0.0</v>
      </c>
      <c r="AP56" s="81">
        <v>0.0</v>
      </c>
      <c r="AQ56" s="39"/>
      <c r="AR56" s="7" t="s">
        <v>1299</v>
      </c>
      <c r="AS56" s="82"/>
      <c r="AT56" s="82"/>
      <c r="AU56" s="7"/>
      <c r="AV56" s="7"/>
      <c r="AW56" s="7"/>
      <c r="AX56" s="82"/>
      <c r="AY56" s="82"/>
      <c r="AZ56" s="82"/>
      <c r="BA56" s="82"/>
      <c r="BB56" s="7"/>
      <c r="BC56" s="82"/>
      <c r="BD56" s="7"/>
      <c r="BE56" s="7" t="s">
        <v>23</v>
      </c>
      <c r="BF56" s="7"/>
      <c r="BG56" s="7"/>
    </row>
    <row r="57">
      <c r="A57" s="16"/>
      <c r="B57" s="16" t="s">
        <v>1289</v>
      </c>
      <c r="C57" s="53">
        <v>1.0</v>
      </c>
      <c r="D57" s="53"/>
      <c r="E57" s="7"/>
      <c r="F57" s="53"/>
      <c r="G57" s="7"/>
      <c r="H57" s="16">
        <v>1.0</v>
      </c>
      <c r="I57" s="83">
        <v>1.0</v>
      </c>
      <c r="J57" s="16" t="s">
        <v>8134</v>
      </c>
      <c r="K57" s="53"/>
      <c r="L57" s="53"/>
      <c r="M57" s="39" t="str">
        <f t="shared" si="3"/>
        <v>[ Zykov (deletion-contraction) (1949)]</v>
      </c>
      <c r="N57" s="321" t="s">
        <v>8135</v>
      </c>
      <c r="O57" s="326">
        <v>1949.0</v>
      </c>
      <c r="P57" s="17"/>
      <c r="Q57" s="82"/>
      <c r="R57" s="82"/>
      <c r="S57" s="82"/>
      <c r="T57" s="16"/>
      <c r="U57" s="16"/>
      <c r="V57" s="16"/>
      <c r="W57" s="16" t="s">
        <v>8134</v>
      </c>
      <c r="X57" s="93" t="s">
        <v>2102</v>
      </c>
      <c r="Y57" s="93"/>
      <c r="Z57" s="93"/>
      <c r="AA57" s="93" t="s">
        <v>1813</v>
      </c>
      <c r="AB57" s="93" t="s">
        <v>1814</v>
      </c>
      <c r="AC57" s="93"/>
      <c r="AD57" s="338"/>
      <c r="AE57" s="339"/>
      <c r="AF57" s="84"/>
      <c r="AG57" s="87"/>
      <c r="AH57" s="83">
        <v>0.0</v>
      </c>
      <c r="AI57" s="84"/>
      <c r="AJ57" s="83">
        <v>0.0</v>
      </c>
      <c r="AK57" s="90"/>
      <c r="AL57" s="83">
        <v>0.0</v>
      </c>
      <c r="AM57" s="83">
        <v>0.0</v>
      </c>
      <c r="AN57" s="39"/>
      <c r="AO57" s="83">
        <v>0.0</v>
      </c>
      <c r="AP57" s="83">
        <v>0.0</v>
      </c>
      <c r="AQ57" s="39"/>
      <c r="AR57" s="7" t="s">
        <v>8136</v>
      </c>
      <c r="AS57" s="82"/>
      <c r="AT57" s="82"/>
      <c r="AU57" s="7"/>
      <c r="AV57" s="7"/>
      <c r="AW57" s="7"/>
      <c r="AX57" s="82"/>
      <c r="AY57" s="82"/>
      <c r="AZ57" s="82"/>
      <c r="BA57" s="82"/>
      <c r="BB57" s="7"/>
      <c r="BC57" s="82"/>
      <c r="BD57" s="7"/>
      <c r="BE57" s="7" t="s">
        <v>23</v>
      </c>
      <c r="BF57" s="7"/>
      <c r="BG57" s="7"/>
    </row>
    <row r="58">
      <c r="A58" s="16"/>
      <c r="B58" s="16" t="s">
        <v>1289</v>
      </c>
      <c r="C58" s="53">
        <v>1.0</v>
      </c>
      <c r="D58" s="53"/>
      <c r="E58" s="7"/>
      <c r="F58" s="53"/>
      <c r="G58" s="7"/>
      <c r="H58" s="16">
        <v>1.0</v>
      </c>
      <c r="I58" s="83">
        <v>1.0</v>
      </c>
      <c r="J58" s="16" t="s">
        <v>1266</v>
      </c>
      <c r="K58" s="53"/>
      <c r="L58" s="53"/>
      <c r="M58" s="39" t="str">
        <f t="shared" si="3"/>
        <v>[https://ieeexplore.ieee.org/stamp/stamp.jsp?arnumber=4031392 Bjorklund, Husfeldt, Proposition 3 (2006)]</v>
      </c>
      <c r="N58" s="337" t="s">
        <v>8137</v>
      </c>
      <c r="O58" s="326">
        <v>2006.0</v>
      </c>
      <c r="P58" s="17" t="s">
        <v>1267</v>
      </c>
      <c r="Q58" s="82"/>
      <c r="R58" s="82"/>
      <c r="S58" s="82"/>
      <c r="T58" s="16"/>
      <c r="U58" s="16"/>
      <c r="V58" s="16"/>
      <c r="W58" s="16" t="s">
        <v>1266</v>
      </c>
      <c r="X58" s="93" t="s">
        <v>2102</v>
      </c>
      <c r="Y58" s="93"/>
      <c r="Z58" s="93"/>
      <c r="AA58" s="93" t="s">
        <v>1813</v>
      </c>
      <c r="AB58" s="93" t="s">
        <v>1814</v>
      </c>
      <c r="AC58" s="93" t="s">
        <v>8138</v>
      </c>
      <c r="AD58" s="338" t="s">
        <v>2001</v>
      </c>
      <c r="AE58" s="339" t="s">
        <v>1267</v>
      </c>
      <c r="AF58" s="84"/>
      <c r="AG58" s="87"/>
      <c r="AH58" s="83">
        <v>0.0</v>
      </c>
      <c r="AI58" s="84"/>
      <c r="AJ58" s="83">
        <v>0.0</v>
      </c>
      <c r="AK58" s="90"/>
      <c r="AL58" s="83">
        <v>0.0</v>
      </c>
      <c r="AM58" s="83">
        <v>0.0</v>
      </c>
      <c r="AN58" s="39"/>
      <c r="AO58" s="83">
        <v>0.0</v>
      </c>
      <c r="AP58" s="83">
        <v>0.0</v>
      </c>
      <c r="AQ58" s="25" t="s">
        <v>8139</v>
      </c>
      <c r="AR58" s="7" t="s">
        <v>8136</v>
      </c>
      <c r="AS58" s="82"/>
      <c r="AT58" s="82"/>
      <c r="AU58" s="7"/>
      <c r="AV58" s="7"/>
      <c r="AW58" s="7"/>
      <c r="AX58" s="82"/>
      <c r="AY58" s="82"/>
      <c r="AZ58" s="82"/>
      <c r="BA58" s="82"/>
      <c r="BB58" s="7"/>
      <c r="BC58" s="82"/>
      <c r="BD58" s="7"/>
      <c r="BE58" s="7" t="s">
        <v>23</v>
      </c>
      <c r="BF58" s="7"/>
      <c r="BG58" s="7"/>
    </row>
    <row r="59">
      <c r="A59" s="16"/>
      <c r="B59" s="16" t="s">
        <v>1289</v>
      </c>
      <c r="C59" s="53">
        <v>1.0</v>
      </c>
      <c r="D59" s="53"/>
      <c r="E59" s="7"/>
      <c r="F59" s="53"/>
      <c r="G59" s="7"/>
      <c r="H59" s="16">
        <v>1.0</v>
      </c>
      <c r="I59" s="83">
        <v>1.0</v>
      </c>
      <c r="J59" s="16" t="s">
        <v>1266</v>
      </c>
      <c r="K59" s="53"/>
      <c r="L59" s="53"/>
      <c r="M59" s="39" t="str">
        <f t="shared" si="3"/>
        <v>[https://ieeexplore.ieee.org/stamp/stamp.jsp?arnumber=4031393 Koivisto (2006)]</v>
      </c>
      <c r="N59" s="321" t="s">
        <v>8122</v>
      </c>
      <c r="O59" s="326">
        <v>2006.0</v>
      </c>
      <c r="P59" s="17" t="s">
        <v>8123</v>
      </c>
      <c r="Q59" s="82"/>
      <c r="R59" s="82"/>
      <c r="S59" s="82"/>
      <c r="T59" s="16"/>
      <c r="U59" s="16"/>
      <c r="V59" s="16"/>
      <c r="W59" s="16" t="s">
        <v>1266</v>
      </c>
      <c r="X59" s="93" t="s">
        <v>2102</v>
      </c>
      <c r="Y59" s="93"/>
      <c r="Z59" s="93"/>
      <c r="AA59" s="93" t="s">
        <v>1813</v>
      </c>
      <c r="AB59" s="93" t="s">
        <v>1814</v>
      </c>
      <c r="AC59" s="93"/>
      <c r="AD59" s="344"/>
      <c r="AE59" s="345"/>
      <c r="AF59" s="84"/>
      <c r="AG59" s="87"/>
      <c r="AH59" s="83">
        <v>0.0</v>
      </c>
      <c r="AI59" s="84"/>
      <c r="AJ59" s="83">
        <v>0.0</v>
      </c>
      <c r="AK59" s="90"/>
      <c r="AL59" s="83">
        <v>0.0</v>
      </c>
      <c r="AM59" s="83">
        <v>0.0</v>
      </c>
      <c r="AN59" s="39"/>
      <c r="AO59" s="83">
        <v>0.0</v>
      </c>
      <c r="AP59" s="83">
        <v>0.0</v>
      </c>
      <c r="AQ59" s="39"/>
      <c r="AR59" s="7" t="s">
        <v>8136</v>
      </c>
      <c r="AS59" s="82"/>
      <c r="AT59" s="82"/>
      <c r="AU59" s="7"/>
      <c r="AV59" s="7"/>
      <c r="AW59" s="7"/>
      <c r="AX59" s="82"/>
      <c r="AY59" s="82"/>
      <c r="AZ59" s="82"/>
      <c r="BA59" s="82"/>
      <c r="BB59" s="7"/>
      <c r="BC59" s="82"/>
      <c r="BD59" s="7"/>
      <c r="BE59" s="7" t="s">
        <v>23</v>
      </c>
      <c r="BF59" s="7"/>
      <c r="BG59" s="7"/>
    </row>
    <row r="60">
      <c r="A60" s="16">
        <v>9.0</v>
      </c>
      <c r="B60" s="16" t="s">
        <v>8140</v>
      </c>
      <c r="C60" s="53">
        <v>2.0</v>
      </c>
      <c r="D60" s="53" t="s">
        <v>8141</v>
      </c>
      <c r="E60" s="7"/>
      <c r="F60" s="53"/>
      <c r="G60" s="7"/>
      <c r="H60" s="16">
        <v>1.0</v>
      </c>
      <c r="I60" s="81">
        <v>1.0</v>
      </c>
      <c r="J60" s="39" t="s">
        <v>8142</v>
      </c>
      <c r="K60" s="53" t="s">
        <v>2109</v>
      </c>
      <c r="L60" s="53" t="s">
        <v>2110</v>
      </c>
      <c r="M60" s="39" t="str">
        <f t="shared" si="3"/>
        <v>[ LU decomposition ()]</v>
      </c>
      <c r="N60" s="16" t="s">
        <v>8143</v>
      </c>
      <c r="O60" s="81"/>
      <c r="P60" s="39"/>
      <c r="Q60" s="82"/>
      <c r="R60" s="82"/>
      <c r="S60" s="82"/>
      <c r="T60" s="81"/>
      <c r="U60" s="81"/>
      <c r="V60" s="39"/>
      <c r="W60" s="39" t="s">
        <v>8142</v>
      </c>
      <c r="X60" s="93" t="s">
        <v>2113</v>
      </c>
      <c r="Y60" s="93"/>
      <c r="Z60" s="93"/>
      <c r="AA60" s="93" t="s">
        <v>1813</v>
      </c>
      <c r="AB60" s="93" t="s">
        <v>1814</v>
      </c>
      <c r="AC60" s="93" t="s">
        <v>115</v>
      </c>
      <c r="AD60" s="329" t="s">
        <v>1938</v>
      </c>
      <c r="AE60" s="93" t="s">
        <v>1993</v>
      </c>
      <c r="AF60" s="87"/>
      <c r="AG60" s="87"/>
      <c r="AH60" s="81">
        <v>0.0</v>
      </c>
      <c r="AI60" s="87"/>
      <c r="AJ60" s="81">
        <v>0.0</v>
      </c>
      <c r="AK60" s="90"/>
      <c r="AL60" s="81">
        <v>0.0</v>
      </c>
      <c r="AM60" s="81">
        <v>0.0</v>
      </c>
      <c r="AN60" s="39"/>
      <c r="AO60" s="81">
        <v>0.0</v>
      </c>
      <c r="AP60" s="81">
        <v>0.0</v>
      </c>
      <c r="AQ60" s="39"/>
      <c r="AR60" s="7" t="s">
        <v>2114</v>
      </c>
      <c r="AS60" s="82"/>
      <c r="AT60" s="82"/>
      <c r="AU60" s="7"/>
      <c r="AV60" s="7"/>
      <c r="AW60" s="82"/>
      <c r="AX60" s="82"/>
      <c r="AY60" s="82"/>
      <c r="AZ60" s="82"/>
      <c r="BA60" s="82"/>
      <c r="BB60" s="7"/>
      <c r="BC60" s="82"/>
      <c r="BD60" s="7"/>
      <c r="BE60" s="7" t="s">
        <v>144</v>
      </c>
      <c r="BF60" s="7"/>
      <c r="BG60" s="7"/>
    </row>
    <row r="61">
      <c r="A61" s="16">
        <v>9.0</v>
      </c>
      <c r="B61" s="16" t="s">
        <v>8140</v>
      </c>
      <c r="C61" s="53">
        <v>2.0</v>
      </c>
      <c r="D61" s="53" t="s">
        <v>8141</v>
      </c>
      <c r="E61" s="7"/>
      <c r="F61" s="53"/>
      <c r="G61" s="7"/>
      <c r="H61" s="16">
        <v>1.0</v>
      </c>
      <c r="I61" s="81">
        <v>1.0</v>
      </c>
      <c r="J61" s="16" t="s">
        <v>8144</v>
      </c>
      <c r="K61" s="53" t="s">
        <v>8145</v>
      </c>
      <c r="L61" s="53" t="s">
        <v>8145</v>
      </c>
      <c r="M61" s="39" t="str">
        <f t="shared" si="3"/>
        <v>[ Matrix inverse ()]</v>
      </c>
      <c r="N61" s="16" t="s">
        <v>8146</v>
      </c>
      <c r="O61" s="81"/>
      <c r="P61" s="39"/>
      <c r="Q61" s="82"/>
      <c r="R61" s="82"/>
      <c r="S61" s="82"/>
      <c r="T61" s="81"/>
      <c r="U61" s="81"/>
      <c r="V61" s="16"/>
      <c r="W61" s="16" t="s">
        <v>8144</v>
      </c>
      <c r="X61" s="93" t="s">
        <v>2113</v>
      </c>
      <c r="Y61" s="93"/>
      <c r="Z61" s="93"/>
      <c r="AA61" s="93" t="s">
        <v>1813</v>
      </c>
      <c r="AB61" s="93" t="s">
        <v>1814</v>
      </c>
      <c r="AC61" s="93" t="s">
        <v>115</v>
      </c>
      <c r="AD61" s="329" t="s">
        <v>1938</v>
      </c>
      <c r="AE61" s="93" t="s">
        <v>8147</v>
      </c>
      <c r="AF61" s="87"/>
      <c r="AG61" s="87"/>
      <c r="AH61" s="81">
        <v>0.0</v>
      </c>
      <c r="AI61" s="87"/>
      <c r="AJ61" s="81">
        <v>0.0</v>
      </c>
      <c r="AK61" s="90"/>
      <c r="AL61" s="81">
        <v>0.0</v>
      </c>
      <c r="AM61" s="81">
        <v>0.0</v>
      </c>
      <c r="AN61" s="39"/>
      <c r="AO61" s="81">
        <v>0.0</v>
      </c>
      <c r="AP61" s="81">
        <v>0.0</v>
      </c>
      <c r="AQ61" s="39"/>
      <c r="AR61" s="7" t="s">
        <v>2114</v>
      </c>
      <c r="AS61" s="82"/>
      <c r="AT61" s="82"/>
      <c r="AU61" s="7"/>
      <c r="AV61" s="7"/>
      <c r="AW61" s="82"/>
      <c r="AX61" s="82"/>
      <c r="AY61" s="82"/>
      <c r="AZ61" s="82"/>
      <c r="BA61" s="82"/>
      <c r="BB61" s="7"/>
      <c r="BC61" s="82"/>
      <c r="BD61" s="7"/>
      <c r="BE61" s="7" t="s">
        <v>144</v>
      </c>
      <c r="BF61" s="7"/>
      <c r="BG61" s="7"/>
    </row>
    <row r="62">
      <c r="A62" s="16">
        <v>9.0</v>
      </c>
      <c r="B62" s="16" t="s">
        <v>8140</v>
      </c>
      <c r="C62" s="53">
        <v>1.0</v>
      </c>
      <c r="D62" s="53" t="s">
        <v>8148</v>
      </c>
      <c r="E62" s="7"/>
      <c r="F62" s="53"/>
      <c r="G62" s="7"/>
      <c r="H62" s="16">
        <v>1.0</v>
      </c>
      <c r="I62" s="81">
        <v>1.0</v>
      </c>
      <c r="J62" s="16" t="s">
        <v>8149</v>
      </c>
      <c r="K62" s="53"/>
      <c r="L62" s="53"/>
      <c r="M62" s="39" t="str">
        <f t="shared" si="3"/>
        <v>[https://epubs.siam.org/doi/10.1137/040617200 Asymptotically fast Toeplitz algorithms (2008?)]</v>
      </c>
      <c r="N62" s="16" t="s">
        <v>8150</v>
      </c>
      <c r="O62" s="83" t="s">
        <v>8151</v>
      </c>
      <c r="P62" s="25" t="s">
        <v>8152</v>
      </c>
      <c r="Q62" s="82"/>
      <c r="R62" s="82"/>
      <c r="S62" s="82"/>
      <c r="T62" s="81"/>
      <c r="U62" s="81"/>
      <c r="V62" s="16"/>
      <c r="W62" s="16" t="s">
        <v>8149</v>
      </c>
      <c r="X62" s="93" t="s">
        <v>2113</v>
      </c>
      <c r="Y62" s="93"/>
      <c r="Z62" s="93"/>
      <c r="AA62" s="93" t="s">
        <v>1813</v>
      </c>
      <c r="AB62" s="93" t="s">
        <v>1814</v>
      </c>
      <c r="AC62" s="93" t="s">
        <v>8153</v>
      </c>
      <c r="AD62" s="329" t="s">
        <v>1791</v>
      </c>
      <c r="AE62" s="93" t="s">
        <v>8154</v>
      </c>
      <c r="AF62" s="84"/>
      <c r="AG62" s="87"/>
      <c r="AH62" s="83">
        <v>0.0</v>
      </c>
      <c r="AI62" s="87"/>
      <c r="AJ62" s="83">
        <v>0.0</v>
      </c>
      <c r="AK62" s="90"/>
      <c r="AL62" s="83">
        <v>0.0</v>
      </c>
      <c r="AM62" s="83">
        <v>0.0</v>
      </c>
      <c r="AN62" s="39"/>
      <c r="AO62" s="83">
        <v>0.0</v>
      </c>
      <c r="AP62" s="83">
        <v>0.0</v>
      </c>
      <c r="AQ62" s="39"/>
      <c r="AR62" s="7" t="s">
        <v>2114</v>
      </c>
      <c r="AS62" s="82"/>
      <c r="AT62" s="82"/>
      <c r="AU62" s="7"/>
      <c r="AV62" s="7"/>
      <c r="AW62" s="82"/>
      <c r="AX62" s="82"/>
      <c r="AY62" s="82"/>
      <c r="AZ62" s="82"/>
      <c r="BA62" s="82"/>
      <c r="BB62" s="7"/>
      <c r="BC62" s="82"/>
      <c r="BD62" s="7"/>
      <c r="BE62" s="7" t="s">
        <v>144</v>
      </c>
      <c r="BF62" s="7"/>
      <c r="BG62" s="7"/>
    </row>
    <row r="63">
      <c r="A63" s="16">
        <v>9.0</v>
      </c>
      <c r="B63" s="16" t="s">
        <v>8140</v>
      </c>
      <c r="C63" s="53">
        <v>1.0</v>
      </c>
      <c r="D63" s="53" t="s">
        <v>8155</v>
      </c>
      <c r="E63" s="7"/>
      <c r="F63" s="53"/>
      <c r="G63" s="7"/>
      <c r="H63" s="16">
        <v>1.0</v>
      </c>
      <c r="I63" s="81">
        <v>1.0</v>
      </c>
      <c r="J63" s="16" t="s">
        <v>8156</v>
      </c>
      <c r="K63" s="53"/>
      <c r="L63" s="53"/>
      <c r="M63" s="39" t="str">
        <f t="shared" si="3"/>
        <v>[https://arxiv.org/abs/2007.10254 Peng, Vempala (2020)]</v>
      </c>
      <c r="N63" s="16" t="s">
        <v>8157</v>
      </c>
      <c r="O63" s="83">
        <v>2020.0</v>
      </c>
      <c r="P63" s="25" t="s">
        <v>150</v>
      </c>
      <c r="Q63" s="82"/>
      <c r="R63" s="82"/>
      <c r="S63" s="82"/>
      <c r="T63" s="81"/>
      <c r="U63" s="81"/>
      <c r="V63" s="16"/>
      <c r="W63" s="16" t="s">
        <v>8158</v>
      </c>
      <c r="X63" s="93" t="s">
        <v>8159</v>
      </c>
      <c r="Y63" s="93"/>
      <c r="Z63" s="93"/>
      <c r="AA63" s="93" t="s">
        <v>1813</v>
      </c>
      <c r="AB63" s="93" t="s">
        <v>1814</v>
      </c>
      <c r="AC63" s="93"/>
      <c r="AD63" s="329"/>
      <c r="AE63" s="93"/>
      <c r="AF63" s="84"/>
      <c r="AG63" s="87"/>
      <c r="AH63" s="83">
        <v>1.0</v>
      </c>
      <c r="AI63" s="87"/>
      <c r="AJ63" s="83">
        <v>1.0</v>
      </c>
      <c r="AK63" s="90"/>
      <c r="AL63" s="81">
        <v>0.0</v>
      </c>
      <c r="AM63" s="81">
        <v>0.0</v>
      </c>
      <c r="AN63" s="39"/>
      <c r="AO63" s="81">
        <v>0.0</v>
      </c>
      <c r="AP63" s="81">
        <v>0.0</v>
      </c>
      <c r="AQ63" s="39"/>
      <c r="AR63" s="7" t="s">
        <v>2114</v>
      </c>
      <c r="AS63" s="82"/>
      <c r="AT63" s="82"/>
      <c r="AU63" s="7"/>
      <c r="AV63" s="7"/>
      <c r="AW63" s="82"/>
      <c r="AX63" s="82"/>
      <c r="AY63" s="82"/>
      <c r="AZ63" s="82"/>
      <c r="BA63" s="82"/>
      <c r="BB63" s="7"/>
      <c r="BC63" s="82"/>
      <c r="BD63" s="7"/>
      <c r="BE63" s="7" t="s">
        <v>144</v>
      </c>
      <c r="BF63" s="7"/>
      <c r="BG63" s="7"/>
    </row>
    <row r="64">
      <c r="A64" s="16">
        <v>10.0</v>
      </c>
      <c r="B64" s="16" t="s">
        <v>166</v>
      </c>
      <c r="C64" s="53">
        <v>1.0</v>
      </c>
      <c r="D64" s="53"/>
      <c r="E64" s="7"/>
      <c r="F64" s="53"/>
      <c r="G64" s="7"/>
      <c r="H64" s="16">
        <v>1.0</v>
      </c>
      <c r="I64" s="81">
        <v>1.0</v>
      </c>
      <c r="J64" s="16" t="s">
        <v>8160</v>
      </c>
      <c r="K64" s="53"/>
      <c r="L64" s="53"/>
      <c r="M64" s="39" t="str">
        <f t="shared" si="3"/>
        <v>[https://link.springer.com/article/10.1007/BF01580859 Vaidya (1987)]</v>
      </c>
      <c r="N64" s="16" t="s">
        <v>3920</v>
      </c>
      <c r="O64" s="83">
        <v>1987.0</v>
      </c>
      <c r="P64" s="17" t="s">
        <v>8161</v>
      </c>
      <c r="Q64" s="7"/>
      <c r="R64" s="7"/>
      <c r="S64" s="7"/>
      <c r="T64" s="16"/>
      <c r="U64" s="16"/>
      <c r="V64" s="16"/>
      <c r="W64" s="16" t="s">
        <v>8160</v>
      </c>
      <c r="X64" s="93" t="s">
        <v>2136</v>
      </c>
      <c r="Y64" s="93"/>
      <c r="Z64" s="93"/>
      <c r="AA64" s="93" t="s">
        <v>1813</v>
      </c>
      <c r="AB64" s="93" t="s">
        <v>1814</v>
      </c>
      <c r="AC64" s="93" t="s">
        <v>8162</v>
      </c>
      <c r="AD64" s="348"/>
      <c r="AE64" s="349" t="s">
        <v>2889</v>
      </c>
      <c r="AF64" s="87"/>
      <c r="AG64" s="87"/>
      <c r="AH64" s="81">
        <v>0.0</v>
      </c>
      <c r="AI64" s="87"/>
      <c r="AJ64" s="81">
        <v>0.0</v>
      </c>
      <c r="AK64" s="90"/>
      <c r="AL64" s="81">
        <v>0.0</v>
      </c>
      <c r="AM64" s="81">
        <v>0.0</v>
      </c>
      <c r="AN64" s="39"/>
      <c r="AO64" s="81">
        <v>0.0</v>
      </c>
      <c r="AP64" s="81">
        <v>0.0</v>
      </c>
      <c r="AQ64" s="39"/>
      <c r="AR64" s="7" t="s">
        <v>168</v>
      </c>
      <c r="AS64" s="82"/>
      <c r="AT64" s="82"/>
      <c r="AU64" s="7"/>
      <c r="AV64" s="7"/>
      <c r="AW64" s="7"/>
      <c r="AX64" s="82"/>
      <c r="AY64" s="7"/>
      <c r="AZ64" s="82"/>
      <c r="BA64" s="7"/>
      <c r="BB64" s="7"/>
      <c r="BC64" s="82"/>
      <c r="BD64" s="7"/>
      <c r="BE64" s="7" t="s">
        <v>144</v>
      </c>
      <c r="BF64" s="7"/>
      <c r="BG64" s="7"/>
    </row>
    <row r="65">
      <c r="A65" s="16">
        <v>10.0</v>
      </c>
      <c r="B65" s="16" t="s">
        <v>166</v>
      </c>
      <c r="C65" s="53">
        <v>1.0</v>
      </c>
      <c r="D65" s="53"/>
      <c r="E65" s="7"/>
      <c r="F65" s="53"/>
      <c r="G65" s="7"/>
      <c r="H65" s="16">
        <v>1.0</v>
      </c>
      <c r="I65" s="81">
        <v>1.0</v>
      </c>
      <c r="J65" s="16" t="s">
        <v>8163</v>
      </c>
      <c r="K65" s="53"/>
      <c r="L65" s="53"/>
      <c r="M65" s="39" t="str">
        <f t="shared" si="3"/>
        <v>[https://ieeexplore.ieee.org/document/63499 Vaidya (1989)]</v>
      </c>
      <c r="N65" s="16" t="s">
        <v>3920</v>
      </c>
      <c r="O65" s="83">
        <v>1989.0</v>
      </c>
      <c r="P65" s="17" t="s">
        <v>8164</v>
      </c>
      <c r="Q65" s="7"/>
      <c r="R65" s="7"/>
      <c r="S65" s="7"/>
      <c r="T65" s="16"/>
      <c r="U65" s="16"/>
      <c r="V65" s="16"/>
      <c r="W65" s="16" t="s">
        <v>8163</v>
      </c>
      <c r="X65" s="93" t="s">
        <v>2136</v>
      </c>
      <c r="Y65" s="93"/>
      <c r="Z65" s="93"/>
      <c r="AA65" s="93" t="s">
        <v>1813</v>
      </c>
      <c r="AB65" s="93" t="s">
        <v>1814</v>
      </c>
      <c r="AC65" s="93" t="s">
        <v>8162</v>
      </c>
      <c r="AD65" s="348"/>
      <c r="AE65" s="349" t="s">
        <v>2889</v>
      </c>
      <c r="AF65" s="87"/>
      <c r="AG65" s="87"/>
      <c r="AH65" s="81">
        <v>0.0</v>
      </c>
      <c r="AI65" s="87"/>
      <c r="AJ65" s="81">
        <v>0.0</v>
      </c>
      <c r="AK65" s="90"/>
      <c r="AL65" s="81">
        <v>0.0</v>
      </c>
      <c r="AM65" s="81">
        <v>0.0</v>
      </c>
      <c r="AN65" s="39"/>
      <c r="AO65" s="81">
        <v>0.0</v>
      </c>
      <c r="AP65" s="81">
        <v>0.0</v>
      </c>
      <c r="AQ65" s="39"/>
      <c r="AR65" s="7" t="s">
        <v>168</v>
      </c>
      <c r="AS65" s="82"/>
      <c r="AT65" s="82"/>
      <c r="AU65" s="7"/>
      <c r="AV65" s="7"/>
      <c r="AW65" s="7"/>
      <c r="AX65" s="82"/>
      <c r="AY65" s="7"/>
      <c r="AZ65" s="82"/>
      <c r="BA65" s="7"/>
      <c r="BB65" s="7"/>
      <c r="BC65" s="82"/>
      <c r="BD65" s="7"/>
      <c r="BE65" s="7" t="s">
        <v>144</v>
      </c>
      <c r="BF65" s="7"/>
      <c r="BG65" s="7"/>
    </row>
    <row r="66">
      <c r="A66" s="16">
        <v>10.0</v>
      </c>
      <c r="B66" s="16" t="s">
        <v>166</v>
      </c>
      <c r="C66" s="53">
        <v>1.0</v>
      </c>
      <c r="D66" s="53"/>
      <c r="E66" s="7"/>
      <c r="F66" s="53"/>
      <c r="G66" s="7"/>
      <c r="H66" s="16">
        <v>1.0</v>
      </c>
      <c r="I66" s="81">
        <v>1.0</v>
      </c>
      <c r="J66" s="16" t="s">
        <v>8165</v>
      </c>
      <c r="K66" s="53"/>
      <c r="L66" s="53"/>
      <c r="M66" s="39" t="str">
        <f t="shared" si="3"/>
        <v>[https://arxiv.org/abs/1810.07896 Jiang, Song, Weinstein and Zhang (2020)]</v>
      </c>
      <c r="N66" s="16" t="s">
        <v>8166</v>
      </c>
      <c r="O66" s="83">
        <v>2020.0</v>
      </c>
      <c r="P66" s="17" t="s">
        <v>177</v>
      </c>
      <c r="Q66" s="7"/>
      <c r="R66" s="7"/>
      <c r="S66" s="7"/>
      <c r="T66" s="16"/>
      <c r="U66" s="16"/>
      <c r="V66" s="16"/>
      <c r="W66" s="16" t="s">
        <v>8167</v>
      </c>
      <c r="X66" s="93" t="s">
        <v>2136</v>
      </c>
      <c r="Y66" s="93"/>
      <c r="Z66" s="93"/>
      <c r="AA66" s="93" t="s">
        <v>1813</v>
      </c>
      <c r="AB66" s="93" t="s">
        <v>1814</v>
      </c>
      <c r="AC66" s="93"/>
      <c r="AD66" s="348"/>
      <c r="AE66" s="349"/>
      <c r="AF66" s="87"/>
      <c r="AG66" s="87"/>
      <c r="AH66" s="81">
        <v>0.0</v>
      </c>
      <c r="AI66" s="87"/>
      <c r="AJ66" s="81">
        <v>0.0</v>
      </c>
      <c r="AK66" s="90"/>
      <c r="AL66" s="81">
        <v>0.0</v>
      </c>
      <c r="AM66" s="81">
        <v>0.0</v>
      </c>
      <c r="AN66" s="39"/>
      <c r="AO66" s="81">
        <v>0.0</v>
      </c>
      <c r="AP66" s="81">
        <v>0.0</v>
      </c>
      <c r="AQ66" s="39"/>
      <c r="AR66" s="7" t="s">
        <v>168</v>
      </c>
      <c r="AS66" s="82"/>
      <c r="AT66" s="82"/>
      <c r="AU66" s="7"/>
      <c r="AV66" s="7"/>
      <c r="AW66" s="7"/>
      <c r="AX66" s="82"/>
      <c r="AY66" s="7"/>
      <c r="AZ66" s="82"/>
      <c r="BA66" s="7"/>
      <c r="BB66" s="7"/>
      <c r="BC66" s="82"/>
      <c r="BD66" s="7"/>
      <c r="BE66" s="7" t="s">
        <v>144</v>
      </c>
      <c r="BF66" s="7"/>
      <c r="BG66" s="7"/>
    </row>
    <row r="67">
      <c r="A67" s="16">
        <v>11.0</v>
      </c>
      <c r="B67" s="16" t="s">
        <v>186</v>
      </c>
      <c r="C67" s="53">
        <v>1.0</v>
      </c>
      <c r="D67" s="53" t="s">
        <v>8168</v>
      </c>
      <c r="E67" s="7"/>
      <c r="F67" s="53"/>
      <c r="G67" s="7"/>
      <c r="H67" s="16">
        <v>1.0</v>
      </c>
      <c r="I67" s="81">
        <v>1.0</v>
      </c>
      <c r="J67" s="16" t="s">
        <v>8169</v>
      </c>
      <c r="K67" s="53"/>
      <c r="L67" s="53"/>
      <c r="M67" s="39" t="str">
        <f t="shared" si="3"/>
        <v>[https://www.sciencedirect.com/science/article/pii/0022000086900255 CHAZELLE 1986 (1986)]</v>
      </c>
      <c r="N67" s="39" t="s">
        <v>8170</v>
      </c>
      <c r="O67" s="81">
        <v>1986.0</v>
      </c>
      <c r="P67" s="25" t="s">
        <v>209</v>
      </c>
      <c r="Q67" s="82"/>
      <c r="R67" s="82"/>
      <c r="S67" s="82"/>
      <c r="T67" s="16"/>
      <c r="U67" s="16"/>
      <c r="V67" s="16"/>
      <c r="W67" s="16" t="s">
        <v>8169</v>
      </c>
      <c r="X67" s="93" t="s">
        <v>2151</v>
      </c>
      <c r="Y67" s="93"/>
      <c r="Z67" s="93"/>
      <c r="AA67" s="93" t="s">
        <v>2152</v>
      </c>
      <c r="AB67" s="93" t="s">
        <v>1814</v>
      </c>
      <c r="AC67" s="93" t="s">
        <v>35</v>
      </c>
      <c r="AD67" s="325" t="s">
        <v>1763</v>
      </c>
      <c r="AE67" s="126" t="s">
        <v>209</v>
      </c>
      <c r="AF67" s="87"/>
      <c r="AG67" s="87"/>
      <c r="AH67" s="81">
        <v>0.0</v>
      </c>
      <c r="AI67" s="87"/>
      <c r="AJ67" s="81">
        <v>0.0</v>
      </c>
      <c r="AK67" s="90"/>
      <c r="AL67" s="81">
        <v>0.0</v>
      </c>
      <c r="AM67" s="81">
        <v>0.0</v>
      </c>
      <c r="AN67" s="39"/>
      <c r="AO67" s="81">
        <v>0.0</v>
      </c>
      <c r="AP67" s="81">
        <v>0.0</v>
      </c>
      <c r="AQ67" s="39"/>
      <c r="AR67" s="7" t="s">
        <v>2153</v>
      </c>
      <c r="AS67" s="82"/>
      <c r="AT67" s="82"/>
      <c r="AU67" s="7"/>
      <c r="AV67" s="7"/>
      <c r="AW67" s="82"/>
      <c r="AX67" s="82"/>
      <c r="AY67" s="82"/>
      <c r="AZ67" s="82"/>
      <c r="BA67" s="82"/>
      <c r="BB67" s="7"/>
      <c r="BC67" s="82"/>
      <c r="BD67" s="7"/>
      <c r="BE67" s="7" t="s">
        <v>196</v>
      </c>
      <c r="BF67" s="7"/>
      <c r="BG67" s="7"/>
    </row>
    <row r="68">
      <c r="A68" s="35">
        <v>11.0</v>
      </c>
      <c r="B68" s="16" t="s">
        <v>186</v>
      </c>
      <c r="C68" s="340">
        <v>1.0</v>
      </c>
      <c r="D68" s="104" t="s">
        <v>8171</v>
      </c>
      <c r="E68" s="111" t="s">
        <v>8172</v>
      </c>
      <c r="F68" s="108"/>
      <c r="G68" s="56"/>
      <c r="H68" s="197">
        <v>1.0</v>
      </c>
      <c r="I68" s="98">
        <v>1.0</v>
      </c>
      <c r="J68" s="35" t="s">
        <v>8173</v>
      </c>
      <c r="K68" s="120"/>
      <c r="L68" s="120"/>
      <c r="M68" s="69" t="str">
        <f t="shared" si="3"/>
        <v>[https://pdfs.semanticscholar.org/a571/cc92218132a1b0e65c2adbf663c79d015737.pdf NIEVERGELT. J.. AND PREPARATA (Section 2) (1982)]</v>
      </c>
      <c r="N68" s="35" t="s">
        <v>8174</v>
      </c>
      <c r="O68" s="98">
        <v>1982.0</v>
      </c>
      <c r="P68" s="26" t="s">
        <v>204</v>
      </c>
      <c r="Q68" s="98"/>
      <c r="R68" s="98"/>
      <c r="S68" s="183"/>
      <c r="T68" s="197"/>
      <c r="U68" s="197"/>
      <c r="V68" s="35"/>
      <c r="W68" s="35" t="s">
        <v>8173</v>
      </c>
      <c r="X68" s="350" t="s">
        <v>2151</v>
      </c>
      <c r="Y68" s="350"/>
      <c r="Z68" s="350"/>
      <c r="AA68" s="350" t="s">
        <v>2152</v>
      </c>
      <c r="AB68" s="350" t="s">
        <v>1814</v>
      </c>
      <c r="AC68" s="102" t="s">
        <v>1971</v>
      </c>
      <c r="AD68" s="342" t="s">
        <v>1975</v>
      </c>
      <c r="AE68" s="343" t="s">
        <v>2923</v>
      </c>
      <c r="AF68" s="105"/>
      <c r="AG68" s="87"/>
      <c r="AH68" s="98">
        <v>0.0</v>
      </c>
      <c r="AI68" s="210"/>
      <c r="AJ68" s="98">
        <v>0.0</v>
      </c>
      <c r="AK68" s="210"/>
      <c r="AL68" s="98">
        <v>0.0</v>
      </c>
      <c r="AM68" s="98">
        <v>0.0</v>
      </c>
      <c r="AN68" s="69"/>
      <c r="AO68" s="98">
        <v>0.0</v>
      </c>
      <c r="AP68" s="98">
        <v>0.0</v>
      </c>
      <c r="AQ68" s="69"/>
      <c r="AR68" s="7" t="s">
        <v>2153</v>
      </c>
      <c r="AS68" s="69"/>
      <c r="AT68" s="69"/>
      <c r="AU68" s="34"/>
      <c r="AV68" s="197"/>
      <c r="AW68" s="98"/>
      <c r="AX68" s="98"/>
      <c r="AY68" s="98"/>
      <c r="AZ68" s="98"/>
      <c r="BA68" s="98"/>
      <c r="BB68" s="197"/>
      <c r="BC68" s="69"/>
      <c r="BD68" s="34"/>
      <c r="BE68" s="34" t="s">
        <v>196</v>
      </c>
      <c r="BF68" s="7"/>
      <c r="BG68" s="7"/>
    </row>
    <row r="69">
      <c r="A69" s="16">
        <v>12.0</v>
      </c>
      <c r="B69" s="16" t="s">
        <v>213</v>
      </c>
      <c r="C69" s="53">
        <v>1.0</v>
      </c>
      <c r="D69" s="53" t="s">
        <v>215</v>
      </c>
      <c r="E69" s="7"/>
      <c r="F69" s="53"/>
      <c r="G69" s="7"/>
      <c r="H69" s="16">
        <v>1.0</v>
      </c>
      <c r="I69" s="81">
        <v>1.0</v>
      </c>
      <c r="J69" s="16" t="s">
        <v>8175</v>
      </c>
      <c r="K69" s="53"/>
      <c r="L69" s="53"/>
      <c r="M69" s="39" t="str">
        <f t="shared" si="3"/>
        <v>[https://dl.acm.org/doi/pdf/10.1145/12130.12172 Seidel's Shelling Algorithm (1986)]</v>
      </c>
      <c r="N69" s="16" t="s">
        <v>8176</v>
      </c>
      <c r="O69" s="83">
        <v>1986.0</v>
      </c>
      <c r="P69" s="17" t="s">
        <v>229</v>
      </c>
      <c r="Q69" s="82"/>
      <c r="R69" s="82"/>
      <c r="S69" s="82"/>
      <c r="T69" s="81"/>
      <c r="U69" s="16"/>
      <c r="V69" s="16"/>
      <c r="W69" s="16" t="s">
        <v>8175</v>
      </c>
      <c r="X69" s="93" t="s">
        <v>8177</v>
      </c>
      <c r="Y69" s="93"/>
      <c r="Z69" s="93"/>
      <c r="AA69" s="93" t="s">
        <v>2152</v>
      </c>
      <c r="AB69" s="93" t="s">
        <v>1814</v>
      </c>
      <c r="AC69" s="93"/>
      <c r="AD69" s="329"/>
      <c r="AE69" s="93"/>
      <c r="AF69" s="87"/>
      <c r="AG69" s="87"/>
      <c r="AH69" s="81">
        <v>0.0</v>
      </c>
      <c r="AI69" s="87"/>
      <c r="AJ69" s="81">
        <v>0.0</v>
      </c>
      <c r="AK69" s="90"/>
      <c r="AL69" s="81">
        <v>0.0</v>
      </c>
      <c r="AM69" s="81">
        <v>0.0</v>
      </c>
      <c r="AN69" s="39"/>
      <c r="AO69" s="81">
        <v>0.0</v>
      </c>
      <c r="AP69" s="81">
        <v>0.0</v>
      </c>
      <c r="AQ69" s="39"/>
      <c r="AR69" s="7" t="s">
        <v>2164</v>
      </c>
      <c r="AS69" s="82"/>
      <c r="AT69" s="82"/>
      <c r="AU69" s="7"/>
      <c r="AV69" s="7"/>
      <c r="AW69" s="82"/>
      <c r="AX69" s="82"/>
      <c r="AY69" s="82"/>
      <c r="AZ69" s="82"/>
      <c r="BA69" s="82"/>
      <c r="BB69" s="7"/>
      <c r="BC69" s="82"/>
      <c r="BD69" s="7"/>
      <c r="BE69" s="7" t="s">
        <v>196</v>
      </c>
      <c r="BF69" s="7"/>
      <c r="BG69" s="7"/>
    </row>
    <row r="70">
      <c r="A70" s="16">
        <v>12.0</v>
      </c>
      <c r="B70" s="16" t="s">
        <v>213</v>
      </c>
      <c r="C70" s="53">
        <v>1.0</v>
      </c>
      <c r="D70" s="53" t="s">
        <v>215</v>
      </c>
      <c r="E70" s="7"/>
      <c r="F70" s="53"/>
      <c r="G70" s="7"/>
      <c r="H70" s="16">
        <v>1.0</v>
      </c>
      <c r="I70" s="81">
        <v>1.0</v>
      </c>
      <c r="J70" s="16" t="s">
        <v>8178</v>
      </c>
      <c r="K70" s="53"/>
      <c r="L70" s="53"/>
      <c r="M70" s="39" t="str">
        <f t="shared" si="3"/>
        <v>[https://dl.acm.org/doi/pdf/10.1145/321556.321564 Chand-Kapur, Gift Wrapping (1970)]</v>
      </c>
      <c r="N70" s="16" t="s">
        <v>8179</v>
      </c>
      <c r="O70" s="83">
        <v>1970.0</v>
      </c>
      <c r="P70" s="17" t="s">
        <v>8180</v>
      </c>
      <c r="Q70" s="82"/>
      <c r="R70" s="82"/>
      <c r="S70" s="82"/>
      <c r="T70" s="81"/>
      <c r="U70" s="16"/>
      <c r="V70" s="16"/>
      <c r="W70" s="16" t="s">
        <v>8178</v>
      </c>
      <c r="X70" s="93" t="s">
        <v>8177</v>
      </c>
      <c r="Y70" s="93"/>
      <c r="Z70" s="93"/>
      <c r="AA70" s="93" t="s">
        <v>2152</v>
      </c>
      <c r="AB70" s="93" t="s">
        <v>1814</v>
      </c>
      <c r="AC70" s="93"/>
      <c r="AD70" s="329"/>
      <c r="AE70" s="93"/>
      <c r="AF70" s="87"/>
      <c r="AG70" s="87"/>
      <c r="AH70" s="81">
        <v>0.0</v>
      </c>
      <c r="AI70" s="87"/>
      <c r="AJ70" s="81">
        <v>0.0</v>
      </c>
      <c r="AK70" s="90"/>
      <c r="AL70" s="81">
        <v>0.0</v>
      </c>
      <c r="AM70" s="81">
        <v>0.0</v>
      </c>
      <c r="AN70" s="39"/>
      <c r="AO70" s="81">
        <v>0.0</v>
      </c>
      <c r="AP70" s="81">
        <v>0.0</v>
      </c>
      <c r="AQ70" s="39"/>
      <c r="AR70" s="7" t="s">
        <v>2164</v>
      </c>
      <c r="AS70" s="82"/>
      <c r="AT70" s="82"/>
      <c r="AU70" s="7"/>
      <c r="AV70" s="7"/>
      <c r="AW70" s="82"/>
      <c r="AX70" s="82"/>
      <c r="AY70" s="82"/>
      <c r="AZ70" s="82"/>
      <c r="BA70" s="82"/>
      <c r="BB70" s="7"/>
      <c r="BC70" s="82"/>
      <c r="BD70" s="7"/>
      <c r="BE70" s="7" t="s">
        <v>196</v>
      </c>
      <c r="BF70" s="7"/>
      <c r="BG70" s="7"/>
    </row>
    <row r="71">
      <c r="A71" s="16">
        <v>12.0</v>
      </c>
      <c r="B71" s="16" t="s">
        <v>213</v>
      </c>
      <c r="C71" s="53">
        <v>1.0</v>
      </c>
      <c r="D71" s="53" t="s">
        <v>215</v>
      </c>
      <c r="E71" s="7"/>
      <c r="F71" s="53"/>
      <c r="G71" s="7"/>
      <c r="H71" s="16">
        <v>1.0</v>
      </c>
      <c r="I71" s="81">
        <v>1.0</v>
      </c>
      <c r="J71" s="16" t="s">
        <v>8181</v>
      </c>
      <c r="K71" s="53"/>
      <c r="L71" s="53"/>
      <c r="M71" s="39" t="str">
        <f t="shared" si="3"/>
        <v>[https://dl.acm.org/doi/pdf/10.1145/235815.235821 N-dimensional Quickhull (1996)]</v>
      </c>
      <c r="N71" s="16" t="s">
        <v>8182</v>
      </c>
      <c r="O71" s="83">
        <v>1996.0</v>
      </c>
      <c r="P71" s="17" t="s">
        <v>8183</v>
      </c>
      <c r="Q71" s="82"/>
      <c r="R71" s="82"/>
      <c r="S71" s="82"/>
      <c r="T71" s="81"/>
      <c r="U71" s="16"/>
      <c r="V71" s="16"/>
      <c r="W71" s="16" t="s">
        <v>8181</v>
      </c>
      <c r="X71" s="93" t="s">
        <v>8177</v>
      </c>
      <c r="Y71" s="93"/>
      <c r="Z71" s="93"/>
      <c r="AA71" s="93" t="s">
        <v>2152</v>
      </c>
      <c r="AB71" s="93" t="s">
        <v>1814</v>
      </c>
      <c r="AC71" s="93"/>
      <c r="AD71" s="329"/>
      <c r="AE71" s="93"/>
      <c r="AF71" s="87"/>
      <c r="AG71" s="84"/>
      <c r="AH71" s="81">
        <v>0.0</v>
      </c>
      <c r="AI71" s="87"/>
      <c r="AJ71" s="81">
        <v>0.0</v>
      </c>
      <c r="AK71" s="90"/>
      <c r="AL71" s="81">
        <v>0.0</v>
      </c>
      <c r="AM71" s="81">
        <v>0.0</v>
      </c>
      <c r="AN71" s="39"/>
      <c r="AO71" s="81">
        <v>0.0</v>
      </c>
      <c r="AP71" s="81">
        <v>0.0</v>
      </c>
      <c r="AQ71" s="39"/>
      <c r="AR71" s="7" t="s">
        <v>2164</v>
      </c>
      <c r="AS71" s="82"/>
      <c r="AT71" s="82"/>
      <c r="AU71" s="7"/>
      <c r="AV71" s="7"/>
      <c r="AW71" s="82"/>
      <c r="AX71" s="82"/>
      <c r="AY71" s="82"/>
      <c r="AZ71" s="82"/>
      <c r="BA71" s="82"/>
      <c r="BB71" s="7"/>
      <c r="BC71" s="82"/>
      <c r="BD71" s="7"/>
      <c r="BE71" s="7" t="s">
        <v>196</v>
      </c>
      <c r="BF71" s="7"/>
      <c r="BG71" s="7"/>
    </row>
    <row r="72">
      <c r="A72" s="16">
        <v>12.0</v>
      </c>
      <c r="B72" s="16" t="s">
        <v>213</v>
      </c>
      <c r="C72" s="206">
        <v>1.0</v>
      </c>
      <c r="D72" s="104" t="s">
        <v>231</v>
      </c>
      <c r="E72" s="111"/>
      <c r="F72" s="108"/>
      <c r="G72" s="56"/>
      <c r="H72" s="197"/>
      <c r="I72" s="98"/>
      <c r="J72" s="35" t="s">
        <v>8184</v>
      </c>
      <c r="K72" s="120"/>
      <c r="L72" s="120"/>
      <c r="M72" s="39" t="str">
        <f t="shared" si="3"/>
        <v>[https://dl.acm.org/doi/abs/10.1145/359131.359132 Online 2-d Convex Hull, Preparata (1979)]</v>
      </c>
      <c r="N72" s="35" t="s">
        <v>8185</v>
      </c>
      <c r="O72" s="111">
        <v>1979.0</v>
      </c>
      <c r="P72" s="30" t="s">
        <v>233</v>
      </c>
      <c r="Q72" s="98"/>
      <c r="R72" s="98"/>
      <c r="S72" s="183"/>
      <c r="T72" s="197"/>
      <c r="U72" s="197"/>
      <c r="V72" s="35"/>
      <c r="W72" s="35" t="s">
        <v>8184</v>
      </c>
      <c r="X72" s="93" t="s">
        <v>2163</v>
      </c>
      <c r="Y72" s="93"/>
      <c r="Z72" s="93"/>
      <c r="AA72" s="93" t="s">
        <v>2152</v>
      </c>
      <c r="AB72" s="93" t="s">
        <v>1814</v>
      </c>
      <c r="AC72" s="102" t="s">
        <v>35</v>
      </c>
      <c r="AD72" s="342" t="s">
        <v>1763</v>
      </c>
      <c r="AE72" s="102" t="s">
        <v>2469</v>
      </c>
      <c r="AF72" s="87"/>
      <c r="AG72" s="87"/>
      <c r="AH72" s="81">
        <v>0.0</v>
      </c>
      <c r="AI72" s="210"/>
      <c r="AJ72" s="81">
        <v>0.0</v>
      </c>
      <c r="AK72" s="210"/>
      <c r="AL72" s="81">
        <v>0.0</v>
      </c>
      <c r="AM72" s="81">
        <v>0.0</v>
      </c>
      <c r="AN72" s="39"/>
      <c r="AO72" s="81">
        <v>0.0</v>
      </c>
      <c r="AP72" s="81">
        <v>0.0</v>
      </c>
      <c r="AQ72" s="39"/>
      <c r="AR72" s="7" t="s">
        <v>2164</v>
      </c>
      <c r="AS72" s="69"/>
      <c r="AT72" s="69"/>
      <c r="AU72" s="34"/>
      <c r="AV72" s="197"/>
      <c r="AW72" s="98"/>
      <c r="AX72" s="98"/>
      <c r="AY72" s="98"/>
      <c r="AZ72" s="98"/>
      <c r="BA72" s="98"/>
      <c r="BB72" s="197"/>
      <c r="BC72" s="69"/>
      <c r="BD72" s="34"/>
      <c r="BE72" s="7" t="s">
        <v>196</v>
      </c>
      <c r="BF72" s="7"/>
      <c r="BG72" s="7"/>
    </row>
    <row r="73">
      <c r="A73" s="16">
        <v>12.0</v>
      </c>
      <c r="B73" s="16" t="s">
        <v>213</v>
      </c>
      <c r="C73" s="206">
        <v>1.0</v>
      </c>
      <c r="D73" s="104" t="s">
        <v>237</v>
      </c>
      <c r="E73" s="111"/>
      <c r="F73" s="108"/>
      <c r="G73" s="56"/>
      <c r="H73" s="197"/>
      <c r="I73" s="98"/>
      <c r="J73" s="35" t="s">
        <v>8186</v>
      </c>
      <c r="K73" s="120"/>
      <c r="L73" s="120"/>
      <c r="M73" s="39" t="str">
        <f t="shared" si="3"/>
        <v>[https://www.sciencedirect.com/science/article/pii/002200008190012X?via%3Dihub Dynamic 2-d Convex Hull, Overmars and van Leeuwen (1980)]</v>
      </c>
      <c r="N73" s="35" t="s">
        <v>8187</v>
      </c>
      <c r="O73" s="111">
        <v>1980.0</v>
      </c>
      <c r="P73" s="30" t="s">
        <v>239</v>
      </c>
      <c r="Q73" s="98"/>
      <c r="R73" s="98"/>
      <c r="S73" s="183"/>
      <c r="T73" s="197"/>
      <c r="U73" s="197"/>
      <c r="V73" s="35"/>
      <c r="W73" s="35" t="s">
        <v>8186</v>
      </c>
      <c r="X73" s="93" t="s">
        <v>2163</v>
      </c>
      <c r="Y73" s="93"/>
      <c r="Z73" s="93"/>
      <c r="AA73" s="93" t="s">
        <v>2152</v>
      </c>
      <c r="AB73" s="93" t="s">
        <v>1814</v>
      </c>
      <c r="AC73" s="102"/>
      <c r="AD73" s="342"/>
      <c r="AE73" s="102"/>
      <c r="AF73" s="87"/>
      <c r="AG73" s="87"/>
      <c r="AH73" s="81">
        <v>0.0</v>
      </c>
      <c r="AI73" s="210"/>
      <c r="AJ73" s="81">
        <v>0.0</v>
      </c>
      <c r="AK73" s="210"/>
      <c r="AL73" s="81">
        <v>0.0</v>
      </c>
      <c r="AM73" s="81">
        <v>0.0</v>
      </c>
      <c r="AN73" s="39"/>
      <c r="AO73" s="81">
        <v>0.0</v>
      </c>
      <c r="AP73" s="81">
        <v>0.0</v>
      </c>
      <c r="AQ73" s="39"/>
      <c r="AR73" s="7" t="s">
        <v>2164</v>
      </c>
      <c r="AS73" s="69"/>
      <c r="AT73" s="69"/>
      <c r="AU73" s="34"/>
      <c r="AV73" s="197"/>
      <c r="AW73" s="98"/>
      <c r="AX73" s="98"/>
      <c r="AY73" s="98"/>
      <c r="AZ73" s="98"/>
      <c r="BA73" s="98"/>
      <c r="BB73" s="197"/>
      <c r="BC73" s="69"/>
      <c r="BD73" s="34"/>
      <c r="BE73" s="7" t="s">
        <v>196</v>
      </c>
      <c r="BF73" s="7"/>
      <c r="BG73" s="7"/>
    </row>
    <row r="74">
      <c r="A74" s="16">
        <v>12.0</v>
      </c>
      <c r="B74" s="16" t="s">
        <v>213</v>
      </c>
      <c r="C74" s="206">
        <v>0.0</v>
      </c>
      <c r="D74" s="104" t="s">
        <v>237</v>
      </c>
      <c r="E74" s="111"/>
      <c r="F74" s="108"/>
      <c r="G74" s="56"/>
      <c r="H74" s="197"/>
      <c r="I74" s="98"/>
      <c r="J74" s="35"/>
      <c r="K74" s="120"/>
      <c r="L74" s="120"/>
      <c r="M74" s="39"/>
      <c r="N74" s="35" t="s">
        <v>8188</v>
      </c>
      <c r="O74" s="111"/>
      <c r="P74" s="30"/>
      <c r="Q74" s="98"/>
      <c r="R74" s="98"/>
      <c r="S74" s="183"/>
      <c r="T74" s="197"/>
      <c r="U74" s="197"/>
      <c r="V74" s="35"/>
      <c r="W74" s="35"/>
      <c r="X74" s="93" t="s">
        <v>2163</v>
      </c>
      <c r="Y74" s="93"/>
      <c r="Z74" s="93"/>
      <c r="AA74" s="93" t="s">
        <v>2152</v>
      </c>
      <c r="AB74" s="93" t="s">
        <v>1814</v>
      </c>
      <c r="AC74" s="102"/>
      <c r="AD74" s="342"/>
      <c r="AE74" s="102"/>
      <c r="AF74" s="87"/>
      <c r="AG74" s="87"/>
      <c r="AH74" s="81">
        <v>0.0</v>
      </c>
      <c r="AI74" s="210"/>
      <c r="AJ74" s="81">
        <v>0.0</v>
      </c>
      <c r="AK74" s="210"/>
      <c r="AL74" s="81">
        <v>0.0</v>
      </c>
      <c r="AM74" s="81">
        <v>0.0</v>
      </c>
      <c r="AN74" s="39"/>
      <c r="AO74" s="81">
        <v>0.0</v>
      </c>
      <c r="AP74" s="81">
        <v>0.0</v>
      </c>
      <c r="AQ74" s="39"/>
      <c r="AR74" s="7" t="s">
        <v>2164</v>
      </c>
      <c r="AS74" s="69"/>
      <c r="AT74" s="69"/>
      <c r="AU74" s="34"/>
      <c r="AV74" s="197"/>
      <c r="AW74" s="98"/>
      <c r="AX74" s="98"/>
      <c r="AY74" s="98"/>
      <c r="AZ74" s="98"/>
      <c r="BA74" s="98"/>
      <c r="BB74" s="197"/>
      <c r="BC74" s="69"/>
      <c r="BD74" s="34"/>
      <c r="BE74" s="7" t="s">
        <v>196</v>
      </c>
      <c r="BF74" s="7"/>
      <c r="BG74" s="7"/>
    </row>
    <row r="75">
      <c r="A75" s="16">
        <v>13.0</v>
      </c>
      <c r="B75" s="16" t="s">
        <v>241</v>
      </c>
      <c r="C75" s="53">
        <v>1.0</v>
      </c>
      <c r="D75" s="53" t="s">
        <v>242</v>
      </c>
      <c r="E75" s="7"/>
      <c r="F75" s="53"/>
      <c r="G75" s="7"/>
      <c r="H75" s="16">
        <v>1.0</v>
      </c>
      <c r="I75" s="81">
        <v>1.0</v>
      </c>
      <c r="J75" s="39" t="s">
        <v>245</v>
      </c>
      <c r="K75" s="53"/>
      <c r="L75" s="53"/>
      <c r="M75" s="39" t="str">
        <f t="shared" ref="M75:M204" si="4">CONCATENATE("[",P75," ",N75," (",O75,")","]")</f>
        <v>[https://www.semanticscholar.org/paper/Depth-First-Search-and-Linear-Graph-Algorithms-Tarjan/385742fffcf113656f0d3cf6c06ef95cb8439dc6 Geldenhuys-Valmari (2004)]</v>
      </c>
      <c r="N75" s="16" t="s">
        <v>6175</v>
      </c>
      <c r="O75" s="83">
        <v>2004.0</v>
      </c>
      <c r="P75" s="17" t="s">
        <v>2975</v>
      </c>
      <c r="Q75" s="7"/>
      <c r="R75" s="7"/>
      <c r="S75" s="7"/>
      <c r="T75" s="81"/>
      <c r="U75" s="16"/>
      <c r="V75" s="39"/>
      <c r="W75" s="39" t="s">
        <v>245</v>
      </c>
      <c r="X75" s="93" t="s">
        <v>2542</v>
      </c>
      <c r="Y75" s="93"/>
      <c r="Z75" s="93"/>
      <c r="AA75" s="93" t="s">
        <v>1813</v>
      </c>
      <c r="AB75" s="93" t="s">
        <v>1814</v>
      </c>
      <c r="AC75" s="93" t="s">
        <v>2562</v>
      </c>
      <c r="AD75" s="329" t="s">
        <v>2534</v>
      </c>
      <c r="AE75" s="93" t="s">
        <v>6176</v>
      </c>
      <c r="AF75" s="87"/>
      <c r="AG75" s="87"/>
      <c r="AH75" s="81">
        <v>0.0</v>
      </c>
      <c r="AI75" s="87"/>
      <c r="AJ75" s="81">
        <v>0.0</v>
      </c>
      <c r="AK75" s="90"/>
      <c r="AL75" s="81">
        <v>0.0</v>
      </c>
      <c r="AM75" s="83">
        <v>1.0</v>
      </c>
      <c r="AN75" s="39"/>
      <c r="AO75" s="81">
        <v>0.0</v>
      </c>
      <c r="AP75" s="81">
        <v>0.0</v>
      </c>
      <c r="AQ75" s="39"/>
      <c r="AR75" s="7" t="s">
        <v>2971</v>
      </c>
      <c r="AS75" s="82"/>
      <c r="AT75" s="82"/>
      <c r="AU75" s="7"/>
      <c r="AV75" s="7"/>
      <c r="AW75" s="82"/>
      <c r="AX75" s="7"/>
      <c r="AY75" s="82"/>
      <c r="AZ75" s="7"/>
      <c r="BA75" s="82"/>
      <c r="BB75" s="7"/>
      <c r="BC75" s="82"/>
      <c r="BD75" s="7"/>
      <c r="BE75" s="7" t="s">
        <v>23</v>
      </c>
      <c r="BF75" s="7"/>
      <c r="BG75" s="7"/>
    </row>
    <row r="76">
      <c r="A76" s="16">
        <v>13.0</v>
      </c>
      <c r="B76" s="16" t="s">
        <v>241</v>
      </c>
      <c r="C76" s="53">
        <v>1.0</v>
      </c>
      <c r="D76" s="53" t="s">
        <v>242</v>
      </c>
      <c r="E76" s="7"/>
      <c r="F76" s="53"/>
      <c r="G76" s="7"/>
      <c r="H76" s="16">
        <v>1.0</v>
      </c>
      <c r="I76" s="81">
        <v>1.0</v>
      </c>
      <c r="J76" s="16" t="s">
        <v>8189</v>
      </c>
      <c r="K76" s="53"/>
      <c r="L76" s="53"/>
      <c r="M76" s="39" t="str">
        <f t="shared" si="4"/>
        <v>[https://ieeexplore.ieee.org/abstract/document/6877288 Multistep (2014)]</v>
      </c>
      <c r="N76" s="16" t="s">
        <v>8190</v>
      </c>
      <c r="O76" s="83">
        <v>2014.0</v>
      </c>
      <c r="P76" s="17" t="s">
        <v>8191</v>
      </c>
      <c r="Q76" s="7"/>
      <c r="R76" s="7"/>
      <c r="S76" s="7"/>
      <c r="T76" s="81"/>
      <c r="U76" s="16"/>
      <c r="V76" s="16"/>
      <c r="W76" s="16" t="s">
        <v>8189</v>
      </c>
      <c r="X76" s="93" t="s">
        <v>3002</v>
      </c>
      <c r="Y76" s="93"/>
      <c r="Z76" s="93"/>
      <c r="AA76" s="93" t="s">
        <v>1813</v>
      </c>
      <c r="AB76" s="93" t="s">
        <v>1814</v>
      </c>
      <c r="AC76" s="93" t="s">
        <v>8192</v>
      </c>
      <c r="AD76" s="329" t="s">
        <v>2185</v>
      </c>
      <c r="AE76" s="93"/>
      <c r="AF76" s="87"/>
      <c r="AG76" s="87"/>
      <c r="AH76" s="81">
        <v>0.0</v>
      </c>
      <c r="AI76" s="87"/>
      <c r="AJ76" s="81">
        <v>0.0</v>
      </c>
      <c r="AK76" s="90"/>
      <c r="AL76" s="81">
        <v>0.0</v>
      </c>
      <c r="AM76" s="81">
        <v>0.0</v>
      </c>
      <c r="AN76" s="39"/>
      <c r="AO76" s="81">
        <v>0.0</v>
      </c>
      <c r="AP76" s="81">
        <v>0.0</v>
      </c>
      <c r="AQ76" s="39"/>
      <c r="AR76" s="7" t="s">
        <v>2971</v>
      </c>
      <c r="AS76" s="82"/>
      <c r="AT76" s="82"/>
      <c r="AU76" s="7"/>
      <c r="AV76" s="7"/>
      <c r="AW76" s="82"/>
      <c r="AX76" s="7"/>
      <c r="AY76" s="82"/>
      <c r="AZ76" s="7"/>
      <c r="BA76" s="82"/>
      <c r="BB76" s="7"/>
      <c r="BC76" s="82"/>
      <c r="BD76" s="7"/>
      <c r="BE76" s="7" t="s">
        <v>23</v>
      </c>
      <c r="BF76" s="7"/>
      <c r="BG76" s="7"/>
    </row>
    <row r="77">
      <c r="A77" s="16">
        <v>14.0</v>
      </c>
      <c r="B77" s="16" t="s">
        <v>263</v>
      </c>
      <c r="C77" s="53">
        <v>1.0</v>
      </c>
      <c r="D77" s="53" t="s">
        <v>264</v>
      </c>
      <c r="E77" s="7"/>
      <c r="F77" s="53"/>
      <c r="G77" s="7"/>
      <c r="H77" s="16">
        <v>1.0</v>
      </c>
      <c r="I77" s="81">
        <v>1.0</v>
      </c>
      <c r="J77" s="16" t="s">
        <v>3030</v>
      </c>
      <c r="K77" s="53"/>
      <c r="L77" s="53"/>
      <c r="M77" s="39" t="str">
        <f t="shared" si="4"/>
        <v>[ Prim's algorithm + binary heap (-)]</v>
      </c>
      <c r="N77" s="16" t="s">
        <v>8193</v>
      </c>
      <c r="O77" s="83" t="s">
        <v>1937</v>
      </c>
      <c r="P77" s="346"/>
      <c r="Q77" s="82"/>
      <c r="R77" s="82"/>
      <c r="S77" s="82"/>
      <c r="T77" s="81">
        <v>0.0</v>
      </c>
      <c r="U77" s="16">
        <v>0.0</v>
      </c>
      <c r="V77" s="16"/>
      <c r="W77" s="16" t="s">
        <v>3030</v>
      </c>
      <c r="X77" s="93" t="s">
        <v>2177</v>
      </c>
      <c r="Y77" s="93"/>
      <c r="Z77" s="93"/>
      <c r="AA77" s="93" t="s">
        <v>1813</v>
      </c>
      <c r="AB77" s="93" t="s">
        <v>1814</v>
      </c>
      <c r="AC77" s="93" t="s">
        <v>3041</v>
      </c>
      <c r="AD77" s="329" t="s">
        <v>2534</v>
      </c>
      <c r="AE77" s="93" t="s">
        <v>1993</v>
      </c>
      <c r="AF77" s="87"/>
      <c r="AG77" s="87"/>
      <c r="AH77" s="81">
        <v>0.0</v>
      </c>
      <c r="AI77" s="87"/>
      <c r="AJ77" s="81">
        <v>0.0</v>
      </c>
      <c r="AK77" s="90"/>
      <c r="AL77" s="81">
        <v>0.0</v>
      </c>
      <c r="AM77" s="81">
        <v>0.0</v>
      </c>
      <c r="AN77" s="39"/>
      <c r="AO77" s="81">
        <v>0.0</v>
      </c>
      <c r="AP77" s="81">
        <v>0.0</v>
      </c>
      <c r="AQ77" s="39"/>
      <c r="AR77" s="7" t="s">
        <v>2178</v>
      </c>
      <c r="AS77" s="82"/>
      <c r="AT77" s="82"/>
      <c r="AU77" s="7"/>
      <c r="AV77" s="7"/>
      <c r="AW77" s="82"/>
      <c r="AX77" s="82"/>
      <c r="AY77" s="82"/>
      <c r="AZ77" s="82"/>
      <c r="BA77" s="82"/>
      <c r="BB77" s="7"/>
      <c r="BC77" s="82"/>
      <c r="BD77" s="7"/>
      <c r="BE77" s="7" t="s">
        <v>23</v>
      </c>
      <c r="BF77" s="7"/>
      <c r="BG77" s="7"/>
    </row>
    <row r="78">
      <c r="A78" s="16">
        <v>14.0</v>
      </c>
      <c r="B78" s="16" t="s">
        <v>263</v>
      </c>
      <c r="C78" s="53">
        <v>1.0</v>
      </c>
      <c r="D78" s="53" t="s">
        <v>264</v>
      </c>
      <c r="E78" s="7"/>
      <c r="F78" s="53"/>
      <c r="G78" s="7"/>
      <c r="H78" s="16">
        <v>1.0</v>
      </c>
      <c r="I78" s="81">
        <v>1.0</v>
      </c>
      <c r="J78" s="16" t="s">
        <v>8194</v>
      </c>
      <c r="K78" s="53"/>
      <c r="L78" s="53"/>
      <c r="M78" s="39" t="str">
        <f t="shared" si="4"/>
        <v>[https://dl.acm.org/citation.cfm?id=28874 Fredman &amp; Tarjan (1987)]</v>
      </c>
      <c r="N78" s="16" t="s">
        <v>8195</v>
      </c>
      <c r="O78" s="81">
        <v>1987.0</v>
      </c>
      <c r="P78" s="28" t="s">
        <v>3040</v>
      </c>
      <c r="Q78" s="82"/>
      <c r="R78" s="82"/>
      <c r="S78" s="82"/>
      <c r="T78" s="81">
        <v>0.0</v>
      </c>
      <c r="U78" s="16">
        <v>0.0</v>
      </c>
      <c r="V78" s="16"/>
      <c r="W78" s="16" t="s">
        <v>8194</v>
      </c>
      <c r="X78" s="93" t="s">
        <v>2177</v>
      </c>
      <c r="Y78" s="93"/>
      <c r="Z78" s="93"/>
      <c r="AA78" s="93" t="s">
        <v>1813</v>
      </c>
      <c r="AB78" s="93" t="s">
        <v>1814</v>
      </c>
      <c r="AC78" s="347" t="s">
        <v>3053</v>
      </c>
      <c r="AD78" s="329" t="s">
        <v>2185</v>
      </c>
      <c r="AE78" s="93" t="s">
        <v>1993</v>
      </c>
      <c r="AF78" s="87"/>
      <c r="AG78" s="87"/>
      <c r="AH78" s="81">
        <v>0.0</v>
      </c>
      <c r="AI78" s="87"/>
      <c r="AJ78" s="81">
        <v>0.0</v>
      </c>
      <c r="AK78" s="90"/>
      <c r="AL78" s="81">
        <v>0.0</v>
      </c>
      <c r="AM78" s="81">
        <v>0.0</v>
      </c>
      <c r="AN78" s="39"/>
      <c r="AO78" s="81">
        <v>0.0</v>
      </c>
      <c r="AP78" s="81">
        <v>0.0</v>
      </c>
      <c r="AQ78" s="39"/>
      <c r="AR78" s="7" t="s">
        <v>2178</v>
      </c>
      <c r="AS78" s="82"/>
      <c r="AT78" s="82"/>
      <c r="AU78" s="7"/>
      <c r="AV78" s="7"/>
      <c r="AW78" s="82"/>
      <c r="AX78" s="82"/>
      <c r="AY78" s="82"/>
      <c r="AZ78" s="82"/>
      <c r="BA78" s="82"/>
      <c r="BB78" s="7"/>
      <c r="BC78" s="82"/>
      <c r="BD78" s="7"/>
      <c r="BE78" s="7" t="s">
        <v>23</v>
      </c>
      <c r="BF78" s="7"/>
      <c r="BG78" s="7"/>
    </row>
    <row r="79">
      <c r="A79" s="16">
        <v>14.0</v>
      </c>
      <c r="B79" s="16" t="s">
        <v>263</v>
      </c>
      <c r="C79" s="53">
        <v>1.0</v>
      </c>
      <c r="D79" s="53" t="s">
        <v>272</v>
      </c>
      <c r="E79" s="7"/>
      <c r="F79" s="53"/>
      <c r="G79" s="7"/>
      <c r="H79" s="16">
        <v>1.0</v>
      </c>
      <c r="I79" s="81">
        <v>1.0</v>
      </c>
      <c r="J79" s="16" t="s">
        <v>92</v>
      </c>
      <c r="K79" s="53"/>
      <c r="L79" s="53"/>
      <c r="M79" s="39" t="str">
        <f t="shared" si="4"/>
        <v>[https://epubs.siam.org/doi/abs/10.1137/0205051 Cheriton-Tarjan (dense) (1976)]</v>
      </c>
      <c r="N79" s="107" t="s">
        <v>8196</v>
      </c>
      <c r="O79" s="81">
        <v>1976.0</v>
      </c>
      <c r="P79" s="28" t="s">
        <v>274</v>
      </c>
      <c r="Q79" s="82"/>
      <c r="R79" s="82"/>
      <c r="S79" s="82"/>
      <c r="T79" s="81">
        <v>0.0</v>
      </c>
      <c r="U79" s="16">
        <v>0.0</v>
      </c>
      <c r="V79" s="16"/>
      <c r="W79" s="16" t="s">
        <v>92</v>
      </c>
      <c r="X79" s="93" t="s">
        <v>2177</v>
      </c>
      <c r="Y79" s="93"/>
      <c r="Z79" s="93"/>
      <c r="AA79" s="93" t="s">
        <v>1813</v>
      </c>
      <c r="AB79" s="93" t="s">
        <v>1814</v>
      </c>
      <c r="AC79" s="93" t="s">
        <v>3053</v>
      </c>
      <c r="AD79" s="329" t="s">
        <v>2185</v>
      </c>
      <c r="AE79" s="93" t="s">
        <v>1993</v>
      </c>
      <c r="AF79" s="87"/>
      <c r="AG79" s="87"/>
      <c r="AH79" s="81">
        <v>0.0</v>
      </c>
      <c r="AI79" s="87"/>
      <c r="AJ79" s="81">
        <v>0.0</v>
      </c>
      <c r="AK79" s="90"/>
      <c r="AL79" s="81">
        <v>0.0</v>
      </c>
      <c r="AM79" s="81">
        <v>0.0</v>
      </c>
      <c r="AN79" s="39"/>
      <c r="AO79" s="81">
        <v>0.0</v>
      </c>
      <c r="AP79" s="81">
        <v>0.0</v>
      </c>
      <c r="AQ79" s="39"/>
      <c r="AR79" s="7" t="s">
        <v>2178</v>
      </c>
      <c r="AS79" s="82"/>
      <c r="AT79" s="82"/>
      <c r="AU79" s="7"/>
      <c r="AV79" s="7"/>
      <c r="AW79" s="82"/>
      <c r="AX79" s="82"/>
      <c r="AY79" s="82"/>
      <c r="AZ79" s="82"/>
      <c r="BA79" s="82"/>
      <c r="BB79" s="7"/>
      <c r="BC79" s="82"/>
      <c r="BD79" s="7"/>
      <c r="BE79" s="7" t="s">
        <v>23</v>
      </c>
      <c r="BF79" s="7"/>
      <c r="BG79" s="7"/>
    </row>
    <row r="80">
      <c r="A80" s="16">
        <v>14.0</v>
      </c>
      <c r="B80" s="16" t="s">
        <v>263</v>
      </c>
      <c r="C80" s="53">
        <v>1.0</v>
      </c>
      <c r="D80" s="53" t="s">
        <v>276</v>
      </c>
      <c r="E80" s="7"/>
      <c r="F80" s="53"/>
      <c r="G80" s="7"/>
      <c r="H80" s="16">
        <v>1.0</v>
      </c>
      <c r="I80" s="81">
        <v>1.0</v>
      </c>
      <c r="J80" s="16" t="s">
        <v>268</v>
      </c>
      <c r="K80" s="53"/>
      <c r="L80" s="53"/>
      <c r="M80" s="39" t="str">
        <f t="shared" si="4"/>
        <v>[https://epubs.siam.org/doi/abs/10.1137/0205051 Cheriton-Tarjan (planar) (1976)]</v>
      </c>
      <c r="N80" s="107" t="s">
        <v>8197</v>
      </c>
      <c r="O80" s="81">
        <v>1976.0</v>
      </c>
      <c r="P80" s="28" t="s">
        <v>274</v>
      </c>
      <c r="Q80" s="82"/>
      <c r="R80" s="82"/>
      <c r="S80" s="82"/>
      <c r="T80" s="81">
        <v>0.0</v>
      </c>
      <c r="U80" s="16">
        <v>0.0</v>
      </c>
      <c r="V80" s="16"/>
      <c r="W80" s="16" t="s">
        <v>268</v>
      </c>
      <c r="X80" s="93" t="s">
        <v>2177</v>
      </c>
      <c r="Y80" s="93"/>
      <c r="Z80" s="93"/>
      <c r="AA80" s="93" t="s">
        <v>1813</v>
      </c>
      <c r="AB80" s="93" t="s">
        <v>1814</v>
      </c>
      <c r="AC80" s="93" t="s">
        <v>3034</v>
      </c>
      <c r="AD80" s="329" t="s">
        <v>2534</v>
      </c>
      <c r="AE80" s="93" t="s">
        <v>1993</v>
      </c>
      <c r="AF80" s="87"/>
      <c r="AG80" s="87"/>
      <c r="AH80" s="81">
        <v>0.0</v>
      </c>
      <c r="AI80" s="87"/>
      <c r="AJ80" s="81">
        <v>0.0</v>
      </c>
      <c r="AK80" s="90"/>
      <c r="AL80" s="81">
        <v>0.0</v>
      </c>
      <c r="AM80" s="81">
        <v>0.0</v>
      </c>
      <c r="AN80" s="39"/>
      <c r="AO80" s="81">
        <v>0.0</v>
      </c>
      <c r="AP80" s="81">
        <v>0.0</v>
      </c>
      <c r="AQ80" s="39"/>
      <c r="AR80" s="7" t="s">
        <v>2178</v>
      </c>
      <c r="AS80" s="82"/>
      <c r="AT80" s="82"/>
      <c r="AU80" s="7"/>
      <c r="AV80" s="7"/>
      <c r="AW80" s="82"/>
      <c r="AX80" s="82"/>
      <c r="AY80" s="82"/>
      <c r="AZ80" s="82"/>
      <c r="BA80" s="82"/>
      <c r="BB80" s="7"/>
      <c r="BC80" s="82"/>
      <c r="BD80" s="7"/>
      <c r="BE80" s="7" t="s">
        <v>23</v>
      </c>
      <c r="BF80" s="7"/>
      <c r="BG80" s="7"/>
    </row>
    <row r="81">
      <c r="A81" s="16">
        <v>14.0</v>
      </c>
      <c r="B81" s="16" t="s">
        <v>263</v>
      </c>
      <c r="C81" s="53">
        <v>1.0</v>
      </c>
      <c r="D81" s="53" t="s">
        <v>264</v>
      </c>
      <c r="E81" s="7"/>
      <c r="F81" s="53"/>
      <c r="G81" s="7"/>
      <c r="H81" s="16">
        <v>1.0</v>
      </c>
      <c r="I81" s="81">
        <v>1.0</v>
      </c>
      <c r="J81" s="16" t="s">
        <v>8198</v>
      </c>
      <c r="K81" s="53"/>
      <c r="L81" s="53"/>
      <c r="M81" s="39" t="str">
        <f t="shared" si="4"/>
        <v>[https://link.springer.com/article/10.1007/BF02579168 Gabow et al, Section 2 (1986)]</v>
      </c>
      <c r="N81" s="16" t="s">
        <v>8199</v>
      </c>
      <c r="O81" s="83">
        <v>1986.0</v>
      </c>
      <c r="P81" s="25" t="s">
        <v>286</v>
      </c>
      <c r="Q81" s="82"/>
      <c r="R81" s="82"/>
      <c r="S81" s="82"/>
      <c r="T81" s="81">
        <v>0.0</v>
      </c>
      <c r="U81" s="16">
        <v>0.0</v>
      </c>
      <c r="V81" s="16"/>
      <c r="W81" s="16" t="s">
        <v>8198</v>
      </c>
      <c r="X81" s="93" t="s">
        <v>2177</v>
      </c>
      <c r="Y81" s="93"/>
      <c r="Z81" s="93"/>
      <c r="AA81" s="93" t="s">
        <v>1813</v>
      </c>
      <c r="AB81" s="93" t="s">
        <v>1814</v>
      </c>
      <c r="AC81" s="93" t="s">
        <v>3053</v>
      </c>
      <c r="AD81" s="329" t="s">
        <v>2185</v>
      </c>
      <c r="AE81" s="93"/>
      <c r="AF81" s="87"/>
      <c r="AG81" s="87"/>
      <c r="AH81" s="81">
        <v>0.0</v>
      </c>
      <c r="AI81" s="87"/>
      <c r="AJ81" s="81">
        <v>0.0</v>
      </c>
      <c r="AK81" s="90"/>
      <c r="AL81" s="81">
        <v>0.0</v>
      </c>
      <c r="AM81" s="81">
        <v>0.0</v>
      </c>
      <c r="AN81" s="39"/>
      <c r="AO81" s="81">
        <v>0.0</v>
      </c>
      <c r="AP81" s="81">
        <v>0.0</v>
      </c>
      <c r="AQ81" s="39"/>
      <c r="AR81" s="7" t="s">
        <v>2178</v>
      </c>
      <c r="AS81" s="82"/>
      <c r="AT81" s="82"/>
      <c r="AU81" s="7"/>
      <c r="AV81" s="7"/>
      <c r="AW81" s="82"/>
      <c r="AX81" s="82"/>
      <c r="AY81" s="82"/>
      <c r="AZ81" s="82"/>
      <c r="BA81" s="82"/>
      <c r="BB81" s="7"/>
      <c r="BC81" s="82"/>
      <c r="BD81" s="7"/>
      <c r="BE81" s="7" t="s">
        <v>23</v>
      </c>
      <c r="BF81" s="7"/>
      <c r="BG81" s="7"/>
    </row>
    <row r="82">
      <c r="A82" s="16">
        <v>14.0</v>
      </c>
      <c r="B82" s="16" t="s">
        <v>263</v>
      </c>
      <c r="C82" s="53">
        <v>2.0</v>
      </c>
      <c r="D82" s="53" t="s">
        <v>279</v>
      </c>
      <c r="E82" s="7"/>
      <c r="F82" s="53"/>
      <c r="G82" s="7"/>
      <c r="H82" s="16">
        <v>1.0</v>
      </c>
      <c r="I82" s="81">
        <v>1.0</v>
      </c>
      <c r="J82" s="16" t="s">
        <v>8200</v>
      </c>
      <c r="K82" s="53" t="s">
        <v>1945</v>
      </c>
      <c r="L82" s="53" t="s">
        <v>8201</v>
      </c>
      <c r="M82" s="39" t="str">
        <f t="shared" si="4"/>
        <v>[https://www.sciencedirect.com/science/article/pii/S0022000005800649?via%3Dihub Fredman &amp; Willard (1991)]</v>
      </c>
      <c r="N82" s="16" t="s">
        <v>8202</v>
      </c>
      <c r="O82" s="83">
        <v>1991.0</v>
      </c>
      <c r="P82" s="25" t="s">
        <v>281</v>
      </c>
      <c r="Q82" s="82"/>
      <c r="R82" s="82"/>
      <c r="S82" s="82"/>
      <c r="T82" s="81">
        <v>0.0</v>
      </c>
      <c r="U82" s="16">
        <v>0.0</v>
      </c>
      <c r="V82" s="16"/>
      <c r="W82" s="16" t="s">
        <v>8200</v>
      </c>
      <c r="X82" s="93" t="s">
        <v>2177</v>
      </c>
      <c r="Y82" s="93"/>
      <c r="Z82" s="93"/>
      <c r="AA82" s="93" t="s">
        <v>8203</v>
      </c>
      <c r="AB82" s="93" t="s">
        <v>1814</v>
      </c>
      <c r="AC82" s="93"/>
      <c r="AD82" s="329"/>
      <c r="AE82" s="93"/>
      <c r="AF82" s="87"/>
      <c r="AG82" s="87"/>
      <c r="AH82" s="81">
        <v>0.0</v>
      </c>
      <c r="AI82" s="87"/>
      <c r="AJ82" s="81">
        <v>0.0</v>
      </c>
      <c r="AK82" s="90"/>
      <c r="AL82" s="81">
        <v>0.0</v>
      </c>
      <c r="AM82" s="81">
        <v>0.0</v>
      </c>
      <c r="AN82" s="39"/>
      <c r="AO82" s="81">
        <v>0.0</v>
      </c>
      <c r="AP82" s="81">
        <v>0.0</v>
      </c>
      <c r="AQ82" s="39"/>
      <c r="AR82" s="7" t="s">
        <v>2178</v>
      </c>
      <c r="AS82" s="82"/>
      <c r="AT82" s="82"/>
      <c r="AU82" s="7"/>
      <c r="AV82" s="7"/>
      <c r="AW82" s="82"/>
      <c r="AX82" s="82"/>
      <c r="AY82" s="82"/>
      <c r="AZ82" s="82"/>
      <c r="BA82" s="82"/>
      <c r="BB82" s="7"/>
      <c r="BC82" s="82"/>
      <c r="BD82" s="7"/>
      <c r="BE82" s="7" t="s">
        <v>23</v>
      </c>
      <c r="BF82" s="7"/>
      <c r="BG82" s="7"/>
    </row>
    <row r="83">
      <c r="A83" s="16">
        <v>14.0</v>
      </c>
      <c r="B83" s="16" t="s">
        <v>263</v>
      </c>
      <c r="C83" s="53">
        <v>2.0</v>
      </c>
      <c r="D83" s="53" t="s">
        <v>264</v>
      </c>
      <c r="E83" s="7"/>
      <c r="F83" s="53"/>
      <c r="G83" s="7"/>
      <c r="H83" s="16">
        <v>1.0</v>
      </c>
      <c r="I83" s="81">
        <v>1.0</v>
      </c>
      <c r="J83" s="16" t="s">
        <v>92</v>
      </c>
      <c r="K83" s="53" t="s">
        <v>8204</v>
      </c>
      <c r="L83" s="96" t="s">
        <v>270</v>
      </c>
      <c r="M83" s="39" t="str">
        <f t="shared" si="4"/>
        <v>[https://dl.acm.org/doi/10.1145/505241.505243 Pettie, Ramachandran (2002)]</v>
      </c>
      <c r="N83" s="16" t="s">
        <v>8205</v>
      </c>
      <c r="O83" s="83">
        <v>2002.0</v>
      </c>
      <c r="P83" s="25" t="s">
        <v>270</v>
      </c>
      <c r="Q83" s="82"/>
      <c r="R83" s="82"/>
      <c r="S83" s="82"/>
      <c r="T83" s="81">
        <v>0.0</v>
      </c>
      <c r="U83" s="16">
        <v>0.0</v>
      </c>
      <c r="V83" s="16"/>
      <c r="W83" s="16" t="s">
        <v>8206</v>
      </c>
      <c r="X83" s="93" t="s">
        <v>2177</v>
      </c>
      <c r="Y83" s="93"/>
      <c r="Z83" s="93"/>
      <c r="AA83" s="93" t="s">
        <v>2337</v>
      </c>
      <c r="AB83" s="93" t="s">
        <v>1814</v>
      </c>
      <c r="AC83" s="93" t="s">
        <v>3053</v>
      </c>
      <c r="AD83" s="329" t="s">
        <v>2185</v>
      </c>
      <c r="AE83" s="93"/>
      <c r="AF83" s="87"/>
      <c r="AG83" s="87"/>
      <c r="AH83" s="81">
        <v>0.0</v>
      </c>
      <c r="AI83" s="87"/>
      <c r="AJ83" s="81">
        <v>0.0</v>
      </c>
      <c r="AK83" s="90"/>
      <c r="AL83" s="81">
        <v>0.0</v>
      </c>
      <c r="AM83" s="81">
        <v>0.0</v>
      </c>
      <c r="AN83" s="39"/>
      <c r="AO83" s="81">
        <v>0.0</v>
      </c>
      <c r="AP83" s="81">
        <v>0.0</v>
      </c>
      <c r="AQ83" s="39"/>
      <c r="AR83" s="7" t="s">
        <v>2178</v>
      </c>
      <c r="AS83" s="82"/>
      <c r="AT83" s="82"/>
      <c r="AU83" s="7"/>
      <c r="AV83" s="7"/>
      <c r="AW83" s="82"/>
      <c r="AX83" s="82"/>
      <c r="AY83" s="82"/>
      <c r="AZ83" s="82"/>
      <c r="BA83" s="82"/>
      <c r="BB83" s="7"/>
      <c r="BC83" s="82"/>
      <c r="BD83" s="7"/>
      <c r="BE83" s="7" t="s">
        <v>23</v>
      </c>
      <c r="BF83" s="7"/>
      <c r="BG83" s="7"/>
    </row>
    <row r="84">
      <c r="A84" s="16">
        <v>14.0</v>
      </c>
      <c r="B84" s="16" t="s">
        <v>263</v>
      </c>
      <c r="C84" s="53">
        <v>1.0</v>
      </c>
      <c r="D84" s="53" t="s">
        <v>282</v>
      </c>
      <c r="E84" s="7"/>
      <c r="F84" s="53"/>
      <c r="G84" s="7"/>
      <c r="H84" s="16">
        <v>1.0</v>
      </c>
      <c r="I84" s="81">
        <v>1.0</v>
      </c>
      <c r="J84" s="16" t="s">
        <v>8207</v>
      </c>
      <c r="K84" s="53"/>
      <c r="L84" s="53"/>
      <c r="M84" s="39" t="str">
        <f t="shared" si="4"/>
        <v>[https://nvlpubs.nist.gov/nistpubs/jres/71b/jresv71bn4p233_a1b.pdf Chu-Liu-Edmonds Algorithm (1965)]</v>
      </c>
      <c r="N84" s="16" t="s">
        <v>8208</v>
      </c>
      <c r="O84" s="83">
        <v>1965.0</v>
      </c>
      <c r="P84" s="25" t="s">
        <v>284</v>
      </c>
      <c r="Q84" s="82"/>
      <c r="R84" s="82"/>
      <c r="S84" s="82"/>
      <c r="T84" s="81">
        <v>0.0</v>
      </c>
      <c r="U84" s="16">
        <v>0.0</v>
      </c>
      <c r="V84" s="16"/>
      <c r="W84" s="16" t="s">
        <v>8207</v>
      </c>
      <c r="X84" s="93" t="s">
        <v>2177</v>
      </c>
      <c r="Y84" s="93"/>
      <c r="Z84" s="93"/>
      <c r="AA84" s="93" t="s">
        <v>1813</v>
      </c>
      <c r="AB84" s="93" t="s">
        <v>1814</v>
      </c>
      <c r="AC84" s="93" t="s">
        <v>8200</v>
      </c>
      <c r="AD84" s="329" t="s">
        <v>2185</v>
      </c>
      <c r="AE84" s="93" t="s">
        <v>8209</v>
      </c>
      <c r="AF84" s="87"/>
      <c r="AG84" s="87"/>
      <c r="AH84" s="81">
        <v>0.0</v>
      </c>
      <c r="AI84" s="87"/>
      <c r="AJ84" s="81">
        <v>0.0</v>
      </c>
      <c r="AK84" s="90"/>
      <c r="AL84" s="81">
        <v>0.0</v>
      </c>
      <c r="AM84" s="81">
        <v>0.0</v>
      </c>
      <c r="AN84" s="39"/>
      <c r="AO84" s="81">
        <v>0.0</v>
      </c>
      <c r="AP84" s="81">
        <v>0.0</v>
      </c>
      <c r="AQ84" s="25" t="s">
        <v>8210</v>
      </c>
      <c r="AR84" s="7" t="s">
        <v>2178</v>
      </c>
      <c r="AS84" s="82"/>
      <c r="AT84" s="82"/>
      <c r="AU84" s="7"/>
      <c r="AV84" s="7"/>
      <c r="AW84" s="82"/>
      <c r="AX84" s="82"/>
      <c r="AY84" s="82"/>
      <c r="AZ84" s="82"/>
      <c r="BA84" s="82"/>
      <c r="BB84" s="7"/>
      <c r="BC84" s="82"/>
      <c r="BD84" s="7"/>
      <c r="BE84" s="7" t="s">
        <v>23</v>
      </c>
      <c r="BF84" s="7"/>
      <c r="BG84" s="7"/>
    </row>
    <row r="85">
      <c r="A85" s="16">
        <v>14.0</v>
      </c>
      <c r="B85" s="16" t="s">
        <v>263</v>
      </c>
      <c r="C85" s="53">
        <v>2.0</v>
      </c>
      <c r="D85" s="53" t="s">
        <v>282</v>
      </c>
      <c r="E85" s="7"/>
      <c r="F85" s="53"/>
      <c r="G85" s="7"/>
      <c r="H85" s="16">
        <v>1.0</v>
      </c>
      <c r="I85" s="81">
        <v>1.0</v>
      </c>
      <c r="J85" s="16" t="s">
        <v>8211</v>
      </c>
      <c r="K85" s="53" t="s">
        <v>8212</v>
      </c>
      <c r="L85" s="96" t="s">
        <v>289</v>
      </c>
      <c r="M85" s="39" t="str">
        <f t="shared" si="4"/>
        <v>[https://onlinelibrary.wiley.com/doi/10.1002/net.3230070103 Tarjan (directed, general) (1987)]</v>
      </c>
      <c r="N85" s="107" t="s">
        <v>8213</v>
      </c>
      <c r="O85" s="83">
        <v>1987.0</v>
      </c>
      <c r="P85" s="25" t="s">
        <v>289</v>
      </c>
      <c r="Q85" s="82"/>
      <c r="R85" s="82"/>
      <c r="S85" s="82"/>
      <c r="T85" s="81">
        <v>0.0</v>
      </c>
      <c r="U85" s="16">
        <v>0.0</v>
      </c>
      <c r="V85" s="16"/>
      <c r="W85" s="16" t="s">
        <v>3030</v>
      </c>
      <c r="X85" s="93" t="s">
        <v>2177</v>
      </c>
      <c r="Y85" s="93"/>
      <c r="Z85" s="93"/>
      <c r="AA85" s="93" t="s">
        <v>1813</v>
      </c>
      <c r="AB85" s="93" t="s">
        <v>1814</v>
      </c>
      <c r="AC85" s="93" t="s">
        <v>92</v>
      </c>
      <c r="AD85" s="329" t="s">
        <v>2185</v>
      </c>
      <c r="AE85" s="126" t="s">
        <v>289</v>
      </c>
      <c r="AF85" s="87"/>
      <c r="AG85" s="87"/>
      <c r="AH85" s="81">
        <v>0.0</v>
      </c>
      <c r="AI85" s="87"/>
      <c r="AJ85" s="81">
        <v>0.0</v>
      </c>
      <c r="AK85" s="90"/>
      <c r="AL85" s="81">
        <v>0.0</v>
      </c>
      <c r="AM85" s="81">
        <v>0.0</v>
      </c>
      <c r="AN85" s="39"/>
      <c r="AO85" s="81">
        <v>0.0</v>
      </c>
      <c r="AP85" s="81">
        <v>0.0</v>
      </c>
      <c r="AQ85" s="39"/>
      <c r="AR85" s="7" t="s">
        <v>2178</v>
      </c>
      <c r="AS85" s="82"/>
      <c r="AT85" s="82"/>
      <c r="AU85" s="7"/>
      <c r="AV85" s="7"/>
      <c r="AW85" s="82"/>
      <c r="AX85" s="82"/>
      <c r="AY85" s="82"/>
      <c r="AZ85" s="82"/>
      <c r="BA85" s="82"/>
      <c r="BB85" s="7"/>
      <c r="BC85" s="82"/>
      <c r="BD85" s="7"/>
      <c r="BE85" s="7" t="s">
        <v>23</v>
      </c>
      <c r="BF85" s="7"/>
      <c r="BG85" s="7"/>
    </row>
    <row r="86">
      <c r="A86" s="16">
        <v>14.0</v>
      </c>
      <c r="B86" s="16" t="s">
        <v>263</v>
      </c>
      <c r="C86" s="53">
        <v>1.0</v>
      </c>
      <c r="D86" s="53" t="s">
        <v>287</v>
      </c>
      <c r="E86" s="7"/>
      <c r="F86" s="53"/>
      <c r="G86" s="7"/>
      <c r="H86" s="16">
        <v>1.0</v>
      </c>
      <c r="I86" s="81">
        <v>1.0</v>
      </c>
      <c r="J86" s="16" t="s">
        <v>251</v>
      </c>
      <c r="K86" s="53"/>
      <c r="L86" s="351"/>
      <c r="M86" s="39" t="str">
        <f t="shared" si="4"/>
        <v>[https://onlinelibrary.wiley.com/doi/10.1002/net.3230070103 Tarjan (directed, dense) (1987)]</v>
      </c>
      <c r="N86" s="107" t="s">
        <v>8214</v>
      </c>
      <c r="O86" s="83">
        <v>1987.0</v>
      </c>
      <c r="P86" s="25" t="s">
        <v>289</v>
      </c>
      <c r="Q86" s="82"/>
      <c r="R86" s="82"/>
      <c r="S86" s="82"/>
      <c r="T86" s="81">
        <v>0.0</v>
      </c>
      <c r="U86" s="16">
        <v>0.0</v>
      </c>
      <c r="V86" s="16"/>
      <c r="W86" s="16" t="s">
        <v>251</v>
      </c>
      <c r="X86" s="93" t="s">
        <v>2177</v>
      </c>
      <c r="Y86" s="93"/>
      <c r="Z86" s="93"/>
      <c r="AA86" s="93" t="s">
        <v>1813</v>
      </c>
      <c r="AB86" s="93" t="s">
        <v>1814</v>
      </c>
      <c r="AC86" s="93" t="s">
        <v>92</v>
      </c>
      <c r="AD86" s="329" t="s">
        <v>2185</v>
      </c>
      <c r="AE86" s="126" t="s">
        <v>289</v>
      </c>
      <c r="AF86" s="87"/>
      <c r="AG86" s="87"/>
      <c r="AH86" s="81">
        <v>0.0</v>
      </c>
      <c r="AI86" s="87"/>
      <c r="AJ86" s="81">
        <v>0.0</v>
      </c>
      <c r="AK86" s="90"/>
      <c r="AL86" s="81">
        <v>0.0</v>
      </c>
      <c r="AM86" s="81">
        <v>0.0</v>
      </c>
      <c r="AN86" s="39"/>
      <c r="AO86" s="81">
        <v>0.0</v>
      </c>
      <c r="AP86" s="81">
        <v>0.0</v>
      </c>
      <c r="AQ86" s="39"/>
      <c r="AR86" s="7" t="s">
        <v>2178</v>
      </c>
      <c r="AS86" s="82"/>
      <c r="AT86" s="82"/>
      <c r="AU86" s="7"/>
      <c r="AV86" s="7"/>
      <c r="AW86" s="82"/>
      <c r="AX86" s="82"/>
      <c r="AY86" s="82"/>
      <c r="AZ86" s="82"/>
      <c r="BA86" s="82"/>
      <c r="BB86" s="7"/>
      <c r="BC86" s="82"/>
      <c r="BD86" s="7"/>
      <c r="BE86" s="7" t="s">
        <v>23</v>
      </c>
      <c r="BF86" s="7"/>
      <c r="BG86" s="7"/>
    </row>
    <row r="87">
      <c r="A87" s="16">
        <v>14.0</v>
      </c>
      <c r="B87" s="16" t="s">
        <v>263</v>
      </c>
      <c r="C87" s="53">
        <v>1.0</v>
      </c>
      <c r="D87" s="53" t="s">
        <v>282</v>
      </c>
      <c r="E87" s="7"/>
      <c r="F87" s="53"/>
      <c r="G87" s="7"/>
      <c r="H87" s="16">
        <v>1.0</v>
      </c>
      <c r="I87" s="81">
        <v>1.0</v>
      </c>
      <c r="J87" s="16" t="s">
        <v>8215</v>
      </c>
      <c r="K87" s="53"/>
      <c r="L87" s="53"/>
      <c r="M87" s="39" t="str">
        <f t="shared" si="4"/>
        <v>[https://ieeexplore.ieee.org/abstract/document/715935 Gabow, Galil, Spencer (1984)]</v>
      </c>
      <c r="N87" s="16" t="s">
        <v>8216</v>
      </c>
      <c r="O87" s="83">
        <v>1984.0</v>
      </c>
      <c r="P87" s="25" t="s">
        <v>8217</v>
      </c>
      <c r="Q87" s="82"/>
      <c r="R87" s="82"/>
      <c r="S87" s="82"/>
      <c r="T87" s="81">
        <v>0.0</v>
      </c>
      <c r="U87" s="16">
        <v>0.0</v>
      </c>
      <c r="V87" s="16"/>
      <c r="W87" s="16" t="s">
        <v>8215</v>
      </c>
      <c r="X87" s="93" t="s">
        <v>2177</v>
      </c>
      <c r="Y87" s="93"/>
      <c r="Z87" s="93"/>
      <c r="AA87" s="93" t="s">
        <v>1813</v>
      </c>
      <c r="AB87" s="93" t="s">
        <v>1814</v>
      </c>
      <c r="AC87" s="93" t="s">
        <v>92</v>
      </c>
      <c r="AD87" s="329" t="s">
        <v>2185</v>
      </c>
      <c r="AE87" s="93" t="s">
        <v>8209</v>
      </c>
      <c r="AF87" s="87"/>
      <c r="AG87" s="87"/>
      <c r="AH87" s="81">
        <v>0.0</v>
      </c>
      <c r="AI87" s="87"/>
      <c r="AJ87" s="81">
        <v>0.0</v>
      </c>
      <c r="AK87" s="90"/>
      <c r="AL87" s="81">
        <v>0.0</v>
      </c>
      <c r="AM87" s="81">
        <v>0.0</v>
      </c>
      <c r="AN87" s="39"/>
      <c r="AO87" s="81">
        <v>0.0</v>
      </c>
      <c r="AP87" s="81">
        <v>0.0</v>
      </c>
      <c r="AQ87" s="39"/>
      <c r="AR87" s="7" t="s">
        <v>2178</v>
      </c>
      <c r="AS87" s="82"/>
      <c r="AT87" s="82"/>
      <c r="AU87" s="7"/>
      <c r="AV87" s="7"/>
      <c r="AW87" s="82"/>
      <c r="AX87" s="82"/>
      <c r="AY87" s="82"/>
      <c r="AZ87" s="82"/>
      <c r="BA87" s="82"/>
      <c r="BB87" s="7"/>
      <c r="BC87" s="82"/>
      <c r="BD87" s="7"/>
      <c r="BE87" s="7" t="s">
        <v>23</v>
      </c>
      <c r="BF87" s="7"/>
      <c r="BG87" s="7"/>
    </row>
    <row r="88">
      <c r="A88" s="16">
        <v>14.0</v>
      </c>
      <c r="B88" s="16" t="s">
        <v>263</v>
      </c>
      <c r="C88" s="53">
        <v>1.0</v>
      </c>
      <c r="D88" s="53" t="s">
        <v>282</v>
      </c>
      <c r="E88" s="7"/>
      <c r="F88" s="53"/>
      <c r="G88" s="7"/>
      <c r="H88" s="16">
        <v>1.0</v>
      </c>
      <c r="I88" s="81">
        <v>1.0</v>
      </c>
      <c r="J88" s="16" t="s">
        <v>285</v>
      </c>
      <c r="K88" s="53"/>
      <c r="L88" s="53"/>
      <c r="M88" s="39" t="str">
        <f t="shared" si="4"/>
        <v>[https://link.springer.com/article/10.1007/BF02579168 Gabow et al, Section 3 (1986)]</v>
      </c>
      <c r="N88" s="16" t="s">
        <v>8218</v>
      </c>
      <c r="O88" s="83">
        <v>1986.0</v>
      </c>
      <c r="P88" s="25" t="s">
        <v>286</v>
      </c>
      <c r="Q88" s="82"/>
      <c r="R88" s="82"/>
      <c r="S88" s="82"/>
      <c r="T88" s="81">
        <v>0.0</v>
      </c>
      <c r="U88" s="16">
        <v>0.0</v>
      </c>
      <c r="V88" s="16"/>
      <c r="W88" s="16" t="s">
        <v>285</v>
      </c>
      <c r="X88" s="93" t="s">
        <v>2177</v>
      </c>
      <c r="Y88" s="93"/>
      <c r="Z88" s="93"/>
      <c r="AA88" s="93" t="s">
        <v>1813</v>
      </c>
      <c r="AB88" s="93" t="s">
        <v>1814</v>
      </c>
      <c r="AC88" s="93" t="s">
        <v>8200</v>
      </c>
      <c r="AD88" s="329" t="s">
        <v>2185</v>
      </c>
      <c r="AE88" s="93" t="s">
        <v>8209</v>
      </c>
      <c r="AF88" s="87"/>
      <c r="AG88" s="87"/>
      <c r="AH88" s="81">
        <v>0.0</v>
      </c>
      <c r="AI88" s="87"/>
      <c r="AJ88" s="81">
        <v>0.0</v>
      </c>
      <c r="AK88" s="90"/>
      <c r="AL88" s="81">
        <v>0.0</v>
      </c>
      <c r="AM88" s="81">
        <v>0.0</v>
      </c>
      <c r="AN88" s="39"/>
      <c r="AO88" s="81">
        <v>0.0</v>
      </c>
      <c r="AP88" s="81">
        <v>0.0</v>
      </c>
      <c r="AQ88" s="39"/>
      <c r="AR88" s="7" t="s">
        <v>2178</v>
      </c>
      <c r="AS88" s="82"/>
      <c r="AT88" s="82"/>
      <c r="AU88" s="7"/>
      <c r="AV88" s="7"/>
      <c r="AW88" s="82"/>
      <c r="AX88" s="82"/>
      <c r="AY88" s="82"/>
      <c r="AZ88" s="82"/>
      <c r="BA88" s="82"/>
      <c r="BB88" s="7"/>
      <c r="BC88" s="82"/>
      <c r="BD88" s="7"/>
      <c r="BE88" s="7" t="s">
        <v>23</v>
      </c>
      <c r="BF88" s="7"/>
      <c r="BG88" s="7"/>
    </row>
    <row r="89">
      <c r="A89" s="16">
        <v>15.0</v>
      </c>
      <c r="B89" s="16" t="s">
        <v>291</v>
      </c>
      <c r="C89" s="53">
        <v>1.0</v>
      </c>
      <c r="D89" s="53" t="s">
        <v>8219</v>
      </c>
      <c r="E89" s="7"/>
      <c r="F89" s="53"/>
      <c r="G89" s="7"/>
      <c r="H89" s="16">
        <v>1.0</v>
      </c>
      <c r="I89" s="81">
        <v>1.0</v>
      </c>
      <c r="J89" s="16" t="s">
        <v>3086</v>
      </c>
      <c r="K89" s="53" t="s">
        <v>2182</v>
      </c>
      <c r="L89" s="53"/>
      <c r="M89" s="39" t="str">
        <f t="shared" si="4"/>
        <v>[https://www.sciencedirect.com/science/article/pii/S0890540185710498?via%3Dihub Khuller, Matias (1995)]</v>
      </c>
      <c r="N89" s="16" t="s">
        <v>8220</v>
      </c>
      <c r="O89" s="83">
        <v>1995.0</v>
      </c>
      <c r="P89" s="17" t="s">
        <v>8221</v>
      </c>
      <c r="Q89" s="82"/>
      <c r="R89" s="82"/>
      <c r="S89" s="82"/>
      <c r="T89" s="81"/>
      <c r="U89" s="39"/>
      <c r="V89" s="16"/>
      <c r="W89" s="16" t="s">
        <v>8222</v>
      </c>
      <c r="X89" s="93" t="s">
        <v>2191</v>
      </c>
      <c r="Y89" s="93"/>
      <c r="Z89" s="93"/>
      <c r="AA89" s="93" t="s">
        <v>2152</v>
      </c>
      <c r="AB89" s="93" t="s">
        <v>1814</v>
      </c>
      <c r="AC89" s="93" t="s">
        <v>35</v>
      </c>
      <c r="AD89" s="338" t="s">
        <v>1763</v>
      </c>
      <c r="AE89" s="339" t="s">
        <v>8221</v>
      </c>
      <c r="AF89" s="87"/>
      <c r="AG89" s="87"/>
      <c r="AH89" s="81">
        <v>1.0</v>
      </c>
      <c r="AI89" s="84" t="s">
        <v>2187</v>
      </c>
      <c r="AJ89" s="81">
        <v>0.0</v>
      </c>
      <c r="AK89" s="90"/>
      <c r="AL89" s="81">
        <v>0.0</v>
      </c>
      <c r="AM89" s="81">
        <v>0.0</v>
      </c>
      <c r="AN89" s="39"/>
      <c r="AO89" s="81">
        <v>0.0</v>
      </c>
      <c r="AP89" s="81">
        <v>0.0</v>
      </c>
      <c r="AQ89" s="39"/>
      <c r="AR89" s="7" t="s">
        <v>2192</v>
      </c>
      <c r="AS89" s="82"/>
      <c r="AT89" s="82"/>
      <c r="AU89" s="7"/>
      <c r="AV89" s="7"/>
      <c r="AW89" s="82"/>
      <c r="AX89" s="7"/>
      <c r="AY89" s="7"/>
      <c r="AZ89" s="7"/>
      <c r="BA89" s="7"/>
      <c r="BB89" s="7"/>
      <c r="BC89" s="82"/>
      <c r="BD89" s="7"/>
      <c r="BE89" s="7" t="s">
        <v>196</v>
      </c>
      <c r="BF89" s="7"/>
      <c r="BG89" s="7"/>
    </row>
    <row r="90">
      <c r="A90" s="16">
        <v>16.0</v>
      </c>
      <c r="B90" s="16" t="s">
        <v>8223</v>
      </c>
      <c r="C90" s="53">
        <v>1.0</v>
      </c>
      <c r="D90" s="53" t="s">
        <v>8224</v>
      </c>
      <c r="E90" s="7"/>
      <c r="F90" s="53"/>
      <c r="G90" s="7"/>
      <c r="H90" s="16">
        <v>1.0</v>
      </c>
      <c r="I90" s="81">
        <v>1.0</v>
      </c>
      <c r="J90" s="16" t="s">
        <v>8225</v>
      </c>
      <c r="K90" s="53"/>
      <c r="L90" s="53"/>
      <c r="M90" s="39" t="str">
        <f t="shared" si="4"/>
        <v>[https://dl.acm.org/doi/10.1145/363269.363610 Dial's Algorithm (1969)]</v>
      </c>
      <c r="N90" s="16" t="s">
        <v>8226</v>
      </c>
      <c r="O90" s="83">
        <v>1969.0</v>
      </c>
      <c r="P90" s="47" t="s">
        <v>8227</v>
      </c>
      <c r="Q90" s="7"/>
      <c r="R90" s="7"/>
      <c r="S90" s="352"/>
      <c r="T90" s="16"/>
      <c r="U90" s="16"/>
      <c r="V90" s="16"/>
      <c r="W90" s="16" t="s">
        <v>8225</v>
      </c>
      <c r="X90" s="93" t="s">
        <v>3108</v>
      </c>
      <c r="Y90" s="93"/>
      <c r="Z90" s="93"/>
      <c r="AA90" s="93" t="s">
        <v>1813</v>
      </c>
      <c r="AB90" s="93" t="s">
        <v>1814</v>
      </c>
      <c r="AC90" s="93" t="s">
        <v>3136</v>
      </c>
      <c r="AD90" s="329" t="s">
        <v>3135</v>
      </c>
      <c r="AE90" s="353" t="s">
        <v>8228</v>
      </c>
      <c r="AF90" s="87"/>
      <c r="AG90" s="87"/>
      <c r="AH90" s="81">
        <v>0.0</v>
      </c>
      <c r="AI90" s="87"/>
      <c r="AJ90" s="81">
        <v>0.0</v>
      </c>
      <c r="AK90" s="90"/>
      <c r="AL90" s="81">
        <v>0.0</v>
      </c>
      <c r="AM90" s="81">
        <v>0.0</v>
      </c>
      <c r="AN90" s="39"/>
      <c r="AO90" s="81">
        <v>0.0</v>
      </c>
      <c r="AP90" s="81">
        <v>0.0</v>
      </c>
      <c r="AQ90" s="39"/>
      <c r="AR90" s="7" t="s">
        <v>3110</v>
      </c>
      <c r="AS90" s="82"/>
      <c r="AT90" s="82"/>
      <c r="AU90" s="7"/>
      <c r="AV90" s="7"/>
      <c r="AW90" s="82"/>
      <c r="AX90" s="82"/>
      <c r="AY90" s="82"/>
      <c r="AZ90" s="82"/>
      <c r="BA90" s="82"/>
      <c r="BB90" s="7"/>
      <c r="BC90" s="82"/>
      <c r="BD90" s="7"/>
      <c r="BE90" s="7" t="s">
        <v>23</v>
      </c>
      <c r="BF90" s="7"/>
      <c r="BG90" s="7"/>
    </row>
    <row r="91">
      <c r="A91" s="16"/>
      <c r="B91" s="16" t="s">
        <v>8229</v>
      </c>
      <c r="C91" s="53">
        <v>1.0</v>
      </c>
      <c r="D91" s="53" t="s">
        <v>8230</v>
      </c>
      <c r="E91" s="7"/>
      <c r="F91" s="53"/>
      <c r="G91" s="7"/>
      <c r="H91" s="16">
        <v>1.0</v>
      </c>
      <c r="I91" s="81">
        <v>1.0</v>
      </c>
      <c r="J91" s="16" t="s">
        <v>92</v>
      </c>
      <c r="K91" s="53"/>
      <c r="L91" s="53"/>
      <c r="M91" s="39" t="str">
        <f t="shared" si="4"/>
        <v>[https://dl.acm.org/doi/10.1145/316542.316548 Thorup (1999)]</v>
      </c>
      <c r="N91" s="16" t="s">
        <v>3183</v>
      </c>
      <c r="O91" s="83">
        <v>1999.0</v>
      </c>
      <c r="P91" s="47" t="s">
        <v>8231</v>
      </c>
      <c r="Q91" s="7"/>
      <c r="R91" s="7"/>
      <c r="S91" s="352"/>
      <c r="T91" s="16"/>
      <c r="U91" s="16"/>
      <c r="V91" s="16"/>
      <c r="W91" s="16" t="s">
        <v>92</v>
      </c>
      <c r="X91" s="93" t="s">
        <v>3108</v>
      </c>
      <c r="Y91" s="93"/>
      <c r="Z91" s="93"/>
      <c r="AA91" s="93" t="s">
        <v>1813</v>
      </c>
      <c r="AB91" s="93" t="s">
        <v>1814</v>
      </c>
      <c r="AC91" s="93" t="s">
        <v>92</v>
      </c>
      <c r="AD91" s="329" t="s">
        <v>2185</v>
      </c>
      <c r="AE91" s="331" t="s">
        <v>8231</v>
      </c>
      <c r="AF91" s="87"/>
      <c r="AG91" s="87"/>
      <c r="AH91" s="81">
        <v>0.0</v>
      </c>
      <c r="AI91" s="87"/>
      <c r="AJ91" s="81">
        <v>0.0</v>
      </c>
      <c r="AK91" s="90"/>
      <c r="AL91" s="81">
        <v>0.0</v>
      </c>
      <c r="AM91" s="81">
        <v>0.0</v>
      </c>
      <c r="AN91" s="39"/>
      <c r="AO91" s="81">
        <v>0.0</v>
      </c>
      <c r="AP91" s="81">
        <v>0.0</v>
      </c>
      <c r="AQ91" s="39"/>
      <c r="AR91" s="7" t="s">
        <v>3110</v>
      </c>
      <c r="AS91" s="82"/>
      <c r="AT91" s="82"/>
      <c r="AU91" s="7"/>
      <c r="AV91" s="7"/>
      <c r="AW91" s="82"/>
      <c r="AX91" s="82"/>
      <c r="AY91" s="82"/>
      <c r="AZ91" s="82"/>
      <c r="BA91" s="82"/>
      <c r="BB91" s="7"/>
      <c r="BC91" s="82"/>
      <c r="BD91" s="7"/>
      <c r="BE91" s="7" t="s">
        <v>23</v>
      </c>
      <c r="BF91" s="7"/>
      <c r="BG91" s="7"/>
    </row>
    <row r="92">
      <c r="A92" s="16"/>
      <c r="B92" s="16" t="s">
        <v>8232</v>
      </c>
      <c r="C92" s="7">
        <v>1.0</v>
      </c>
      <c r="D92" s="53" t="s">
        <v>8014</v>
      </c>
      <c r="E92" s="7"/>
      <c r="F92" s="53"/>
      <c r="G92" s="16"/>
      <c r="H92" s="83">
        <v>1.0</v>
      </c>
      <c r="I92" s="9">
        <v>1.0</v>
      </c>
      <c r="J92" s="7" t="s">
        <v>1873</v>
      </c>
      <c r="K92" s="53"/>
      <c r="L92" s="90"/>
      <c r="M92" s="39" t="str">
        <f t="shared" si="4"/>
        <v>[https://www.tandfonline.com/doi/abs/10.1080/0022250x.2001.9990249 Brandes (2000)]</v>
      </c>
      <c r="N92" s="321" t="s">
        <v>8233</v>
      </c>
      <c r="O92" s="322">
        <v>2000.0</v>
      </c>
      <c r="P92" s="47" t="s">
        <v>8234</v>
      </c>
      <c r="Q92" s="82"/>
      <c r="R92" s="82"/>
      <c r="S92" s="81"/>
      <c r="T92" s="81"/>
      <c r="U92" s="39"/>
      <c r="V92" s="7"/>
      <c r="W92" s="7" t="s">
        <v>1873</v>
      </c>
      <c r="X92" s="93" t="s">
        <v>2102</v>
      </c>
      <c r="Y92" s="85"/>
      <c r="Z92" s="85"/>
      <c r="AA92" s="85" t="s">
        <v>1928</v>
      </c>
      <c r="AB92" s="131"/>
      <c r="AC92" s="85" t="s">
        <v>1883</v>
      </c>
      <c r="AD92" s="325" t="s">
        <v>2524</v>
      </c>
      <c r="AE92" s="126" t="s">
        <v>8234</v>
      </c>
      <c r="AF92" s="21"/>
      <c r="AG92" s="87"/>
      <c r="AH92" s="16">
        <v>0.0</v>
      </c>
      <c r="AI92" s="87"/>
      <c r="AJ92" s="83">
        <v>0.0</v>
      </c>
      <c r="AK92" s="116"/>
      <c r="AL92" s="83">
        <v>0.0</v>
      </c>
      <c r="AM92" s="322">
        <v>0.0</v>
      </c>
      <c r="AN92" s="7"/>
      <c r="AO92" s="7">
        <v>0.0</v>
      </c>
      <c r="AP92" s="7">
        <v>0.0</v>
      </c>
      <c r="AQ92" s="7"/>
      <c r="AR92" s="7" t="s">
        <v>8235</v>
      </c>
      <c r="AS92" s="82"/>
      <c r="AT92" s="82"/>
      <c r="AU92" s="82"/>
      <c r="AV92" s="82"/>
      <c r="AW92" s="7"/>
      <c r="AX92" s="82"/>
      <c r="AY92" s="7"/>
      <c r="AZ92" s="7"/>
      <c r="BA92" s="7"/>
      <c r="BB92" s="7"/>
      <c r="BC92" s="7"/>
      <c r="BD92" s="7"/>
      <c r="BE92" s="7"/>
      <c r="BF92" s="7"/>
      <c r="BG92" s="7"/>
    </row>
    <row r="93">
      <c r="A93" s="16"/>
      <c r="B93" s="16" t="s">
        <v>8232</v>
      </c>
      <c r="C93" s="7">
        <v>1.0</v>
      </c>
      <c r="D93" s="53" t="s">
        <v>6779</v>
      </c>
      <c r="E93" s="7"/>
      <c r="F93" s="53"/>
      <c r="G93" s="16"/>
      <c r="H93" s="83">
        <v>1.0</v>
      </c>
      <c r="I93" s="9">
        <v>1.0</v>
      </c>
      <c r="J93" s="7" t="s">
        <v>8236</v>
      </c>
      <c r="K93" s="53"/>
      <c r="L93" s="90"/>
      <c r="M93" s="39" t="str">
        <f t="shared" si="4"/>
        <v>[https://www.tandfonline.com/doi/abs/10.1080/0022250x.2001.9990249 Brandes (2000)]</v>
      </c>
      <c r="N93" s="321" t="s">
        <v>8233</v>
      </c>
      <c r="O93" s="322">
        <v>2000.0</v>
      </c>
      <c r="P93" s="47" t="s">
        <v>8234</v>
      </c>
      <c r="Q93" s="82"/>
      <c r="R93" s="82"/>
      <c r="S93" s="81"/>
      <c r="T93" s="81"/>
      <c r="U93" s="39"/>
      <c r="V93" s="7"/>
      <c r="W93" s="7" t="s">
        <v>8236</v>
      </c>
      <c r="X93" s="93" t="s">
        <v>2102</v>
      </c>
      <c r="Y93" s="85"/>
      <c r="Z93" s="85"/>
      <c r="AA93" s="85" t="s">
        <v>1928</v>
      </c>
      <c r="AB93" s="131"/>
      <c r="AC93" s="85" t="s">
        <v>1883</v>
      </c>
      <c r="AD93" s="325" t="s">
        <v>2524</v>
      </c>
      <c r="AE93" s="126" t="s">
        <v>8234</v>
      </c>
      <c r="AF93" s="84"/>
      <c r="AG93" s="87"/>
      <c r="AH93" s="83">
        <v>0.0</v>
      </c>
      <c r="AI93" s="87"/>
      <c r="AJ93" s="83">
        <v>0.0</v>
      </c>
      <c r="AK93" s="116"/>
      <c r="AL93" s="83">
        <v>0.0</v>
      </c>
      <c r="AM93" s="322">
        <v>0.0</v>
      </c>
      <c r="AN93" s="7"/>
      <c r="AO93" s="7">
        <v>0.0</v>
      </c>
      <c r="AP93" s="7">
        <v>0.0</v>
      </c>
      <c r="AQ93" s="7"/>
      <c r="AR93" s="7" t="s">
        <v>8235</v>
      </c>
      <c r="AS93" s="82"/>
      <c r="AT93" s="82"/>
      <c r="AU93" s="82"/>
      <c r="AV93" s="82"/>
      <c r="AW93" s="7"/>
      <c r="AX93" s="82"/>
      <c r="AY93" s="7"/>
      <c r="AZ93" s="7"/>
      <c r="BA93" s="7"/>
      <c r="BB93" s="7"/>
      <c r="BC93" s="7"/>
      <c r="BD93" s="7"/>
      <c r="BE93" s="7"/>
      <c r="BF93" s="7"/>
      <c r="BG93" s="7"/>
    </row>
    <row r="94">
      <c r="A94" s="16"/>
      <c r="B94" s="16" t="s">
        <v>342</v>
      </c>
      <c r="C94" s="7">
        <v>1.0</v>
      </c>
      <c r="D94" s="53" t="s">
        <v>8237</v>
      </c>
      <c r="E94" s="7"/>
      <c r="F94" s="53"/>
      <c r="H94" s="9">
        <v>1.0</v>
      </c>
      <c r="I94" s="9">
        <v>1.0</v>
      </c>
      <c r="J94" s="9" t="s">
        <v>8238</v>
      </c>
      <c r="K94" s="53"/>
      <c r="L94" s="53"/>
      <c r="M94" s="39" t="str">
        <f t="shared" si="4"/>
        <v>[https://dl.acm.org/doi/10.1145/321992.321993 Johnson's algorithm (1977)]</v>
      </c>
      <c r="N94" s="9" t="s">
        <v>8239</v>
      </c>
      <c r="O94" s="354">
        <v>1977.0</v>
      </c>
      <c r="P94" s="18" t="s">
        <v>359</v>
      </c>
      <c r="V94" s="9"/>
      <c r="W94" s="9" t="s">
        <v>8240</v>
      </c>
      <c r="X94" s="93" t="s">
        <v>2542</v>
      </c>
      <c r="Y94" s="355"/>
      <c r="Z94" s="355"/>
      <c r="AA94" s="355"/>
      <c r="AB94" s="355"/>
      <c r="AC94" s="355"/>
      <c r="AD94" s="356"/>
      <c r="AE94" s="355"/>
      <c r="AF94" s="143"/>
      <c r="AG94" s="87"/>
      <c r="AI94" s="143"/>
      <c r="AK94" s="143"/>
      <c r="AR94" s="7" t="s">
        <v>3110</v>
      </c>
      <c r="BE94" s="7" t="s">
        <v>23</v>
      </c>
    </row>
    <row r="95">
      <c r="A95" s="16"/>
      <c r="B95" s="16" t="s">
        <v>342</v>
      </c>
      <c r="C95" s="7">
        <v>1.0</v>
      </c>
      <c r="D95" s="53" t="s">
        <v>8241</v>
      </c>
      <c r="E95" s="7"/>
      <c r="F95" s="53"/>
      <c r="H95" s="9">
        <v>1.0</v>
      </c>
      <c r="I95" s="9">
        <v>1.0</v>
      </c>
      <c r="J95" s="9" t="s">
        <v>8242</v>
      </c>
      <c r="K95" s="53"/>
      <c r="L95" s="53"/>
      <c r="M95" s="39" t="str">
        <f t="shared" si="4"/>
        <v>[https://dl.acm.org/doi/abs/10.1145/567112.567114 Zwick 2002 (2002)]</v>
      </c>
      <c r="N95" s="9" t="s">
        <v>8243</v>
      </c>
      <c r="O95" s="354">
        <v>2002.0</v>
      </c>
      <c r="P95" s="18" t="s">
        <v>367</v>
      </c>
      <c r="V95" s="9"/>
      <c r="W95" s="9" t="s">
        <v>8242</v>
      </c>
      <c r="X95" s="93" t="s">
        <v>8244</v>
      </c>
      <c r="Y95" s="355"/>
      <c r="Z95" s="355"/>
      <c r="AA95" s="355"/>
      <c r="AB95" s="355"/>
      <c r="AC95" s="355"/>
      <c r="AD95" s="356"/>
      <c r="AE95" s="355"/>
      <c r="AF95" s="153"/>
      <c r="AG95" s="87"/>
      <c r="AH95" s="9">
        <v>0.0</v>
      </c>
      <c r="AI95" s="143"/>
      <c r="AJ95" s="9">
        <v>0.0</v>
      </c>
      <c r="AK95" s="143"/>
      <c r="AL95" s="9">
        <v>1.0</v>
      </c>
      <c r="AM95" s="9">
        <v>0.0</v>
      </c>
      <c r="AO95" s="9">
        <v>0.0</v>
      </c>
      <c r="AP95" s="9">
        <v>0.0</v>
      </c>
      <c r="AR95" s="7" t="s">
        <v>3110</v>
      </c>
    </row>
    <row r="96">
      <c r="A96" s="16"/>
      <c r="B96" s="16" t="s">
        <v>1303</v>
      </c>
      <c r="C96" s="7">
        <v>2.0</v>
      </c>
      <c r="D96" s="53" t="s">
        <v>1311</v>
      </c>
      <c r="E96" s="7"/>
      <c r="F96" s="53"/>
      <c r="G96" s="16"/>
      <c r="H96" s="83">
        <v>1.0</v>
      </c>
      <c r="I96" s="9">
        <v>1.0</v>
      </c>
      <c r="J96" s="23" t="s">
        <v>8245</v>
      </c>
      <c r="K96" s="53" t="s">
        <v>8246</v>
      </c>
      <c r="L96" s="96" t="s">
        <v>8247</v>
      </c>
      <c r="M96" s="39" t="str">
        <f t="shared" si="4"/>
        <v>[https://dl.acm.org/doi/10.1145/368273.368557 Davis-Putnam-Logemann-Loveland Algorithm (DPLL) (1961)]</v>
      </c>
      <c r="N96" s="321" t="s">
        <v>8248</v>
      </c>
      <c r="O96" s="322">
        <v>1961.0</v>
      </c>
      <c r="P96" s="47" t="s">
        <v>8249</v>
      </c>
      <c r="Q96" s="82"/>
      <c r="R96" s="82"/>
      <c r="S96" s="81"/>
      <c r="T96" s="81"/>
      <c r="U96" s="39"/>
      <c r="V96" s="7"/>
      <c r="W96" s="7" t="s">
        <v>789</v>
      </c>
      <c r="X96" s="93" t="s">
        <v>8250</v>
      </c>
      <c r="Y96" s="131"/>
      <c r="Z96" s="131"/>
      <c r="AA96" s="131"/>
      <c r="AB96" s="85" t="s">
        <v>7991</v>
      </c>
      <c r="AC96" s="85" t="s">
        <v>35</v>
      </c>
      <c r="AD96" s="325" t="s">
        <v>1763</v>
      </c>
      <c r="AE96" s="126" t="s">
        <v>8251</v>
      </c>
      <c r="AF96" s="21"/>
      <c r="AG96" s="87"/>
      <c r="AH96" s="16">
        <v>0.0</v>
      </c>
      <c r="AI96" s="87"/>
      <c r="AJ96" s="83">
        <v>0.0</v>
      </c>
      <c r="AK96" s="116"/>
      <c r="AL96" s="83">
        <v>1.0</v>
      </c>
      <c r="AM96" s="16">
        <v>0.0</v>
      </c>
      <c r="AN96" s="7"/>
      <c r="AO96" s="7">
        <v>0.0</v>
      </c>
      <c r="AP96" s="7">
        <v>0.0</v>
      </c>
      <c r="AQ96" s="7"/>
      <c r="AR96" s="6" t="s">
        <v>1312</v>
      </c>
      <c r="AS96" s="82"/>
      <c r="AT96" s="82"/>
      <c r="AU96" s="82"/>
      <c r="AV96" s="82"/>
      <c r="AW96" s="7"/>
      <c r="AX96" s="82"/>
      <c r="AY96" s="7"/>
      <c r="AZ96" s="7"/>
      <c r="BA96" s="7"/>
      <c r="BB96" s="7"/>
      <c r="BC96" s="7"/>
      <c r="BD96" s="7"/>
      <c r="BE96" s="7"/>
      <c r="BF96" s="7"/>
      <c r="BG96" s="7"/>
    </row>
    <row r="97">
      <c r="A97" s="16"/>
      <c r="B97" s="16" t="s">
        <v>1303</v>
      </c>
      <c r="C97" s="7">
        <v>1.0</v>
      </c>
      <c r="D97" s="53" t="s">
        <v>1311</v>
      </c>
      <c r="E97" s="7"/>
      <c r="F97" s="53"/>
      <c r="G97" s="16"/>
      <c r="H97" s="83">
        <v>1.0</v>
      </c>
      <c r="I97" s="9">
        <v>1.0</v>
      </c>
      <c r="J97" s="23" t="s">
        <v>789</v>
      </c>
      <c r="K97" s="53"/>
      <c r="L97" s="90"/>
      <c r="M97" s="39" t="str">
        <f t="shared" si="4"/>
        <v>[https://ieeexplore.ieee.org/document/769433 Conflict-Driven Clause Learning (CDCL) (1999)]</v>
      </c>
      <c r="N97" s="321" t="s">
        <v>8252</v>
      </c>
      <c r="O97" s="322">
        <v>1999.0</v>
      </c>
      <c r="P97" s="47" t="s">
        <v>8253</v>
      </c>
      <c r="Q97" s="82"/>
      <c r="R97" s="82"/>
      <c r="S97" s="81"/>
      <c r="T97" s="81"/>
      <c r="U97" s="39"/>
      <c r="V97" s="7"/>
      <c r="W97" s="7" t="s">
        <v>789</v>
      </c>
      <c r="X97" s="93" t="s">
        <v>8254</v>
      </c>
      <c r="Y97" s="131"/>
      <c r="Z97" s="131"/>
      <c r="AA97" s="131"/>
      <c r="AB97" s="131"/>
      <c r="AC97" s="131"/>
      <c r="AD97" s="323"/>
      <c r="AE97" s="131"/>
      <c r="AF97" s="21"/>
      <c r="AG97" s="87"/>
      <c r="AH97" s="16">
        <v>0.0</v>
      </c>
      <c r="AI97" s="87"/>
      <c r="AJ97" s="83">
        <v>0.0</v>
      </c>
      <c r="AK97" s="116"/>
      <c r="AL97" s="83">
        <v>1.0</v>
      </c>
      <c r="AM97" s="16">
        <v>0.0</v>
      </c>
      <c r="AN97" s="7"/>
      <c r="AO97" s="7">
        <v>0.0</v>
      </c>
      <c r="AP97" s="7">
        <v>0.0</v>
      </c>
      <c r="AQ97" s="7"/>
      <c r="AR97" s="6" t="s">
        <v>1312</v>
      </c>
      <c r="AS97" s="82"/>
      <c r="AT97" s="82"/>
      <c r="AU97" s="82"/>
      <c r="AV97" s="82"/>
      <c r="AW97" s="7"/>
      <c r="AX97" s="82"/>
      <c r="AY97" s="7"/>
      <c r="AZ97" s="7"/>
      <c r="BA97" s="7"/>
      <c r="BB97" s="7"/>
      <c r="BC97" s="7"/>
      <c r="BD97" s="7"/>
      <c r="BE97" s="7"/>
      <c r="BF97" s="7"/>
      <c r="BG97" s="7"/>
    </row>
    <row r="98">
      <c r="A98" s="16"/>
      <c r="B98" s="16" t="s">
        <v>1303</v>
      </c>
      <c r="C98" s="7">
        <v>2.0</v>
      </c>
      <c r="D98" s="53" t="s">
        <v>1311</v>
      </c>
      <c r="E98" s="7"/>
      <c r="F98" s="53"/>
      <c r="G98" s="16"/>
      <c r="H98" s="83">
        <v>1.0</v>
      </c>
      <c r="I98" s="9">
        <v>1.0</v>
      </c>
      <c r="J98" s="23" t="s">
        <v>8255</v>
      </c>
      <c r="K98" s="53"/>
      <c r="L98" s="90"/>
      <c r="M98" s="39" t="str">
        <f t="shared" si="4"/>
        <v>[http://www.cs.cornell.edu/selman/papers/pdf/92.aaai.gsat.pdf GSAT (1992)]</v>
      </c>
      <c r="N98" s="321" t="s">
        <v>8256</v>
      </c>
      <c r="O98" s="322">
        <v>1992.0</v>
      </c>
      <c r="P98" s="47" t="s">
        <v>8257</v>
      </c>
      <c r="Q98" s="82"/>
      <c r="R98" s="82"/>
      <c r="S98" s="81"/>
      <c r="T98" s="81"/>
      <c r="U98" s="39"/>
      <c r="V98" s="7"/>
      <c r="W98" s="7" t="s">
        <v>8255</v>
      </c>
      <c r="X98" s="93" t="s">
        <v>8258</v>
      </c>
      <c r="Y98" s="131"/>
      <c r="Z98" s="131"/>
      <c r="AA98" s="131"/>
      <c r="AB98" s="131"/>
      <c r="AC98" s="85" t="s">
        <v>35</v>
      </c>
      <c r="AD98" s="325" t="s">
        <v>1763</v>
      </c>
      <c r="AE98" s="85" t="s">
        <v>5009</v>
      </c>
      <c r="AF98" s="90"/>
      <c r="AG98" s="87"/>
      <c r="AH98" s="16">
        <v>1.0</v>
      </c>
      <c r="AI98" s="87"/>
      <c r="AJ98" s="81"/>
      <c r="AK98" s="116"/>
      <c r="AL98" s="83">
        <v>1.0</v>
      </c>
      <c r="AM98" s="16">
        <v>0.0</v>
      </c>
      <c r="AN98" s="7"/>
      <c r="AO98" s="7">
        <v>0.0</v>
      </c>
      <c r="AP98" s="7">
        <v>0.0</v>
      </c>
      <c r="AQ98" s="7"/>
      <c r="AR98" s="6" t="s">
        <v>1312</v>
      </c>
      <c r="AS98" s="82"/>
      <c r="AT98" s="82"/>
      <c r="AU98" s="82"/>
      <c r="AV98" s="82"/>
      <c r="AW98" s="7"/>
      <c r="AX98" s="82"/>
      <c r="AY98" s="7"/>
      <c r="AZ98" s="7"/>
      <c r="BA98" s="7"/>
      <c r="BB98" s="7"/>
      <c r="BC98" s="7" t="s">
        <v>8259</v>
      </c>
      <c r="BD98" s="7"/>
      <c r="BE98" s="7"/>
      <c r="BF98" s="7"/>
      <c r="BG98" s="7"/>
    </row>
    <row r="99">
      <c r="A99" s="16"/>
      <c r="B99" s="16" t="s">
        <v>1303</v>
      </c>
      <c r="C99" s="7">
        <v>2.0</v>
      </c>
      <c r="D99" s="53" t="s">
        <v>1311</v>
      </c>
      <c r="E99" s="7"/>
      <c r="F99" s="53"/>
      <c r="G99" s="16"/>
      <c r="H99" s="83">
        <v>1.0</v>
      </c>
      <c r="I99" s="9">
        <v>1.0</v>
      </c>
      <c r="J99" s="23" t="s">
        <v>8255</v>
      </c>
      <c r="K99" s="53"/>
      <c r="L99" s="90"/>
      <c r="M99" s="39" t="str">
        <f t="shared" si="4"/>
        <v>[https://www.aaai.org/Papers/AAAI/1994/AAAI94-051.pdf WalkSAT (1994)]</v>
      </c>
      <c r="N99" s="321" t="s">
        <v>8260</v>
      </c>
      <c r="O99" s="322">
        <v>1994.0</v>
      </c>
      <c r="P99" s="47" t="s">
        <v>8261</v>
      </c>
      <c r="Q99" s="7"/>
      <c r="R99" s="7"/>
      <c r="S99" s="83"/>
      <c r="T99" s="83"/>
      <c r="U99" s="39"/>
      <c r="V99" s="7"/>
      <c r="W99" s="7" t="s">
        <v>8255</v>
      </c>
      <c r="X99" s="93" t="s">
        <v>8258</v>
      </c>
      <c r="Y99" s="131"/>
      <c r="Z99" s="131"/>
      <c r="AA99" s="131"/>
      <c r="AB99" s="131"/>
      <c r="AC99" s="85" t="s">
        <v>35</v>
      </c>
      <c r="AD99" s="325" t="s">
        <v>1763</v>
      </c>
      <c r="AE99" s="85" t="s">
        <v>8262</v>
      </c>
      <c r="AF99" s="21"/>
      <c r="AG99" s="87"/>
      <c r="AH99" s="16">
        <v>1.0</v>
      </c>
      <c r="AI99" s="87"/>
      <c r="AJ99" s="81"/>
      <c r="AK99" s="116"/>
      <c r="AL99" s="83">
        <v>1.0</v>
      </c>
      <c r="AM99" s="16">
        <v>0.0</v>
      </c>
      <c r="AN99" s="7"/>
      <c r="AO99" s="7">
        <v>0.0</v>
      </c>
      <c r="AP99" s="7">
        <v>0.0</v>
      </c>
      <c r="AQ99" s="7"/>
      <c r="AR99" s="6" t="s">
        <v>1312</v>
      </c>
      <c r="AS99" s="7"/>
      <c r="AT99" s="7"/>
      <c r="AU99" s="7"/>
      <c r="AV99" s="7"/>
      <c r="AW99" s="7"/>
      <c r="AX99" s="7"/>
      <c r="AY99" s="7"/>
      <c r="AZ99" s="7"/>
      <c r="BA99" s="7"/>
      <c r="BB99" s="7"/>
      <c r="BC99" s="7"/>
      <c r="BD99" s="7"/>
      <c r="BE99" s="7"/>
      <c r="BF99" s="7"/>
      <c r="BG99" s="7"/>
    </row>
    <row r="100">
      <c r="A100" s="16"/>
      <c r="B100" s="16" t="s">
        <v>1303</v>
      </c>
      <c r="C100" s="7">
        <v>1.0</v>
      </c>
      <c r="D100" s="53" t="s">
        <v>1311</v>
      </c>
      <c r="E100" s="7"/>
      <c r="F100" s="53"/>
      <c r="G100" s="16"/>
      <c r="H100" s="83">
        <v>1.0</v>
      </c>
      <c r="I100" s="9">
        <v>1.0</v>
      </c>
      <c r="J100" s="23" t="s">
        <v>789</v>
      </c>
      <c r="K100" s="53"/>
      <c r="L100" s="90"/>
      <c r="M100" s="39" t="str">
        <f t="shared" si="4"/>
        <v>[https://arxiv.org/pdf/quant-ph/0001106.pdf Quantum Adiabatic Algorithm (QAA) (2001)]</v>
      </c>
      <c r="N100" s="321" t="s">
        <v>8263</v>
      </c>
      <c r="O100" s="322">
        <v>2001.0</v>
      </c>
      <c r="P100" s="47" t="s">
        <v>8264</v>
      </c>
      <c r="Q100" s="82"/>
      <c r="R100" s="82"/>
      <c r="S100" s="81"/>
      <c r="T100" s="81"/>
      <c r="U100" s="39"/>
      <c r="V100" s="7"/>
      <c r="W100" s="7" t="s">
        <v>789</v>
      </c>
      <c r="X100" s="93" t="s">
        <v>8265</v>
      </c>
      <c r="Y100" s="85"/>
      <c r="Z100" s="85"/>
      <c r="AA100" s="85" t="s">
        <v>8266</v>
      </c>
      <c r="AB100" s="85" t="s">
        <v>2875</v>
      </c>
      <c r="AC100" s="85" t="s">
        <v>8103</v>
      </c>
      <c r="AD100" s="325" t="s">
        <v>2517</v>
      </c>
      <c r="AE100" s="131"/>
      <c r="AF100" s="87"/>
      <c r="AG100" s="87"/>
      <c r="AH100" s="81"/>
      <c r="AI100" s="87"/>
      <c r="AJ100" s="81"/>
      <c r="AK100" s="116"/>
      <c r="AL100" s="81"/>
      <c r="AM100" s="16">
        <v>0.0</v>
      </c>
      <c r="AN100" s="7"/>
      <c r="AO100" s="7">
        <v>1.0</v>
      </c>
      <c r="AP100" s="7">
        <v>0.0</v>
      </c>
      <c r="AQ100" s="7"/>
      <c r="AR100" s="6" t="s">
        <v>1312</v>
      </c>
      <c r="AS100" s="82"/>
      <c r="AT100" s="82"/>
      <c r="AU100" s="82"/>
      <c r="AV100" s="82"/>
      <c r="AW100" s="7"/>
      <c r="AX100" s="82"/>
      <c r="AY100" s="7"/>
      <c r="AZ100" s="7"/>
      <c r="BA100" s="7"/>
      <c r="BB100" s="7"/>
      <c r="BC100" s="7"/>
      <c r="BD100" s="7"/>
      <c r="BE100" s="7"/>
      <c r="BF100" s="7"/>
      <c r="BG100" s="7"/>
    </row>
    <row r="101">
      <c r="A101" s="16"/>
      <c r="B101" s="16" t="s">
        <v>1303</v>
      </c>
      <c r="C101" s="7">
        <v>2.0</v>
      </c>
      <c r="D101" s="53" t="s">
        <v>1378</v>
      </c>
      <c r="E101" s="7"/>
      <c r="F101" s="53"/>
      <c r="G101" s="16"/>
      <c r="H101" s="83">
        <v>1.0</v>
      </c>
      <c r="I101" s="9">
        <v>1.0</v>
      </c>
      <c r="J101" s="23" t="s">
        <v>1382</v>
      </c>
      <c r="K101" s="53"/>
      <c r="L101" s="90"/>
      <c r="M101" s="39" t="str">
        <f t="shared" si="4"/>
        <v>[https://dl.acm.org/doi/10.1145/322047.322059 Lewis 1978 (1978)]</v>
      </c>
      <c r="N101" s="321" t="s">
        <v>1383</v>
      </c>
      <c r="O101" s="322">
        <v>1978.0</v>
      </c>
      <c r="P101" s="18" t="s">
        <v>8267</v>
      </c>
      <c r="Q101" s="82"/>
      <c r="R101" s="82"/>
      <c r="S101" s="81"/>
      <c r="T101" s="81"/>
      <c r="U101" s="39"/>
      <c r="V101" s="23"/>
      <c r="W101" s="23" t="s">
        <v>1382</v>
      </c>
      <c r="X101" s="93" t="s">
        <v>8268</v>
      </c>
      <c r="Y101" s="131"/>
      <c r="Z101" s="131"/>
      <c r="AA101" s="131"/>
      <c r="AB101" s="131"/>
      <c r="AC101" s="131"/>
      <c r="AD101" s="323"/>
      <c r="AE101" s="131"/>
      <c r="AF101" s="21"/>
      <c r="AG101" s="87"/>
      <c r="AH101" s="16">
        <v>0.0</v>
      </c>
      <c r="AI101" s="87"/>
      <c r="AJ101" s="83">
        <v>0.0</v>
      </c>
      <c r="AK101" s="116"/>
      <c r="AL101" s="83">
        <v>0.0</v>
      </c>
      <c r="AM101" s="16">
        <v>0.0</v>
      </c>
      <c r="AN101" s="7"/>
      <c r="AO101" s="7">
        <v>0.0</v>
      </c>
      <c r="AP101" s="7">
        <v>0.0</v>
      </c>
      <c r="AQ101" s="47" t="s">
        <v>8269</v>
      </c>
      <c r="AR101" s="6" t="s">
        <v>1379</v>
      </c>
      <c r="AS101" s="82"/>
      <c r="AT101" s="82"/>
      <c r="AU101" s="82"/>
      <c r="AV101" s="82"/>
      <c r="AW101" s="7"/>
      <c r="AX101" s="82"/>
      <c r="AY101" s="7"/>
      <c r="AZ101" s="7"/>
      <c r="BA101" s="7"/>
      <c r="BB101" s="7"/>
      <c r="BC101" s="7"/>
      <c r="BD101" s="7"/>
      <c r="BE101" s="7"/>
      <c r="BF101" s="7"/>
      <c r="BG101" s="7"/>
    </row>
    <row r="102">
      <c r="A102" s="16"/>
      <c r="B102" s="16" t="s">
        <v>1303</v>
      </c>
      <c r="C102" s="7">
        <v>1.0</v>
      </c>
      <c r="D102" s="53" t="s">
        <v>1338</v>
      </c>
      <c r="E102" s="7"/>
      <c r="F102" s="53"/>
      <c r="G102" s="16"/>
      <c r="H102" s="83">
        <v>1.0</v>
      </c>
      <c r="I102" s="9">
        <v>1.0</v>
      </c>
      <c r="J102" s="7" t="s">
        <v>8270</v>
      </c>
      <c r="K102" s="53"/>
      <c r="L102" s="90"/>
      <c r="M102" s="39" t="str">
        <f t="shared" si="4"/>
        <v>[https://dl.acm.org/doi/abs/10.1145/1066100.1066101 Paturi, Pudlák, Saks, Zane (PPSZ) 2005 (2005)]</v>
      </c>
      <c r="N102" s="321" t="s">
        <v>8271</v>
      </c>
      <c r="O102" s="322">
        <v>2005.0</v>
      </c>
      <c r="P102" s="47" t="s">
        <v>8272</v>
      </c>
      <c r="Q102" s="7"/>
      <c r="R102" s="7"/>
      <c r="S102" s="81"/>
      <c r="T102" s="81"/>
      <c r="U102" s="39"/>
      <c r="V102" s="7"/>
      <c r="W102" s="7" t="s">
        <v>8270</v>
      </c>
      <c r="X102" s="93" t="s">
        <v>8273</v>
      </c>
      <c r="Y102" s="85"/>
      <c r="Z102" s="85"/>
      <c r="AA102" s="85" t="s">
        <v>1813</v>
      </c>
      <c r="AB102" s="85" t="s">
        <v>1814</v>
      </c>
      <c r="AC102" s="85" t="s">
        <v>8274</v>
      </c>
      <c r="AD102" s="325" t="s">
        <v>1975</v>
      </c>
      <c r="AE102" s="85" t="s">
        <v>8275</v>
      </c>
      <c r="AF102" s="21"/>
      <c r="AG102" s="87"/>
      <c r="AH102" s="16">
        <v>1.0</v>
      </c>
      <c r="AI102" s="84" t="s">
        <v>1907</v>
      </c>
      <c r="AJ102" s="83">
        <v>0.0</v>
      </c>
      <c r="AK102" s="90"/>
      <c r="AL102" s="83">
        <v>0.0</v>
      </c>
      <c r="AM102" s="16">
        <v>0.0</v>
      </c>
      <c r="AN102" s="14"/>
      <c r="AO102" s="7">
        <v>0.0</v>
      </c>
      <c r="AP102" s="7">
        <v>0.0</v>
      </c>
      <c r="AQ102" s="357"/>
      <c r="AR102" s="6"/>
      <c r="AS102" s="7"/>
      <c r="AT102" s="7"/>
      <c r="AU102" s="7"/>
      <c r="AV102" s="7"/>
      <c r="AW102" s="7"/>
      <c r="AX102" s="82"/>
      <c r="AY102" s="7"/>
      <c r="AZ102" s="7"/>
      <c r="BA102" s="7"/>
      <c r="BB102" s="7"/>
      <c r="BC102" s="7"/>
      <c r="BD102" s="7"/>
      <c r="BE102" s="7"/>
      <c r="BF102" s="7"/>
      <c r="BG102" s="7"/>
    </row>
    <row r="103">
      <c r="A103" s="16"/>
      <c r="B103" s="16" t="s">
        <v>1303</v>
      </c>
      <c r="C103" s="7">
        <v>1.0</v>
      </c>
      <c r="D103" s="53" t="s">
        <v>1321</v>
      </c>
      <c r="E103" s="7"/>
      <c r="F103" s="53"/>
      <c r="G103" s="16"/>
      <c r="H103" s="83">
        <v>1.0</v>
      </c>
      <c r="I103" s="9">
        <v>1.0</v>
      </c>
      <c r="J103" s="39"/>
      <c r="K103" s="53"/>
      <c r="L103" s="90"/>
      <c r="M103" s="39" t="str">
        <f t="shared" si="4"/>
        <v>[https://epubs.siam.org/doi/abs/10.1137/120868177 Hertli (Modified PPSZ) (2014)]</v>
      </c>
      <c r="N103" s="321" t="s">
        <v>8276</v>
      </c>
      <c r="O103" s="322">
        <v>2014.0</v>
      </c>
      <c r="P103" s="47" t="s">
        <v>8277</v>
      </c>
      <c r="Q103" s="7"/>
      <c r="R103" s="7"/>
      <c r="S103" s="81"/>
      <c r="T103" s="81"/>
      <c r="U103" s="39"/>
      <c r="V103" s="7"/>
      <c r="W103" s="7" t="s">
        <v>8278</v>
      </c>
      <c r="X103" s="93" t="s">
        <v>8254</v>
      </c>
      <c r="Y103" s="85"/>
      <c r="Z103" s="85"/>
      <c r="AA103" s="85" t="s">
        <v>1813</v>
      </c>
      <c r="AB103" s="85" t="s">
        <v>1814</v>
      </c>
      <c r="AC103" s="85" t="s">
        <v>8274</v>
      </c>
      <c r="AD103" s="325" t="s">
        <v>1975</v>
      </c>
      <c r="AE103" s="85" t="s">
        <v>8279</v>
      </c>
      <c r="AF103" s="21"/>
      <c r="AG103" s="87"/>
      <c r="AH103" s="16">
        <v>1.0</v>
      </c>
      <c r="AI103" s="84" t="s">
        <v>1907</v>
      </c>
      <c r="AJ103" s="83">
        <v>0.0</v>
      </c>
      <c r="AK103" s="90"/>
      <c r="AL103" s="83">
        <v>0.0</v>
      </c>
      <c r="AM103" s="16">
        <v>0.0</v>
      </c>
      <c r="AN103" s="14"/>
      <c r="AO103" s="7">
        <v>0.0</v>
      </c>
      <c r="AP103" s="7">
        <v>0.0</v>
      </c>
      <c r="AQ103" s="24" t="s">
        <v>8280</v>
      </c>
      <c r="AR103" s="6" t="s">
        <v>1351</v>
      </c>
      <c r="AS103" s="7"/>
      <c r="AT103" s="7"/>
      <c r="AU103" s="7"/>
      <c r="AV103" s="7"/>
      <c r="AW103" s="7"/>
      <c r="AX103" s="82"/>
      <c r="AY103" s="7"/>
      <c r="AZ103" s="7"/>
      <c r="BA103" s="7"/>
      <c r="BB103" s="7"/>
      <c r="BC103" s="7"/>
      <c r="BD103" s="7"/>
      <c r="BE103" s="7"/>
      <c r="BF103" s="7"/>
      <c r="BG103" s="7"/>
    </row>
    <row r="104">
      <c r="A104" s="16"/>
      <c r="B104" s="16" t="s">
        <v>1303</v>
      </c>
      <c r="C104" s="7">
        <v>1.0</v>
      </c>
      <c r="D104" s="53" t="s">
        <v>1359</v>
      </c>
      <c r="E104" s="7"/>
      <c r="F104" s="53"/>
      <c r="G104" s="16"/>
      <c r="H104" s="83">
        <v>1.0</v>
      </c>
      <c r="I104" s="9">
        <v>1.0</v>
      </c>
      <c r="J104" s="39"/>
      <c r="K104" s="53"/>
      <c r="L104" s="90"/>
      <c r="M104" s="39" t="str">
        <f t="shared" si="4"/>
        <v>[https://epubs.siam.org/doi/abs/10.1137/120868177 Hertli (Modified PPSZ) (2014)]</v>
      </c>
      <c r="N104" s="321" t="s">
        <v>8276</v>
      </c>
      <c r="O104" s="322">
        <v>2014.0</v>
      </c>
      <c r="P104" s="47" t="s">
        <v>8277</v>
      </c>
      <c r="Q104" s="82"/>
      <c r="R104" s="82"/>
      <c r="S104" s="81"/>
      <c r="T104" s="81"/>
      <c r="U104" s="39"/>
      <c r="V104" s="7"/>
      <c r="W104" s="7" t="s">
        <v>8281</v>
      </c>
      <c r="X104" s="93" t="s">
        <v>8254</v>
      </c>
      <c r="Y104" s="85"/>
      <c r="Z104" s="85"/>
      <c r="AA104" s="85" t="s">
        <v>1813</v>
      </c>
      <c r="AB104" s="85" t="s">
        <v>1814</v>
      </c>
      <c r="AC104" s="85" t="s">
        <v>8274</v>
      </c>
      <c r="AD104" s="325" t="s">
        <v>1975</v>
      </c>
      <c r="AE104" s="85" t="s">
        <v>8279</v>
      </c>
      <c r="AF104" s="21"/>
      <c r="AG104" s="87"/>
      <c r="AH104" s="16">
        <v>1.0</v>
      </c>
      <c r="AI104" s="84" t="s">
        <v>1907</v>
      </c>
      <c r="AJ104" s="83">
        <v>0.0</v>
      </c>
      <c r="AK104" s="90"/>
      <c r="AL104" s="83">
        <v>0.0</v>
      </c>
      <c r="AM104" s="16">
        <v>0.0</v>
      </c>
      <c r="AN104" s="14"/>
      <c r="AO104" s="7">
        <v>0.0</v>
      </c>
      <c r="AP104" s="7">
        <v>0.0</v>
      </c>
      <c r="AQ104" s="24" t="s">
        <v>8282</v>
      </c>
      <c r="AR104" s="6" t="s">
        <v>1361</v>
      </c>
      <c r="AS104" s="82"/>
      <c r="AT104" s="82"/>
      <c r="AU104" s="82"/>
      <c r="AV104" s="82"/>
      <c r="AW104" s="7"/>
      <c r="AX104" s="82"/>
      <c r="AY104" s="7"/>
      <c r="AZ104" s="7"/>
      <c r="BA104" s="7"/>
      <c r="BB104" s="7"/>
      <c r="BC104" s="7"/>
      <c r="BD104" s="7"/>
      <c r="BE104" s="7"/>
      <c r="BF104" s="7"/>
      <c r="BG104" s="7"/>
    </row>
    <row r="105">
      <c r="A105" s="16"/>
      <c r="B105" s="16" t="s">
        <v>1303</v>
      </c>
      <c r="C105" s="7">
        <v>2.0</v>
      </c>
      <c r="D105" s="53" t="s">
        <v>8283</v>
      </c>
      <c r="E105" s="7"/>
      <c r="F105" s="53"/>
      <c r="G105" s="16"/>
      <c r="H105" s="83">
        <v>1.0</v>
      </c>
      <c r="I105" s="9">
        <v>1.0</v>
      </c>
      <c r="J105" s="39"/>
      <c r="K105" s="53"/>
      <c r="L105" s="90"/>
      <c r="M105" s="39" t="str">
        <f t="shared" si="4"/>
        <v>[https://ieeexplore.ieee.org/abstract/document/5211463 Shi 2009 (2009)]</v>
      </c>
      <c r="N105" s="321" t="s">
        <v>8284</v>
      </c>
      <c r="O105" s="322">
        <v>2009.0</v>
      </c>
      <c r="P105" s="47" t="s">
        <v>8285</v>
      </c>
      <c r="Q105" s="7"/>
      <c r="R105" s="7"/>
      <c r="S105" s="81"/>
      <c r="T105" s="81"/>
      <c r="U105" s="39"/>
      <c r="V105" s="7"/>
      <c r="W105" s="7" t="s">
        <v>8286</v>
      </c>
      <c r="X105" s="93" t="s">
        <v>8268</v>
      </c>
      <c r="Y105" s="85"/>
      <c r="Z105" s="85"/>
      <c r="AA105" s="85" t="s">
        <v>8287</v>
      </c>
      <c r="AB105" s="131"/>
      <c r="AC105" s="85" t="s">
        <v>8288</v>
      </c>
      <c r="AD105" s="325"/>
      <c r="AE105" s="126" t="s">
        <v>8289</v>
      </c>
      <c r="AF105" s="21"/>
      <c r="AG105" s="90"/>
      <c r="AH105" s="16">
        <v>0.0</v>
      </c>
      <c r="AI105" s="87"/>
      <c r="AJ105" s="83">
        <v>0.0</v>
      </c>
      <c r="AK105" s="90"/>
      <c r="AL105" s="81"/>
      <c r="AM105" s="39"/>
      <c r="AN105" s="14"/>
      <c r="AO105" s="7"/>
      <c r="AP105" s="7"/>
      <c r="AQ105" s="7"/>
      <c r="AR105" s="82"/>
      <c r="AS105" s="7"/>
      <c r="AT105" s="82"/>
      <c r="AU105" s="7"/>
      <c r="AV105" s="7"/>
      <c r="AW105" s="7"/>
      <c r="AX105" s="82"/>
      <c r="AY105" s="7"/>
      <c r="AZ105" s="7"/>
      <c r="BA105" s="7"/>
      <c r="BB105" s="7"/>
      <c r="BC105" s="7" t="s">
        <v>8290</v>
      </c>
      <c r="BD105" s="7"/>
      <c r="BE105" s="7"/>
      <c r="BF105" s="7"/>
      <c r="BG105" s="7"/>
    </row>
    <row r="106">
      <c r="A106" s="16">
        <v>21.0</v>
      </c>
      <c r="B106" s="16" t="s">
        <v>402</v>
      </c>
      <c r="C106" s="7">
        <v>2.0</v>
      </c>
      <c r="D106" s="53"/>
      <c r="E106" s="7"/>
      <c r="F106" s="53"/>
      <c r="G106" s="16"/>
      <c r="H106" s="83">
        <v>1.0</v>
      </c>
      <c r="I106" s="9">
        <v>1.0</v>
      </c>
      <c r="J106" s="16" t="s">
        <v>408</v>
      </c>
      <c r="K106" s="53"/>
      <c r="L106" s="90"/>
      <c r="M106" s="39" t="str">
        <f t="shared" si="4"/>
        <v>[https://www.ri.cmu.edu/publications/anytime-dynamic-a-an-anytime-replanning-algorithm/ Anytime Dynamic A* (ADA*) (2005)]</v>
      </c>
      <c r="N106" s="321" t="s">
        <v>8291</v>
      </c>
      <c r="O106" s="322">
        <v>2005.0</v>
      </c>
      <c r="P106" s="47" t="s">
        <v>8292</v>
      </c>
      <c r="Q106" s="7"/>
      <c r="R106" s="7"/>
      <c r="S106" s="81"/>
      <c r="T106" s="81"/>
      <c r="U106" s="39"/>
      <c r="V106" s="7"/>
      <c r="W106" s="7" t="s">
        <v>408</v>
      </c>
      <c r="X106" s="93" t="s">
        <v>2208</v>
      </c>
      <c r="Y106" s="131"/>
      <c r="Z106" s="131"/>
      <c r="AA106" s="131"/>
      <c r="AB106" s="131"/>
      <c r="AC106" s="85" t="s">
        <v>408</v>
      </c>
      <c r="AD106" s="329" t="s">
        <v>2207</v>
      </c>
      <c r="AE106" s="93" t="s">
        <v>2218</v>
      </c>
      <c r="AF106" s="21"/>
      <c r="AG106" s="87"/>
      <c r="AH106" s="16">
        <v>0.0</v>
      </c>
      <c r="AI106" s="87"/>
      <c r="AJ106" s="83">
        <v>0.0</v>
      </c>
      <c r="AK106" s="90"/>
      <c r="AL106" s="83">
        <v>1.0</v>
      </c>
      <c r="AM106" s="7">
        <v>0.0</v>
      </c>
      <c r="AN106" s="7"/>
      <c r="AO106" s="7">
        <v>0.0</v>
      </c>
      <c r="AP106" s="7">
        <v>0.0</v>
      </c>
      <c r="AQ106" s="7"/>
      <c r="AR106" s="7"/>
      <c r="AS106" s="7"/>
      <c r="AT106" s="7"/>
      <c r="AU106" s="7"/>
      <c r="AV106" s="7"/>
      <c r="AW106" s="7"/>
      <c r="AX106" s="82"/>
      <c r="AY106" s="7"/>
      <c r="AZ106" s="7"/>
      <c r="BA106" s="7"/>
      <c r="BB106" s="7"/>
      <c r="BC106" s="7"/>
      <c r="BD106" s="7"/>
      <c r="BE106" s="7"/>
      <c r="BF106" s="7"/>
      <c r="BG106" s="7"/>
    </row>
    <row r="107">
      <c r="A107" s="16">
        <v>21.0</v>
      </c>
      <c r="B107" s="16" t="s">
        <v>402</v>
      </c>
      <c r="C107" s="7">
        <v>2.0</v>
      </c>
      <c r="D107" s="53"/>
      <c r="E107" s="7"/>
      <c r="F107" s="53"/>
      <c r="G107" s="16"/>
      <c r="H107" s="83">
        <v>1.0</v>
      </c>
      <c r="I107" s="9">
        <v>1.0</v>
      </c>
      <c r="J107" s="16" t="s">
        <v>408</v>
      </c>
      <c r="K107" s="53"/>
      <c r="L107" s="90"/>
      <c r="M107" s="39" t="str">
        <f t="shared" si="4"/>
        <v>[https://doi.org/10.1109%2Ftro.2004.838026 D* Lite (2005)]</v>
      </c>
      <c r="N107" s="321" t="s">
        <v>409</v>
      </c>
      <c r="O107" s="322">
        <v>2005.0</v>
      </c>
      <c r="P107" s="47" t="s">
        <v>8293</v>
      </c>
      <c r="Q107" s="82"/>
      <c r="R107" s="82"/>
      <c r="S107" s="81"/>
      <c r="T107" s="81"/>
      <c r="U107" s="39"/>
      <c r="V107" s="7"/>
      <c r="W107" s="7" t="s">
        <v>408</v>
      </c>
      <c r="X107" s="93" t="s">
        <v>2208</v>
      </c>
      <c r="Y107" s="131"/>
      <c r="Z107" s="131"/>
      <c r="AA107" s="131"/>
      <c r="AB107" s="131"/>
      <c r="AC107" s="85" t="s">
        <v>408</v>
      </c>
      <c r="AD107" s="329" t="s">
        <v>2207</v>
      </c>
      <c r="AE107" s="93" t="s">
        <v>2218</v>
      </c>
      <c r="AF107" s="21"/>
      <c r="AG107" s="87"/>
      <c r="AH107" s="16">
        <v>0.0</v>
      </c>
      <c r="AI107" s="87"/>
      <c r="AJ107" s="83">
        <v>0.0</v>
      </c>
      <c r="AK107" s="90"/>
      <c r="AL107" s="83">
        <v>1.0</v>
      </c>
      <c r="AM107" s="7">
        <v>0.0</v>
      </c>
      <c r="AN107" s="7"/>
      <c r="AO107" s="7">
        <v>0.0</v>
      </c>
      <c r="AP107" s="7">
        <v>0.0</v>
      </c>
      <c r="AQ107" s="7"/>
      <c r="AR107" s="7"/>
      <c r="AS107" s="82"/>
      <c r="AT107" s="82"/>
      <c r="AU107" s="82"/>
      <c r="AV107" s="82"/>
      <c r="AW107" s="7"/>
      <c r="AX107" s="82"/>
      <c r="AY107" s="7"/>
      <c r="AZ107" s="7"/>
      <c r="BA107" s="7"/>
      <c r="BB107" s="7"/>
      <c r="BC107" s="7"/>
      <c r="BD107" s="7"/>
      <c r="BE107" s="7"/>
      <c r="BF107" s="7"/>
      <c r="BG107" s="7"/>
    </row>
    <row r="108">
      <c r="A108" s="16">
        <v>21.0</v>
      </c>
      <c r="B108" s="16" t="s">
        <v>402</v>
      </c>
      <c r="C108" s="7">
        <v>2.0</v>
      </c>
      <c r="D108" s="53"/>
      <c r="E108" s="7"/>
      <c r="F108" s="53"/>
      <c r="G108" s="16"/>
      <c r="H108" s="83">
        <v>1.0</v>
      </c>
      <c r="I108" s="9">
        <v>1.0</v>
      </c>
      <c r="J108" s="16" t="s">
        <v>408</v>
      </c>
      <c r="K108" s="53"/>
      <c r="L108" s="90"/>
      <c r="M108" s="39" t="str">
        <f t="shared" si="4"/>
        <v>[https://citeseerx.ist.psu.edu/viewdoc/summary?doi=10.1.1.41.8257 Focused D* (2005)]</v>
      </c>
      <c r="N108" s="321" t="s">
        <v>8294</v>
      </c>
      <c r="O108" s="322">
        <v>2005.0</v>
      </c>
      <c r="P108" s="47" t="s">
        <v>8295</v>
      </c>
      <c r="Q108" s="7"/>
      <c r="R108" s="7"/>
      <c r="S108" s="81"/>
      <c r="T108" s="81"/>
      <c r="U108" s="39"/>
      <c r="V108" s="7"/>
      <c r="W108" s="7" t="s">
        <v>408</v>
      </c>
      <c r="X108" s="93" t="s">
        <v>2208</v>
      </c>
      <c r="Y108" s="131"/>
      <c r="Z108" s="131"/>
      <c r="AA108" s="131"/>
      <c r="AB108" s="131"/>
      <c r="AC108" s="85" t="s">
        <v>408</v>
      </c>
      <c r="AD108" s="329" t="s">
        <v>2207</v>
      </c>
      <c r="AE108" s="93" t="s">
        <v>2218</v>
      </c>
      <c r="AF108" s="21"/>
      <c r="AG108" s="87"/>
      <c r="AH108" s="16">
        <v>0.0</v>
      </c>
      <c r="AI108" s="87"/>
      <c r="AJ108" s="83">
        <v>0.0</v>
      </c>
      <c r="AK108" s="90"/>
      <c r="AL108" s="83">
        <v>1.0</v>
      </c>
      <c r="AM108" s="7">
        <v>0.0</v>
      </c>
      <c r="AN108" s="7"/>
      <c r="AO108" s="7">
        <v>0.0</v>
      </c>
      <c r="AP108" s="7">
        <v>0.0</v>
      </c>
      <c r="AQ108" s="7"/>
      <c r="AR108" s="7"/>
      <c r="AS108" s="82"/>
      <c r="AT108" s="82"/>
      <c r="AU108" s="82"/>
      <c r="AV108" s="82"/>
      <c r="AW108" s="7"/>
      <c r="AX108" s="82"/>
      <c r="AY108" s="7"/>
      <c r="AZ108" s="7"/>
      <c r="BA108" s="7"/>
      <c r="BB108" s="7"/>
      <c r="BC108" s="7"/>
      <c r="BD108" s="7"/>
      <c r="BE108" s="7"/>
      <c r="BF108" s="7"/>
      <c r="BG108" s="7"/>
    </row>
    <row r="109">
      <c r="A109" s="16">
        <v>22.0</v>
      </c>
      <c r="B109" s="16" t="s">
        <v>412</v>
      </c>
      <c r="C109" s="7">
        <v>1.0</v>
      </c>
      <c r="D109" s="53"/>
      <c r="E109" s="7"/>
      <c r="F109" s="53"/>
      <c r="G109" s="16"/>
      <c r="H109" s="83">
        <v>1.0</v>
      </c>
      <c r="I109" s="9">
        <v>0.0</v>
      </c>
      <c r="J109" s="7" t="s">
        <v>8296</v>
      </c>
      <c r="K109" s="53"/>
      <c r="L109" s="90"/>
      <c r="M109" s="39" t="str">
        <f t="shared" si="4"/>
        <v>[https://dl.acm.org/doi/pdf/10.1145/135239.135244 Wu and Manber, Fuzzy String Matching (1992)]</v>
      </c>
      <c r="N109" s="321" t="s">
        <v>8297</v>
      </c>
      <c r="O109" s="322">
        <v>1992.0</v>
      </c>
      <c r="P109" s="32" t="s">
        <v>8298</v>
      </c>
      <c r="R109" s="82"/>
      <c r="S109" s="81"/>
      <c r="T109" s="81"/>
      <c r="U109" s="39"/>
      <c r="V109" s="7"/>
      <c r="W109" s="7" t="s">
        <v>8296</v>
      </c>
      <c r="X109" s="93" t="s">
        <v>8299</v>
      </c>
      <c r="Y109" s="85"/>
      <c r="Z109" s="85"/>
      <c r="AA109" s="85" t="s">
        <v>1928</v>
      </c>
      <c r="AB109" s="85"/>
      <c r="AC109" s="85" t="s">
        <v>8300</v>
      </c>
      <c r="AD109" s="325" t="s">
        <v>8301</v>
      </c>
      <c r="AE109" s="126" t="s">
        <v>8298</v>
      </c>
      <c r="AF109" s="84"/>
      <c r="AG109" s="87"/>
      <c r="AH109" s="83">
        <v>0.0</v>
      </c>
      <c r="AI109" s="87"/>
      <c r="AJ109" s="83">
        <v>1.0</v>
      </c>
      <c r="AK109" s="21" t="s">
        <v>8302</v>
      </c>
      <c r="AL109" s="83">
        <v>0.0</v>
      </c>
      <c r="AM109" s="16">
        <v>0.0</v>
      </c>
      <c r="AN109" s="7"/>
      <c r="AO109" s="7">
        <v>0.0</v>
      </c>
      <c r="AP109" s="7">
        <v>0.0</v>
      </c>
      <c r="AQ109" s="7"/>
      <c r="AR109" s="7" t="s">
        <v>2249</v>
      </c>
      <c r="AS109" s="82"/>
      <c r="AT109" s="82"/>
      <c r="AU109" s="82"/>
      <c r="AV109" s="82"/>
      <c r="AW109" s="7"/>
      <c r="AX109" s="82"/>
      <c r="AY109" s="7"/>
      <c r="AZ109" s="7"/>
      <c r="BA109" s="7"/>
      <c r="BB109" s="7"/>
      <c r="BC109" s="7"/>
      <c r="BD109" s="7"/>
      <c r="BE109" s="7"/>
      <c r="BF109" s="7"/>
      <c r="BG109" s="7"/>
    </row>
    <row r="110">
      <c r="A110" s="16">
        <v>23.0</v>
      </c>
      <c r="B110" s="16" t="s">
        <v>424</v>
      </c>
      <c r="C110" s="7">
        <v>1.0</v>
      </c>
      <c r="D110" s="53" t="s">
        <v>2284</v>
      </c>
      <c r="E110" s="7"/>
      <c r="F110" s="53"/>
      <c r="G110" s="16"/>
      <c r="H110" s="83">
        <v>1.0</v>
      </c>
      <c r="I110" s="9">
        <v>1.0</v>
      </c>
      <c r="J110" s="23" t="s">
        <v>399</v>
      </c>
      <c r="K110" s="53"/>
      <c r="L110" s="90"/>
      <c r="M110" s="39" t="str">
        <f t="shared" si="4"/>
        <v>[https://dl.acm.org/doi/abs/10.1145/321796.321811 Wagner-Fischer algorithm (1974)]</v>
      </c>
      <c r="N110" s="321" t="s">
        <v>8303</v>
      </c>
      <c r="O110" s="322">
        <v>1974.0</v>
      </c>
      <c r="P110" s="47" t="s">
        <v>8304</v>
      </c>
      <c r="Q110" s="82"/>
      <c r="R110" s="82"/>
      <c r="S110" s="81"/>
      <c r="T110" s="81"/>
      <c r="U110" s="39"/>
      <c r="V110" s="23"/>
      <c r="W110" s="23" t="s">
        <v>399</v>
      </c>
      <c r="X110" s="93" t="s">
        <v>2275</v>
      </c>
      <c r="Y110" s="85"/>
      <c r="Z110" s="85"/>
      <c r="AA110" s="85" t="s">
        <v>1813</v>
      </c>
      <c r="AB110" s="85" t="s">
        <v>1814</v>
      </c>
      <c r="AC110" s="85" t="s">
        <v>148</v>
      </c>
      <c r="AD110" s="325" t="s">
        <v>2888</v>
      </c>
      <c r="AE110" s="358" t="s">
        <v>38</v>
      </c>
      <c r="AF110" s="21"/>
      <c r="AG110" s="87"/>
      <c r="AH110" s="16">
        <v>0.0</v>
      </c>
      <c r="AI110" s="87"/>
      <c r="AJ110" s="83">
        <v>0.0</v>
      </c>
      <c r="AK110" s="116"/>
      <c r="AL110" s="83">
        <v>0.0</v>
      </c>
      <c r="AM110" s="16">
        <v>0.0</v>
      </c>
      <c r="AN110" s="7"/>
      <c r="AO110" s="7">
        <v>0.0</v>
      </c>
      <c r="AP110" s="7">
        <v>0.0</v>
      </c>
      <c r="AQ110" s="7"/>
      <c r="AR110" s="82"/>
      <c r="AS110" s="82"/>
      <c r="AT110" s="82"/>
      <c r="AU110" s="82"/>
      <c r="AV110" s="82"/>
      <c r="AW110" s="7"/>
      <c r="AX110" s="82"/>
      <c r="AY110" s="7"/>
      <c r="AZ110" s="7"/>
      <c r="BA110" s="7"/>
      <c r="BB110" s="7"/>
      <c r="BC110" s="7"/>
      <c r="BD110" s="7"/>
      <c r="BE110" s="7"/>
      <c r="BF110" s="7"/>
      <c r="BG110" s="7"/>
    </row>
    <row r="111">
      <c r="A111" s="16">
        <v>23.0</v>
      </c>
      <c r="B111" s="16" t="s">
        <v>424</v>
      </c>
      <c r="C111" s="7">
        <v>1.0</v>
      </c>
      <c r="D111" s="53" t="s">
        <v>2292</v>
      </c>
      <c r="E111" s="7"/>
      <c r="F111" s="53"/>
      <c r="G111" s="16"/>
      <c r="H111" s="83">
        <v>1.0</v>
      </c>
      <c r="I111" s="9">
        <v>1.0</v>
      </c>
      <c r="J111" s="23" t="s">
        <v>399</v>
      </c>
      <c r="K111" s="53"/>
      <c r="L111" s="90"/>
      <c r="M111" s="39" t="str">
        <f t="shared" si="4"/>
        <v>[https://dl.acm.org/doi/abs/10.1145/321796.321811 Wagner-Fischer algorithm (1974)]</v>
      </c>
      <c r="N111" s="321" t="s">
        <v>8303</v>
      </c>
      <c r="O111" s="322">
        <v>1974.0</v>
      </c>
      <c r="P111" s="47" t="s">
        <v>8304</v>
      </c>
      <c r="Q111" s="82"/>
      <c r="R111" s="82"/>
      <c r="S111" s="81"/>
      <c r="T111" s="81"/>
      <c r="U111" s="39"/>
      <c r="V111" s="23"/>
      <c r="W111" s="23" t="s">
        <v>399</v>
      </c>
      <c r="X111" s="93" t="s">
        <v>2275</v>
      </c>
      <c r="Y111" s="85"/>
      <c r="Z111" s="85"/>
      <c r="AA111" s="85" t="s">
        <v>1813</v>
      </c>
      <c r="AB111" s="85" t="s">
        <v>1814</v>
      </c>
      <c r="AC111" s="85" t="s">
        <v>399</v>
      </c>
      <c r="AD111" s="325" t="s">
        <v>2524</v>
      </c>
      <c r="AE111" s="126" t="s">
        <v>2014</v>
      </c>
      <c r="AF111" s="21"/>
      <c r="AG111" s="87"/>
      <c r="AH111" s="16">
        <v>0.0</v>
      </c>
      <c r="AI111" s="87"/>
      <c r="AJ111" s="83">
        <v>0.0</v>
      </c>
      <c r="AK111" s="116"/>
      <c r="AL111" s="83">
        <v>0.0</v>
      </c>
      <c r="AM111" s="16">
        <v>0.0</v>
      </c>
      <c r="AN111" s="7"/>
      <c r="AO111" s="7">
        <v>0.0</v>
      </c>
      <c r="AP111" s="7">
        <v>0.0</v>
      </c>
      <c r="AQ111" s="7"/>
      <c r="AR111" s="82"/>
      <c r="AS111" s="82"/>
      <c r="AT111" s="82"/>
      <c r="AU111" s="82"/>
      <c r="AV111" s="82"/>
      <c r="AW111" s="7"/>
      <c r="AX111" s="82"/>
      <c r="AY111" s="7"/>
      <c r="AZ111" s="7"/>
      <c r="BA111" s="7"/>
      <c r="BB111" s="7"/>
      <c r="BC111" s="7"/>
      <c r="BD111" s="7"/>
      <c r="BE111" s="7"/>
      <c r="BF111" s="7"/>
      <c r="BG111" s="7"/>
    </row>
    <row r="112">
      <c r="A112" s="16">
        <v>23.0</v>
      </c>
      <c r="B112" s="16" t="s">
        <v>424</v>
      </c>
      <c r="C112" s="7">
        <v>1.0</v>
      </c>
      <c r="D112" s="53" t="s">
        <v>2292</v>
      </c>
      <c r="E112" s="7"/>
      <c r="F112" s="53"/>
      <c r="G112" s="16"/>
      <c r="H112" s="83">
        <v>1.0</v>
      </c>
      <c r="I112" s="9">
        <v>1.0</v>
      </c>
      <c r="J112" s="23" t="s">
        <v>8305</v>
      </c>
      <c r="K112" s="53"/>
      <c r="L112" s="90"/>
      <c r="M112" s="39" t="str">
        <f t="shared" si="4"/>
        <v>[https://www.sciencedirect.com/science/article/pii/0022000080900021?via%3Dihub Masek, Paterson (1980)]</v>
      </c>
      <c r="N112" s="321" t="s">
        <v>8306</v>
      </c>
      <c r="O112" s="322">
        <v>1980.0</v>
      </c>
      <c r="P112" s="47" t="s">
        <v>430</v>
      </c>
      <c r="Q112" s="82"/>
      <c r="R112" s="82"/>
      <c r="S112" s="81"/>
      <c r="T112" s="81"/>
      <c r="U112" s="39"/>
      <c r="V112" s="23"/>
      <c r="W112" s="23" t="s">
        <v>8305</v>
      </c>
      <c r="X112" s="93" t="s">
        <v>2275</v>
      </c>
      <c r="Y112" s="85"/>
      <c r="Z112" s="85"/>
      <c r="AA112" s="85" t="s">
        <v>1813</v>
      </c>
      <c r="AB112" s="85" t="s">
        <v>1814</v>
      </c>
      <c r="AC112" s="359" t="s">
        <v>8305</v>
      </c>
      <c r="AD112" s="325" t="s">
        <v>2524</v>
      </c>
      <c r="AE112" s="126" t="s">
        <v>430</v>
      </c>
      <c r="AF112" s="21"/>
      <c r="AG112" s="87"/>
      <c r="AH112" s="16">
        <v>0.0</v>
      </c>
      <c r="AI112" s="87"/>
      <c r="AJ112" s="83">
        <v>0.0</v>
      </c>
      <c r="AK112" s="116"/>
      <c r="AL112" s="83">
        <v>0.0</v>
      </c>
      <c r="AM112" s="16">
        <v>0.0</v>
      </c>
      <c r="AN112" s="7"/>
      <c r="AO112" s="7">
        <v>0.0</v>
      </c>
      <c r="AP112" s="7">
        <v>0.0</v>
      </c>
      <c r="AQ112" s="7"/>
      <c r="AR112" s="82"/>
      <c r="AS112" s="82"/>
      <c r="AT112" s="82"/>
      <c r="AU112" s="82"/>
      <c r="AV112" s="82"/>
      <c r="AW112" s="7"/>
      <c r="AX112" s="82"/>
      <c r="AY112" s="7"/>
      <c r="AZ112" s="7"/>
      <c r="BA112" s="7"/>
      <c r="BB112" s="7"/>
      <c r="BC112" s="7"/>
      <c r="BD112" s="7"/>
      <c r="BE112" s="7"/>
      <c r="BF112" s="7"/>
      <c r="BG112" s="7"/>
    </row>
    <row r="113">
      <c r="A113" s="16">
        <v>28.0</v>
      </c>
      <c r="B113" s="16" t="s">
        <v>8307</v>
      </c>
      <c r="C113" s="53">
        <v>1.0</v>
      </c>
      <c r="D113" s="53" t="s">
        <v>8308</v>
      </c>
      <c r="E113" s="7"/>
      <c r="F113" s="53"/>
      <c r="G113" s="7"/>
      <c r="H113" s="16">
        <v>1.0</v>
      </c>
      <c r="I113" s="16">
        <v>1.0</v>
      </c>
      <c r="J113" s="16" t="s">
        <v>8309</v>
      </c>
      <c r="K113" s="53"/>
      <c r="L113" s="53"/>
      <c r="M113" s="39" t="str">
        <f t="shared" si="4"/>
        <v>[https://www.sciencedirect.com/science/article/pii/002001909190195N Alt, Blum, Mehlhorn, Paul (1991)]</v>
      </c>
      <c r="N113" s="16" t="s">
        <v>8310</v>
      </c>
      <c r="O113" s="83">
        <v>1991.0</v>
      </c>
      <c r="P113" s="25" t="s">
        <v>8311</v>
      </c>
      <c r="Q113" s="82"/>
      <c r="R113" s="82"/>
      <c r="S113" s="82"/>
      <c r="T113" s="16"/>
      <c r="U113" s="16"/>
      <c r="V113" s="16"/>
      <c r="W113" s="16" t="s">
        <v>8309</v>
      </c>
      <c r="X113" s="53" t="s">
        <v>2542</v>
      </c>
      <c r="Y113" s="53"/>
      <c r="Z113" s="53"/>
      <c r="AA113" s="53" t="s">
        <v>1813</v>
      </c>
      <c r="AB113" s="53" t="s">
        <v>1814</v>
      </c>
      <c r="AC113" s="53" t="s">
        <v>3053</v>
      </c>
      <c r="AD113" s="360" t="s">
        <v>2185</v>
      </c>
      <c r="AE113" s="53" t="s">
        <v>8312</v>
      </c>
      <c r="AF113" s="87"/>
      <c r="AG113" s="87"/>
      <c r="AH113" s="81"/>
      <c r="AI113" s="21"/>
      <c r="AJ113" s="16"/>
      <c r="AK113" s="90"/>
      <c r="AL113" s="16"/>
      <c r="AM113" s="81"/>
      <c r="AN113" s="39"/>
      <c r="AO113" s="81"/>
      <c r="AP113" s="81"/>
      <c r="AQ113" s="39"/>
      <c r="AR113" s="7" t="s">
        <v>2536</v>
      </c>
      <c r="AS113" s="82"/>
      <c r="AT113" s="82"/>
      <c r="AU113" s="7"/>
      <c r="AV113" s="82"/>
      <c r="AW113" s="82"/>
      <c r="AX113" s="82"/>
      <c r="AY113" s="82"/>
      <c r="AZ113" s="82"/>
      <c r="BA113" s="82"/>
      <c r="BB113" s="7"/>
      <c r="BC113" s="82"/>
      <c r="BD113" s="7"/>
      <c r="BE113" s="7" t="s">
        <v>23</v>
      </c>
      <c r="BF113" s="7"/>
      <c r="BG113" s="7"/>
    </row>
    <row r="114">
      <c r="A114" s="16">
        <v>28.0</v>
      </c>
      <c r="B114" s="16" t="s">
        <v>8307</v>
      </c>
      <c r="C114" s="53">
        <v>1.0</v>
      </c>
      <c r="D114" s="53" t="s">
        <v>8313</v>
      </c>
      <c r="E114" s="7"/>
      <c r="F114" s="53"/>
      <c r="G114" s="7"/>
      <c r="H114" s="16">
        <v>1.0</v>
      </c>
      <c r="I114" s="16">
        <v>1.0</v>
      </c>
      <c r="J114" s="16" t="s">
        <v>2026</v>
      </c>
      <c r="K114" s="53"/>
      <c r="L114" s="53"/>
      <c r="M114" s="39" t="str">
        <f t="shared" si="4"/>
        <v>[https://www.cambridge.org/core/journals/canadian-journal-of-mathematics/article/paths-trees-and-flowers/08B492B72322C4130AE800C0610E0E21 Blossom Algorithm (1961)]</v>
      </c>
      <c r="N114" s="16" t="s">
        <v>8314</v>
      </c>
      <c r="O114" s="83">
        <v>1961.0</v>
      </c>
      <c r="P114" s="25" t="s">
        <v>8315</v>
      </c>
      <c r="Q114" s="82"/>
      <c r="R114" s="82"/>
      <c r="S114" s="82"/>
      <c r="T114" s="16"/>
      <c r="U114" s="16"/>
      <c r="V114" s="16"/>
      <c r="W114" s="16" t="s">
        <v>2026</v>
      </c>
      <c r="X114" s="53" t="s">
        <v>2542</v>
      </c>
      <c r="Y114" s="53"/>
      <c r="Z114" s="53"/>
      <c r="AA114" s="53" t="s">
        <v>1813</v>
      </c>
      <c r="AB114" s="53" t="s">
        <v>1814</v>
      </c>
      <c r="AC114" s="53" t="s">
        <v>3053</v>
      </c>
      <c r="AD114" s="360" t="s">
        <v>2185</v>
      </c>
      <c r="AE114" s="53" t="s">
        <v>8316</v>
      </c>
      <c r="AF114" s="87"/>
      <c r="AG114" s="87"/>
      <c r="AH114" s="81"/>
      <c r="AI114" s="21"/>
      <c r="AJ114" s="16"/>
      <c r="AK114" s="90"/>
      <c r="AL114" s="16"/>
      <c r="AM114" s="81"/>
      <c r="AN114" s="39"/>
      <c r="AO114" s="81"/>
      <c r="AP114" s="81"/>
      <c r="AQ114" s="39"/>
      <c r="AR114" s="7" t="s">
        <v>2536</v>
      </c>
      <c r="AS114" s="82"/>
      <c r="AT114" s="82"/>
      <c r="AU114" s="7"/>
      <c r="AV114" s="82"/>
      <c r="AW114" s="82"/>
      <c r="AX114" s="82"/>
      <c r="AY114" s="82"/>
      <c r="AZ114" s="82"/>
      <c r="BA114" s="82"/>
      <c r="BB114" s="7"/>
      <c r="BC114" s="82"/>
      <c r="BD114" s="7"/>
      <c r="BE114" s="7" t="s">
        <v>23</v>
      </c>
      <c r="BF114" s="7"/>
      <c r="BG114" s="7"/>
    </row>
    <row r="115">
      <c r="A115" s="16">
        <v>28.0</v>
      </c>
      <c r="B115" s="16" t="s">
        <v>8307</v>
      </c>
      <c r="C115" s="53">
        <v>1.0</v>
      </c>
      <c r="D115" s="53" t="s">
        <v>8313</v>
      </c>
      <c r="E115" s="7"/>
      <c r="F115" s="53"/>
      <c r="G115" s="7"/>
      <c r="H115" s="16">
        <v>1.0</v>
      </c>
      <c r="I115" s="16">
        <v>1.0</v>
      </c>
      <c r="J115" s="16" t="s">
        <v>2526</v>
      </c>
      <c r="K115" s="53"/>
      <c r="L115" s="53"/>
      <c r="M115" s="39" t="str">
        <f t="shared" si="4"/>
        <v>[https://ieeexplore.ieee.org/document/4567800 Micali, Vazirani (1980)]</v>
      </c>
      <c r="N115" s="16" t="s">
        <v>8317</v>
      </c>
      <c r="O115" s="83">
        <v>1980.0</v>
      </c>
      <c r="P115" s="25" t="s">
        <v>2529</v>
      </c>
      <c r="Q115" s="82"/>
      <c r="R115" s="82"/>
      <c r="S115" s="82"/>
      <c r="T115" s="16"/>
      <c r="U115" s="16"/>
      <c r="V115" s="16"/>
      <c r="W115" s="16" t="s">
        <v>2526</v>
      </c>
      <c r="X115" s="53" t="s">
        <v>2542</v>
      </c>
      <c r="Y115" s="53"/>
      <c r="Z115" s="53"/>
      <c r="AA115" s="53" t="s">
        <v>1813</v>
      </c>
      <c r="AB115" s="53" t="s">
        <v>1814</v>
      </c>
      <c r="AC115" s="53" t="s">
        <v>3053</v>
      </c>
      <c r="AD115" s="360" t="s">
        <v>2185</v>
      </c>
      <c r="AE115" s="53" t="s">
        <v>8316</v>
      </c>
      <c r="AF115" s="87"/>
      <c r="AG115" s="21"/>
      <c r="AH115" s="81"/>
      <c r="AI115" s="21"/>
      <c r="AJ115" s="16"/>
      <c r="AK115" s="90"/>
      <c r="AL115" s="16"/>
      <c r="AM115" s="81"/>
      <c r="AN115" s="39"/>
      <c r="AO115" s="81"/>
      <c r="AP115" s="81"/>
      <c r="AQ115" s="39"/>
      <c r="AR115" s="7" t="s">
        <v>2536</v>
      </c>
      <c r="AS115" s="82"/>
      <c r="AT115" s="82"/>
      <c r="AU115" s="7"/>
      <c r="AV115" s="82"/>
      <c r="AW115" s="82"/>
      <c r="AX115" s="82"/>
      <c r="AY115" s="82"/>
      <c r="AZ115" s="82"/>
      <c r="BA115" s="82"/>
      <c r="BB115" s="7"/>
      <c r="BC115" s="82"/>
      <c r="BD115" s="7"/>
      <c r="BE115" s="7" t="s">
        <v>23</v>
      </c>
      <c r="BF115" s="7"/>
      <c r="BG115" s="7"/>
    </row>
    <row r="116">
      <c r="A116" s="16">
        <v>36.0</v>
      </c>
      <c r="B116" s="16" t="s">
        <v>527</v>
      </c>
      <c r="C116" s="53">
        <v>1.0</v>
      </c>
      <c r="D116" s="53"/>
      <c r="E116" s="7"/>
      <c r="F116" s="53"/>
      <c r="G116" s="7"/>
      <c r="H116" s="16">
        <v>1.0</v>
      </c>
      <c r="I116" s="81">
        <v>1.0</v>
      </c>
      <c r="J116" s="16" t="s">
        <v>8318</v>
      </c>
      <c r="K116" s="53"/>
      <c r="L116" s="53"/>
      <c r="M116" s="39" t="str">
        <f t="shared" si="4"/>
        <v>[https://link.springer.com/article/10.1007/BF01840359 Divide and Conquer (1987)]</v>
      </c>
      <c r="N116" s="16" t="s">
        <v>8319</v>
      </c>
      <c r="O116" s="81">
        <v>1987.0</v>
      </c>
      <c r="P116" s="17" t="s">
        <v>529</v>
      </c>
      <c r="Q116" s="7"/>
      <c r="R116" s="7"/>
      <c r="S116" s="7"/>
      <c r="T116" s="16"/>
      <c r="U116" s="16"/>
      <c r="V116" s="16"/>
      <c r="W116" s="16" t="s">
        <v>8318</v>
      </c>
      <c r="X116" s="53" t="s">
        <v>4069</v>
      </c>
      <c r="Y116" s="53"/>
      <c r="Z116" s="53"/>
      <c r="AA116" s="53" t="s">
        <v>1813</v>
      </c>
      <c r="AB116" s="53" t="s">
        <v>1814</v>
      </c>
      <c r="AC116" s="53" t="s">
        <v>8320</v>
      </c>
      <c r="AD116" s="360" t="s">
        <v>1962</v>
      </c>
      <c r="AE116" s="53" t="s">
        <v>8321</v>
      </c>
      <c r="AF116" s="87"/>
      <c r="AG116" s="21"/>
      <c r="AH116" s="81">
        <v>0.0</v>
      </c>
      <c r="AI116" s="87"/>
      <c r="AJ116" s="81">
        <v>0.0</v>
      </c>
      <c r="AK116" s="90"/>
      <c r="AL116" s="81">
        <v>0.0</v>
      </c>
      <c r="AM116" s="81">
        <v>0.0</v>
      </c>
      <c r="AN116" s="39"/>
      <c r="AO116" s="81">
        <v>0.0</v>
      </c>
      <c r="AP116" s="81">
        <v>0.0</v>
      </c>
      <c r="AQ116" s="39"/>
      <c r="AR116" s="82"/>
      <c r="AS116" s="82"/>
      <c r="AT116" s="82"/>
      <c r="AU116" s="7"/>
      <c r="AV116" s="7">
        <v>1000.0</v>
      </c>
      <c r="AW116" s="82">
        <f>250000/1000</f>
        <v>250</v>
      </c>
      <c r="AX116" s="7">
        <v>1000000.0</v>
      </c>
      <c r="AY116" s="82">
        <f>AX115/AX116</f>
        <v>0</v>
      </c>
      <c r="AZ116" s="7">
        <v>1.0E9</v>
      </c>
      <c r="BA116" s="82">
        <f>AZ115/AZ116</f>
        <v>0</v>
      </c>
      <c r="BB116" s="7">
        <v>4.0</v>
      </c>
      <c r="BC116" s="82"/>
      <c r="BD116" s="7"/>
      <c r="BE116" s="7" t="s">
        <v>23</v>
      </c>
      <c r="BF116" s="7"/>
      <c r="BG116" s="7"/>
    </row>
    <row r="117">
      <c r="A117" s="16">
        <v>37.0</v>
      </c>
      <c r="B117" s="16" t="s">
        <v>8322</v>
      </c>
      <c r="C117" s="53">
        <v>2.0</v>
      </c>
      <c r="D117" s="53"/>
      <c r="E117" s="7"/>
      <c r="F117" s="53"/>
      <c r="G117" s="7"/>
      <c r="H117" s="16">
        <v>1.0</v>
      </c>
      <c r="I117" s="16">
        <v>1.0</v>
      </c>
      <c r="J117" s="16" t="s">
        <v>537</v>
      </c>
      <c r="K117" s="53" t="s">
        <v>4078</v>
      </c>
      <c r="L117" s="53" t="s">
        <v>4090</v>
      </c>
      <c r="M117" s="39" t="str">
        <f t="shared" si="4"/>
        <v>[https://www.jstor.org/stable/2004229#metadata_info_tab_contents Wells (1961)]</v>
      </c>
      <c r="N117" s="16" t="s">
        <v>8323</v>
      </c>
      <c r="O117" s="83">
        <v>1961.0</v>
      </c>
      <c r="P117" s="25" t="s">
        <v>8324</v>
      </c>
      <c r="Q117" s="82"/>
      <c r="R117" s="82"/>
      <c r="S117" s="82"/>
      <c r="T117" s="16"/>
      <c r="U117" s="16"/>
      <c r="V117" s="16"/>
      <c r="W117" s="16" t="s">
        <v>537</v>
      </c>
      <c r="X117" s="53" t="s">
        <v>1773</v>
      </c>
      <c r="Y117" s="53"/>
      <c r="Z117" s="53"/>
      <c r="AA117" s="53" t="s">
        <v>1813</v>
      </c>
      <c r="AB117" s="53" t="s">
        <v>1814</v>
      </c>
      <c r="AC117" s="53" t="s">
        <v>2103</v>
      </c>
      <c r="AD117" s="360" t="s">
        <v>1763</v>
      </c>
      <c r="AE117" s="53" t="s">
        <v>8325</v>
      </c>
      <c r="AF117" s="87"/>
      <c r="AG117" s="21"/>
      <c r="AH117" s="81">
        <v>0.0</v>
      </c>
      <c r="AI117" s="21"/>
      <c r="AJ117" s="16">
        <v>0.0</v>
      </c>
      <c r="AK117" s="90"/>
      <c r="AL117" s="16">
        <v>0.0</v>
      </c>
      <c r="AM117" s="16">
        <v>0.0</v>
      </c>
      <c r="AN117" s="39"/>
      <c r="AO117" s="81">
        <v>0.0</v>
      </c>
      <c r="AP117" s="81">
        <v>0.0</v>
      </c>
      <c r="AQ117" s="39"/>
      <c r="AR117" s="155" t="s">
        <v>4084</v>
      </c>
      <c r="AS117" s="82"/>
      <c r="AT117" s="82"/>
      <c r="AU117" s="7"/>
      <c r="AV117" s="7"/>
      <c r="AW117" s="82"/>
      <c r="AX117" s="82"/>
      <c r="AY117" s="82"/>
      <c r="AZ117" s="82"/>
      <c r="BA117" s="82"/>
      <c r="BB117" s="7"/>
      <c r="BC117" s="82"/>
      <c r="BD117" s="7"/>
      <c r="BE117" s="7" t="s">
        <v>144</v>
      </c>
      <c r="BF117" s="7"/>
      <c r="BG117" s="7"/>
    </row>
    <row r="118">
      <c r="A118" s="16">
        <v>37.0</v>
      </c>
      <c r="B118" s="16" t="s">
        <v>8322</v>
      </c>
      <c r="C118" s="53">
        <v>2.0</v>
      </c>
      <c r="D118" s="53"/>
      <c r="E118" s="7"/>
      <c r="F118" s="53"/>
      <c r="G118" s="7"/>
      <c r="H118" s="16">
        <v>1.0</v>
      </c>
      <c r="I118" s="16">
        <v>1.0</v>
      </c>
      <c r="J118" s="16" t="s">
        <v>8326</v>
      </c>
      <c r="K118" s="53" t="s">
        <v>4078</v>
      </c>
      <c r="L118" s="53" t="s">
        <v>8327</v>
      </c>
      <c r="M118" s="39" t="str">
        <f t="shared" si="4"/>
        <v>[https://dl.acm.org/doi/pdf/10.1145/363282.363315 Langdon (1967)]</v>
      </c>
      <c r="N118" s="16" t="s">
        <v>8328</v>
      </c>
      <c r="O118" s="83">
        <v>1967.0</v>
      </c>
      <c r="P118" s="25" t="s">
        <v>8329</v>
      </c>
      <c r="Q118" s="82"/>
      <c r="R118" s="82"/>
      <c r="S118" s="82"/>
      <c r="T118" s="16"/>
      <c r="U118" s="16"/>
      <c r="V118" s="16"/>
      <c r="W118" s="16" t="s">
        <v>4093</v>
      </c>
      <c r="X118" s="53" t="s">
        <v>1773</v>
      </c>
      <c r="Y118" s="53"/>
      <c r="Z118" s="53"/>
      <c r="AA118" s="53" t="s">
        <v>1813</v>
      </c>
      <c r="AB118" s="53" t="s">
        <v>1814</v>
      </c>
      <c r="AC118" s="53" t="s">
        <v>2052</v>
      </c>
      <c r="AD118" s="360" t="s">
        <v>1774</v>
      </c>
      <c r="AE118" s="53" t="s">
        <v>8330</v>
      </c>
      <c r="AF118" s="87"/>
      <c r="AG118" s="87"/>
      <c r="AH118" s="81">
        <v>0.0</v>
      </c>
      <c r="AI118" s="21"/>
      <c r="AJ118" s="16">
        <v>0.0</v>
      </c>
      <c r="AK118" s="90"/>
      <c r="AL118" s="16">
        <v>0.0</v>
      </c>
      <c r="AM118" s="16">
        <v>0.0</v>
      </c>
      <c r="AN118" s="39"/>
      <c r="AO118" s="81">
        <v>0.0</v>
      </c>
      <c r="AP118" s="81">
        <v>0.0</v>
      </c>
      <c r="AQ118" s="39"/>
      <c r="AR118" s="155" t="s">
        <v>4084</v>
      </c>
      <c r="AS118" s="82"/>
      <c r="AT118" s="82"/>
      <c r="AU118" s="7"/>
      <c r="AV118" s="7"/>
      <c r="AW118" s="82"/>
      <c r="AX118" s="82"/>
      <c r="AY118" s="82"/>
      <c r="AZ118" s="82"/>
      <c r="BA118" s="82"/>
      <c r="BB118" s="7"/>
      <c r="BC118" s="82"/>
      <c r="BD118" s="7"/>
      <c r="BE118" s="7" t="s">
        <v>144</v>
      </c>
      <c r="BF118" s="7"/>
      <c r="BG118" s="7"/>
    </row>
    <row r="119">
      <c r="A119" s="16">
        <v>37.0</v>
      </c>
      <c r="B119" s="16" t="s">
        <v>8322</v>
      </c>
      <c r="C119" s="53">
        <v>2.0</v>
      </c>
      <c r="D119" s="53"/>
      <c r="E119" s="7"/>
      <c r="F119" s="53"/>
      <c r="G119" s="7"/>
      <c r="H119" s="16">
        <v>1.0</v>
      </c>
      <c r="I119" s="16">
        <v>1.0</v>
      </c>
      <c r="J119" s="16" t="s">
        <v>537</v>
      </c>
      <c r="K119" s="53" t="s">
        <v>4078</v>
      </c>
      <c r="L119" s="53" t="s">
        <v>4090</v>
      </c>
      <c r="M119" s="39" t="str">
        <f t="shared" si="4"/>
        <v>[https://dl.acm.org/doi/pdf/10.1145/362896.362913 Ord-Smith (1967)]</v>
      </c>
      <c r="N119" s="16" t="s">
        <v>8331</v>
      </c>
      <c r="O119" s="83">
        <v>1967.0</v>
      </c>
      <c r="P119" s="25" t="s">
        <v>8332</v>
      </c>
      <c r="Q119" s="82"/>
      <c r="R119" s="82"/>
      <c r="S119" s="82"/>
      <c r="T119" s="16"/>
      <c r="U119" s="16"/>
      <c r="V119" s="16"/>
      <c r="W119" s="16" t="s">
        <v>537</v>
      </c>
      <c r="X119" s="53" t="s">
        <v>1773</v>
      </c>
      <c r="Y119" s="53"/>
      <c r="Z119" s="53"/>
      <c r="AA119" s="53" t="s">
        <v>1813</v>
      </c>
      <c r="AB119" s="53" t="s">
        <v>1814</v>
      </c>
      <c r="AC119" s="53" t="s">
        <v>2103</v>
      </c>
      <c r="AD119" s="360" t="s">
        <v>1763</v>
      </c>
      <c r="AE119" s="53" t="s">
        <v>8333</v>
      </c>
      <c r="AF119" s="87"/>
      <c r="AG119" s="87"/>
      <c r="AH119" s="81">
        <v>0.0</v>
      </c>
      <c r="AI119" s="21"/>
      <c r="AJ119" s="16">
        <v>0.0</v>
      </c>
      <c r="AK119" s="90"/>
      <c r="AL119" s="16">
        <v>0.0</v>
      </c>
      <c r="AM119" s="16">
        <v>0.0</v>
      </c>
      <c r="AN119" s="39"/>
      <c r="AO119" s="81">
        <v>0.0</v>
      </c>
      <c r="AP119" s="81">
        <v>0.0</v>
      </c>
      <c r="AQ119" s="39"/>
      <c r="AR119" s="155" t="s">
        <v>4084</v>
      </c>
      <c r="AS119" s="82"/>
      <c r="AT119" s="82"/>
      <c r="AU119" s="7"/>
      <c r="AV119" s="7"/>
      <c r="AW119" s="82"/>
      <c r="AX119" s="82"/>
      <c r="AY119" s="82"/>
      <c r="AZ119" s="82"/>
      <c r="BA119" s="82"/>
      <c r="BB119" s="7"/>
      <c r="BC119" s="82"/>
      <c r="BD119" s="7"/>
      <c r="BE119" s="7" t="s">
        <v>144</v>
      </c>
      <c r="BF119" s="7"/>
      <c r="BG119" s="7"/>
    </row>
    <row r="120">
      <c r="A120" s="16">
        <v>37.0</v>
      </c>
      <c r="B120" s="16" t="s">
        <v>8322</v>
      </c>
      <c r="C120" s="53">
        <v>2.0</v>
      </c>
      <c r="D120" s="53"/>
      <c r="E120" s="7"/>
      <c r="F120" s="53"/>
      <c r="G120" s="7"/>
      <c r="H120" s="16">
        <v>1.0</v>
      </c>
      <c r="I120" s="16">
        <v>1.0</v>
      </c>
      <c r="J120" s="16" t="s">
        <v>537</v>
      </c>
      <c r="K120" s="53" t="s">
        <v>4078</v>
      </c>
      <c r="L120" s="53" t="s">
        <v>4090</v>
      </c>
      <c r="M120" s="39" t="str">
        <f t="shared" si="4"/>
        <v>[https://dl.acm.org/doi/abs/10.1145/359997.360002 Ives' algorithm c (1976)]</v>
      </c>
      <c r="N120" s="16" t="s">
        <v>8334</v>
      </c>
      <c r="O120" s="83">
        <v>1976.0</v>
      </c>
      <c r="P120" s="25" t="s">
        <v>8335</v>
      </c>
      <c r="Q120" s="82"/>
      <c r="R120" s="82"/>
      <c r="S120" s="82"/>
      <c r="T120" s="16"/>
      <c r="U120" s="16"/>
      <c r="V120" s="16"/>
      <c r="W120" s="16" t="s">
        <v>537</v>
      </c>
      <c r="X120" s="53" t="s">
        <v>1773</v>
      </c>
      <c r="Y120" s="53"/>
      <c r="Z120" s="53"/>
      <c r="AA120" s="53" t="s">
        <v>1813</v>
      </c>
      <c r="AB120" s="53" t="s">
        <v>1814</v>
      </c>
      <c r="AC120" s="53" t="s">
        <v>2103</v>
      </c>
      <c r="AD120" s="360" t="s">
        <v>1763</v>
      </c>
      <c r="AE120" s="53" t="s">
        <v>8336</v>
      </c>
      <c r="AF120" s="87"/>
      <c r="AG120" s="87"/>
      <c r="AH120" s="81">
        <v>0.0</v>
      </c>
      <c r="AI120" s="21"/>
      <c r="AJ120" s="16">
        <v>0.0</v>
      </c>
      <c r="AK120" s="90"/>
      <c r="AL120" s="16">
        <v>0.0</v>
      </c>
      <c r="AM120" s="16">
        <v>0.0</v>
      </c>
      <c r="AN120" s="39"/>
      <c r="AO120" s="81">
        <v>0.0</v>
      </c>
      <c r="AP120" s="81">
        <v>0.0</v>
      </c>
      <c r="AQ120" s="39"/>
      <c r="AR120" s="155" t="s">
        <v>4084</v>
      </c>
      <c r="AS120" s="82"/>
      <c r="AT120" s="82"/>
      <c r="AU120" s="7"/>
      <c r="AV120" s="7"/>
      <c r="AW120" s="82"/>
      <c r="AX120" s="82"/>
      <c r="AY120" s="82"/>
      <c r="AZ120" s="82"/>
      <c r="BA120" s="82"/>
      <c r="BB120" s="7"/>
      <c r="BC120" s="82"/>
      <c r="BD120" s="7"/>
      <c r="BE120" s="7" t="s">
        <v>144</v>
      </c>
      <c r="BF120" s="7"/>
      <c r="BG120" s="7"/>
    </row>
    <row r="121">
      <c r="A121" s="16">
        <v>37.0</v>
      </c>
      <c r="B121" s="16" t="s">
        <v>8322</v>
      </c>
      <c r="C121" s="53">
        <v>2.0</v>
      </c>
      <c r="D121" s="53"/>
      <c r="E121" s="7"/>
      <c r="F121" s="53"/>
      <c r="G121" s="7"/>
      <c r="H121" s="16">
        <v>1.0</v>
      </c>
      <c r="I121" s="16">
        <v>1.0</v>
      </c>
      <c r="J121" s="16" t="s">
        <v>4077</v>
      </c>
      <c r="K121" s="53" t="s">
        <v>4078</v>
      </c>
      <c r="L121" s="91" t="s">
        <v>8337</v>
      </c>
      <c r="M121" s="39" t="str">
        <f t="shared" si="4"/>
        <v>[https://link.springer.com/article/10.1007/BF01937486 Zaks' prefix reversal algorithm (1984)]</v>
      </c>
      <c r="N121" s="16" t="s">
        <v>8338</v>
      </c>
      <c r="O121" s="83">
        <v>1984.0</v>
      </c>
      <c r="P121" s="25" t="s">
        <v>8337</v>
      </c>
      <c r="Q121" s="82"/>
      <c r="R121" s="82"/>
      <c r="S121" s="82"/>
      <c r="T121" s="16"/>
      <c r="U121" s="16"/>
      <c r="V121" s="16"/>
      <c r="W121" s="16" t="s">
        <v>4082</v>
      </c>
      <c r="X121" s="53" t="s">
        <v>1773</v>
      </c>
      <c r="Y121" s="53"/>
      <c r="Z121" s="53"/>
      <c r="AA121" s="53" t="s">
        <v>1813</v>
      </c>
      <c r="AB121" s="53" t="s">
        <v>1814</v>
      </c>
      <c r="AC121" s="53" t="s">
        <v>8339</v>
      </c>
      <c r="AD121" s="360" t="s">
        <v>1763</v>
      </c>
      <c r="AE121" s="91" t="s">
        <v>8340</v>
      </c>
      <c r="AF121" s="87"/>
      <c r="AG121" s="87"/>
      <c r="AH121" s="81">
        <v>0.0</v>
      </c>
      <c r="AI121" s="21"/>
      <c r="AJ121" s="16">
        <v>0.0</v>
      </c>
      <c r="AK121" s="90"/>
      <c r="AL121" s="16">
        <v>0.0</v>
      </c>
      <c r="AM121" s="16">
        <v>0.0</v>
      </c>
      <c r="AN121" s="39"/>
      <c r="AO121" s="81">
        <v>0.0</v>
      </c>
      <c r="AP121" s="81">
        <v>0.0</v>
      </c>
      <c r="AQ121" s="39"/>
      <c r="AR121" s="155" t="s">
        <v>4084</v>
      </c>
      <c r="AS121" s="82"/>
      <c r="AT121" s="82"/>
      <c r="AU121" s="7"/>
      <c r="AV121" s="7"/>
      <c r="AW121" s="82"/>
      <c r="AX121" s="82"/>
      <c r="AY121" s="82"/>
      <c r="AZ121" s="82"/>
      <c r="BA121" s="82"/>
      <c r="BB121" s="7"/>
      <c r="BC121" s="82"/>
      <c r="BD121" s="7"/>
      <c r="BE121" s="7" t="s">
        <v>144</v>
      </c>
      <c r="BF121" s="7"/>
      <c r="BG121" s="7"/>
    </row>
    <row r="122">
      <c r="A122" s="16">
        <v>40.0</v>
      </c>
      <c r="B122" s="16" t="s">
        <v>8341</v>
      </c>
      <c r="C122" s="53">
        <v>1.0</v>
      </c>
      <c r="D122" s="53" t="s">
        <v>8342</v>
      </c>
      <c r="E122" s="7"/>
      <c r="F122" s="53"/>
      <c r="G122" s="7"/>
      <c r="H122" s="16">
        <v>1.0</v>
      </c>
      <c r="I122" s="16">
        <v>1.0</v>
      </c>
      <c r="J122" s="16" t="s">
        <v>8343</v>
      </c>
      <c r="K122" s="53"/>
      <c r="L122" s="53"/>
      <c r="M122" s="39" t="str">
        <f t="shared" si="4"/>
        <v>[https://dl.acm.org/doi/10.1145/321694.321699 Edmonds-Karp (1972)]</v>
      </c>
      <c r="N122" s="16" t="s">
        <v>8344</v>
      </c>
      <c r="O122" s="83">
        <v>1972.0</v>
      </c>
      <c r="P122" s="17" t="s">
        <v>8345</v>
      </c>
      <c r="Q122" s="7"/>
      <c r="R122" s="7"/>
      <c r="S122" s="82"/>
      <c r="T122" s="16"/>
      <c r="U122" s="16"/>
      <c r="V122" s="16"/>
      <c r="W122" s="16" t="s">
        <v>8346</v>
      </c>
      <c r="X122" s="53" t="s">
        <v>3397</v>
      </c>
      <c r="Y122" s="53"/>
      <c r="Z122" s="53"/>
      <c r="AA122" s="53" t="s">
        <v>1813</v>
      </c>
      <c r="AB122" s="53" t="s">
        <v>1814</v>
      </c>
      <c r="AC122" s="53" t="s">
        <v>115</v>
      </c>
      <c r="AD122" s="360" t="s">
        <v>1938</v>
      </c>
      <c r="AE122" s="53" t="s">
        <v>8347</v>
      </c>
      <c r="AF122" s="21"/>
      <c r="AG122" s="21"/>
      <c r="AH122" s="16">
        <v>0.0</v>
      </c>
      <c r="AI122" s="21"/>
      <c r="AJ122" s="16">
        <v>0.0</v>
      </c>
      <c r="AK122" s="90"/>
      <c r="AL122" s="16">
        <v>0.0</v>
      </c>
      <c r="AM122" s="16">
        <v>0.0</v>
      </c>
      <c r="AN122" s="39"/>
      <c r="AO122" s="81">
        <v>0.0</v>
      </c>
      <c r="AP122" s="81">
        <v>0.0</v>
      </c>
      <c r="AQ122" s="39"/>
      <c r="AR122" s="7" t="s">
        <v>4134</v>
      </c>
      <c r="AS122" s="82"/>
      <c r="AT122" s="82"/>
      <c r="AU122" s="7"/>
      <c r="AV122" s="7"/>
      <c r="AW122" s="7"/>
      <c r="AX122" s="82"/>
      <c r="AY122" s="7"/>
      <c r="AZ122" s="82"/>
      <c r="BA122" s="7"/>
      <c r="BB122" s="7"/>
      <c r="BC122" s="82"/>
      <c r="BD122" s="7"/>
      <c r="BE122" s="7" t="s">
        <v>23</v>
      </c>
      <c r="BF122" s="7"/>
      <c r="BG122" s="7"/>
    </row>
    <row r="123">
      <c r="A123" s="16">
        <v>40.0</v>
      </c>
      <c r="B123" s="16" t="s">
        <v>8341</v>
      </c>
      <c r="C123" s="53">
        <v>1.0</v>
      </c>
      <c r="D123" s="53" t="s">
        <v>8342</v>
      </c>
      <c r="E123" s="7"/>
      <c r="F123" s="53"/>
      <c r="G123" s="7"/>
      <c r="H123" s="16">
        <v>1.0</v>
      </c>
      <c r="I123" s="16">
        <v>1.0</v>
      </c>
      <c r="J123" s="16" t="s">
        <v>8348</v>
      </c>
      <c r="K123" s="53"/>
      <c r="L123" s="53"/>
      <c r="M123" s="39" t="str">
        <f t="shared" si="4"/>
        <v>[https://www.sciencedirect.com/science/article/pii/0020019075900010 Johnson (Edmonds-Karp-based) (1975)]</v>
      </c>
      <c r="N123" s="16" t="s">
        <v>8349</v>
      </c>
      <c r="O123" s="83">
        <v>1975.0</v>
      </c>
      <c r="P123" s="17" t="s">
        <v>8350</v>
      </c>
      <c r="Q123" s="7"/>
      <c r="R123" s="7"/>
      <c r="S123" s="82"/>
      <c r="T123" s="16"/>
      <c r="U123" s="16"/>
      <c r="V123" s="16"/>
      <c r="W123" s="16" t="s">
        <v>8348</v>
      </c>
      <c r="X123" s="53" t="s">
        <v>3397</v>
      </c>
      <c r="Y123" s="53"/>
      <c r="Z123" s="53"/>
      <c r="AA123" s="53" t="s">
        <v>1813</v>
      </c>
      <c r="AB123" s="53" t="s">
        <v>1814</v>
      </c>
      <c r="AC123" s="53" t="s">
        <v>115</v>
      </c>
      <c r="AD123" s="360" t="s">
        <v>1938</v>
      </c>
      <c r="AE123" s="53" t="s">
        <v>2117</v>
      </c>
      <c r="AF123" s="21"/>
      <c r="AG123" s="87"/>
      <c r="AH123" s="16">
        <v>0.0</v>
      </c>
      <c r="AI123" s="21"/>
      <c r="AJ123" s="16">
        <v>0.0</v>
      </c>
      <c r="AK123" s="90"/>
      <c r="AL123" s="16">
        <v>0.0</v>
      </c>
      <c r="AM123" s="16">
        <v>0.0</v>
      </c>
      <c r="AN123" s="39"/>
      <c r="AO123" s="81">
        <v>0.0</v>
      </c>
      <c r="AP123" s="81">
        <v>0.0</v>
      </c>
      <c r="AQ123" s="39"/>
      <c r="AR123" s="7" t="s">
        <v>4134</v>
      </c>
      <c r="AS123" s="82"/>
      <c r="AT123" s="82"/>
      <c r="AU123" s="7"/>
      <c r="AV123" s="7"/>
      <c r="AW123" s="7"/>
      <c r="AX123" s="82"/>
      <c r="AY123" s="7"/>
      <c r="AZ123" s="82"/>
      <c r="BA123" s="7"/>
      <c r="BB123" s="7"/>
      <c r="BC123" s="82"/>
      <c r="BD123" s="7"/>
      <c r="BE123" s="7" t="s">
        <v>23</v>
      </c>
      <c r="BF123" s="7"/>
      <c r="BG123" s="7"/>
    </row>
    <row r="124">
      <c r="A124" s="16">
        <v>40.0</v>
      </c>
      <c r="B124" s="16" t="s">
        <v>8341</v>
      </c>
      <c r="C124" s="53">
        <v>1.0</v>
      </c>
      <c r="D124" s="53" t="s">
        <v>8342</v>
      </c>
      <c r="E124" s="7"/>
      <c r="F124" s="53"/>
      <c r="G124" s="7"/>
      <c r="H124" s="16">
        <v>1.0</v>
      </c>
      <c r="I124" s="16">
        <v>1.0</v>
      </c>
      <c r="J124" s="16" t="s">
        <v>8351</v>
      </c>
      <c r="K124" s="53"/>
      <c r="L124" s="53"/>
      <c r="M124" s="39" t="str">
        <f t="shared" si="4"/>
        <v>[https://dl.acm.org/doi/10.1145/28869.28874 Fredman-Tarjan (Edmonds-Karp-based) (1984)]</v>
      </c>
      <c r="N124" s="16" t="s">
        <v>8352</v>
      </c>
      <c r="O124" s="83">
        <v>1984.0</v>
      </c>
      <c r="P124" s="17" t="s">
        <v>6975</v>
      </c>
      <c r="Q124" s="7"/>
      <c r="R124" s="7"/>
      <c r="S124" s="82"/>
      <c r="T124" s="16"/>
      <c r="U124" s="16"/>
      <c r="V124" s="16"/>
      <c r="W124" s="16" t="s">
        <v>8351</v>
      </c>
      <c r="X124" s="53" t="s">
        <v>3397</v>
      </c>
      <c r="Y124" s="53"/>
      <c r="Z124" s="53"/>
      <c r="AA124" s="53" t="s">
        <v>1813</v>
      </c>
      <c r="AB124" s="53" t="s">
        <v>1814</v>
      </c>
      <c r="AC124" s="53" t="s">
        <v>115</v>
      </c>
      <c r="AD124" s="360" t="s">
        <v>1938</v>
      </c>
      <c r="AE124" s="53" t="s">
        <v>2117</v>
      </c>
      <c r="AF124" s="21"/>
      <c r="AG124" s="87"/>
      <c r="AH124" s="16">
        <v>0.0</v>
      </c>
      <c r="AI124" s="21"/>
      <c r="AJ124" s="16">
        <v>0.0</v>
      </c>
      <c r="AK124" s="90"/>
      <c r="AL124" s="16">
        <v>0.0</v>
      </c>
      <c r="AM124" s="16">
        <v>0.0</v>
      </c>
      <c r="AN124" s="39"/>
      <c r="AO124" s="81">
        <v>0.0</v>
      </c>
      <c r="AP124" s="81">
        <v>0.0</v>
      </c>
      <c r="AQ124" s="39"/>
      <c r="AR124" s="7" t="s">
        <v>4134</v>
      </c>
      <c r="AS124" s="82"/>
      <c r="AT124" s="82"/>
      <c r="AU124" s="7"/>
      <c r="AV124" s="7"/>
      <c r="AW124" s="7"/>
      <c r="AX124" s="82"/>
      <c r="AY124" s="7"/>
      <c r="AZ124" s="82"/>
      <c r="BA124" s="7"/>
      <c r="BB124" s="7"/>
      <c r="BC124" s="82"/>
      <c r="BD124" s="7"/>
      <c r="BE124" s="7" t="s">
        <v>23</v>
      </c>
      <c r="BF124" s="7"/>
      <c r="BG124" s="7"/>
    </row>
    <row r="125">
      <c r="A125" s="16">
        <v>40.0</v>
      </c>
      <c r="B125" s="16" t="s">
        <v>8341</v>
      </c>
      <c r="C125" s="53">
        <v>1.0</v>
      </c>
      <c r="D125" s="53" t="s">
        <v>8353</v>
      </c>
      <c r="E125" s="7"/>
      <c r="F125" s="53"/>
      <c r="G125" s="7"/>
      <c r="H125" s="16">
        <v>1.0</v>
      </c>
      <c r="I125" s="16">
        <v>1.0</v>
      </c>
      <c r="J125" s="16" t="s">
        <v>834</v>
      </c>
      <c r="K125" s="53"/>
      <c r="L125" s="53"/>
      <c r="M125" s="39" t="str">
        <f t="shared" si="4"/>
        <v>[https://www.proquest.com/docview/287948024?pq-origsite=gscholar&amp;fromopenview=true Gabow (1974)]</v>
      </c>
      <c r="N125" s="16" t="s">
        <v>8071</v>
      </c>
      <c r="O125" s="83">
        <v>1974.0</v>
      </c>
      <c r="P125" s="17" t="s">
        <v>8354</v>
      </c>
      <c r="Q125" s="7"/>
      <c r="R125" s="7"/>
      <c r="S125" s="82"/>
      <c r="T125" s="16"/>
      <c r="U125" s="16"/>
      <c r="V125" s="16"/>
      <c r="W125" s="16" t="s">
        <v>834</v>
      </c>
      <c r="X125" s="53" t="s">
        <v>2102</v>
      </c>
      <c r="Y125" s="53"/>
      <c r="Z125" s="53"/>
      <c r="AA125" s="53" t="s">
        <v>1813</v>
      </c>
      <c r="AB125" s="53" t="s">
        <v>1814</v>
      </c>
      <c r="AC125" s="53"/>
      <c r="AD125" s="360"/>
      <c r="AE125" s="53"/>
      <c r="AF125" s="21"/>
      <c r="AG125" s="87"/>
      <c r="AH125" s="16">
        <v>0.0</v>
      </c>
      <c r="AI125" s="21"/>
      <c r="AJ125" s="16">
        <v>0.0</v>
      </c>
      <c r="AK125" s="90"/>
      <c r="AL125" s="16">
        <v>0.0</v>
      </c>
      <c r="AM125" s="16">
        <v>0.0</v>
      </c>
      <c r="AN125" s="39"/>
      <c r="AO125" s="81">
        <v>0.0</v>
      </c>
      <c r="AP125" s="81">
        <v>0.0</v>
      </c>
      <c r="AQ125" s="39"/>
      <c r="AR125" s="7" t="s">
        <v>4134</v>
      </c>
      <c r="AS125" s="82"/>
      <c r="AT125" s="82"/>
      <c r="AU125" s="7"/>
      <c r="AV125" s="7"/>
      <c r="AW125" s="7"/>
      <c r="AX125" s="82"/>
      <c r="AY125" s="7"/>
      <c r="AZ125" s="82"/>
      <c r="BA125" s="7"/>
      <c r="BB125" s="7"/>
      <c r="BC125" s="82"/>
      <c r="BD125" s="7"/>
      <c r="BE125" s="7" t="s">
        <v>23</v>
      </c>
      <c r="BF125" s="7"/>
      <c r="BG125" s="7"/>
    </row>
    <row r="126">
      <c r="A126" s="16">
        <v>40.0</v>
      </c>
      <c r="B126" s="16" t="s">
        <v>8341</v>
      </c>
      <c r="C126" s="53">
        <v>1.0</v>
      </c>
      <c r="D126" s="53" t="s">
        <v>8353</v>
      </c>
      <c r="E126" s="7"/>
      <c r="F126" s="53"/>
      <c r="G126" s="7"/>
      <c r="H126" s="16">
        <v>1.0</v>
      </c>
      <c r="I126" s="16">
        <v>1.0</v>
      </c>
      <c r="J126" s="16" t="s">
        <v>8355</v>
      </c>
      <c r="K126" s="53"/>
      <c r="L126" s="53"/>
      <c r="M126" s="39" t="str">
        <f t="shared" si="4"/>
        <v>[https://www.proquest.com/docview/919855909?pq-origsite=gscholar&amp;fromopenview=true Galil, Micali, Gabow (1982)]</v>
      </c>
      <c r="N126" s="16" t="s">
        <v>8356</v>
      </c>
      <c r="O126" s="83">
        <v>1982.0</v>
      </c>
      <c r="P126" s="17" t="s">
        <v>8357</v>
      </c>
      <c r="Q126" s="7"/>
      <c r="R126" s="7"/>
      <c r="S126" s="82"/>
      <c r="T126" s="16"/>
      <c r="U126" s="16"/>
      <c r="V126" s="16"/>
      <c r="W126" s="16" t="s">
        <v>8355</v>
      </c>
      <c r="X126" s="53" t="s">
        <v>2102</v>
      </c>
      <c r="Y126" s="53"/>
      <c r="Z126" s="53"/>
      <c r="AA126" s="53" t="s">
        <v>1813</v>
      </c>
      <c r="AB126" s="53" t="s">
        <v>1814</v>
      </c>
      <c r="AC126" s="53"/>
      <c r="AD126" s="360"/>
      <c r="AE126" s="53"/>
      <c r="AF126" s="21"/>
      <c r="AG126" s="87"/>
      <c r="AH126" s="16">
        <v>0.0</v>
      </c>
      <c r="AI126" s="21"/>
      <c r="AJ126" s="16">
        <v>0.0</v>
      </c>
      <c r="AK126" s="90"/>
      <c r="AL126" s="16">
        <v>0.0</v>
      </c>
      <c r="AM126" s="16">
        <v>0.0</v>
      </c>
      <c r="AN126" s="39"/>
      <c r="AO126" s="81">
        <v>0.0</v>
      </c>
      <c r="AP126" s="81">
        <v>0.0</v>
      </c>
      <c r="AQ126" s="39"/>
      <c r="AR126" s="7" t="s">
        <v>4134</v>
      </c>
      <c r="AS126" s="82"/>
      <c r="AT126" s="82"/>
      <c r="AU126" s="7"/>
      <c r="AV126" s="7"/>
      <c r="AW126" s="7"/>
      <c r="AX126" s="82"/>
      <c r="AY126" s="7"/>
      <c r="AZ126" s="82"/>
      <c r="BA126" s="7"/>
      <c r="BB126" s="7"/>
      <c r="BC126" s="82"/>
      <c r="BD126" s="7"/>
      <c r="BE126" s="7" t="s">
        <v>23</v>
      </c>
      <c r="BF126" s="7"/>
      <c r="BG126" s="7"/>
    </row>
    <row r="127">
      <c r="A127" s="16">
        <v>40.0</v>
      </c>
      <c r="B127" s="16" t="s">
        <v>8341</v>
      </c>
      <c r="C127" s="53">
        <v>1.0</v>
      </c>
      <c r="D127" s="53" t="s">
        <v>8353</v>
      </c>
      <c r="E127" s="7"/>
      <c r="F127" s="53"/>
      <c r="G127" s="7"/>
      <c r="H127" s="16">
        <v>1.0</v>
      </c>
      <c r="I127" s="16">
        <v>1.0</v>
      </c>
      <c r="J127" s="16" t="s">
        <v>8358</v>
      </c>
      <c r="K127" s="53"/>
      <c r="L127" s="53"/>
      <c r="M127" s="39" t="str">
        <f t="shared" si="4"/>
        <v>[https://ieeexplore.ieee.org/abstract/document/715935 Gabow, Galil, Spencer (1989)]</v>
      </c>
      <c r="N127" s="16" t="s">
        <v>8216</v>
      </c>
      <c r="O127" s="83">
        <v>1989.0</v>
      </c>
      <c r="P127" s="17" t="s">
        <v>8217</v>
      </c>
      <c r="Q127" s="7"/>
      <c r="R127" s="7"/>
      <c r="S127" s="82"/>
      <c r="T127" s="16"/>
      <c r="U127" s="16"/>
      <c r="V127" s="16"/>
      <c r="W127" s="16" t="s">
        <v>8358</v>
      </c>
      <c r="X127" s="53" t="s">
        <v>2102</v>
      </c>
      <c r="Y127" s="53"/>
      <c r="Z127" s="53"/>
      <c r="AA127" s="53" t="s">
        <v>1813</v>
      </c>
      <c r="AB127" s="53" t="s">
        <v>1814</v>
      </c>
      <c r="AC127" s="53"/>
      <c r="AD127" s="360"/>
      <c r="AE127" s="53"/>
      <c r="AF127" s="21"/>
      <c r="AG127" s="87"/>
      <c r="AH127" s="16">
        <v>0.0</v>
      </c>
      <c r="AI127" s="21"/>
      <c r="AJ127" s="16">
        <v>0.0</v>
      </c>
      <c r="AK127" s="90"/>
      <c r="AL127" s="16">
        <v>0.0</v>
      </c>
      <c r="AM127" s="16">
        <v>0.0</v>
      </c>
      <c r="AN127" s="39"/>
      <c r="AO127" s="81">
        <v>0.0</v>
      </c>
      <c r="AP127" s="81">
        <v>0.0</v>
      </c>
      <c r="AQ127" s="39"/>
      <c r="AR127" s="7" t="s">
        <v>4134</v>
      </c>
      <c r="AS127" s="82"/>
      <c r="AT127" s="82"/>
      <c r="AU127" s="7"/>
      <c r="AV127" s="7"/>
      <c r="AW127" s="7"/>
      <c r="AX127" s="82"/>
      <c r="AY127" s="7"/>
      <c r="AZ127" s="82"/>
      <c r="BA127" s="7"/>
      <c r="BB127" s="7"/>
      <c r="BC127" s="82"/>
      <c r="BD127" s="7"/>
      <c r="BE127" s="7" t="s">
        <v>23</v>
      </c>
      <c r="BF127" s="7"/>
      <c r="BG127" s="7"/>
    </row>
    <row r="128">
      <c r="A128" s="16">
        <v>40.0</v>
      </c>
      <c r="B128" s="16" t="s">
        <v>8341</v>
      </c>
      <c r="C128" s="53">
        <v>1.0</v>
      </c>
      <c r="D128" s="53" t="s">
        <v>8353</v>
      </c>
      <c r="E128" s="7"/>
      <c r="F128" s="53"/>
      <c r="G128" s="7"/>
      <c r="H128" s="16">
        <v>1.0</v>
      </c>
      <c r="I128" s="16">
        <v>1.0</v>
      </c>
      <c r="J128" s="16" t="s">
        <v>8351</v>
      </c>
      <c r="K128" s="53"/>
      <c r="L128" s="53"/>
      <c r="M128" s="39" t="str">
        <f t="shared" si="4"/>
        <v>[https://dl.acm.org/doi/10.5555/320176.320229 Gabow (1990)]</v>
      </c>
      <c r="N128" s="16" t="s">
        <v>8071</v>
      </c>
      <c r="O128" s="83">
        <v>1990.0</v>
      </c>
      <c r="P128" s="17" t="s">
        <v>8359</v>
      </c>
      <c r="Q128" s="7"/>
      <c r="R128" s="7"/>
      <c r="S128" s="82"/>
      <c r="T128" s="16"/>
      <c r="U128" s="16"/>
      <c r="V128" s="16"/>
      <c r="W128" s="16" t="s">
        <v>8351</v>
      </c>
      <c r="X128" s="53" t="s">
        <v>2102</v>
      </c>
      <c r="Y128" s="53"/>
      <c r="Z128" s="53"/>
      <c r="AA128" s="53" t="s">
        <v>1813</v>
      </c>
      <c r="AB128" s="53" t="s">
        <v>1814</v>
      </c>
      <c r="AC128" s="53" t="s">
        <v>148</v>
      </c>
      <c r="AD128" s="361" t="s">
        <v>2524</v>
      </c>
      <c r="AE128" s="86" t="s">
        <v>8359</v>
      </c>
      <c r="AF128" s="21"/>
      <c r="AG128" s="87"/>
      <c r="AH128" s="16">
        <v>0.0</v>
      </c>
      <c r="AI128" s="21"/>
      <c r="AJ128" s="16">
        <v>0.0</v>
      </c>
      <c r="AK128" s="90"/>
      <c r="AL128" s="16">
        <v>0.0</v>
      </c>
      <c r="AM128" s="16">
        <v>0.0</v>
      </c>
      <c r="AN128" s="39"/>
      <c r="AO128" s="81">
        <v>0.0</v>
      </c>
      <c r="AP128" s="81">
        <v>0.0</v>
      </c>
      <c r="AQ128" s="39"/>
      <c r="AR128" s="7" t="s">
        <v>4134</v>
      </c>
      <c r="AS128" s="82"/>
      <c r="AT128" s="82"/>
      <c r="AU128" s="7"/>
      <c r="AV128" s="7"/>
      <c r="AW128" s="7"/>
      <c r="AX128" s="82"/>
      <c r="AY128" s="7"/>
      <c r="AZ128" s="82"/>
      <c r="BA128" s="7"/>
      <c r="BB128" s="7"/>
      <c r="BC128" s="82"/>
      <c r="BD128" s="7"/>
      <c r="BE128" s="7" t="s">
        <v>23</v>
      </c>
      <c r="BF128" s="7"/>
      <c r="BG128" s="7"/>
    </row>
    <row r="129">
      <c r="A129" s="16">
        <v>48.0</v>
      </c>
      <c r="B129" s="16" t="s">
        <v>621</v>
      </c>
      <c r="C129" s="53">
        <v>1.0</v>
      </c>
      <c r="D129" s="53" t="s">
        <v>622</v>
      </c>
      <c r="E129" s="7"/>
      <c r="F129" s="53"/>
      <c r="G129" s="7">
        <v>0.0</v>
      </c>
      <c r="H129" s="16">
        <v>1.0</v>
      </c>
      <c r="I129" s="16">
        <v>1.0</v>
      </c>
      <c r="J129" s="48" t="s">
        <v>8360</v>
      </c>
      <c r="K129" s="53"/>
      <c r="L129" s="53"/>
      <c r="M129" s="39" t="str">
        <f t="shared" si="4"/>
        <v>[https://link.springer.com/article/10.1007/BF01934364 Illinois Algorithm (1971)]</v>
      </c>
      <c r="N129" s="16" t="s">
        <v>8361</v>
      </c>
      <c r="O129" s="83">
        <v>1971.0</v>
      </c>
      <c r="P129" s="25" t="s">
        <v>8362</v>
      </c>
      <c r="Q129" s="82"/>
      <c r="R129" s="82"/>
      <c r="S129" s="82"/>
      <c r="T129" s="16"/>
      <c r="U129" s="16"/>
      <c r="V129" s="21"/>
      <c r="W129" s="21" t="s">
        <v>8363</v>
      </c>
      <c r="X129" s="53" t="s">
        <v>4259</v>
      </c>
      <c r="Y129" s="53"/>
      <c r="Z129" s="53"/>
      <c r="AA129" s="53" t="s">
        <v>2312</v>
      </c>
      <c r="AB129" s="53" t="s">
        <v>1814</v>
      </c>
      <c r="AC129" s="53" t="s">
        <v>34</v>
      </c>
      <c r="AD129" s="360"/>
      <c r="AE129" s="53" t="s">
        <v>5647</v>
      </c>
      <c r="AF129" s="21"/>
      <c r="AG129" s="104"/>
      <c r="AH129" s="16">
        <v>0.0</v>
      </c>
      <c r="AI129" s="21"/>
      <c r="AJ129" s="16">
        <v>1.0</v>
      </c>
      <c r="AK129" s="21" t="s">
        <v>4262</v>
      </c>
      <c r="AL129" s="16">
        <v>0.0</v>
      </c>
      <c r="AM129" s="16">
        <v>0.0</v>
      </c>
      <c r="AN129" s="39"/>
      <c r="AO129" s="81">
        <v>0.0</v>
      </c>
      <c r="AP129" s="81">
        <v>0.0</v>
      </c>
      <c r="AQ129" s="47" t="s">
        <v>8364</v>
      </c>
      <c r="AR129" s="82"/>
      <c r="AS129" s="82"/>
      <c r="AT129" s="82"/>
      <c r="AU129" s="7"/>
      <c r="AV129" s="7"/>
      <c r="AW129" s="82"/>
      <c r="AX129" s="82"/>
      <c r="AY129" s="82"/>
      <c r="AZ129" s="82"/>
      <c r="BA129" s="82"/>
      <c r="BB129" s="7">
        <v>6.0</v>
      </c>
      <c r="BC129" s="82"/>
      <c r="BD129" s="7"/>
      <c r="BE129" s="7" t="s">
        <v>144</v>
      </c>
      <c r="BF129" s="7"/>
      <c r="BG129" s="7"/>
    </row>
    <row r="130">
      <c r="A130" s="16">
        <v>48.0</v>
      </c>
      <c r="B130" s="16" t="s">
        <v>621</v>
      </c>
      <c r="C130" s="53">
        <v>1.0</v>
      </c>
      <c r="D130" s="53" t="s">
        <v>622</v>
      </c>
      <c r="E130" s="7"/>
      <c r="F130" s="53"/>
      <c r="G130" s="7">
        <v>0.0</v>
      </c>
      <c r="H130" s="16">
        <v>1.0</v>
      </c>
      <c r="I130" s="16">
        <v>1.0</v>
      </c>
      <c r="J130" s="48" t="s">
        <v>1182</v>
      </c>
      <c r="K130" s="53"/>
      <c r="L130" s="53"/>
      <c r="M130" s="39" t="str">
        <f t="shared" si="4"/>
        <v>[https://link.springer.com/article/10.1007/BF01951936 Anderson–Björck algorithm (1973)]</v>
      </c>
      <c r="N130" s="16" t="s">
        <v>8365</v>
      </c>
      <c r="O130" s="83">
        <v>1973.0</v>
      </c>
      <c r="P130" s="25" t="s">
        <v>8366</v>
      </c>
      <c r="Q130" s="82"/>
      <c r="R130" s="82"/>
      <c r="S130" s="82"/>
      <c r="T130" s="16"/>
      <c r="U130" s="16"/>
      <c r="V130" s="21"/>
      <c r="W130" s="21" t="s">
        <v>8363</v>
      </c>
      <c r="X130" s="53" t="s">
        <v>4259</v>
      </c>
      <c r="Y130" s="53"/>
      <c r="Z130" s="53"/>
      <c r="AA130" s="53" t="s">
        <v>2312</v>
      </c>
      <c r="AB130" s="53" t="s">
        <v>1814</v>
      </c>
      <c r="AC130" s="53" t="s">
        <v>34</v>
      </c>
      <c r="AD130" s="360"/>
      <c r="AE130" s="53" t="s">
        <v>5647</v>
      </c>
      <c r="AF130" s="21"/>
      <c r="AG130" s="104"/>
      <c r="AH130" s="16">
        <v>0.0</v>
      </c>
      <c r="AI130" s="21"/>
      <c r="AJ130" s="16">
        <v>1.0</v>
      </c>
      <c r="AK130" s="21" t="s">
        <v>4262</v>
      </c>
      <c r="AL130" s="16">
        <v>0.0</v>
      </c>
      <c r="AM130" s="16">
        <v>0.0</v>
      </c>
      <c r="AN130" s="39"/>
      <c r="AO130" s="81">
        <v>0.0</v>
      </c>
      <c r="AP130" s="81">
        <v>0.0</v>
      </c>
      <c r="AQ130" s="47" t="s">
        <v>8364</v>
      </c>
      <c r="AR130" s="82"/>
      <c r="AS130" s="82"/>
      <c r="AT130" s="82"/>
      <c r="AU130" s="7"/>
      <c r="AV130" s="7"/>
      <c r="AW130" s="82"/>
      <c r="AX130" s="82"/>
      <c r="AY130" s="82"/>
      <c r="AZ130" s="82"/>
      <c r="BA130" s="82"/>
      <c r="BB130" s="7">
        <v>6.0</v>
      </c>
      <c r="BC130" s="82"/>
      <c r="BD130" s="7"/>
      <c r="BE130" s="7" t="s">
        <v>144</v>
      </c>
      <c r="BF130" s="7"/>
      <c r="BG130" s="7"/>
    </row>
    <row r="131">
      <c r="A131" s="16">
        <v>48.0</v>
      </c>
      <c r="B131" s="16" t="s">
        <v>621</v>
      </c>
      <c r="C131" s="53">
        <v>1.0</v>
      </c>
      <c r="D131" s="53" t="s">
        <v>622</v>
      </c>
      <c r="E131" s="7"/>
      <c r="F131" s="53"/>
      <c r="G131" s="7">
        <v>0.0</v>
      </c>
      <c r="H131" s="16">
        <v>1.0</v>
      </c>
      <c r="I131" s="16">
        <v>1.0</v>
      </c>
      <c r="J131" s="48" t="s">
        <v>8367</v>
      </c>
      <c r="K131" s="53"/>
      <c r="L131" s="53"/>
      <c r="M131" s="39" t="str">
        <f t="shared" si="4"/>
        <v>[- ITP Method (1940?)]</v>
      </c>
      <c r="N131" s="16" t="s">
        <v>8368</v>
      </c>
      <c r="O131" s="83" t="s">
        <v>8369</v>
      </c>
      <c r="P131" s="48" t="s">
        <v>1937</v>
      </c>
      <c r="Q131" s="82"/>
      <c r="R131" s="82"/>
      <c r="S131" s="82"/>
      <c r="T131" s="16"/>
      <c r="U131" s="16"/>
      <c r="V131" s="21"/>
      <c r="W131" s="21" t="s">
        <v>8370</v>
      </c>
      <c r="X131" s="53" t="s">
        <v>8371</v>
      </c>
      <c r="Y131" s="53"/>
      <c r="Z131" s="53"/>
      <c r="AA131" s="53" t="s">
        <v>2312</v>
      </c>
      <c r="AB131" s="53" t="s">
        <v>1814</v>
      </c>
      <c r="AC131" s="53" t="s">
        <v>34</v>
      </c>
      <c r="AD131" s="360"/>
      <c r="AE131" s="53" t="s">
        <v>5647</v>
      </c>
      <c r="AF131" s="21"/>
      <c r="AG131" s="104"/>
      <c r="AH131" s="16">
        <v>0.0</v>
      </c>
      <c r="AI131" s="21"/>
      <c r="AJ131" s="16">
        <v>1.0</v>
      </c>
      <c r="AK131" s="21" t="s">
        <v>4262</v>
      </c>
      <c r="AL131" s="16">
        <v>0.0</v>
      </c>
      <c r="AM131" s="16">
        <v>0.0</v>
      </c>
      <c r="AN131" s="39"/>
      <c r="AO131" s="81">
        <v>0.0</v>
      </c>
      <c r="AP131" s="81">
        <v>0.0</v>
      </c>
      <c r="AQ131" s="47" t="s">
        <v>8372</v>
      </c>
      <c r="AR131" s="82"/>
      <c r="AS131" s="82"/>
      <c r="AT131" s="82"/>
      <c r="AU131" s="7"/>
      <c r="AV131" s="7"/>
      <c r="AW131" s="82"/>
      <c r="AX131" s="82"/>
      <c r="AY131" s="82"/>
      <c r="AZ131" s="82"/>
      <c r="BA131" s="82"/>
      <c r="BB131" s="7">
        <v>6.0</v>
      </c>
      <c r="BC131" s="82"/>
      <c r="BD131" s="7"/>
      <c r="BE131" s="7" t="s">
        <v>144</v>
      </c>
      <c r="BF131" s="7"/>
      <c r="BG131" s="7"/>
    </row>
    <row r="132">
      <c r="A132" s="16">
        <v>48.0</v>
      </c>
      <c r="B132" s="16" t="s">
        <v>621</v>
      </c>
      <c r="C132" s="53">
        <v>1.0</v>
      </c>
      <c r="D132" s="53" t="s">
        <v>8373</v>
      </c>
      <c r="E132" s="7"/>
      <c r="F132" s="53"/>
      <c r="G132" s="7">
        <v>0.0</v>
      </c>
      <c r="H132" s="16">
        <v>1.0</v>
      </c>
      <c r="I132" s="16">
        <v>1.0</v>
      </c>
      <c r="J132" s="48" t="s">
        <v>8374</v>
      </c>
      <c r="K132" s="53"/>
      <c r="L132" s="53"/>
      <c r="M132" s="39" t="str">
        <f t="shared" si="4"/>
        <v>[- Householder's Method (1940(?))]</v>
      </c>
      <c r="N132" s="16" t="s">
        <v>8375</v>
      </c>
      <c r="O132" s="83" t="s">
        <v>8376</v>
      </c>
      <c r="P132" s="16" t="s">
        <v>1937</v>
      </c>
      <c r="Q132" s="82"/>
      <c r="R132" s="82"/>
      <c r="S132" s="82"/>
      <c r="T132" s="16">
        <v>0.0</v>
      </c>
      <c r="U132" s="16">
        <v>0.0</v>
      </c>
      <c r="V132" s="147"/>
      <c r="W132" s="147" t="s">
        <v>8377</v>
      </c>
      <c r="X132" s="53" t="s">
        <v>8378</v>
      </c>
      <c r="Y132" s="53"/>
      <c r="Z132" s="53"/>
      <c r="AA132" s="53" t="s">
        <v>2312</v>
      </c>
      <c r="AB132" s="53" t="s">
        <v>1814</v>
      </c>
      <c r="AC132" s="53" t="s">
        <v>407</v>
      </c>
      <c r="AD132" s="360"/>
      <c r="AE132" s="53" t="s">
        <v>8379</v>
      </c>
      <c r="AF132" s="21"/>
      <c r="AG132" s="104"/>
      <c r="AH132" s="16">
        <v>0.0</v>
      </c>
      <c r="AI132" s="21"/>
      <c r="AJ132" s="16">
        <v>1.0</v>
      </c>
      <c r="AK132" s="21" t="s">
        <v>4262</v>
      </c>
      <c r="AL132" s="16">
        <v>0.0</v>
      </c>
      <c r="AM132" s="16">
        <v>0.0</v>
      </c>
      <c r="AN132" s="39"/>
      <c r="AO132" s="81">
        <v>0.0</v>
      </c>
      <c r="AP132" s="81">
        <v>0.0</v>
      </c>
      <c r="AQ132" s="47" t="s">
        <v>4275</v>
      </c>
      <c r="AR132" s="82"/>
      <c r="AS132" s="82"/>
      <c r="AT132" s="82"/>
      <c r="AU132" s="7"/>
      <c r="AV132" s="7">
        <v>1000.0</v>
      </c>
      <c r="AW132" s="82"/>
      <c r="AX132" s="82"/>
      <c r="AY132" s="82"/>
      <c r="AZ132" s="82"/>
      <c r="BA132" s="82"/>
      <c r="BB132" s="7">
        <v>6.0</v>
      </c>
      <c r="BC132" s="82"/>
      <c r="BD132" s="7"/>
      <c r="BE132" s="7" t="s">
        <v>144</v>
      </c>
      <c r="BF132" s="7"/>
      <c r="BG132" s="7"/>
    </row>
    <row r="133">
      <c r="A133" s="16">
        <v>48.0</v>
      </c>
      <c r="B133" s="16" t="s">
        <v>621</v>
      </c>
      <c r="C133" s="53">
        <v>1.0</v>
      </c>
      <c r="D133" s="53" t="s">
        <v>622</v>
      </c>
      <c r="E133" s="7"/>
      <c r="F133" s="53"/>
      <c r="G133" s="7">
        <v>0.0</v>
      </c>
      <c r="H133" s="16">
        <v>1.0</v>
      </c>
      <c r="I133" s="16">
        <v>1.0</v>
      </c>
      <c r="J133" s="48" t="s">
        <v>8380</v>
      </c>
      <c r="K133" s="53"/>
      <c r="L133" s="53"/>
      <c r="M133" s="39" t="str">
        <f t="shared" si="4"/>
        <v>[ Steffensen's method (1940(?))]</v>
      </c>
      <c r="N133" s="16" t="s">
        <v>8381</v>
      </c>
      <c r="O133" s="83" t="s">
        <v>8376</v>
      </c>
      <c r="P133" s="16"/>
      <c r="Q133" s="82"/>
      <c r="R133" s="82"/>
      <c r="S133" s="82"/>
      <c r="T133" s="16">
        <v>0.0</v>
      </c>
      <c r="U133" s="16">
        <v>0.0</v>
      </c>
      <c r="V133" s="21"/>
      <c r="W133" s="21" t="s">
        <v>8363</v>
      </c>
      <c r="X133" s="53" t="s">
        <v>4269</v>
      </c>
      <c r="Y133" s="53"/>
      <c r="Z133" s="53"/>
      <c r="AA133" s="53" t="s">
        <v>2312</v>
      </c>
      <c r="AB133" s="53" t="s">
        <v>1814</v>
      </c>
      <c r="AC133" s="53" t="s">
        <v>34</v>
      </c>
      <c r="AD133" s="360"/>
      <c r="AE133" s="53" t="s">
        <v>8382</v>
      </c>
      <c r="AF133" s="21"/>
      <c r="AG133" s="104"/>
      <c r="AH133" s="16">
        <v>0.0</v>
      </c>
      <c r="AI133" s="21"/>
      <c r="AJ133" s="16">
        <v>1.0</v>
      </c>
      <c r="AK133" s="21" t="s">
        <v>4262</v>
      </c>
      <c r="AL133" s="16">
        <v>0.0</v>
      </c>
      <c r="AM133" s="16">
        <v>0.0</v>
      </c>
      <c r="AN133" s="39"/>
      <c r="AO133" s="81">
        <v>0.0</v>
      </c>
      <c r="AP133" s="81">
        <v>0.0</v>
      </c>
      <c r="AQ133" s="47" t="s">
        <v>8383</v>
      </c>
      <c r="AR133" s="82"/>
      <c r="AS133" s="82"/>
      <c r="AT133" s="82"/>
      <c r="AU133" s="7"/>
      <c r="AV133" s="7">
        <v>1000000.0</v>
      </c>
      <c r="AW133" s="82"/>
      <c r="AX133" s="82"/>
      <c r="AY133" s="82"/>
      <c r="AZ133" s="82"/>
      <c r="BA133" s="82"/>
      <c r="BB133" s="7">
        <v>6.0</v>
      </c>
      <c r="BC133" s="82"/>
      <c r="BD133" s="7"/>
      <c r="BE133" s="7" t="s">
        <v>144</v>
      </c>
      <c r="BF133" s="7"/>
      <c r="BG133" s="7"/>
    </row>
    <row r="134">
      <c r="A134" s="16">
        <v>48.0</v>
      </c>
      <c r="B134" s="16" t="s">
        <v>621</v>
      </c>
      <c r="C134" s="53">
        <v>1.0</v>
      </c>
      <c r="D134" s="53" t="s">
        <v>622</v>
      </c>
      <c r="E134" s="7"/>
      <c r="F134" s="53"/>
      <c r="G134" s="7">
        <v>0.0</v>
      </c>
      <c r="H134" s="16">
        <v>1.0</v>
      </c>
      <c r="I134" s="16">
        <v>1.0</v>
      </c>
      <c r="J134" s="48" t="s">
        <v>4283</v>
      </c>
      <c r="K134" s="53"/>
      <c r="L134" s="53"/>
      <c r="M134" s="39" t="str">
        <f t="shared" si="4"/>
        <v>[ Inverse quadratic interpolation (1940(?))]</v>
      </c>
      <c r="N134" s="16" t="s">
        <v>8384</v>
      </c>
      <c r="O134" s="83" t="s">
        <v>8376</v>
      </c>
      <c r="P134" s="16"/>
      <c r="Q134" s="82"/>
      <c r="R134" s="82"/>
      <c r="S134" s="82"/>
      <c r="T134" s="16">
        <v>0.0</v>
      </c>
      <c r="U134" s="16">
        <v>0.0</v>
      </c>
      <c r="V134" s="21"/>
      <c r="W134" s="21" t="s">
        <v>8363</v>
      </c>
      <c r="X134" s="53" t="s">
        <v>4269</v>
      </c>
      <c r="Y134" s="53"/>
      <c r="Z134" s="53"/>
      <c r="AA134" s="53" t="s">
        <v>2312</v>
      </c>
      <c r="AB134" s="53" t="s">
        <v>1814</v>
      </c>
      <c r="AC134" s="53" t="s">
        <v>34</v>
      </c>
      <c r="AD134" s="360"/>
      <c r="AE134" s="53" t="s">
        <v>8385</v>
      </c>
      <c r="AF134" s="21"/>
      <c r="AG134" s="108"/>
      <c r="AH134" s="16">
        <v>0.0</v>
      </c>
      <c r="AI134" s="21"/>
      <c r="AJ134" s="16">
        <v>1.0</v>
      </c>
      <c r="AK134" s="21" t="s">
        <v>4262</v>
      </c>
      <c r="AL134" s="16">
        <v>0.0</v>
      </c>
      <c r="AM134" s="16">
        <v>0.0</v>
      </c>
      <c r="AN134" s="39"/>
      <c r="AO134" s="81">
        <v>0.0</v>
      </c>
      <c r="AP134" s="81">
        <v>0.0</v>
      </c>
      <c r="AQ134" s="47" t="s">
        <v>8386</v>
      </c>
      <c r="AR134" s="82"/>
      <c r="AS134" s="82"/>
      <c r="AT134" s="82"/>
      <c r="AU134" s="7"/>
      <c r="AV134" s="7">
        <v>1000000.0</v>
      </c>
      <c r="AW134" s="82"/>
      <c r="AX134" s="82"/>
      <c r="AY134" s="82"/>
      <c r="AZ134" s="82"/>
      <c r="BA134" s="82"/>
      <c r="BB134" s="7">
        <v>6.0</v>
      </c>
      <c r="BC134" s="82"/>
      <c r="BD134" s="7"/>
      <c r="BE134" s="7" t="s">
        <v>144</v>
      </c>
      <c r="BF134" s="7"/>
      <c r="BG134" s="7"/>
    </row>
    <row r="135">
      <c r="A135" s="16">
        <v>48.0</v>
      </c>
      <c r="B135" s="16" t="s">
        <v>621</v>
      </c>
      <c r="C135" s="53">
        <v>1.0</v>
      </c>
      <c r="D135" s="53" t="s">
        <v>622</v>
      </c>
      <c r="E135" s="7"/>
      <c r="F135" s="53"/>
      <c r="G135" s="7">
        <v>0.0</v>
      </c>
      <c r="H135" s="16">
        <v>1.0</v>
      </c>
      <c r="I135" s="16">
        <v>1.0</v>
      </c>
      <c r="J135" s="48"/>
      <c r="K135" s="53"/>
      <c r="L135" s="53"/>
      <c r="M135" s="39" t="str">
        <f t="shared" si="4"/>
        <v>[https://books.google.com/books?vid=ISBN0130223352 Brent-Dekker Method (1973)]</v>
      </c>
      <c r="N135" s="16" t="s">
        <v>8387</v>
      </c>
      <c r="O135" s="83">
        <v>1973.0</v>
      </c>
      <c r="P135" s="25" t="s">
        <v>8388</v>
      </c>
      <c r="Q135" s="82"/>
      <c r="R135" s="82"/>
      <c r="S135" s="82"/>
      <c r="T135" s="16">
        <v>0.0</v>
      </c>
      <c r="U135" s="16">
        <v>0.0</v>
      </c>
      <c r="V135" s="21"/>
      <c r="W135" s="21" t="s">
        <v>8363</v>
      </c>
      <c r="X135" s="53" t="s">
        <v>4269</v>
      </c>
      <c r="Y135" s="53"/>
      <c r="Z135" s="53"/>
      <c r="AA135" s="53" t="s">
        <v>2312</v>
      </c>
      <c r="AB135" s="53" t="s">
        <v>1814</v>
      </c>
      <c r="AC135" s="53" t="s">
        <v>34</v>
      </c>
      <c r="AD135" s="360"/>
      <c r="AE135" s="53" t="s">
        <v>8385</v>
      </c>
      <c r="AF135" s="21"/>
      <c r="AG135" s="108"/>
      <c r="AH135" s="16">
        <v>0.0</v>
      </c>
      <c r="AI135" s="21"/>
      <c r="AJ135" s="16">
        <v>1.0</v>
      </c>
      <c r="AK135" s="21" t="s">
        <v>4262</v>
      </c>
      <c r="AL135" s="16">
        <v>0.0</v>
      </c>
      <c r="AM135" s="16">
        <v>0.0</v>
      </c>
      <c r="AN135" s="39"/>
      <c r="AO135" s="81">
        <v>0.0</v>
      </c>
      <c r="AP135" s="81">
        <v>0.0</v>
      </c>
      <c r="AQ135" s="47" t="s">
        <v>8389</v>
      </c>
      <c r="AR135" s="82"/>
      <c r="AS135" s="82"/>
      <c r="AT135" s="82"/>
      <c r="AU135" s="7"/>
      <c r="AV135" s="7">
        <v>1000000.0</v>
      </c>
      <c r="AW135" s="82"/>
      <c r="AX135" s="82"/>
      <c r="AY135" s="82"/>
      <c r="AZ135" s="82"/>
      <c r="BA135" s="82"/>
      <c r="BB135" s="7">
        <v>6.0</v>
      </c>
      <c r="BC135" s="82"/>
      <c r="BD135" s="7"/>
      <c r="BE135" s="7" t="s">
        <v>144</v>
      </c>
      <c r="BF135" s="7"/>
      <c r="BG135" s="7"/>
    </row>
    <row r="136">
      <c r="A136" s="16">
        <v>58.0</v>
      </c>
      <c r="B136" s="16" t="s">
        <v>694</v>
      </c>
      <c r="C136" s="53">
        <v>1.0</v>
      </c>
      <c r="D136" s="53" t="s">
        <v>699</v>
      </c>
      <c r="E136" s="7"/>
      <c r="F136" s="53"/>
      <c r="G136" s="7"/>
      <c r="H136" s="16">
        <v>1.0</v>
      </c>
      <c r="I136" s="81">
        <v>1.0</v>
      </c>
      <c r="J136" s="6" t="s">
        <v>8390</v>
      </c>
      <c r="K136" s="53"/>
      <c r="L136" s="53"/>
      <c r="M136" s="39" t="str">
        <f t="shared" si="4"/>
        <v>[https://dl.acm.org/doi/pdf/10.1145/800125.804056 Aho, Hopcroft, and Ullman [Offline] (1976)]</v>
      </c>
      <c r="N136" s="9" t="s">
        <v>8391</v>
      </c>
      <c r="O136" s="83">
        <v>1976.0</v>
      </c>
      <c r="P136" s="17" t="s">
        <v>8392</v>
      </c>
      <c r="Q136" s="7"/>
      <c r="R136" s="7"/>
      <c r="S136" s="82"/>
      <c r="T136" s="16"/>
      <c r="U136" s="16"/>
      <c r="V136" s="6"/>
      <c r="W136" s="6" t="s">
        <v>8390</v>
      </c>
      <c r="X136" s="53" t="s">
        <v>4438</v>
      </c>
      <c r="Y136" s="53"/>
      <c r="Z136" s="53"/>
      <c r="AA136" s="53" t="s">
        <v>1813</v>
      </c>
      <c r="AB136" s="53" t="s">
        <v>1814</v>
      </c>
      <c r="AC136" s="53" t="s">
        <v>35</v>
      </c>
      <c r="AD136" s="360" t="s">
        <v>1763</v>
      </c>
      <c r="AE136" s="91" t="s">
        <v>8393</v>
      </c>
      <c r="AF136" s="87"/>
      <c r="AG136" s="108"/>
      <c r="AH136" s="81">
        <v>0.0</v>
      </c>
      <c r="AI136" s="87"/>
      <c r="AJ136" s="81">
        <v>0.0</v>
      </c>
      <c r="AK136" s="90"/>
      <c r="AL136" s="81">
        <v>0.0</v>
      </c>
      <c r="AM136" s="81">
        <v>0.0</v>
      </c>
      <c r="AN136" s="39"/>
      <c r="AO136" s="81">
        <v>0.0</v>
      </c>
      <c r="AP136" s="81">
        <v>0.0</v>
      </c>
      <c r="AQ136" s="39"/>
      <c r="AR136" s="82"/>
      <c r="AS136" s="82"/>
      <c r="AT136" s="82"/>
      <c r="AU136" s="7"/>
      <c r="AV136" s="7"/>
      <c r="AW136" s="7"/>
      <c r="AX136" s="7"/>
      <c r="AY136" s="7"/>
      <c r="AZ136" s="7"/>
      <c r="BA136" s="7"/>
      <c r="BB136" s="7"/>
      <c r="BC136" s="82"/>
      <c r="BD136" s="7"/>
      <c r="BE136" s="7" t="s">
        <v>23</v>
      </c>
      <c r="BF136" s="7"/>
      <c r="BG136" s="7"/>
    </row>
    <row r="137">
      <c r="A137" s="16">
        <v>58.0</v>
      </c>
      <c r="B137" s="16" t="s">
        <v>694</v>
      </c>
      <c r="C137" s="53">
        <v>1.0</v>
      </c>
      <c r="D137" s="53" t="s">
        <v>701</v>
      </c>
      <c r="E137" s="7"/>
      <c r="F137" s="53"/>
      <c r="G137" s="7"/>
      <c r="H137" s="16">
        <v>1.0</v>
      </c>
      <c r="I137" s="81">
        <v>1.0</v>
      </c>
      <c r="J137" s="6" t="s">
        <v>8394</v>
      </c>
      <c r="K137" s="53"/>
      <c r="L137" s="53"/>
      <c r="M137" s="39" t="str">
        <f t="shared" si="4"/>
        <v>[https://dl.acm.org/doi/pdf/10.1145/800125.804056 Aho, Hopcroft, and Ullman [Static Trees] (1976)]</v>
      </c>
      <c r="N137" s="9" t="s">
        <v>8395</v>
      </c>
      <c r="O137" s="83">
        <v>1976.0</v>
      </c>
      <c r="P137" s="17" t="s">
        <v>8392</v>
      </c>
      <c r="Q137" s="7"/>
      <c r="R137" s="7"/>
      <c r="S137" s="82"/>
      <c r="T137" s="16"/>
      <c r="U137" s="16"/>
      <c r="V137" s="6"/>
      <c r="W137" s="6" t="s">
        <v>8394</v>
      </c>
      <c r="X137" s="53" t="s">
        <v>4438</v>
      </c>
      <c r="Y137" s="53"/>
      <c r="Z137" s="53"/>
      <c r="AA137" s="53" t="s">
        <v>1813</v>
      </c>
      <c r="AB137" s="53" t="s">
        <v>1814</v>
      </c>
      <c r="AC137" s="53" t="s">
        <v>8396</v>
      </c>
      <c r="AD137" s="360" t="s">
        <v>1791</v>
      </c>
      <c r="AE137" s="91" t="s">
        <v>8393</v>
      </c>
      <c r="AF137" s="87"/>
      <c r="AG137" s="108"/>
      <c r="AH137" s="81">
        <v>0.0</v>
      </c>
      <c r="AI137" s="87"/>
      <c r="AJ137" s="81">
        <v>0.0</v>
      </c>
      <c r="AK137" s="90"/>
      <c r="AL137" s="81">
        <v>0.0</v>
      </c>
      <c r="AM137" s="81">
        <v>0.0</v>
      </c>
      <c r="AN137" s="39"/>
      <c r="AO137" s="81">
        <v>0.0</v>
      </c>
      <c r="AP137" s="81">
        <v>0.0</v>
      </c>
      <c r="AQ137" s="39"/>
      <c r="AR137" s="82"/>
      <c r="AS137" s="82"/>
      <c r="AT137" s="82"/>
      <c r="AU137" s="7"/>
      <c r="AV137" s="7"/>
      <c r="AW137" s="7"/>
      <c r="AX137" s="7"/>
      <c r="AY137" s="7"/>
      <c r="AZ137" s="7"/>
      <c r="BA137" s="7"/>
      <c r="BB137" s="7"/>
      <c r="BC137" s="82"/>
      <c r="BD137" s="7"/>
      <c r="BE137" s="7" t="s">
        <v>23</v>
      </c>
      <c r="BF137" s="7"/>
      <c r="BG137" s="7"/>
    </row>
    <row r="138">
      <c r="A138" s="16">
        <v>58.0</v>
      </c>
      <c r="B138" s="16" t="s">
        <v>694</v>
      </c>
      <c r="C138" s="53">
        <v>1.0</v>
      </c>
      <c r="D138" s="53" t="s">
        <v>705</v>
      </c>
      <c r="E138" s="7"/>
      <c r="F138" s="53"/>
      <c r="G138" s="7"/>
      <c r="H138" s="16">
        <v>1.0</v>
      </c>
      <c r="I138" s="81">
        <v>1.0</v>
      </c>
      <c r="J138" s="6" t="s">
        <v>8397</v>
      </c>
      <c r="K138" s="53"/>
      <c r="L138" s="53"/>
      <c r="M138" s="39" t="str">
        <f t="shared" si="4"/>
        <v>[https://dl.acm.org/doi/pdf/10.1145/800125.804056 Aho, Hopcroft, and Ullman [Linking] (1976)]</v>
      </c>
      <c r="N138" s="9" t="s">
        <v>8398</v>
      </c>
      <c r="O138" s="83">
        <v>1976.0</v>
      </c>
      <c r="P138" s="17" t="s">
        <v>8392</v>
      </c>
      <c r="Q138" s="7"/>
      <c r="R138" s="7"/>
      <c r="S138" s="82"/>
      <c r="T138" s="16"/>
      <c r="U138" s="16"/>
      <c r="V138" s="6"/>
      <c r="W138" s="6" t="s">
        <v>8397</v>
      </c>
      <c r="X138" s="53" t="s">
        <v>4438</v>
      </c>
      <c r="Y138" s="53"/>
      <c r="Z138" s="53"/>
      <c r="AA138" s="53" t="s">
        <v>1813</v>
      </c>
      <c r="AB138" s="53" t="s">
        <v>1814</v>
      </c>
      <c r="AC138" s="53" t="s">
        <v>673</v>
      </c>
      <c r="AD138" s="360" t="s">
        <v>1791</v>
      </c>
      <c r="AE138" s="91" t="s">
        <v>8393</v>
      </c>
      <c r="AF138" s="87"/>
      <c r="AG138" s="87"/>
      <c r="AH138" s="81">
        <v>0.0</v>
      </c>
      <c r="AI138" s="87"/>
      <c r="AJ138" s="81">
        <v>0.0</v>
      </c>
      <c r="AK138" s="90"/>
      <c r="AL138" s="81">
        <v>0.0</v>
      </c>
      <c r="AM138" s="81">
        <v>0.0</v>
      </c>
      <c r="AN138" s="39"/>
      <c r="AO138" s="81">
        <v>0.0</v>
      </c>
      <c r="AP138" s="81">
        <v>0.0</v>
      </c>
      <c r="AQ138" s="39"/>
      <c r="AR138" s="82"/>
      <c r="AS138" s="82"/>
      <c r="AT138" s="82"/>
      <c r="AU138" s="7"/>
      <c r="AV138" s="7"/>
      <c r="AW138" s="7"/>
      <c r="AX138" s="7"/>
      <c r="AY138" s="7"/>
      <c r="AZ138" s="7"/>
      <c r="BA138" s="7"/>
      <c r="BB138" s="7"/>
      <c r="BC138" s="82"/>
      <c r="BD138" s="7"/>
      <c r="BE138" s="7" t="s">
        <v>23</v>
      </c>
      <c r="BF138" s="7"/>
      <c r="BG138" s="7"/>
    </row>
    <row r="139">
      <c r="A139" s="16">
        <v>58.0</v>
      </c>
      <c r="B139" s="16" t="s">
        <v>694</v>
      </c>
      <c r="C139" s="53">
        <v>1.0</v>
      </c>
      <c r="D139" s="53" t="s">
        <v>701</v>
      </c>
      <c r="E139" s="7"/>
      <c r="F139" s="53"/>
      <c r="G139" s="7"/>
      <c r="H139" s="16">
        <v>1.0</v>
      </c>
      <c r="I139" s="81">
        <v>1.0</v>
      </c>
      <c r="J139" s="6" t="s">
        <v>8399</v>
      </c>
      <c r="K139" s="53"/>
      <c r="L139" s="53"/>
      <c r="M139" s="39" t="str">
        <f t="shared" si="4"/>
        <v>[[Unpublished report] Modified van Leeuwen [Static Trees] (1976)]</v>
      </c>
      <c r="N139" s="9" t="s">
        <v>8400</v>
      </c>
      <c r="O139" s="83">
        <v>1976.0</v>
      </c>
      <c r="P139" s="362" t="s">
        <v>8401</v>
      </c>
      <c r="Q139" s="7"/>
      <c r="R139" s="7"/>
      <c r="S139" s="82"/>
      <c r="T139" s="16"/>
      <c r="U139" s="16"/>
      <c r="V139" s="6"/>
      <c r="W139" s="6" t="s">
        <v>8399</v>
      </c>
      <c r="X139" s="53" t="s">
        <v>4438</v>
      </c>
      <c r="Y139" s="53"/>
      <c r="Z139" s="53"/>
      <c r="AA139" s="53" t="s">
        <v>1813</v>
      </c>
      <c r="AB139" s="53" t="s">
        <v>1814</v>
      </c>
      <c r="AC139" s="53" t="s">
        <v>35</v>
      </c>
      <c r="AD139" s="360" t="s">
        <v>1763</v>
      </c>
      <c r="AE139" s="91" t="s">
        <v>8393</v>
      </c>
      <c r="AF139" s="87"/>
      <c r="AG139" s="87"/>
      <c r="AH139" s="81">
        <v>0.0</v>
      </c>
      <c r="AI139" s="87"/>
      <c r="AJ139" s="81">
        <v>0.0</v>
      </c>
      <c r="AK139" s="90"/>
      <c r="AL139" s="81">
        <v>0.0</v>
      </c>
      <c r="AM139" s="81">
        <v>0.0</v>
      </c>
      <c r="AN139" s="39"/>
      <c r="AO139" s="81">
        <v>0.0</v>
      </c>
      <c r="AP139" s="81">
        <v>0.0</v>
      </c>
      <c r="AQ139" s="39"/>
      <c r="AR139" s="82"/>
      <c r="AS139" s="82"/>
      <c r="AT139" s="82"/>
      <c r="AU139" s="7"/>
      <c r="AV139" s="7"/>
      <c r="AW139" s="7"/>
      <c r="AX139" s="7"/>
      <c r="AY139" s="7"/>
      <c r="AZ139" s="7"/>
      <c r="BA139" s="7"/>
      <c r="BB139" s="7"/>
      <c r="BC139" s="82"/>
      <c r="BD139" s="7"/>
      <c r="BE139" s="7" t="s">
        <v>23</v>
      </c>
      <c r="BF139" s="7"/>
      <c r="BG139" s="7"/>
    </row>
    <row r="140">
      <c r="A140" s="16">
        <v>58.0</v>
      </c>
      <c r="B140" s="16" t="s">
        <v>694</v>
      </c>
      <c r="C140" s="53">
        <v>1.0</v>
      </c>
      <c r="D140" s="53" t="s">
        <v>703</v>
      </c>
      <c r="E140" s="7"/>
      <c r="F140" s="53"/>
      <c r="G140" s="7"/>
      <c r="H140" s="16">
        <v>1.0</v>
      </c>
      <c r="I140" s="81">
        <v>1.0</v>
      </c>
      <c r="J140" s="6" t="s">
        <v>8399</v>
      </c>
      <c r="K140" s="53"/>
      <c r="L140" s="53"/>
      <c r="M140" s="39" t="str">
        <f t="shared" si="4"/>
        <v>[[Unpublished report] Modified van Leeuwen [Linking Roots] (1976)]</v>
      </c>
      <c r="N140" s="9" t="s">
        <v>8402</v>
      </c>
      <c r="O140" s="83">
        <v>1976.0</v>
      </c>
      <c r="P140" s="362" t="s">
        <v>8401</v>
      </c>
      <c r="Q140" s="7"/>
      <c r="R140" s="7"/>
      <c r="S140" s="82"/>
      <c r="T140" s="16"/>
      <c r="U140" s="16"/>
      <c r="V140" s="6"/>
      <c r="W140" s="6" t="s">
        <v>8399</v>
      </c>
      <c r="X140" s="53" t="s">
        <v>4438</v>
      </c>
      <c r="Y140" s="53"/>
      <c r="Z140" s="53"/>
      <c r="AA140" s="53" t="s">
        <v>1813</v>
      </c>
      <c r="AB140" s="53" t="s">
        <v>1814</v>
      </c>
      <c r="AC140" s="53" t="s">
        <v>35</v>
      </c>
      <c r="AD140" s="360" t="s">
        <v>1763</v>
      </c>
      <c r="AE140" s="91" t="s">
        <v>8393</v>
      </c>
      <c r="AF140" s="87"/>
      <c r="AG140" s="87"/>
      <c r="AH140" s="81">
        <v>0.0</v>
      </c>
      <c r="AI140" s="87"/>
      <c r="AJ140" s="81">
        <v>0.0</v>
      </c>
      <c r="AK140" s="90"/>
      <c r="AL140" s="81">
        <v>0.0</v>
      </c>
      <c r="AM140" s="81">
        <v>0.0</v>
      </c>
      <c r="AN140" s="39"/>
      <c r="AO140" s="81">
        <v>0.0</v>
      </c>
      <c r="AP140" s="81">
        <v>0.0</v>
      </c>
      <c r="AQ140" s="39"/>
      <c r="AR140" s="82"/>
      <c r="AS140" s="82"/>
      <c r="AT140" s="82"/>
      <c r="AU140" s="7"/>
      <c r="AV140" s="7"/>
      <c r="AW140" s="7"/>
      <c r="AX140" s="7"/>
      <c r="AY140" s="7"/>
      <c r="AZ140" s="7"/>
      <c r="BA140" s="7"/>
      <c r="BB140" s="7"/>
      <c r="BC140" s="82"/>
      <c r="BD140" s="7"/>
      <c r="BE140" s="7" t="s">
        <v>23</v>
      </c>
      <c r="BF140" s="7"/>
      <c r="BG140" s="7"/>
    </row>
    <row r="141">
      <c r="A141" s="16">
        <v>58.0</v>
      </c>
      <c r="B141" s="16" t="s">
        <v>694</v>
      </c>
      <c r="C141" s="53">
        <v>1.0</v>
      </c>
      <c r="D141" s="53" t="s">
        <v>705</v>
      </c>
      <c r="E141" s="7"/>
      <c r="F141" s="53"/>
      <c r="G141" s="7"/>
      <c r="H141" s="16">
        <v>1.0</v>
      </c>
      <c r="I141" s="81">
        <v>1.0</v>
      </c>
      <c r="J141" s="6" t="s">
        <v>8403</v>
      </c>
      <c r="K141" s="53"/>
      <c r="L141" s="53"/>
      <c r="M141" s="39" t="str">
        <f t="shared" si="4"/>
        <v>[https://www.sciencedirect.com/science/article/pii/0022000083900065 Sleator and Tarjan [Linking] (1983)]</v>
      </c>
      <c r="N141" s="9" t="s">
        <v>8404</v>
      </c>
      <c r="O141" s="83">
        <v>1983.0</v>
      </c>
      <c r="P141" s="17" t="s">
        <v>2769</v>
      </c>
      <c r="Q141" s="7"/>
      <c r="R141" s="7"/>
      <c r="S141" s="82"/>
      <c r="T141" s="16"/>
      <c r="U141" s="16"/>
      <c r="V141" s="6"/>
      <c r="W141" s="6" t="s">
        <v>8403</v>
      </c>
      <c r="X141" s="53" t="s">
        <v>4438</v>
      </c>
      <c r="Y141" s="53"/>
      <c r="Z141" s="53"/>
      <c r="AA141" s="53" t="s">
        <v>1813</v>
      </c>
      <c r="AB141" s="53" t="s">
        <v>1814</v>
      </c>
      <c r="AC141" s="53" t="s">
        <v>35</v>
      </c>
      <c r="AD141" s="360" t="s">
        <v>1763</v>
      </c>
      <c r="AE141" s="91" t="s">
        <v>8393</v>
      </c>
      <c r="AF141" s="87"/>
      <c r="AG141" s="87"/>
      <c r="AH141" s="81">
        <v>0.0</v>
      </c>
      <c r="AI141" s="87"/>
      <c r="AJ141" s="81">
        <v>0.0</v>
      </c>
      <c r="AK141" s="90"/>
      <c r="AL141" s="81">
        <v>0.0</v>
      </c>
      <c r="AM141" s="81">
        <v>0.0</v>
      </c>
      <c r="AN141" s="39"/>
      <c r="AO141" s="81">
        <v>0.0</v>
      </c>
      <c r="AP141" s="81">
        <v>0.0</v>
      </c>
      <c r="AQ141" s="39"/>
      <c r="AR141" s="82"/>
      <c r="AS141" s="82"/>
      <c r="AT141" s="82"/>
      <c r="AU141" s="7"/>
      <c r="AV141" s="7"/>
      <c r="AW141" s="7"/>
      <c r="AX141" s="7"/>
      <c r="AY141" s="7"/>
      <c r="AZ141" s="7"/>
      <c r="BA141" s="7"/>
      <c r="BB141" s="7"/>
      <c r="BC141" s="82"/>
      <c r="BD141" s="7"/>
      <c r="BE141" s="7" t="s">
        <v>23</v>
      </c>
      <c r="BF141" s="7"/>
      <c r="BG141" s="7"/>
    </row>
    <row r="142">
      <c r="A142" s="16">
        <v>58.0</v>
      </c>
      <c r="B142" s="16" t="s">
        <v>694</v>
      </c>
      <c r="C142" s="53">
        <v>1.0</v>
      </c>
      <c r="D142" s="53" t="s">
        <v>8405</v>
      </c>
      <c r="E142" s="7"/>
      <c r="F142" s="53"/>
      <c r="G142" s="7"/>
      <c r="H142" s="16">
        <v>1.0</v>
      </c>
      <c r="I142" s="81">
        <v>1.0</v>
      </c>
      <c r="J142" s="6" t="s">
        <v>8403</v>
      </c>
      <c r="K142" s="53"/>
      <c r="L142" s="53"/>
      <c r="M142" s="39" t="str">
        <f t="shared" si="4"/>
        <v>[https://www.sciencedirect.com/science/article/pii/0022000083900065 Sleator and Tarjan [Linking and Cutting] (1983)]</v>
      </c>
      <c r="N142" s="9" t="s">
        <v>8406</v>
      </c>
      <c r="O142" s="83">
        <v>1983.0</v>
      </c>
      <c r="P142" s="17" t="s">
        <v>2769</v>
      </c>
      <c r="Q142" s="7"/>
      <c r="R142" s="7"/>
      <c r="S142" s="82"/>
      <c r="T142" s="16"/>
      <c r="U142" s="16"/>
      <c r="V142" s="6"/>
      <c r="W142" s="6" t="s">
        <v>8403</v>
      </c>
      <c r="X142" s="53" t="s">
        <v>4438</v>
      </c>
      <c r="Y142" s="53"/>
      <c r="Z142" s="53"/>
      <c r="AA142" s="53" t="s">
        <v>1813</v>
      </c>
      <c r="AB142" s="53" t="s">
        <v>1814</v>
      </c>
      <c r="AC142" s="53" t="s">
        <v>35</v>
      </c>
      <c r="AD142" s="360" t="s">
        <v>1763</v>
      </c>
      <c r="AE142" s="91" t="s">
        <v>8393</v>
      </c>
      <c r="AF142" s="87"/>
      <c r="AG142" s="87"/>
      <c r="AH142" s="81">
        <v>0.0</v>
      </c>
      <c r="AI142" s="87"/>
      <c r="AJ142" s="81">
        <v>0.0</v>
      </c>
      <c r="AK142" s="90"/>
      <c r="AL142" s="81">
        <v>0.0</v>
      </c>
      <c r="AM142" s="81">
        <v>0.0</v>
      </c>
      <c r="AN142" s="39"/>
      <c r="AO142" s="81">
        <v>0.0</v>
      </c>
      <c r="AP142" s="81">
        <v>0.0</v>
      </c>
      <c r="AQ142" s="39"/>
      <c r="AR142" s="82"/>
      <c r="AS142" s="82"/>
      <c r="AT142" s="82"/>
      <c r="AU142" s="7"/>
      <c r="AV142" s="7"/>
      <c r="AW142" s="7"/>
      <c r="AX142" s="7"/>
      <c r="AY142" s="7"/>
      <c r="AZ142" s="7"/>
      <c r="BA142" s="7"/>
      <c r="BB142" s="7"/>
      <c r="BC142" s="82"/>
      <c r="BD142" s="7"/>
      <c r="BE142" s="7" t="s">
        <v>23</v>
      </c>
      <c r="BF142" s="7"/>
      <c r="BG142" s="7"/>
    </row>
    <row r="143">
      <c r="A143" s="16">
        <v>58.0</v>
      </c>
      <c r="B143" s="16" t="s">
        <v>694</v>
      </c>
      <c r="C143" s="53">
        <v>2.0</v>
      </c>
      <c r="D143" s="53" t="s">
        <v>701</v>
      </c>
      <c r="E143" s="7"/>
      <c r="F143" s="53"/>
      <c r="G143" s="7"/>
      <c r="H143" s="16">
        <v>1.0</v>
      </c>
      <c r="I143" s="81">
        <v>1.0</v>
      </c>
      <c r="J143" s="16" t="s">
        <v>1095</v>
      </c>
      <c r="K143" s="53" t="s">
        <v>4330</v>
      </c>
      <c r="L143" s="53" t="s">
        <v>4436</v>
      </c>
      <c r="M143" s="39" t="str">
        <f t="shared" si="4"/>
        <v>[https://www.semanticscholar.org/paper/Fast-Algorithms-for-Finding-Nearest-Common-Harel-Tarjan/8867d059dda279b1aed4a0301e4e46f9daf65174 Harel, Tarjan [Static Trees] (1984)]</v>
      </c>
      <c r="N143" s="16" t="s">
        <v>8407</v>
      </c>
      <c r="O143" s="81">
        <v>1984.0</v>
      </c>
      <c r="P143" s="17" t="s">
        <v>697</v>
      </c>
      <c r="Q143" s="7">
        <v>2.0</v>
      </c>
      <c r="R143" s="7">
        <v>1.0</v>
      </c>
      <c r="S143" s="82"/>
      <c r="T143" s="16">
        <v>1.0</v>
      </c>
      <c r="U143" s="16">
        <v>0.0</v>
      </c>
      <c r="V143" s="16"/>
      <c r="W143" s="16" t="s">
        <v>1095</v>
      </c>
      <c r="X143" s="53" t="s">
        <v>4438</v>
      </c>
      <c r="Y143" s="53"/>
      <c r="Z143" s="53"/>
      <c r="AA143" s="53" t="s">
        <v>1813</v>
      </c>
      <c r="AB143" s="53" t="s">
        <v>1814</v>
      </c>
      <c r="AC143" s="53" t="s">
        <v>35</v>
      </c>
      <c r="AD143" s="360" t="s">
        <v>1763</v>
      </c>
      <c r="AE143" s="91" t="s">
        <v>8393</v>
      </c>
      <c r="AF143" s="87"/>
      <c r="AG143" s="87"/>
      <c r="AH143" s="81">
        <v>0.0</v>
      </c>
      <c r="AI143" s="87"/>
      <c r="AJ143" s="81">
        <v>0.0</v>
      </c>
      <c r="AK143" s="90"/>
      <c r="AL143" s="81">
        <v>0.0</v>
      </c>
      <c r="AM143" s="81">
        <v>0.0</v>
      </c>
      <c r="AN143" s="39"/>
      <c r="AO143" s="81">
        <v>0.0</v>
      </c>
      <c r="AP143" s="81">
        <v>0.0</v>
      </c>
      <c r="AQ143" s="39"/>
      <c r="AR143" s="82"/>
      <c r="AS143" s="82"/>
      <c r="AT143" s="82"/>
      <c r="AU143" s="7"/>
      <c r="AV143" s="7"/>
      <c r="AW143" s="7"/>
      <c r="AX143" s="7"/>
      <c r="AY143" s="7"/>
      <c r="AZ143" s="7"/>
      <c r="BA143" s="7"/>
      <c r="BB143" s="7"/>
      <c r="BC143" s="82"/>
      <c r="BD143" s="7"/>
      <c r="BE143" s="7" t="s">
        <v>23</v>
      </c>
      <c r="BF143" s="7"/>
      <c r="BG143" s="7"/>
    </row>
    <row r="144">
      <c r="A144" s="16">
        <v>58.0</v>
      </c>
      <c r="B144" s="16" t="s">
        <v>694</v>
      </c>
      <c r="C144" s="53">
        <v>1.0</v>
      </c>
      <c r="D144" s="53" t="s">
        <v>703</v>
      </c>
      <c r="E144" s="7"/>
      <c r="F144" s="53"/>
      <c r="G144" s="7"/>
      <c r="H144" s="16">
        <v>1.0</v>
      </c>
      <c r="I144" s="81">
        <v>1.0</v>
      </c>
      <c r="J144" s="6" t="s">
        <v>8390</v>
      </c>
      <c r="K144" s="53"/>
      <c r="L144" s="53"/>
      <c r="M144" s="39" t="str">
        <f t="shared" si="4"/>
        <v>[https://www.semanticscholar.org/paper/Fast-Algorithms-for-Finding-Nearest-Common-Harel-Tarjan/8867d059dda279b1aed4a0301e4e46f9daf65174 Harel, Tarjan [Linking Roots] (1984)]</v>
      </c>
      <c r="N144" s="16" t="s">
        <v>8408</v>
      </c>
      <c r="O144" s="81">
        <v>1984.0</v>
      </c>
      <c r="P144" s="17" t="s">
        <v>697</v>
      </c>
      <c r="Q144" s="7">
        <v>2.0</v>
      </c>
      <c r="R144" s="7">
        <v>1.0</v>
      </c>
      <c r="S144" s="82"/>
      <c r="T144" s="16">
        <v>1.0</v>
      </c>
      <c r="U144" s="16">
        <v>0.0</v>
      </c>
      <c r="V144" s="6"/>
      <c r="W144" s="6" t="s">
        <v>8390</v>
      </c>
      <c r="X144" s="53" t="s">
        <v>4438</v>
      </c>
      <c r="Y144" s="53"/>
      <c r="Z144" s="53"/>
      <c r="AA144" s="53" t="s">
        <v>1813</v>
      </c>
      <c r="AB144" s="53" t="s">
        <v>1814</v>
      </c>
      <c r="AC144" s="53" t="s">
        <v>35</v>
      </c>
      <c r="AD144" s="360" t="s">
        <v>1763</v>
      </c>
      <c r="AE144" s="91" t="s">
        <v>8393</v>
      </c>
      <c r="AF144" s="87"/>
      <c r="AG144" s="87"/>
      <c r="AH144" s="81">
        <v>0.0</v>
      </c>
      <c r="AI144" s="87"/>
      <c r="AJ144" s="81">
        <v>0.0</v>
      </c>
      <c r="AK144" s="90"/>
      <c r="AL144" s="81">
        <v>0.0</v>
      </c>
      <c r="AM144" s="81">
        <v>0.0</v>
      </c>
      <c r="AN144" s="39"/>
      <c r="AO144" s="81">
        <v>0.0</v>
      </c>
      <c r="AP144" s="81">
        <v>0.0</v>
      </c>
      <c r="AQ144" s="39"/>
      <c r="AR144" s="82"/>
      <c r="AS144" s="82"/>
      <c r="AT144" s="82"/>
      <c r="AU144" s="7"/>
      <c r="AV144" s="7"/>
      <c r="AW144" s="7"/>
      <c r="AX144" s="7"/>
      <c r="AY144" s="7"/>
      <c r="AZ144" s="7"/>
      <c r="BA144" s="7"/>
      <c r="BB144" s="7"/>
      <c r="BC144" s="82"/>
      <c r="BD144" s="7"/>
      <c r="BE144" s="7" t="s">
        <v>23</v>
      </c>
      <c r="BF144" s="7"/>
      <c r="BG144" s="7"/>
    </row>
    <row r="145">
      <c r="A145" s="16">
        <v>58.0</v>
      </c>
      <c r="B145" s="16" t="s">
        <v>694</v>
      </c>
      <c r="C145" s="53">
        <v>1.0</v>
      </c>
      <c r="D145" s="53" t="s">
        <v>701</v>
      </c>
      <c r="E145" s="7"/>
      <c r="F145" s="53"/>
      <c r="G145" s="7"/>
      <c r="H145" s="16">
        <v>1.0</v>
      </c>
      <c r="I145" s="81">
        <v>1.0</v>
      </c>
      <c r="J145" s="16" t="s">
        <v>6318</v>
      </c>
      <c r="K145" s="53"/>
      <c r="L145" s="53"/>
      <c r="M145" s="39" t="str">
        <f t="shared" si="4"/>
        <v>[https://epubs.siam.org/doi/abs/10.1137/0217079?journalCode=smjcat Schieber; Vishkin [Parallel] (1988)]</v>
      </c>
      <c r="N145" s="16" t="s">
        <v>6319</v>
      </c>
      <c r="O145" s="81">
        <v>1988.0</v>
      </c>
      <c r="P145" s="28" t="s">
        <v>4440</v>
      </c>
      <c r="Q145" s="82"/>
      <c r="R145" s="82"/>
      <c r="S145" s="82"/>
      <c r="T145" s="16">
        <v>0.0</v>
      </c>
      <c r="U145" s="16">
        <v>0.0</v>
      </c>
      <c r="V145" s="16"/>
      <c r="W145" s="16" t="s">
        <v>6318</v>
      </c>
      <c r="X145" s="53" t="s">
        <v>4438</v>
      </c>
      <c r="Y145" s="53"/>
      <c r="Z145" s="53"/>
      <c r="AA145" s="53" t="s">
        <v>2436</v>
      </c>
      <c r="AB145" s="53" t="s">
        <v>1814</v>
      </c>
      <c r="AC145" s="53" t="s">
        <v>6322</v>
      </c>
      <c r="AD145" s="360" t="s">
        <v>1763</v>
      </c>
      <c r="AE145" s="91" t="s">
        <v>6323</v>
      </c>
      <c r="AF145" s="87"/>
      <c r="AG145" s="87"/>
      <c r="AH145" s="81">
        <v>0.0</v>
      </c>
      <c r="AI145" s="87"/>
      <c r="AJ145" s="81">
        <v>0.0</v>
      </c>
      <c r="AK145" s="90"/>
      <c r="AL145" s="81">
        <v>0.0</v>
      </c>
      <c r="AM145" s="83">
        <v>1.0</v>
      </c>
      <c r="AN145" s="16" t="s">
        <v>2438</v>
      </c>
      <c r="AO145" s="81">
        <v>0.0</v>
      </c>
      <c r="AP145" s="81">
        <v>0.0</v>
      </c>
      <c r="AQ145" s="39"/>
      <c r="AR145" s="82"/>
      <c r="AS145" s="82"/>
      <c r="AT145" s="82"/>
      <c r="AU145" s="7"/>
      <c r="AV145" s="7"/>
      <c r="AW145" s="82"/>
      <c r="AX145" s="82"/>
      <c r="AY145" s="82"/>
      <c r="AZ145" s="82"/>
      <c r="BA145" s="82"/>
      <c r="BB145" s="7"/>
      <c r="BC145" s="82"/>
      <c r="BD145" s="7"/>
      <c r="BE145" s="7" t="s">
        <v>23</v>
      </c>
      <c r="BF145" s="7"/>
      <c r="BG145" s="7"/>
    </row>
    <row r="146">
      <c r="A146" s="16">
        <v>58.0</v>
      </c>
      <c r="B146" s="16" t="s">
        <v>694</v>
      </c>
      <c r="C146" s="53">
        <v>2.0</v>
      </c>
      <c r="D146" s="53" t="s">
        <v>701</v>
      </c>
      <c r="E146" s="7"/>
      <c r="F146" s="53"/>
      <c r="G146" s="7"/>
      <c r="H146" s="16">
        <v>1.0</v>
      </c>
      <c r="I146" s="81">
        <v>1.0</v>
      </c>
      <c r="J146" s="16" t="s">
        <v>562</v>
      </c>
      <c r="K146" s="53" t="s">
        <v>4330</v>
      </c>
      <c r="L146" s="53" t="s">
        <v>4436</v>
      </c>
      <c r="M146" s="39" t="str">
        <f t="shared" si="4"/>
        <v>[https://citeseerx.ist.psu.edu/viewdoc/summary?doi=10.1.1.64.5439 Fischer, Heun (2006)]</v>
      </c>
      <c r="N146" s="16" t="s">
        <v>6324</v>
      </c>
      <c r="O146" s="83">
        <v>2006.0</v>
      </c>
      <c r="P146" s="25" t="s">
        <v>6325</v>
      </c>
      <c r="Q146" s="82"/>
      <c r="R146" s="82"/>
      <c r="S146" s="82"/>
      <c r="T146" s="16">
        <v>0.0</v>
      </c>
      <c r="U146" s="16">
        <v>0.0</v>
      </c>
      <c r="V146" s="16"/>
      <c r="W146" s="16" t="s">
        <v>562</v>
      </c>
      <c r="X146" s="53" t="s">
        <v>4438</v>
      </c>
      <c r="Y146" s="53"/>
      <c r="Z146" s="53"/>
      <c r="AA146" s="53" t="s">
        <v>1813</v>
      </c>
      <c r="AB146" s="53" t="s">
        <v>1814</v>
      </c>
      <c r="AC146" s="53" t="s">
        <v>35</v>
      </c>
      <c r="AD146" s="360" t="s">
        <v>1763</v>
      </c>
      <c r="AE146" s="91" t="s">
        <v>6325</v>
      </c>
      <c r="AF146" s="87"/>
      <c r="AG146" s="87"/>
      <c r="AH146" s="81">
        <v>0.0</v>
      </c>
      <c r="AI146" s="87"/>
      <c r="AJ146" s="81">
        <v>0.0</v>
      </c>
      <c r="AK146" s="90"/>
      <c r="AL146" s="81">
        <v>0.0</v>
      </c>
      <c r="AM146" s="83">
        <v>1.0</v>
      </c>
      <c r="AN146" s="16" t="s">
        <v>2438</v>
      </c>
      <c r="AO146" s="81">
        <v>0.0</v>
      </c>
      <c r="AP146" s="81">
        <v>0.0</v>
      </c>
      <c r="AQ146" s="39"/>
      <c r="AR146" s="82"/>
      <c r="AS146" s="82"/>
      <c r="AT146" s="82"/>
      <c r="AU146" s="7"/>
      <c r="AV146" s="7"/>
      <c r="AW146" s="82"/>
      <c r="AX146" s="82"/>
      <c r="AY146" s="82"/>
      <c r="AZ146" s="82"/>
      <c r="BA146" s="82"/>
      <c r="BB146" s="7"/>
      <c r="BC146" s="82"/>
      <c r="BD146" s="7"/>
      <c r="BE146" s="7" t="s">
        <v>23</v>
      </c>
      <c r="BF146" s="7"/>
      <c r="BG146" s="7"/>
    </row>
    <row r="147">
      <c r="A147" s="16">
        <v>58.0</v>
      </c>
      <c r="B147" s="16" t="s">
        <v>694</v>
      </c>
      <c r="C147" s="53">
        <v>1.0</v>
      </c>
      <c r="D147" s="53" t="s">
        <v>701</v>
      </c>
      <c r="E147" s="7"/>
      <c r="F147" s="53"/>
      <c r="G147" s="7"/>
      <c r="H147" s="16">
        <v>1.0</v>
      </c>
      <c r="I147" s="81">
        <v>1.0</v>
      </c>
      <c r="J147" s="16" t="s">
        <v>6326</v>
      </c>
      <c r="K147" s="53"/>
      <c r="L147" s="53"/>
      <c r="M147" s="39" t="str">
        <f t="shared" si="4"/>
        <v>[https://www.schoolofhaskell.com/user/edwardk/online-lca Kmett (2015)]</v>
      </c>
      <c r="N147" s="16" t="s">
        <v>6327</v>
      </c>
      <c r="O147" s="83">
        <v>2015.0</v>
      </c>
      <c r="P147" s="25" t="s">
        <v>6328</v>
      </c>
      <c r="Q147" s="82"/>
      <c r="R147" s="82"/>
      <c r="S147" s="82"/>
      <c r="T147" s="16">
        <v>0.0</v>
      </c>
      <c r="U147" s="16">
        <v>0.0</v>
      </c>
      <c r="V147" s="16"/>
      <c r="W147" s="16" t="s">
        <v>6326</v>
      </c>
      <c r="X147" s="53" t="s">
        <v>6329</v>
      </c>
      <c r="Y147" s="53"/>
      <c r="Z147" s="53"/>
      <c r="AA147" s="53" t="s">
        <v>1813</v>
      </c>
      <c r="AB147" s="53" t="s">
        <v>1814</v>
      </c>
      <c r="AC147" s="53"/>
      <c r="AD147" s="360"/>
      <c r="AE147" s="53"/>
      <c r="AF147" s="87"/>
      <c r="AG147" s="87"/>
      <c r="AH147" s="81">
        <v>0.0</v>
      </c>
      <c r="AI147" s="87"/>
      <c r="AJ147" s="81">
        <v>0.0</v>
      </c>
      <c r="AK147" s="90"/>
      <c r="AL147" s="81">
        <v>0.0</v>
      </c>
      <c r="AM147" s="83">
        <v>1.0</v>
      </c>
      <c r="AN147" s="16" t="s">
        <v>2438</v>
      </c>
      <c r="AO147" s="81">
        <v>0.0</v>
      </c>
      <c r="AP147" s="81">
        <v>0.0</v>
      </c>
      <c r="AQ147" s="39"/>
      <c r="AR147" s="82"/>
      <c r="AS147" s="82"/>
      <c r="AT147" s="82"/>
      <c r="AU147" s="7"/>
      <c r="AV147" s="7"/>
      <c r="AW147" s="82"/>
      <c r="AX147" s="82"/>
      <c r="AY147" s="82"/>
      <c r="AZ147" s="82"/>
      <c r="BA147" s="82"/>
      <c r="BB147" s="7"/>
      <c r="BC147" s="82"/>
      <c r="BD147" s="7"/>
      <c r="BE147" s="7" t="s">
        <v>23</v>
      </c>
      <c r="BF147" s="7"/>
      <c r="BG147" s="7"/>
    </row>
    <row r="148">
      <c r="A148" s="16">
        <v>60.0</v>
      </c>
      <c r="B148" s="16" t="s">
        <v>719</v>
      </c>
      <c r="C148" s="53">
        <v>1.0</v>
      </c>
      <c r="D148" s="53" t="s">
        <v>720</v>
      </c>
      <c r="E148" s="7"/>
      <c r="F148" s="53"/>
      <c r="G148" s="7"/>
      <c r="H148" s="16">
        <v>1.0</v>
      </c>
      <c r="I148" s="81">
        <v>1.0</v>
      </c>
      <c r="J148" s="21" t="s">
        <v>8409</v>
      </c>
      <c r="K148" s="53"/>
      <c r="L148" s="53"/>
      <c r="M148" s="39" t="str">
        <f t="shared" si="4"/>
        <v>[https://link.springer.com/chapter/10.1007/978-3-540-27810-8_23 Kazuhisa Makino, Takeaki Uno; Section 6 (2004)]</v>
      </c>
      <c r="N148" s="16" t="s">
        <v>8410</v>
      </c>
      <c r="O148" s="81">
        <v>2004.0</v>
      </c>
      <c r="P148" s="28" t="s">
        <v>4540</v>
      </c>
      <c r="Q148" s="82"/>
      <c r="R148" s="82"/>
      <c r="S148" s="82"/>
      <c r="T148" s="16"/>
      <c r="U148" s="16"/>
      <c r="V148" s="21"/>
      <c r="W148" s="21" t="s">
        <v>8409</v>
      </c>
      <c r="X148" s="53" t="s">
        <v>8411</v>
      </c>
      <c r="Y148" s="53"/>
      <c r="Z148" s="53"/>
      <c r="AA148" s="53" t="s">
        <v>1813</v>
      </c>
      <c r="AB148" s="53" t="s">
        <v>1814</v>
      </c>
      <c r="AC148" s="53" t="s">
        <v>8412</v>
      </c>
      <c r="AD148" s="361" t="s">
        <v>2524</v>
      </c>
      <c r="AE148" s="86" t="s">
        <v>4540</v>
      </c>
      <c r="AF148" s="87"/>
      <c r="AG148" s="87"/>
      <c r="AH148" s="81">
        <v>0.0</v>
      </c>
      <c r="AI148" s="87"/>
      <c r="AJ148" s="81">
        <v>0.0</v>
      </c>
      <c r="AK148" s="90"/>
      <c r="AL148" s="81">
        <v>0.0</v>
      </c>
      <c r="AM148" s="81">
        <v>0.0</v>
      </c>
      <c r="AN148" s="39"/>
      <c r="AO148" s="81">
        <v>0.0</v>
      </c>
      <c r="AP148" s="81">
        <v>0.0</v>
      </c>
      <c r="AQ148" s="39"/>
      <c r="AR148" s="82"/>
      <c r="AS148" s="82"/>
      <c r="AT148" s="82"/>
      <c r="AU148" s="7"/>
      <c r="AV148" s="82"/>
      <c r="AW148" s="82"/>
      <c r="AX148" s="82"/>
      <c r="AY148" s="82"/>
      <c r="AZ148" s="82"/>
      <c r="BA148" s="82"/>
      <c r="BB148" s="7"/>
      <c r="BC148" s="82"/>
      <c r="BD148" s="7"/>
      <c r="BE148" s="7" t="s">
        <v>23</v>
      </c>
      <c r="BF148" s="7"/>
      <c r="BG148" s="7"/>
    </row>
    <row r="149">
      <c r="A149" s="16"/>
      <c r="B149" s="7" t="s">
        <v>1678</v>
      </c>
      <c r="C149" s="7">
        <v>1.0</v>
      </c>
      <c r="D149" s="53" t="s">
        <v>8413</v>
      </c>
      <c r="E149" s="7"/>
      <c r="F149" s="53"/>
      <c r="G149" s="16"/>
      <c r="H149" s="83">
        <v>1.0</v>
      </c>
      <c r="I149" s="9">
        <v>1.0</v>
      </c>
      <c r="J149" s="16" t="s">
        <v>1888</v>
      </c>
      <c r="K149" s="53"/>
      <c r="L149" s="90"/>
      <c r="M149" s="39" t="str">
        <f t="shared" si="4"/>
        <v>[- Textbook Sort-and-Binary-Search (-)]</v>
      </c>
      <c r="N149" s="321" t="s">
        <v>8414</v>
      </c>
      <c r="O149" s="322" t="s">
        <v>1937</v>
      </c>
      <c r="P149" s="7" t="s">
        <v>1937</v>
      </c>
      <c r="Q149" s="82"/>
      <c r="R149" s="82"/>
      <c r="S149" s="81"/>
      <c r="T149" s="81"/>
      <c r="U149" s="39"/>
      <c r="V149" s="16"/>
      <c r="W149" s="16" t="s">
        <v>1888</v>
      </c>
      <c r="X149" s="93" t="s">
        <v>8415</v>
      </c>
      <c r="Y149" s="85"/>
      <c r="Z149" s="85"/>
      <c r="AA149" s="85" t="s">
        <v>1813</v>
      </c>
      <c r="AB149" s="85" t="s">
        <v>1814</v>
      </c>
      <c r="AC149" s="85" t="s">
        <v>35</v>
      </c>
      <c r="AD149" s="325" t="s">
        <v>1763</v>
      </c>
      <c r="AE149" s="85" t="s">
        <v>8416</v>
      </c>
      <c r="AF149" s="21"/>
      <c r="AG149" s="87"/>
      <c r="AH149" s="16">
        <v>0.0</v>
      </c>
      <c r="AI149" s="87"/>
      <c r="AJ149" s="83">
        <v>0.0</v>
      </c>
      <c r="AK149" s="90"/>
      <c r="AL149" s="83">
        <v>0.0</v>
      </c>
      <c r="AM149" s="7">
        <v>0.0</v>
      </c>
      <c r="AN149" s="7"/>
      <c r="AO149" s="7">
        <v>0.0</v>
      </c>
      <c r="AP149" s="7">
        <v>0.0</v>
      </c>
      <c r="AQ149" s="7"/>
      <c r="AR149" s="7"/>
      <c r="AS149" s="82"/>
      <c r="AT149" s="82"/>
      <c r="AU149" s="82"/>
      <c r="AV149" s="82"/>
      <c r="AW149" s="7"/>
      <c r="AX149" s="82"/>
      <c r="AY149" s="7"/>
      <c r="AZ149" s="7"/>
      <c r="BA149" s="7"/>
      <c r="BB149" s="7"/>
      <c r="BC149" s="7"/>
      <c r="BD149" s="7"/>
      <c r="BE149" s="7"/>
      <c r="BF149" s="7"/>
      <c r="BG149" s="7"/>
    </row>
    <row r="150">
      <c r="A150" s="16"/>
      <c r="B150" s="7" t="s">
        <v>1678</v>
      </c>
      <c r="C150" s="7">
        <v>1.0</v>
      </c>
      <c r="D150" s="53" t="s">
        <v>8413</v>
      </c>
      <c r="E150" s="7"/>
      <c r="F150" s="53"/>
      <c r="G150" s="16"/>
      <c r="H150" s="83">
        <v>1.0</v>
      </c>
      <c r="I150" s="9">
        <v>1.0</v>
      </c>
      <c r="J150" s="16" t="s">
        <v>115</v>
      </c>
      <c r="K150" s="53"/>
      <c r="L150" s="90"/>
      <c r="M150" s="39" t="str">
        <f t="shared" si="4"/>
        <v>[- Textbook Sort-and-Two-Sided-Traversal (-)]</v>
      </c>
      <c r="N150" s="321" t="s">
        <v>8417</v>
      </c>
      <c r="O150" s="322" t="s">
        <v>1937</v>
      </c>
      <c r="P150" s="7" t="s">
        <v>1937</v>
      </c>
      <c r="Q150" s="82"/>
      <c r="R150" s="82"/>
      <c r="S150" s="81"/>
      <c r="T150" s="81"/>
      <c r="U150" s="39"/>
      <c r="V150" s="16"/>
      <c r="W150" s="16" t="s">
        <v>115</v>
      </c>
      <c r="X150" s="93" t="s">
        <v>8415</v>
      </c>
      <c r="Y150" s="85"/>
      <c r="Z150" s="85"/>
      <c r="AA150" s="85" t="s">
        <v>1813</v>
      </c>
      <c r="AB150" s="85" t="s">
        <v>1814</v>
      </c>
      <c r="AC150" s="85" t="s">
        <v>35</v>
      </c>
      <c r="AD150" s="325" t="s">
        <v>1763</v>
      </c>
      <c r="AE150" s="85" t="s">
        <v>8416</v>
      </c>
      <c r="AF150" s="21"/>
      <c r="AG150" s="104"/>
      <c r="AH150" s="16">
        <v>0.0</v>
      </c>
      <c r="AI150" s="87"/>
      <c r="AJ150" s="83">
        <v>0.0</v>
      </c>
      <c r="AK150" s="90"/>
      <c r="AL150" s="83">
        <v>0.0</v>
      </c>
      <c r="AM150" s="7">
        <v>0.0</v>
      </c>
      <c r="AN150" s="7"/>
      <c r="AO150" s="7">
        <v>0.0</v>
      </c>
      <c r="AP150" s="7">
        <v>0.0</v>
      </c>
      <c r="AQ150" s="7"/>
      <c r="AR150" s="7"/>
      <c r="AS150" s="82"/>
      <c r="AT150" s="82"/>
      <c r="AU150" s="82"/>
      <c r="AV150" s="82"/>
      <c r="AW150" s="7"/>
      <c r="AX150" s="82"/>
      <c r="AY150" s="7"/>
      <c r="AZ150" s="7"/>
      <c r="BA150" s="7"/>
      <c r="BB150" s="7"/>
      <c r="BC150" s="7"/>
      <c r="BD150" s="7"/>
      <c r="BE150" s="7"/>
      <c r="BF150" s="7"/>
      <c r="BG150" s="7"/>
    </row>
    <row r="151">
      <c r="A151" s="16"/>
      <c r="B151" s="7" t="s">
        <v>1678</v>
      </c>
      <c r="C151" s="7">
        <v>1.0</v>
      </c>
      <c r="D151" s="53" t="s">
        <v>8413</v>
      </c>
      <c r="E151" s="7"/>
      <c r="F151" s="53"/>
      <c r="G151" s="16"/>
      <c r="H151" s="83">
        <v>1.0</v>
      </c>
      <c r="I151" s="9">
        <v>1.0</v>
      </c>
      <c r="J151" s="16" t="s">
        <v>1682</v>
      </c>
      <c r="K151" s="53"/>
      <c r="L151" s="90"/>
      <c r="M151" s="39" t="str">
        <f t="shared" si="4"/>
        <v>[https://link.springer.com/article/10.1007/s00453-007-9036-3 Baran, Demaine, Patrascu (2008)]</v>
      </c>
      <c r="N151" s="321" t="s">
        <v>8418</v>
      </c>
      <c r="O151" s="322">
        <v>2008.0</v>
      </c>
      <c r="P151" s="47" t="s">
        <v>1683</v>
      </c>
      <c r="Q151" s="82"/>
      <c r="R151" s="82"/>
      <c r="S151" s="81"/>
      <c r="T151" s="81"/>
      <c r="U151" s="39"/>
      <c r="V151" s="16"/>
      <c r="W151" s="16" t="s">
        <v>1682</v>
      </c>
      <c r="X151" s="93" t="s">
        <v>8419</v>
      </c>
      <c r="Y151" s="85"/>
      <c r="Z151" s="85"/>
      <c r="AA151" s="85" t="s">
        <v>1813</v>
      </c>
      <c r="AB151" s="85" t="s">
        <v>1814</v>
      </c>
      <c r="AC151" s="85"/>
      <c r="AD151" s="325"/>
      <c r="AE151" s="85"/>
      <c r="AF151" s="21"/>
      <c r="AG151" s="104"/>
      <c r="AH151" s="16">
        <v>1.0</v>
      </c>
      <c r="AI151" s="84" t="s">
        <v>2187</v>
      </c>
      <c r="AJ151" s="83">
        <v>0.0</v>
      </c>
      <c r="AK151" s="90"/>
      <c r="AL151" s="83">
        <v>0.0</v>
      </c>
      <c r="AM151" s="7">
        <v>0.0</v>
      </c>
      <c r="AN151" s="7"/>
      <c r="AO151" s="7">
        <v>0.0</v>
      </c>
      <c r="AP151" s="7">
        <v>0.0</v>
      </c>
      <c r="AQ151" s="7"/>
      <c r="AR151" s="7"/>
      <c r="AS151" s="82"/>
      <c r="AT151" s="82"/>
      <c r="AU151" s="82"/>
      <c r="AV151" s="82"/>
      <c r="AW151" s="7"/>
      <c r="AX151" s="82"/>
      <c r="AY151" s="7"/>
      <c r="AZ151" s="7"/>
      <c r="BA151" s="7"/>
      <c r="BB151" s="7"/>
      <c r="BC151" s="7"/>
      <c r="BD151" s="7"/>
      <c r="BE151" s="7"/>
      <c r="BF151" s="7"/>
      <c r="BG151" s="7"/>
    </row>
    <row r="152">
      <c r="A152" s="16"/>
      <c r="B152" s="7" t="s">
        <v>1678</v>
      </c>
      <c r="C152" s="7">
        <v>1.0</v>
      </c>
      <c r="D152" s="53" t="s">
        <v>8413</v>
      </c>
      <c r="E152" s="7"/>
      <c r="F152" s="53"/>
      <c r="G152" s="16"/>
      <c r="H152" s="83">
        <v>1.0</v>
      </c>
      <c r="I152" s="9">
        <v>1.0</v>
      </c>
      <c r="J152" s="16" t="s">
        <v>8420</v>
      </c>
      <c r="K152" s="53"/>
      <c r="L152" s="90"/>
      <c r="M152" s="39" t="str">
        <f t="shared" si="4"/>
        <v>[https://link.springer.com/article/10.1007/s00453-007-9036-3 Baran, Demaine, Patrascu (2008)]</v>
      </c>
      <c r="N152" s="321" t="s">
        <v>8418</v>
      </c>
      <c r="O152" s="322">
        <v>2008.0</v>
      </c>
      <c r="P152" s="47" t="s">
        <v>1683</v>
      </c>
      <c r="Q152" s="82"/>
      <c r="R152" s="82"/>
      <c r="S152" s="81"/>
      <c r="T152" s="81"/>
      <c r="U152" s="39"/>
      <c r="V152" s="16"/>
      <c r="W152" s="16" t="s">
        <v>8420</v>
      </c>
      <c r="X152" s="93" t="s">
        <v>8419</v>
      </c>
      <c r="Y152" s="85"/>
      <c r="Z152" s="85"/>
      <c r="AA152" s="85" t="s">
        <v>8421</v>
      </c>
      <c r="AB152" s="85"/>
      <c r="AC152" s="85"/>
      <c r="AD152" s="325"/>
      <c r="AE152" s="85"/>
      <c r="AF152" s="21"/>
      <c r="AG152" s="104"/>
      <c r="AH152" s="16">
        <v>1.0</v>
      </c>
      <c r="AI152" s="84" t="s">
        <v>2187</v>
      </c>
      <c r="AJ152" s="83">
        <v>0.0</v>
      </c>
      <c r="AK152" s="90"/>
      <c r="AL152" s="83">
        <v>0.0</v>
      </c>
      <c r="AM152" s="7">
        <v>0.0</v>
      </c>
      <c r="AN152" s="7"/>
      <c r="AO152" s="7">
        <v>0.0</v>
      </c>
      <c r="AP152" s="7">
        <v>0.0</v>
      </c>
      <c r="AQ152" s="7"/>
      <c r="AR152" s="7"/>
      <c r="AS152" s="82"/>
      <c r="AT152" s="82"/>
      <c r="AU152" s="82"/>
      <c r="AV152" s="82"/>
      <c r="AW152" s="7"/>
      <c r="AX152" s="82"/>
      <c r="AY152" s="7"/>
      <c r="AZ152" s="7"/>
      <c r="BA152" s="7"/>
      <c r="BB152" s="7"/>
      <c r="BC152" s="7"/>
      <c r="BD152" s="7"/>
      <c r="BE152" s="7"/>
      <c r="BF152" s="7"/>
      <c r="BG152" s="7"/>
    </row>
    <row r="153">
      <c r="A153" s="16"/>
      <c r="B153" s="7" t="s">
        <v>1678</v>
      </c>
      <c r="C153" s="7">
        <v>1.0</v>
      </c>
      <c r="D153" s="53" t="s">
        <v>8413</v>
      </c>
      <c r="E153" s="7"/>
      <c r="F153" s="53"/>
      <c r="G153" s="16"/>
      <c r="H153" s="83">
        <v>1.0</v>
      </c>
      <c r="I153" s="9">
        <v>1.0</v>
      </c>
      <c r="J153" s="16" t="s">
        <v>8422</v>
      </c>
      <c r="K153" s="53"/>
      <c r="L153" s="90"/>
      <c r="M153" s="39" t="str">
        <f t="shared" si="4"/>
        <v>[https://link.springer.com/article/10.1007/s00453-007-9036-3 Baran, Demaine, Patrascu (2008)]</v>
      </c>
      <c r="N153" s="321" t="s">
        <v>8418</v>
      </c>
      <c r="O153" s="322">
        <v>2008.0</v>
      </c>
      <c r="P153" s="47" t="s">
        <v>1683</v>
      </c>
      <c r="Q153" s="82"/>
      <c r="R153" s="82"/>
      <c r="S153" s="81"/>
      <c r="T153" s="81"/>
      <c r="U153" s="39"/>
      <c r="V153" s="16"/>
      <c r="W153" s="16" t="s">
        <v>8422</v>
      </c>
      <c r="X153" s="93" t="s">
        <v>8423</v>
      </c>
      <c r="Y153" s="85"/>
      <c r="Z153" s="85"/>
      <c r="AA153" s="85" t="s">
        <v>8424</v>
      </c>
      <c r="AB153" s="85"/>
      <c r="AC153" s="85"/>
      <c r="AD153" s="325"/>
      <c r="AE153" s="85"/>
      <c r="AF153" s="21"/>
      <c r="AG153" s="104"/>
      <c r="AH153" s="16">
        <v>1.0</v>
      </c>
      <c r="AI153" s="84" t="s">
        <v>2187</v>
      </c>
      <c r="AJ153" s="83">
        <v>0.0</v>
      </c>
      <c r="AK153" s="90"/>
      <c r="AL153" s="83">
        <v>0.0</v>
      </c>
      <c r="AM153" s="7">
        <v>0.0</v>
      </c>
      <c r="AN153" s="7"/>
      <c r="AO153" s="7">
        <v>0.0</v>
      </c>
      <c r="AP153" s="7">
        <v>0.0</v>
      </c>
      <c r="AQ153" s="7"/>
      <c r="AR153" s="7"/>
      <c r="AS153" s="82"/>
      <c r="AT153" s="82"/>
      <c r="AU153" s="82"/>
      <c r="AV153" s="82"/>
      <c r="AW153" s="7"/>
      <c r="AX153" s="82"/>
      <c r="AY153" s="7"/>
      <c r="AZ153" s="7"/>
      <c r="BA153" s="7"/>
      <c r="BB153" s="7"/>
      <c r="BC153" s="7"/>
      <c r="BD153" s="7"/>
      <c r="BE153" s="7"/>
      <c r="BF153" s="7"/>
      <c r="BG153" s="7"/>
    </row>
    <row r="154">
      <c r="A154" s="16"/>
      <c r="B154" s="7" t="s">
        <v>1678</v>
      </c>
      <c r="C154" s="7">
        <v>1.0</v>
      </c>
      <c r="D154" s="53" t="s">
        <v>8413</v>
      </c>
      <c r="E154" s="7"/>
      <c r="F154" s="53"/>
      <c r="G154" s="16"/>
      <c r="H154" s="83">
        <v>1.0</v>
      </c>
      <c r="I154" s="9">
        <v>1.0</v>
      </c>
      <c r="J154" s="16" t="s">
        <v>8425</v>
      </c>
      <c r="K154" s="53"/>
      <c r="L154" s="90"/>
      <c r="M154" s="39" t="str">
        <f t="shared" si="4"/>
        <v>[https://link.springer.com/article/10.1007/s00453-007-9036-3 Baran, Demaine, Patrascu (2008)]</v>
      </c>
      <c r="N154" s="321" t="s">
        <v>8418</v>
      </c>
      <c r="O154" s="322">
        <v>2008.0</v>
      </c>
      <c r="P154" s="47" t="s">
        <v>1683</v>
      </c>
      <c r="Q154" s="82"/>
      <c r="R154" s="82"/>
      <c r="S154" s="81"/>
      <c r="T154" s="81"/>
      <c r="U154" s="39"/>
      <c r="V154" s="16"/>
      <c r="W154" s="16" t="s">
        <v>8425</v>
      </c>
      <c r="X154" s="93" t="s">
        <v>8423</v>
      </c>
      <c r="Y154" s="85"/>
      <c r="Z154" s="85"/>
      <c r="AA154" s="85" t="s">
        <v>8426</v>
      </c>
      <c r="AB154" s="85"/>
      <c r="AC154" s="85"/>
      <c r="AD154" s="325"/>
      <c r="AE154" s="85"/>
      <c r="AF154" s="21"/>
      <c r="AG154" s="104"/>
      <c r="AH154" s="16">
        <v>1.0</v>
      </c>
      <c r="AI154" s="84" t="s">
        <v>2187</v>
      </c>
      <c r="AJ154" s="83">
        <v>0.0</v>
      </c>
      <c r="AK154" s="90"/>
      <c r="AL154" s="83">
        <v>0.0</v>
      </c>
      <c r="AM154" s="7">
        <v>0.0</v>
      </c>
      <c r="AN154" s="7"/>
      <c r="AO154" s="7">
        <v>0.0</v>
      </c>
      <c r="AP154" s="7">
        <v>0.0</v>
      </c>
      <c r="AQ154" s="7"/>
      <c r="AR154" s="7"/>
      <c r="AS154" s="82"/>
      <c r="AT154" s="82"/>
      <c r="AU154" s="82"/>
      <c r="AV154" s="82"/>
      <c r="AW154" s="7"/>
      <c r="AX154" s="82"/>
      <c r="AY154" s="7"/>
      <c r="AZ154" s="7"/>
      <c r="BA154" s="7"/>
      <c r="BB154" s="7"/>
      <c r="BC154" s="7"/>
      <c r="BD154" s="7"/>
      <c r="BE154" s="7"/>
      <c r="BF154" s="7"/>
      <c r="BG154" s="7"/>
    </row>
    <row r="155">
      <c r="A155" s="16"/>
      <c r="B155" s="7" t="s">
        <v>1678</v>
      </c>
      <c r="C155" s="7">
        <v>1.0</v>
      </c>
      <c r="D155" s="53" t="s">
        <v>1679</v>
      </c>
      <c r="E155" s="7"/>
      <c r="F155" s="53"/>
      <c r="G155" s="16"/>
      <c r="H155" s="83">
        <v>1.0</v>
      </c>
      <c r="I155" s="9">
        <v>1.0</v>
      </c>
      <c r="J155" s="16" t="s">
        <v>8427</v>
      </c>
      <c r="K155" s="53"/>
      <c r="L155" s="90"/>
      <c r="M155" s="39" t="str">
        <f t="shared" si="4"/>
        <v>[https://ieeexplore.ieee.org/abstract/document/6979047 Gronlund, Pettie (2014)]</v>
      </c>
      <c r="N155" s="321" t="s">
        <v>8428</v>
      </c>
      <c r="O155" s="322">
        <v>2014.0</v>
      </c>
      <c r="P155" s="47" t="s">
        <v>8429</v>
      </c>
      <c r="Q155" s="82"/>
      <c r="R155" s="82"/>
      <c r="S155" s="81"/>
      <c r="T155" s="81"/>
      <c r="U155" s="39"/>
      <c r="V155" s="16"/>
      <c r="W155" s="16" t="s">
        <v>8427</v>
      </c>
      <c r="X155" s="93" t="s">
        <v>8415</v>
      </c>
      <c r="Y155" s="85"/>
      <c r="Z155" s="85"/>
      <c r="AA155" s="85" t="s">
        <v>2152</v>
      </c>
      <c r="AB155" s="85" t="s">
        <v>1814</v>
      </c>
      <c r="AC155" s="85"/>
      <c r="AD155" s="325"/>
      <c r="AE155" s="85"/>
      <c r="AF155" s="21"/>
      <c r="AG155" s="104"/>
      <c r="AH155" s="16">
        <v>0.0</v>
      </c>
      <c r="AI155" s="84"/>
      <c r="AJ155" s="83">
        <v>0.0</v>
      </c>
      <c r="AK155" s="90"/>
      <c r="AL155" s="83">
        <v>0.0</v>
      </c>
      <c r="AM155" s="7">
        <v>0.0</v>
      </c>
      <c r="AN155" s="7"/>
      <c r="AO155" s="7">
        <v>0.0</v>
      </c>
      <c r="AP155" s="7">
        <v>0.0</v>
      </c>
      <c r="AQ155" s="7"/>
      <c r="AR155" s="7"/>
      <c r="AS155" s="82"/>
      <c r="AT155" s="82"/>
      <c r="AU155" s="82"/>
      <c r="AV155" s="82"/>
      <c r="AW155" s="7"/>
      <c r="AX155" s="82"/>
      <c r="AY155" s="7"/>
      <c r="AZ155" s="7"/>
      <c r="BA155" s="7"/>
      <c r="BB155" s="7"/>
      <c r="BC155" s="7"/>
      <c r="BD155" s="7"/>
      <c r="BE155" s="7"/>
      <c r="BF155" s="7"/>
      <c r="BG155" s="7"/>
    </row>
    <row r="156">
      <c r="A156" s="16"/>
      <c r="B156" s="7" t="s">
        <v>1678</v>
      </c>
      <c r="C156" s="7">
        <v>1.0</v>
      </c>
      <c r="D156" s="53" t="s">
        <v>1679</v>
      </c>
      <c r="E156" s="7"/>
      <c r="F156" s="53"/>
      <c r="G156" s="16"/>
      <c r="H156" s="83">
        <v>1.0</v>
      </c>
      <c r="I156" s="9">
        <v>1.0</v>
      </c>
      <c r="J156" s="16" t="s">
        <v>8430</v>
      </c>
      <c r="K156" s="53"/>
      <c r="L156" s="90"/>
      <c r="M156" s="39" t="str">
        <f t="shared" si="4"/>
        <v>[https://ieeexplore.ieee.org/abstract/document/6979047 Gronlund, Pettie (2014)]</v>
      </c>
      <c r="N156" s="321" t="s">
        <v>8428</v>
      </c>
      <c r="O156" s="322">
        <v>2014.0</v>
      </c>
      <c r="P156" s="47" t="s">
        <v>8429</v>
      </c>
      <c r="Q156" s="82"/>
      <c r="R156" s="82"/>
      <c r="S156" s="81"/>
      <c r="T156" s="81"/>
      <c r="U156" s="39"/>
      <c r="V156" s="16"/>
      <c r="W156" s="16" t="s">
        <v>8430</v>
      </c>
      <c r="X156" s="93" t="s">
        <v>8415</v>
      </c>
      <c r="Y156" s="85"/>
      <c r="Z156" s="85"/>
      <c r="AA156" s="85" t="s">
        <v>2152</v>
      </c>
      <c r="AB156" s="85" t="s">
        <v>1814</v>
      </c>
      <c r="AC156" s="85"/>
      <c r="AD156" s="325"/>
      <c r="AE156" s="85"/>
      <c r="AF156" s="21"/>
      <c r="AG156" s="104"/>
      <c r="AH156" s="16">
        <v>1.0</v>
      </c>
      <c r="AI156" s="84" t="s">
        <v>2187</v>
      </c>
      <c r="AJ156" s="83">
        <v>0.0</v>
      </c>
      <c r="AK156" s="90"/>
      <c r="AL156" s="83">
        <v>0.0</v>
      </c>
      <c r="AM156" s="7">
        <v>0.0</v>
      </c>
      <c r="AN156" s="7"/>
      <c r="AO156" s="7">
        <v>0.0</v>
      </c>
      <c r="AP156" s="7">
        <v>0.0</v>
      </c>
      <c r="AQ156" s="7"/>
      <c r="AR156" s="7"/>
      <c r="AS156" s="82"/>
      <c r="AT156" s="82"/>
      <c r="AU156" s="82"/>
      <c r="AV156" s="82"/>
      <c r="AW156" s="7"/>
      <c r="AX156" s="82"/>
      <c r="AY156" s="7"/>
      <c r="AZ156" s="7"/>
      <c r="BA156" s="7"/>
      <c r="BB156" s="7"/>
      <c r="BC156" s="7"/>
      <c r="BD156" s="7"/>
      <c r="BE156" s="7"/>
      <c r="BF156" s="7"/>
      <c r="BG156" s="7"/>
    </row>
    <row r="157">
      <c r="A157" s="16"/>
      <c r="B157" s="7" t="s">
        <v>1678</v>
      </c>
      <c r="C157" s="7">
        <v>1.0</v>
      </c>
      <c r="D157" s="53" t="s">
        <v>1679</v>
      </c>
      <c r="E157" s="7"/>
      <c r="F157" s="53"/>
      <c r="G157" s="16"/>
      <c r="H157" s="83">
        <v>1.0</v>
      </c>
      <c r="I157" s="9">
        <v>1.0</v>
      </c>
      <c r="J157" s="16" t="s">
        <v>8431</v>
      </c>
      <c r="K157" s="53"/>
      <c r="L157" s="90"/>
      <c r="M157" s="39" t="str">
        <f t="shared" si="4"/>
        <v>[https://link.springer.com/article/10.1007/s00453-015-0079-6 Freund (2017)]</v>
      </c>
      <c r="N157" s="321" t="s">
        <v>8432</v>
      </c>
      <c r="O157" s="322">
        <v>2017.0</v>
      </c>
      <c r="P157" s="47" t="s">
        <v>8433</v>
      </c>
      <c r="Q157" s="82"/>
      <c r="R157" s="82"/>
      <c r="S157" s="81"/>
      <c r="T157" s="81"/>
      <c r="U157" s="39"/>
      <c r="V157" s="16"/>
      <c r="W157" s="16" t="s">
        <v>8431</v>
      </c>
      <c r="X157" s="93" t="s">
        <v>8415</v>
      </c>
      <c r="Y157" s="85"/>
      <c r="Z157" s="85"/>
      <c r="AA157" s="85" t="s">
        <v>2152</v>
      </c>
      <c r="AB157" s="85" t="s">
        <v>1814</v>
      </c>
      <c r="AC157" s="85"/>
      <c r="AD157" s="325"/>
      <c r="AE157" s="85"/>
      <c r="AF157" s="21"/>
      <c r="AG157" s="104"/>
      <c r="AH157" s="16">
        <v>0.0</v>
      </c>
      <c r="AI157" s="84"/>
      <c r="AJ157" s="83">
        <v>0.0</v>
      </c>
      <c r="AK157" s="90"/>
      <c r="AL157" s="83">
        <v>0.0</v>
      </c>
      <c r="AM157" s="7">
        <v>0.0</v>
      </c>
      <c r="AN157" s="7"/>
      <c r="AO157" s="7">
        <v>0.0</v>
      </c>
      <c r="AP157" s="7">
        <v>0.0</v>
      </c>
      <c r="AQ157" s="7"/>
      <c r="AR157" s="7"/>
      <c r="AS157" s="82"/>
      <c r="AT157" s="82"/>
      <c r="AU157" s="82"/>
      <c r="AV157" s="82"/>
      <c r="AW157" s="7"/>
      <c r="AX157" s="82"/>
      <c r="AY157" s="7"/>
      <c r="AZ157" s="7"/>
      <c r="BA157" s="7"/>
      <c r="BB157" s="7"/>
      <c r="BC157" s="7"/>
      <c r="BD157" s="7"/>
      <c r="BE157" s="7"/>
      <c r="BF157" s="7"/>
      <c r="BG157" s="7"/>
    </row>
    <row r="158">
      <c r="A158" s="16"/>
      <c r="B158" s="7" t="s">
        <v>1678</v>
      </c>
      <c r="C158" s="7">
        <v>1.0</v>
      </c>
      <c r="D158" s="53" t="s">
        <v>1679</v>
      </c>
      <c r="E158" s="7"/>
      <c r="F158" s="53"/>
      <c r="G158" s="16"/>
      <c r="H158" s="83">
        <v>1.0</v>
      </c>
      <c r="I158" s="9">
        <v>1.0</v>
      </c>
      <c r="J158" s="16" t="s">
        <v>1689</v>
      </c>
      <c r="K158" s="53"/>
      <c r="L158" s="90"/>
      <c r="M158" s="39" t="str">
        <f t="shared" si="4"/>
        <v>[https://dl.acm.org/doi/abs/10.1145/3363541 Chan (2018)]</v>
      </c>
      <c r="N158" s="321" t="s">
        <v>3196</v>
      </c>
      <c r="O158" s="322">
        <v>2018.0</v>
      </c>
      <c r="P158" s="47" t="s">
        <v>1687</v>
      </c>
      <c r="Q158" s="82"/>
      <c r="R158" s="82"/>
      <c r="S158" s="81"/>
      <c r="T158" s="81"/>
      <c r="U158" s="39"/>
      <c r="V158" s="16"/>
      <c r="W158" s="16" t="s">
        <v>1689</v>
      </c>
      <c r="X158" s="93" t="s">
        <v>8415</v>
      </c>
      <c r="Y158" s="85"/>
      <c r="Z158" s="85"/>
      <c r="AA158" s="85" t="s">
        <v>2152</v>
      </c>
      <c r="AB158" s="85" t="s">
        <v>1814</v>
      </c>
      <c r="AC158" s="85"/>
      <c r="AD158" s="325"/>
      <c r="AE158" s="85"/>
      <c r="AF158" s="21"/>
      <c r="AG158" s="104"/>
      <c r="AH158" s="16">
        <v>0.0</v>
      </c>
      <c r="AI158" s="84"/>
      <c r="AJ158" s="83">
        <v>0.0</v>
      </c>
      <c r="AK158" s="90"/>
      <c r="AL158" s="83">
        <v>0.0</v>
      </c>
      <c r="AM158" s="7">
        <v>0.0</v>
      </c>
      <c r="AN158" s="7"/>
      <c r="AO158" s="7">
        <v>0.0</v>
      </c>
      <c r="AP158" s="7">
        <v>0.0</v>
      </c>
      <c r="AQ158" s="7"/>
      <c r="AR158" s="7"/>
      <c r="AS158" s="82"/>
      <c r="AT158" s="82"/>
      <c r="AU158" s="82"/>
      <c r="AV158" s="82"/>
      <c r="AW158" s="7"/>
      <c r="AX158" s="82"/>
      <c r="AY158" s="7"/>
      <c r="AZ158" s="7"/>
      <c r="BA158" s="7"/>
      <c r="BB158" s="7"/>
      <c r="BC158" s="7"/>
      <c r="BD158" s="7"/>
      <c r="BE158" s="7"/>
      <c r="BF158" s="7"/>
      <c r="BG158" s="7"/>
    </row>
    <row r="159">
      <c r="A159" s="16">
        <v>72.0</v>
      </c>
      <c r="B159" s="16" t="s">
        <v>818</v>
      </c>
      <c r="C159" s="53">
        <v>1.0</v>
      </c>
      <c r="D159" s="53" t="s">
        <v>818</v>
      </c>
      <c r="E159" s="7"/>
      <c r="F159" s="53"/>
      <c r="G159" s="7"/>
      <c r="H159" s="16">
        <v>1.0</v>
      </c>
      <c r="I159" s="16">
        <v>1.0</v>
      </c>
      <c r="J159" s="16" t="s">
        <v>8434</v>
      </c>
      <c r="K159" s="53"/>
      <c r="L159" s="53"/>
      <c r="M159" s="39" t="str">
        <f t="shared" si="4"/>
        <v>[ Exhaustive search (1940)]</v>
      </c>
      <c r="N159" s="16" t="s">
        <v>8435</v>
      </c>
      <c r="O159" s="83">
        <v>1940.0</v>
      </c>
      <c r="P159" s="16"/>
      <c r="Q159" s="82"/>
      <c r="R159" s="82"/>
      <c r="S159" s="82"/>
      <c r="T159" s="16"/>
      <c r="U159" s="16"/>
      <c r="V159" s="16"/>
      <c r="W159" s="16" t="s">
        <v>8434</v>
      </c>
      <c r="X159" s="53" t="s">
        <v>8436</v>
      </c>
      <c r="Y159" s="53"/>
      <c r="Z159" s="53"/>
      <c r="AA159" s="53" t="s">
        <v>1813</v>
      </c>
      <c r="AB159" s="53" t="s">
        <v>1814</v>
      </c>
      <c r="AC159" s="53" t="s">
        <v>8437</v>
      </c>
      <c r="AD159" s="360" t="s">
        <v>1811</v>
      </c>
      <c r="AE159" s="53" t="s">
        <v>4712</v>
      </c>
      <c r="AF159" s="87"/>
      <c r="AG159" s="104"/>
      <c r="AH159" s="81">
        <v>0.0</v>
      </c>
      <c r="AI159" s="87"/>
      <c r="AJ159" s="81">
        <v>0.0</v>
      </c>
      <c r="AK159" s="90"/>
      <c r="AL159" s="81">
        <v>0.0</v>
      </c>
      <c r="AM159" s="81">
        <v>0.0</v>
      </c>
      <c r="AN159" s="39"/>
      <c r="AO159" s="81">
        <v>0.0</v>
      </c>
      <c r="AP159" s="81">
        <v>0.0</v>
      </c>
      <c r="AQ159" s="39"/>
      <c r="AR159" s="82"/>
      <c r="AS159" s="82"/>
      <c r="AT159" s="82"/>
      <c r="AU159" s="7"/>
      <c r="AV159" s="82"/>
      <c r="AW159" s="82"/>
      <c r="AX159" s="82"/>
      <c r="AY159" s="82"/>
      <c r="AZ159" s="82"/>
      <c r="BA159" s="82"/>
      <c r="BB159" s="7">
        <v>1.0</v>
      </c>
      <c r="BC159" s="82"/>
      <c r="BD159" s="7"/>
      <c r="BE159" s="7" t="s">
        <v>23</v>
      </c>
      <c r="BF159" s="7"/>
      <c r="BG159" s="7"/>
    </row>
    <row r="160">
      <c r="A160" s="16">
        <v>72.0</v>
      </c>
      <c r="B160" s="16" t="s">
        <v>818</v>
      </c>
      <c r="C160" s="53">
        <v>1.0</v>
      </c>
      <c r="D160" s="53" t="s">
        <v>818</v>
      </c>
      <c r="E160" s="7"/>
      <c r="F160" s="53"/>
      <c r="G160" s="7"/>
      <c r="H160" s="16">
        <v>1.0</v>
      </c>
      <c r="I160" s="16">
        <v>1.0</v>
      </c>
      <c r="J160" s="16" t="s">
        <v>8438</v>
      </c>
      <c r="K160" s="53"/>
      <c r="L160" s="53"/>
      <c r="M160" s="39" t="str">
        <f t="shared" si="4"/>
        <v>[https://citeseerx.ist.psu.edu/viewdoc/download?doi=10.1.1.2.7270&amp;rep=rep1&amp;type=pdf Downey, Fellows (1995)]</v>
      </c>
      <c r="N160" s="16" t="s">
        <v>8439</v>
      </c>
      <c r="O160" s="83">
        <v>1995.0</v>
      </c>
      <c r="P160" s="25" t="s">
        <v>8440</v>
      </c>
      <c r="Q160" s="82"/>
      <c r="R160" s="82"/>
      <c r="S160" s="82"/>
      <c r="T160" s="16"/>
      <c r="U160" s="16"/>
      <c r="V160" s="16"/>
      <c r="W160" s="16" t="s">
        <v>8438</v>
      </c>
      <c r="X160" s="53" t="s">
        <v>8436</v>
      </c>
      <c r="Y160" s="53"/>
      <c r="Z160" s="53"/>
      <c r="AA160" s="53" t="s">
        <v>1813</v>
      </c>
      <c r="AB160" s="53" t="s">
        <v>1814</v>
      </c>
      <c r="AC160" s="53" t="s">
        <v>8441</v>
      </c>
      <c r="AD160" s="360" t="s">
        <v>8442</v>
      </c>
      <c r="AE160" s="53" t="s">
        <v>8443</v>
      </c>
      <c r="AF160" s="87"/>
      <c r="AG160" s="104"/>
      <c r="AH160" s="81">
        <v>0.0</v>
      </c>
      <c r="AI160" s="87"/>
      <c r="AJ160" s="81">
        <v>0.0</v>
      </c>
      <c r="AK160" s="90"/>
      <c r="AL160" s="81">
        <v>0.0</v>
      </c>
      <c r="AM160" s="81">
        <v>0.0</v>
      </c>
      <c r="AN160" s="39"/>
      <c r="AO160" s="81">
        <v>0.0</v>
      </c>
      <c r="AP160" s="81">
        <v>0.0</v>
      </c>
      <c r="AQ160" s="39"/>
      <c r="AR160" s="82"/>
      <c r="AS160" s="82"/>
      <c r="AT160" s="82"/>
      <c r="AU160" s="7"/>
      <c r="AV160" s="82"/>
      <c r="AW160" s="82"/>
      <c r="AX160" s="82"/>
      <c r="AY160" s="82"/>
      <c r="AZ160" s="82"/>
      <c r="BA160" s="82"/>
      <c r="BB160" s="7">
        <v>1.0</v>
      </c>
      <c r="BC160" s="82"/>
      <c r="BD160" s="7"/>
      <c r="BE160" s="7" t="s">
        <v>23</v>
      </c>
      <c r="BF160" s="7"/>
      <c r="BG160" s="7"/>
    </row>
    <row r="161">
      <c r="A161" s="16">
        <v>72.0</v>
      </c>
      <c r="B161" s="16" t="s">
        <v>818</v>
      </c>
      <c r="C161" s="53">
        <v>1.0</v>
      </c>
      <c r="D161" s="53" t="s">
        <v>818</v>
      </c>
      <c r="E161" s="7"/>
      <c r="F161" s="53"/>
      <c r="G161" s="7"/>
      <c r="H161" s="16">
        <v>1.0</v>
      </c>
      <c r="I161" s="16">
        <v>1.0</v>
      </c>
      <c r="J161" s="16" t="s">
        <v>8444</v>
      </c>
      <c r="K161" s="53"/>
      <c r="L161" s="53"/>
      <c r="M161" s="39" t="str">
        <f t="shared" si="4"/>
        <v>[https://www.sciencedirect.com/science/article/pii/S0022000096900586 Papadimitriou and M Yannakakis 1996 + Buss (1996)]</v>
      </c>
      <c r="N161" s="16" t="s">
        <v>8445</v>
      </c>
      <c r="O161" s="81">
        <v>1996.0</v>
      </c>
      <c r="P161" s="25" t="s">
        <v>4744</v>
      </c>
      <c r="Q161" s="82"/>
      <c r="R161" s="82"/>
      <c r="S161" s="82"/>
      <c r="T161" s="16">
        <v>0.0</v>
      </c>
      <c r="U161" s="16">
        <v>0.0</v>
      </c>
      <c r="V161" s="16"/>
      <c r="W161" s="16" t="s">
        <v>8444</v>
      </c>
      <c r="X161" s="53" t="s">
        <v>8436</v>
      </c>
      <c r="Y161" s="53"/>
      <c r="Z161" s="53"/>
      <c r="AA161" s="53" t="s">
        <v>1813</v>
      </c>
      <c r="AB161" s="53" t="s">
        <v>1814</v>
      </c>
      <c r="AC161" s="53" t="s">
        <v>8446</v>
      </c>
      <c r="AD161" s="360" t="s">
        <v>8442</v>
      </c>
      <c r="AE161" s="53" t="s">
        <v>8443</v>
      </c>
      <c r="AF161" s="87"/>
      <c r="AG161" s="104"/>
      <c r="AH161" s="81">
        <v>0.0</v>
      </c>
      <c r="AI161" s="87"/>
      <c r="AJ161" s="81">
        <v>0.0</v>
      </c>
      <c r="AK161" s="90"/>
      <c r="AL161" s="81">
        <v>0.0</v>
      </c>
      <c r="AM161" s="81">
        <v>0.0</v>
      </c>
      <c r="AN161" s="39"/>
      <c r="AO161" s="81">
        <v>0.0</v>
      </c>
      <c r="AP161" s="81">
        <v>0.0</v>
      </c>
      <c r="AQ161" s="39"/>
      <c r="AR161" s="82"/>
      <c r="AS161" s="82"/>
      <c r="AT161" s="82"/>
      <c r="AU161" s="7"/>
      <c r="AV161" s="82"/>
      <c r="AW161" s="82"/>
      <c r="AX161" s="82"/>
      <c r="AY161" s="82"/>
      <c r="AZ161" s="82"/>
      <c r="BA161" s="82"/>
      <c r="BB161" s="7">
        <v>1.0</v>
      </c>
      <c r="BC161" s="82"/>
      <c r="BD161" s="7"/>
      <c r="BE161" s="7" t="s">
        <v>23</v>
      </c>
      <c r="BF161" s="7"/>
      <c r="BG161" s="7"/>
    </row>
    <row r="162">
      <c r="A162" s="16">
        <v>72.0</v>
      </c>
      <c r="B162" s="16" t="s">
        <v>818</v>
      </c>
      <c r="C162" s="53">
        <v>1.0</v>
      </c>
      <c r="D162" s="53" t="s">
        <v>818</v>
      </c>
      <c r="E162" s="7"/>
      <c r="F162" s="53"/>
      <c r="G162" s="7"/>
      <c r="H162" s="16">
        <v>1.0</v>
      </c>
      <c r="I162" s="16">
        <v>1.0</v>
      </c>
      <c r="J162" s="16" t="s">
        <v>8447</v>
      </c>
      <c r="K162" s="53"/>
      <c r="L162" s="53"/>
      <c r="M162" s="39" t="str">
        <f t="shared" si="4"/>
        <v>[https://www.research-collection.ethz.ch/bitstream/handle/20.500.11850/69332/eth-4359-01.pdf Stege, Fellows (1999)]</v>
      </c>
      <c r="N162" s="16" t="s">
        <v>8448</v>
      </c>
      <c r="O162" s="83">
        <v>1999.0</v>
      </c>
      <c r="P162" s="25" t="s">
        <v>8449</v>
      </c>
      <c r="Q162" s="82"/>
      <c r="R162" s="82"/>
      <c r="S162" s="82"/>
      <c r="T162" s="16">
        <v>0.0</v>
      </c>
      <c r="U162" s="16">
        <v>0.0</v>
      </c>
      <c r="V162" s="16"/>
      <c r="W162" s="16" t="s">
        <v>8447</v>
      </c>
      <c r="X162" s="53" t="s">
        <v>8436</v>
      </c>
      <c r="Y162" s="53"/>
      <c r="Z162" s="53"/>
      <c r="AA162" s="53" t="s">
        <v>1813</v>
      </c>
      <c r="AB162" s="53" t="s">
        <v>1814</v>
      </c>
      <c r="AC162" s="53" t="s">
        <v>8450</v>
      </c>
      <c r="AD162" s="360" t="s">
        <v>8451</v>
      </c>
      <c r="AE162" s="53" t="s">
        <v>4738</v>
      </c>
      <c r="AF162" s="87"/>
      <c r="AG162" s="104"/>
      <c r="AH162" s="81">
        <v>0.0</v>
      </c>
      <c r="AI162" s="87"/>
      <c r="AJ162" s="81">
        <v>0.0</v>
      </c>
      <c r="AK162" s="90"/>
      <c r="AL162" s="81">
        <v>0.0</v>
      </c>
      <c r="AM162" s="81">
        <v>0.0</v>
      </c>
      <c r="AN162" s="39"/>
      <c r="AO162" s="81">
        <v>0.0</v>
      </c>
      <c r="AP162" s="81">
        <v>0.0</v>
      </c>
      <c r="AQ162" s="39"/>
      <c r="AR162" s="82"/>
      <c r="AS162" s="82"/>
      <c r="AT162" s="82"/>
      <c r="AU162" s="7"/>
      <c r="AV162" s="82"/>
      <c r="AW162" s="82"/>
      <c r="AX162" s="82"/>
      <c r="AY162" s="82"/>
      <c r="AZ162" s="82"/>
      <c r="BA162" s="82"/>
      <c r="BB162" s="7">
        <v>1.0</v>
      </c>
      <c r="BC162" s="82"/>
      <c r="BD162" s="7"/>
      <c r="BE162" s="7" t="s">
        <v>23</v>
      </c>
      <c r="BF162" s="7"/>
      <c r="BG162" s="7"/>
    </row>
    <row r="163">
      <c r="A163" s="16">
        <v>72.0</v>
      </c>
      <c r="B163" s="16" t="s">
        <v>818</v>
      </c>
      <c r="C163" s="53">
        <v>1.0</v>
      </c>
      <c r="D163" s="53" t="s">
        <v>818</v>
      </c>
      <c r="E163" s="7"/>
      <c r="F163" s="53"/>
      <c r="G163" s="7"/>
      <c r="H163" s="16">
        <v>1.0</v>
      </c>
      <c r="I163" s="16">
        <v>1.0</v>
      </c>
      <c r="J163" s="16" t="s">
        <v>8452</v>
      </c>
      <c r="K163" s="53"/>
      <c r="L163" s="53"/>
      <c r="M163" s="39" t="str">
        <f t="shared" si="4"/>
        <v>[https://mediatum.ub.tum.de/doc/1094228/file.pdf Stege, Fellows + Interleaving method (Niedermeier, Rossmanith) (2000)]</v>
      </c>
      <c r="N163" s="16" t="s">
        <v>8453</v>
      </c>
      <c r="O163" s="83">
        <v>2000.0</v>
      </c>
      <c r="P163" s="25" t="s">
        <v>8454</v>
      </c>
      <c r="Q163" s="82"/>
      <c r="R163" s="82"/>
      <c r="S163" s="82"/>
      <c r="T163" s="16">
        <v>0.0</v>
      </c>
      <c r="U163" s="16">
        <v>0.0</v>
      </c>
      <c r="V163" s="16"/>
      <c r="W163" s="16" t="s">
        <v>8452</v>
      </c>
      <c r="X163" s="53" t="s">
        <v>8436</v>
      </c>
      <c r="Y163" s="53"/>
      <c r="Z163" s="53"/>
      <c r="AA163" s="53" t="s">
        <v>1813</v>
      </c>
      <c r="AB163" s="53" t="s">
        <v>1814</v>
      </c>
      <c r="AC163" s="53" t="s">
        <v>8450</v>
      </c>
      <c r="AD163" s="360" t="s">
        <v>8451</v>
      </c>
      <c r="AE163" s="53" t="s">
        <v>4738</v>
      </c>
      <c r="AF163" s="87"/>
      <c r="AG163" s="104"/>
      <c r="AH163" s="81">
        <v>0.0</v>
      </c>
      <c r="AI163" s="87"/>
      <c r="AJ163" s="81">
        <v>0.0</v>
      </c>
      <c r="AK163" s="90"/>
      <c r="AL163" s="81">
        <v>0.0</v>
      </c>
      <c r="AM163" s="81">
        <v>0.0</v>
      </c>
      <c r="AN163" s="39"/>
      <c r="AO163" s="81">
        <v>0.0</v>
      </c>
      <c r="AP163" s="81">
        <v>0.0</v>
      </c>
      <c r="AQ163" s="39"/>
      <c r="AR163" s="82"/>
      <c r="AS163" s="82"/>
      <c r="AT163" s="82"/>
      <c r="AU163" s="7"/>
      <c r="AV163" s="82"/>
      <c r="AW163" s="82"/>
      <c r="AX163" s="82"/>
      <c r="AY163" s="82"/>
      <c r="AZ163" s="82"/>
      <c r="BA163" s="82"/>
      <c r="BB163" s="7">
        <v>1.0</v>
      </c>
      <c r="BC163" s="82"/>
      <c r="BD163" s="7"/>
      <c r="BE163" s="7" t="s">
        <v>23</v>
      </c>
      <c r="BF163" s="7"/>
      <c r="BG163" s="7"/>
    </row>
    <row r="164">
      <c r="A164" s="16">
        <v>80.0</v>
      </c>
      <c r="B164" s="16" t="s">
        <v>6340</v>
      </c>
      <c r="C164" s="53">
        <v>1.0</v>
      </c>
      <c r="D164" s="53" t="s">
        <v>6341</v>
      </c>
      <c r="E164" s="7"/>
      <c r="F164" s="53"/>
      <c r="G164" s="7"/>
      <c r="H164" s="16">
        <v>1.0</v>
      </c>
      <c r="I164" s="81">
        <v>1.0</v>
      </c>
      <c r="J164" s="16" t="s">
        <v>2382</v>
      </c>
      <c r="K164" s="41" t="s">
        <v>2419</v>
      </c>
      <c r="L164" s="41" t="s">
        <v>2420</v>
      </c>
      <c r="M164" s="39" t="str">
        <f t="shared" si="4"/>
        <v>[https://www.sciencedirect.com/science/article/abs/pii/016781919400063G Wen (1995)]</v>
      </c>
      <c r="N164" s="16" t="s">
        <v>6342</v>
      </c>
      <c r="O164" s="81">
        <v>1995.0</v>
      </c>
      <c r="P164" s="25" t="s">
        <v>6343</v>
      </c>
      <c r="Q164" s="82"/>
      <c r="R164" s="82"/>
      <c r="S164" s="82"/>
      <c r="T164" s="81"/>
      <c r="U164" s="81"/>
      <c r="V164" s="16"/>
      <c r="W164" s="16" t="s">
        <v>2382</v>
      </c>
      <c r="X164" s="53" t="s">
        <v>2421</v>
      </c>
      <c r="Y164" s="53"/>
      <c r="Z164" s="53"/>
      <c r="AA164" s="53" t="s">
        <v>2436</v>
      </c>
      <c r="AB164" s="53" t="s">
        <v>1814</v>
      </c>
      <c r="AC164" s="53"/>
      <c r="AD164" s="360"/>
      <c r="AE164" s="53"/>
      <c r="AF164" s="87"/>
      <c r="AG164" s="105"/>
      <c r="AH164" s="81">
        <v>0.0</v>
      </c>
      <c r="AI164" s="87"/>
      <c r="AJ164" s="81">
        <v>0.0</v>
      </c>
      <c r="AK164" s="90"/>
      <c r="AL164" s="81">
        <v>0.0</v>
      </c>
      <c r="AM164" s="81">
        <v>1.0</v>
      </c>
      <c r="AN164" s="363" t="s">
        <v>2438</v>
      </c>
      <c r="AO164" s="81">
        <v>0.0</v>
      </c>
      <c r="AP164" s="81">
        <v>0.0</v>
      </c>
      <c r="AQ164" s="39"/>
      <c r="AR164" s="82"/>
      <c r="AS164" s="82"/>
      <c r="AT164" s="82"/>
      <c r="AU164" s="7"/>
      <c r="AV164" s="7"/>
      <c r="AW164" s="13"/>
      <c r="AX164" s="82"/>
      <c r="AY164" s="82"/>
      <c r="AZ164" s="82"/>
      <c r="BA164" s="82"/>
      <c r="BB164" s="7">
        <v>3.0</v>
      </c>
      <c r="BC164" s="82"/>
      <c r="BD164" s="7"/>
      <c r="BE164" s="7" t="s">
        <v>23</v>
      </c>
      <c r="BF164" s="7"/>
      <c r="BG164" s="7"/>
    </row>
    <row r="165">
      <c r="A165" s="16">
        <v>80.0</v>
      </c>
      <c r="B165" s="16" t="s">
        <v>6340</v>
      </c>
      <c r="C165" s="53">
        <v>2.0</v>
      </c>
      <c r="D165" s="53" t="s">
        <v>2161</v>
      </c>
      <c r="E165" s="7"/>
      <c r="F165" s="53"/>
      <c r="G165" s="7"/>
      <c r="H165" s="16">
        <v>1.0</v>
      </c>
      <c r="I165" s="81">
        <v>1.0</v>
      </c>
      <c r="J165" s="16" t="s">
        <v>4591</v>
      </c>
      <c r="K165" s="41" t="s">
        <v>2117</v>
      </c>
      <c r="L165" s="41" t="s">
        <v>2117</v>
      </c>
      <c r="M165" s="39" t="str">
        <f t="shared" si="4"/>
        <v>[- brute force (1977)]</v>
      </c>
      <c r="N165" s="39" t="s">
        <v>8455</v>
      </c>
      <c r="O165" s="81">
        <v>1977.0</v>
      </c>
      <c r="P165" s="39" t="s">
        <v>1937</v>
      </c>
      <c r="Q165" s="82"/>
      <c r="R165" s="82"/>
      <c r="S165" s="82"/>
      <c r="T165" s="81"/>
      <c r="U165" s="81"/>
      <c r="V165" s="16"/>
      <c r="W165" s="16" t="s">
        <v>4591</v>
      </c>
      <c r="X165" s="41" t="s">
        <v>6347</v>
      </c>
      <c r="Y165" s="85"/>
      <c r="Z165" s="85"/>
      <c r="AA165" s="85" t="s">
        <v>1813</v>
      </c>
      <c r="AB165" s="53" t="s">
        <v>1814</v>
      </c>
      <c r="AC165" s="53" t="s">
        <v>2052</v>
      </c>
      <c r="AD165" s="360" t="s">
        <v>1774</v>
      </c>
      <c r="AE165" s="53" t="s">
        <v>2422</v>
      </c>
      <c r="AF165" s="87"/>
      <c r="AG165" s="87"/>
      <c r="AH165" s="81">
        <v>0.0</v>
      </c>
      <c r="AI165" s="87"/>
      <c r="AJ165" s="81">
        <v>0.0</v>
      </c>
      <c r="AK165" s="90"/>
      <c r="AL165" s="81">
        <v>0.0</v>
      </c>
      <c r="AM165" s="83">
        <v>0.0</v>
      </c>
      <c r="AN165" s="363"/>
      <c r="AO165" s="81">
        <v>0.0</v>
      </c>
      <c r="AP165" s="81">
        <v>0.0</v>
      </c>
      <c r="AQ165" s="39"/>
      <c r="AR165" s="82"/>
      <c r="AS165" s="82"/>
      <c r="AT165" s="82"/>
      <c r="AU165" s="7"/>
      <c r="AV165" s="7"/>
      <c r="AW165" s="13"/>
      <c r="AX165" s="82"/>
      <c r="AY165" s="82"/>
      <c r="AZ165" s="82"/>
      <c r="BA165" s="82"/>
      <c r="BB165" s="7"/>
      <c r="BC165" s="82"/>
      <c r="BD165" s="7"/>
      <c r="BE165" s="7" t="s">
        <v>23</v>
      </c>
      <c r="BF165" s="7"/>
      <c r="BG165" s="7"/>
    </row>
    <row r="166">
      <c r="A166" s="16">
        <v>80.0</v>
      </c>
      <c r="B166" s="16" t="s">
        <v>6340</v>
      </c>
      <c r="C166" s="53">
        <v>1.0</v>
      </c>
      <c r="D166" s="53" t="s">
        <v>2161</v>
      </c>
      <c r="E166" s="7"/>
      <c r="F166" s="53"/>
      <c r="G166" s="7"/>
      <c r="H166" s="16">
        <v>1.0</v>
      </c>
      <c r="I166" s="81">
        <v>1.0</v>
      </c>
      <c r="J166" s="16" t="s">
        <v>834</v>
      </c>
      <c r="K166" s="41" t="s">
        <v>2117</v>
      </c>
      <c r="L166" s="41" t="s">
        <v>2117</v>
      </c>
      <c r="M166" s="39" t="str">
        <f t="shared" si="4"/>
        <v>[https://dl.acm.org/doi/pdf/10.1145/1968.381154 Bentley (1984)]</v>
      </c>
      <c r="N166" s="16" t="s">
        <v>3090</v>
      </c>
      <c r="O166" s="83">
        <v>1984.0</v>
      </c>
      <c r="P166" s="17" t="s">
        <v>8456</v>
      </c>
      <c r="Q166" s="82"/>
      <c r="R166" s="82"/>
      <c r="S166" s="82"/>
      <c r="T166" s="81"/>
      <c r="U166" s="81"/>
      <c r="V166" s="16"/>
      <c r="W166" s="16" t="s">
        <v>834</v>
      </c>
      <c r="X166" s="41" t="s">
        <v>6347</v>
      </c>
      <c r="Y166" s="85"/>
      <c r="Z166" s="85"/>
      <c r="AA166" s="85" t="s">
        <v>1813</v>
      </c>
      <c r="AB166" s="53" t="s">
        <v>1814</v>
      </c>
      <c r="AC166" s="53" t="s">
        <v>8457</v>
      </c>
      <c r="AD166" s="360" t="s">
        <v>1938</v>
      </c>
      <c r="AE166" s="53" t="s">
        <v>8458</v>
      </c>
      <c r="AF166" s="87"/>
      <c r="AG166" s="84"/>
      <c r="AH166" s="81">
        <v>0.0</v>
      </c>
      <c r="AI166" s="87"/>
      <c r="AJ166" s="81">
        <v>0.0</v>
      </c>
      <c r="AK166" s="90"/>
      <c r="AL166" s="81">
        <v>0.0</v>
      </c>
      <c r="AM166" s="83">
        <v>0.0</v>
      </c>
      <c r="AN166" s="363"/>
      <c r="AO166" s="81">
        <v>0.0</v>
      </c>
      <c r="AP166" s="81">
        <v>0.0</v>
      </c>
      <c r="AQ166" s="39"/>
      <c r="AR166" s="82"/>
      <c r="AS166" s="82"/>
      <c r="AT166" s="82"/>
      <c r="AU166" s="7"/>
      <c r="AV166" s="7"/>
      <c r="AW166" s="13"/>
      <c r="AX166" s="82"/>
      <c r="AY166" s="82"/>
      <c r="AZ166" s="82"/>
      <c r="BA166" s="82"/>
      <c r="BB166" s="7"/>
      <c r="BC166" s="82"/>
      <c r="BD166" s="7"/>
      <c r="BE166" s="7" t="s">
        <v>23</v>
      </c>
      <c r="BF166" s="7"/>
      <c r="BG166" s="7"/>
    </row>
    <row r="167">
      <c r="A167" s="16">
        <v>80.0</v>
      </c>
      <c r="B167" s="16" t="s">
        <v>6340</v>
      </c>
      <c r="C167" s="53">
        <v>1.0</v>
      </c>
      <c r="D167" s="53" t="s">
        <v>2161</v>
      </c>
      <c r="E167" s="7"/>
      <c r="F167" s="53"/>
      <c r="G167" s="7"/>
      <c r="H167" s="16">
        <v>1.0</v>
      </c>
      <c r="I167" s="81">
        <v>1.0</v>
      </c>
      <c r="J167" s="16" t="s">
        <v>834</v>
      </c>
      <c r="K167" s="41" t="s">
        <v>2117</v>
      </c>
      <c r="L167" s="41" t="s">
        <v>2117</v>
      </c>
      <c r="M167" s="39" t="str">
        <f t="shared" si="4"/>
        <v>[https://www.sciencedirect.com/science/article/pii/0167642387900347 Smith (1987)]</v>
      </c>
      <c r="N167" s="16" t="s">
        <v>6345</v>
      </c>
      <c r="O167" s="83">
        <v>1987.0</v>
      </c>
      <c r="P167" s="25" t="s">
        <v>6346</v>
      </c>
      <c r="Q167" s="82"/>
      <c r="R167" s="82"/>
      <c r="S167" s="82"/>
      <c r="T167" s="81"/>
      <c r="U167" s="81"/>
      <c r="V167" s="16"/>
      <c r="W167" s="16" t="s">
        <v>834</v>
      </c>
      <c r="X167" s="41" t="s">
        <v>6347</v>
      </c>
      <c r="Y167" s="85"/>
      <c r="Z167" s="85"/>
      <c r="AA167" s="85" t="s">
        <v>1813</v>
      </c>
      <c r="AB167" s="53" t="s">
        <v>1814</v>
      </c>
      <c r="AC167" s="53" t="s">
        <v>8459</v>
      </c>
      <c r="AD167" s="360" t="s">
        <v>1962</v>
      </c>
      <c r="AE167" s="53" t="s">
        <v>8460</v>
      </c>
      <c r="AF167" s="87"/>
      <c r="AG167" s="87"/>
      <c r="AH167" s="81">
        <v>0.0</v>
      </c>
      <c r="AI167" s="87"/>
      <c r="AJ167" s="81">
        <v>0.0</v>
      </c>
      <c r="AK167" s="90"/>
      <c r="AL167" s="81">
        <v>0.0</v>
      </c>
      <c r="AM167" s="83">
        <v>0.0</v>
      </c>
      <c r="AN167" s="363"/>
      <c r="AO167" s="81">
        <v>0.0</v>
      </c>
      <c r="AP167" s="81">
        <v>0.0</v>
      </c>
      <c r="AQ167" s="39"/>
      <c r="AR167" s="82"/>
      <c r="AS167" s="82"/>
      <c r="AT167" s="82"/>
      <c r="AU167" s="7"/>
      <c r="AV167" s="7"/>
      <c r="AW167" s="13"/>
      <c r="AX167" s="82"/>
      <c r="AY167" s="82"/>
      <c r="AZ167" s="82"/>
      <c r="BA167" s="82"/>
      <c r="BB167" s="7"/>
      <c r="BC167" s="82"/>
      <c r="BD167" s="7"/>
      <c r="BE167" s="7" t="s">
        <v>23</v>
      </c>
      <c r="BF167" s="7"/>
      <c r="BG167" s="7"/>
    </row>
    <row r="168">
      <c r="A168" s="16">
        <v>80.0</v>
      </c>
      <c r="B168" s="16" t="s">
        <v>6340</v>
      </c>
      <c r="C168" s="53">
        <v>1.0</v>
      </c>
      <c r="D168" s="53" t="s">
        <v>2161</v>
      </c>
      <c r="E168" s="7"/>
      <c r="F168" s="53"/>
      <c r="G168" s="7"/>
      <c r="H168" s="16">
        <v>1.0</v>
      </c>
      <c r="I168" s="81">
        <v>1.0</v>
      </c>
      <c r="J168" s="16" t="s">
        <v>904</v>
      </c>
      <c r="K168" s="41" t="s">
        <v>2117</v>
      </c>
      <c r="L168" s="41" t="s">
        <v>2117</v>
      </c>
      <c r="M168" s="39" t="str">
        <f t="shared" si="4"/>
        <v>[https://dl.acm.org/doi/pdf/10.5555/314613.314823 Tamaki, Tokuyama (exact) (1998)]</v>
      </c>
      <c r="N168" s="16" t="s">
        <v>8461</v>
      </c>
      <c r="O168" s="83">
        <v>1998.0</v>
      </c>
      <c r="P168" s="25" t="s">
        <v>8462</v>
      </c>
      <c r="Q168" s="82"/>
      <c r="R168" s="82"/>
      <c r="S168" s="82"/>
      <c r="T168" s="81"/>
      <c r="U168" s="81"/>
      <c r="V168" s="16"/>
      <c r="W168" s="16" t="s">
        <v>904</v>
      </c>
      <c r="X168" s="41" t="s">
        <v>6347</v>
      </c>
      <c r="Y168" s="85"/>
      <c r="Z168" s="85"/>
      <c r="AA168" s="85" t="s">
        <v>1813</v>
      </c>
      <c r="AB168" s="53" t="s">
        <v>1814</v>
      </c>
      <c r="AC168" s="53"/>
      <c r="AD168" s="360"/>
      <c r="AE168" s="53"/>
      <c r="AF168" s="87"/>
      <c r="AG168" s="87"/>
      <c r="AH168" s="81">
        <v>0.0</v>
      </c>
      <c r="AI168" s="87"/>
      <c r="AJ168" s="81">
        <v>0.0</v>
      </c>
      <c r="AK168" s="90"/>
      <c r="AL168" s="81">
        <v>0.0</v>
      </c>
      <c r="AM168" s="83">
        <v>0.0</v>
      </c>
      <c r="AN168" s="363"/>
      <c r="AO168" s="81">
        <v>0.0</v>
      </c>
      <c r="AP168" s="81">
        <v>0.0</v>
      </c>
      <c r="AQ168" s="39"/>
      <c r="AR168" s="82"/>
      <c r="AS168" s="82"/>
      <c r="AT168" s="82"/>
      <c r="AU168" s="7"/>
      <c r="AV168" s="7"/>
      <c r="AW168" s="13"/>
      <c r="AX168" s="82"/>
      <c r="AY168" s="82"/>
      <c r="AZ168" s="82"/>
      <c r="BA168" s="82"/>
      <c r="BB168" s="7"/>
      <c r="BC168" s="82"/>
      <c r="BD168" s="7"/>
      <c r="BE168" s="7" t="s">
        <v>23</v>
      </c>
      <c r="BF168" s="7"/>
      <c r="BG168" s="7"/>
    </row>
    <row r="169">
      <c r="A169" s="16">
        <v>80.0</v>
      </c>
      <c r="B169" s="16" t="s">
        <v>6340</v>
      </c>
      <c r="C169" s="53">
        <v>1.0</v>
      </c>
      <c r="D169" s="53" t="s">
        <v>2161</v>
      </c>
      <c r="E169" s="7"/>
      <c r="F169" s="53"/>
      <c r="G169" s="7"/>
      <c r="H169" s="16">
        <v>1.0</v>
      </c>
      <c r="I169" s="81">
        <v>1.0</v>
      </c>
      <c r="J169" s="16" t="s">
        <v>8463</v>
      </c>
      <c r="K169" s="41" t="s">
        <v>2117</v>
      </c>
      <c r="L169" s="41" t="s">
        <v>2117</v>
      </c>
      <c r="M169" s="39" t="str">
        <f t="shared" si="4"/>
        <v>[https://dl.acm.org/doi/pdf/10.5555/314613.314823 Tamaki, Tokuyama (approximate) (1998)]</v>
      </c>
      <c r="N169" s="16" t="s">
        <v>8464</v>
      </c>
      <c r="O169" s="83">
        <v>1998.0</v>
      </c>
      <c r="P169" s="25" t="s">
        <v>8462</v>
      </c>
      <c r="Q169" s="82"/>
      <c r="R169" s="82"/>
      <c r="S169" s="82"/>
      <c r="T169" s="81"/>
      <c r="U169" s="81"/>
      <c r="V169" s="16"/>
      <c r="W169" s="16" t="s">
        <v>8463</v>
      </c>
      <c r="X169" s="41" t="s">
        <v>8465</v>
      </c>
      <c r="Y169" s="85"/>
      <c r="Z169" s="85"/>
      <c r="AA169" s="85" t="s">
        <v>1813</v>
      </c>
      <c r="AB169" s="53" t="s">
        <v>1814</v>
      </c>
      <c r="AC169" s="53"/>
      <c r="AD169" s="360"/>
      <c r="AE169" s="53"/>
      <c r="AF169" s="87"/>
      <c r="AG169" s="87"/>
      <c r="AH169" s="81">
        <v>0.0</v>
      </c>
      <c r="AI169" s="87"/>
      <c r="AJ169" s="83">
        <v>1.0</v>
      </c>
      <c r="AK169" s="21" t="s">
        <v>8466</v>
      </c>
      <c r="AL169" s="81">
        <v>0.0</v>
      </c>
      <c r="AM169" s="83">
        <v>0.0</v>
      </c>
      <c r="AN169" s="363"/>
      <c r="AO169" s="81">
        <v>0.0</v>
      </c>
      <c r="AP169" s="81">
        <v>0.0</v>
      </c>
      <c r="AQ169" s="39"/>
      <c r="AR169" s="82"/>
      <c r="AS169" s="82"/>
      <c r="AT169" s="82"/>
      <c r="AU169" s="7"/>
      <c r="AV169" s="7"/>
      <c r="AW169" s="13"/>
      <c r="AX169" s="82"/>
      <c r="AY169" s="82"/>
      <c r="AZ169" s="82"/>
      <c r="BA169" s="82"/>
      <c r="BB169" s="7"/>
      <c r="BC169" s="82"/>
      <c r="BD169" s="7"/>
      <c r="BE169" s="7" t="s">
        <v>23</v>
      </c>
      <c r="BF169" s="7"/>
      <c r="BG169" s="7"/>
    </row>
    <row r="170">
      <c r="A170" s="16">
        <v>80.0</v>
      </c>
      <c r="B170" s="16" t="s">
        <v>6340</v>
      </c>
      <c r="C170" s="53">
        <v>1.0</v>
      </c>
      <c r="D170" s="53" t="s">
        <v>2161</v>
      </c>
      <c r="E170" s="7"/>
      <c r="F170" s="53"/>
      <c r="G170" s="7"/>
      <c r="H170" s="16">
        <v>1.0</v>
      </c>
      <c r="I170" s="81">
        <v>1.0</v>
      </c>
      <c r="J170" s="16" t="s">
        <v>904</v>
      </c>
      <c r="K170" s="41" t="s">
        <v>2117</v>
      </c>
      <c r="L170" s="41" t="s">
        <v>2117</v>
      </c>
      <c r="M170" s="39" t="str">
        <f t="shared" si="4"/>
        <v>[https://www.sciencedirect.com/science/article/pii/S1571066104003135?via%3Dihub Takaoka (2002)]</v>
      </c>
      <c r="N170" s="16" t="s">
        <v>6386</v>
      </c>
      <c r="O170" s="83">
        <v>2002.0</v>
      </c>
      <c r="P170" s="25" t="s">
        <v>905</v>
      </c>
      <c r="Q170" s="82"/>
      <c r="R170" s="82"/>
      <c r="S170" s="82"/>
      <c r="T170" s="81"/>
      <c r="U170" s="81"/>
      <c r="V170" s="16"/>
      <c r="W170" s="16" t="s">
        <v>904</v>
      </c>
      <c r="X170" s="41" t="s">
        <v>6347</v>
      </c>
      <c r="Y170" s="85"/>
      <c r="Z170" s="85"/>
      <c r="AA170" s="85" t="s">
        <v>1813</v>
      </c>
      <c r="AB170" s="53" t="s">
        <v>1814</v>
      </c>
      <c r="AC170" s="53"/>
      <c r="AD170" s="360"/>
      <c r="AE170" s="53"/>
      <c r="AF170" s="87"/>
      <c r="AG170" s="87"/>
      <c r="AH170" s="81">
        <v>0.0</v>
      </c>
      <c r="AI170" s="87"/>
      <c r="AJ170" s="81">
        <v>0.0</v>
      </c>
      <c r="AK170" s="90"/>
      <c r="AL170" s="81">
        <v>0.0</v>
      </c>
      <c r="AM170" s="83">
        <v>0.0</v>
      </c>
      <c r="AN170" s="363"/>
      <c r="AO170" s="81">
        <v>0.0</v>
      </c>
      <c r="AP170" s="81">
        <v>0.0</v>
      </c>
      <c r="AQ170" s="39"/>
      <c r="AR170" s="82"/>
      <c r="AS170" s="82"/>
      <c r="AT170" s="82"/>
      <c r="AU170" s="7"/>
      <c r="AV170" s="7"/>
      <c r="AW170" s="13"/>
      <c r="AX170" s="82"/>
      <c r="AY170" s="82"/>
      <c r="AZ170" s="82"/>
      <c r="BA170" s="82"/>
      <c r="BB170" s="7"/>
      <c r="BC170" s="82"/>
      <c r="BD170" s="7"/>
      <c r="BE170" s="7" t="s">
        <v>23</v>
      </c>
      <c r="BF170" s="7"/>
      <c r="BG170" s="7"/>
    </row>
    <row r="171">
      <c r="A171" s="16">
        <v>80.0</v>
      </c>
      <c r="B171" s="16" t="s">
        <v>6340</v>
      </c>
      <c r="C171" s="53">
        <v>1.0</v>
      </c>
      <c r="D171" s="53" t="s">
        <v>2161</v>
      </c>
      <c r="E171" s="7"/>
      <c r="F171" s="53"/>
      <c r="G171" s="7"/>
      <c r="H171" s="16">
        <v>1.0</v>
      </c>
      <c r="I171" s="81">
        <v>1.0</v>
      </c>
      <c r="J171" s="16" t="s">
        <v>6344</v>
      </c>
      <c r="K171" s="41" t="s">
        <v>2117</v>
      </c>
      <c r="L171" s="41" t="s">
        <v>2117</v>
      </c>
      <c r="M171" s="39" t="str">
        <f t="shared" si="4"/>
        <v>[https://www.sciencedirect.com/science/article/pii/0167642387900347 Smith (1987)]</v>
      </c>
      <c r="N171" s="16" t="s">
        <v>6345</v>
      </c>
      <c r="O171" s="83">
        <v>1987.0</v>
      </c>
      <c r="P171" s="25" t="s">
        <v>6346</v>
      </c>
      <c r="Q171" s="82"/>
      <c r="R171" s="82"/>
      <c r="S171" s="82"/>
      <c r="T171" s="81"/>
      <c r="U171" s="81"/>
      <c r="V171" s="16"/>
      <c r="W171" s="16" t="s">
        <v>6344</v>
      </c>
      <c r="X171" s="41" t="s">
        <v>6347</v>
      </c>
      <c r="Y171" s="85"/>
      <c r="Z171" s="85"/>
      <c r="AA171" s="85" t="s">
        <v>6348</v>
      </c>
      <c r="AB171" s="53" t="s">
        <v>1814</v>
      </c>
      <c r="AC171" s="53"/>
      <c r="AD171" s="360"/>
      <c r="AE171" s="53"/>
      <c r="AF171" s="87"/>
      <c r="AG171" s="87"/>
      <c r="AH171" s="81">
        <v>0.0</v>
      </c>
      <c r="AI171" s="87"/>
      <c r="AJ171" s="81">
        <v>0.0</v>
      </c>
      <c r="AK171" s="90"/>
      <c r="AL171" s="81">
        <v>0.0</v>
      </c>
      <c r="AM171" s="81">
        <v>1.0</v>
      </c>
      <c r="AN171" s="363" t="s">
        <v>1182</v>
      </c>
      <c r="AO171" s="81">
        <v>0.0</v>
      </c>
      <c r="AP171" s="81">
        <v>0.0</v>
      </c>
      <c r="AQ171" s="39"/>
      <c r="AR171" s="82"/>
      <c r="AS171" s="82"/>
      <c r="AT171" s="82"/>
      <c r="AU171" s="7"/>
      <c r="AV171" s="7"/>
      <c r="AW171" s="13"/>
      <c r="AX171" s="82"/>
      <c r="AY171" s="82"/>
      <c r="AZ171" s="82"/>
      <c r="BA171" s="82"/>
      <c r="BB171" s="7"/>
      <c r="BC171" s="82"/>
      <c r="BD171" s="7"/>
      <c r="BE171" s="7" t="s">
        <v>23</v>
      </c>
      <c r="BF171" s="7"/>
      <c r="BG171" s="7"/>
    </row>
    <row r="172">
      <c r="A172" s="16">
        <v>80.0</v>
      </c>
      <c r="B172" s="16" t="s">
        <v>6340</v>
      </c>
      <c r="C172" s="53">
        <v>1.0</v>
      </c>
      <c r="D172" s="53" t="s">
        <v>2161</v>
      </c>
      <c r="E172" s="7"/>
      <c r="F172" s="53"/>
      <c r="G172" s="7"/>
      <c r="H172" s="16">
        <v>1.0</v>
      </c>
      <c r="I172" s="81">
        <v>1.0</v>
      </c>
      <c r="J172" s="16" t="s">
        <v>2382</v>
      </c>
      <c r="K172" s="41" t="s">
        <v>2117</v>
      </c>
      <c r="L172" s="41" t="s">
        <v>2117</v>
      </c>
      <c r="M172" s="39" t="str">
        <f t="shared" si="4"/>
        <v>[https://citeseerx.ist.psu.edu/viewdoc/download?doi=10.1.1.24.1291&amp;rep=rep1&amp;type=pdf KALYAN PERUMALLA and NARSINGH DEO (1995)]</v>
      </c>
      <c r="N172" s="39" t="s">
        <v>6349</v>
      </c>
      <c r="O172" s="81">
        <v>1995.0</v>
      </c>
      <c r="P172" s="25" t="s">
        <v>2435</v>
      </c>
      <c r="Q172" s="82"/>
      <c r="R172" s="82"/>
      <c r="S172" s="82"/>
      <c r="T172" s="81"/>
      <c r="U172" s="81"/>
      <c r="V172" s="16"/>
      <c r="W172" s="16" t="s">
        <v>2382</v>
      </c>
      <c r="X172" s="41" t="s">
        <v>6347</v>
      </c>
      <c r="Y172" s="53"/>
      <c r="Z172" s="53"/>
      <c r="AA172" s="53" t="s">
        <v>2486</v>
      </c>
      <c r="AB172" s="53" t="s">
        <v>1814</v>
      </c>
      <c r="AC172" s="53"/>
      <c r="AD172" s="360"/>
      <c r="AE172" s="53"/>
      <c r="AF172" s="87"/>
      <c r="AG172" s="87"/>
      <c r="AH172" s="81">
        <v>0.0</v>
      </c>
      <c r="AI172" s="87"/>
      <c r="AJ172" s="81">
        <v>0.0</v>
      </c>
      <c r="AK172" s="90"/>
      <c r="AL172" s="81">
        <v>0.0</v>
      </c>
      <c r="AM172" s="81">
        <v>1.0</v>
      </c>
      <c r="AN172" s="363" t="s">
        <v>6350</v>
      </c>
      <c r="AO172" s="81">
        <v>0.0</v>
      </c>
      <c r="AP172" s="81">
        <v>0.0</v>
      </c>
      <c r="AQ172" s="39"/>
      <c r="AR172" s="82"/>
      <c r="AS172" s="82"/>
      <c r="AT172" s="82"/>
      <c r="AU172" s="7"/>
      <c r="AV172" s="7"/>
      <c r="AW172" s="13"/>
      <c r="AX172" s="82"/>
      <c r="AY172" s="82"/>
      <c r="AZ172" s="82"/>
      <c r="BA172" s="82"/>
      <c r="BB172" s="7"/>
      <c r="BC172" s="82"/>
      <c r="BD172" s="7"/>
      <c r="BE172" s="7" t="s">
        <v>23</v>
      </c>
      <c r="BF172" s="7"/>
      <c r="BG172" s="7"/>
    </row>
    <row r="173">
      <c r="A173" s="16">
        <v>80.0</v>
      </c>
      <c r="B173" s="16" t="s">
        <v>6340</v>
      </c>
      <c r="C173" s="53">
        <v>1.0</v>
      </c>
      <c r="D173" s="53" t="s">
        <v>2161</v>
      </c>
      <c r="E173" s="7"/>
      <c r="F173" s="53"/>
      <c r="G173" s="7"/>
      <c r="H173" s="16">
        <v>1.0</v>
      </c>
      <c r="I173" s="81">
        <v>1.0</v>
      </c>
      <c r="J173" s="16" t="s">
        <v>2382</v>
      </c>
      <c r="K173" s="41" t="s">
        <v>2117</v>
      </c>
      <c r="L173" s="41" t="s">
        <v>2117</v>
      </c>
      <c r="M173" s="39" t="str">
        <f t="shared" si="4"/>
        <v>[https://www.sciencedirect.com/science/article/abs/pii/016781919400063G Wen (1995)]</v>
      </c>
      <c r="N173" s="16" t="s">
        <v>6342</v>
      </c>
      <c r="O173" s="81">
        <v>1995.0</v>
      </c>
      <c r="P173" s="25" t="s">
        <v>6343</v>
      </c>
      <c r="Q173" s="82"/>
      <c r="R173" s="82"/>
      <c r="S173" s="82"/>
      <c r="T173" s="81"/>
      <c r="U173" s="81"/>
      <c r="V173" s="16"/>
      <c r="W173" s="16" t="s">
        <v>2382</v>
      </c>
      <c r="X173" s="41" t="s">
        <v>6347</v>
      </c>
      <c r="Y173" s="53"/>
      <c r="Z173" s="53"/>
      <c r="AA173" s="53" t="s">
        <v>2436</v>
      </c>
      <c r="AB173" s="53" t="s">
        <v>1814</v>
      </c>
      <c r="AC173" s="53"/>
      <c r="AD173" s="360"/>
      <c r="AE173" s="53"/>
      <c r="AF173" s="87"/>
      <c r="AG173" s="87"/>
      <c r="AH173" s="81">
        <v>0.0</v>
      </c>
      <c r="AI173" s="87"/>
      <c r="AJ173" s="81">
        <v>0.0</v>
      </c>
      <c r="AK173" s="90"/>
      <c r="AL173" s="81">
        <v>0.0</v>
      </c>
      <c r="AM173" s="81">
        <v>1.0</v>
      </c>
      <c r="AN173" s="363" t="s">
        <v>6350</v>
      </c>
      <c r="AO173" s="81">
        <v>0.0</v>
      </c>
      <c r="AP173" s="81">
        <v>0.0</v>
      </c>
      <c r="AQ173" s="39"/>
      <c r="AR173" s="82"/>
      <c r="AS173" s="82"/>
      <c r="AT173" s="82"/>
      <c r="AU173" s="7"/>
      <c r="AV173" s="7"/>
      <c r="AW173" s="13"/>
      <c r="AX173" s="82"/>
      <c r="AY173" s="82"/>
      <c r="AZ173" s="82"/>
      <c r="BA173" s="82"/>
      <c r="BB173" s="7"/>
      <c r="BC173" s="82"/>
      <c r="BD173" s="7"/>
      <c r="BE173" s="7" t="s">
        <v>23</v>
      </c>
      <c r="BF173" s="7"/>
      <c r="BG173" s="7"/>
    </row>
    <row r="174">
      <c r="A174" s="35">
        <v>118.0</v>
      </c>
      <c r="B174" s="35" t="s">
        <v>1090</v>
      </c>
      <c r="C174" s="53">
        <v>2.0</v>
      </c>
      <c r="D174" s="53" t="s">
        <v>5395</v>
      </c>
      <c r="E174" s="7"/>
      <c r="F174" s="53"/>
      <c r="G174" s="6"/>
      <c r="H174" s="35">
        <v>1.0</v>
      </c>
      <c r="I174" s="98">
        <v>1.0</v>
      </c>
      <c r="J174" s="35" t="s">
        <v>8467</v>
      </c>
      <c r="K174" s="53" t="s">
        <v>1945</v>
      </c>
      <c r="L174" s="53" t="s">
        <v>1981</v>
      </c>
      <c r="M174" s="39" t="str">
        <f t="shared" si="4"/>
        <v>[ Exhaustive search (2015)]</v>
      </c>
      <c r="N174" s="35" t="s">
        <v>8435</v>
      </c>
      <c r="O174" s="98">
        <v>2015.0</v>
      </c>
      <c r="P174" s="135"/>
      <c r="Q174" s="6"/>
      <c r="R174" s="6"/>
      <c r="S174" s="6"/>
      <c r="T174" s="98"/>
      <c r="U174" s="35"/>
      <c r="V174" s="35"/>
      <c r="W174" s="35" t="s">
        <v>8467</v>
      </c>
      <c r="X174" s="41" t="s">
        <v>5400</v>
      </c>
      <c r="Y174" s="41"/>
      <c r="Z174" s="41"/>
      <c r="AA174" s="41" t="s">
        <v>1813</v>
      </c>
      <c r="AB174" s="41" t="s">
        <v>1814</v>
      </c>
      <c r="AC174" s="41" t="s">
        <v>2103</v>
      </c>
      <c r="AD174" s="364" t="s">
        <v>1763</v>
      </c>
      <c r="AE174" s="41" t="s">
        <v>8468</v>
      </c>
      <c r="AF174" s="105"/>
      <c r="AG174" s="87"/>
      <c r="AH174" s="98">
        <v>0.0</v>
      </c>
      <c r="AI174" s="105"/>
      <c r="AJ174" s="111">
        <v>0.0</v>
      </c>
      <c r="AK174" s="104"/>
      <c r="AL174" s="98">
        <v>0.0</v>
      </c>
      <c r="AM174" s="98">
        <v>0.0</v>
      </c>
      <c r="AN174" s="69"/>
      <c r="AO174" s="98">
        <v>0.0</v>
      </c>
      <c r="AP174" s="98">
        <v>0.0</v>
      </c>
      <c r="AQ174" s="100" t="s">
        <v>5404</v>
      </c>
      <c r="AR174" s="13"/>
      <c r="AS174" s="13"/>
      <c r="AT174" s="13"/>
      <c r="AU174" s="13"/>
      <c r="AV174" s="6"/>
      <c r="AW174" s="6"/>
      <c r="AX174" s="6"/>
      <c r="AY174" s="6"/>
      <c r="AZ174" s="6"/>
      <c r="BA174" s="6"/>
      <c r="BB174" s="6"/>
      <c r="BC174" s="13"/>
      <c r="BD174" s="13"/>
      <c r="BE174" s="6" t="s">
        <v>23</v>
      </c>
      <c r="BF174" s="7"/>
      <c r="BG174" s="7"/>
    </row>
    <row r="175">
      <c r="A175" s="16"/>
      <c r="B175" s="16" t="s">
        <v>1387</v>
      </c>
      <c r="C175" s="7">
        <v>2.0</v>
      </c>
      <c r="D175" s="53" t="s">
        <v>1390</v>
      </c>
      <c r="E175" s="7"/>
      <c r="F175" s="53"/>
      <c r="G175" s="16"/>
      <c r="H175" s="83">
        <v>1.0</v>
      </c>
      <c r="I175" s="9">
        <v>1.0</v>
      </c>
      <c r="J175" s="16" t="s">
        <v>8469</v>
      </c>
      <c r="K175" s="53" t="s">
        <v>1945</v>
      </c>
      <c r="L175" s="53" t="s">
        <v>1981</v>
      </c>
      <c r="M175" s="39" t="str">
        <f t="shared" si="4"/>
        <v>[- Exhaustive search (-)]</v>
      </c>
      <c r="N175" s="321" t="s">
        <v>8435</v>
      </c>
      <c r="O175" s="322" t="s">
        <v>1937</v>
      </c>
      <c r="P175" s="7" t="s">
        <v>1937</v>
      </c>
      <c r="Q175" s="82"/>
      <c r="R175" s="82"/>
      <c r="S175" s="81"/>
      <c r="T175" s="81"/>
      <c r="U175" s="39"/>
      <c r="V175" s="16"/>
      <c r="W175" s="16" t="s">
        <v>8470</v>
      </c>
      <c r="X175" s="93" t="s">
        <v>8471</v>
      </c>
      <c r="Y175" s="85"/>
      <c r="Z175" s="85"/>
      <c r="AA175" s="85" t="s">
        <v>1813</v>
      </c>
      <c r="AB175" s="85" t="s">
        <v>1814</v>
      </c>
      <c r="AC175" s="85" t="s">
        <v>8437</v>
      </c>
      <c r="AD175" s="325" t="s">
        <v>1811</v>
      </c>
      <c r="AE175" s="85" t="s">
        <v>8472</v>
      </c>
      <c r="AF175" s="21"/>
      <c r="AG175" s="87"/>
      <c r="AH175" s="16">
        <v>0.0</v>
      </c>
      <c r="AI175" s="87"/>
      <c r="AJ175" s="83">
        <v>0.0</v>
      </c>
      <c r="AK175" s="90"/>
      <c r="AL175" s="83">
        <v>0.0</v>
      </c>
      <c r="AM175" s="7">
        <v>0.0</v>
      </c>
      <c r="AN175" s="14"/>
      <c r="AO175" s="7">
        <v>0.0</v>
      </c>
      <c r="AP175" s="7">
        <v>0.0</v>
      </c>
      <c r="AQ175" s="7"/>
      <c r="AR175" s="50"/>
      <c r="AS175" s="82"/>
      <c r="AT175" s="82"/>
      <c r="AU175" s="82"/>
      <c r="AV175" s="82"/>
      <c r="AW175" s="7"/>
      <c r="AX175" s="82"/>
      <c r="AY175" s="7"/>
      <c r="AZ175" s="7"/>
      <c r="BA175" s="7"/>
      <c r="BB175" s="7"/>
      <c r="BC175" s="7"/>
      <c r="BD175" s="7"/>
      <c r="BE175" s="7"/>
      <c r="BF175" s="7"/>
      <c r="BG175" s="7"/>
    </row>
    <row r="176">
      <c r="A176" s="16"/>
      <c r="B176" s="16" t="s">
        <v>1387</v>
      </c>
      <c r="C176" s="7">
        <v>1.0</v>
      </c>
      <c r="D176" s="53" t="s">
        <v>1388</v>
      </c>
      <c r="E176" s="7"/>
      <c r="F176" s="53"/>
      <c r="G176" s="16"/>
      <c r="H176" s="83">
        <v>1.0</v>
      </c>
      <c r="I176" s="9">
        <v>1.0</v>
      </c>
      <c r="J176" s="16" t="s">
        <v>8473</v>
      </c>
      <c r="K176" s="53"/>
      <c r="L176" s="53"/>
      <c r="M176" s="39" t="str">
        <f t="shared" si="4"/>
        <v>[https://epubs.siam.org/doi/abs/10.1137/1.9781611973730.17 Abboud, Williams, Yu (2015)]</v>
      </c>
      <c r="N176" s="321" t="s">
        <v>8474</v>
      </c>
      <c r="O176" s="322">
        <v>2015.0</v>
      </c>
      <c r="P176" s="47" t="s">
        <v>8475</v>
      </c>
      <c r="Q176" s="82"/>
      <c r="R176" s="82"/>
      <c r="S176" s="81"/>
      <c r="T176" s="81"/>
      <c r="U176" s="39"/>
      <c r="V176" s="16"/>
      <c r="W176" s="16" t="s">
        <v>8473</v>
      </c>
      <c r="X176" s="93" t="s">
        <v>8476</v>
      </c>
      <c r="Y176" s="85"/>
      <c r="Z176" s="85"/>
      <c r="AA176" s="85" t="s">
        <v>1813</v>
      </c>
      <c r="AB176" s="85" t="s">
        <v>1814</v>
      </c>
      <c r="AC176" s="85"/>
      <c r="AD176" s="325"/>
      <c r="AE176" s="85"/>
      <c r="AF176" s="21"/>
      <c r="AG176" s="87"/>
      <c r="AH176" s="16">
        <v>1.0</v>
      </c>
      <c r="AI176" s="84" t="s">
        <v>1907</v>
      </c>
      <c r="AJ176" s="83">
        <v>0.0</v>
      </c>
      <c r="AK176" s="90"/>
      <c r="AL176" s="83">
        <v>0.0</v>
      </c>
      <c r="AM176" s="7">
        <v>0.0</v>
      </c>
      <c r="AN176" s="14"/>
      <c r="AO176" s="7">
        <v>0.0</v>
      </c>
      <c r="AP176" s="7">
        <v>0.0</v>
      </c>
      <c r="AQ176" s="7"/>
      <c r="AR176" s="50"/>
      <c r="AS176" s="82"/>
      <c r="AT176" s="82"/>
      <c r="AU176" s="82"/>
      <c r="AV176" s="82"/>
      <c r="AW176" s="7"/>
      <c r="AX176" s="82"/>
      <c r="AY176" s="7"/>
      <c r="AZ176" s="7"/>
      <c r="BA176" s="7"/>
      <c r="BB176" s="7"/>
      <c r="BC176" s="7"/>
      <c r="BD176" s="7"/>
      <c r="BE176" s="7"/>
      <c r="BF176" s="7"/>
      <c r="BG176" s="7"/>
    </row>
    <row r="177">
      <c r="A177" s="16"/>
      <c r="B177" s="16" t="s">
        <v>1387</v>
      </c>
      <c r="C177" s="7">
        <v>1.0</v>
      </c>
      <c r="D177" s="53" t="s">
        <v>1390</v>
      </c>
      <c r="E177" s="7"/>
      <c r="F177" s="53"/>
      <c r="G177" s="16"/>
      <c r="H177" s="83">
        <v>1.0</v>
      </c>
      <c r="I177" s="9">
        <v>1.0</v>
      </c>
      <c r="J177" s="16" t="s">
        <v>8477</v>
      </c>
      <c r="K177" s="53"/>
      <c r="L177" s="53"/>
      <c r="M177" s="39" t="str">
        <f t="shared" si="4"/>
        <v>[https://epubs.siam.org/doi/abs/10.1137/1.9781611973730.17 Reduction to Abboud, Williams, Yu (2015)]</v>
      </c>
      <c r="N177" s="321" t="s">
        <v>8478</v>
      </c>
      <c r="O177" s="322">
        <v>2015.0</v>
      </c>
      <c r="P177" s="47" t="s">
        <v>8475</v>
      </c>
      <c r="Q177" s="82"/>
      <c r="R177" s="82"/>
      <c r="S177" s="81"/>
      <c r="T177" s="81"/>
      <c r="U177" s="39"/>
      <c r="V177" s="16"/>
      <c r="W177" s="16" t="s">
        <v>8477</v>
      </c>
      <c r="X177" s="93" t="s">
        <v>8471</v>
      </c>
      <c r="Y177" s="85"/>
      <c r="Z177" s="85"/>
      <c r="AA177" s="85" t="s">
        <v>1813</v>
      </c>
      <c r="AB177" s="85" t="s">
        <v>1814</v>
      </c>
      <c r="AC177" s="85"/>
      <c r="AD177" s="325"/>
      <c r="AE177" s="85"/>
      <c r="AF177" s="21"/>
      <c r="AG177" s="87"/>
      <c r="AH177" s="16">
        <v>1.0</v>
      </c>
      <c r="AI177" s="84" t="s">
        <v>1907</v>
      </c>
      <c r="AJ177" s="83">
        <v>0.0</v>
      </c>
      <c r="AK177" s="90"/>
      <c r="AL177" s="83">
        <v>0.0</v>
      </c>
      <c r="AM177" s="7">
        <v>0.0</v>
      </c>
      <c r="AN177" s="14"/>
      <c r="AO177" s="7">
        <v>0.0</v>
      </c>
      <c r="AP177" s="7">
        <v>0.0</v>
      </c>
      <c r="AQ177" s="7"/>
      <c r="AR177" s="50"/>
      <c r="AS177" s="82"/>
      <c r="AT177" s="82"/>
      <c r="AU177" s="82"/>
      <c r="AV177" s="82"/>
      <c r="AW177" s="7"/>
      <c r="AX177" s="82"/>
      <c r="AY177" s="7"/>
      <c r="AZ177" s="7"/>
      <c r="BA177" s="7"/>
      <c r="BB177" s="7"/>
      <c r="BC177" s="7"/>
      <c r="BD177" s="7"/>
      <c r="BE177" s="7"/>
      <c r="BF177" s="7"/>
      <c r="BG177" s="7"/>
    </row>
    <row r="178">
      <c r="A178" s="16"/>
      <c r="B178" s="16" t="s">
        <v>1387</v>
      </c>
      <c r="C178" s="7">
        <v>1.0</v>
      </c>
      <c r="D178" s="53" t="s">
        <v>1388</v>
      </c>
      <c r="E178" s="7"/>
      <c r="F178" s="53"/>
      <c r="G178" s="16"/>
      <c r="H178" s="83">
        <v>1.0</v>
      </c>
      <c r="I178" s="9">
        <v>1.0</v>
      </c>
      <c r="J178" s="16" t="s">
        <v>8473</v>
      </c>
      <c r="K178" s="53"/>
      <c r="L178" s="53"/>
      <c r="M178" s="39" t="str">
        <f t="shared" si="4"/>
        <v>[https://epubs.siam.org/doi/abs/10.1137/1.9781611974331.ch87 Chan, Williams (2016)]</v>
      </c>
      <c r="N178" s="321" t="s">
        <v>8479</v>
      </c>
      <c r="O178" s="322">
        <v>2016.0</v>
      </c>
      <c r="P178" s="47" t="s">
        <v>1395</v>
      </c>
      <c r="Q178" s="82"/>
      <c r="R178" s="82"/>
      <c r="S178" s="81"/>
      <c r="T178" s="81"/>
      <c r="U178" s="39"/>
      <c r="V178" s="16"/>
      <c r="W178" s="16" t="s">
        <v>8473</v>
      </c>
      <c r="X178" s="93" t="s">
        <v>8476</v>
      </c>
      <c r="Y178" s="85"/>
      <c r="Z178" s="85"/>
      <c r="AA178" s="85" t="s">
        <v>1813</v>
      </c>
      <c r="AB178" s="85" t="s">
        <v>1814</v>
      </c>
      <c r="AC178" s="85"/>
      <c r="AD178" s="325"/>
      <c r="AE178" s="85"/>
      <c r="AF178" s="21"/>
      <c r="AG178" s="87"/>
      <c r="AH178" s="16">
        <v>0.0</v>
      </c>
      <c r="AI178" s="84"/>
      <c r="AJ178" s="83">
        <v>0.0</v>
      </c>
      <c r="AK178" s="90"/>
      <c r="AL178" s="83">
        <v>0.0</v>
      </c>
      <c r="AM178" s="7">
        <v>0.0</v>
      </c>
      <c r="AN178" s="14"/>
      <c r="AO178" s="7">
        <v>0.0</v>
      </c>
      <c r="AP178" s="7">
        <v>0.0</v>
      </c>
      <c r="AQ178" s="7"/>
      <c r="AR178" s="50"/>
      <c r="AS178" s="82"/>
      <c r="AT178" s="82"/>
      <c r="AU178" s="82"/>
      <c r="AV178" s="82"/>
      <c r="AW178" s="7"/>
      <c r="AX178" s="82"/>
      <c r="AY178" s="7"/>
      <c r="AZ178" s="7"/>
      <c r="BA178" s="7"/>
      <c r="BB178" s="7"/>
      <c r="BC178" s="7"/>
      <c r="BD178" s="7"/>
      <c r="BE178" s="7"/>
      <c r="BF178" s="7"/>
      <c r="BG178" s="7"/>
    </row>
    <row r="179">
      <c r="A179" s="16"/>
      <c r="B179" s="16" t="s">
        <v>1387</v>
      </c>
      <c r="C179" s="7">
        <v>1.0</v>
      </c>
      <c r="D179" s="53" t="s">
        <v>1390</v>
      </c>
      <c r="E179" s="7"/>
      <c r="F179" s="53"/>
      <c r="G179" s="16"/>
      <c r="H179" s="83">
        <v>1.0</v>
      </c>
      <c r="I179" s="9">
        <v>1.0</v>
      </c>
      <c r="J179" s="16" t="s">
        <v>8477</v>
      </c>
      <c r="K179" s="53"/>
      <c r="L179" s="53"/>
      <c r="M179" s="39" t="str">
        <f t="shared" si="4"/>
        <v>[https://epubs.siam.org/doi/abs/10.1137/1.9781611974331.ch87 Reduction to Chan, Williams (2016)]</v>
      </c>
      <c r="N179" s="321" t="s">
        <v>8480</v>
      </c>
      <c r="O179" s="322">
        <v>2016.0</v>
      </c>
      <c r="P179" s="47" t="s">
        <v>1395</v>
      </c>
      <c r="Q179" s="82"/>
      <c r="R179" s="82"/>
      <c r="S179" s="81"/>
      <c r="T179" s="81"/>
      <c r="U179" s="39"/>
      <c r="V179" s="16"/>
      <c r="W179" s="16" t="s">
        <v>8477</v>
      </c>
      <c r="X179" s="93" t="s">
        <v>8471</v>
      </c>
      <c r="Y179" s="85"/>
      <c r="Z179" s="85"/>
      <c r="AA179" s="85" t="s">
        <v>1813</v>
      </c>
      <c r="AB179" s="85" t="s">
        <v>1814</v>
      </c>
      <c r="AC179" s="85"/>
      <c r="AD179" s="325"/>
      <c r="AE179" s="85"/>
      <c r="AF179" s="21"/>
      <c r="AG179" s="87"/>
      <c r="AH179" s="16">
        <v>0.0</v>
      </c>
      <c r="AI179" s="84"/>
      <c r="AJ179" s="83">
        <v>0.0</v>
      </c>
      <c r="AK179" s="90"/>
      <c r="AL179" s="83">
        <v>0.0</v>
      </c>
      <c r="AM179" s="7">
        <v>0.0</v>
      </c>
      <c r="AN179" s="14"/>
      <c r="AO179" s="7">
        <v>0.0</v>
      </c>
      <c r="AP179" s="7">
        <v>0.0</v>
      </c>
      <c r="AQ179" s="7"/>
      <c r="AR179" s="50"/>
      <c r="AS179" s="82"/>
      <c r="AT179" s="82"/>
      <c r="AU179" s="82"/>
      <c r="AV179" s="82"/>
      <c r="AW179" s="7"/>
      <c r="AX179" s="82"/>
      <c r="AY179" s="7"/>
      <c r="AZ179" s="7"/>
      <c r="BA179" s="7"/>
      <c r="BB179" s="7"/>
      <c r="BC179" s="7"/>
      <c r="BD179" s="7"/>
      <c r="BE179" s="7"/>
      <c r="BF179" s="7"/>
      <c r="BG179" s="7"/>
    </row>
    <row r="180">
      <c r="A180" s="16"/>
      <c r="B180" s="16" t="s">
        <v>8481</v>
      </c>
      <c r="C180" s="7">
        <v>2.0</v>
      </c>
      <c r="D180" s="53" t="s">
        <v>724</v>
      </c>
      <c r="E180" s="7"/>
      <c r="F180" s="53"/>
      <c r="G180" s="16"/>
      <c r="H180" s="83">
        <v>1.0</v>
      </c>
      <c r="I180" s="9">
        <v>1.0</v>
      </c>
      <c r="J180" s="16" t="s">
        <v>8482</v>
      </c>
      <c r="K180" s="53" t="s">
        <v>1945</v>
      </c>
      <c r="L180" s="53" t="s">
        <v>1981</v>
      </c>
      <c r="M180" s="39" t="str">
        <f t="shared" si="4"/>
        <v>[- Brute force enumeration (-)]</v>
      </c>
      <c r="N180" s="321" t="s">
        <v>8483</v>
      </c>
      <c r="O180" s="322" t="s">
        <v>1937</v>
      </c>
      <c r="P180" s="7" t="s">
        <v>1937</v>
      </c>
      <c r="Q180" s="82"/>
      <c r="R180" s="82"/>
      <c r="S180" s="81"/>
      <c r="T180" s="81"/>
      <c r="U180" s="39"/>
      <c r="V180" s="16"/>
      <c r="W180" s="16" t="s">
        <v>8482</v>
      </c>
      <c r="X180" s="93" t="s">
        <v>8484</v>
      </c>
      <c r="Y180" s="85"/>
      <c r="Z180" s="85"/>
      <c r="AA180" s="85" t="s">
        <v>1813</v>
      </c>
      <c r="AB180" s="85" t="s">
        <v>1814</v>
      </c>
      <c r="AC180" s="85" t="s">
        <v>8437</v>
      </c>
      <c r="AD180" s="325" t="s">
        <v>1811</v>
      </c>
      <c r="AE180" s="85" t="s">
        <v>8485</v>
      </c>
      <c r="AF180" s="21"/>
      <c r="AG180" s="87"/>
      <c r="AH180" s="16">
        <v>0.0</v>
      </c>
      <c r="AI180" s="87"/>
      <c r="AJ180" s="83">
        <v>0.0</v>
      </c>
      <c r="AK180" s="90"/>
      <c r="AL180" s="83">
        <v>0.0</v>
      </c>
      <c r="AM180" s="7">
        <v>0.0</v>
      </c>
      <c r="AN180" s="14"/>
      <c r="AO180" s="7">
        <v>0.0</v>
      </c>
      <c r="AP180" s="7">
        <v>0.0</v>
      </c>
      <c r="AQ180" s="7"/>
      <c r="AR180" s="50"/>
      <c r="AS180" s="82"/>
      <c r="AT180" s="82"/>
      <c r="AU180" s="82"/>
      <c r="AV180" s="82"/>
      <c r="AW180" s="7"/>
      <c r="AX180" s="82"/>
      <c r="AY180" s="7"/>
      <c r="AZ180" s="7"/>
      <c r="BA180" s="7"/>
      <c r="BB180" s="7"/>
      <c r="BC180" s="7"/>
      <c r="BD180" s="7"/>
      <c r="BE180" s="7"/>
      <c r="BF180" s="7"/>
      <c r="BG180" s="7"/>
    </row>
    <row r="181">
      <c r="A181" s="16"/>
      <c r="B181" s="16" t="s">
        <v>8481</v>
      </c>
      <c r="C181" s="7">
        <v>1.0</v>
      </c>
      <c r="D181" s="53" t="s">
        <v>724</v>
      </c>
      <c r="E181" s="7"/>
      <c r="F181" s="53"/>
      <c r="G181" s="16"/>
      <c r="H181" s="83">
        <v>1.0</v>
      </c>
      <c r="I181" s="9">
        <v>1.0</v>
      </c>
      <c r="J181" s="16" t="s">
        <v>8486</v>
      </c>
      <c r="K181" s="53" t="s">
        <v>1945</v>
      </c>
      <c r="L181" s="53" t="s">
        <v>8487</v>
      </c>
      <c r="M181" s="39" t="str">
        <f t="shared" si="4"/>
        <v>[https://dml.cz/bitstream/handle/10338.dmlcz/106381/CommentatMathUnivCarol_026-1985-2_22.pdf Nesetril, Poljak (1985)]</v>
      </c>
      <c r="N181" s="321" t="s">
        <v>8488</v>
      </c>
      <c r="O181" s="322">
        <v>1985.0</v>
      </c>
      <c r="P181" s="47" t="s">
        <v>729</v>
      </c>
      <c r="Q181" s="82"/>
      <c r="R181" s="82"/>
      <c r="S181" s="81"/>
      <c r="T181" s="81"/>
      <c r="U181" s="39"/>
      <c r="V181" s="16"/>
      <c r="W181" s="16" t="s">
        <v>8489</v>
      </c>
      <c r="X181" s="93" t="s">
        <v>8484</v>
      </c>
      <c r="Y181" s="85"/>
      <c r="Z181" s="85"/>
      <c r="AA181" s="85" t="s">
        <v>1813</v>
      </c>
      <c r="AB181" s="85" t="s">
        <v>1814</v>
      </c>
      <c r="AC181" s="85" t="s">
        <v>8490</v>
      </c>
      <c r="AD181" s="325" t="s">
        <v>8491</v>
      </c>
      <c r="AE181" s="85" t="s">
        <v>8492</v>
      </c>
      <c r="AF181" s="21"/>
      <c r="AG181" s="87"/>
      <c r="AH181" s="16">
        <v>0.0</v>
      </c>
      <c r="AI181" s="87"/>
      <c r="AJ181" s="83">
        <v>0.0</v>
      </c>
      <c r="AK181" s="90"/>
      <c r="AL181" s="83">
        <v>0.0</v>
      </c>
      <c r="AM181" s="7">
        <v>0.0</v>
      </c>
      <c r="AN181" s="14"/>
      <c r="AO181" s="7">
        <v>0.0</v>
      </c>
      <c r="AP181" s="7">
        <v>0.0</v>
      </c>
      <c r="AQ181" s="7"/>
      <c r="AR181" s="50"/>
      <c r="AS181" s="82"/>
      <c r="AT181" s="82"/>
      <c r="AU181" s="82"/>
      <c r="AV181" s="82"/>
      <c r="AW181" s="7"/>
      <c r="AX181" s="82"/>
      <c r="AY181" s="7"/>
      <c r="AZ181" s="7"/>
      <c r="BA181" s="7"/>
      <c r="BB181" s="7"/>
      <c r="BC181" s="7"/>
      <c r="BD181" s="7"/>
      <c r="BE181" s="7"/>
      <c r="BF181" s="7"/>
      <c r="BG181" s="7"/>
    </row>
    <row r="182">
      <c r="A182" s="16"/>
      <c r="B182" s="16" t="s">
        <v>8493</v>
      </c>
      <c r="C182" s="7">
        <v>1.0</v>
      </c>
      <c r="D182" s="53" t="s">
        <v>8494</v>
      </c>
      <c r="E182" s="7"/>
      <c r="F182" s="53"/>
      <c r="G182" s="16"/>
      <c r="H182" s="9">
        <v>1.0</v>
      </c>
      <c r="I182" s="83">
        <v>1.0</v>
      </c>
      <c r="J182" s="16" t="s">
        <v>8495</v>
      </c>
      <c r="K182" s="53"/>
      <c r="L182" s="90"/>
      <c r="M182" s="39" t="str">
        <f t="shared" si="4"/>
        <v>[- APSP algorithm (-)]</v>
      </c>
      <c r="N182" s="321" t="s">
        <v>8496</v>
      </c>
      <c r="O182" s="322" t="s">
        <v>1937</v>
      </c>
      <c r="P182" s="7" t="s">
        <v>1937</v>
      </c>
      <c r="Q182" s="7"/>
      <c r="R182" s="7"/>
      <c r="S182" s="81"/>
      <c r="T182" s="81"/>
      <c r="U182" s="39"/>
      <c r="V182" s="16"/>
      <c r="W182" s="16" t="s">
        <v>8497</v>
      </c>
      <c r="X182" s="93" t="s">
        <v>8498</v>
      </c>
      <c r="Y182" s="85"/>
      <c r="Z182" s="85"/>
      <c r="AA182" s="85" t="s">
        <v>1813</v>
      </c>
      <c r="AB182" s="85" t="s">
        <v>1814</v>
      </c>
      <c r="AC182" s="85"/>
      <c r="AD182" s="325"/>
      <c r="AE182" s="85"/>
      <c r="AF182" s="21"/>
      <c r="AG182" s="87"/>
      <c r="AH182" s="16">
        <v>0.0</v>
      </c>
      <c r="AI182" s="87"/>
      <c r="AJ182" s="83">
        <v>0.0</v>
      </c>
      <c r="AK182" s="90"/>
      <c r="AL182" s="83">
        <v>0.0</v>
      </c>
      <c r="AM182" s="7">
        <v>0.0</v>
      </c>
      <c r="AN182" s="14"/>
      <c r="AO182" s="7">
        <v>0.0</v>
      </c>
      <c r="AP182" s="7">
        <v>0.0</v>
      </c>
      <c r="AQ182" s="7"/>
      <c r="AR182" s="50"/>
      <c r="AS182" s="82"/>
      <c r="AT182" s="82"/>
      <c r="AU182" s="82"/>
      <c r="AV182" s="82"/>
      <c r="AW182" s="7"/>
      <c r="AX182" s="82"/>
      <c r="AY182" s="7"/>
      <c r="AZ182" s="7"/>
      <c r="BA182" s="7"/>
      <c r="BB182" s="7"/>
      <c r="BC182" s="7"/>
      <c r="BD182" s="7"/>
      <c r="BE182" s="7"/>
      <c r="BF182" s="7"/>
      <c r="BG182" s="7"/>
    </row>
    <row r="183">
      <c r="A183" s="16"/>
      <c r="B183" s="16" t="s">
        <v>8499</v>
      </c>
      <c r="C183" s="7">
        <v>1.0</v>
      </c>
      <c r="D183" s="53" t="s">
        <v>8494</v>
      </c>
      <c r="E183" s="7"/>
      <c r="F183" s="53"/>
      <c r="G183" s="16"/>
      <c r="H183" s="83">
        <v>1.0</v>
      </c>
      <c r="I183" s="9">
        <v>1.0</v>
      </c>
      <c r="J183" s="16" t="s">
        <v>8500</v>
      </c>
      <c r="K183" s="53"/>
      <c r="L183" s="90"/>
      <c r="M183" s="39" t="str">
        <f t="shared" si="4"/>
        <v>[https://ieeexplore.ieee.org/abstract/document/6979047 Gronlund, Pettie (2014)]</v>
      </c>
      <c r="N183" s="321" t="s">
        <v>8428</v>
      </c>
      <c r="O183" s="322">
        <v>2014.0</v>
      </c>
      <c r="P183" s="47" t="s">
        <v>8429</v>
      </c>
      <c r="Q183" s="82"/>
      <c r="R183" s="82"/>
      <c r="S183" s="81"/>
      <c r="T183" s="81"/>
      <c r="U183" s="39"/>
      <c r="V183" s="16"/>
      <c r="W183" s="16" t="s">
        <v>8500</v>
      </c>
      <c r="X183" s="93" t="s">
        <v>8498</v>
      </c>
      <c r="Y183" s="85"/>
      <c r="Z183" s="85"/>
      <c r="AA183" s="85" t="s">
        <v>1813</v>
      </c>
      <c r="AB183" s="85" t="s">
        <v>1814</v>
      </c>
      <c r="AC183" s="85"/>
      <c r="AD183" s="325"/>
      <c r="AE183" s="85"/>
      <c r="AF183" s="21"/>
      <c r="AG183" s="87"/>
      <c r="AH183" s="16">
        <v>0.0</v>
      </c>
      <c r="AI183" s="84"/>
      <c r="AJ183" s="83">
        <v>0.0</v>
      </c>
      <c r="AK183" s="90"/>
      <c r="AL183" s="83">
        <v>0.0</v>
      </c>
      <c r="AM183" s="7">
        <v>0.0</v>
      </c>
      <c r="AN183" s="7"/>
      <c r="AO183" s="7">
        <v>0.0</v>
      </c>
      <c r="AP183" s="7">
        <v>0.0</v>
      </c>
      <c r="AQ183" s="7"/>
      <c r="AR183" s="7"/>
      <c r="AS183" s="82"/>
      <c r="AT183" s="82"/>
      <c r="AU183" s="82"/>
      <c r="AV183" s="82"/>
      <c r="AW183" s="7"/>
      <c r="AX183" s="82"/>
      <c r="AY183" s="7"/>
      <c r="AZ183" s="7"/>
      <c r="BA183" s="7"/>
      <c r="BB183" s="7"/>
      <c r="BC183" s="7"/>
      <c r="BD183" s="7"/>
      <c r="BE183" s="7"/>
      <c r="BF183" s="7"/>
      <c r="BG183" s="7"/>
    </row>
    <row r="184">
      <c r="A184" s="16">
        <v>86.0</v>
      </c>
      <c r="B184" s="16" t="s">
        <v>934</v>
      </c>
      <c r="C184" s="7">
        <v>1.0</v>
      </c>
      <c r="D184" s="53" t="s">
        <v>8501</v>
      </c>
      <c r="E184" s="7"/>
      <c r="F184" s="53"/>
      <c r="G184" s="16"/>
      <c r="H184" s="83">
        <v>1.0</v>
      </c>
      <c r="I184" s="9">
        <v>1.0</v>
      </c>
      <c r="J184" s="16" t="s">
        <v>8502</v>
      </c>
      <c r="K184" s="53"/>
      <c r="L184" s="90"/>
      <c r="M184" s="39" t="str">
        <f t="shared" si="4"/>
        <v>[https://epubs.siam.org/doi/10.1137/0209018 Babai 1980 (1980)]</v>
      </c>
      <c r="N184" s="39" t="s">
        <v>8503</v>
      </c>
      <c r="O184" s="81">
        <v>1980.0</v>
      </c>
      <c r="P184" s="25" t="s">
        <v>4981</v>
      </c>
      <c r="Q184" s="82"/>
      <c r="R184" s="82"/>
      <c r="S184" s="81"/>
      <c r="T184" s="81"/>
      <c r="U184" s="39"/>
      <c r="V184" s="16"/>
      <c r="W184" s="16" t="s">
        <v>8502</v>
      </c>
      <c r="X184" s="93" t="s">
        <v>938</v>
      </c>
      <c r="Y184" s="85"/>
      <c r="Z184" s="85"/>
      <c r="AA184" s="85" t="s">
        <v>1813</v>
      </c>
      <c r="AB184" s="85" t="s">
        <v>1814</v>
      </c>
      <c r="AC184" s="85" t="s">
        <v>115</v>
      </c>
      <c r="AD184" s="325" t="s">
        <v>1938</v>
      </c>
      <c r="AE184" s="126" t="s">
        <v>8504</v>
      </c>
      <c r="AF184" s="90"/>
      <c r="AG184" s="87"/>
      <c r="AH184" s="16">
        <v>1.0</v>
      </c>
      <c r="AI184" s="84" t="s">
        <v>2187</v>
      </c>
      <c r="AJ184" s="83">
        <v>0.0</v>
      </c>
      <c r="AK184" s="90"/>
      <c r="AL184" s="83">
        <v>0.0</v>
      </c>
      <c r="AM184" s="7">
        <v>0.0</v>
      </c>
      <c r="AN184" s="14"/>
      <c r="AO184" s="7">
        <v>0.0</v>
      </c>
      <c r="AP184" s="7">
        <v>0.0</v>
      </c>
      <c r="AQ184" s="50"/>
      <c r="AR184" s="50"/>
      <c r="AS184" s="82"/>
      <c r="AT184" s="82"/>
      <c r="AU184" s="82"/>
      <c r="AV184" s="82"/>
      <c r="AW184" s="7"/>
      <c r="AX184" s="82"/>
      <c r="AY184" s="7"/>
      <c r="AZ184" s="7"/>
      <c r="BA184" s="7"/>
      <c r="BB184" s="7"/>
      <c r="BC184" s="7"/>
      <c r="BD184" s="7"/>
      <c r="BE184" s="7" t="s">
        <v>23</v>
      </c>
      <c r="BF184" s="7"/>
      <c r="BG184" s="7"/>
    </row>
    <row r="185">
      <c r="A185" s="16">
        <v>86.0</v>
      </c>
      <c r="B185" s="16" t="s">
        <v>934</v>
      </c>
      <c r="C185" s="7">
        <v>1.0</v>
      </c>
      <c r="D185" s="53" t="s">
        <v>945</v>
      </c>
      <c r="E185" s="7"/>
      <c r="F185" s="53"/>
      <c r="G185" s="16"/>
      <c r="H185" s="83">
        <v>1.0</v>
      </c>
      <c r="I185" s="9">
        <v>1.0</v>
      </c>
      <c r="J185" s="16" t="s">
        <v>8505</v>
      </c>
      <c r="K185" s="53"/>
      <c r="L185" s="90"/>
      <c r="M185" s="39" t="str">
        <f t="shared" si="4"/>
        <v>[https://epubs.siam.org/doi/10.1137/0209018 Babai 1980 (1980)]</v>
      </c>
      <c r="N185" s="39" t="s">
        <v>8503</v>
      </c>
      <c r="O185" s="81">
        <v>1980.0</v>
      </c>
      <c r="P185" s="25" t="s">
        <v>4981</v>
      </c>
      <c r="Q185" s="82"/>
      <c r="R185" s="82"/>
      <c r="S185" s="81"/>
      <c r="T185" s="81"/>
      <c r="U185" s="39"/>
      <c r="V185" s="16"/>
      <c r="W185" s="16" t="s">
        <v>8505</v>
      </c>
      <c r="X185" s="93" t="s">
        <v>938</v>
      </c>
      <c r="Y185" s="85"/>
      <c r="Z185" s="85"/>
      <c r="AA185" s="85" t="s">
        <v>1813</v>
      </c>
      <c r="AB185" s="85" t="s">
        <v>1814</v>
      </c>
      <c r="AC185" s="85" t="s">
        <v>115</v>
      </c>
      <c r="AD185" s="325" t="s">
        <v>1938</v>
      </c>
      <c r="AE185" s="126" t="s">
        <v>8504</v>
      </c>
      <c r="AF185" s="90"/>
      <c r="AG185" s="87"/>
      <c r="AH185" s="16">
        <v>1.0</v>
      </c>
      <c r="AI185" s="84" t="s">
        <v>2187</v>
      </c>
      <c r="AJ185" s="83">
        <v>0.0</v>
      </c>
      <c r="AK185" s="90"/>
      <c r="AL185" s="83">
        <v>0.0</v>
      </c>
      <c r="AM185" s="7">
        <v>0.0</v>
      </c>
      <c r="AN185" s="14"/>
      <c r="AO185" s="7">
        <v>0.0</v>
      </c>
      <c r="AP185" s="7">
        <v>0.0</v>
      </c>
      <c r="AQ185" s="50"/>
      <c r="AR185" s="50"/>
      <c r="AS185" s="82"/>
      <c r="AT185" s="82"/>
      <c r="AU185" s="82"/>
      <c r="AV185" s="82"/>
      <c r="AW185" s="7"/>
      <c r="AX185" s="82"/>
      <c r="AY185" s="7"/>
      <c r="AZ185" s="7"/>
      <c r="BA185" s="7"/>
      <c r="BB185" s="7"/>
      <c r="BC185" s="7"/>
      <c r="BD185" s="7"/>
      <c r="BE185" s="7" t="s">
        <v>23</v>
      </c>
      <c r="BF185" s="7"/>
      <c r="BG185" s="7"/>
    </row>
    <row r="186">
      <c r="A186" s="190">
        <v>125.0</v>
      </c>
      <c r="B186" s="50" t="s">
        <v>1130</v>
      </c>
      <c r="C186" s="53">
        <v>1.0</v>
      </c>
      <c r="D186" s="53"/>
      <c r="E186" s="7"/>
      <c r="F186" s="53"/>
      <c r="G186" s="6"/>
      <c r="H186" s="35">
        <v>1.0</v>
      </c>
      <c r="I186" s="111">
        <v>1.0</v>
      </c>
      <c r="J186" s="35" t="s">
        <v>1788</v>
      </c>
      <c r="K186" s="99"/>
      <c r="L186" s="99"/>
      <c r="M186" s="39" t="str">
        <f t="shared" si="4"/>
        <v>[https://citeseerx.ist.psu.edu/viewdoc/summary?doi=10.1.1.138.4859 Scapegoat Tree (1989)]</v>
      </c>
      <c r="N186" s="107" t="s">
        <v>7441</v>
      </c>
      <c r="O186" s="111">
        <v>1989.0</v>
      </c>
      <c r="P186" s="365" t="s">
        <v>8506</v>
      </c>
      <c r="Q186" s="13"/>
      <c r="R186" s="13"/>
      <c r="S186" s="13"/>
      <c r="T186" s="111">
        <v>1.0</v>
      </c>
      <c r="U186" s="35">
        <v>0.0</v>
      </c>
      <c r="V186" s="35"/>
      <c r="W186" s="35" t="s">
        <v>1788</v>
      </c>
      <c r="X186" s="41" t="s">
        <v>5511</v>
      </c>
      <c r="Y186" s="41"/>
      <c r="Z186" s="41"/>
      <c r="AA186" s="41" t="s">
        <v>1813</v>
      </c>
      <c r="AB186" s="41" t="s">
        <v>1814</v>
      </c>
      <c r="AC186" s="41" t="s">
        <v>35</v>
      </c>
      <c r="AD186" s="364" t="s">
        <v>1763</v>
      </c>
      <c r="AE186" s="41" t="s">
        <v>5512</v>
      </c>
      <c r="AF186" s="108" t="s">
        <v>8507</v>
      </c>
      <c r="AG186" s="87"/>
      <c r="AH186" s="111">
        <v>0.0</v>
      </c>
      <c r="AI186" s="108"/>
      <c r="AJ186" s="111">
        <v>0.0</v>
      </c>
      <c r="AK186" s="104"/>
      <c r="AL186" s="111">
        <v>0.0</v>
      </c>
      <c r="AM186" s="111">
        <v>0.0</v>
      </c>
      <c r="AN186" s="69"/>
      <c r="AO186" s="111">
        <v>0.0</v>
      </c>
      <c r="AP186" s="111">
        <v>0.0</v>
      </c>
      <c r="AQ186" s="35"/>
      <c r="AR186" s="13"/>
      <c r="AS186" s="13"/>
      <c r="AT186" s="13"/>
      <c r="AU186" s="13"/>
      <c r="AV186" s="6"/>
      <c r="AW186" s="6"/>
      <c r="AX186" s="13"/>
      <c r="AY186" s="6"/>
      <c r="AZ186" s="13"/>
      <c r="BA186" s="6"/>
      <c r="BB186" s="6"/>
      <c r="BC186" s="13"/>
      <c r="BD186" s="13"/>
      <c r="BE186" s="6" t="s">
        <v>23</v>
      </c>
      <c r="BF186" s="7"/>
      <c r="BG186" s="7"/>
    </row>
    <row r="187">
      <c r="A187" s="190">
        <v>125.0</v>
      </c>
      <c r="B187" s="50" t="s">
        <v>1130</v>
      </c>
      <c r="C187" s="53">
        <v>1.0</v>
      </c>
      <c r="D187" s="53"/>
      <c r="E187" s="7"/>
      <c r="F187" s="53"/>
      <c r="G187" s="6"/>
      <c r="H187" s="35">
        <v>1.0</v>
      </c>
      <c r="I187" s="111">
        <v>1.0</v>
      </c>
      <c r="J187" s="35" t="s">
        <v>1788</v>
      </c>
      <c r="K187" s="99"/>
      <c r="L187" s="99"/>
      <c r="M187" s="39" t="str">
        <f t="shared" si="4"/>
        <v>[http://faculty.washington.edu/aragon/pubs/rst89.pdf Treap (1989)]</v>
      </c>
      <c r="N187" s="107" t="s">
        <v>7450</v>
      </c>
      <c r="O187" s="111">
        <v>1989.0</v>
      </c>
      <c r="P187" s="365" t="s">
        <v>7452</v>
      </c>
      <c r="Q187" s="13"/>
      <c r="R187" s="13"/>
      <c r="S187" s="13"/>
      <c r="T187" s="111">
        <v>1.0</v>
      </c>
      <c r="U187" s="35">
        <v>0.0</v>
      </c>
      <c r="V187" s="35"/>
      <c r="W187" s="35" t="s">
        <v>1788</v>
      </c>
      <c r="X187" s="41" t="s">
        <v>5511</v>
      </c>
      <c r="Y187" s="41"/>
      <c r="Z187" s="41"/>
      <c r="AA187" s="41" t="s">
        <v>1813</v>
      </c>
      <c r="AB187" s="41" t="s">
        <v>1814</v>
      </c>
      <c r="AC187" s="41" t="s">
        <v>35</v>
      </c>
      <c r="AD187" s="364" t="s">
        <v>1763</v>
      </c>
      <c r="AE187" s="41" t="s">
        <v>5512</v>
      </c>
      <c r="AF187" s="108" t="s">
        <v>8507</v>
      </c>
      <c r="AG187" s="87"/>
      <c r="AH187" s="111">
        <v>1.0</v>
      </c>
      <c r="AI187" s="108"/>
      <c r="AJ187" s="111">
        <v>0.0</v>
      </c>
      <c r="AK187" s="104"/>
      <c r="AL187" s="111">
        <v>0.0</v>
      </c>
      <c r="AM187" s="111">
        <v>0.0</v>
      </c>
      <c r="AN187" s="69"/>
      <c r="AO187" s="111">
        <v>0.0</v>
      </c>
      <c r="AP187" s="111">
        <v>0.0</v>
      </c>
      <c r="AQ187" s="35"/>
      <c r="AR187" s="13"/>
      <c r="AS187" s="13"/>
      <c r="AT187" s="13"/>
      <c r="AU187" s="13"/>
      <c r="AV187" s="6"/>
      <c r="AW187" s="6"/>
      <c r="AX187" s="13"/>
      <c r="AY187" s="6"/>
      <c r="AZ187" s="13"/>
      <c r="BA187" s="6"/>
      <c r="BB187" s="6"/>
      <c r="BC187" s="13"/>
      <c r="BD187" s="13"/>
      <c r="BE187" s="6" t="s">
        <v>23</v>
      </c>
      <c r="BF187" s="7"/>
      <c r="BG187" s="7"/>
    </row>
    <row r="188">
      <c r="A188" s="190">
        <v>125.0</v>
      </c>
      <c r="B188" s="50" t="s">
        <v>1130</v>
      </c>
      <c r="C188" s="53">
        <v>1.0</v>
      </c>
      <c r="D188" s="53"/>
      <c r="E188" s="7"/>
      <c r="F188" s="53"/>
      <c r="G188" s="6"/>
      <c r="H188" s="35">
        <v>1.0</v>
      </c>
      <c r="I188" s="111">
        <v>1.0</v>
      </c>
      <c r="J188" s="35" t="s">
        <v>1788</v>
      </c>
      <c r="K188" s="99"/>
      <c r="L188" s="99"/>
      <c r="M188" s="39" t="str">
        <f t="shared" si="4"/>
        <v>[http://erikdemaine.org/papers/Tango_SICOMP/paper.pdf Tango Tree (2004)]</v>
      </c>
      <c r="N188" s="107" t="s">
        <v>7734</v>
      </c>
      <c r="O188" s="111">
        <v>2004.0</v>
      </c>
      <c r="P188" s="365" t="s">
        <v>7736</v>
      </c>
      <c r="Q188" s="13"/>
      <c r="R188" s="13"/>
      <c r="S188" s="13"/>
      <c r="T188" s="111">
        <v>1.0</v>
      </c>
      <c r="U188" s="35">
        <v>0.0</v>
      </c>
      <c r="V188" s="35"/>
      <c r="W188" s="35" t="s">
        <v>1788</v>
      </c>
      <c r="X188" s="41" t="s">
        <v>5511</v>
      </c>
      <c r="Y188" s="41"/>
      <c r="Z188" s="41"/>
      <c r="AA188" s="41" t="s">
        <v>1813</v>
      </c>
      <c r="AB188" s="41" t="s">
        <v>1814</v>
      </c>
      <c r="AC188" s="41" t="s">
        <v>35</v>
      </c>
      <c r="AD188" s="364" t="s">
        <v>1763</v>
      </c>
      <c r="AE188" s="41" t="s">
        <v>5512</v>
      </c>
      <c r="AF188" s="108" t="s">
        <v>8507</v>
      </c>
      <c r="AG188" s="87"/>
      <c r="AH188" s="111">
        <v>0.0</v>
      </c>
      <c r="AI188" s="108"/>
      <c r="AJ188" s="111">
        <v>0.0</v>
      </c>
      <c r="AK188" s="104"/>
      <c r="AL188" s="111">
        <v>0.0</v>
      </c>
      <c r="AM188" s="111">
        <v>0.0</v>
      </c>
      <c r="AN188" s="69"/>
      <c r="AO188" s="111">
        <v>0.0</v>
      </c>
      <c r="AP188" s="111">
        <v>0.0</v>
      </c>
      <c r="AQ188" s="35"/>
      <c r="AR188" s="13"/>
      <c r="AS188" s="13"/>
      <c r="AT188" s="13"/>
      <c r="AU188" s="13"/>
      <c r="AV188" s="6"/>
      <c r="AW188" s="6"/>
      <c r="AX188" s="13"/>
      <c r="AY188" s="6"/>
      <c r="AZ188" s="13"/>
      <c r="BA188" s="6"/>
      <c r="BB188" s="6"/>
      <c r="BC188" s="13"/>
      <c r="BD188" s="13"/>
      <c r="BE188" s="6" t="s">
        <v>23</v>
      </c>
      <c r="BF188" s="7"/>
      <c r="BG188" s="7"/>
    </row>
    <row r="189">
      <c r="A189" s="35">
        <v>126.0</v>
      </c>
      <c r="B189" s="35" t="s">
        <v>1134</v>
      </c>
      <c r="C189" s="53">
        <v>1.0</v>
      </c>
      <c r="D189" s="53"/>
      <c r="E189" s="7"/>
      <c r="F189" s="53"/>
      <c r="G189" s="6"/>
      <c r="H189" s="35">
        <v>1.0</v>
      </c>
      <c r="I189" s="111">
        <v>1.0</v>
      </c>
      <c r="J189" s="35" t="s">
        <v>1963</v>
      </c>
      <c r="K189" s="99"/>
      <c r="L189" s="99"/>
      <c r="M189" s="39" t="str">
        <f t="shared" si="4"/>
        <v>[ AVL Tree (1962)]</v>
      </c>
      <c r="N189" s="107" t="s">
        <v>5510</v>
      </c>
      <c r="O189" s="111">
        <v>1962.0</v>
      </c>
      <c r="P189" s="191"/>
      <c r="Q189" s="13"/>
      <c r="R189" s="13"/>
      <c r="S189" s="13"/>
      <c r="T189" s="111"/>
      <c r="U189" s="35">
        <v>0.0</v>
      </c>
      <c r="V189" s="35"/>
      <c r="W189" s="35" t="s">
        <v>1963</v>
      </c>
      <c r="X189" s="41" t="s">
        <v>5511</v>
      </c>
      <c r="Y189" s="41"/>
      <c r="Z189" s="41"/>
      <c r="AA189" s="41" t="s">
        <v>1813</v>
      </c>
      <c r="AB189" s="41" t="s">
        <v>1814</v>
      </c>
      <c r="AC189" s="41" t="s">
        <v>34</v>
      </c>
      <c r="AD189" s="364" t="s">
        <v>1774</v>
      </c>
      <c r="AE189" s="41" t="s">
        <v>5522</v>
      </c>
      <c r="AF189" s="108">
        <v>1.0</v>
      </c>
      <c r="AG189" s="87"/>
      <c r="AH189" s="111">
        <v>0.0</v>
      </c>
      <c r="AI189" s="108"/>
      <c r="AJ189" s="111">
        <v>0.0</v>
      </c>
      <c r="AK189" s="104"/>
      <c r="AL189" s="111">
        <v>0.0</v>
      </c>
      <c r="AM189" s="111">
        <v>0.0</v>
      </c>
      <c r="AN189" s="69"/>
      <c r="AO189" s="111">
        <v>0.0</v>
      </c>
      <c r="AP189" s="111">
        <v>0.0</v>
      </c>
      <c r="AQ189" s="35"/>
      <c r="AR189" s="13"/>
      <c r="AS189" s="13"/>
      <c r="AT189" s="13"/>
      <c r="AU189" s="13"/>
      <c r="AV189" s="6"/>
      <c r="AW189" s="6"/>
      <c r="AX189" s="13"/>
      <c r="AY189" s="6"/>
      <c r="AZ189" s="13"/>
      <c r="BA189" s="6"/>
      <c r="BB189" s="6"/>
      <c r="BC189" s="13"/>
      <c r="BD189" s="13"/>
      <c r="BE189" s="6" t="s">
        <v>23</v>
      </c>
      <c r="BF189" s="7"/>
      <c r="BG189" s="7"/>
    </row>
    <row r="190">
      <c r="A190" s="35">
        <v>126.0</v>
      </c>
      <c r="B190" s="35" t="s">
        <v>1134</v>
      </c>
      <c r="C190" s="53">
        <v>1.0</v>
      </c>
      <c r="D190" s="53"/>
      <c r="E190" s="7"/>
      <c r="F190" s="53"/>
      <c r="G190" s="6"/>
      <c r="H190" s="35">
        <v>1.0</v>
      </c>
      <c r="I190" s="111">
        <v>1.0</v>
      </c>
      <c r="J190" s="35" t="s">
        <v>8508</v>
      </c>
      <c r="K190" s="99"/>
      <c r="L190" s="99"/>
      <c r="M190" s="39" t="str">
        <f t="shared" si="4"/>
        <v>[ Tarjan Splay Tree (1985)]</v>
      </c>
      <c r="N190" s="107" t="s">
        <v>5517</v>
      </c>
      <c r="O190" s="111">
        <v>1985.0</v>
      </c>
      <c r="P190" s="191"/>
      <c r="Q190" s="13"/>
      <c r="R190" s="13"/>
      <c r="S190" s="13"/>
      <c r="T190" s="111"/>
      <c r="U190" s="35">
        <v>0.0</v>
      </c>
      <c r="V190" s="35"/>
      <c r="W190" s="35" t="s">
        <v>35</v>
      </c>
      <c r="X190" s="41" t="s">
        <v>5511</v>
      </c>
      <c r="Y190" s="41"/>
      <c r="Z190" s="41"/>
      <c r="AA190" s="41" t="s">
        <v>1813</v>
      </c>
      <c r="AB190" s="41" t="s">
        <v>1814</v>
      </c>
      <c r="AC190" s="41" t="s">
        <v>34</v>
      </c>
      <c r="AD190" s="364" t="s">
        <v>1774</v>
      </c>
      <c r="AE190" s="41" t="s">
        <v>2117</v>
      </c>
      <c r="AF190" s="108">
        <v>1.0</v>
      </c>
      <c r="AG190" s="87"/>
      <c r="AH190" s="111">
        <v>0.0</v>
      </c>
      <c r="AI190" s="108"/>
      <c r="AJ190" s="111">
        <v>0.0</v>
      </c>
      <c r="AK190" s="104"/>
      <c r="AL190" s="111">
        <v>0.0</v>
      </c>
      <c r="AM190" s="111">
        <v>0.0</v>
      </c>
      <c r="AN190" s="69"/>
      <c r="AO190" s="111">
        <v>0.0</v>
      </c>
      <c r="AP190" s="111">
        <v>0.0</v>
      </c>
      <c r="AQ190" s="35"/>
      <c r="AR190" s="13"/>
      <c r="AS190" s="13"/>
      <c r="AT190" s="13"/>
      <c r="AU190" s="13"/>
      <c r="AV190" s="6"/>
      <c r="AW190" s="13"/>
      <c r="AX190" s="13"/>
      <c r="AY190" s="13"/>
      <c r="AZ190" s="13"/>
      <c r="BA190" s="13"/>
      <c r="BB190" s="6"/>
      <c r="BC190" s="13"/>
      <c r="BD190" s="13"/>
      <c r="BE190" s="6" t="s">
        <v>23</v>
      </c>
      <c r="BF190" s="7"/>
      <c r="BG190" s="7"/>
    </row>
    <row r="191">
      <c r="A191" s="35">
        <v>126.0</v>
      </c>
      <c r="B191" s="35" t="s">
        <v>1134</v>
      </c>
      <c r="C191" s="53">
        <v>1.0</v>
      </c>
      <c r="D191" s="53"/>
      <c r="E191" s="7"/>
      <c r="F191" s="53"/>
      <c r="G191" s="6"/>
      <c r="H191" s="35">
        <v>1.0</v>
      </c>
      <c r="I191" s="111">
        <v>1.0</v>
      </c>
      <c r="J191" s="138" t="s">
        <v>8509</v>
      </c>
      <c r="K191" s="99"/>
      <c r="L191" s="99"/>
      <c r="M191" s="39" t="str">
        <f t="shared" si="4"/>
        <v>[ Bayer, McCreight B-Tree (1970)]</v>
      </c>
      <c r="N191" s="107" t="s">
        <v>5519</v>
      </c>
      <c r="O191" s="111">
        <v>1970.0</v>
      </c>
      <c r="P191" s="191"/>
      <c r="Q191" s="13"/>
      <c r="R191" s="13"/>
      <c r="S191" s="13"/>
      <c r="T191" s="111"/>
      <c r="U191" s="35">
        <v>0.0</v>
      </c>
      <c r="V191" s="138"/>
      <c r="W191" s="138" t="s">
        <v>8509</v>
      </c>
      <c r="X191" s="41" t="s">
        <v>5521</v>
      </c>
      <c r="Y191" s="41"/>
      <c r="Z191" s="41"/>
      <c r="AA191" s="41" t="s">
        <v>1813</v>
      </c>
      <c r="AB191" s="41" t="s">
        <v>1814</v>
      </c>
      <c r="AC191" s="41" t="s">
        <v>8510</v>
      </c>
      <c r="AD191" s="364" t="s">
        <v>8511</v>
      </c>
      <c r="AE191" s="41" t="s">
        <v>8512</v>
      </c>
      <c r="AF191" s="108">
        <v>1.0</v>
      </c>
      <c r="AG191" s="87"/>
      <c r="AH191" s="111">
        <v>0.0</v>
      </c>
      <c r="AI191" s="108"/>
      <c r="AJ191" s="111">
        <v>0.0</v>
      </c>
      <c r="AK191" s="104"/>
      <c r="AL191" s="111">
        <v>0.0</v>
      </c>
      <c r="AM191" s="111">
        <v>0.0</v>
      </c>
      <c r="AN191" s="69"/>
      <c r="AO191" s="111">
        <v>0.0</v>
      </c>
      <c r="AP191" s="111">
        <v>0.0</v>
      </c>
      <c r="AQ191" s="35"/>
      <c r="AR191" s="13"/>
      <c r="AS191" s="13"/>
      <c r="AT191" s="13"/>
      <c r="AU191" s="13"/>
      <c r="AV191" s="6"/>
      <c r="AW191" s="13"/>
      <c r="AX191" s="13"/>
      <c r="AY191" s="13"/>
      <c r="AZ191" s="13"/>
      <c r="BA191" s="13"/>
      <c r="BB191" s="6"/>
      <c r="BC191" s="13"/>
      <c r="BD191" s="13"/>
      <c r="BE191" s="6" t="s">
        <v>23</v>
      </c>
      <c r="BF191" s="7"/>
      <c r="BG191" s="7"/>
    </row>
    <row r="192">
      <c r="A192" s="35">
        <v>126.0</v>
      </c>
      <c r="B192" s="35" t="s">
        <v>1134</v>
      </c>
      <c r="C192" s="53">
        <v>1.0</v>
      </c>
      <c r="D192" s="53"/>
      <c r="E192" s="7"/>
      <c r="F192" s="53"/>
      <c r="G192" s="6"/>
      <c r="H192" s="35">
        <v>1.0</v>
      </c>
      <c r="I192" s="111">
        <v>1.0</v>
      </c>
      <c r="J192" s="35" t="s">
        <v>1963</v>
      </c>
      <c r="K192" s="99"/>
      <c r="L192" s="99"/>
      <c r="M192" s="39" t="str">
        <f t="shared" si="4"/>
        <v>[https://citeseerx.ist.psu.edu/viewdoc/summary?doi=10.1.1.138.4859 Scapegoat Tree (1989)]</v>
      </c>
      <c r="N192" s="107" t="s">
        <v>7441</v>
      </c>
      <c r="O192" s="111">
        <v>1989.0</v>
      </c>
      <c r="P192" s="365" t="s">
        <v>8506</v>
      </c>
      <c r="Q192" s="13"/>
      <c r="R192" s="13"/>
      <c r="S192" s="13"/>
      <c r="T192" s="111">
        <v>1.0</v>
      </c>
      <c r="U192" s="35">
        <v>0.0</v>
      </c>
      <c r="V192" s="35"/>
      <c r="W192" s="35" t="s">
        <v>35</v>
      </c>
      <c r="X192" s="41" t="s">
        <v>5511</v>
      </c>
      <c r="Y192" s="41"/>
      <c r="Z192" s="41"/>
      <c r="AA192" s="41" t="s">
        <v>1813</v>
      </c>
      <c r="AB192" s="41" t="s">
        <v>1814</v>
      </c>
      <c r="AC192" s="41" t="s">
        <v>7435</v>
      </c>
      <c r="AD192" s="364" t="s">
        <v>1774</v>
      </c>
      <c r="AE192" s="41" t="s">
        <v>2117</v>
      </c>
      <c r="AF192" s="108">
        <v>1.0</v>
      </c>
      <c r="AG192" s="87"/>
      <c r="AH192" s="111">
        <v>0.0</v>
      </c>
      <c r="AI192" s="108"/>
      <c r="AJ192" s="111">
        <v>0.0</v>
      </c>
      <c r="AK192" s="104"/>
      <c r="AL192" s="111">
        <v>0.0</v>
      </c>
      <c r="AM192" s="111">
        <v>0.0</v>
      </c>
      <c r="AN192" s="69"/>
      <c r="AO192" s="111">
        <v>0.0</v>
      </c>
      <c r="AP192" s="111">
        <v>0.0</v>
      </c>
      <c r="AQ192" s="35"/>
      <c r="AR192" s="13"/>
      <c r="AS192" s="13"/>
      <c r="AT192" s="13"/>
      <c r="AU192" s="13"/>
      <c r="AV192" s="6"/>
      <c r="AW192" s="6"/>
      <c r="AX192" s="13"/>
      <c r="AY192" s="6"/>
      <c r="AZ192" s="13"/>
      <c r="BA192" s="6"/>
      <c r="BB192" s="6"/>
      <c r="BC192" s="13"/>
      <c r="BD192" s="13"/>
      <c r="BE192" s="6" t="s">
        <v>23</v>
      </c>
      <c r="BF192" s="7"/>
      <c r="BG192" s="7"/>
    </row>
    <row r="193">
      <c r="A193" s="35">
        <v>126.0</v>
      </c>
      <c r="B193" s="35" t="s">
        <v>1134</v>
      </c>
      <c r="C193" s="53">
        <v>1.0</v>
      </c>
      <c r="D193" s="53"/>
      <c r="E193" s="7"/>
      <c r="F193" s="53"/>
      <c r="G193" s="6"/>
      <c r="H193" s="35">
        <v>1.0</v>
      </c>
      <c r="I193" s="111">
        <v>1.0</v>
      </c>
      <c r="J193" s="35" t="s">
        <v>1963</v>
      </c>
      <c r="K193" s="99"/>
      <c r="L193" s="99"/>
      <c r="M193" s="39" t="str">
        <f t="shared" si="4"/>
        <v>[http://faculty.washington.edu/aragon/pubs/rst89.pdf Treap (1989)]</v>
      </c>
      <c r="N193" s="107" t="s">
        <v>7450</v>
      </c>
      <c r="O193" s="111">
        <v>1989.0</v>
      </c>
      <c r="P193" s="365" t="s">
        <v>7452</v>
      </c>
      <c r="Q193" s="13"/>
      <c r="R193" s="13"/>
      <c r="S193" s="13"/>
      <c r="T193" s="111">
        <v>1.0</v>
      </c>
      <c r="U193" s="35">
        <v>0.0</v>
      </c>
      <c r="V193" s="35"/>
      <c r="W193" s="35" t="s">
        <v>35</v>
      </c>
      <c r="X193" s="41" t="s">
        <v>5511</v>
      </c>
      <c r="Y193" s="41"/>
      <c r="Z193" s="41"/>
      <c r="AA193" s="41" t="s">
        <v>1813</v>
      </c>
      <c r="AB193" s="41" t="s">
        <v>1814</v>
      </c>
      <c r="AC193" s="41" t="s">
        <v>7435</v>
      </c>
      <c r="AD193" s="364" t="s">
        <v>1774</v>
      </c>
      <c r="AE193" s="41" t="s">
        <v>2117</v>
      </c>
      <c r="AF193" s="108">
        <v>1.0</v>
      </c>
      <c r="AG193" s="87"/>
      <c r="AH193" s="111">
        <v>1.0</v>
      </c>
      <c r="AI193" s="108"/>
      <c r="AJ193" s="111">
        <v>0.0</v>
      </c>
      <c r="AK193" s="104"/>
      <c r="AL193" s="111">
        <v>0.0</v>
      </c>
      <c r="AM193" s="111">
        <v>0.0</v>
      </c>
      <c r="AN193" s="69"/>
      <c r="AO193" s="111">
        <v>0.0</v>
      </c>
      <c r="AP193" s="111">
        <v>0.0</v>
      </c>
      <c r="AQ193" s="35"/>
      <c r="AR193" s="13"/>
      <c r="AS193" s="13"/>
      <c r="AT193" s="13"/>
      <c r="AU193" s="13"/>
      <c r="AV193" s="6"/>
      <c r="AW193" s="6"/>
      <c r="AX193" s="13"/>
      <c r="AY193" s="6"/>
      <c r="AZ193" s="13"/>
      <c r="BA193" s="6"/>
      <c r="BB193" s="6"/>
      <c r="BC193" s="13"/>
      <c r="BD193" s="13"/>
      <c r="BE193" s="6" t="s">
        <v>23</v>
      </c>
      <c r="BF193" s="7"/>
      <c r="BG193" s="7"/>
    </row>
    <row r="194">
      <c r="A194" s="35">
        <v>127.0</v>
      </c>
      <c r="B194" s="35" t="s">
        <v>1136</v>
      </c>
      <c r="C194" s="53">
        <v>1.0</v>
      </c>
      <c r="D194" s="53"/>
      <c r="E194" s="7"/>
      <c r="F194" s="53"/>
      <c r="G194" s="6"/>
      <c r="H194" s="35">
        <v>1.0</v>
      </c>
      <c r="I194" s="111">
        <v>1.0</v>
      </c>
      <c r="J194" s="35" t="s">
        <v>1963</v>
      </c>
      <c r="K194" s="99"/>
      <c r="L194" s="99"/>
      <c r="M194" s="39" t="str">
        <f t="shared" si="4"/>
        <v>[ AVL Tree (1962)]</v>
      </c>
      <c r="N194" s="107" t="s">
        <v>5510</v>
      </c>
      <c r="O194" s="111">
        <v>1962.0</v>
      </c>
      <c r="P194" s="191"/>
      <c r="Q194" s="13"/>
      <c r="R194" s="13"/>
      <c r="S194" s="13"/>
      <c r="T194" s="111"/>
      <c r="U194" s="35">
        <v>0.0</v>
      </c>
      <c r="V194" s="35"/>
      <c r="W194" s="35" t="s">
        <v>1963</v>
      </c>
      <c r="X194" s="41" t="s">
        <v>5511</v>
      </c>
      <c r="Y194" s="41"/>
      <c r="Z194" s="41"/>
      <c r="AA194" s="41" t="s">
        <v>1813</v>
      </c>
      <c r="AB194" s="41" t="s">
        <v>1814</v>
      </c>
      <c r="AC194" s="41" t="s">
        <v>34</v>
      </c>
      <c r="AD194" s="364" t="s">
        <v>1774</v>
      </c>
      <c r="AE194" s="41" t="s">
        <v>2117</v>
      </c>
      <c r="AF194" s="108">
        <v>1.0</v>
      </c>
      <c r="AG194" s="87"/>
      <c r="AH194" s="111">
        <v>0.0</v>
      </c>
      <c r="AI194" s="108"/>
      <c r="AJ194" s="111">
        <v>0.0</v>
      </c>
      <c r="AK194" s="104"/>
      <c r="AL194" s="111">
        <v>0.0</v>
      </c>
      <c r="AM194" s="111">
        <v>0.0</v>
      </c>
      <c r="AN194" s="69"/>
      <c r="AO194" s="111">
        <v>0.0</v>
      </c>
      <c r="AP194" s="111">
        <v>0.0</v>
      </c>
      <c r="AQ194" s="35"/>
      <c r="AR194" s="13"/>
      <c r="AS194" s="13"/>
      <c r="AT194" s="13"/>
      <c r="AU194" s="13"/>
      <c r="AV194" s="6"/>
      <c r="AW194" s="6"/>
      <c r="AX194" s="13"/>
      <c r="AY194" s="6"/>
      <c r="AZ194" s="13"/>
      <c r="BA194" s="6"/>
      <c r="BB194" s="6"/>
      <c r="BC194" s="13"/>
      <c r="BD194" s="13"/>
      <c r="BE194" s="6" t="s">
        <v>23</v>
      </c>
      <c r="BF194" s="7"/>
      <c r="BG194" s="7"/>
    </row>
    <row r="195">
      <c r="A195" s="35">
        <v>127.0</v>
      </c>
      <c r="B195" s="35" t="s">
        <v>1136</v>
      </c>
      <c r="C195" s="53">
        <v>1.0</v>
      </c>
      <c r="D195" s="53"/>
      <c r="E195" s="7"/>
      <c r="F195" s="53"/>
      <c r="G195" s="6"/>
      <c r="H195" s="35">
        <v>1.0</v>
      </c>
      <c r="I195" s="111">
        <v>1.0</v>
      </c>
      <c r="J195" s="35" t="s">
        <v>8508</v>
      </c>
      <c r="K195" s="99"/>
      <c r="L195" s="99"/>
      <c r="M195" s="39" t="str">
        <f t="shared" si="4"/>
        <v>[ Tarjan Splay Tree (1985)]</v>
      </c>
      <c r="N195" s="107" t="s">
        <v>5517</v>
      </c>
      <c r="O195" s="111">
        <v>1985.0</v>
      </c>
      <c r="P195" s="191"/>
      <c r="Q195" s="13"/>
      <c r="R195" s="13"/>
      <c r="S195" s="13"/>
      <c r="T195" s="111"/>
      <c r="U195" s="35">
        <v>0.0</v>
      </c>
      <c r="V195" s="35"/>
      <c r="W195" s="35" t="s">
        <v>35</v>
      </c>
      <c r="X195" s="41" t="s">
        <v>5511</v>
      </c>
      <c r="Y195" s="41"/>
      <c r="Z195" s="41"/>
      <c r="AA195" s="41" t="s">
        <v>1813</v>
      </c>
      <c r="AB195" s="41" t="s">
        <v>1814</v>
      </c>
      <c r="AC195" s="41" t="s">
        <v>34</v>
      </c>
      <c r="AD195" s="364" t="s">
        <v>1774</v>
      </c>
      <c r="AE195" s="41" t="s">
        <v>2117</v>
      </c>
      <c r="AF195" s="108">
        <v>1.0</v>
      </c>
      <c r="AG195" s="87"/>
      <c r="AH195" s="111">
        <v>0.0</v>
      </c>
      <c r="AI195" s="108"/>
      <c r="AJ195" s="111">
        <v>0.0</v>
      </c>
      <c r="AK195" s="104"/>
      <c r="AL195" s="111">
        <v>0.0</v>
      </c>
      <c r="AM195" s="111">
        <v>0.0</v>
      </c>
      <c r="AN195" s="69"/>
      <c r="AO195" s="111">
        <v>0.0</v>
      </c>
      <c r="AP195" s="111">
        <v>0.0</v>
      </c>
      <c r="AQ195" s="35"/>
      <c r="AR195" s="13"/>
      <c r="AS195" s="13"/>
      <c r="AT195" s="13"/>
      <c r="AU195" s="13"/>
      <c r="AV195" s="6"/>
      <c r="AW195" s="13"/>
      <c r="AX195" s="13"/>
      <c r="AY195" s="13"/>
      <c r="AZ195" s="13"/>
      <c r="BA195" s="13"/>
      <c r="BB195" s="6"/>
      <c r="BC195" s="13"/>
      <c r="BD195" s="13"/>
      <c r="BE195" s="6" t="s">
        <v>23</v>
      </c>
      <c r="BF195" s="7"/>
      <c r="BG195" s="7"/>
    </row>
    <row r="196">
      <c r="A196" s="35">
        <v>127.0</v>
      </c>
      <c r="B196" s="35" t="s">
        <v>1136</v>
      </c>
      <c r="C196" s="53">
        <v>1.0</v>
      </c>
      <c r="D196" s="53"/>
      <c r="E196" s="7"/>
      <c r="F196" s="53"/>
      <c r="G196" s="6"/>
      <c r="H196" s="35">
        <v>1.0</v>
      </c>
      <c r="I196" s="111">
        <v>1.0</v>
      </c>
      <c r="J196" s="138" t="s">
        <v>8509</v>
      </c>
      <c r="K196" s="99"/>
      <c r="L196" s="99"/>
      <c r="M196" s="39" t="str">
        <f t="shared" si="4"/>
        <v>[ Bayer, McCreight B-Tree (1970)]</v>
      </c>
      <c r="N196" s="107" t="s">
        <v>5519</v>
      </c>
      <c r="O196" s="111">
        <v>1970.0</v>
      </c>
      <c r="P196" s="191"/>
      <c r="Q196" s="13"/>
      <c r="R196" s="13"/>
      <c r="S196" s="13"/>
      <c r="T196" s="111"/>
      <c r="U196" s="35">
        <v>0.0</v>
      </c>
      <c r="V196" s="138"/>
      <c r="W196" s="138" t="s">
        <v>8509</v>
      </c>
      <c r="X196" s="41" t="s">
        <v>5521</v>
      </c>
      <c r="Y196" s="41"/>
      <c r="Z196" s="41"/>
      <c r="AA196" s="41" t="s">
        <v>1813</v>
      </c>
      <c r="AB196" s="41" t="s">
        <v>1814</v>
      </c>
      <c r="AC196" s="41" t="s">
        <v>8510</v>
      </c>
      <c r="AD196" s="364" t="s">
        <v>8511</v>
      </c>
      <c r="AE196" s="41" t="s">
        <v>8512</v>
      </c>
      <c r="AF196" s="108">
        <v>1.0</v>
      </c>
      <c r="AG196" s="87"/>
      <c r="AH196" s="111">
        <v>0.0</v>
      </c>
      <c r="AI196" s="108"/>
      <c r="AJ196" s="111">
        <v>0.0</v>
      </c>
      <c r="AK196" s="104"/>
      <c r="AL196" s="111">
        <v>0.0</v>
      </c>
      <c r="AM196" s="111">
        <v>0.0</v>
      </c>
      <c r="AN196" s="69"/>
      <c r="AO196" s="111">
        <v>0.0</v>
      </c>
      <c r="AP196" s="111">
        <v>0.0</v>
      </c>
      <c r="AQ196" s="35"/>
      <c r="AR196" s="13"/>
      <c r="AS196" s="13"/>
      <c r="AT196" s="13"/>
      <c r="AU196" s="13"/>
      <c r="AV196" s="6"/>
      <c r="AW196" s="13"/>
      <c r="AX196" s="13"/>
      <c r="AY196" s="13"/>
      <c r="AZ196" s="13"/>
      <c r="BA196" s="13"/>
      <c r="BB196" s="6"/>
      <c r="BC196" s="13"/>
      <c r="BD196" s="13"/>
      <c r="BE196" s="6" t="s">
        <v>23</v>
      </c>
      <c r="BF196" s="7"/>
      <c r="BG196" s="7"/>
    </row>
    <row r="197">
      <c r="A197" s="35">
        <v>127.0</v>
      </c>
      <c r="B197" s="35" t="s">
        <v>1136</v>
      </c>
      <c r="C197" s="53">
        <v>1.0</v>
      </c>
      <c r="D197" s="53"/>
      <c r="E197" s="7"/>
      <c r="F197" s="53"/>
      <c r="G197" s="6"/>
      <c r="H197" s="35">
        <v>1.0</v>
      </c>
      <c r="I197" s="111">
        <v>1.0</v>
      </c>
      <c r="J197" s="35" t="s">
        <v>1963</v>
      </c>
      <c r="K197" s="99"/>
      <c r="L197" s="99"/>
      <c r="M197" s="39" t="str">
        <f t="shared" si="4"/>
        <v>[https://citeseerx.ist.psu.edu/viewdoc/summary?doi=10.1.1.138.4859 Scapegoat Tree (1989)]</v>
      </c>
      <c r="N197" s="107" t="s">
        <v>7441</v>
      </c>
      <c r="O197" s="111">
        <v>1989.0</v>
      </c>
      <c r="P197" s="365" t="s">
        <v>8506</v>
      </c>
      <c r="Q197" s="13"/>
      <c r="R197" s="13"/>
      <c r="S197" s="13"/>
      <c r="T197" s="111">
        <v>1.0</v>
      </c>
      <c r="U197" s="35">
        <v>0.0</v>
      </c>
      <c r="V197" s="35"/>
      <c r="W197" s="35" t="s">
        <v>35</v>
      </c>
      <c r="X197" s="41" t="s">
        <v>5511</v>
      </c>
      <c r="Y197" s="41"/>
      <c r="Z197" s="41"/>
      <c r="AA197" s="41" t="s">
        <v>1813</v>
      </c>
      <c r="AB197" s="41" t="s">
        <v>1814</v>
      </c>
      <c r="AC197" s="41" t="s">
        <v>7435</v>
      </c>
      <c r="AD197" s="364" t="s">
        <v>1774</v>
      </c>
      <c r="AE197" s="41" t="s">
        <v>2117</v>
      </c>
      <c r="AF197" s="108">
        <v>1.0</v>
      </c>
      <c r="AG197" s="87"/>
      <c r="AH197" s="111">
        <v>0.0</v>
      </c>
      <c r="AI197" s="108"/>
      <c r="AJ197" s="111">
        <v>0.0</v>
      </c>
      <c r="AK197" s="104"/>
      <c r="AL197" s="111">
        <v>0.0</v>
      </c>
      <c r="AM197" s="111">
        <v>0.0</v>
      </c>
      <c r="AN197" s="69"/>
      <c r="AO197" s="111">
        <v>0.0</v>
      </c>
      <c r="AP197" s="111">
        <v>0.0</v>
      </c>
      <c r="AQ197" s="35"/>
      <c r="AR197" s="13"/>
      <c r="AS197" s="13"/>
      <c r="AT197" s="13"/>
      <c r="AU197" s="13"/>
      <c r="AV197" s="6"/>
      <c r="AW197" s="6"/>
      <c r="AX197" s="13"/>
      <c r="AY197" s="6"/>
      <c r="AZ197" s="13"/>
      <c r="BA197" s="6"/>
      <c r="BB197" s="6"/>
      <c r="BC197" s="13"/>
      <c r="BD197" s="13"/>
      <c r="BE197" s="6" t="s">
        <v>23</v>
      </c>
      <c r="BF197" s="7"/>
      <c r="BG197" s="7"/>
    </row>
    <row r="198">
      <c r="A198" s="35">
        <v>127.0</v>
      </c>
      <c r="B198" s="35" t="s">
        <v>1136</v>
      </c>
      <c r="C198" s="53">
        <v>1.0</v>
      </c>
      <c r="D198" s="53"/>
      <c r="E198" s="7"/>
      <c r="F198" s="53"/>
      <c r="G198" s="6"/>
      <c r="H198" s="35">
        <v>1.0</v>
      </c>
      <c r="I198" s="111">
        <v>1.0</v>
      </c>
      <c r="J198" s="35" t="s">
        <v>1963</v>
      </c>
      <c r="K198" s="99"/>
      <c r="L198" s="99"/>
      <c r="M198" s="39" t="str">
        <f t="shared" si="4"/>
        <v>[http://faculty.washington.edu/aragon/pubs/rst89.pdf Treap (1989)]</v>
      </c>
      <c r="N198" s="107" t="s">
        <v>7450</v>
      </c>
      <c r="O198" s="111">
        <v>1989.0</v>
      </c>
      <c r="P198" s="365" t="s">
        <v>7452</v>
      </c>
      <c r="Q198" s="13"/>
      <c r="R198" s="13"/>
      <c r="S198" s="13"/>
      <c r="T198" s="111">
        <v>1.0</v>
      </c>
      <c r="U198" s="35">
        <v>0.0</v>
      </c>
      <c r="V198" s="35"/>
      <c r="W198" s="35" t="s">
        <v>35</v>
      </c>
      <c r="X198" s="41" t="s">
        <v>5511</v>
      </c>
      <c r="Y198" s="41"/>
      <c r="Z198" s="41"/>
      <c r="AA198" s="41" t="s">
        <v>1813</v>
      </c>
      <c r="AB198" s="41" t="s">
        <v>1814</v>
      </c>
      <c r="AC198" s="41" t="s">
        <v>7435</v>
      </c>
      <c r="AD198" s="364" t="s">
        <v>1774</v>
      </c>
      <c r="AE198" s="41" t="s">
        <v>2117</v>
      </c>
      <c r="AF198" s="108">
        <v>1.0</v>
      </c>
      <c r="AG198" s="87"/>
      <c r="AH198" s="111">
        <v>1.0</v>
      </c>
      <c r="AI198" s="108"/>
      <c r="AJ198" s="111">
        <v>0.0</v>
      </c>
      <c r="AK198" s="104"/>
      <c r="AL198" s="111">
        <v>0.0</v>
      </c>
      <c r="AM198" s="111">
        <v>0.0</v>
      </c>
      <c r="AN198" s="69"/>
      <c r="AO198" s="111">
        <v>0.0</v>
      </c>
      <c r="AP198" s="111">
        <v>0.0</v>
      </c>
      <c r="AQ198" s="35"/>
      <c r="AR198" s="13"/>
      <c r="AS198" s="13"/>
      <c r="AT198" s="13"/>
      <c r="AU198" s="13"/>
      <c r="AV198" s="6"/>
      <c r="AW198" s="6"/>
      <c r="AX198" s="13"/>
      <c r="AY198" s="6"/>
      <c r="AZ198" s="13"/>
      <c r="BA198" s="6"/>
      <c r="BB198" s="6"/>
      <c r="BC198" s="13"/>
      <c r="BD198" s="13"/>
      <c r="BE198" s="6" t="s">
        <v>23</v>
      </c>
      <c r="BF198" s="7"/>
      <c r="BG198" s="7"/>
    </row>
    <row r="199">
      <c r="A199" s="35">
        <v>128.0</v>
      </c>
      <c r="B199" s="35" t="s">
        <v>1138</v>
      </c>
      <c r="C199" s="53">
        <v>1.0</v>
      </c>
      <c r="D199" s="53"/>
      <c r="E199" s="7"/>
      <c r="F199" s="53"/>
      <c r="G199" s="6"/>
      <c r="H199" s="35">
        <v>1.0</v>
      </c>
      <c r="I199" s="111">
        <v>1.0</v>
      </c>
      <c r="J199" s="35" t="s">
        <v>1963</v>
      </c>
      <c r="K199" s="99"/>
      <c r="L199" s="99"/>
      <c r="M199" s="39" t="str">
        <f t="shared" si="4"/>
        <v>[ AVL Tree (1962)]</v>
      </c>
      <c r="N199" s="107" t="s">
        <v>5510</v>
      </c>
      <c r="O199" s="111">
        <v>1962.0</v>
      </c>
      <c r="P199" s="191"/>
      <c r="Q199" s="13"/>
      <c r="R199" s="13"/>
      <c r="S199" s="13"/>
      <c r="T199" s="111"/>
      <c r="U199" s="35">
        <v>0.0</v>
      </c>
      <c r="V199" s="35"/>
      <c r="W199" s="35" t="s">
        <v>1963</v>
      </c>
      <c r="X199" s="41" t="s">
        <v>5511</v>
      </c>
      <c r="Y199" s="41"/>
      <c r="Z199" s="41"/>
      <c r="AA199" s="41" t="s">
        <v>1813</v>
      </c>
      <c r="AB199" s="41" t="s">
        <v>1814</v>
      </c>
      <c r="AC199" s="41" t="s">
        <v>34</v>
      </c>
      <c r="AD199" s="364" t="s">
        <v>1774</v>
      </c>
      <c r="AE199" s="41" t="s">
        <v>5524</v>
      </c>
      <c r="AF199" s="108">
        <v>1.0</v>
      </c>
      <c r="AG199" s="87"/>
      <c r="AH199" s="111">
        <v>0.0</v>
      </c>
      <c r="AI199" s="108"/>
      <c r="AJ199" s="111">
        <v>0.0</v>
      </c>
      <c r="AK199" s="104"/>
      <c r="AL199" s="111">
        <v>0.0</v>
      </c>
      <c r="AM199" s="111">
        <v>0.0</v>
      </c>
      <c r="AN199" s="69"/>
      <c r="AO199" s="111">
        <v>0.0</v>
      </c>
      <c r="AP199" s="111">
        <v>0.0</v>
      </c>
      <c r="AQ199" s="35"/>
      <c r="AR199" s="13"/>
      <c r="AS199" s="13"/>
      <c r="AT199" s="13"/>
      <c r="AU199" s="13"/>
      <c r="AV199" s="6"/>
      <c r="AW199" s="6"/>
      <c r="AX199" s="13"/>
      <c r="AY199" s="6"/>
      <c r="AZ199" s="13"/>
      <c r="BA199" s="6"/>
      <c r="BB199" s="6"/>
      <c r="BC199" s="13"/>
      <c r="BD199" s="13"/>
      <c r="BE199" s="6" t="s">
        <v>23</v>
      </c>
      <c r="BF199" s="7"/>
      <c r="BG199" s="7"/>
    </row>
    <row r="200">
      <c r="A200" s="35">
        <v>128.0</v>
      </c>
      <c r="B200" s="35" t="s">
        <v>1138</v>
      </c>
      <c r="C200" s="53">
        <v>1.0</v>
      </c>
      <c r="D200" s="53"/>
      <c r="E200" s="7"/>
      <c r="F200" s="53"/>
      <c r="G200" s="6"/>
      <c r="H200" s="35">
        <v>1.0</v>
      </c>
      <c r="I200" s="111">
        <v>1.0</v>
      </c>
      <c r="J200" s="35" t="s">
        <v>8508</v>
      </c>
      <c r="K200" s="99"/>
      <c r="L200" s="99"/>
      <c r="M200" s="39" t="str">
        <f t="shared" si="4"/>
        <v>[ Tarjan Splay Tree (1985)]</v>
      </c>
      <c r="N200" s="107" t="s">
        <v>5517</v>
      </c>
      <c r="O200" s="111">
        <v>1985.0</v>
      </c>
      <c r="P200" s="191"/>
      <c r="Q200" s="13"/>
      <c r="R200" s="13"/>
      <c r="S200" s="13"/>
      <c r="T200" s="111"/>
      <c r="U200" s="35">
        <v>0.0</v>
      </c>
      <c r="V200" s="35"/>
      <c r="W200" s="35" t="s">
        <v>35</v>
      </c>
      <c r="X200" s="41" t="s">
        <v>5511</v>
      </c>
      <c r="Y200" s="41"/>
      <c r="Z200" s="41"/>
      <c r="AA200" s="41" t="s">
        <v>1813</v>
      </c>
      <c r="AB200" s="41" t="s">
        <v>1814</v>
      </c>
      <c r="AC200" s="41" t="s">
        <v>34</v>
      </c>
      <c r="AD200" s="364" t="s">
        <v>1774</v>
      </c>
      <c r="AE200" s="41" t="s">
        <v>2117</v>
      </c>
      <c r="AF200" s="108">
        <v>1.0</v>
      </c>
      <c r="AG200" s="87"/>
      <c r="AH200" s="111">
        <v>0.0</v>
      </c>
      <c r="AI200" s="108"/>
      <c r="AJ200" s="111">
        <v>0.0</v>
      </c>
      <c r="AK200" s="104"/>
      <c r="AL200" s="111">
        <v>0.0</v>
      </c>
      <c r="AM200" s="111">
        <v>0.0</v>
      </c>
      <c r="AN200" s="69"/>
      <c r="AO200" s="111">
        <v>0.0</v>
      </c>
      <c r="AP200" s="111">
        <v>0.0</v>
      </c>
      <c r="AQ200" s="35"/>
      <c r="AR200" s="13"/>
      <c r="AS200" s="13"/>
      <c r="AT200" s="13"/>
      <c r="AU200" s="13"/>
      <c r="AV200" s="6"/>
      <c r="AW200" s="13"/>
      <c r="AX200" s="13"/>
      <c r="AY200" s="13"/>
      <c r="AZ200" s="13"/>
      <c r="BA200" s="13"/>
      <c r="BB200" s="6"/>
      <c r="BC200" s="13"/>
      <c r="BD200" s="13"/>
      <c r="BE200" s="6" t="s">
        <v>23</v>
      </c>
      <c r="BF200" s="7"/>
      <c r="BG200" s="7"/>
    </row>
    <row r="201">
      <c r="A201" s="35">
        <v>128.0</v>
      </c>
      <c r="B201" s="35" t="s">
        <v>1138</v>
      </c>
      <c r="C201" s="53">
        <v>1.0</v>
      </c>
      <c r="D201" s="53"/>
      <c r="E201" s="7"/>
      <c r="F201" s="53"/>
      <c r="G201" s="6"/>
      <c r="H201" s="35">
        <v>1.0</v>
      </c>
      <c r="I201" s="111">
        <v>1.0</v>
      </c>
      <c r="J201" s="138" t="s">
        <v>8509</v>
      </c>
      <c r="K201" s="99"/>
      <c r="L201" s="99"/>
      <c r="M201" s="39" t="str">
        <f t="shared" si="4"/>
        <v>[ Bayer, McCreight B-Tree (1970)]</v>
      </c>
      <c r="N201" s="107" t="s">
        <v>5519</v>
      </c>
      <c r="O201" s="111">
        <v>1970.0</v>
      </c>
      <c r="P201" s="191"/>
      <c r="Q201" s="13"/>
      <c r="R201" s="13"/>
      <c r="S201" s="13"/>
      <c r="T201" s="111"/>
      <c r="U201" s="35">
        <v>0.0</v>
      </c>
      <c r="V201" s="138"/>
      <c r="W201" s="138" t="s">
        <v>8509</v>
      </c>
      <c r="X201" s="41" t="s">
        <v>5521</v>
      </c>
      <c r="Y201" s="41"/>
      <c r="Z201" s="41"/>
      <c r="AA201" s="41" t="s">
        <v>1813</v>
      </c>
      <c r="AB201" s="41" t="s">
        <v>1814</v>
      </c>
      <c r="AC201" s="41" t="s">
        <v>34</v>
      </c>
      <c r="AD201" s="364" t="s">
        <v>1774</v>
      </c>
      <c r="AE201" s="41" t="s">
        <v>2117</v>
      </c>
      <c r="AF201" s="108">
        <v>1.0</v>
      </c>
      <c r="AG201" s="87"/>
      <c r="AH201" s="111">
        <v>0.0</v>
      </c>
      <c r="AI201" s="108"/>
      <c r="AJ201" s="111">
        <v>0.0</v>
      </c>
      <c r="AK201" s="104"/>
      <c r="AL201" s="111">
        <v>0.0</v>
      </c>
      <c r="AM201" s="111">
        <v>0.0</v>
      </c>
      <c r="AN201" s="69"/>
      <c r="AO201" s="111">
        <v>0.0</v>
      </c>
      <c r="AP201" s="111">
        <v>0.0</v>
      </c>
      <c r="AQ201" s="35"/>
      <c r="AR201" s="13"/>
      <c r="AS201" s="13"/>
      <c r="AT201" s="13"/>
      <c r="AU201" s="13"/>
      <c r="AV201" s="6"/>
      <c r="AW201" s="13"/>
      <c r="AX201" s="13"/>
      <c r="AY201" s="13"/>
      <c r="AZ201" s="13"/>
      <c r="BA201" s="13"/>
      <c r="BB201" s="6"/>
      <c r="BC201" s="13"/>
      <c r="BD201" s="13"/>
      <c r="BE201" s="6" t="s">
        <v>23</v>
      </c>
      <c r="BF201" s="7"/>
      <c r="BG201" s="7"/>
    </row>
    <row r="202">
      <c r="A202" s="35">
        <v>128.0</v>
      </c>
      <c r="B202" s="35" t="s">
        <v>1138</v>
      </c>
      <c r="C202" s="53">
        <v>1.0</v>
      </c>
      <c r="D202" s="53"/>
      <c r="E202" s="7"/>
      <c r="F202" s="53"/>
      <c r="G202" s="6"/>
      <c r="H202" s="35">
        <v>1.0</v>
      </c>
      <c r="I202" s="111">
        <v>1.0</v>
      </c>
      <c r="J202" s="35" t="s">
        <v>1963</v>
      </c>
      <c r="K202" s="99"/>
      <c r="L202" s="99"/>
      <c r="M202" s="39" t="str">
        <f t="shared" si="4"/>
        <v>[https://citeseerx.ist.psu.edu/viewdoc/summary?doi=10.1.1.138.4859 Scapegoat Tree (1989)]</v>
      </c>
      <c r="N202" s="107" t="s">
        <v>7441</v>
      </c>
      <c r="O202" s="111">
        <v>1989.0</v>
      </c>
      <c r="P202" s="365" t="s">
        <v>8506</v>
      </c>
      <c r="Q202" s="13"/>
      <c r="R202" s="13"/>
      <c r="S202" s="13"/>
      <c r="T202" s="111">
        <v>1.0</v>
      </c>
      <c r="U202" s="35">
        <v>0.0</v>
      </c>
      <c r="V202" s="35"/>
      <c r="W202" s="35" t="s">
        <v>1788</v>
      </c>
      <c r="X202" s="41" t="s">
        <v>5511</v>
      </c>
      <c r="Y202" s="41"/>
      <c r="Z202" s="41"/>
      <c r="AA202" s="41" t="s">
        <v>1813</v>
      </c>
      <c r="AB202" s="41" t="s">
        <v>1814</v>
      </c>
      <c r="AC202" s="41" t="s">
        <v>7435</v>
      </c>
      <c r="AD202" s="364" t="s">
        <v>1774</v>
      </c>
      <c r="AE202" s="41" t="s">
        <v>2117</v>
      </c>
      <c r="AF202" s="108">
        <v>1.0</v>
      </c>
      <c r="AG202" s="87"/>
      <c r="AH202" s="111">
        <v>0.0</v>
      </c>
      <c r="AI202" s="108"/>
      <c r="AJ202" s="111">
        <v>0.0</v>
      </c>
      <c r="AK202" s="104"/>
      <c r="AL202" s="111">
        <v>0.0</v>
      </c>
      <c r="AM202" s="111">
        <v>0.0</v>
      </c>
      <c r="AN202" s="69"/>
      <c r="AO202" s="111">
        <v>0.0</v>
      </c>
      <c r="AP202" s="111">
        <v>0.0</v>
      </c>
      <c r="AQ202" s="35"/>
      <c r="AR202" s="13"/>
      <c r="AS202" s="13"/>
      <c r="AT202" s="13"/>
      <c r="AU202" s="13"/>
      <c r="AV202" s="6"/>
      <c r="AW202" s="6"/>
      <c r="AX202" s="13"/>
      <c r="AY202" s="6"/>
      <c r="AZ202" s="13"/>
      <c r="BA202" s="6"/>
      <c r="BB202" s="6"/>
      <c r="BC202" s="13"/>
      <c r="BD202" s="13"/>
      <c r="BE202" s="6" t="s">
        <v>23</v>
      </c>
      <c r="BF202" s="7"/>
      <c r="BG202" s="7"/>
    </row>
    <row r="203">
      <c r="A203" s="35">
        <v>128.0</v>
      </c>
      <c r="B203" s="35" t="s">
        <v>1138</v>
      </c>
      <c r="C203" s="53">
        <v>1.0</v>
      </c>
      <c r="D203" s="53"/>
      <c r="E203" s="7"/>
      <c r="F203" s="53"/>
      <c r="G203" s="6"/>
      <c r="H203" s="35">
        <v>1.0</v>
      </c>
      <c r="I203" s="111">
        <v>1.0</v>
      </c>
      <c r="J203" s="35" t="s">
        <v>1963</v>
      </c>
      <c r="K203" s="99"/>
      <c r="L203" s="99"/>
      <c r="M203" s="39" t="str">
        <f t="shared" si="4"/>
        <v>[http://faculty.washington.edu/aragon/pubs/rst89.pdf Treap (1989)]</v>
      </c>
      <c r="N203" s="107" t="s">
        <v>7450</v>
      </c>
      <c r="O203" s="111">
        <v>1989.0</v>
      </c>
      <c r="P203" s="365" t="s">
        <v>7452</v>
      </c>
      <c r="Q203" s="13"/>
      <c r="R203" s="13"/>
      <c r="S203" s="13"/>
      <c r="T203" s="111">
        <v>1.0</v>
      </c>
      <c r="U203" s="35">
        <v>0.0</v>
      </c>
      <c r="V203" s="35"/>
      <c r="W203" s="35" t="s">
        <v>35</v>
      </c>
      <c r="X203" s="41" t="s">
        <v>5511</v>
      </c>
      <c r="Y203" s="41"/>
      <c r="Z203" s="41"/>
      <c r="AA203" s="41" t="s">
        <v>1813</v>
      </c>
      <c r="AB203" s="41" t="s">
        <v>1814</v>
      </c>
      <c r="AC203" s="41" t="s">
        <v>7435</v>
      </c>
      <c r="AD203" s="364" t="s">
        <v>1774</v>
      </c>
      <c r="AE203" s="41" t="s">
        <v>2117</v>
      </c>
      <c r="AF203" s="108">
        <v>1.0</v>
      </c>
      <c r="AG203" s="87"/>
      <c r="AH203" s="111">
        <v>1.0</v>
      </c>
      <c r="AI203" s="108"/>
      <c r="AJ203" s="111">
        <v>0.0</v>
      </c>
      <c r="AK203" s="104"/>
      <c r="AL203" s="111">
        <v>0.0</v>
      </c>
      <c r="AM203" s="111">
        <v>0.0</v>
      </c>
      <c r="AN203" s="69"/>
      <c r="AO203" s="111">
        <v>0.0</v>
      </c>
      <c r="AP203" s="111">
        <v>0.0</v>
      </c>
      <c r="AQ203" s="35"/>
      <c r="AR203" s="13"/>
      <c r="AS203" s="13"/>
      <c r="AT203" s="13"/>
      <c r="AU203" s="13"/>
      <c r="AV203" s="6"/>
      <c r="AW203" s="6"/>
      <c r="AX203" s="13"/>
      <c r="AY203" s="6"/>
      <c r="AZ203" s="13"/>
      <c r="BA203" s="6"/>
      <c r="BB203" s="6"/>
      <c r="BC203" s="13"/>
      <c r="BD203" s="13"/>
      <c r="BE203" s="6" t="s">
        <v>23</v>
      </c>
      <c r="BF203" s="7"/>
      <c r="BG203" s="7"/>
    </row>
    <row r="204">
      <c r="A204" s="35">
        <v>128.0</v>
      </c>
      <c r="B204" s="35" t="s">
        <v>1138</v>
      </c>
      <c r="C204" s="53">
        <v>1.0</v>
      </c>
      <c r="D204" s="53"/>
      <c r="E204" s="7"/>
      <c r="F204" s="53"/>
      <c r="G204" s="6"/>
      <c r="H204" s="35">
        <v>1.0</v>
      </c>
      <c r="I204" s="111">
        <v>1.0</v>
      </c>
      <c r="J204" s="35" t="s">
        <v>8513</v>
      </c>
      <c r="K204" s="99"/>
      <c r="L204" s="99"/>
      <c r="M204" s="39" t="str">
        <f t="shared" si="4"/>
        <v>[http://erikdemaine.org/papers/Tango_SICOMP/paper.pdf Tango Tree (2004)]</v>
      </c>
      <c r="N204" s="107" t="s">
        <v>7734</v>
      </c>
      <c r="O204" s="111">
        <v>2004.0</v>
      </c>
      <c r="P204" s="365" t="s">
        <v>7736</v>
      </c>
      <c r="Q204" s="13"/>
      <c r="R204" s="13"/>
      <c r="S204" s="13"/>
      <c r="T204" s="111">
        <v>1.0</v>
      </c>
      <c r="U204" s="35">
        <v>0.0</v>
      </c>
      <c r="V204" s="35"/>
      <c r="W204" s="35" t="s">
        <v>8513</v>
      </c>
      <c r="X204" s="41" t="s">
        <v>8514</v>
      </c>
      <c r="Y204" s="41"/>
      <c r="Z204" s="41"/>
      <c r="AA204" s="41" t="s">
        <v>1813</v>
      </c>
      <c r="AB204" s="41" t="s">
        <v>1814</v>
      </c>
      <c r="AC204" s="41"/>
      <c r="AD204" s="364"/>
      <c r="AE204" s="41"/>
      <c r="AF204" s="108"/>
      <c r="AG204" s="84"/>
      <c r="AH204" s="111">
        <v>0.0</v>
      </c>
      <c r="AI204" s="108"/>
      <c r="AJ204" s="111">
        <v>0.0</v>
      </c>
      <c r="AK204" s="104"/>
      <c r="AL204" s="111">
        <v>0.0</v>
      </c>
      <c r="AM204" s="111">
        <v>0.0</v>
      </c>
      <c r="AN204" s="69"/>
      <c r="AO204" s="111">
        <v>0.0</v>
      </c>
      <c r="AP204" s="111">
        <v>0.0</v>
      </c>
      <c r="AQ204" s="35"/>
      <c r="AR204" s="13"/>
      <c r="AS204" s="13"/>
      <c r="AT204" s="13"/>
      <c r="AU204" s="13"/>
      <c r="AV204" s="6"/>
      <c r="AW204" s="6"/>
      <c r="AX204" s="13"/>
      <c r="AY204" s="6"/>
      <c r="AZ204" s="13"/>
      <c r="BA204" s="6"/>
      <c r="BB204" s="6"/>
      <c r="BC204" s="13"/>
      <c r="BD204" s="13"/>
      <c r="BE204" s="6" t="s">
        <v>23</v>
      </c>
      <c r="BF204" s="7"/>
      <c r="BG204" s="7"/>
    </row>
    <row r="205">
      <c r="A205" s="16">
        <v>39.0</v>
      </c>
      <c r="B205" s="48" t="s">
        <v>556</v>
      </c>
      <c r="C205" s="7">
        <v>1.0</v>
      </c>
      <c r="D205" s="53" t="s">
        <v>8515</v>
      </c>
      <c r="E205" s="7"/>
      <c r="F205" s="53"/>
      <c r="G205" s="16"/>
      <c r="H205" s="83">
        <v>1.0</v>
      </c>
      <c r="I205" s="9">
        <v>1.0</v>
      </c>
      <c r="J205" s="346" t="s">
        <v>8516</v>
      </c>
      <c r="K205" s="53"/>
      <c r="L205" s="96" t="s">
        <v>8517</v>
      </c>
      <c r="M205" s="49" t="s">
        <v>8518</v>
      </c>
      <c r="N205" s="321" t="s">
        <v>8519</v>
      </c>
      <c r="O205" s="322">
        <v>1964.0</v>
      </c>
      <c r="P205" s="47" t="s">
        <v>8520</v>
      </c>
      <c r="Q205" s="82"/>
      <c r="R205" s="82"/>
      <c r="S205" s="81"/>
      <c r="T205" s="83"/>
      <c r="U205" s="16">
        <v>0.0</v>
      </c>
      <c r="V205" s="7"/>
      <c r="W205" s="7" t="s">
        <v>8521</v>
      </c>
      <c r="X205" s="93" t="s">
        <v>8522</v>
      </c>
      <c r="Y205" s="41"/>
      <c r="Z205" s="41"/>
      <c r="AA205" s="41" t="s">
        <v>1813</v>
      </c>
      <c r="AB205" s="41" t="s">
        <v>1814</v>
      </c>
      <c r="AC205" s="85" t="s">
        <v>3296</v>
      </c>
      <c r="AD205" s="323"/>
      <c r="AE205" s="85" t="s">
        <v>8523</v>
      </c>
      <c r="AF205" s="90"/>
      <c r="AG205" s="87"/>
      <c r="AH205" s="39"/>
      <c r="AI205" s="87"/>
      <c r="AJ205" s="81"/>
      <c r="AK205" s="90"/>
      <c r="AL205" s="81"/>
      <c r="AM205" s="39"/>
      <c r="AN205" s="14"/>
      <c r="AO205" s="82"/>
      <c r="AP205" s="82"/>
      <c r="AQ205" s="7"/>
      <c r="AR205" s="82"/>
      <c r="AS205" s="82"/>
      <c r="AT205" s="82"/>
      <c r="AU205" s="82"/>
      <c r="AV205" s="82"/>
      <c r="AW205" s="7"/>
      <c r="AX205" s="82"/>
      <c r="AY205" s="7"/>
      <c r="AZ205" s="7"/>
      <c r="BA205" s="7"/>
      <c r="BB205" s="7"/>
      <c r="BC205" s="7"/>
      <c r="BD205" s="7"/>
      <c r="BE205" s="7"/>
      <c r="BF205" s="7"/>
      <c r="BG205" s="7"/>
    </row>
    <row r="206">
      <c r="A206" s="16">
        <v>39.0</v>
      </c>
      <c r="B206" s="16" t="s">
        <v>556</v>
      </c>
      <c r="C206" s="7">
        <v>1.0</v>
      </c>
      <c r="D206" s="53" t="s">
        <v>8524</v>
      </c>
      <c r="E206" s="7"/>
      <c r="F206" s="53"/>
      <c r="G206" s="16"/>
      <c r="H206" s="83">
        <v>1.0</v>
      </c>
      <c r="I206" s="9">
        <v>1.0</v>
      </c>
      <c r="J206" s="39"/>
      <c r="K206" s="53"/>
      <c r="L206" s="90"/>
      <c r="M206" s="49" t="s">
        <v>8525</v>
      </c>
      <c r="N206" s="321" t="s">
        <v>8526</v>
      </c>
      <c r="O206" s="322">
        <v>2003.0</v>
      </c>
      <c r="P206" s="47" t="s">
        <v>8527</v>
      </c>
      <c r="Q206" s="82"/>
      <c r="R206" s="82"/>
      <c r="S206" s="83"/>
      <c r="T206" s="83"/>
      <c r="U206" s="39"/>
      <c r="V206" s="7"/>
      <c r="W206" s="7" t="s">
        <v>8528</v>
      </c>
      <c r="X206" s="93"/>
      <c r="Y206" s="85"/>
      <c r="Z206" s="85"/>
      <c r="AA206" s="85" t="s">
        <v>1813</v>
      </c>
      <c r="AB206" s="85" t="s">
        <v>1814</v>
      </c>
      <c r="AC206" s="131"/>
      <c r="AD206" s="323"/>
      <c r="AE206" s="131"/>
      <c r="AF206" s="90"/>
      <c r="AG206" s="87"/>
      <c r="AH206" s="39"/>
      <c r="AI206" s="87"/>
      <c r="AJ206" s="81"/>
      <c r="AK206" s="90"/>
      <c r="AL206" s="81"/>
      <c r="AM206" s="39"/>
      <c r="AN206" s="14"/>
      <c r="AO206" s="82"/>
      <c r="AP206" s="82"/>
      <c r="AQ206" s="7"/>
      <c r="AR206" s="82"/>
      <c r="AS206" s="82"/>
      <c r="AT206" s="82"/>
      <c r="AU206" s="82"/>
      <c r="AV206" s="82"/>
      <c r="AW206" s="7"/>
      <c r="AX206" s="82"/>
      <c r="AY206" s="7"/>
      <c r="AZ206" s="7"/>
      <c r="BA206" s="7"/>
      <c r="BB206" s="7"/>
      <c r="BC206" s="7"/>
      <c r="BD206" s="7"/>
      <c r="BE206" s="7"/>
      <c r="BF206" s="7"/>
      <c r="BG206" s="7"/>
    </row>
    <row r="207">
      <c r="A207" s="16">
        <v>39.0</v>
      </c>
      <c r="B207" s="16" t="s">
        <v>556</v>
      </c>
      <c r="C207" s="7">
        <v>2.0</v>
      </c>
      <c r="D207" s="53" t="s">
        <v>8515</v>
      </c>
      <c r="E207" s="7"/>
      <c r="F207" s="53"/>
      <c r="G207" s="16"/>
      <c r="H207" s="83">
        <v>1.0</v>
      </c>
      <c r="I207" s="9">
        <v>1.0</v>
      </c>
      <c r="J207" s="39"/>
      <c r="K207" s="53"/>
      <c r="L207" s="90"/>
      <c r="M207" s="49" t="s">
        <v>8529</v>
      </c>
      <c r="N207" s="321" t="s">
        <v>8530</v>
      </c>
      <c r="O207" s="322">
        <v>2003.0</v>
      </c>
      <c r="P207" s="47" t="s">
        <v>4127</v>
      </c>
      <c r="Q207" s="82"/>
      <c r="R207" s="82"/>
      <c r="S207" s="81"/>
      <c r="T207" s="83">
        <v>1.0</v>
      </c>
      <c r="U207" s="39"/>
      <c r="V207" s="7" t="s">
        <v>8531</v>
      </c>
      <c r="W207" s="7" t="s">
        <v>8532</v>
      </c>
      <c r="X207" s="93" t="s">
        <v>8533</v>
      </c>
      <c r="Y207" s="85"/>
      <c r="Z207" s="85"/>
      <c r="AA207" s="85" t="s">
        <v>8534</v>
      </c>
      <c r="AB207" s="85" t="s">
        <v>1814</v>
      </c>
      <c r="AC207" s="85" t="s">
        <v>8535</v>
      </c>
      <c r="AD207" s="323"/>
      <c r="AE207" s="131"/>
      <c r="AF207" s="90"/>
      <c r="AG207" s="87"/>
      <c r="AH207" s="39"/>
      <c r="AI207" s="87"/>
      <c r="AJ207" s="81"/>
      <c r="AK207" s="90"/>
      <c r="AL207" s="81"/>
      <c r="AM207" s="39"/>
      <c r="AN207" s="14"/>
      <c r="AO207" s="82"/>
      <c r="AP207" s="82"/>
      <c r="AQ207" s="7"/>
      <c r="AR207" s="82"/>
      <c r="AS207" s="82"/>
      <c r="AT207" s="82"/>
      <c r="AU207" s="82"/>
      <c r="AV207" s="82"/>
      <c r="AW207" s="7"/>
      <c r="AX207" s="82"/>
      <c r="AY207" s="7"/>
      <c r="AZ207" s="7"/>
      <c r="BA207" s="7"/>
      <c r="BB207" s="7"/>
      <c r="BC207" s="7"/>
      <c r="BD207" s="7"/>
      <c r="BE207" s="7"/>
      <c r="BF207" s="7"/>
      <c r="BG207" s="7"/>
    </row>
    <row r="208">
      <c r="A208" s="16">
        <v>39.0</v>
      </c>
      <c r="B208" s="16" t="s">
        <v>556</v>
      </c>
      <c r="C208" s="7">
        <v>2.0</v>
      </c>
      <c r="D208" s="53" t="s">
        <v>8536</v>
      </c>
      <c r="E208" s="7"/>
      <c r="F208" s="53"/>
      <c r="G208" s="16"/>
      <c r="H208" s="83">
        <v>1.0</v>
      </c>
      <c r="I208" s="9">
        <v>1.0</v>
      </c>
      <c r="J208" s="39"/>
      <c r="K208" s="53"/>
      <c r="L208" s="90"/>
      <c r="M208" s="16" t="s">
        <v>8537</v>
      </c>
      <c r="N208" s="321" t="s">
        <v>8538</v>
      </c>
      <c r="O208" s="322">
        <v>2003.0</v>
      </c>
      <c r="P208" s="47" t="s">
        <v>4127</v>
      </c>
      <c r="Q208" s="82"/>
      <c r="R208" s="82"/>
      <c r="S208" s="81"/>
      <c r="T208" s="83">
        <v>1.0</v>
      </c>
      <c r="U208" s="39"/>
      <c r="V208" s="7" t="s">
        <v>8539</v>
      </c>
      <c r="W208" s="7" t="s">
        <v>8540</v>
      </c>
      <c r="X208" s="93" t="s">
        <v>8541</v>
      </c>
      <c r="Y208" s="85"/>
      <c r="Z208" s="85"/>
      <c r="AA208" s="85" t="s">
        <v>8534</v>
      </c>
      <c r="AB208" s="85" t="s">
        <v>1814</v>
      </c>
      <c r="AC208" s="85" t="s">
        <v>8542</v>
      </c>
      <c r="AD208" s="323"/>
      <c r="AE208" s="131"/>
      <c r="AF208" s="90"/>
      <c r="AG208" s="87"/>
      <c r="AH208" s="39"/>
      <c r="AI208" s="87"/>
      <c r="AJ208" s="81"/>
      <c r="AK208" s="90"/>
      <c r="AL208" s="81"/>
      <c r="AM208" s="39"/>
      <c r="AN208" s="14"/>
      <c r="AO208" s="82"/>
      <c r="AP208" s="82"/>
      <c r="AQ208" s="7"/>
      <c r="AR208" s="82"/>
      <c r="AS208" s="82"/>
      <c r="AT208" s="82"/>
      <c r="AU208" s="82"/>
      <c r="AV208" s="82"/>
      <c r="AW208" s="7"/>
      <c r="AX208" s="82"/>
      <c r="AY208" s="7"/>
      <c r="AZ208" s="7"/>
      <c r="BA208" s="7"/>
      <c r="BB208" s="7"/>
      <c r="BC208" s="7"/>
      <c r="BD208" s="7"/>
      <c r="BE208" s="7"/>
      <c r="BF208" s="7"/>
      <c r="BG208" s="7"/>
    </row>
    <row r="209">
      <c r="A209" s="16">
        <v>39.0</v>
      </c>
      <c r="B209" s="16" t="s">
        <v>556</v>
      </c>
      <c r="C209" s="7">
        <v>1.0</v>
      </c>
      <c r="D209" s="53" t="s">
        <v>8536</v>
      </c>
      <c r="E209" s="7"/>
      <c r="F209" s="53"/>
      <c r="G209" s="16"/>
      <c r="H209" s="83">
        <v>1.0</v>
      </c>
      <c r="I209" s="9">
        <v>1.0</v>
      </c>
      <c r="J209" s="39"/>
      <c r="K209" s="53"/>
      <c r="L209" s="90"/>
      <c r="M209" s="49" t="s">
        <v>8543</v>
      </c>
      <c r="N209" s="321" t="s">
        <v>8544</v>
      </c>
      <c r="O209" s="322">
        <v>2004.0</v>
      </c>
      <c r="P209" s="47" t="s">
        <v>8545</v>
      </c>
      <c r="Q209" s="82"/>
      <c r="R209" s="82"/>
      <c r="S209" s="83"/>
      <c r="T209" s="83"/>
      <c r="U209" s="39"/>
      <c r="V209" s="7"/>
      <c r="W209" s="7" t="s">
        <v>8546</v>
      </c>
      <c r="X209" s="93"/>
      <c r="Y209" s="131"/>
      <c r="Z209" s="131"/>
      <c r="AA209" s="131"/>
      <c r="AB209" s="131"/>
      <c r="AC209" s="131"/>
      <c r="AD209" s="323"/>
      <c r="AE209" s="131"/>
      <c r="AF209" s="90"/>
      <c r="AG209" s="87"/>
      <c r="AH209" s="39"/>
      <c r="AI209" s="87"/>
      <c r="AJ209" s="81"/>
      <c r="AK209" s="90"/>
      <c r="AL209" s="81"/>
      <c r="AM209" s="39"/>
      <c r="AN209" s="14"/>
      <c r="AO209" s="82"/>
      <c r="AP209" s="82"/>
      <c r="AQ209" s="7"/>
      <c r="AR209" s="82"/>
      <c r="AS209" s="82"/>
      <c r="AT209" s="82"/>
      <c r="AU209" s="82"/>
      <c r="AV209" s="82"/>
      <c r="AW209" s="7"/>
      <c r="AX209" s="82"/>
      <c r="AY209" s="7"/>
      <c r="AZ209" s="7"/>
      <c r="BA209" s="7"/>
      <c r="BB209" s="7"/>
      <c r="BC209" s="7"/>
      <c r="BD209" s="7"/>
      <c r="BE209" s="7"/>
      <c r="BF209" s="7"/>
      <c r="BG209" s="7"/>
    </row>
    <row r="210">
      <c r="A210" s="16">
        <v>39.0</v>
      </c>
      <c r="B210" s="16" t="s">
        <v>556</v>
      </c>
      <c r="C210" s="7">
        <v>1.0</v>
      </c>
      <c r="D210" s="53" t="s">
        <v>8536</v>
      </c>
      <c r="E210" s="7"/>
      <c r="F210" s="53"/>
      <c r="G210" s="16"/>
      <c r="H210" s="83">
        <v>1.0</v>
      </c>
      <c r="I210" s="9">
        <v>1.0</v>
      </c>
      <c r="J210" s="39"/>
      <c r="K210" s="53"/>
      <c r="L210" s="90"/>
      <c r="M210" s="49" t="s">
        <v>8547</v>
      </c>
      <c r="N210" s="321" t="s">
        <v>8548</v>
      </c>
      <c r="O210" s="322">
        <v>2005.0</v>
      </c>
      <c r="P210" s="47" t="s">
        <v>8549</v>
      </c>
      <c r="Q210" s="82"/>
      <c r="R210" s="82"/>
      <c r="S210" s="83"/>
      <c r="T210" s="83"/>
      <c r="U210" s="39"/>
      <c r="V210" s="7"/>
      <c r="W210" s="7" t="s">
        <v>8546</v>
      </c>
      <c r="X210" s="93"/>
      <c r="Y210" s="131"/>
      <c r="Z210" s="131"/>
      <c r="AA210" s="131"/>
      <c r="AB210" s="131"/>
      <c r="AC210" s="131"/>
      <c r="AD210" s="323"/>
      <c r="AE210" s="131"/>
      <c r="AF210" s="90"/>
      <c r="AG210" s="87"/>
      <c r="AH210" s="39"/>
      <c r="AI210" s="87"/>
      <c r="AJ210" s="81"/>
      <c r="AK210" s="90"/>
      <c r="AL210" s="81"/>
      <c r="AM210" s="39"/>
      <c r="AN210" s="14"/>
      <c r="AO210" s="82"/>
      <c r="AP210" s="82"/>
      <c r="AQ210" s="7"/>
      <c r="AR210" s="82"/>
      <c r="AS210" s="82"/>
      <c r="AT210" s="82"/>
      <c r="AU210" s="82"/>
      <c r="AV210" s="82"/>
      <c r="AW210" s="7"/>
      <c r="AX210" s="82"/>
      <c r="AY210" s="7"/>
      <c r="AZ210" s="7"/>
      <c r="BA210" s="7"/>
      <c r="BB210" s="7"/>
      <c r="BC210" s="7"/>
      <c r="BD210" s="7"/>
      <c r="BE210" s="7"/>
      <c r="BF210" s="7"/>
      <c r="BG210" s="7"/>
    </row>
    <row r="211">
      <c r="A211" s="16">
        <v>39.0</v>
      </c>
      <c r="B211" s="16" t="s">
        <v>556</v>
      </c>
      <c r="C211" s="7">
        <v>1.0</v>
      </c>
      <c r="D211" s="53" t="s">
        <v>8536</v>
      </c>
      <c r="E211" s="7"/>
      <c r="F211" s="53"/>
      <c r="G211" s="16"/>
      <c r="H211" s="83">
        <v>1.0</v>
      </c>
      <c r="I211" s="9">
        <v>1.0</v>
      </c>
      <c r="J211" s="39"/>
      <c r="K211" s="53"/>
      <c r="L211" s="90"/>
      <c r="M211" s="49" t="s">
        <v>8550</v>
      </c>
      <c r="N211" s="321" t="s">
        <v>8551</v>
      </c>
      <c r="O211" s="322">
        <v>2008.0</v>
      </c>
      <c r="P211" s="47" t="s">
        <v>8552</v>
      </c>
      <c r="Q211" s="82"/>
      <c r="R211" s="82"/>
      <c r="S211" s="83"/>
      <c r="T211" s="83"/>
      <c r="U211" s="39"/>
      <c r="V211" s="7"/>
      <c r="W211" s="7" t="s">
        <v>8546</v>
      </c>
      <c r="X211" s="93"/>
      <c r="Y211" s="131"/>
      <c r="Z211" s="131"/>
      <c r="AA211" s="131"/>
      <c r="AB211" s="131"/>
      <c r="AC211" s="131"/>
      <c r="AD211" s="323"/>
      <c r="AE211" s="131"/>
      <c r="AF211" s="90"/>
      <c r="AG211" s="87"/>
      <c r="AH211" s="39"/>
      <c r="AI211" s="87"/>
      <c r="AJ211" s="81"/>
      <c r="AK211" s="90"/>
      <c r="AL211" s="81"/>
      <c r="AM211" s="39"/>
      <c r="AN211" s="14"/>
      <c r="AO211" s="82"/>
      <c r="AP211" s="82"/>
      <c r="AQ211" s="7"/>
      <c r="AR211" s="82"/>
      <c r="AS211" s="82"/>
      <c r="AT211" s="82"/>
      <c r="AU211" s="82"/>
      <c r="AV211" s="82"/>
      <c r="AW211" s="7"/>
      <c r="AX211" s="82"/>
      <c r="AY211" s="7"/>
      <c r="AZ211" s="7"/>
      <c r="BA211" s="7"/>
      <c r="BB211" s="7"/>
      <c r="BC211" s="7"/>
      <c r="BD211" s="7"/>
      <c r="BE211" s="7"/>
      <c r="BF211" s="7"/>
      <c r="BG211" s="7"/>
    </row>
    <row r="212">
      <c r="A212" s="16">
        <v>69.0</v>
      </c>
      <c r="B212" s="16" t="s">
        <v>804</v>
      </c>
      <c r="C212" s="7">
        <v>2.0</v>
      </c>
      <c r="D212" s="53" t="s">
        <v>808</v>
      </c>
      <c r="E212" s="7"/>
      <c r="F212" s="53" t="s">
        <v>8553</v>
      </c>
      <c r="G212" s="16"/>
      <c r="H212" s="83">
        <v>1.0</v>
      </c>
      <c r="I212" s="9">
        <v>1.0</v>
      </c>
      <c r="J212" s="7" t="s">
        <v>6930</v>
      </c>
      <c r="K212" s="53"/>
      <c r="L212" s="90"/>
      <c r="M212" s="39"/>
      <c r="N212" s="321" t="s">
        <v>8554</v>
      </c>
      <c r="O212" s="322">
        <v>1983.0</v>
      </c>
      <c r="P212" s="47" t="s">
        <v>810</v>
      </c>
      <c r="Q212" s="82"/>
      <c r="R212" s="82"/>
      <c r="S212" s="83"/>
      <c r="T212" s="83"/>
      <c r="U212" s="39"/>
      <c r="V212" s="7">
        <v>8.0</v>
      </c>
      <c r="W212" s="7" t="s">
        <v>6930</v>
      </c>
      <c r="X212" s="93" t="s">
        <v>8555</v>
      </c>
      <c r="Y212" s="85"/>
      <c r="Z212" s="85"/>
      <c r="AA212" s="85" t="s">
        <v>1813</v>
      </c>
      <c r="AB212" s="85" t="s">
        <v>1814</v>
      </c>
      <c r="AC212" s="85" t="s">
        <v>6930</v>
      </c>
      <c r="AD212" s="325" t="s">
        <v>8556</v>
      </c>
      <c r="AE212" s="126" t="s">
        <v>8557</v>
      </c>
      <c r="AF212" s="21">
        <v>0.0</v>
      </c>
      <c r="AG212" s="87"/>
      <c r="AH212" s="16">
        <v>0.0</v>
      </c>
      <c r="AI212" s="87"/>
      <c r="AJ212" s="83">
        <v>0.0</v>
      </c>
      <c r="AK212" s="90"/>
      <c r="AL212" s="83">
        <v>0.0</v>
      </c>
      <c r="AM212" s="16">
        <v>0.0</v>
      </c>
      <c r="AN212" s="14"/>
      <c r="AO212" s="7">
        <v>0.0</v>
      </c>
      <c r="AP212" s="7">
        <v>0.0</v>
      </c>
      <c r="AQ212" s="7"/>
      <c r="AR212" s="82"/>
      <c r="AS212" s="82"/>
      <c r="AT212" s="82"/>
      <c r="AU212" s="82"/>
      <c r="AV212" s="82"/>
      <c r="AW212" s="7"/>
      <c r="AX212" s="82"/>
      <c r="AY212" s="7"/>
      <c r="AZ212" s="7"/>
      <c r="BA212" s="7"/>
      <c r="BB212" s="7">
        <v>8.0</v>
      </c>
      <c r="BC212" s="7"/>
      <c r="BD212" s="7"/>
      <c r="BE212" s="7" t="s">
        <v>440</v>
      </c>
      <c r="BF212" s="7"/>
      <c r="BG212" s="7"/>
    </row>
    <row r="213">
      <c r="A213" s="16">
        <v>69.0</v>
      </c>
      <c r="B213" s="16" t="s">
        <v>804</v>
      </c>
      <c r="C213" s="7">
        <v>2.0</v>
      </c>
      <c r="D213" s="53" t="s">
        <v>811</v>
      </c>
      <c r="E213" s="7"/>
      <c r="F213" s="53" t="s">
        <v>8558</v>
      </c>
      <c r="G213" s="16"/>
      <c r="H213" s="83">
        <v>1.0</v>
      </c>
      <c r="I213" s="9">
        <v>1.0</v>
      </c>
      <c r="J213" s="7" t="s">
        <v>8559</v>
      </c>
      <c r="K213" s="53"/>
      <c r="L213" s="90"/>
      <c r="M213" s="39"/>
      <c r="N213" s="321" t="s">
        <v>8560</v>
      </c>
      <c r="O213" s="322">
        <v>1982.0</v>
      </c>
      <c r="P213" s="47" t="s">
        <v>8561</v>
      </c>
      <c r="Q213" s="82"/>
      <c r="R213" s="82"/>
      <c r="S213" s="83"/>
      <c r="T213" s="83"/>
      <c r="U213" s="39"/>
      <c r="V213" s="7">
        <v>5.0</v>
      </c>
      <c r="W213" s="7" t="s">
        <v>8559</v>
      </c>
      <c r="X213" s="93" t="s">
        <v>8555</v>
      </c>
      <c r="Y213" s="85"/>
      <c r="Z213" s="85"/>
      <c r="AA213" s="85" t="s">
        <v>1813</v>
      </c>
      <c r="AB213" s="85" t="s">
        <v>1814</v>
      </c>
      <c r="AC213" s="85" t="s">
        <v>8562</v>
      </c>
      <c r="AD213" s="325" t="s">
        <v>8442</v>
      </c>
      <c r="AE213" s="85" t="s">
        <v>8563</v>
      </c>
      <c r="AF213" s="21">
        <v>1.0</v>
      </c>
      <c r="AG213" s="87"/>
      <c r="AH213" s="16">
        <v>0.0</v>
      </c>
      <c r="AI213" s="87"/>
      <c r="AJ213" s="83">
        <v>0.0</v>
      </c>
      <c r="AK213" s="90"/>
      <c r="AL213" s="83">
        <v>0.0</v>
      </c>
      <c r="AM213" s="16">
        <v>0.0</v>
      </c>
      <c r="AN213" s="14"/>
      <c r="AO213" s="7">
        <v>0.0</v>
      </c>
      <c r="AP213" s="7">
        <v>0.0</v>
      </c>
      <c r="AQ213" s="7"/>
      <c r="AR213" s="82"/>
      <c r="AS213" s="82"/>
      <c r="AT213" s="82"/>
      <c r="AU213" s="82"/>
      <c r="AV213" s="82"/>
      <c r="AW213" s="7"/>
      <c r="AX213" s="82"/>
      <c r="AY213" s="7"/>
      <c r="AZ213" s="7"/>
      <c r="BA213" s="7"/>
      <c r="BB213" s="7">
        <v>8.0</v>
      </c>
      <c r="BC213" s="7"/>
      <c r="BD213" s="7"/>
      <c r="BE213" s="7" t="s">
        <v>440</v>
      </c>
      <c r="BF213" s="7"/>
      <c r="BG213" s="7"/>
    </row>
    <row r="214">
      <c r="A214" s="16">
        <v>69.0</v>
      </c>
      <c r="B214" s="16" t="s">
        <v>804</v>
      </c>
      <c r="C214" s="7">
        <v>0.0</v>
      </c>
      <c r="D214" s="53" t="s">
        <v>811</v>
      </c>
      <c r="E214" s="7"/>
      <c r="F214" s="53"/>
      <c r="G214" s="16"/>
      <c r="H214" s="83">
        <v>1.0</v>
      </c>
      <c r="I214" s="9">
        <v>1.0</v>
      </c>
      <c r="J214" s="7" t="s">
        <v>8564</v>
      </c>
      <c r="K214" s="53"/>
      <c r="L214" s="90"/>
      <c r="M214" s="39"/>
      <c r="N214" s="321" t="s">
        <v>8565</v>
      </c>
      <c r="O214" s="322">
        <v>1981.0</v>
      </c>
      <c r="P214" s="47" t="s">
        <v>8566</v>
      </c>
      <c r="Q214" s="82"/>
      <c r="R214" s="82"/>
      <c r="S214" s="83"/>
      <c r="T214" s="83"/>
      <c r="U214" s="39"/>
      <c r="V214" s="7">
        <v>7.0</v>
      </c>
      <c r="W214" s="7" t="s">
        <v>8564</v>
      </c>
      <c r="X214" s="93" t="s">
        <v>8555</v>
      </c>
      <c r="Y214" s="85"/>
      <c r="Z214" s="85"/>
      <c r="AA214" s="85" t="s">
        <v>1813</v>
      </c>
      <c r="AB214" s="85" t="s">
        <v>1814</v>
      </c>
      <c r="AC214" s="131"/>
      <c r="AD214" s="323"/>
      <c r="AE214" s="131"/>
      <c r="AF214" s="90"/>
      <c r="AG214" s="87"/>
      <c r="AH214" s="16">
        <v>0.0</v>
      </c>
      <c r="AI214" s="87"/>
      <c r="AJ214" s="83">
        <v>0.0</v>
      </c>
      <c r="AK214" s="90"/>
      <c r="AL214" s="83">
        <v>0.0</v>
      </c>
      <c r="AM214" s="16">
        <v>0.0</v>
      </c>
      <c r="AN214" s="14"/>
      <c r="AO214" s="7">
        <v>0.0</v>
      </c>
      <c r="AP214" s="7">
        <v>0.0</v>
      </c>
      <c r="AQ214" s="7"/>
      <c r="AR214" s="82"/>
      <c r="AS214" s="82"/>
      <c r="AT214" s="82"/>
      <c r="AU214" s="82"/>
      <c r="AV214" s="82"/>
      <c r="AW214" s="7"/>
      <c r="AX214" s="82"/>
      <c r="AY214" s="7"/>
      <c r="AZ214" s="7"/>
      <c r="BA214" s="7"/>
      <c r="BB214" s="7">
        <v>8.0</v>
      </c>
      <c r="BC214" s="7"/>
      <c r="BD214" s="7"/>
      <c r="BE214" s="7" t="s">
        <v>440</v>
      </c>
      <c r="BF214" s="7"/>
      <c r="BG214" s="7"/>
    </row>
    <row r="215">
      <c r="A215" s="16">
        <v>69.0</v>
      </c>
      <c r="B215" s="16" t="s">
        <v>804</v>
      </c>
      <c r="C215" s="7">
        <v>2.0</v>
      </c>
      <c r="D215" s="53" t="s">
        <v>808</v>
      </c>
      <c r="E215" s="7"/>
      <c r="F215" s="53"/>
      <c r="G215" s="16"/>
      <c r="H215" s="83">
        <v>1.0</v>
      </c>
      <c r="I215" s="9">
        <v>1.0</v>
      </c>
      <c r="J215" s="16" t="s">
        <v>6930</v>
      </c>
      <c r="K215" s="53"/>
      <c r="L215" s="90"/>
      <c r="M215" s="39"/>
      <c r="N215" s="321" t="s">
        <v>8567</v>
      </c>
      <c r="O215" s="366">
        <v>1977.0</v>
      </c>
      <c r="P215" s="47" t="s">
        <v>807</v>
      </c>
      <c r="Q215" s="82"/>
      <c r="R215" s="82"/>
      <c r="S215" s="83"/>
      <c r="T215" s="83"/>
      <c r="U215" s="39"/>
      <c r="V215" s="7">
        <v>8.0</v>
      </c>
      <c r="W215" s="16" t="s">
        <v>6930</v>
      </c>
      <c r="X215" s="93" t="s">
        <v>8555</v>
      </c>
      <c r="Y215" s="85"/>
      <c r="Z215" s="85"/>
      <c r="AA215" s="85" t="s">
        <v>1813</v>
      </c>
      <c r="AB215" s="85" t="s">
        <v>1814</v>
      </c>
      <c r="AC215" s="85" t="s">
        <v>6930</v>
      </c>
      <c r="AD215" s="325" t="s">
        <v>8556</v>
      </c>
      <c r="AE215" s="126" t="s">
        <v>8557</v>
      </c>
      <c r="AF215" s="21">
        <v>0.0</v>
      </c>
      <c r="AG215" s="87"/>
      <c r="AH215" s="16">
        <v>0.0</v>
      </c>
      <c r="AI215" s="87"/>
      <c r="AJ215" s="83">
        <v>0.0</v>
      </c>
      <c r="AK215" s="90"/>
      <c r="AL215" s="83">
        <v>0.0</v>
      </c>
      <c r="AM215" s="16">
        <v>0.0</v>
      </c>
      <c r="AN215" s="14"/>
      <c r="AO215" s="7">
        <v>0.0</v>
      </c>
      <c r="AP215" s="7">
        <v>0.0</v>
      </c>
      <c r="AQ215" s="7"/>
      <c r="AR215" s="82"/>
      <c r="AS215" s="82"/>
      <c r="AT215" s="82"/>
      <c r="AU215" s="82"/>
      <c r="AV215" s="82"/>
      <c r="AW215" s="7"/>
      <c r="AX215" s="82"/>
      <c r="AY215" s="7"/>
      <c r="AZ215" s="7"/>
      <c r="BA215" s="7"/>
      <c r="BB215" s="7">
        <v>8.0</v>
      </c>
      <c r="BC215" s="7"/>
      <c r="BD215" s="7"/>
      <c r="BE215" s="7" t="s">
        <v>440</v>
      </c>
      <c r="BF215" s="7"/>
      <c r="BG215" s="7"/>
    </row>
    <row r="216">
      <c r="A216" s="39"/>
      <c r="B216" s="16" t="s">
        <v>342</v>
      </c>
      <c r="C216" s="7">
        <v>0.0</v>
      </c>
      <c r="D216" s="53"/>
      <c r="E216" s="7"/>
      <c r="F216" s="53"/>
      <c r="G216" s="16"/>
      <c r="H216" s="81"/>
      <c r="J216" s="39"/>
      <c r="K216" s="53"/>
      <c r="L216" s="90"/>
      <c r="M216" s="39"/>
      <c r="N216" s="6" t="s">
        <v>6386</v>
      </c>
      <c r="O216" s="6">
        <v>2004.0</v>
      </c>
      <c r="P216" s="18" t="s">
        <v>6405</v>
      </c>
      <c r="Q216" s="82"/>
      <c r="R216" s="82"/>
      <c r="S216" s="81"/>
      <c r="T216" s="83"/>
      <c r="U216" s="39"/>
      <c r="V216" s="7"/>
      <c r="W216" s="7"/>
      <c r="X216" s="93"/>
      <c r="Y216" s="131"/>
      <c r="Z216" s="131"/>
      <c r="AA216" s="131"/>
      <c r="AB216" s="131"/>
      <c r="AC216" s="131"/>
      <c r="AD216" s="323"/>
      <c r="AE216" s="131"/>
      <c r="AF216" s="90"/>
      <c r="AG216" s="87"/>
      <c r="AH216" s="39"/>
      <c r="AI216" s="87"/>
      <c r="AJ216" s="81"/>
      <c r="AK216" s="90"/>
      <c r="AL216" s="81"/>
      <c r="AM216" s="39"/>
      <c r="AN216" s="14"/>
      <c r="AO216" s="82"/>
      <c r="AP216" s="82"/>
      <c r="AQ216" s="7"/>
      <c r="AR216" s="82"/>
      <c r="AS216" s="82"/>
      <c r="AT216" s="82"/>
      <c r="AU216" s="82"/>
      <c r="AV216" s="82"/>
      <c r="AW216" s="7"/>
      <c r="AX216" s="82"/>
      <c r="AY216" s="7"/>
      <c r="AZ216" s="7"/>
      <c r="BA216" s="7"/>
      <c r="BB216" s="7"/>
      <c r="BC216" s="7"/>
      <c r="BD216" s="7"/>
      <c r="BE216" s="7"/>
      <c r="BF216" s="7"/>
      <c r="BG216" s="7"/>
    </row>
    <row r="217">
      <c r="A217" s="39"/>
      <c r="B217" s="39"/>
      <c r="C217" s="7"/>
      <c r="D217" s="53"/>
      <c r="E217" s="7"/>
      <c r="F217" s="53"/>
      <c r="G217" s="16"/>
      <c r="H217" s="81"/>
      <c r="J217" s="39"/>
      <c r="K217" s="53"/>
      <c r="L217" s="90"/>
      <c r="M217" s="39"/>
      <c r="N217" s="327"/>
      <c r="O217" s="367"/>
      <c r="P217" s="82"/>
      <c r="Q217" s="82"/>
      <c r="R217" s="82"/>
      <c r="S217" s="81"/>
      <c r="T217" s="83"/>
      <c r="U217" s="39"/>
      <c r="V217" s="7"/>
      <c r="W217" s="7"/>
      <c r="X217" s="93"/>
      <c r="Y217" s="131"/>
      <c r="Z217" s="131"/>
      <c r="AA217" s="131"/>
      <c r="AB217" s="131"/>
      <c r="AC217" s="131"/>
      <c r="AD217" s="323"/>
      <c r="AE217" s="131"/>
      <c r="AF217" s="90"/>
      <c r="AG217" s="87"/>
      <c r="AH217" s="39"/>
      <c r="AI217" s="87"/>
      <c r="AJ217" s="81"/>
      <c r="AK217" s="90"/>
      <c r="AL217" s="81"/>
      <c r="AM217" s="39"/>
      <c r="AN217" s="14"/>
      <c r="AO217" s="82"/>
      <c r="AP217" s="82"/>
      <c r="AQ217" s="7"/>
      <c r="AR217" s="82"/>
      <c r="AS217" s="82"/>
      <c r="AT217" s="82"/>
      <c r="AU217" s="82"/>
      <c r="AV217" s="82"/>
      <c r="AW217" s="7"/>
      <c r="AX217" s="82"/>
      <c r="AY217" s="7"/>
      <c r="AZ217" s="7"/>
      <c r="BA217" s="7"/>
      <c r="BB217" s="7"/>
      <c r="BC217" s="7"/>
      <c r="BD217" s="7"/>
      <c r="BE217" s="7"/>
      <c r="BF217" s="7"/>
      <c r="BG217" s="7"/>
    </row>
    <row r="218">
      <c r="A218" s="39"/>
      <c r="B218" s="39"/>
      <c r="C218" s="7"/>
      <c r="D218" s="53"/>
      <c r="E218" s="7"/>
      <c r="F218" s="53"/>
      <c r="G218" s="16"/>
      <c r="H218" s="81"/>
      <c r="J218" s="39"/>
      <c r="K218" s="53"/>
      <c r="L218" s="90"/>
      <c r="M218" s="39"/>
      <c r="N218" s="327"/>
      <c r="O218" s="367"/>
      <c r="P218" s="82"/>
      <c r="Q218" s="82"/>
      <c r="R218" s="82"/>
      <c r="S218" s="83"/>
      <c r="T218" s="83"/>
      <c r="U218" s="39"/>
      <c r="V218" s="7"/>
      <c r="W218" s="7"/>
      <c r="X218" s="93"/>
      <c r="Y218" s="131"/>
      <c r="Z218" s="131"/>
      <c r="AA218" s="131"/>
      <c r="AB218" s="131"/>
      <c r="AC218" s="131"/>
      <c r="AD218" s="323"/>
      <c r="AE218" s="131"/>
      <c r="AF218" s="90"/>
      <c r="AG218" s="87"/>
      <c r="AH218" s="39"/>
      <c r="AI218" s="87"/>
      <c r="AJ218" s="81"/>
      <c r="AK218" s="90"/>
      <c r="AL218" s="81"/>
      <c r="AM218" s="39"/>
      <c r="AN218" s="14"/>
      <c r="AO218" s="82"/>
      <c r="AP218" s="82"/>
      <c r="AQ218" s="7"/>
      <c r="AR218" s="82"/>
      <c r="AS218" s="82"/>
      <c r="AT218" s="82"/>
      <c r="AU218" s="82"/>
      <c r="AV218" s="82"/>
      <c r="AW218" s="7"/>
      <c r="AX218" s="82"/>
      <c r="AY218" s="7"/>
      <c r="AZ218" s="7"/>
      <c r="BA218" s="7"/>
      <c r="BB218" s="7"/>
      <c r="BC218" s="7"/>
      <c r="BD218" s="7"/>
      <c r="BE218" s="7"/>
      <c r="BF218" s="7"/>
      <c r="BG218" s="7"/>
    </row>
    <row r="219">
      <c r="A219" s="39"/>
      <c r="B219" s="39"/>
      <c r="C219" s="7"/>
      <c r="D219" s="53"/>
      <c r="E219" s="7"/>
      <c r="F219" s="53"/>
      <c r="G219" s="16"/>
      <c r="H219" s="81"/>
      <c r="J219" s="39"/>
      <c r="K219" s="53"/>
      <c r="L219" s="90"/>
      <c r="M219" s="39"/>
      <c r="N219" s="327"/>
      <c r="O219" s="368"/>
      <c r="P219" s="82"/>
      <c r="Q219" s="82"/>
      <c r="R219" s="82"/>
      <c r="S219" s="81"/>
      <c r="T219" s="83"/>
      <c r="U219" s="39"/>
      <c r="V219" s="7"/>
      <c r="W219" s="7"/>
      <c r="X219" s="93"/>
      <c r="Y219" s="131"/>
      <c r="Z219" s="131"/>
      <c r="AA219" s="131"/>
      <c r="AB219" s="131"/>
      <c r="AC219" s="131"/>
      <c r="AD219" s="323"/>
      <c r="AE219" s="131"/>
      <c r="AF219" s="90"/>
      <c r="AG219" s="87"/>
      <c r="AH219" s="39"/>
      <c r="AI219" s="87"/>
      <c r="AJ219" s="81"/>
      <c r="AK219" s="90"/>
      <c r="AL219" s="81"/>
      <c r="AM219" s="39"/>
      <c r="AN219" s="14"/>
      <c r="AO219" s="82"/>
      <c r="AP219" s="82"/>
      <c r="AQ219" s="7"/>
      <c r="AR219" s="82"/>
      <c r="AS219" s="82"/>
      <c r="AT219" s="82"/>
      <c r="AU219" s="82"/>
      <c r="AV219" s="82"/>
      <c r="AW219" s="7"/>
      <c r="AX219" s="82"/>
      <c r="AY219" s="7"/>
      <c r="AZ219" s="7"/>
      <c r="BA219" s="7"/>
      <c r="BB219" s="7"/>
      <c r="BC219" s="7"/>
      <c r="BD219" s="7"/>
      <c r="BE219" s="7"/>
      <c r="BF219" s="7"/>
      <c r="BG219" s="7"/>
    </row>
    <row r="220">
      <c r="A220" s="39"/>
      <c r="B220" s="39"/>
      <c r="C220" s="7"/>
      <c r="D220" s="53"/>
      <c r="E220" s="7"/>
      <c r="F220" s="53"/>
      <c r="G220" s="16"/>
      <c r="H220" s="81"/>
      <c r="J220" s="39"/>
      <c r="K220" s="53"/>
      <c r="L220" s="90"/>
      <c r="M220" s="39"/>
      <c r="N220" s="327"/>
      <c r="O220" s="367"/>
      <c r="P220" s="7"/>
      <c r="Q220" s="7"/>
      <c r="R220" s="82"/>
      <c r="S220" s="81"/>
      <c r="T220" s="81"/>
      <c r="U220" s="39"/>
      <c r="V220" s="7"/>
      <c r="W220" s="7"/>
      <c r="X220" s="93"/>
      <c r="Y220" s="131"/>
      <c r="Z220" s="131"/>
      <c r="AA220" s="131"/>
      <c r="AB220" s="131"/>
      <c r="AC220" s="131"/>
      <c r="AD220" s="323"/>
      <c r="AE220" s="131"/>
      <c r="AF220" s="90"/>
      <c r="AG220" s="87"/>
      <c r="AH220" s="39"/>
      <c r="AI220" s="87"/>
      <c r="AJ220" s="81"/>
      <c r="AK220" s="90"/>
      <c r="AL220" s="81"/>
      <c r="AM220" s="39"/>
      <c r="AN220" s="7"/>
      <c r="AO220" s="82"/>
      <c r="AP220" s="82"/>
      <c r="AQ220" s="7"/>
      <c r="AR220" s="82"/>
      <c r="AS220" s="7"/>
      <c r="AT220" s="7"/>
      <c r="AU220" s="82"/>
      <c r="AV220" s="7"/>
      <c r="AW220" s="7"/>
      <c r="AX220" s="82"/>
      <c r="AY220" s="7"/>
      <c r="AZ220" s="7"/>
      <c r="BA220" s="7"/>
      <c r="BB220" s="7"/>
      <c r="BC220" s="7"/>
      <c r="BD220" s="7"/>
      <c r="BE220" s="7"/>
      <c r="BF220" s="7"/>
      <c r="BG220" s="7"/>
    </row>
    <row r="221">
      <c r="A221" s="39"/>
      <c r="B221" s="39"/>
      <c r="C221" s="7"/>
      <c r="D221" s="53"/>
      <c r="E221" s="7"/>
      <c r="F221" s="53"/>
      <c r="G221" s="16"/>
      <c r="H221" s="81"/>
      <c r="J221" s="39"/>
      <c r="K221" s="53"/>
      <c r="L221" s="90"/>
      <c r="M221" s="39"/>
      <c r="N221" s="327"/>
      <c r="O221" s="368"/>
      <c r="P221" s="82"/>
      <c r="Q221" s="82"/>
      <c r="R221" s="82"/>
      <c r="S221" s="81"/>
      <c r="T221" s="81"/>
      <c r="U221" s="39"/>
      <c r="V221" s="7"/>
      <c r="W221" s="7"/>
      <c r="X221" s="93"/>
      <c r="Y221" s="131"/>
      <c r="Z221" s="131"/>
      <c r="AA221" s="131"/>
      <c r="AB221" s="131"/>
      <c r="AC221" s="131"/>
      <c r="AD221" s="323"/>
      <c r="AE221" s="131"/>
      <c r="AF221" s="90"/>
      <c r="AG221" s="87"/>
      <c r="AH221" s="39"/>
      <c r="AI221" s="87"/>
      <c r="AJ221" s="81"/>
      <c r="AK221" s="90"/>
      <c r="AL221" s="81"/>
      <c r="AM221" s="39"/>
      <c r="AN221" s="7"/>
      <c r="AO221" s="82"/>
      <c r="AP221" s="82"/>
      <c r="AQ221" s="7"/>
      <c r="AR221" s="82"/>
      <c r="AS221" s="82"/>
      <c r="AT221" s="82"/>
      <c r="AU221" s="82"/>
      <c r="AV221" s="82"/>
      <c r="AW221" s="7"/>
      <c r="AX221" s="82"/>
      <c r="AY221" s="7"/>
      <c r="AZ221" s="7"/>
      <c r="BA221" s="7"/>
      <c r="BB221" s="7"/>
      <c r="BC221" s="7"/>
      <c r="BD221" s="7"/>
      <c r="BE221" s="7"/>
      <c r="BF221" s="7"/>
      <c r="BG221" s="7"/>
    </row>
    <row r="222">
      <c r="A222" s="39"/>
      <c r="B222" s="39"/>
      <c r="C222" s="7"/>
      <c r="D222" s="53"/>
      <c r="E222" s="7"/>
      <c r="F222" s="53"/>
      <c r="G222" s="16"/>
      <c r="H222" s="81"/>
      <c r="J222" s="39"/>
      <c r="K222" s="53"/>
      <c r="L222" s="90"/>
      <c r="M222" s="39"/>
      <c r="N222" s="327"/>
      <c r="O222" s="367"/>
      <c r="P222" s="82"/>
      <c r="Q222" s="82"/>
      <c r="R222" s="82"/>
      <c r="S222" s="81"/>
      <c r="T222" s="81"/>
      <c r="U222" s="39"/>
      <c r="V222" s="7"/>
      <c r="W222" s="7"/>
      <c r="X222" s="93"/>
      <c r="Y222" s="131"/>
      <c r="Z222" s="131"/>
      <c r="AA222" s="131"/>
      <c r="AB222" s="131"/>
      <c r="AC222" s="131"/>
      <c r="AD222" s="323"/>
      <c r="AE222" s="131"/>
      <c r="AF222" s="90"/>
      <c r="AG222" s="87"/>
      <c r="AH222" s="39"/>
      <c r="AI222" s="87"/>
      <c r="AJ222" s="81"/>
      <c r="AK222" s="90"/>
      <c r="AL222" s="81"/>
      <c r="AM222" s="39"/>
      <c r="AN222" s="7"/>
      <c r="AO222" s="82"/>
      <c r="AP222" s="82"/>
      <c r="AQ222" s="7"/>
      <c r="AR222" s="82"/>
      <c r="AS222" s="82"/>
      <c r="AT222" s="82"/>
      <c r="AU222" s="82"/>
      <c r="AV222" s="82"/>
      <c r="AW222" s="7"/>
      <c r="AX222" s="82"/>
      <c r="AY222" s="7"/>
      <c r="AZ222" s="7"/>
      <c r="BA222" s="7"/>
      <c r="BB222" s="7"/>
      <c r="BC222" s="7"/>
      <c r="BD222" s="7"/>
      <c r="BE222" s="7"/>
      <c r="BF222" s="7"/>
      <c r="BG222" s="7"/>
    </row>
    <row r="223">
      <c r="A223" s="39"/>
      <c r="B223" s="39"/>
      <c r="C223" s="7"/>
      <c r="D223" s="53"/>
      <c r="E223" s="7"/>
      <c r="F223" s="53"/>
      <c r="G223" s="16"/>
      <c r="H223" s="81"/>
      <c r="J223" s="39"/>
      <c r="K223" s="53"/>
      <c r="L223" s="90"/>
      <c r="M223" s="39"/>
      <c r="N223" s="327"/>
      <c r="O223" s="367"/>
      <c r="P223" s="82"/>
      <c r="Q223" s="82"/>
      <c r="R223" s="82"/>
      <c r="S223" s="81"/>
      <c r="T223" s="81"/>
      <c r="U223" s="39"/>
      <c r="V223" s="7"/>
      <c r="W223" s="7"/>
      <c r="X223" s="93"/>
      <c r="Y223" s="131"/>
      <c r="Z223" s="131"/>
      <c r="AA223" s="131"/>
      <c r="AB223" s="131"/>
      <c r="AC223" s="131"/>
      <c r="AD223" s="323"/>
      <c r="AE223" s="131"/>
      <c r="AF223" s="90"/>
      <c r="AG223" s="87"/>
      <c r="AH223" s="39"/>
      <c r="AI223" s="87"/>
      <c r="AJ223" s="81"/>
      <c r="AK223" s="21"/>
      <c r="AL223" s="81"/>
      <c r="AM223" s="39"/>
      <c r="AN223" s="7"/>
      <c r="AO223" s="82"/>
      <c r="AP223" s="82"/>
      <c r="AQ223" s="7"/>
      <c r="AR223" s="82"/>
      <c r="AS223" s="82"/>
      <c r="AT223" s="82"/>
      <c r="AU223" s="82"/>
      <c r="AV223" s="82"/>
      <c r="AW223" s="7"/>
      <c r="AX223" s="82"/>
      <c r="AY223" s="7"/>
      <c r="AZ223" s="7"/>
      <c r="BA223" s="7"/>
      <c r="BB223" s="7"/>
      <c r="BC223" s="7"/>
      <c r="BD223" s="7"/>
      <c r="BE223" s="7"/>
      <c r="BF223" s="7"/>
      <c r="BG223" s="7"/>
    </row>
    <row r="224">
      <c r="A224" s="39"/>
      <c r="B224" s="39"/>
      <c r="C224" s="7"/>
      <c r="D224" s="53"/>
      <c r="E224" s="7"/>
      <c r="F224" s="53"/>
      <c r="G224" s="16"/>
      <c r="H224" s="81"/>
      <c r="J224" s="39"/>
      <c r="K224" s="53"/>
      <c r="L224" s="90"/>
      <c r="M224" s="39"/>
      <c r="N224" s="327"/>
      <c r="O224" s="367"/>
      <c r="P224" s="82"/>
      <c r="Q224" s="82"/>
      <c r="R224" s="82"/>
      <c r="S224" s="81"/>
      <c r="T224" s="81"/>
      <c r="U224" s="39"/>
      <c r="V224" s="7"/>
      <c r="W224" s="7"/>
      <c r="X224" s="93"/>
      <c r="Y224" s="131"/>
      <c r="Z224" s="131"/>
      <c r="AA224" s="131"/>
      <c r="AB224" s="131"/>
      <c r="AC224" s="131"/>
      <c r="AD224" s="323"/>
      <c r="AE224" s="131"/>
      <c r="AF224" s="90"/>
      <c r="AG224" s="87"/>
      <c r="AH224" s="39"/>
      <c r="AI224" s="87"/>
      <c r="AJ224" s="81"/>
      <c r="AK224" s="90"/>
      <c r="AL224" s="81"/>
      <c r="AM224" s="39"/>
      <c r="AN224" s="7"/>
      <c r="AO224" s="82"/>
      <c r="AP224" s="82"/>
      <c r="AQ224" s="7"/>
      <c r="AR224" s="82"/>
      <c r="AS224" s="82"/>
      <c r="AT224" s="82"/>
      <c r="AU224" s="82"/>
      <c r="AV224" s="82"/>
      <c r="AW224" s="7"/>
      <c r="AX224" s="82"/>
      <c r="AY224" s="7"/>
      <c r="AZ224" s="7"/>
      <c r="BA224" s="7"/>
      <c r="BB224" s="7"/>
      <c r="BC224" s="7"/>
      <c r="BD224" s="7"/>
      <c r="BE224" s="7"/>
      <c r="BF224" s="7"/>
      <c r="BG224" s="7"/>
    </row>
    <row r="225">
      <c r="A225" s="39"/>
      <c r="B225" s="39"/>
      <c r="C225" s="7"/>
      <c r="D225" s="53"/>
      <c r="E225" s="7"/>
      <c r="F225" s="53"/>
      <c r="G225" s="16"/>
      <c r="H225" s="81"/>
      <c r="J225" s="39"/>
      <c r="K225" s="53"/>
      <c r="L225" s="90"/>
      <c r="M225" s="39"/>
      <c r="N225" s="327"/>
      <c r="O225" s="367"/>
      <c r="P225" s="82"/>
      <c r="Q225" s="82"/>
      <c r="R225" s="82"/>
      <c r="S225" s="81"/>
      <c r="T225" s="81"/>
      <c r="U225" s="39"/>
      <c r="V225" s="7"/>
      <c r="W225" s="7"/>
      <c r="X225" s="93"/>
      <c r="Y225" s="131"/>
      <c r="Z225" s="131"/>
      <c r="AA225" s="131"/>
      <c r="AB225" s="131"/>
      <c r="AC225" s="131"/>
      <c r="AD225" s="323"/>
      <c r="AE225" s="131"/>
      <c r="AF225" s="90"/>
      <c r="AG225" s="87"/>
      <c r="AH225" s="39"/>
      <c r="AI225" s="87"/>
      <c r="AJ225" s="81"/>
      <c r="AK225" s="90"/>
      <c r="AL225" s="81"/>
      <c r="AM225" s="31"/>
      <c r="AN225" s="7"/>
      <c r="AO225" s="82"/>
      <c r="AP225" s="82"/>
      <c r="AQ225" s="7"/>
      <c r="AR225" s="82"/>
      <c r="AS225" s="82"/>
      <c r="AT225" s="82"/>
      <c r="AU225" s="82"/>
      <c r="AV225" s="82"/>
      <c r="AW225" s="7"/>
      <c r="AX225" s="82"/>
      <c r="AY225" s="7"/>
      <c r="AZ225" s="7"/>
      <c r="BA225" s="7"/>
      <c r="BB225" s="7"/>
      <c r="BC225" s="7"/>
      <c r="BD225" s="7"/>
      <c r="BE225" s="7"/>
      <c r="BF225" s="7"/>
      <c r="BG225" s="7"/>
    </row>
    <row r="226">
      <c r="A226" s="39"/>
      <c r="B226" s="39"/>
      <c r="C226" s="7"/>
      <c r="D226" s="53"/>
      <c r="E226" s="7"/>
      <c r="F226" s="53"/>
      <c r="G226" s="16"/>
      <c r="H226" s="81"/>
      <c r="J226" s="39"/>
      <c r="K226" s="53"/>
      <c r="L226" s="90"/>
      <c r="M226" s="39"/>
      <c r="N226" s="327"/>
      <c r="O226" s="367"/>
      <c r="P226" s="82"/>
      <c r="Q226" s="82"/>
      <c r="R226" s="82"/>
      <c r="S226" s="81"/>
      <c r="T226" s="81"/>
      <c r="U226" s="39"/>
      <c r="V226" s="7"/>
      <c r="W226" s="7"/>
      <c r="X226" s="93"/>
      <c r="Y226" s="131"/>
      <c r="Z226" s="131"/>
      <c r="AA226" s="131"/>
      <c r="AB226" s="131"/>
      <c r="AC226" s="131"/>
      <c r="AD226" s="323"/>
      <c r="AE226" s="131"/>
      <c r="AF226" s="90"/>
      <c r="AG226" s="87"/>
      <c r="AH226" s="39"/>
      <c r="AI226" s="87"/>
      <c r="AJ226" s="81"/>
      <c r="AK226" s="90"/>
      <c r="AL226" s="81"/>
      <c r="AM226" s="31"/>
      <c r="AN226" s="7"/>
      <c r="AO226" s="82"/>
      <c r="AP226" s="82"/>
      <c r="AQ226" s="7"/>
      <c r="AR226" s="82"/>
      <c r="AS226" s="82"/>
      <c r="AT226" s="82"/>
      <c r="AU226" s="82"/>
      <c r="AV226" s="82"/>
      <c r="AW226" s="7"/>
      <c r="AX226" s="82"/>
      <c r="AY226" s="7"/>
      <c r="AZ226" s="7"/>
      <c r="BA226" s="7"/>
      <c r="BB226" s="7"/>
      <c r="BC226" s="7"/>
      <c r="BD226" s="7"/>
      <c r="BE226" s="7"/>
      <c r="BF226" s="7"/>
      <c r="BG226" s="7"/>
    </row>
    <row r="227">
      <c r="A227" s="39"/>
      <c r="B227" s="39"/>
      <c r="C227" s="7"/>
      <c r="D227" s="53"/>
      <c r="E227" s="7"/>
      <c r="F227" s="53"/>
      <c r="G227" s="16"/>
      <c r="H227" s="81"/>
      <c r="J227" s="39"/>
      <c r="K227" s="53"/>
      <c r="L227" s="90"/>
      <c r="M227" s="39"/>
      <c r="N227" s="327"/>
      <c r="O227" s="367"/>
      <c r="P227" s="82"/>
      <c r="Q227" s="82"/>
      <c r="R227" s="82"/>
      <c r="S227" s="81"/>
      <c r="T227" s="81"/>
      <c r="U227" s="39"/>
      <c r="V227" s="7"/>
      <c r="W227" s="7"/>
      <c r="X227" s="93"/>
      <c r="Y227" s="131"/>
      <c r="Z227" s="131"/>
      <c r="AA227" s="131"/>
      <c r="AB227" s="131"/>
      <c r="AC227" s="131"/>
      <c r="AD227" s="323"/>
      <c r="AE227" s="131"/>
      <c r="AF227" s="90"/>
      <c r="AG227" s="87"/>
      <c r="AH227" s="39"/>
      <c r="AI227" s="87"/>
      <c r="AJ227" s="81"/>
      <c r="AK227" s="90"/>
      <c r="AL227" s="81"/>
      <c r="AM227" s="31"/>
      <c r="AN227" s="7"/>
      <c r="AO227" s="82"/>
      <c r="AP227" s="82"/>
      <c r="AQ227" s="7"/>
      <c r="AR227" s="82"/>
      <c r="AS227" s="82"/>
      <c r="AT227" s="82"/>
      <c r="AU227" s="82"/>
      <c r="AV227" s="82"/>
      <c r="AW227" s="7"/>
      <c r="AX227" s="82"/>
      <c r="AY227" s="7"/>
      <c r="AZ227" s="7"/>
      <c r="BA227" s="7"/>
      <c r="BB227" s="7"/>
      <c r="BC227" s="7"/>
      <c r="BD227" s="7"/>
      <c r="BE227" s="7"/>
      <c r="BF227" s="7"/>
      <c r="BG227" s="7"/>
    </row>
    <row r="228">
      <c r="A228" s="39"/>
      <c r="B228" s="39"/>
      <c r="C228" s="7"/>
      <c r="D228" s="53"/>
      <c r="E228" s="7"/>
      <c r="F228" s="53"/>
      <c r="G228" s="16"/>
      <c r="H228" s="81"/>
      <c r="J228" s="39"/>
      <c r="K228" s="53"/>
      <c r="L228" s="90"/>
      <c r="M228" s="39"/>
      <c r="N228" s="327"/>
      <c r="O228" s="367"/>
      <c r="P228" s="82"/>
      <c r="Q228" s="82"/>
      <c r="R228" s="82"/>
      <c r="S228" s="81"/>
      <c r="T228" s="81"/>
      <c r="U228" s="39"/>
      <c r="V228" s="7"/>
      <c r="W228" s="7"/>
      <c r="X228" s="93"/>
      <c r="Y228" s="131"/>
      <c r="Z228" s="131"/>
      <c r="AA228" s="131"/>
      <c r="AB228" s="131"/>
      <c r="AC228" s="131"/>
      <c r="AD228" s="323"/>
      <c r="AE228" s="131"/>
      <c r="AF228" s="90"/>
      <c r="AG228" s="87"/>
      <c r="AH228" s="39"/>
      <c r="AI228" s="87"/>
      <c r="AJ228" s="81"/>
      <c r="AK228" s="90"/>
      <c r="AL228" s="81"/>
      <c r="AM228" s="31"/>
      <c r="AN228" s="7"/>
      <c r="AO228" s="82"/>
      <c r="AP228" s="82"/>
      <c r="AQ228" s="7"/>
      <c r="AR228" s="82"/>
      <c r="AS228" s="82"/>
      <c r="AT228" s="82"/>
      <c r="AU228" s="82"/>
      <c r="AV228" s="82"/>
      <c r="AW228" s="7"/>
      <c r="AX228" s="82"/>
      <c r="AY228" s="7"/>
      <c r="AZ228" s="7"/>
      <c r="BA228" s="7"/>
      <c r="BB228" s="7"/>
      <c r="BC228" s="7"/>
      <c r="BD228" s="7"/>
      <c r="BE228" s="7"/>
      <c r="BF228" s="7"/>
      <c r="BG228" s="7"/>
    </row>
    <row r="229">
      <c r="A229" s="39"/>
      <c r="B229" s="39"/>
      <c r="C229" s="7"/>
      <c r="D229" s="53"/>
      <c r="E229" s="7"/>
      <c r="F229" s="53"/>
      <c r="G229" s="16"/>
      <c r="H229" s="81"/>
      <c r="J229" s="39"/>
      <c r="K229" s="53"/>
      <c r="L229" s="90"/>
      <c r="M229" s="39"/>
      <c r="N229" s="327"/>
      <c r="O229" s="367"/>
      <c r="P229" s="82"/>
      <c r="Q229" s="82"/>
      <c r="R229" s="82"/>
      <c r="S229" s="81"/>
      <c r="T229" s="81"/>
      <c r="U229" s="39"/>
      <c r="V229" s="7"/>
      <c r="W229" s="7"/>
      <c r="X229" s="93"/>
      <c r="Y229" s="131"/>
      <c r="Z229" s="131"/>
      <c r="AA229" s="131"/>
      <c r="AB229" s="131"/>
      <c r="AC229" s="131"/>
      <c r="AD229" s="323"/>
      <c r="AE229" s="131"/>
      <c r="AF229" s="90"/>
      <c r="AG229" s="87"/>
      <c r="AH229" s="39"/>
      <c r="AI229" s="21"/>
      <c r="AJ229" s="16"/>
      <c r="AK229" s="90"/>
      <c r="AL229" s="16"/>
      <c r="AM229" s="31"/>
      <c r="AN229" s="7"/>
      <c r="AO229" s="82"/>
      <c r="AP229" s="82"/>
      <c r="AQ229" s="7"/>
      <c r="AR229" s="82"/>
      <c r="AS229" s="82"/>
      <c r="AT229" s="82"/>
      <c r="AU229" s="82"/>
      <c r="AV229" s="82"/>
      <c r="AW229" s="7"/>
      <c r="AX229" s="82"/>
      <c r="AY229" s="7"/>
      <c r="AZ229" s="7"/>
      <c r="BA229" s="7"/>
      <c r="BB229" s="7"/>
      <c r="BC229" s="7"/>
      <c r="BD229" s="7"/>
      <c r="BE229" s="7"/>
      <c r="BF229" s="7"/>
      <c r="BG229" s="7"/>
    </row>
    <row r="230">
      <c r="A230" s="39"/>
      <c r="B230" s="39"/>
      <c r="C230" s="7"/>
      <c r="D230" s="53"/>
      <c r="E230" s="7"/>
      <c r="F230" s="53"/>
      <c r="G230" s="16"/>
      <c r="H230" s="81"/>
      <c r="J230" s="39"/>
      <c r="K230" s="53"/>
      <c r="L230" s="90"/>
      <c r="M230" s="39"/>
      <c r="N230" s="327"/>
      <c r="O230" s="368"/>
      <c r="P230" s="82"/>
      <c r="Q230" s="82"/>
      <c r="R230" s="82"/>
      <c r="S230" s="81"/>
      <c r="T230" s="81"/>
      <c r="U230" s="39"/>
      <c r="V230" s="7"/>
      <c r="W230" s="7"/>
      <c r="X230" s="93"/>
      <c r="Y230" s="131"/>
      <c r="Z230" s="131"/>
      <c r="AA230" s="131"/>
      <c r="AB230" s="131"/>
      <c r="AC230" s="131"/>
      <c r="AD230" s="323"/>
      <c r="AE230" s="131"/>
      <c r="AF230" s="90"/>
      <c r="AG230" s="87"/>
      <c r="AH230" s="39"/>
      <c r="AI230" s="87"/>
      <c r="AJ230" s="81"/>
      <c r="AK230" s="90"/>
      <c r="AL230" s="81"/>
      <c r="AM230" s="39"/>
      <c r="AN230" s="7"/>
      <c r="AO230" s="82"/>
      <c r="AP230" s="82"/>
      <c r="AQ230" s="7"/>
      <c r="AR230" s="82"/>
      <c r="AS230" s="82"/>
      <c r="AT230" s="82"/>
      <c r="AU230" s="82"/>
      <c r="AV230" s="82"/>
      <c r="AW230" s="7"/>
      <c r="AX230" s="82"/>
      <c r="AY230" s="7"/>
      <c r="AZ230" s="7"/>
      <c r="BA230" s="7"/>
      <c r="BB230" s="7"/>
      <c r="BC230" s="7"/>
      <c r="BD230" s="7"/>
      <c r="BE230" s="7"/>
      <c r="BF230" s="7"/>
      <c r="BG230" s="7"/>
    </row>
    <row r="231">
      <c r="A231" s="39"/>
      <c r="B231" s="39"/>
      <c r="C231" s="7"/>
      <c r="D231" s="53"/>
      <c r="E231" s="7"/>
      <c r="F231" s="53"/>
      <c r="G231" s="16"/>
      <c r="H231" s="81"/>
      <c r="J231" s="39"/>
      <c r="K231" s="53"/>
      <c r="L231" s="90"/>
      <c r="M231" s="39"/>
      <c r="N231" s="321"/>
      <c r="O231" s="367"/>
      <c r="P231" s="7"/>
      <c r="Q231" s="7"/>
      <c r="R231" s="82"/>
      <c r="S231" s="16"/>
      <c r="T231" s="16"/>
      <c r="U231" s="39"/>
      <c r="V231" s="7"/>
      <c r="W231" s="7"/>
      <c r="X231" s="93"/>
      <c r="Y231" s="131"/>
      <c r="Z231" s="131"/>
      <c r="AA231" s="131"/>
      <c r="AB231" s="131"/>
      <c r="AC231" s="131"/>
      <c r="AD231" s="323"/>
      <c r="AE231" s="131"/>
      <c r="AF231" s="90"/>
      <c r="AG231" s="87"/>
      <c r="AH231" s="39"/>
      <c r="AI231" s="87"/>
      <c r="AJ231" s="81"/>
      <c r="AK231" s="90"/>
      <c r="AL231" s="81"/>
      <c r="AM231" s="39"/>
      <c r="AN231" s="7"/>
      <c r="AO231" s="82"/>
      <c r="AP231" s="82"/>
      <c r="AQ231" s="7"/>
      <c r="AR231" s="7"/>
      <c r="AS231" s="7"/>
      <c r="AT231" s="7"/>
      <c r="AU231" s="7"/>
      <c r="AV231" s="7"/>
      <c r="AW231" s="7"/>
      <c r="AX231" s="82"/>
      <c r="AY231" s="7"/>
      <c r="AZ231" s="7"/>
      <c r="BA231" s="7"/>
      <c r="BB231" s="7"/>
      <c r="BC231" s="7"/>
      <c r="BD231" s="7"/>
      <c r="BE231" s="7"/>
      <c r="BF231" s="7"/>
      <c r="BG231" s="7"/>
    </row>
    <row r="232">
      <c r="A232" s="39"/>
      <c r="B232" s="39"/>
      <c r="C232" s="7"/>
      <c r="D232" s="53"/>
      <c r="E232" s="7"/>
      <c r="F232" s="53"/>
      <c r="G232" s="16"/>
      <c r="H232" s="81"/>
      <c r="J232" s="39"/>
      <c r="K232" s="53"/>
      <c r="L232" s="90"/>
      <c r="M232" s="39"/>
      <c r="N232" s="327"/>
      <c r="O232" s="368"/>
      <c r="P232" s="82"/>
      <c r="Q232" s="82"/>
      <c r="R232" s="82"/>
      <c r="S232" s="16"/>
      <c r="T232" s="16"/>
      <c r="U232" s="39"/>
      <c r="V232" s="7"/>
      <c r="W232" s="7"/>
      <c r="X232" s="93"/>
      <c r="Y232" s="131"/>
      <c r="Z232" s="131"/>
      <c r="AA232" s="131"/>
      <c r="AB232" s="131"/>
      <c r="AC232" s="131"/>
      <c r="AD232" s="323"/>
      <c r="AE232" s="131"/>
      <c r="AF232" s="90"/>
      <c r="AG232" s="87"/>
      <c r="AH232" s="39"/>
      <c r="AI232" s="87"/>
      <c r="AJ232" s="81"/>
      <c r="AK232" s="90"/>
      <c r="AL232" s="81"/>
      <c r="AM232" s="39"/>
      <c r="AN232" s="7"/>
      <c r="AO232" s="82"/>
      <c r="AP232" s="82"/>
      <c r="AQ232" s="7"/>
      <c r="AR232" s="7"/>
      <c r="AS232" s="7"/>
      <c r="AT232" s="7"/>
      <c r="AU232" s="7"/>
      <c r="AV232" s="7"/>
      <c r="AW232" s="7"/>
      <c r="AX232" s="82"/>
      <c r="AY232" s="7"/>
      <c r="AZ232" s="7"/>
      <c r="BA232" s="7"/>
      <c r="BB232" s="7"/>
      <c r="BC232" s="7"/>
      <c r="BD232" s="7"/>
      <c r="BE232" s="7"/>
      <c r="BF232" s="7"/>
      <c r="BG232" s="7"/>
    </row>
    <row r="233">
      <c r="A233" s="39"/>
      <c r="B233" s="39"/>
      <c r="C233" s="7"/>
      <c r="D233" s="53"/>
      <c r="E233" s="7"/>
      <c r="F233" s="53"/>
      <c r="G233" s="16"/>
      <c r="H233" s="81"/>
      <c r="J233" s="39"/>
      <c r="K233" s="53"/>
      <c r="L233" s="90"/>
      <c r="M233" s="39"/>
      <c r="N233" s="327"/>
      <c r="O233" s="367"/>
      <c r="P233" s="82"/>
      <c r="Q233" s="82"/>
      <c r="R233" s="82"/>
      <c r="S233" s="16"/>
      <c r="T233" s="16"/>
      <c r="U233" s="39"/>
      <c r="V233" s="7"/>
      <c r="W233" s="7"/>
      <c r="X233" s="93"/>
      <c r="Y233" s="131"/>
      <c r="Z233" s="131"/>
      <c r="AA233" s="131"/>
      <c r="AB233" s="131"/>
      <c r="AC233" s="131"/>
      <c r="AD233" s="323"/>
      <c r="AE233" s="131"/>
      <c r="AF233" s="90"/>
      <c r="AG233" s="87"/>
      <c r="AH233" s="39"/>
      <c r="AI233" s="87"/>
      <c r="AJ233" s="81"/>
      <c r="AK233" s="90"/>
      <c r="AL233" s="81"/>
      <c r="AM233" s="39"/>
      <c r="AN233" s="7"/>
      <c r="AO233" s="82"/>
      <c r="AP233" s="82"/>
      <c r="AQ233" s="7"/>
      <c r="AR233" s="7"/>
      <c r="AS233" s="82"/>
      <c r="AT233" s="82"/>
      <c r="AU233" s="82"/>
      <c r="AV233" s="82"/>
      <c r="AW233" s="7"/>
      <c r="AX233" s="82"/>
      <c r="AY233" s="7"/>
      <c r="AZ233" s="7"/>
      <c r="BA233" s="7"/>
      <c r="BB233" s="7"/>
      <c r="BC233" s="7"/>
      <c r="BD233" s="7"/>
      <c r="BE233" s="7"/>
      <c r="BF233" s="7"/>
      <c r="BG233" s="7"/>
    </row>
    <row r="234">
      <c r="A234" s="39"/>
      <c r="B234" s="39"/>
      <c r="C234" s="7"/>
      <c r="D234" s="53"/>
      <c r="E234" s="7"/>
      <c r="F234" s="53"/>
      <c r="G234" s="16"/>
      <c r="H234" s="81"/>
      <c r="J234" s="39"/>
      <c r="K234" s="53"/>
      <c r="L234" s="90"/>
      <c r="M234" s="39"/>
      <c r="N234" s="327"/>
      <c r="O234" s="367"/>
      <c r="P234" s="82"/>
      <c r="Q234" s="82"/>
      <c r="R234" s="82"/>
      <c r="S234" s="16"/>
      <c r="T234" s="16"/>
      <c r="U234" s="39"/>
      <c r="V234" s="7"/>
      <c r="W234" s="7"/>
      <c r="X234" s="93"/>
      <c r="Y234" s="131"/>
      <c r="Z234" s="131"/>
      <c r="AA234" s="131"/>
      <c r="AB234" s="131"/>
      <c r="AC234" s="131"/>
      <c r="AD234" s="323"/>
      <c r="AE234" s="131"/>
      <c r="AF234" s="90"/>
      <c r="AG234" s="87"/>
      <c r="AH234" s="39"/>
      <c r="AI234" s="87"/>
      <c r="AJ234" s="81"/>
      <c r="AK234" s="90"/>
      <c r="AL234" s="81"/>
      <c r="AM234" s="39"/>
      <c r="AN234" s="7"/>
      <c r="AO234" s="82"/>
      <c r="AP234" s="82"/>
      <c r="AQ234" s="7"/>
      <c r="AR234" s="7"/>
      <c r="AS234" s="82"/>
      <c r="AT234" s="82"/>
      <c r="AU234" s="82"/>
      <c r="AV234" s="82"/>
      <c r="AW234" s="7"/>
      <c r="AX234" s="82"/>
      <c r="AY234" s="7"/>
      <c r="AZ234" s="7"/>
      <c r="BA234" s="7"/>
      <c r="BB234" s="7"/>
      <c r="BC234" s="7"/>
      <c r="BD234" s="7"/>
      <c r="BE234" s="7"/>
      <c r="BF234" s="7"/>
      <c r="BG234" s="7"/>
    </row>
    <row r="235">
      <c r="A235" s="39"/>
      <c r="B235" s="39"/>
      <c r="C235" s="7"/>
      <c r="D235" s="53"/>
      <c r="E235" s="7"/>
      <c r="F235" s="53"/>
      <c r="G235" s="16"/>
      <c r="H235" s="81"/>
      <c r="J235" s="39"/>
      <c r="K235" s="53"/>
      <c r="L235" s="90"/>
      <c r="M235" s="39"/>
      <c r="N235" s="327"/>
      <c r="O235" s="367"/>
      <c r="P235" s="82"/>
      <c r="Q235" s="82"/>
      <c r="R235" s="82"/>
      <c r="S235" s="16"/>
      <c r="T235" s="16"/>
      <c r="U235" s="39"/>
      <c r="V235" s="7"/>
      <c r="W235" s="7"/>
      <c r="X235" s="93"/>
      <c r="Y235" s="131"/>
      <c r="Z235" s="131"/>
      <c r="AA235" s="131"/>
      <c r="AB235" s="131"/>
      <c r="AC235" s="131"/>
      <c r="AD235" s="323"/>
      <c r="AE235" s="131"/>
      <c r="AF235" s="90"/>
      <c r="AG235" s="87"/>
      <c r="AH235" s="39"/>
      <c r="AI235" s="87"/>
      <c r="AJ235" s="81"/>
      <c r="AK235" s="90"/>
      <c r="AL235" s="81"/>
      <c r="AM235" s="39"/>
      <c r="AN235" s="7"/>
      <c r="AO235" s="82"/>
      <c r="AP235" s="82"/>
      <c r="AQ235" s="7"/>
      <c r="AR235" s="7"/>
      <c r="AS235" s="82"/>
      <c r="AT235" s="82"/>
      <c r="AU235" s="82"/>
      <c r="AV235" s="82"/>
      <c r="AW235" s="7"/>
      <c r="AX235" s="82"/>
      <c r="AY235" s="7"/>
      <c r="AZ235" s="7"/>
      <c r="BA235" s="7"/>
      <c r="BB235" s="7"/>
      <c r="BC235" s="7"/>
      <c r="BD235" s="7"/>
      <c r="BE235" s="7"/>
      <c r="BF235" s="7"/>
      <c r="BG235" s="7"/>
    </row>
    <row r="236">
      <c r="A236" s="39"/>
      <c r="B236" s="39"/>
      <c r="C236" s="7"/>
      <c r="D236" s="53"/>
      <c r="E236" s="7"/>
      <c r="F236" s="53"/>
      <c r="G236" s="16"/>
      <c r="H236" s="81"/>
      <c r="J236" s="39"/>
      <c r="K236" s="53"/>
      <c r="L236" s="90"/>
      <c r="M236" s="39"/>
      <c r="N236" s="327"/>
      <c r="O236" s="367"/>
      <c r="P236" s="82"/>
      <c r="Q236" s="82"/>
      <c r="R236" s="82"/>
      <c r="S236" s="16"/>
      <c r="T236" s="16"/>
      <c r="U236" s="39"/>
      <c r="V236" s="7"/>
      <c r="W236" s="7"/>
      <c r="X236" s="93"/>
      <c r="Y236" s="131"/>
      <c r="Z236" s="131"/>
      <c r="AA236" s="131"/>
      <c r="AB236" s="131"/>
      <c r="AC236" s="131"/>
      <c r="AD236" s="323"/>
      <c r="AE236" s="131"/>
      <c r="AF236" s="90"/>
      <c r="AG236" s="87"/>
      <c r="AH236" s="39"/>
      <c r="AI236" s="87"/>
      <c r="AJ236" s="81"/>
      <c r="AK236" s="90"/>
      <c r="AL236" s="81"/>
      <c r="AM236" s="31"/>
      <c r="AN236" s="7"/>
      <c r="AO236" s="82"/>
      <c r="AP236" s="82"/>
      <c r="AQ236" s="7"/>
      <c r="AR236" s="7"/>
      <c r="AS236" s="7"/>
      <c r="AT236" s="7"/>
      <c r="AU236" s="7"/>
      <c r="AV236" s="7"/>
      <c r="AW236" s="7"/>
      <c r="AX236" s="82"/>
      <c r="AY236" s="7"/>
      <c r="AZ236" s="7"/>
      <c r="BA236" s="7"/>
      <c r="BB236" s="7"/>
      <c r="BC236" s="7"/>
      <c r="BD236" s="7"/>
      <c r="BE236" s="7"/>
      <c r="BF236" s="7"/>
      <c r="BG236" s="7"/>
    </row>
    <row r="237">
      <c r="A237" s="39"/>
      <c r="B237" s="39"/>
      <c r="C237" s="7"/>
      <c r="D237" s="53"/>
      <c r="E237" s="7"/>
      <c r="F237" s="53"/>
      <c r="G237" s="16"/>
      <c r="H237" s="81"/>
      <c r="J237" s="39"/>
      <c r="K237" s="53"/>
      <c r="L237" s="90"/>
      <c r="M237" s="39"/>
      <c r="N237" s="327"/>
      <c r="O237" s="367"/>
      <c r="P237" s="82"/>
      <c r="Q237" s="82"/>
      <c r="R237" s="82"/>
      <c r="S237" s="16"/>
      <c r="T237" s="16"/>
      <c r="U237" s="39"/>
      <c r="V237" s="7"/>
      <c r="W237" s="7"/>
      <c r="X237" s="93"/>
      <c r="Y237" s="131"/>
      <c r="Z237" s="131"/>
      <c r="AA237" s="131"/>
      <c r="AB237" s="131"/>
      <c r="AC237" s="131"/>
      <c r="AD237" s="323"/>
      <c r="AE237" s="131"/>
      <c r="AF237" s="90"/>
      <c r="AG237" s="87"/>
      <c r="AH237" s="39"/>
      <c r="AI237" s="87"/>
      <c r="AJ237" s="81"/>
      <c r="AK237" s="90"/>
      <c r="AL237" s="81"/>
      <c r="AM237" s="39"/>
      <c r="AN237" s="7"/>
      <c r="AO237" s="82"/>
      <c r="AP237" s="82"/>
      <c r="AQ237" s="7"/>
      <c r="AR237" s="7"/>
      <c r="AS237" s="82"/>
      <c r="AT237" s="82"/>
      <c r="AU237" s="82"/>
      <c r="AV237" s="82"/>
      <c r="AW237" s="7"/>
      <c r="AX237" s="82"/>
      <c r="AY237" s="7"/>
      <c r="AZ237" s="7"/>
      <c r="BA237" s="7"/>
      <c r="BB237" s="7"/>
      <c r="BC237" s="7"/>
      <c r="BD237" s="7"/>
      <c r="BE237" s="7"/>
      <c r="BF237" s="7"/>
      <c r="BG237" s="7"/>
    </row>
    <row r="238">
      <c r="A238" s="39"/>
      <c r="B238" s="39"/>
      <c r="C238" s="7"/>
      <c r="D238" s="53"/>
      <c r="E238" s="7"/>
      <c r="F238" s="53"/>
      <c r="G238" s="16"/>
      <c r="H238" s="81"/>
      <c r="J238" s="39"/>
      <c r="K238" s="53"/>
      <c r="L238" s="90"/>
      <c r="M238" s="39"/>
      <c r="N238" s="327"/>
      <c r="O238" s="368"/>
      <c r="P238" s="82"/>
      <c r="Q238" s="82"/>
      <c r="R238" s="82"/>
      <c r="S238" s="16"/>
      <c r="T238" s="16"/>
      <c r="U238" s="39"/>
      <c r="V238" s="7"/>
      <c r="W238" s="7"/>
      <c r="X238" s="93"/>
      <c r="Y238" s="131"/>
      <c r="Z238" s="131"/>
      <c r="AA238" s="131"/>
      <c r="AB238" s="131"/>
      <c r="AC238" s="131"/>
      <c r="AD238" s="323"/>
      <c r="AE238" s="131"/>
      <c r="AF238" s="90"/>
      <c r="AG238" s="87"/>
      <c r="AH238" s="39"/>
      <c r="AI238" s="87"/>
      <c r="AJ238" s="81"/>
      <c r="AK238" s="90"/>
      <c r="AL238" s="81"/>
      <c r="AM238" s="39"/>
      <c r="AN238" s="7"/>
      <c r="AO238" s="82"/>
      <c r="AP238" s="82"/>
      <c r="AQ238" s="7"/>
      <c r="AR238" s="7"/>
      <c r="AS238" s="82"/>
      <c r="AT238" s="82"/>
      <c r="AU238" s="82"/>
      <c r="AV238" s="82"/>
      <c r="AW238" s="7"/>
      <c r="AX238" s="82"/>
      <c r="AY238" s="7"/>
      <c r="AZ238" s="7"/>
      <c r="BA238" s="7"/>
      <c r="BB238" s="7"/>
      <c r="BC238" s="7"/>
      <c r="BD238" s="7"/>
      <c r="BE238" s="7"/>
      <c r="BF238" s="7"/>
      <c r="BG238" s="7"/>
    </row>
    <row r="239">
      <c r="A239" s="39"/>
      <c r="B239" s="39"/>
      <c r="C239" s="7"/>
      <c r="D239" s="53"/>
      <c r="E239" s="7"/>
      <c r="F239" s="53"/>
      <c r="G239" s="16"/>
      <c r="H239" s="81"/>
      <c r="J239" s="39"/>
      <c r="K239" s="53"/>
      <c r="L239" s="90"/>
      <c r="M239" s="39"/>
      <c r="N239" s="327"/>
      <c r="O239" s="368"/>
      <c r="P239" s="82"/>
      <c r="Q239" s="82"/>
      <c r="R239" s="82"/>
      <c r="S239" s="16"/>
      <c r="T239" s="16"/>
      <c r="U239" s="39"/>
      <c r="V239" s="7"/>
      <c r="W239" s="7"/>
      <c r="X239" s="93"/>
      <c r="Y239" s="131"/>
      <c r="Z239" s="131"/>
      <c r="AA239" s="131"/>
      <c r="AB239" s="131"/>
      <c r="AC239" s="131"/>
      <c r="AD239" s="323"/>
      <c r="AE239" s="131"/>
      <c r="AF239" s="90"/>
      <c r="AG239" s="87"/>
      <c r="AH239" s="39"/>
      <c r="AI239" s="87"/>
      <c r="AJ239" s="81"/>
      <c r="AK239" s="90"/>
      <c r="AL239" s="81"/>
      <c r="AM239" s="39"/>
      <c r="AN239" s="7"/>
      <c r="AO239" s="82"/>
      <c r="AP239" s="82"/>
      <c r="AQ239" s="7"/>
      <c r="AR239" s="7"/>
      <c r="AS239" s="82"/>
      <c r="AT239" s="82"/>
      <c r="AU239" s="82"/>
      <c r="AV239" s="82"/>
      <c r="AW239" s="7"/>
      <c r="AX239" s="82"/>
      <c r="AY239" s="7"/>
      <c r="AZ239" s="7"/>
      <c r="BA239" s="7"/>
      <c r="BB239" s="7"/>
      <c r="BC239" s="7"/>
      <c r="BD239" s="7"/>
      <c r="BE239" s="7"/>
      <c r="BF239" s="7"/>
      <c r="BG239" s="7"/>
    </row>
    <row r="240">
      <c r="A240" s="39"/>
      <c r="B240" s="39"/>
      <c r="C240" s="7"/>
      <c r="D240" s="53"/>
      <c r="E240" s="7"/>
      <c r="F240" s="53"/>
      <c r="G240" s="16"/>
      <c r="H240" s="81"/>
      <c r="J240" s="39"/>
      <c r="K240" s="53"/>
      <c r="L240" s="90"/>
      <c r="M240" s="39"/>
      <c r="N240" s="327"/>
      <c r="O240" s="368"/>
      <c r="P240" s="7"/>
      <c r="Q240" s="7"/>
      <c r="R240" s="352"/>
      <c r="S240" s="16"/>
      <c r="T240" s="16"/>
      <c r="U240" s="39"/>
      <c r="V240" s="7"/>
      <c r="W240" s="7"/>
      <c r="X240" s="93"/>
      <c r="Y240" s="131"/>
      <c r="Z240" s="131"/>
      <c r="AA240" s="131"/>
      <c r="AB240" s="131"/>
      <c r="AC240" s="131"/>
      <c r="AD240" s="323"/>
      <c r="AE240" s="131"/>
      <c r="AF240" s="90"/>
      <c r="AG240" s="87"/>
      <c r="AH240" s="39"/>
      <c r="AI240" s="87"/>
      <c r="AJ240" s="81"/>
      <c r="AK240" s="90"/>
      <c r="AL240" s="81"/>
      <c r="AM240" s="39"/>
      <c r="AN240" s="7"/>
      <c r="AO240" s="82"/>
      <c r="AP240" s="82"/>
      <c r="AQ240" s="7"/>
      <c r="AR240" s="7"/>
      <c r="AS240" s="82"/>
      <c r="AT240" s="82"/>
      <c r="AU240" s="82"/>
      <c r="AV240" s="82"/>
      <c r="AW240" s="7"/>
      <c r="AX240" s="82"/>
      <c r="AY240" s="7"/>
      <c r="AZ240" s="7"/>
      <c r="BA240" s="7"/>
      <c r="BB240" s="7"/>
      <c r="BC240" s="7"/>
      <c r="BD240" s="7"/>
      <c r="BE240" s="7"/>
      <c r="BF240" s="7"/>
      <c r="BG240" s="7"/>
    </row>
    <row r="241">
      <c r="A241" s="39"/>
      <c r="B241" s="39"/>
      <c r="C241" s="7"/>
      <c r="D241" s="53"/>
      <c r="E241" s="7"/>
      <c r="F241" s="53"/>
      <c r="G241" s="16"/>
      <c r="H241" s="81"/>
      <c r="J241" s="39"/>
      <c r="K241" s="53"/>
      <c r="L241" s="90"/>
      <c r="M241" s="39"/>
      <c r="N241" s="327"/>
      <c r="O241" s="367"/>
      <c r="P241" s="82"/>
      <c r="Q241" s="82"/>
      <c r="R241" s="82"/>
      <c r="S241" s="16"/>
      <c r="T241" s="16"/>
      <c r="U241" s="39"/>
      <c r="V241" s="7"/>
      <c r="W241" s="7"/>
      <c r="X241" s="93"/>
      <c r="Y241" s="131"/>
      <c r="Z241" s="131"/>
      <c r="AA241" s="131"/>
      <c r="AB241" s="131"/>
      <c r="AC241" s="131"/>
      <c r="AD241" s="323"/>
      <c r="AE241" s="131"/>
      <c r="AF241" s="90"/>
      <c r="AG241" s="87"/>
      <c r="AH241" s="39"/>
      <c r="AI241" s="87"/>
      <c r="AJ241" s="81"/>
      <c r="AK241" s="90"/>
      <c r="AL241" s="81"/>
      <c r="AM241" s="39"/>
      <c r="AN241" s="7"/>
      <c r="AO241" s="82"/>
      <c r="AP241" s="82"/>
      <c r="AQ241" s="7"/>
      <c r="AR241" s="7"/>
      <c r="AS241" s="82"/>
      <c r="AT241" s="82"/>
      <c r="AU241" s="82"/>
      <c r="AV241" s="82"/>
      <c r="AW241" s="7"/>
      <c r="AX241" s="82"/>
      <c r="AY241" s="7"/>
      <c r="AZ241" s="7"/>
      <c r="BA241" s="7"/>
      <c r="BB241" s="7"/>
      <c r="BC241" s="7"/>
      <c r="BD241" s="7"/>
      <c r="BE241" s="7"/>
      <c r="BF241" s="7"/>
      <c r="BG241" s="7"/>
    </row>
    <row r="242">
      <c r="A242" s="39"/>
      <c r="B242" s="39"/>
      <c r="C242" s="7"/>
      <c r="D242" s="53"/>
      <c r="E242" s="7"/>
      <c r="F242" s="53"/>
      <c r="G242" s="16"/>
      <c r="H242" s="81"/>
      <c r="J242" s="39"/>
      <c r="K242" s="53"/>
      <c r="L242" s="90"/>
      <c r="M242" s="39"/>
      <c r="N242" s="327"/>
      <c r="O242" s="367"/>
      <c r="P242" s="82"/>
      <c r="Q242" s="82"/>
      <c r="R242" s="82"/>
      <c r="S242" s="16"/>
      <c r="T242" s="16"/>
      <c r="U242" s="39"/>
      <c r="V242" s="7"/>
      <c r="W242" s="7"/>
      <c r="X242" s="93"/>
      <c r="Y242" s="131"/>
      <c r="Z242" s="131"/>
      <c r="AA242" s="131"/>
      <c r="AB242" s="131"/>
      <c r="AC242" s="131"/>
      <c r="AD242" s="323"/>
      <c r="AE242" s="131"/>
      <c r="AF242" s="90"/>
      <c r="AG242" s="87"/>
      <c r="AH242" s="39"/>
      <c r="AI242" s="87"/>
      <c r="AJ242" s="81"/>
      <c r="AK242" s="90"/>
      <c r="AL242" s="81"/>
      <c r="AM242" s="39"/>
      <c r="AN242" s="7"/>
      <c r="AO242" s="82"/>
      <c r="AP242" s="82"/>
      <c r="AQ242" s="7"/>
      <c r="AR242" s="7"/>
      <c r="AS242" s="82"/>
      <c r="AT242" s="82"/>
      <c r="AU242" s="82"/>
      <c r="AV242" s="82"/>
      <c r="AW242" s="7"/>
      <c r="AX242" s="82"/>
      <c r="AY242" s="7"/>
      <c r="AZ242" s="7"/>
      <c r="BA242" s="7"/>
      <c r="BB242" s="7"/>
      <c r="BC242" s="7"/>
      <c r="BD242" s="7"/>
      <c r="BE242" s="7"/>
      <c r="BF242" s="7"/>
      <c r="BG242" s="7"/>
    </row>
    <row r="243">
      <c r="A243" s="39"/>
      <c r="B243" s="39"/>
      <c r="C243" s="7"/>
      <c r="D243" s="53"/>
      <c r="E243" s="7"/>
      <c r="F243" s="53"/>
      <c r="G243" s="16"/>
      <c r="H243" s="81"/>
      <c r="J243" s="39"/>
      <c r="K243" s="53"/>
      <c r="L243" s="90"/>
      <c r="M243" s="39"/>
      <c r="N243" s="327"/>
      <c r="O243" s="367"/>
      <c r="P243" s="82"/>
      <c r="Q243" s="82"/>
      <c r="R243" s="82"/>
      <c r="S243" s="16"/>
      <c r="T243" s="16"/>
      <c r="U243" s="39"/>
      <c r="V243" s="7"/>
      <c r="W243" s="7"/>
      <c r="X243" s="93"/>
      <c r="Y243" s="131"/>
      <c r="Z243" s="131"/>
      <c r="AA243" s="131"/>
      <c r="AB243" s="131"/>
      <c r="AC243" s="131"/>
      <c r="AD243" s="323"/>
      <c r="AE243" s="131"/>
      <c r="AF243" s="90"/>
      <c r="AG243" s="87"/>
      <c r="AH243" s="39"/>
      <c r="AI243" s="87"/>
      <c r="AJ243" s="81"/>
      <c r="AK243" s="90"/>
      <c r="AL243" s="81"/>
      <c r="AM243" s="39"/>
      <c r="AN243" s="7"/>
      <c r="AO243" s="82"/>
      <c r="AP243" s="82"/>
      <c r="AQ243" s="7"/>
      <c r="AR243" s="7"/>
      <c r="AS243" s="82"/>
      <c r="AT243" s="82"/>
      <c r="AU243" s="82"/>
      <c r="AV243" s="82"/>
      <c r="AW243" s="7"/>
      <c r="AX243" s="82"/>
      <c r="AY243" s="7"/>
      <c r="AZ243" s="7"/>
      <c r="BA243" s="7"/>
      <c r="BB243" s="7"/>
      <c r="BC243" s="7"/>
      <c r="BD243" s="7"/>
      <c r="BE243" s="7"/>
      <c r="BF243" s="7"/>
      <c r="BG243" s="7"/>
    </row>
    <row r="244">
      <c r="A244" s="39"/>
      <c r="B244" s="39"/>
      <c r="C244" s="7"/>
      <c r="D244" s="53"/>
      <c r="E244" s="7"/>
      <c r="F244" s="53"/>
      <c r="G244" s="16"/>
      <c r="H244" s="81"/>
      <c r="J244" s="39"/>
      <c r="K244" s="53"/>
      <c r="L244" s="90"/>
      <c r="M244" s="39"/>
      <c r="N244" s="321"/>
      <c r="O244" s="367"/>
      <c r="P244" s="7"/>
      <c r="Q244" s="7"/>
      <c r="R244" s="82"/>
      <c r="S244" s="16"/>
      <c r="T244" s="16"/>
      <c r="U244" s="39"/>
      <c r="V244" s="7"/>
      <c r="W244" s="7"/>
      <c r="X244" s="93"/>
      <c r="Y244" s="131"/>
      <c r="Z244" s="131"/>
      <c r="AA244" s="131"/>
      <c r="AB244" s="131"/>
      <c r="AC244" s="131"/>
      <c r="AD244" s="323"/>
      <c r="AE244" s="131"/>
      <c r="AF244" s="90"/>
      <c r="AG244" s="87"/>
      <c r="AH244" s="39"/>
      <c r="AI244" s="87"/>
      <c r="AJ244" s="81"/>
      <c r="AK244" s="90"/>
      <c r="AL244" s="81"/>
      <c r="AM244" s="39"/>
      <c r="AN244" s="7"/>
      <c r="AO244" s="82"/>
      <c r="AP244" s="82"/>
      <c r="AQ244" s="7"/>
      <c r="AR244" s="7"/>
      <c r="AS244" s="7"/>
      <c r="AT244" s="7"/>
      <c r="AU244" s="7"/>
      <c r="AV244" s="7"/>
      <c r="AW244" s="7"/>
      <c r="AX244" s="82"/>
      <c r="AY244" s="7"/>
      <c r="AZ244" s="7"/>
      <c r="BA244" s="7"/>
      <c r="BB244" s="7"/>
      <c r="BC244" s="7"/>
      <c r="BD244" s="7"/>
      <c r="BE244" s="7"/>
      <c r="BF244" s="7"/>
      <c r="BG244" s="7"/>
    </row>
    <row r="245">
      <c r="A245" s="39"/>
      <c r="B245" s="39"/>
      <c r="C245" s="7"/>
      <c r="D245" s="53"/>
      <c r="E245" s="7"/>
      <c r="F245" s="53"/>
      <c r="G245" s="16"/>
      <c r="H245" s="81"/>
      <c r="J245" s="39"/>
      <c r="K245" s="53"/>
      <c r="L245" s="90"/>
      <c r="M245" s="39"/>
      <c r="N245" s="327"/>
      <c r="O245" s="368"/>
      <c r="P245" s="82"/>
      <c r="Q245" s="82"/>
      <c r="R245" s="82"/>
      <c r="S245" s="16"/>
      <c r="T245" s="16"/>
      <c r="U245" s="39"/>
      <c r="V245" s="7"/>
      <c r="W245" s="7"/>
      <c r="X245" s="93"/>
      <c r="Y245" s="131"/>
      <c r="Z245" s="131"/>
      <c r="AA245" s="131"/>
      <c r="AB245" s="131"/>
      <c r="AC245" s="131"/>
      <c r="AD245" s="323"/>
      <c r="AE245" s="131"/>
      <c r="AF245" s="90"/>
      <c r="AG245" s="87"/>
      <c r="AH245" s="39"/>
      <c r="AI245" s="87"/>
      <c r="AJ245" s="81"/>
      <c r="AK245" s="90"/>
      <c r="AL245" s="81"/>
      <c r="AM245" s="39"/>
      <c r="AN245" s="7"/>
      <c r="AO245" s="82"/>
      <c r="AP245" s="82"/>
      <c r="AQ245" s="7"/>
      <c r="AR245" s="7"/>
      <c r="AS245" s="7"/>
      <c r="AT245" s="7"/>
      <c r="AU245" s="7"/>
      <c r="AV245" s="7"/>
      <c r="AW245" s="7"/>
      <c r="AX245" s="82"/>
      <c r="AY245" s="7"/>
      <c r="AZ245" s="7"/>
      <c r="BA245" s="7"/>
      <c r="BB245" s="7"/>
      <c r="BC245" s="7"/>
      <c r="BD245" s="7"/>
      <c r="BE245" s="7"/>
      <c r="BF245" s="7"/>
      <c r="BG245" s="7"/>
    </row>
    <row r="246">
      <c r="A246" s="39"/>
      <c r="B246" s="39"/>
      <c r="C246" s="7"/>
      <c r="D246" s="53"/>
      <c r="E246" s="7"/>
      <c r="F246" s="53"/>
      <c r="G246" s="16"/>
      <c r="H246" s="81"/>
      <c r="J246" s="39"/>
      <c r="K246" s="53"/>
      <c r="L246" s="90"/>
      <c r="M246" s="39"/>
      <c r="N246" s="321"/>
      <c r="O246" s="322"/>
      <c r="P246" s="82"/>
      <c r="Q246" s="82"/>
      <c r="R246" s="82"/>
      <c r="S246" s="16"/>
      <c r="T246" s="16"/>
      <c r="U246" s="39"/>
      <c r="V246" s="7"/>
      <c r="W246" s="7"/>
      <c r="X246" s="93"/>
      <c r="Y246" s="131"/>
      <c r="Z246" s="131"/>
      <c r="AA246" s="131"/>
      <c r="AB246" s="131"/>
      <c r="AC246" s="131"/>
      <c r="AD246" s="323"/>
      <c r="AE246" s="131"/>
      <c r="AF246" s="90"/>
      <c r="AG246" s="87"/>
      <c r="AH246" s="39"/>
      <c r="AI246" s="87"/>
      <c r="AJ246" s="81"/>
      <c r="AK246" s="90"/>
      <c r="AL246" s="81"/>
      <c r="AM246" s="39"/>
      <c r="AN246" s="7"/>
      <c r="AO246" s="82"/>
      <c r="AP246" s="82"/>
      <c r="AQ246" s="7"/>
      <c r="AR246" s="7"/>
      <c r="AS246" s="82"/>
      <c r="AT246" s="82"/>
      <c r="AU246" s="82"/>
      <c r="AV246" s="82"/>
      <c r="AW246" s="7"/>
      <c r="AX246" s="82"/>
      <c r="AY246" s="7"/>
      <c r="AZ246" s="7"/>
      <c r="BA246" s="7"/>
      <c r="BB246" s="7"/>
      <c r="BC246" s="7"/>
      <c r="BD246" s="7"/>
      <c r="BE246" s="7"/>
      <c r="BF246" s="7"/>
      <c r="BG246" s="7"/>
    </row>
    <row r="247">
      <c r="A247" s="39"/>
      <c r="B247" s="39"/>
      <c r="C247" s="7"/>
      <c r="D247" s="53"/>
      <c r="E247" s="7"/>
      <c r="F247" s="53"/>
      <c r="G247" s="16"/>
      <c r="H247" s="81"/>
      <c r="J247" s="39"/>
      <c r="K247" s="53"/>
      <c r="L247" s="90"/>
      <c r="M247" s="39"/>
      <c r="N247" s="327"/>
      <c r="O247" s="368"/>
      <c r="P247" s="7"/>
      <c r="Q247" s="7"/>
      <c r="R247" s="7"/>
      <c r="S247" s="16"/>
      <c r="T247" s="16"/>
      <c r="U247" s="39"/>
      <c r="V247" s="7"/>
      <c r="W247" s="7"/>
      <c r="X247" s="93"/>
      <c r="Y247" s="131"/>
      <c r="Z247" s="131"/>
      <c r="AA247" s="131"/>
      <c r="AB247" s="131"/>
      <c r="AC247" s="131"/>
      <c r="AD247" s="323"/>
      <c r="AE247" s="131"/>
      <c r="AF247" s="90"/>
      <c r="AG247" s="87"/>
      <c r="AH247" s="39"/>
      <c r="AI247" s="87"/>
      <c r="AJ247" s="81"/>
      <c r="AK247" s="90"/>
      <c r="AL247" s="81"/>
      <c r="AM247" s="39"/>
      <c r="AN247" s="7"/>
      <c r="AO247" s="82"/>
      <c r="AP247" s="82"/>
      <c r="AQ247" s="7"/>
      <c r="AR247" s="7"/>
      <c r="AS247" s="7"/>
      <c r="AT247" s="7"/>
      <c r="AU247" s="7"/>
      <c r="AV247" s="7"/>
      <c r="AW247" s="7"/>
      <c r="AX247" s="82"/>
      <c r="AY247" s="7"/>
      <c r="AZ247" s="7"/>
      <c r="BA247" s="7"/>
      <c r="BB247" s="7"/>
      <c r="BC247" s="7"/>
      <c r="BD247" s="7"/>
      <c r="BE247" s="7"/>
      <c r="BF247" s="7"/>
      <c r="BG247" s="7"/>
    </row>
    <row r="248">
      <c r="A248" s="39"/>
      <c r="B248" s="39"/>
      <c r="C248" s="7"/>
      <c r="D248" s="53"/>
      <c r="E248" s="7"/>
      <c r="F248" s="53"/>
      <c r="G248" s="16"/>
      <c r="H248" s="81"/>
      <c r="J248" s="39"/>
      <c r="K248" s="53"/>
      <c r="L248" s="90"/>
      <c r="M248" s="39"/>
      <c r="N248" s="321"/>
      <c r="O248" s="367"/>
      <c r="P248" s="7"/>
      <c r="Q248" s="7"/>
      <c r="R248" s="82"/>
      <c r="S248" s="81"/>
      <c r="T248" s="81"/>
      <c r="U248" s="39"/>
      <c r="V248" s="7"/>
      <c r="W248" s="7"/>
      <c r="X248" s="93"/>
      <c r="Y248" s="131"/>
      <c r="Z248" s="131"/>
      <c r="AA248" s="131"/>
      <c r="AB248" s="131"/>
      <c r="AC248" s="131"/>
      <c r="AD248" s="323"/>
      <c r="AE248" s="131"/>
      <c r="AF248" s="90"/>
      <c r="AG248" s="87"/>
      <c r="AH248" s="39"/>
      <c r="AI248" s="87"/>
      <c r="AJ248" s="81"/>
      <c r="AK248" s="90"/>
      <c r="AL248" s="81"/>
      <c r="AM248" s="31"/>
      <c r="AN248" s="7"/>
      <c r="AO248" s="82"/>
      <c r="AP248" s="82"/>
      <c r="AQ248" s="7"/>
      <c r="AR248" s="82"/>
      <c r="AS248" s="82"/>
      <c r="AT248" s="7"/>
      <c r="AU248" s="82"/>
      <c r="AV248" s="7"/>
      <c r="AW248" s="7"/>
      <c r="AX248" s="82"/>
      <c r="AY248" s="7"/>
      <c r="AZ248" s="7"/>
      <c r="BA248" s="7"/>
      <c r="BB248" s="7"/>
      <c r="BC248" s="7"/>
      <c r="BD248" s="7"/>
      <c r="BE248" s="7"/>
      <c r="BF248" s="7"/>
      <c r="BG248" s="7"/>
    </row>
    <row r="249">
      <c r="A249" s="39"/>
      <c r="B249" s="39"/>
      <c r="C249" s="7"/>
      <c r="D249" s="53"/>
      <c r="E249" s="7"/>
      <c r="F249" s="53"/>
      <c r="G249" s="16"/>
      <c r="H249" s="81"/>
      <c r="J249" s="39"/>
      <c r="K249" s="53"/>
      <c r="L249" s="90"/>
      <c r="M249" s="39"/>
      <c r="N249" s="327"/>
      <c r="O249" s="367"/>
      <c r="P249" s="82"/>
      <c r="Q249" s="82"/>
      <c r="R249" s="82"/>
      <c r="S249" s="81"/>
      <c r="T249" s="81"/>
      <c r="U249" s="39"/>
      <c r="V249" s="7"/>
      <c r="W249" s="7"/>
      <c r="X249" s="93"/>
      <c r="Y249" s="131"/>
      <c r="Z249" s="131"/>
      <c r="AA249" s="131"/>
      <c r="AB249" s="131"/>
      <c r="AC249" s="131"/>
      <c r="AD249" s="323"/>
      <c r="AE249" s="131"/>
      <c r="AF249" s="90"/>
      <c r="AG249" s="87"/>
      <c r="AH249" s="39"/>
      <c r="AI249" s="87"/>
      <c r="AJ249" s="81"/>
      <c r="AK249" s="90"/>
      <c r="AL249" s="81"/>
      <c r="AM249" s="39"/>
      <c r="AN249" s="7"/>
      <c r="AO249" s="82"/>
      <c r="AP249" s="82"/>
      <c r="AQ249" s="7"/>
      <c r="AR249" s="82"/>
      <c r="AS249" s="82"/>
      <c r="AT249" s="82"/>
      <c r="AU249" s="82"/>
      <c r="AV249" s="82"/>
      <c r="AW249" s="7"/>
      <c r="AX249" s="82"/>
      <c r="AY249" s="7"/>
      <c r="AZ249" s="7"/>
      <c r="BA249" s="7"/>
      <c r="BB249" s="7"/>
      <c r="BC249" s="7"/>
      <c r="BD249" s="7"/>
      <c r="BE249" s="7"/>
      <c r="BF249" s="7"/>
      <c r="BG249" s="7"/>
    </row>
    <row r="250">
      <c r="A250" s="39"/>
      <c r="B250" s="39"/>
      <c r="C250" s="7"/>
      <c r="D250" s="53"/>
      <c r="E250" s="7"/>
      <c r="F250" s="53"/>
      <c r="G250" s="16"/>
      <c r="H250" s="81"/>
      <c r="J250" s="39"/>
      <c r="K250" s="53"/>
      <c r="L250" s="90"/>
      <c r="M250" s="39"/>
      <c r="N250" s="327"/>
      <c r="O250" s="367"/>
      <c r="P250" s="7"/>
      <c r="Q250" s="7"/>
      <c r="R250" s="7"/>
      <c r="S250" s="81"/>
      <c r="T250" s="16"/>
      <c r="U250" s="39"/>
      <c r="V250" s="7"/>
      <c r="W250" s="7"/>
      <c r="X250" s="93"/>
      <c r="Y250" s="131"/>
      <c r="Z250" s="131"/>
      <c r="AA250" s="131"/>
      <c r="AB250" s="131"/>
      <c r="AC250" s="131"/>
      <c r="AD250" s="323"/>
      <c r="AE250" s="131"/>
      <c r="AF250" s="90"/>
      <c r="AG250" s="87"/>
      <c r="AH250" s="39"/>
      <c r="AI250" s="87"/>
      <c r="AJ250" s="81"/>
      <c r="AK250" s="90"/>
      <c r="AL250" s="81"/>
      <c r="AM250" s="31"/>
      <c r="AN250" s="7"/>
      <c r="AO250" s="82"/>
      <c r="AP250" s="82"/>
      <c r="AQ250" s="7"/>
      <c r="AR250" s="82"/>
      <c r="AS250" s="82"/>
      <c r="AT250" s="82"/>
      <c r="AU250" s="82"/>
      <c r="AV250" s="82"/>
      <c r="AW250" s="7"/>
      <c r="AX250" s="82"/>
      <c r="AY250" s="7"/>
      <c r="AZ250" s="7"/>
      <c r="BA250" s="7"/>
      <c r="BB250" s="7"/>
      <c r="BC250" s="7"/>
      <c r="BD250" s="7"/>
      <c r="BE250" s="7"/>
      <c r="BF250" s="7"/>
      <c r="BG250" s="7"/>
    </row>
    <row r="251">
      <c r="A251" s="39"/>
      <c r="B251" s="39"/>
      <c r="C251" s="7"/>
      <c r="D251" s="53"/>
      <c r="E251" s="7"/>
      <c r="F251" s="53"/>
      <c r="G251" s="16"/>
      <c r="H251" s="81"/>
      <c r="J251" s="39"/>
      <c r="K251" s="53"/>
      <c r="L251" s="90"/>
      <c r="M251" s="39"/>
      <c r="N251" s="327"/>
      <c r="O251" s="367"/>
      <c r="P251" s="82"/>
      <c r="Q251" s="82"/>
      <c r="R251" s="82"/>
      <c r="S251" s="81"/>
      <c r="T251" s="81"/>
      <c r="U251" s="39"/>
      <c r="V251" s="7"/>
      <c r="W251" s="7"/>
      <c r="X251" s="93"/>
      <c r="Y251" s="131"/>
      <c r="Z251" s="131"/>
      <c r="AA251" s="131"/>
      <c r="AB251" s="131"/>
      <c r="AC251" s="131"/>
      <c r="AD251" s="323"/>
      <c r="AE251" s="131"/>
      <c r="AF251" s="90"/>
      <c r="AG251" s="87"/>
      <c r="AH251" s="39"/>
      <c r="AI251" s="87"/>
      <c r="AJ251" s="81"/>
      <c r="AK251" s="90"/>
      <c r="AL251" s="81"/>
      <c r="AM251" s="39"/>
      <c r="AN251" s="7"/>
      <c r="AO251" s="82"/>
      <c r="AP251" s="82"/>
      <c r="AQ251" s="7"/>
      <c r="AR251" s="82"/>
      <c r="AS251" s="82"/>
      <c r="AT251" s="82"/>
      <c r="AU251" s="82"/>
      <c r="AV251" s="82"/>
      <c r="AW251" s="7"/>
      <c r="AX251" s="82"/>
      <c r="AY251" s="7"/>
      <c r="AZ251" s="7"/>
      <c r="BA251" s="7"/>
      <c r="BB251" s="7"/>
      <c r="BC251" s="7"/>
      <c r="BD251" s="7"/>
      <c r="BE251" s="7"/>
      <c r="BF251" s="7"/>
      <c r="BG251" s="7"/>
    </row>
    <row r="252">
      <c r="A252" s="39"/>
      <c r="B252" s="39"/>
      <c r="C252" s="7"/>
      <c r="D252" s="53"/>
      <c r="E252" s="7"/>
      <c r="F252" s="53"/>
      <c r="G252" s="16"/>
      <c r="H252" s="81"/>
      <c r="J252" s="39"/>
      <c r="K252" s="53"/>
      <c r="L252" s="90"/>
      <c r="M252" s="39"/>
      <c r="N252" s="327"/>
      <c r="O252" s="368"/>
      <c r="P252" s="82"/>
      <c r="Q252" s="82"/>
      <c r="R252" s="82"/>
      <c r="S252" s="81"/>
      <c r="T252" s="81"/>
      <c r="U252" s="39"/>
      <c r="V252" s="7"/>
      <c r="W252" s="7"/>
      <c r="X252" s="93"/>
      <c r="Y252" s="131"/>
      <c r="Z252" s="131"/>
      <c r="AA252" s="131"/>
      <c r="AB252" s="131"/>
      <c r="AC252" s="131"/>
      <c r="AD252" s="323"/>
      <c r="AE252" s="131"/>
      <c r="AF252" s="90"/>
      <c r="AG252" s="87"/>
      <c r="AH252" s="39"/>
      <c r="AI252" s="87"/>
      <c r="AJ252" s="81"/>
      <c r="AK252" s="90"/>
      <c r="AL252" s="81"/>
      <c r="AM252" s="31"/>
      <c r="AN252" s="7"/>
      <c r="AO252" s="82"/>
      <c r="AP252" s="82"/>
      <c r="AQ252" s="7"/>
      <c r="AR252" s="82"/>
      <c r="AS252" s="82"/>
      <c r="AT252" s="82"/>
      <c r="AU252" s="82"/>
      <c r="AV252" s="82"/>
      <c r="AW252" s="7"/>
      <c r="AX252" s="82"/>
      <c r="AY252" s="7"/>
      <c r="AZ252" s="7"/>
      <c r="BA252" s="7"/>
      <c r="BB252" s="7"/>
      <c r="BC252" s="7"/>
      <c r="BD252" s="7"/>
      <c r="BE252" s="7"/>
      <c r="BF252" s="7"/>
      <c r="BG252" s="7"/>
    </row>
    <row r="253">
      <c r="A253" s="39"/>
      <c r="B253" s="39"/>
      <c r="C253" s="7"/>
      <c r="D253" s="53"/>
      <c r="E253" s="7"/>
      <c r="F253" s="53"/>
      <c r="G253" s="16"/>
      <c r="H253" s="81"/>
      <c r="J253" s="39"/>
      <c r="K253" s="53"/>
      <c r="L253" s="90"/>
      <c r="M253" s="39"/>
      <c r="N253" s="327"/>
      <c r="O253" s="367"/>
      <c r="P253" s="82"/>
      <c r="Q253" s="82"/>
      <c r="R253" s="82"/>
      <c r="S253" s="16"/>
      <c r="T253" s="16"/>
      <c r="U253" s="39"/>
      <c r="V253" s="7"/>
      <c r="W253" s="7"/>
      <c r="X253" s="93"/>
      <c r="Y253" s="131"/>
      <c r="Z253" s="131"/>
      <c r="AA253" s="131"/>
      <c r="AB253" s="131"/>
      <c r="AC253" s="131"/>
      <c r="AD253" s="323"/>
      <c r="AE253" s="131"/>
      <c r="AF253" s="90"/>
      <c r="AG253" s="87"/>
      <c r="AH253" s="39"/>
      <c r="AI253" s="87"/>
      <c r="AJ253" s="81"/>
      <c r="AK253" s="90"/>
      <c r="AL253" s="81"/>
      <c r="AM253" s="39"/>
      <c r="AN253" s="7"/>
      <c r="AO253" s="82"/>
      <c r="AP253" s="82"/>
      <c r="AQ253" s="7"/>
      <c r="AR253" s="82"/>
      <c r="AS253" s="82"/>
      <c r="AT253" s="82"/>
      <c r="AU253" s="82"/>
      <c r="AV253" s="82"/>
      <c r="AW253" s="7"/>
      <c r="AX253" s="82"/>
      <c r="AY253" s="7"/>
      <c r="AZ253" s="7"/>
      <c r="BA253" s="7"/>
      <c r="BB253" s="7"/>
      <c r="BC253" s="7"/>
      <c r="BD253" s="7"/>
      <c r="BE253" s="7"/>
      <c r="BF253" s="7"/>
      <c r="BG253" s="7"/>
    </row>
    <row r="254">
      <c r="A254" s="39"/>
      <c r="B254" s="39"/>
      <c r="C254" s="7"/>
      <c r="D254" s="53"/>
      <c r="E254" s="7"/>
      <c r="F254" s="53"/>
      <c r="G254" s="16"/>
      <c r="H254" s="81"/>
      <c r="J254" s="39"/>
      <c r="K254" s="53"/>
      <c r="L254" s="90"/>
      <c r="M254" s="39"/>
      <c r="N254" s="327"/>
      <c r="O254" s="367"/>
      <c r="P254" s="82"/>
      <c r="Q254" s="82"/>
      <c r="R254" s="82"/>
      <c r="S254" s="81"/>
      <c r="T254" s="81"/>
      <c r="U254" s="39"/>
      <c r="V254" s="7"/>
      <c r="W254" s="7"/>
      <c r="X254" s="93"/>
      <c r="Y254" s="131"/>
      <c r="Z254" s="131"/>
      <c r="AA254" s="131"/>
      <c r="AB254" s="131"/>
      <c r="AC254" s="131"/>
      <c r="AD254" s="323"/>
      <c r="AE254" s="131"/>
      <c r="AF254" s="90"/>
      <c r="AG254" s="87"/>
      <c r="AH254" s="39"/>
      <c r="AI254" s="87"/>
      <c r="AJ254" s="81"/>
      <c r="AK254" s="90"/>
      <c r="AL254" s="81"/>
      <c r="AM254" s="39"/>
      <c r="AN254" s="7"/>
      <c r="AO254" s="82"/>
      <c r="AP254" s="82"/>
      <c r="AQ254" s="7"/>
      <c r="AR254" s="82"/>
      <c r="AS254" s="82"/>
      <c r="AT254" s="82"/>
      <c r="AU254" s="82"/>
      <c r="AV254" s="82"/>
      <c r="AW254" s="7"/>
      <c r="AX254" s="82"/>
      <c r="AY254" s="7"/>
      <c r="AZ254" s="7"/>
      <c r="BA254" s="7"/>
      <c r="BB254" s="7"/>
      <c r="BC254" s="7"/>
      <c r="BD254" s="7"/>
      <c r="BE254" s="7"/>
      <c r="BF254" s="7"/>
      <c r="BG254" s="7"/>
    </row>
    <row r="255">
      <c r="A255" s="39"/>
      <c r="B255" s="39"/>
      <c r="C255" s="7"/>
      <c r="D255" s="53"/>
      <c r="E255" s="7"/>
      <c r="F255" s="53"/>
      <c r="G255" s="16"/>
      <c r="H255" s="81"/>
      <c r="J255" s="39"/>
      <c r="K255" s="53"/>
      <c r="L255" s="90"/>
      <c r="M255" s="39"/>
      <c r="N255" s="327"/>
      <c r="O255" s="368"/>
      <c r="P255" s="82"/>
      <c r="Q255" s="82"/>
      <c r="R255" s="82"/>
      <c r="S255" s="83"/>
      <c r="T255" s="81"/>
      <c r="U255" s="39"/>
      <c r="V255" s="7"/>
      <c r="W255" s="7"/>
      <c r="X255" s="93"/>
      <c r="Y255" s="131"/>
      <c r="Z255" s="131"/>
      <c r="AA255" s="131"/>
      <c r="AB255" s="131"/>
      <c r="AC255" s="131"/>
      <c r="AD255" s="323"/>
      <c r="AE255" s="131"/>
      <c r="AF255" s="90"/>
      <c r="AG255" s="87"/>
      <c r="AH255" s="39"/>
      <c r="AI255" s="87"/>
      <c r="AJ255" s="81"/>
      <c r="AK255" s="90"/>
      <c r="AL255" s="81"/>
      <c r="AM255" s="39"/>
      <c r="AN255" s="7"/>
      <c r="AO255" s="82"/>
      <c r="AP255" s="82"/>
      <c r="AQ255" s="7"/>
      <c r="AR255" s="82"/>
      <c r="AS255" s="82"/>
      <c r="AT255" s="82"/>
      <c r="AU255" s="82"/>
      <c r="AV255" s="82"/>
      <c r="AW255" s="7"/>
      <c r="AX255" s="82"/>
      <c r="AY255" s="7"/>
      <c r="AZ255" s="7"/>
      <c r="BA255" s="7"/>
      <c r="BB255" s="7"/>
      <c r="BC255" s="7"/>
      <c r="BD255" s="7"/>
      <c r="BE255" s="7"/>
      <c r="BF255" s="7"/>
      <c r="BG255" s="7"/>
    </row>
    <row r="256">
      <c r="A256" s="39"/>
      <c r="B256" s="39"/>
      <c r="C256" s="7"/>
      <c r="D256" s="53"/>
      <c r="E256" s="7"/>
      <c r="F256" s="53"/>
      <c r="G256" s="16"/>
      <c r="H256" s="81"/>
      <c r="J256" s="39"/>
      <c r="K256" s="53"/>
      <c r="L256" s="90"/>
      <c r="M256" s="39"/>
      <c r="N256" s="327"/>
      <c r="O256" s="367"/>
      <c r="P256" s="7"/>
      <c r="Q256" s="7"/>
      <c r="R256" s="7"/>
      <c r="S256" s="16"/>
      <c r="T256" s="16"/>
      <c r="U256" s="39"/>
      <c r="V256" s="7"/>
      <c r="W256" s="7"/>
      <c r="X256" s="93"/>
      <c r="Y256" s="131"/>
      <c r="Z256" s="131"/>
      <c r="AA256" s="131"/>
      <c r="AB256" s="131"/>
      <c r="AC256" s="131"/>
      <c r="AD256" s="323"/>
      <c r="AE256" s="131"/>
      <c r="AF256" s="90"/>
      <c r="AG256" s="87"/>
      <c r="AH256" s="39"/>
      <c r="AI256" s="87"/>
      <c r="AJ256" s="81"/>
      <c r="AK256" s="90"/>
      <c r="AL256" s="81"/>
      <c r="AM256" s="31"/>
      <c r="AN256" s="7"/>
      <c r="AO256" s="82"/>
      <c r="AP256" s="82"/>
      <c r="AQ256" s="7"/>
      <c r="AR256" s="7"/>
      <c r="AS256" s="7"/>
      <c r="AT256" s="7"/>
      <c r="AU256" s="7"/>
      <c r="AV256" s="7"/>
      <c r="AW256" s="7"/>
      <c r="AX256" s="82"/>
      <c r="AY256" s="7"/>
      <c r="AZ256" s="7"/>
      <c r="BA256" s="7"/>
      <c r="BB256" s="7"/>
      <c r="BC256" s="7"/>
      <c r="BD256" s="7"/>
      <c r="BE256" s="7"/>
      <c r="BF256" s="7"/>
      <c r="BG256" s="7"/>
    </row>
    <row r="257">
      <c r="A257" s="39"/>
      <c r="B257" s="39"/>
      <c r="C257" s="7"/>
      <c r="D257" s="53"/>
      <c r="E257" s="7"/>
      <c r="F257" s="53"/>
      <c r="G257" s="16"/>
      <c r="H257" s="81"/>
      <c r="J257" s="39"/>
      <c r="K257" s="53"/>
      <c r="L257" s="90"/>
      <c r="M257" s="39"/>
      <c r="N257" s="327"/>
      <c r="O257" s="367"/>
      <c r="P257" s="82"/>
      <c r="Q257" s="82"/>
      <c r="R257" s="82"/>
      <c r="S257" s="16"/>
      <c r="T257" s="16"/>
      <c r="U257" s="39"/>
      <c r="V257" s="7"/>
      <c r="W257" s="7"/>
      <c r="X257" s="93"/>
      <c r="Y257" s="131"/>
      <c r="Z257" s="131"/>
      <c r="AA257" s="131"/>
      <c r="AB257" s="131"/>
      <c r="AC257" s="131"/>
      <c r="AD257" s="323"/>
      <c r="AE257" s="131"/>
      <c r="AF257" s="90"/>
      <c r="AG257" s="87"/>
      <c r="AH257" s="39"/>
      <c r="AI257" s="87"/>
      <c r="AJ257" s="81"/>
      <c r="AK257" s="90"/>
      <c r="AL257" s="81"/>
      <c r="AM257" s="39"/>
      <c r="AN257" s="7"/>
      <c r="AO257" s="82"/>
      <c r="AP257" s="82"/>
      <c r="AQ257" s="7"/>
      <c r="AR257" s="7"/>
      <c r="AS257" s="82"/>
      <c r="AT257" s="7"/>
      <c r="AU257" s="82"/>
      <c r="AV257" s="7"/>
      <c r="AW257" s="7"/>
      <c r="AX257" s="82"/>
      <c r="AY257" s="7"/>
      <c r="AZ257" s="7"/>
      <c r="BA257" s="7"/>
      <c r="BB257" s="7"/>
      <c r="BC257" s="7"/>
      <c r="BD257" s="7"/>
      <c r="BE257" s="7"/>
      <c r="BF257" s="7"/>
      <c r="BG257" s="7"/>
    </row>
    <row r="258">
      <c r="A258" s="39"/>
      <c r="B258" s="39"/>
      <c r="C258" s="7"/>
      <c r="D258" s="53"/>
      <c r="E258" s="7"/>
      <c r="F258" s="53"/>
      <c r="G258" s="16"/>
      <c r="H258" s="81"/>
      <c r="J258" s="39"/>
      <c r="K258" s="53"/>
      <c r="L258" s="90"/>
      <c r="M258" s="39"/>
      <c r="N258" s="327"/>
      <c r="O258" s="367"/>
      <c r="P258" s="82"/>
      <c r="Q258" s="82"/>
      <c r="R258" s="82"/>
      <c r="S258" s="16"/>
      <c r="T258" s="16"/>
      <c r="U258" s="39"/>
      <c r="V258" s="7"/>
      <c r="W258" s="7"/>
      <c r="X258" s="93"/>
      <c r="Y258" s="131"/>
      <c r="Z258" s="131"/>
      <c r="AA258" s="131"/>
      <c r="AB258" s="131"/>
      <c r="AC258" s="131"/>
      <c r="AD258" s="323"/>
      <c r="AE258" s="131"/>
      <c r="AF258" s="90"/>
      <c r="AG258" s="87"/>
      <c r="AH258" s="39"/>
      <c r="AI258" s="87"/>
      <c r="AJ258" s="81"/>
      <c r="AK258" s="90"/>
      <c r="AL258" s="81"/>
      <c r="AM258" s="39"/>
      <c r="AN258" s="7"/>
      <c r="AO258" s="82"/>
      <c r="AP258" s="82"/>
      <c r="AQ258" s="7"/>
      <c r="AR258" s="7"/>
      <c r="AS258" s="82"/>
      <c r="AT258" s="7"/>
      <c r="AU258" s="82"/>
      <c r="AV258" s="7"/>
      <c r="AW258" s="7"/>
      <c r="AX258" s="82"/>
      <c r="AY258" s="7"/>
      <c r="AZ258" s="7"/>
      <c r="BA258" s="7"/>
      <c r="BB258" s="7"/>
      <c r="BC258" s="7"/>
      <c r="BD258" s="7"/>
      <c r="BE258" s="7"/>
      <c r="BF258" s="7"/>
      <c r="BG258" s="7"/>
    </row>
    <row r="259">
      <c r="A259" s="39"/>
      <c r="B259" s="39"/>
      <c r="C259" s="7"/>
      <c r="D259" s="53"/>
      <c r="E259" s="7"/>
      <c r="F259" s="53"/>
      <c r="G259" s="16"/>
      <c r="H259" s="81"/>
      <c r="J259" s="39"/>
      <c r="K259" s="53"/>
      <c r="L259" s="90"/>
      <c r="M259" s="39"/>
      <c r="N259" s="327"/>
      <c r="O259" s="367"/>
      <c r="P259" s="82"/>
      <c r="Q259" s="82"/>
      <c r="R259" s="82"/>
      <c r="S259" s="16"/>
      <c r="T259" s="16"/>
      <c r="U259" s="39"/>
      <c r="V259" s="7"/>
      <c r="W259" s="7"/>
      <c r="X259" s="93"/>
      <c r="Y259" s="131"/>
      <c r="Z259" s="131"/>
      <c r="AA259" s="131"/>
      <c r="AB259" s="131"/>
      <c r="AC259" s="131"/>
      <c r="AD259" s="323"/>
      <c r="AE259" s="131"/>
      <c r="AF259" s="90"/>
      <c r="AG259" s="87"/>
      <c r="AH259" s="39"/>
      <c r="AI259" s="87"/>
      <c r="AJ259" s="81"/>
      <c r="AK259" s="90"/>
      <c r="AL259" s="81"/>
      <c r="AM259" s="39"/>
      <c r="AN259" s="7"/>
      <c r="AO259" s="82"/>
      <c r="AP259" s="82"/>
      <c r="AQ259" s="7"/>
      <c r="AR259" s="7"/>
      <c r="AS259" s="82"/>
      <c r="AT259" s="82"/>
      <c r="AU259" s="82"/>
      <c r="AV259" s="82"/>
      <c r="AW259" s="7"/>
      <c r="AX259" s="82"/>
      <c r="AY259" s="7"/>
      <c r="AZ259" s="7"/>
      <c r="BA259" s="7"/>
      <c r="BB259" s="7"/>
      <c r="BC259" s="7"/>
      <c r="BD259" s="7"/>
      <c r="BE259" s="7"/>
      <c r="BF259" s="7"/>
      <c r="BG259" s="7"/>
    </row>
    <row r="260">
      <c r="A260" s="39"/>
      <c r="B260" s="39"/>
      <c r="C260" s="7"/>
      <c r="D260" s="53"/>
      <c r="E260" s="7"/>
      <c r="F260" s="53"/>
      <c r="G260" s="16"/>
      <c r="H260" s="81"/>
      <c r="J260" s="39"/>
      <c r="K260" s="53"/>
      <c r="L260" s="90"/>
      <c r="M260" s="39"/>
      <c r="N260" s="327"/>
      <c r="O260" s="367"/>
      <c r="P260" s="82"/>
      <c r="Q260" s="82"/>
      <c r="R260" s="82"/>
      <c r="S260" s="16"/>
      <c r="T260" s="16"/>
      <c r="U260" s="39"/>
      <c r="V260" s="7"/>
      <c r="W260" s="7"/>
      <c r="X260" s="93"/>
      <c r="Y260" s="131"/>
      <c r="Z260" s="131"/>
      <c r="AA260" s="131"/>
      <c r="AB260" s="131"/>
      <c r="AC260" s="131"/>
      <c r="AD260" s="323"/>
      <c r="AE260" s="131"/>
      <c r="AF260" s="90"/>
      <c r="AG260" s="87"/>
      <c r="AH260" s="39"/>
      <c r="AI260" s="87"/>
      <c r="AJ260" s="81"/>
      <c r="AK260" s="90"/>
      <c r="AL260" s="81"/>
      <c r="AM260" s="39"/>
      <c r="AN260" s="7"/>
      <c r="AO260" s="82"/>
      <c r="AP260" s="82"/>
      <c r="AQ260" s="7"/>
      <c r="AR260" s="7"/>
      <c r="AS260" s="82"/>
      <c r="AT260" s="82"/>
      <c r="AU260" s="82"/>
      <c r="AV260" s="82"/>
      <c r="AW260" s="7"/>
      <c r="AX260" s="82"/>
      <c r="AY260" s="7"/>
      <c r="AZ260" s="7"/>
      <c r="BA260" s="7"/>
      <c r="BB260" s="7"/>
      <c r="BC260" s="7"/>
      <c r="BD260" s="7"/>
      <c r="BE260" s="7"/>
      <c r="BF260" s="7"/>
      <c r="BG260" s="7"/>
    </row>
    <row r="261">
      <c r="A261" s="39"/>
      <c r="B261" s="39"/>
      <c r="C261" s="7"/>
      <c r="D261" s="53"/>
      <c r="E261" s="7"/>
      <c r="F261" s="53"/>
      <c r="G261" s="16"/>
      <c r="H261" s="81"/>
      <c r="J261" s="39"/>
      <c r="K261" s="53"/>
      <c r="L261" s="90"/>
      <c r="M261" s="39"/>
      <c r="N261" s="327"/>
      <c r="O261" s="367"/>
      <c r="P261" s="82"/>
      <c r="Q261" s="82"/>
      <c r="R261" s="82"/>
      <c r="S261" s="16"/>
      <c r="T261" s="16"/>
      <c r="U261" s="39"/>
      <c r="V261" s="7"/>
      <c r="W261" s="7"/>
      <c r="X261" s="93"/>
      <c r="Y261" s="131"/>
      <c r="Z261" s="131"/>
      <c r="AA261" s="131"/>
      <c r="AB261" s="131"/>
      <c r="AC261" s="131"/>
      <c r="AD261" s="323"/>
      <c r="AE261" s="131"/>
      <c r="AF261" s="90"/>
      <c r="AG261" s="87"/>
      <c r="AH261" s="39"/>
      <c r="AI261" s="87"/>
      <c r="AJ261" s="81"/>
      <c r="AK261" s="90"/>
      <c r="AL261" s="81"/>
      <c r="AM261" s="31"/>
      <c r="AN261" s="7"/>
      <c r="AO261" s="82"/>
      <c r="AP261" s="82"/>
      <c r="AQ261" s="7"/>
      <c r="AR261" s="7"/>
      <c r="AS261" s="82"/>
      <c r="AT261" s="82"/>
      <c r="AU261" s="82"/>
      <c r="AV261" s="82"/>
      <c r="AW261" s="7"/>
      <c r="AX261" s="82"/>
      <c r="AY261" s="7"/>
      <c r="AZ261" s="7"/>
      <c r="BA261" s="7"/>
      <c r="BB261" s="7"/>
      <c r="BC261" s="7"/>
      <c r="BD261" s="7"/>
      <c r="BE261" s="7"/>
      <c r="BF261" s="7"/>
      <c r="BG261" s="7"/>
    </row>
    <row r="262">
      <c r="A262" s="39"/>
      <c r="B262" s="39"/>
      <c r="C262" s="7"/>
      <c r="D262" s="53"/>
      <c r="E262" s="7"/>
      <c r="F262" s="53"/>
      <c r="G262" s="16"/>
      <c r="H262" s="81"/>
      <c r="J262" s="39"/>
      <c r="K262" s="53"/>
      <c r="L262" s="90"/>
      <c r="M262" s="39"/>
      <c r="N262" s="327"/>
      <c r="O262" s="368"/>
      <c r="P262" s="7"/>
      <c r="Q262" s="7"/>
      <c r="R262" s="7"/>
      <c r="S262" s="16"/>
      <c r="T262" s="16"/>
      <c r="U262" s="39"/>
      <c r="V262" s="7"/>
      <c r="W262" s="7"/>
      <c r="X262" s="93"/>
      <c r="Y262" s="131"/>
      <c r="Z262" s="131"/>
      <c r="AA262" s="131"/>
      <c r="AB262" s="131"/>
      <c r="AC262" s="131"/>
      <c r="AD262" s="323"/>
      <c r="AE262" s="131"/>
      <c r="AF262" s="90"/>
      <c r="AG262" s="87"/>
      <c r="AH262" s="39"/>
      <c r="AI262" s="87"/>
      <c r="AJ262" s="81"/>
      <c r="AK262" s="90"/>
      <c r="AL262" s="81"/>
      <c r="AM262" s="39"/>
      <c r="AN262" s="7"/>
      <c r="AO262" s="82"/>
      <c r="AP262" s="82"/>
      <c r="AQ262" s="7"/>
      <c r="AR262" s="7"/>
      <c r="AS262" s="82"/>
      <c r="AT262" s="7"/>
      <c r="AU262" s="82"/>
      <c r="AV262" s="7"/>
      <c r="AW262" s="7"/>
      <c r="AX262" s="82"/>
      <c r="AY262" s="7"/>
      <c r="AZ262" s="7"/>
      <c r="BA262" s="7"/>
      <c r="BB262" s="7"/>
      <c r="BC262" s="7"/>
      <c r="BD262" s="7"/>
      <c r="BE262" s="7"/>
      <c r="BF262" s="7"/>
      <c r="BG262" s="7"/>
    </row>
    <row r="263">
      <c r="A263" s="39"/>
      <c r="B263" s="39"/>
      <c r="C263" s="7"/>
      <c r="D263" s="53"/>
      <c r="E263" s="7"/>
      <c r="F263" s="53"/>
      <c r="G263" s="16"/>
      <c r="H263" s="81"/>
      <c r="J263" s="39"/>
      <c r="K263" s="53"/>
      <c r="L263" s="90"/>
      <c r="M263" s="39"/>
      <c r="N263" s="327"/>
      <c r="O263" s="367"/>
      <c r="P263" s="82"/>
      <c r="Q263" s="82"/>
      <c r="R263" s="82"/>
      <c r="S263" s="16"/>
      <c r="T263" s="16"/>
      <c r="U263" s="39"/>
      <c r="V263" s="7"/>
      <c r="W263" s="7"/>
      <c r="X263" s="93"/>
      <c r="Y263" s="131"/>
      <c r="Z263" s="131"/>
      <c r="AA263" s="131"/>
      <c r="AB263" s="131"/>
      <c r="AC263" s="131"/>
      <c r="AD263" s="323"/>
      <c r="AE263" s="131"/>
      <c r="AF263" s="90"/>
      <c r="AG263" s="87"/>
      <c r="AH263" s="39"/>
      <c r="AI263" s="87"/>
      <c r="AJ263" s="81"/>
      <c r="AK263" s="90"/>
      <c r="AL263" s="81"/>
      <c r="AM263" s="39"/>
      <c r="AN263" s="7"/>
      <c r="AO263" s="82"/>
      <c r="AP263" s="82"/>
      <c r="AQ263" s="7"/>
      <c r="AR263" s="7"/>
      <c r="AS263" s="82"/>
      <c r="AT263" s="82"/>
      <c r="AU263" s="82"/>
      <c r="AV263" s="82"/>
      <c r="AW263" s="7"/>
      <c r="AX263" s="82"/>
      <c r="AY263" s="7"/>
      <c r="AZ263" s="7"/>
      <c r="BA263" s="7"/>
      <c r="BB263" s="7"/>
      <c r="BC263" s="7"/>
      <c r="BD263" s="7"/>
      <c r="BE263" s="7"/>
      <c r="BF263" s="7"/>
      <c r="BG263" s="7"/>
    </row>
    <row r="264">
      <c r="A264" s="39"/>
      <c r="B264" s="39"/>
      <c r="C264" s="7"/>
      <c r="D264" s="53"/>
      <c r="E264" s="7"/>
      <c r="F264" s="53"/>
      <c r="G264" s="16"/>
      <c r="H264" s="81"/>
      <c r="J264" s="39"/>
      <c r="K264" s="53"/>
      <c r="L264" s="90"/>
      <c r="M264" s="39"/>
      <c r="N264" s="327"/>
      <c r="O264" s="367"/>
      <c r="P264" s="7"/>
      <c r="Q264" s="7"/>
      <c r="R264" s="82"/>
      <c r="S264" s="16"/>
      <c r="T264" s="16"/>
      <c r="U264" s="39"/>
      <c r="V264" s="7"/>
      <c r="W264" s="7"/>
      <c r="X264" s="93"/>
      <c r="Y264" s="131"/>
      <c r="Z264" s="131"/>
      <c r="AA264" s="131"/>
      <c r="AB264" s="131"/>
      <c r="AC264" s="131"/>
      <c r="AD264" s="323"/>
      <c r="AE264" s="131"/>
      <c r="AF264" s="90"/>
      <c r="AG264" s="87"/>
      <c r="AH264" s="39"/>
      <c r="AI264" s="87"/>
      <c r="AJ264" s="81"/>
      <c r="AK264" s="90"/>
      <c r="AL264" s="81"/>
      <c r="AM264" s="39"/>
      <c r="AN264" s="7"/>
      <c r="AO264" s="82"/>
      <c r="AP264" s="82"/>
      <c r="AQ264" s="7"/>
      <c r="AR264" s="82"/>
      <c r="AS264" s="7"/>
      <c r="AT264" s="7"/>
      <c r="AU264" s="7"/>
      <c r="AV264" s="7"/>
      <c r="AW264" s="7"/>
      <c r="AX264" s="82"/>
      <c r="AY264" s="7"/>
      <c r="AZ264" s="7"/>
      <c r="BA264" s="7"/>
      <c r="BB264" s="7"/>
      <c r="BC264" s="7"/>
      <c r="BD264" s="7"/>
      <c r="BE264" s="7"/>
      <c r="BF264" s="7"/>
      <c r="BG264" s="7"/>
    </row>
    <row r="265">
      <c r="A265" s="39"/>
      <c r="B265" s="39"/>
      <c r="C265" s="7"/>
      <c r="D265" s="53"/>
      <c r="E265" s="7"/>
      <c r="F265" s="53"/>
      <c r="G265" s="16"/>
      <c r="H265" s="81"/>
      <c r="J265" s="39"/>
      <c r="K265" s="53"/>
      <c r="L265" s="90"/>
      <c r="M265" s="39"/>
      <c r="N265" s="327"/>
      <c r="O265" s="367"/>
      <c r="P265" s="82"/>
      <c r="Q265" s="82"/>
      <c r="R265" s="82"/>
      <c r="S265" s="16"/>
      <c r="T265" s="16"/>
      <c r="U265" s="39"/>
      <c r="V265" s="7"/>
      <c r="W265" s="7"/>
      <c r="X265" s="93"/>
      <c r="Y265" s="131"/>
      <c r="Z265" s="131"/>
      <c r="AA265" s="131"/>
      <c r="AB265" s="131"/>
      <c r="AC265" s="131"/>
      <c r="AD265" s="323"/>
      <c r="AE265" s="131"/>
      <c r="AF265" s="90"/>
      <c r="AG265" s="87"/>
      <c r="AH265" s="39"/>
      <c r="AI265" s="87"/>
      <c r="AJ265" s="81"/>
      <c r="AK265" s="90"/>
      <c r="AL265" s="81"/>
      <c r="AM265" s="39"/>
      <c r="AN265" s="7"/>
      <c r="AO265" s="82"/>
      <c r="AP265" s="82"/>
      <c r="AQ265" s="7"/>
      <c r="AR265" s="82"/>
      <c r="AS265" s="82"/>
      <c r="AT265" s="82"/>
      <c r="AU265" s="82"/>
      <c r="AV265" s="82"/>
      <c r="AW265" s="7"/>
      <c r="AX265" s="82"/>
      <c r="AY265" s="7"/>
      <c r="AZ265" s="7"/>
      <c r="BA265" s="7"/>
      <c r="BB265" s="7"/>
      <c r="BC265" s="7"/>
      <c r="BD265" s="7"/>
      <c r="BE265" s="7"/>
      <c r="BF265" s="7"/>
      <c r="BG265" s="7"/>
    </row>
    <row r="266">
      <c r="A266" s="39"/>
      <c r="B266" s="39"/>
      <c r="C266" s="7"/>
      <c r="D266" s="53"/>
      <c r="E266" s="7"/>
      <c r="F266" s="53"/>
      <c r="G266" s="16"/>
      <c r="H266" s="81"/>
      <c r="J266" s="39"/>
      <c r="K266" s="53"/>
      <c r="L266" s="90"/>
      <c r="M266" s="39"/>
      <c r="N266" s="327"/>
      <c r="O266" s="367"/>
      <c r="P266" s="82"/>
      <c r="Q266" s="82"/>
      <c r="R266" s="82"/>
      <c r="S266" s="16"/>
      <c r="T266" s="16"/>
      <c r="U266" s="39"/>
      <c r="V266" s="7"/>
      <c r="W266" s="7"/>
      <c r="X266" s="93"/>
      <c r="Y266" s="131"/>
      <c r="Z266" s="131"/>
      <c r="AA266" s="131"/>
      <c r="AB266" s="131"/>
      <c r="AC266" s="131"/>
      <c r="AD266" s="323"/>
      <c r="AE266" s="131"/>
      <c r="AF266" s="90"/>
      <c r="AG266" s="87"/>
      <c r="AH266" s="39"/>
      <c r="AI266" s="87"/>
      <c r="AJ266" s="81"/>
      <c r="AK266" s="90"/>
      <c r="AL266" s="81"/>
      <c r="AM266" s="39"/>
      <c r="AN266" s="7"/>
      <c r="AO266" s="82"/>
      <c r="AP266" s="82"/>
      <c r="AQ266" s="7"/>
      <c r="AR266" s="82"/>
      <c r="AS266" s="82"/>
      <c r="AT266" s="82"/>
      <c r="AU266" s="82"/>
      <c r="AV266" s="82"/>
      <c r="AW266" s="7"/>
      <c r="AX266" s="82"/>
      <c r="AY266" s="7"/>
      <c r="AZ266" s="7"/>
      <c r="BA266" s="7"/>
      <c r="BB266" s="7"/>
      <c r="BC266" s="7"/>
      <c r="BD266" s="7"/>
      <c r="BE266" s="7"/>
      <c r="BF266" s="7"/>
      <c r="BG266" s="7"/>
    </row>
    <row r="267">
      <c r="A267" s="39"/>
      <c r="B267" s="39"/>
      <c r="C267" s="7"/>
      <c r="D267" s="53"/>
      <c r="E267" s="7"/>
      <c r="F267" s="53"/>
      <c r="G267" s="16"/>
      <c r="H267" s="81"/>
      <c r="J267" s="39"/>
      <c r="K267" s="53"/>
      <c r="L267" s="90"/>
      <c r="M267" s="39"/>
      <c r="N267" s="327"/>
      <c r="O267" s="367"/>
      <c r="P267" s="82"/>
      <c r="Q267" s="82"/>
      <c r="R267" s="82"/>
      <c r="S267" s="16"/>
      <c r="T267" s="16"/>
      <c r="U267" s="39"/>
      <c r="V267" s="7"/>
      <c r="W267" s="7"/>
      <c r="X267" s="93"/>
      <c r="Y267" s="131"/>
      <c r="Z267" s="131"/>
      <c r="AA267" s="131"/>
      <c r="AB267" s="131"/>
      <c r="AC267" s="131"/>
      <c r="AD267" s="323"/>
      <c r="AE267" s="131"/>
      <c r="AF267" s="90"/>
      <c r="AG267" s="87"/>
      <c r="AH267" s="39"/>
      <c r="AI267" s="87"/>
      <c r="AJ267" s="81"/>
      <c r="AK267" s="90"/>
      <c r="AL267" s="81"/>
      <c r="AM267" s="39"/>
      <c r="AN267" s="7"/>
      <c r="AO267" s="82"/>
      <c r="AP267" s="82"/>
      <c r="AQ267" s="7"/>
      <c r="AR267" s="82"/>
      <c r="AS267" s="82"/>
      <c r="AT267" s="82"/>
      <c r="AU267" s="82"/>
      <c r="AV267" s="82"/>
      <c r="AW267" s="7"/>
      <c r="AX267" s="82"/>
      <c r="AY267" s="7"/>
      <c r="AZ267" s="7"/>
      <c r="BA267" s="7"/>
      <c r="BB267" s="7"/>
      <c r="BC267" s="7"/>
      <c r="BD267" s="7"/>
      <c r="BE267" s="7"/>
      <c r="BF267" s="7"/>
      <c r="BG267" s="7"/>
    </row>
    <row r="268">
      <c r="A268" s="39"/>
      <c r="B268" s="39"/>
      <c r="C268" s="7"/>
      <c r="D268" s="53"/>
      <c r="E268" s="7"/>
      <c r="F268" s="53"/>
      <c r="G268" s="16"/>
      <c r="H268" s="81"/>
      <c r="J268" s="39"/>
      <c r="K268" s="53"/>
      <c r="L268" s="90"/>
      <c r="M268" s="39"/>
      <c r="N268" s="327"/>
      <c r="O268" s="368"/>
      <c r="P268" s="7"/>
      <c r="Q268" s="7"/>
      <c r="R268" s="7"/>
      <c r="S268" s="16"/>
      <c r="T268" s="16"/>
      <c r="U268" s="39"/>
      <c r="V268" s="7"/>
      <c r="W268" s="7"/>
      <c r="X268" s="93"/>
      <c r="Y268" s="131"/>
      <c r="Z268" s="131"/>
      <c r="AA268" s="131"/>
      <c r="AB268" s="131"/>
      <c r="AC268" s="131"/>
      <c r="AD268" s="323"/>
      <c r="AE268" s="131"/>
      <c r="AF268" s="90"/>
      <c r="AG268" s="87"/>
      <c r="AH268" s="39"/>
      <c r="AI268" s="87"/>
      <c r="AJ268" s="81"/>
      <c r="AK268" s="90"/>
      <c r="AL268" s="81"/>
      <c r="AM268" s="39"/>
      <c r="AN268" s="7"/>
      <c r="AO268" s="82"/>
      <c r="AP268" s="82"/>
      <c r="AQ268" s="7"/>
      <c r="AR268" s="82"/>
      <c r="AS268" s="82"/>
      <c r="AT268" s="82"/>
      <c r="AU268" s="82"/>
      <c r="AV268" s="82"/>
      <c r="AW268" s="7"/>
      <c r="AX268" s="82"/>
      <c r="AY268" s="7"/>
      <c r="AZ268" s="7"/>
      <c r="BA268" s="7"/>
      <c r="BB268" s="7"/>
      <c r="BC268" s="7"/>
      <c r="BD268" s="7"/>
      <c r="BE268" s="7"/>
      <c r="BF268" s="7"/>
      <c r="BG268" s="7"/>
    </row>
    <row r="269">
      <c r="A269" s="39"/>
      <c r="B269" s="39"/>
      <c r="C269" s="7"/>
      <c r="D269" s="53"/>
      <c r="E269" s="7"/>
      <c r="F269" s="53"/>
      <c r="G269" s="16"/>
      <c r="H269" s="81"/>
      <c r="J269" s="39"/>
      <c r="K269" s="53"/>
      <c r="L269" s="90"/>
      <c r="M269" s="39"/>
      <c r="N269" s="327"/>
      <c r="O269" s="367"/>
      <c r="P269" s="82"/>
      <c r="Q269" s="82"/>
      <c r="R269" s="82"/>
      <c r="S269" s="16"/>
      <c r="T269" s="16"/>
      <c r="U269" s="39"/>
      <c r="V269" s="7"/>
      <c r="W269" s="7"/>
      <c r="X269" s="93"/>
      <c r="Y269" s="131"/>
      <c r="Z269" s="131"/>
      <c r="AA269" s="131"/>
      <c r="AB269" s="131"/>
      <c r="AC269" s="131"/>
      <c r="AD269" s="323"/>
      <c r="AE269" s="131"/>
      <c r="AF269" s="90"/>
      <c r="AG269" s="87"/>
      <c r="AH269" s="39"/>
      <c r="AI269" s="87"/>
      <c r="AJ269" s="81"/>
      <c r="AK269" s="90"/>
      <c r="AL269" s="81"/>
      <c r="AM269" s="39"/>
      <c r="AN269" s="7"/>
      <c r="AO269" s="82"/>
      <c r="AP269" s="82"/>
      <c r="AQ269" s="7"/>
      <c r="AR269" s="82"/>
      <c r="AS269" s="82"/>
      <c r="AT269" s="82"/>
      <c r="AU269" s="82"/>
      <c r="AV269" s="82"/>
      <c r="AW269" s="7"/>
      <c r="AX269" s="82"/>
      <c r="AY269" s="7"/>
      <c r="AZ269" s="7"/>
      <c r="BA269" s="7"/>
      <c r="BB269" s="7"/>
      <c r="BC269" s="7"/>
      <c r="BD269" s="7"/>
      <c r="BE269" s="7"/>
      <c r="BF269" s="7"/>
      <c r="BG269" s="7"/>
    </row>
    <row r="270">
      <c r="A270" s="39"/>
      <c r="B270" s="39"/>
      <c r="C270" s="7"/>
      <c r="D270" s="53"/>
      <c r="E270" s="7"/>
      <c r="F270" s="53"/>
      <c r="G270" s="16"/>
      <c r="H270" s="81"/>
      <c r="J270" s="39"/>
      <c r="K270" s="53"/>
      <c r="L270" s="90"/>
      <c r="M270" s="39"/>
      <c r="N270" s="327"/>
      <c r="O270" s="367"/>
      <c r="P270" s="82"/>
      <c r="Q270" s="82"/>
      <c r="R270" s="82"/>
      <c r="S270" s="16"/>
      <c r="T270" s="16"/>
      <c r="U270" s="39"/>
      <c r="V270" s="7"/>
      <c r="W270" s="7"/>
      <c r="X270" s="93"/>
      <c r="Y270" s="131"/>
      <c r="Z270" s="131"/>
      <c r="AA270" s="131"/>
      <c r="AB270" s="131"/>
      <c r="AC270" s="131"/>
      <c r="AD270" s="323"/>
      <c r="AE270" s="131"/>
      <c r="AF270" s="90"/>
      <c r="AG270" s="87"/>
      <c r="AH270" s="39"/>
      <c r="AI270" s="87"/>
      <c r="AJ270" s="81"/>
      <c r="AK270" s="90"/>
      <c r="AL270" s="81"/>
      <c r="AM270" s="39"/>
      <c r="AN270" s="7"/>
      <c r="AO270" s="82"/>
      <c r="AP270" s="82"/>
      <c r="AQ270" s="7"/>
      <c r="AR270" s="82"/>
      <c r="AS270" s="82"/>
      <c r="AT270" s="82"/>
      <c r="AU270" s="82"/>
      <c r="AV270" s="82"/>
      <c r="AW270" s="7"/>
      <c r="AX270" s="82"/>
      <c r="AY270" s="7"/>
      <c r="AZ270" s="7"/>
      <c r="BA270" s="7"/>
      <c r="BB270" s="7"/>
      <c r="BC270" s="7"/>
      <c r="BD270" s="7"/>
      <c r="BE270" s="7"/>
      <c r="BF270" s="7"/>
      <c r="BG270" s="7"/>
    </row>
    <row r="271">
      <c r="A271" s="39"/>
      <c r="B271" s="39"/>
      <c r="C271" s="7"/>
      <c r="D271" s="53"/>
      <c r="E271" s="7"/>
      <c r="F271" s="53"/>
      <c r="G271" s="16"/>
      <c r="H271" s="81"/>
      <c r="J271" s="39"/>
      <c r="K271" s="53"/>
      <c r="L271" s="90"/>
      <c r="M271" s="39"/>
      <c r="N271" s="327"/>
      <c r="O271" s="368"/>
      <c r="P271" s="82"/>
      <c r="Q271" s="82"/>
      <c r="R271" s="82"/>
      <c r="S271" s="16"/>
      <c r="T271" s="16"/>
      <c r="U271" s="39"/>
      <c r="V271" s="7"/>
      <c r="W271" s="7"/>
      <c r="X271" s="93"/>
      <c r="Y271" s="131"/>
      <c r="Z271" s="131"/>
      <c r="AA271" s="131"/>
      <c r="AB271" s="131"/>
      <c r="AC271" s="131"/>
      <c r="AD271" s="323"/>
      <c r="AE271" s="131"/>
      <c r="AF271" s="90"/>
      <c r="AG271" s="87"/>
      <c r="AH271" s="39"/>
      <c r="AI271" s="87"/>
      <c r="AJ271" s="81"/>
      <c r="AK271" s="90"/>
      <c r="AL271" s="81"/>
      <c r="AM271" s="39"/>
      <c r="AN271" s="7"/>
      <c r="AO271" s="82"/>
      <c r="AP271" s="82"/>
      <c r="AQ271" s="122"/>
      <c r="AR271" s="82"/>
      <c r="AS271" s="82"/>
      <c r="AT271" s="82"/>
      <c r="AU271" s="82"/>
      <c r="AV271" s="82"/>
      <c r="AW271" s="7"/>
      <c r="AX271" s="82"/>
      <c r="AY271" s="7"/>
      <c r="AZ271" s="7"/>
      <c r="BA271" s="7"/>
      <c r="BB271" s="7"/>
      <c r="BC271" s="7"/>
      <c r="BD271" s="7"/>
      <c r="BE271" s="7"/>
      <c r="BF271" s="7"/>
      <c r="BG271" s="7"/>
    </row>
    <row r="272">
      <c r="A272" s="39"/>
      <c r="B272" s="39"/>
      <c r="C272" s="7"/>
      <c r="D272" s="53"/>
      <c r="E272" s="7"/>
      <c r="F272" s="53"/>
      <c r="G272" s="16"/>
      <c r="H272" s="81"/>
      <c r="J272" s="39"/>
      <c r="K272" s="53"/>
      <c r="L272" s="90"/>
      <c r="M272" s="39"/>
      <c r="N272" s="327"/>
      <c r="O272" s="367"/>
      <c r="P272" s="82"/>
      <c r="Q272" s="82"/>
      <c r="R272" s="82"/>
      <c r="S272" s="16"/>
      <c r="T272" s="16"/>
      <c r="U272" s="39"/>
      <c r="V272" s="7"/>
      <c r="W272" s="7"/>
      <c r="X272" s="93"/>
      <c r="Y272" s="131"/>
      <c r="Z272" s="131"/>
      <c r="AA272" s="131"/>
      <c r="AB272" s="131"/>
      <c r="AC272" s="131"/>
      <c r="AD272" s="323"/>
      <c r="AE272" s="131"/>
      <c r="AF272" s="90"/>
      <c r="AG272" s="87"/>
      <c r="AH272" s="39"/>
      <c r="AI272" s="87"/>
      <c r="AJ272" s="81"/>
      <c r="AK272" s="90"/>
      <c r="AL272" s="81"/>
      <c r="AM272" s="39"/>
      <c r="AN272" s="7"/>
      <c r="AO272" s="82"/>
      <c r="AP272" s="82"/>
      <c r="AQ272" s="7"/>
      <c r="AR272" s="82"/>
      <c r="AS272" s="82"/>
      <c r="AT272" s="82"/>
      <c r="AU272" s="82"/>
      <c r="AV272" s="82"/>
      <c r="AW272" s="7"/>
      <c r="AX272" s="82"/>
      <c r="AY272" s="7"/>
      <c r="AZ272" s="7"/>
      <c r="BA272" s="7"/>
      <c r="BB272" s="7"/>
      <c r="BC272" s="7"/>
      <c r="BD272" s="7"/>
      <c r="BE272" s="7"/>
      <c r="BF272" s="7"/>
      <c r="BG272" s="7"/>
    </row>
    <row r="273">
      <c r="A273" s="39"/>
      <c r="B273" s="39"/>
      <c r="C273" s="7"/>
      <c r="D273" s="53"/>
      <c r="E273" s="7"/>
      <c r="F273" s="53"/>
      <c r="G273" s="16"/>
      <c r="H273" s="81"/>
      <c r="J273" s="39"/>
      <c r="K273" s="53"/>
      <c r="L273" s="90"/>
      <c r="M273" s="39"/>
      <c r="N273" s="321"/>
      <c r="O273" s="367"/>
      <c r="P273" s="7"/>
      <c r="Q273" s="7"/>
      <c r="R273" s="7"/>
      <c r="S273" s="81"/>
      <c r="T273" s="81"/>
      <c r="U273" s="39"/>
      <c r="V273" s="7"/>
      <c r="W273" s="7"/>
      <c r="X273" s="93"/>
      <c r="Y273" s="131"/>
      <c r="Z273" s="131"/>
      <c r="AA273" s="131"/>
      <c r="AB273" s="131"/>
      <c r="AC273" s="131"/>
      <c r="AD273" s="323"/>
      <c r="AE273" s="131"/>
      <c r="AF273" s="90"/>
      <c r="AG273" s="87"/>
      <c r="AH273" s="39"/>
      <c r="AI273" s="87"/>
      <c r="AJ273" s="81"/>
      <c r="AK273" s="90"/>
      <c r="AL273" s="81"/>
      <c r="AM273" s="39"/>
      <c r="AN273" s="7"/>
      <c r="AO273" s="82"/>
      <c r="AP273" s="82"/>
      <c r="AQ273" s="7"/>
      <c r="AR273" s="82"/>
      <c r="AS273" s="82"/>
      <c r="AT273" s="7"/>
      <c r="AU273" s="82"/>
      <c r="AV273" s="7"/>
      <c r="AW273" s="7"/>
      <c r="AX273" s="82"/>
      <c r="AY273" s="7"/>
      <c r="AZ273" s="7"/>
      <c r="BA273" s="7"/>
      <c r="BB273" s="7"/>
      <c r="BC273" s="7"/>
      <c r="BD273" s="7"/>
      <c r="BE273" s="7"/>
      <c r="BF273" s="7"/>
      <c r="BG273" s="7"/>
    </row>
    <row r="274">
      <c r="A274" s="39"/>
      <c r="B274" s="39"/>
      <c r="C274" s="7"/>
      <c r="D274" s="53"/>
      <c r="E274" s="7"/>
      <c r="F274" s="53"/>
      <c r="G274" s="16"/>
      <c r="H274" s="81"/>
      <c r="J274" s="39"/>
      <c r="K274" s="53"/>
      <c r="L274" s="90"/>
      <c r="M274" s="39"/>
      <c r="N274" s="327"/>
      <c r="O274" s="367"/>
      <c r="P274" s="82"/>
      <c r="Q274" s="82"/>
      <c r="R274" s="82"/>
      <c r="S274" s="81"/>
      <c r="T274" s="16"/>
      <c r="U274" s="39"/>
      <c r="V274" s="7"/>
      <c r="W274" s="7"/>
      <c r="X274" s="93"/>
      <c r="Y274" s="131"/>
      <c r="Z274" s="131"/>
      <c r="AA274" s="131"/>
      <c r="AB274" s="131"/>
      <c r="AC274" s="131"/>
      <c r="AD274" s="323"/>
      <c r="AE274" s="131"/>
      <c r="AF274" s="90"/>
      <c r="AG274" s="87"/>
      <c r="AH274" s="39"/>
      <c r="AI274" s="87"/>
      <c r="AJ274" s="81"/>
      <c r="AK274" s="90"/>
      <c r="AL274" s="81"/>
      <c r="AM274" s="39"/>
      <c r="AN274" s="7"/>
      <c r="AO274" s="82"/>
      <c r="AP274" s="82"/>
      <c r="AQ274" s="7"/>
      <c r="AR274" s="82"/>
      <c r="AS274" s="82"/>
      <c r="AT274" s="82"/>
      <c r="AU274" s="82"/>
      <c r="AV274" s="82"/>
      <c r="AW274" s="7"/>
      <c r="AX274" s="82"/>
      <c r="AY274" s="7"/>
      <c r="AZ274" s="7"/>
      <c r="BA274" s="7"/>
      <c r="BB274" s="7"/>
      <c r="BC274" s="7"/>
      <c r="BD274" s="7"/>
      <c r="BE274" s="7"/>
      <c r="BF274" s="7"/>
      <c r="BG274" s="7"/>
    </row>
    <row r="275">
      <c r="A275" s="39"/>
      <c r="B275" s="39"/>
      <c r="C275" s="7"/>
      <c r="D275" s="53"/>
      <c r="E275" s="7"/>
      <c r="F275" s="53"/>
      <c r="G275" s="16"/>
      <c r="H275" s="81"/>
      <c r="J275" s="39"/>
      <c r="K275" s="53"/>
      <c r="L275" s="90"/>
      <c r="M275" s="39"/>
      <c r="N275" s="327"/>
      <c r="O275" s="368"/>
      <c r="P275" s="82"/>
      <c r="Q275" s="82"/>
      <c r="R275" s="82"/>
      <c r="S275" s="81"/>
      <c r="T275" s="16"/>
      <c r="U275" s="39"/>
      <c r="V275" s="7"/>
      <c r="W275" s="7"/>
      <c r="X275" s="93"/>
      <c r="Y275" s="131"/>
      <c r="Z275" s="131"/>
      <c r="AA275" s="131"/>
      <c r="AB275" s="131"/>
      <c r="AC275" s="131"/>
      <c r="AD275" s="323"/>
      <c r="AE275" s="131"/>
      <c r="AF275" s="90"/>
      <c r="AG275" s="87"/>
      <c r="AH275" s="39"/>
      <c r="AI275" s="87"/>
      <c r="AJ275" s="81"/>
      <c r="AK275" s="90"/>
      <c r="AL275" s="81"/>
      <c r="AM275" s="39"/>
      <c r="AN275" s="7"/>
      <c r="AO275" s="82"/>
      <c r="AP275" s="82"/>
      <c r="AQ275" s="7"/>
      <c r="AR275" s="82"/>
      <c r="AS275" s="82"/>
      <c r="AT275" s="82"/>
      <c r="AU275" s="82"/>
      <c r="AV275" s="82"/>
      <c r="AW275" s="7"/>
      <c r="AX275" s="82"/>
      <c r="AY275" s="7"/>
      <c r="AZ275" s="7"/>
      <c r="BA275" s="7"/>
      <c r="BB275" s="7"/>
      <c r="BC275" s="7"/>
      <c r="BD275" s="7"/>
      <c r="BE275" s="7"/>
      <c r="BF275" s="7"/>
      <c r="BG275" s="7"/>
    </row>
    <row r="276">
      <c r="A276" s="39"/>
      <c r="B276" s="39"/>
      <c r="C276" s="7"/>
      <c r="D276" s="53"/>
      <c r="E276" s="7"/>
      <c r="F276" s="53"/>
      <c r="G276" s="16"/>
      <c r="H276" s="81"/>
      <c r="J276" s="39"/>
      <c r="K276" s="53"/>
      <c r="L276" s="90"/>
      <c r="M276" s="39"/>
      <c r="N276" s="327"/>
      <c r="O276" s="367"/>
      <c r="P276" s="82"/>
      <c r="Q276" s="82"/>
      <c r="R276" s="82"/>
      <c r="S276" s="81"/>
      <c r="T276" s="16"/>
      <c r="U276" s="39"/>
      <c r="V276" s="7"/>
      <c r="W276" s="7"/>
      <c r="X276" s="93"/>
      <c r="Y276" s="131"/>
      <c r="Z276" s="131"/>
      <c r="AA276" s="131"/>
      <c r="AB276" s="131"/>
      <c r="AC276" s="131"/>
      <c r="AD276" s="323"/>
      <c r="AE276" s="131"/>
      <c r="AF276" s="90"/>
      <c r="AG276" s="87"/>
      <c r="AH276" s="39"/>
      <c r="AI276" s="87"/>
      <c r="AJ276" s="81"/>
      <c r="AK276" s="90"/>
      <c r="AL276" s="81"/>
      <c r="AM276" s="39"/>
      <c r="AN276" s="7"/>
      <c r="AO276" s="82"/>
      <c r="AP276" s="82"/>
      <c r="AQ276" s="7"/>
      <c r="AR276" s="82"/>
      <c r="AS276" s="82"/>
      <c r="AT276" s="82"/>
      <c r="AU276" s="82"/>
      <c r="AV276" s="82"/>
      <c r="AW276" s="7"/>
      <c r="AX276" s="82"/>
      <c r="AY276" s="7"/>
      <c r="AZ276" s="7"/>
      <c r="BA276" s="7"/>
      <c r="BB276" s="7"/>
      <c r="BC276" s="7"/>
      <c r="BD276" s="7"/>
      <c r="BE276" s="7"/>
      <c r="BF276" s="7"/>
      <c r="BG276" s="7"/>
    </row>
    <row r="277">
      <c r="A277" s="39"/>
      <c r="B277" s="39"/>
      <c r="C277" s="7"/>
      <c r="D277" s="53"/>
      <c r="E277" s="7"/>
      <c r="F277" s="53"/>
      <c r="G277" s="16"/>
      <c r="H277" s="81"/>
      <c r="J277" s="39"/>
      <c r="K277" s="53"/>
      <c r="L277" s="90"/>
      <c r="M277" s="39"/>
      <c r="N277" s="327"/>
      <c r="O277" s="367"/>
      <c r="P277" s="82"/>
      <c r="Q277" s="82"/>
      <c r="R277" s="82"/>
      <c r="S277" s="81"/>
      <c r="T277" s="16"/>
      <c r="U277" s="39"/>
      <c r="V277" s="7"/>
      <c r="W277" s="7"/>
      <c r="X277" s="93"/>
      <c r="Y277" s="131"/>
      <c r="Z277" s="131"/>
      <c r="AA277" s="131"/>
      <c r="AB277" s="131"/>
      <c r="AC277" s="131"/>
      <c r="AD277" s="323"/>
      <c r="AE277" s="131"/>
      <c r="AF277" s="90"/>
      <c r="AG277" s="87"/>
      <c r="AH277" s="39"/>
      <c r="AI277" s="87"/>
      <c r="AJ277" s="81"/>
      <c r="AK277" s="90"/>
      <c r="AL277" s="81"/>
      <c r="AM277" s="39"/>
      <c r="AN277" s="7"/>
      <c r="AO277" s="82"/>
      <c r="AP277" s="82"/>
      <c r="AQ277" s="7"/>
      <c r="AR277" s="82"/>
      <c r="AS277" s="82"/>
      <c r="AT277" s="82"/>
      <c r="AU277" s="82"/>
      <c r="AV277" s="82"/>
      <c r="AW277" s="7"/>
      <c r="AX277" s="82"/>
      <c r="AY277" s="7"/>
      <c r="AZ277" s="7"/>
      <c r="BA277" s="7"/>
      <c r="BB277" s="7"/>
      <c r="BC277" s="7"/>
      <c r="BD277" s="7"/>
      <c r="BE277" s="7"/>
      <c r="BF277" s="7"/>
      <c r="BG277" s="7"/>
    </row>
    <row r="278">
      <c r="A278" s="39"/>
      <c r="B278" s="39"/>
      <c r="C278" s="7"/>
      <c r="D278" s="53"/>
      <c r="E278" s="7"/>
      <c r="F278" s="53"/>
      <c r="G278" s="16"/>
      <c r="H278" s="81"/>
      <c r="J278" s="39"/>
      <c r="K278" s="53"/>
      <c r="L278" s="90"/>
      <c r="M278" s="39"/>
      <c r="N278" s="327"/>
      <c r="O278" s="368"/>
      <c r="P278" s="82"/>
      <c r="Q278" s="82"/>
      <c r="R278" s="82"/>
      <c r="S278" s="81"/>
      <c r="T278" s="16"/>
      <c r="U278" s="39"/>
      <c r="V278" s="7"/>
      <c r="W278" s="7"/>
      <c r="X278" s="93"/>
      <c r="Y278" s="131"/>
      <c r="Z278" s="131"/>
      <c r="AA278" s="131"/>
      <c r="AB278" s="131"/>
      <c r="AC278" s="131"/>
      <c r="AD278" s="323"/>
      <c r="AE278" s="131"/>
      <c r="AF278" s="90"/>
      <c r="AG278" s="87"/>
      <c r="AH278" s="39"/>
      <c r="AI278" s="87"/>
      <c r="AJ278" s="81"/>
      <c r="AK278" s="90"/>
      <c r="AL278" s="81"/>
      <c r="AM278" s="39"/>
      <c r="AN278" s="7"/>
      <c r="AO278" s="82"/>
      <c r="AP278" s="82"/>
      <c r="AQ278" s="7"/>
      <c r="AR278" s="82"/>
      <c r="AS278" s="82"/>
      <c r="AT278" s="82"/>
      <c r="AU278" s="82"/>
      <c r="AV278" s="82"/>
      <c r="AW278" s="7"/>
      <c r="AX278" s="82"/>
      <c r="AY278" s="7"/>
      <c r="AZ278" s="7"/>
      <c r="BA278" s="7"/>
      <c r="BB278" s="7"/>
      <c r="BC278" s="7"/>
      <c r="BD278" s="7"/>
      <c r="BE278" s="7"/>
      <c r="BF278" s="7"/>
      <c r="BG278" s="7"/>
    </row>
    <row r="279">
      <c r="A279" s="39"/>
      <c r="B279" s="39"/>
      <c r="C279" s="7"/>
      <c r="D279" s="53"/>
      <c r="E279" s="7"/>
      <c r="F279" s="53"/>
      <c r="G279" s="16"/>
      <c r="H279" s="81"/>
      <c r="J279" s="39"/>
      <c r="K279" s="53"/>
      <c r="L279" s="90"/>
      <c r="M279" s="39"/>
      <c r="N279" s="327"/>
      <c r="O279" s="367"/>
      <c r="P279" s="82"/>
      <c r="Q279" s="82"/>
      <c r="R279" s="82"/>
      <c r="S279" s="81"/>
      <c r="T279" s="16"/>
      <c r="U279" s="39"/>
      <c r="V279" s="7"/>
      <c r="W279" s="7"/>
      <c r="X279" s="93"/>
      <c r="Y279" s="131"/>
      <c r="Z279" s="131"/>
      <c r="AA279" s="131"/>
      <c r="AB279" s="131"/>
      <c r="AC279" s="131"/>
      <c r="AD279" s="323"/>
      <c r="AE279" s="131"/>
      <c r="AF279" s="90"/>
      <c r="AG279" s="87"/>
      <c r="AH279" s="39"/>
      <c r="AI279" s="87"/>
      <c r="AJ279" s="81"/>
      <c r="AK279" s="90"/>
      <c r="AL279" s="81"/>
      <c r="AM279" s="39"/>
      <c r="AN279" s="7"/>
      <c r="AO279" s="82"/>
      <c r="AP279" s="82"/>
      <c r="AQ279" s="7"/>
      <c r="AR279" s="82"/>
      <c r="AS279" s="82"/>
      <c r="AT279" s="82"/>
      <c r="AU279" s="82"/>
      <c r="AV279" s="82"/>
      <c r="AW279" s="7"/>
      <c r="AX279" s="82"/>
      <c r="AY279" s="7"/>
      <c r="AZ279" s="7"/>
      <c r="BA279" s="7"/>
      <c r="BB279" s="7"/>
      <c r="BC279" s="7"/>
      <c r="BD279" s="7"/>
      <c r="BE279" s="7"/>
      <c r="BF279" s="7"/>
      <c r="BG279" s="7"/>
    </row>
    <row r="280">
      <c r="A280" s="39"/>
      <c r="B280" s="39"/>
      <c r="C280" s="7"/>
      <c r="D280" s="53"/>
      <c r="E280" s="7"/>
      <c r="F280" s="53"/>
      <c r="G280" s="16"/>
      <c r="H280" s="81"/>
      <c r="J280" s="39"/>
      <c r="K280" s="53"/>
      <c r="L280" s="90"/>
      <c r="M280" s="39"/>
      <c r="N280" s="327"/>
      <c r="O280" s="367"/>
      <c r="P280" s="7"/>
      <c r="Q280" s="7"/>
      <c r="R280" s="7"/>
      <c r="S280" s="81"/>
      <c r="T280" s="81"/>
      <c r="U280" s="39"/>
      <c r="V280" s="7"/>
      <c r="W280" s="7"/>
      <c r="X280" s="93"/>
      <c r="Y280" s="131"/>
      <c r="Z280" s="131"/>
      <c r="AA280" s="131"/>
      <c r="AB280" s="131"/>
      <c r="AC280" s="131"/>
      <c r="AD280" s="323"/>
      <c r="AE280" s="131"/>
      <c r="AF280" s="90"/>
      <c r="AG280" s="87"/>
      <c r="AH280" s="39"/>
      <c r="AI280" s="87"/>
      <c r="AJ280" s="81"/>
      <c r="AK280" s="90"/>
      <c r="AL280" s="81"/>
      <c r="AM280" s="39"/>
      <c r="AN280" s="7"/>
      <c r="AO280" s="82"/>
      <c r="AP280" s="82"/>
      <c r="AQ280" s="7"/>
      <c r="AR280" s="82"/>
      <c r="AS280" s="82"/>
      <c r="AT280" s="82"/>
      <c r="AU280" s="82"/>
      <c r="AV280" s="82"/>
      <c r="AW280" s="7"/>
      <c r="AX280" s="82"/>
      <c r="AY280" s="7"/>
      <c r="AZ280" s="7"/>
      <c r="BA280" s="7"/>
      <c r="BB280" s="7"/>
      <c r="BC280" s="7"/>
      <c r="BD280" s="7"/>
      <c r="BE280" s="7"/>
      <c r="BF280" s="7"/>
      <c r="BG280" s="7"/>
    </row>
    <row r="281">
      <c r="A281" s="39"/>
      <c r="B281" s="39"/>
      <c r="C281" s="7"/>
      <c r="D281" s="53"/>
      <c r="E281" s="7"/>
      <c r="F281" s="53"/>
      <c r="G281" s="16"/>
      <c r="H281" s="81"/>
      <c r="J281" s="39"/>
      <c r="K281" s="53"/>
      <c r="L281" s="90"/>
      <c r="M281" s="39"/>
      <c r="N281" s="327"/>
      <c r="O281" s="368"/>
      <c r="P281" s="82"/>
      <c r="Q281" s="82"/>
      <c r="R281" s="82"/>
      <c r="S281" s="81"/>
      <c r="T281" s="16"/>
      <c r="U281" s="39"/>
      <c r="V281" s="7"/>
      <c r="W281" s="7"/>
      <c r="X281" s="93"/>
      <c r="Y281" s="131"/>
      <c r="Z281" s="131"/>
      <c r="AA281" s="131"/>
      <c r="AB281" s="131"/>
      <c r="AC281" s="131"/>
      <c r="AD281" s="323"/>
      <c r="AE281" s="131"/>
      <c r="AF281" s="90"/>
      <c r="AG281" s="87"/>
      <c r="AH281" s="39"/>
      <c r="AI281" s="87"/>
      <c r="AJ281" s="81"/>
      <c r="AK281" s="90"/>
      <c r="AL281" s="81"/>
      <c r="AM281" s="39"/>
      <c r="AN281" s="7"/>
      <c r="AO281" s="82"/>
      <c r="AP281" s="82"/>
      <c r="AQ281" s="7"/>
      <c r="AR281" s="82"/>
      <c r="AS281" s="82"/>
      <c r="AT281" s="82"/>
      <c r="AU281" s="82"/>
      <c r="AV281" s="82"/>
      <c r="AW281" s="7"/>
      <c r="AX281" s="82"/>
      <c r="AY281" s="7"/>
      <c r="AZ281" s="7"/>
      <c r="BA281" s="7"/>
      <c r="BB281" s="7"/>
      <c r="BC281" s="7"/>
      <c r="BD281" s="7"/>
      <c r="BE281" s="7"/>
      <c r="BF281" s="7"/>
      <c r="BG281" s="7"/>
    </row>
    <row r="282">
      <c r="A282" s="39"/>
      <c r="B282" s="39"/>
      <c r="C282" s="7"/>
      <c r="D282" s="53"/>
      <c r="E282" s="7"/>
      <c r="F282" s="53"/>
      <c r="G282" s="16"/>
      <c r="H282" s="81"/>
      <c r="J282" s="39"/>
      <c r="K282" s="53"/>
      <c r="L282" s="90"/>
      <c r="M282" s="39"/>
      <c r="N282" s="327"/>
      <c r="O282" s="367"/>
      <c r="P282" s="82"/>
      <c r="Q282" s="82"/>
      <c r="R282" s="82"/>
      <c r="S282" s="81"/>
      <c r="T282" s="39"/>
      <c r="U282" s="39"/>
      <c r="V282" s="7"/>
      <c r="W282" s="7"/>
      <c r="X282" s="93"/>
      <c r="Y282" s="131"/>
      <c r="Z282" s="131"/>
      <c r="AA282" s="131"/>
      <c r="AB282" s="131"/>
      <c r="AC282" s="131"/>
      <c r="AD282" s="323"/>
      <c r="AE282" s="131"/>
      <c r="AF282" s="90"/>
      <c r="AG282" s="87"/>
      <c r="AH282" s="39"/>
      <c r="AI282" s="87"/>
      <c r="AJ282" s="81"/>
      <c r="AK282" s="90"/>
      <c r="AL282" s="81"/>
      <c r="AM282" s="39"/>
      <c r="AN282" s="7"/>
      <c r="AO282" s="82"/>
      <c r="AP282" s="82"/>
      <c r="AQ282" s="7"/>
      <c r="AR282" s="82"/>
      <c r="AS282" s="82"/>
      <c r="AT282" s="82"/>
      <c r="AU282" s="82"/>
      <c r="AV282" s="82"/>
      <c r="AW282" s="7"/>
      <c r="AX282" s="82"/>
      <c r="AY282" s="7"/>
      <c r="AZ282" s="7"/>
      <c r="BA282" s="7"/>
      <c r="BB282" s="7"/>
      <c r="BC282" s="7"/>
      <c r="BD282" s="7"/>
      <c r="BE282" s="7"/>
      <c r="BF282" s="7"/>
      <c r="BG282" s="7"/>
    </row>
    <row r="283">
      <c r="A283" s="39"/>
      <c r="B283" s="39"/>
      <c r="C283" s="7"/>
      <c r="D283" s="53"/>
      <c r="E283" s="7"/>
      <c r="F283" s="53"/>
      <c r="G283" s="16"/>
      <c r="H283" s="81"/>
      <c r="J283" s="39"/>
      <c r="K283" s="53"/>
      <c r="L283" s="90"/>
      <c r="M283" s="39"/>
      <c r="N283" s="327"/>
      <c r="O283" s="367"/>
      <c r="P283" s="82"/>
      <c r="Q283" s="82"/>
      <c r="R283" s="82"/>
      <c r="S283" s="81"/>
      <c r="T283" s="16"/>
      <c r="U283" s="39"/>
      <c r="V283" s="7"/>
      <c r="W283" s="7"/>
      <c r="X283" s="93"/>
      <c r="Y283" s="131"/>
      <c r="Z283" s="131"/>
      <c r="AA283" s="131"/>
      <c r="AB283" s="131"/>
      <c r="AC283" s="131"/>
      <c r="AD283" s="323"/>
      <c r="AE283" s="131"/>
      <c r="AF283" s="90"/>
      <c r="AG283" s="87"/>
      <c r="AH283" s="39"/>
      <c r="AI283" s="87"/>
      <c r="AJ283" s="81"/>
      <c r="AK283" s="90"/>
      <c r="AL283" s="81"/>
      <c r="AM283" s="39"/>
      <c r="AN283" s="7"/>
      <c r="AO283" s="82"/>
      <c r="AP283" s="82"/>
      <c r="AQ283" s="7"/>
      <c r="AR283" s="82"/>
      <c r="AS283" s="82"/>
      <c r="AT283" s="82"/>
      <c r="AU283" s="82"/>
      <c r="AV283" s="82"/>
      <c r="AW283" s="7"/>
      <c r="AX283" s="82"/>
      <c r="AY283" s="7"/>
      <c r="AZ283" s="7"/>
      <c r="BA283" s="7"/>
      <c r="BB283" s="7"/>
      <c r="BC283" s="7"/>
      <c r="BD283" s="7"/>
      <c r="BE283" s="7"/>
      <c r="BF283" s="7"/>
      <c r="BG283" s="7"/>
    </row>
    <row r="284">
      <c r="A284" s="39"/>
      <c r="B284" s="39"/>
      <c r="C284" s="7"/>
      <c r="D284" s="53"/>
      <c r="E284" s="7"/>
      <c r="F284" s="53"/>
      <c r="G284" s="16"/>
      <c r="H284" s="81"/>
      <c r="J284" s="39"/>
      <c r="K284" s="53"/>
      <c r="L284" s="90"/>
      <c r="M284" s="39"/>
      <c r="N284" s="327"/>
      <c r="O284" s="368"/>
      <c r="P284" s="7"/>
      <c r="Q284" s="7"/>
      <c r="R284" s="7"/>
      <c r="S284" s="81"/>
      <c r="T284" s="16"/>
      <c r="U284" s="39"/>
      <c r="V284" s="7"/>
      <c r="W284" s="7"/>
      <c r="X284" s="93"/>
      <c r="Y284" s="131"/>
      <c r="Z284" s="131"/>
      <c r="AA284" s="131"/>
      <c r="AB284" s="131"/>
      <c r="AC284" s="131"/>
      <c r="AD284" s="323"/>
      <c r="AE284" s="131"/>
      <c r="AF284" s="90"/>
      <c r="AG284" s="87"/>
      <c r="AH284" s="39"/>
      <c r="AI284" s="87"/>
      <c r="AJ284" s="81"/>
      <c r="AK284" s="90"/>
      <c r="AL284" s="81"/>
      <c r="AM284" s="39"/>
      <c r="AN284" s="7"/>
      <c r="AO284" s="82"/>
      <c r="AP284" s="82"/>
      <c r="AQ284" s="7"/>
      <c r="AR284" s="82"/>
      <c r="AS284" s="7"/>
      <c r="AT284" s="82"/>
      <c r="AU284" s="7"/>
      <c r="AV284" s="82"/>
      <c r="AW284" s="7"/>
      <c r="AX284" s="82"/>
      <c r="AY284" s="7"/>
      <c r="AZ284" s="7"/>
      <c r="BA284" s="7"/>
      <c r="BB284" s="7"/>
      <c r="BC284" s="7"/>
      <c r="BD284" s="7"/>
      <c r="BE284" s="7"/>
      <c r="BF284" s="7"/>
      <c r="BG284" s="7"/>
    </row>
    <row r="285">
      <c r="A285" s="39"/>
      <c r="B285" s="39"/>
      <c r="C285" s="7"/>
      <c r="D285" s="53"/>
      <c r="E285" s="7"/>
      <c r="F285" s="53"/>
      <c r="G285" s="16"/>
      <c r="H285" s="81"/>
      <c r="J285" s="39"/>
      <c r="K285" s="53"/>
      <c r="L285" s="90"/>
      <c r="M285" s="39"/>
      <c r="N285" s="327"/>
      <c r="O285" s="367"/>
      <c r="P285" s="82"/>
      <c r="Q285" s="82"/>
      <c r="R285" s="82"/>
      <c r="S285" s="81"/>
      <c r="T285" s="16"/>
      <c r="U285" s="39"/>
      <c r="V285" s="7"/>
      <c r="W285" s="7"/>
      <c r="X285" s="93"/>
      <c r="Y285" s="131"/>
      <c r="Z285" s="131"/>
      <c r="AA285" s="131"/>
      <c r="AB285" s="131"/>
      <c r="AC285" s="131"/>
      <c r="AD285" s="323"/>
      <c r="AE285" s="131"/>
      <c r="AF285" s="90"/>
      <c r="AG285" s="87"/>
      <c r="AH285" s="39"/>
      <c r="AI285" s="87"/>
      <c r="AJ285" s="81"/>
      <c r="AK285" s="90"/>
      <c r="AL285" s="81"/>
      <c r="AM285" s="39"/>
      <c r="AN285" s="7"/>
      <c r="AO285" s="82"/>
      <c r="AP285" s="82"/>
      <c r="AQ285" s="7"/>
      <c r="AR285" s="82"/>
      <c r="AS285" s="82"/>
      <c r="AT285" s="82"/>
      <c r="AU285" s="82"/>
      <c r="AV285" s="82"/>
      <c r="AW285" s="7"/>
      <c r="AX285" s="82"/>
      <c r="AY285" s="7"/>
      <c r="AZ285" s="7"/>
      <c r="BA285" s="7"/>
      <c r="BB285" s="7"/>
      <c r="BC285" s="7"/>
      <c r="BD285" s="7"/>
      <c r="BE285" s="7"/>
      <c r="BF285" s="7"/>
      <c r="BG285" s="7"/>
    </row>
    <row r="286">
      <c r="A286" s="39"/>
      <c r="B286" s="39"/>
      <c r="C286" s="7"/>
      <c r="D286" s="53"/>
      <c r="E286" s="7"/>
      <c r="F286" s="53"/>
      <c r="G286" s="16"/>
      <c r="H286" s="81"/>
      <c r="J286" s="39"/>
      <c r="K286" s="53"/>
      <c r="L286" s="90"/>
      <c r="M286" s="39"/>
      <c r="N286" s="327"/>
      <c r="O286" s="367"/>
      <c r="P286" s="82"/>
      <c r="Q286" s="82"/>
      <c r="R286" s="82"/>
      <c r="S286" s="81"/>
      <c r="T286" s="16"/>
      <c r="U286" s="39"/>
      <c r="V286" s="7"/>
      <c r="W286" s="7"/>
      <c r="X286" s="93"/>
      <c r="Y286" s="131"/>
      <c r="Z286" s="131"/>
      <c r="AA286" s="131"/>
      <c r="AB286" s="131"/>
      <c r="AC286" s="131"/>
      <c r="AD286" s="323"/>
      <c r="AE286" s="131"/>
      <c r="AF286" s="90"/>
      <c r="AG286" s="87"/>
      <c r="AH286" s="39"/>
      <c r="AI286" s="87"/>
      <c r="AJ286" s="81"/>
      <c r="AK286" s="90"/>
      <c r="AL286" s="81"/>
      <c r="AM286" s="39"/>
      <c r="AN286" s="7"/>
      <c r="AO286" s="82"/>
      <c r="AP286" s="82"/>
      <c r="AQ286" s="7"/>
      <c r="AR286" s="82"/>
      <c r="AS286" s="82"/>
      <c r="AT286" s="82"/>
      <c r="AU286" s="82"/>
      <c r="AV286" s="82"/>
      <c r="AW286" s="7"/>
      <c r="AX286" s="82"/>
      <c r="AY286" s="7"/>
      <c r="AZ286" s="7"/>
      <c r="BA286" s="7"/>
      <c r="BB286" s="7"/>
      <c r="BC286" s="7"/>
      <c r="BD286" s="7"/>
      <c r="BE286" s="7"/>
      <c r="BF286" s="7"/>
      <c r="BG286" s="7"/>
    </row>
    <row r="287">
      <c r="A287" s="39"/>
      <c r="B287" s="39"/>
      <c r="C287" s="7"/>
      <c r="D287" s="53"/>
      <c r="E287" s="7"/>
      <c r="F287" s="53"/>
      <c r="G287" s="16"/>
      <c r="H287" s="81"/>
      <c r="J287" s="39"/>
      <c r="K287" s="53"/>
      <c r="L287" s="90"/>
      <c r="M287" s="39"/>
      <c r="N287" s="327"/>
      <c r="O287" s="367"/>
      <c r="P287" s="82"/>
      <c r="Q287" s="82"/>
      <c r="R287" s="82"/>
      <c r="S287" s="81"/>
      <c r="T287" s="16"/>
      <c r="U287" s="39"/>
      <c r="V287" s="7"/>
      <c r="W287" s="7"/>
      <c r="X287" s="93"/>
      <c r="Y287" s="131"/>
      <c r="Z287" s="131"/>
      <c r="AA287" s="131"/>
      <c r="AB287" s="131"/>
      <c r="AC287" s="131"/>
      <c r="AD287" s="323"/>
      <c r="AE287" s="131"/>
      <c r="AF287" s="90"/>
      <c r="AG287" s="87"/>
      <c r="AH287" s="39"/>
      <c r="AI287" s="87"/>
      <c r="AJ287" s="81"/>
      <c r="AK287" s="90"/>
      <c r="AL287" s="81"/>
      <c r="AM287" s="39"/>
      <c r="AN287" s="7"/>
      <c r="AO287" s="82"/>
      <c r="AP287" s="82"/>
      <c r="AQ287" s="7"/>
      <c r="AR287" s="82"/>
      <c r="AS287" s="82"/>
      <c r="AT287" s="82"/>
      <c r="AU287" s="82"/>
      <c r="AV287" s="82"/>
      <c r="AW287" s="7"/>
      <c r="AX287" s="82"/>
      <c r="AY287" s="7"/>
      <c r="AZ287" s="7"/>
      <c r="BA287" s="7"/>
      <c r="BB287" s="7"/>
      <c r="BC287" s="7"/>
      <c r="BD287" s="7"/>
      <c r="BE287" s="7"/>
      <c r="BF287" s="7"/>
      <c r="BG287" s="7"/>
    </row>
    <row r="288">
      <c r="A288" s="39"/>
      <c r="B288" s="39"/>
      <c r="C288" s="7"/>
      <c r="D288" s="53"/>
      <c r="E288" s="7"/>
      <c r="F288" s="53"/>
      <c r="G288" s="16"/>
      <c r="H288" s="81"/>
      <c r="J288" s="39"/>
      <c r="K288" s="53"/>
      <c r="L288" s="90"/>
      <c r="M288" s="39"/>
      <c r="N288" s="327"/>
      <c r="O288" s="367"/>
      <c r="P288" s="82"/>
      <c r="Q288" s="82"/>
      <c r="R288" s="82"/>
      <c r="S288" s="81"/>
      <c r="T288" s="16"/>
      <c r="U288" s="39"/>
      <c r="V288" s="7"/>
      <c r="W288" s="7"/>
      <c r="X288" s="93"/>
      <c r="Y288" s="131"/>
      <c r="Z288" s="131"/>
      <c r="AA288" s="131"/>
      <c r="AB288" s="131"/>
      <c r="AC288" s="131"/>
      <c r="AD288" s="323"/>
      <c r="AE288" s="131"/>
      <c r="AF288" s="90"/>
      <c r="AG288" s="87"/>
      <c r="AH288" s="39"/>
      <c r="AI288" s="87"/>
      <c r="AJ288" s="81"/>
      <c r="AK288" s="90"/>
      <c r="AL288" s="81"/>
      <c r="AM288" s="39"/>
      <c r="AN288" s="7"/>
      <c r="AO288" s="82"/>
      <c r="AP288" s="82"/>
      <c r="AQ288" s="7"/>
      <c r="AR288" s="82"/>
      <c r="AS288" s="82"/>
      <c r="AT288" s="82"/>
      <c r="AU288" s="82"/>
      <c r="AV288" s="82"/>
      <c r="AW288" s="7"/>
      <c r="AX288" s="82"/>
      <c r="AY288" s="7"/>
      <c r="AZ288" s="7"/>
      <c r="BA288" s="7"/>
      <c r="BB288" s="7"/>
      <c r="BC288" s="7"/>
      <c r="BD288" s="7"/>
      <c r="BE288" s="7"/>
      <c r="BF288" s="7"/>
      <c r="BG288" s="7"/>
    </row>
    <row r="289">
      <c r="A289" s="39"/>
      <c r="B289" s="39"/>
      <c r="C289" s="7"/>
      <c r="D289" s="53"/>
      <c r="E289" s="7"/>
      <c r="F289" s="53"/>
      <c r="G289" s="16"/>
      <c r="H289" s="81"/>
      <c r="J289" s="39"/>
      <c r="K289" s="53"/>
      <c r="L289" s="90"/>
      <c r="M289" s="39"/>
      <c r="N289" s="327"/>
      <c r="O289" s="367"/>
      <c r="P289" s="7"/>
      <c r="Q289" s="7"/>
      <c r="R289" s="7"/>
      <c r="S289" s="83"/>
      <c r="T289" s="16"/>
      <c r="U289" s="39"/>
      <c r="V289" s="7"/>
      <c r="W289" s="7"/>
      <c r="X289" s="93"/>
      <c r="Y289" s="131"/>
      <c r="Z289" s="131"/>
      <c r="AA289" s="131"/>
      <c r="AB289" s="131"/>
      <c r="AC289" s="131"/>
      <c r="AD289" s="323"/>
      <c r="AE289" s="131"/>
      <c r="AF289" s="90"/>
      <c r="AG289" s="87"/>
      <c r="AH289" s="39"/>
      <c r="AI289" s="87"/>
      <c r="AJ289" s="81"/>
      <c r="AK289" s="90"/>
      <c r="AL289" s="81"/>
      <c r="AM289" s="39"/>
      <c r="AN289" s="7"/>
      <c r="AO289" s="82"/>
      <c r="AP289" s="82"/>
      <c r="AQ289" s="7"/>
      <c r="AR289" s="82"/>
      <c r="AS289" s="7"/>
      <c r="AT289" s="7"/>
      <c r="AU289" s="82"/>
      <c r="AV289" s="7"/>
      <c r="AW289" s="7"/>
      <c r="AX289" s="82"/>
      <c r="AY289" s="7"/>
      <c r="AZ289" s="7"/>
      <c r="BA289" s="7"/>
      <c r="BB289" s="7"/>
      <c r="BC289" s="7"/>
      <c r="BD289" s="7"/>
      <c r="BE289" s="7"/>
      <c r="BF289" s="7"/>
      <c r="BG289" s="7"/>
    </row>
    <row r="290">
      <c r="A290" s="39"/>
      <c r="B290" s="39"/>
      <c r="C290" s="7"/>
      <c r="D290" s="53"/>
      <c r="E290" s="7"/>
      <c r="F290" s="53"/>
      <c r="G290" s="16"/>
      <c r="H290" s="81"/>
      <c r="J290" s="39"/>
      <c r="K290" s="53"/>
      <c r="L290" s="90"/>
      <c r="M290" s="39"/>
      <c r="N290" s="327"/>
      <c r="O290" s="367"/>
      <c r="P290" s="82"/>
      <c r="Q290" s="82"/>
      <c r="R290" s="82"/>
      <c r="S290" s="81"/>
      <c r="T290" s="16"/>
      <c r="U290" s="39"/>
      <c r="V290" s="7"/>
      <c r="W290" s="7"/>
      <c r="X290" s="93"/>
      <c r="Y290" s="131"/>
      <c r="Z290" s="131"/>
      <c r="AA290" s="131"/>
      <c r="AB290" s="131"/>
      <c r="AC290" s="131"/>
      <c r="AD290" s="323"/>
      <c r="AE290" s="131"/>
      <c r="AF290" s="90"/>
      <c r="AG290" s="87"/>
      <c r="AH290" s="39"/>
      <c r="AI290" s="87"/>
      <c r="AJ290" s="81"/>
      <c r="AK290" s="90"/>
      <c r="AL290" s="81"/>
      <c r="AM290" s="39"/>
      <c r="AN290" s="7"/>
      <c r="AO290" s="82"/>
      <c r="AP290" s="82"/>
      <c r="AQ290" s="7"/>
      <c r="AR290" s="82"/>
      <c r="AS290" s="82"/>
      <c r="AT290" s="82"/>
      <c r="AU290" s="82"/>
      <c r="AV290" s="82"/>
      <c r="AW290" s="7"/>
      <c r="AX290" s="82"/>
      <c r="AY290" s="7"/>
      <c r="AZ290" s="7"/>
      <c r="BA290" s="7"/>
      <c r="BB290" s="7"/>
      <c r="BC290" s="7"/>
      <c r="BD290" s="7"/>
      <c r="BE290" s="7"/>
      <c r="BF290" s="7"/>
      <c r="BG290" s="7"/>
    </row>
    <row r="291">
      <c r="A291" s="39"/>
      <c r="B291" s="39"/>
      <c r="C291" s="7"/>
      <c r="D291" s="53"/>
      <c r="E291" s="7"/>
      <c r="F291" s="53"/>
      <c r="G291" s="16"/>
      <c r="H291" s="81"/>
      <c r="J291" s="39"/>
      <c r="K291" s="53"/>
      <c r="L291" s="90"/>
      <c r="M291" s="39"/>
      <c r="N291" s="327"/>
      <c r="O291" s="368"/>
      <c r="P291" s="82"/>
      <c r="Q291" s="82"/>
      <c r="R291" s="82"/>
      <c r="S291" s="81"/>
      <c r="T291" s="16"/>
      <c r="U291" s="39"/>
      <c r="V291" s="7"/>
      <c r="W291" s="7"/>
      <c r="X291" s="93"/>
      <c r="Y291" s="131"/>
      <c r="Z291" s="131"/>
      <c r="AA291" s="131"/>
      <c r="AB291" s="131"/>
      <c r="AC291" s="131"/>
      <c r="AD291" s="323"/>
      <c r="AE291" s="131"/>
      <c r="AF291" s="90"/>
      <c r="AG291" s="87"/>
      <c r="AH291" s="39"/>
      <c r="AI291" s="87"/>
      <c r="AJ291" s="81"/>
      <c r="AK291" s="90"/>
      <c r="AL291" s="81"/>
      <c r="AM291" s="39"/>
      <c r="AN291" s="7"/>
      <c r="AO291" s="82"/>
      <c r="AP291" s="82"/>
      <c r="AQ291" s="7"/>
      <c r="AR291" s="82"/>
      <c r="AS291" s="82"/>
      <c r="AT291" s="82"/>
      <c r="AU291" s="82"/>
      <c r="AV291" s="82"/>
      <c r="AW291" s="7"/>
      <c r="AX291" s="82"/>
      <c r="AY291" s="7"/>
      <c r="AZ291" s="7"/>
      <c r="BA291" s="7"/>
      <c r="BB291" s="7"/>
      <c r="BC291" s="7"/>
      <c r="BD291" s="7"/>
      <c r="BE291" s="7"/>
      <c r="BF291" s="7"/>
      <c r="BG291" s="7"/>
    </row>
    <row r="292">
      <c r="A292" s="39"/>
      <c r="B292" s="39"/>
      <c r="C292" s="7"/>
      <c r="D292" s="53"/>
      <c r="E292" s="7"/>
      <c r="F292" s="53"/>
      <c r="G292" s="16"/>
      <c r="H292" s="81"/>
      <c r="J292" s="39"/>
      <c r="K292" s="53"/>
      <c r="L292" s="90"/>
      <c r="M292" s="39"/>
      <c r="N292" s="327"/>
      <c r="O292" s="367"/>
      <c r="P292" s="82"/>
      <c r="Q292" s="82"/>
      <c r="R292" s="82"/>
      <c r="S292" s="81"/>
      <c r="T292" s="16"/>
      <c r="U292" s="39"/>
      <c r="V292" s="7"/>
      <c r="W292" s="7"/>
      <c r="X292" s="93"/>
      <c r="Y292" s="131"/>
      <c r="Z292" s="131"/>
      <c r="AA292" s="131"/>
      <c r="AB292" s="131"/>
      <c r="AC292" s="131"/>
      <c r="AD292" s="323"/>
      <c r="AE292" s="131"/>
      <c r="AF292" s="90"/>
      <c r="AG292" s="87"/>
      <c r="AH292" s="39"/>
      <c r="AI292" s="87"/>
      <c r="AJ292" s="81"/>
      <c r="AK292" s="90"/>
      <c r="AL292" s="81"/>
      <c r="AM292" s="39"/>
      <c r="AN292" s="7"/>
      <c r="AO292" s="82"/>
      <c r="AP292" s="82"/>
      <c r="AQ292" s="7"/>
      <c r="AR292" s="82"/>
      <c r="AS292" s="82"/>
      <c r="AT292" s="82"/>
      <c r="AU292" s="82"/>
      <c r="AV292" s="82"/>
      <c r="AW292" s="7"/>
      <c r="AX292" s="82"/>
      <c r="AY292" s="7"/>
      <c r="AZ292" s="7"/>
      <c r="BA292" s="7"/>
      <c r="BB292" s="7"/>
      <c r="BC292" s="7"/>
      <c r="BD292" s="7"/>
      <c r="BE292" s="7"/>
      <c r="BF292" s="7"/>
      <c r="BG292" s="7"/>
    </row>
    <row r="293">
      <c r="A293" s="39"/>
      <c r="B293" s="39"/>
      <c r="C293" s="7"/>
      <c r="D293" s="53"/>
      <c r="E293" s="7"/>
      <c r="F293" s="53"/>
      <c r="G293" s="16"/>
      <c r="H293" s="81"/>
      <c r="J293" s="39"/>
      <c r="K293" s="53"/>
      <c r="L293" s="90"/>
      <c r="M293" s="39"/>
      <c r="N293" s="327"/>
      <c r="O293" s="367"/>
      <c r="P293" s="82"/>
      <c r="Q293" s="82"/>
      <c r="R293" s="82"/>
      <c r="S293" s="81"/>
      <c r="T293" s="16"/>
      <c r="U293" s="39"/>
      <c r="V293" s="7"/>
      <c r="W293" s="7"/>
      <c r="X293" s="93"/>
      <c r="Y293" s="131"/>
      <c r="Z293" s="131"/>
      <c r="AA293" s="131"/>
      <c r="AB293" s="131"/>
      <c r="AC293" s="131"/>
      <c r="AD293" s="323"/>
      <c r="AE293" s="131"/>
      <c r="AF293" s="90"/>
      <c r="AG293" s="87"/>
      <c r="AH293" s="39"/>
      <c r="AI293" s="87"/>
      <c r="AJ293" s="81"/>
      <c r="AK293" s="90"/>
      <c r="AL293" s="81"/>
      <c r="AM293" s="39"/>
      <c r="AN293" s="7"/>
      <c r="AO293" s="82"/>
      <c r="AP293" s="82"/>
      <c r="AQ293" s="7"/>
      <c r="AR293" s="82"/>
      <c r="AS293" s="82"/>
      <c r="AT293" s="82"/>
      <c r="AU293" s="82"/>
      <c r="AV293" s="82"/>
      <c r="AW293" s="7"/>
      <c r="AX293" s="82"/>
      <c r="AY293" s="7"/>
      <c r="AZ293" s="7"/>
      <c r="BA293" s="7"/>
      <c r="BB293" s="7"/>
      <c r="BC293" s="7"/>
      <c r="BD293" s="7"/>
      <c r="BE293" s="7"/>
      <c r="BF293" s="7"/>
      <c r="BG293" s="7"/>
    </row>
    <row r="294">
      <c r="A294" s="39"/>
      <c r="B294" s="39"/>
      <c r="C294" s="7"/>
      <c r="D294" s="53"/>
      <c r="E294" s="7"/>
      <c r="F294" s="53"/>
      <c r="G294" s="16"/>
      <c r="H294" s="81"/>
      <c r="J294" s="39"/>
      <c r="K294" s="53"/>
      <c r="L294" s="90"/>
      <c r="M294" s="39"/>
      <c r="N294" s="327"/>
      <c r="O294" s="367"/>
      <c r="P294" s="82"/>
      <c r="Q294" s="82"/>
      <c r="R294" s="82"/>
      <c r="S294" s="81"/>
      <c r="T294" s="16"/>
      <c r="U294" s="39"/>
      <c r="V294" s="7"/>
      <c r="W294" s="7"/>
      <c r="X294" s="93"/>
      <c r="Y294" s="131"/>
      <c r="Z294" s="131"/>
      <c r="AA294" s="131"/>
      <c r="AB294" s="131"/>
      <c r="AC294" s="131"/>
      <c r="AD294" s="323"/>
      <c r="AE294" s="131"/>
      <c r="AF294" s="90"/>
      <c r="AG294" s="87"/>
      <c r="AH294" s="39"/>
      <c r="AI294" s="87"/>
      <c r="AJ294" s="81"/>
      <c r="AK294" s="90"/>
      <c r="AL294" s="81"/>
      <c r="AM294" s="39"/>
      <c r="AN294" s="7"/>
      <c r="AO294" s="82"/>
      <c r="AP294" s="82"/>
      <c r="AQ294" s="7"/>
      <c r="AR294" s="82"/>
      <c r="AS294" s="82"/>
      <c r="AT294" s="82"/>
      <c r="AU294" s="82"/>
      <c r="AV294" s="82"/>
      <c r="AW294" s="7"/>
      <c r="AX294" s="82"/>
      <c r="AY294" s="7"/>
      <c r="AZ294" s="7"/>
      <c r="BA294" s="7"/>
      <c r="BB294" s="7"/>
      <c r="BC294" s="7"/>
      <c r="BD294" s="7"/>
      <c r="BE294" s="7"/>
      <c r="BF294" s="7"/>
      <c r="BG294" s="7"/>
    </row>
    <row r="295">
      <c r="A295" s="39"/>
      <c r="B295" s="39"/>
      <c r="C295" s="7"/>
      <c r="D295" s="53"/>
      <c r="E295" s="7"/>
      <c r="F295" s="53"/>
      <c r="G295" s="16"/>
      <c r="H295" s="81"/>
      <c r="J295" s="39"/>
      <c r="K295" s="53"/>
      <c r="L295" s="90"/>
      <c r="M295" s="39"/>
      <c r="N295" s="327"/>
      <c r="O295" s="367"/>
      <c r="P295" s="82"/>
      <c r="Q295" s="82"/>
      <c r="R295" s="82"/>
      <c r="S295" s="81"/>
      <c r="T295" s="16"/>
      <c r="U295" s="39"/>
      <c r="V295" s="7"/>
      <c r="W295" s="7"/>
      <c r="X295" s="93"/>
      <c r="Y295" s="131"/>
      <c r="Z295" s="131"/>
      <c r="AA295" s="131"/>
      <c r="AB295" s="131"/>
      <c r="AC295" s="131"/>
      <c r="AD295" s="323"/>
      <c r="AE295" s="131"/>
      <c r="AF295" s="90"/>
      <c r="AG295" s="87"/>
      <c r="AH295" s="39"/>
      <c r="AI295" s="87"/>
      <c r="AJ295" s="81"/>
      <c r="AK295" s="90"/>
      <c r="AL295" s="81"/>
      <c r="AM295" s="39"/>
      <c r="AN295" s="7"/>
      <c r="AO295" s="82"/>
      <c r="AP295" s="82"/>
      <c r="AQ295" s="7"/>
      <c r="AR295" s="82"/>
      <c r="AS295" s="82"/>
      <c r="AT295" s="82"/>
      <c r="AU295" s="82"/>
      <c r="AV295" s="82"/>
      <c r="AW295" s="7"/>
      <c r="AX295" s="82"/>
      <c r="AY295" s="7"/>
      <c r="AZ295" s="7"/>
      <c r="BA295" s="7"/>
      <c r="BB295" s="7"/>
      <c r="BC295" s="7"/>
      <c r="BD295" s="7"/>
      <c r="BE295" s="7"/>
      <c r="BF295" s="7"/>
      <c r="BG295" s="7"/>
    </row>
    <row r="296">
      <c r="A296" s="39"/>
      <c r="B296" s="39"/>
      <c r="C296" s="7"/>
      <c r="D296" s="53"/>
      <c r="E296" s="7"/>
      <c r="F296" s="53"/>
      <c r="G296" s="16"/>
      <c r="H296" s="81"/>
      <c r="J296" s="39"/>
      <c r="K296" s="53"/>
      <c r="L296" s="90"/>
      <c r="M296" s="39"/>
      <c r="N296" s="327"/>
      <c r="O296" s="367"/>
      <c r="P296" s="82"/>
      <c r="Q296" s="82"/>
      <c r="R296" s="82"/>
      <c r="S296" s="81"/>
      <c r="T296" s="16"/>
      <c r="U296" s="39"/>
      <c r="V296" s="7"/>
      <c r="W296" s="7"/>
      <c r="X296" s="93"/>
      <c r="Y296" s="131"/>
      <c r="Z296" s="131"/>
      <c r="AA296" s="131"/>
      <c r="AB296" s="131"/>
      <c r="AC296" s="131"/>
      <c r="AD296" s="323"/>
      <c r="AE296" s="131"/>
      <c r="AF296" s="90"/>
      <c r="AG296" s="87"/>
      <c r="AH296" s="39"/>
      <c r="AI296" s="87"/>
      <c r="AJ296" s="81"/>
      <c r="AK296" s="90"/>
      <c r="AL296" s="81"/>
      <c r="AM296" s="39"/>
      <c r="AN296" s="7"/>
      <c r="AO296" s="82"/>
      <c r="AP296" s="82"/>
      <c r="AQ296" s="7"/>
      <c r="AR296" s="82"/>
      <c r="AS296" s="82"/>
      <c r="AT296" s="82"/>
      <c r="AU296" s="82"/>
      <c r="AV296" s="82"/>
      <c r="AW296" s="7"/>
      <c r="AX296" s="82"/>
      <c r="AY296" s="7"/>
      <c r="AZ296" s="7"/>
      <c r="BA296" s="7"/>
      <c r="BB296" s="7"/>
      <c r="BC296" s="7"/>
      <c r="BD296" s="7"/>
      <c r="BE296" s="7"/>
      <c r="BF296" s="7"/>
      <c r="BG296" s="7"/>
    </row>
    <row r="297">
      <c r="A297" s="39"/>
      <c r="B297" s="39"/>
      <c r="C297" s="7"/>
      <c r="D297" s="53"/>
      <c r="E297" s="7"/>
      <c r="F297" s="53"/>
      <c r="G297" s="16"/>
      <c r="H297" s="81"/>
      <c r="J297" s="39"/>
      <c r="K297" s="53"/>
      <c r="L297" s="90"/>
      <c r="M297" s="39"/>
      <c r="N297" s="321"/>
      <c r="O297" s="367"/>
      <c r="P297" s="7"/>
      <c r="Q297" s="7"/>
      <c r="R297" s="7"/>
      <c r="S297" s="81"/>
      <c r="T297" s="16"/>
      <c r="U297" s="39"/>
      <c r="V297" s="7"/>
      <c r="W297" s="7"/>
      <c r="X297" s="93"/>
      <c r="Y297" s="131"/>
      <c r="Z297" s="131"/>
      <c r="AA297" s="131"/>
      <c r="AB297" s="131"/>
      <c r="AC297" s="131"/>
      <c r="AD297" s="323"/>
      <c r="AE297" s="131"/>
      <c r="AF297" s="90"/>
      <c r="AG297" s="87"/>
      <c r="AH297" s="39"/>
      <c r="AI297" s="87"/>
      <c r="AJ297" s="81"/>
      <c r="AK297" s="90"/>
      <c r="AL297" s="81"/>
      <c r="AM297" s="39"/>
      <c r="AN297" s="7"/>
      <c r="AO297" s="82"/>
      <c r="AP297" s="82"/>
      <c r="AQ297" s="7"/>
      <c r="AR297" s="82"/>
      <c r="AS297" s="82"/>
      <c r="AT297" s="7"/>
      <c r="AU297" s="82"/>
      <c r="AV297" s="7"/>
      <c r="AW297" s="7"/>
      <c r="AX297" s="82"/>
      <c r="AY297" s="7"/>
      <c r="AZ297" s="7"/>
      <c r="BA297" s="7"/>
      <c r="BB297" s="7"/>
      <c r="BC297" s="7"/>
      <c r="BD297" s="7"/>
      <c r="BE297" s="7"/>
      <c r="BF297" s="7"/>
      <c r="BG297" s="7"/>
    </row>
    <row r="298">
      <c r="A298" s="39"/>
      <c r="B298" s="39"/>
      <c r="C298" s="7"/>
      <c r="D298" s="53"/>
      <c r="E298" s="7"/>
      <c r="F298" s="53"/>
      <c r="G298" s="16"/>
      <c r="H298" s="81"/>
      <c r="J298" s="39"/>
      <c r="K298" s="53"/>
      <c r="L298" s="90"/>
      <c r="M298" s="39"/>
      <c r="N298" s="327"/>
      <c r="O298" s="367"/>
      <c r="P298" s="82"/>
      <c r="Q298" s="82"/>
      <c r="R298" s="82"/>
      <c r="S298" s="81"/>
      <c r="T298" s="16"/>
      <c r="U298" s="39"/>
      <c r="V298" s="7"/>
      <c r="W298" s="7"/>
      <c r="X298" s="93"/>
      <c r="Y298" s="131"/>
      <c r="Z298" s="131"/>
      <c r="AA298" s="131"/>
      <c r="AB298" s="131"/>
      <c r="AC298" s="131"/>
      <c r="AD298" s="323"/>
      <c r="AE298" s="131"/>
      <c r="AF298" s="90"/>
      <c r="AG298" s="87"/>
      <c r="AH298" s="39"/>
      <c r="AI298" s="87"/>
      <c r="AJ298" s="81"/>
      <c r="AK298" s="90"/>
      <c r="AL298" s="81"/>
      <c r="AM298" s="39"/>
      <c r="AN298" s="7"/>
      <c r="AO298" s="82"/>
      <c r="AP298" s="82"/>
      <c r="AQ298" s="7"/>
      <c r="AR298" s="82"/>
      <c r="AS298" s="82"/>
      <c r="AT298" s="82"/>
      <c r="AU298" s="82"/>
      <c r="AV298" s="82"/>
      <c r="AW298" s="7"/>
      <c r="AX298" s="82"/>
      <c r="AY298" s="7"/>
      <c r="AZ298" s="7"/>
      <c r="BA298" s="7"/>
      <c r="BB298" s="7"/>
      <c r="BC298" s="7"/>
      <c r="BD298" s="7"/>
      <c r="BE298" s="7"/>
      <c r="BF298" s="7"/>
      <c r="BG298" s="7"/>
    </row>
    <row r="299">
      <c r="A299" s="39"/>
      <c r="B299" s="39"/>
      <c r="C299" s="7"/>
      <c r="D299" s="53"/>
      <c r="E299" s="7"/>
      <c r="F299" s="53"/>
      <c r="G299" s="16"/>
      <c r="H299" s="81"/>
      <c r="J299" s="39"/>
      <c r="K299" s="53"/>
      <c r="L299" s="90"/>
      <c r="M299" s="39"/>
      <c r="N299" s="327"/>
      <c r="O299" s="367"/>
      <c r="P299" s="82"/>
      <c r="Q299" s="82"/>
      <c r="R299" s="82"/>
      <c r="S299" s="81"/>
      <c r="T299" s="16"/>
      <c r="U299" s="39"/>
      <c r="V299" s="7"/>
      <c r="W299" s="7"/>
      <c r="X299" s="93"/>
      <c r="Y299" s="131"/>
      <c r="Z299" s="131"/>
      <c r="AA299" s="131"/>
      <c r="AB299" s="131"/>
      <c r="AC299" s="131"/>
      <c r="AD299" s="323"/>
      <c r="AE299" s="131"/>
      <c r="AF299" s="90"/>
      <c r="AG299" s="87"/>
      <c r="AH299" s="39"/>
      <c r="AI299" s="87"/>
      <c r="AJ299" s="81"/>
      <c r="AK299" s="90"/>
      <c r="AL299" s="81"/>
      <c r="AM299" s="39"/>
      <c r="AN299" s="7"/>
      <c r="AO299" s="82"/>
      <c r="AP299" s="82"/>
      <c r="AQ299" s="7"/>
      <c r="AR299" s="82"/>
      <c r="AS299" s="82"/>
      <c r="AT299" s="82"/>
      <c r="AU299" s="82"/>
      <c r="AV299" s="82"/>
      <c r="AW299" s="7"/>
      <c r="AX299" s="82"/>
      <c r="AY299" s="7"/>
      <c r="AZ299" s="7"/>
      <c r="BA299" s="7"/>
      <c r="BB299" s="7"/>
      <c r="BC299" s="7"/>
      <c r="BD299" s="7"/>
      <c r="BE299" s="7"/>
      <c r="BF299" s="7"/>
      <c r="BG299" s="7"/>
    </row>
    <row r="300">
      <c r="A300" s="39"/>
      <c r="B300" s="39"/>
      <c r="C300" s="7"/>
      <c r="D300" s="53"/>
      <c r="E300" s="7"/>
      <c r="F300" s="53"/>
      <c r="G300" s="16"/>
      <c r="H300" s="81"/>
      <c r="J300" s="39"/>
      <c r="K300" s="53"/>
      <c r="L300" s="90"/>
      <c r="M300" s="39"/>
      <c r="N300" s="327"/>
      <c r="O300" s="367"/>
      <c r="P300" s="82"/>
      <c r="Q300" s="82"/>
      <c r="R300" s="82"/>
      <c r="S300" s="81"/>
      <c r="T300" s="16"/>
      <c r="U300" s="39"/>
      <c r="V300" s="7"/>
      <c r="W300" s="7"/>
      <c r="X300" s="93"/>
      <c r="Y300" s="131"/>
      <c r="Z300" s="131"/>
      <c r="AA300" s="131"/>
      <c r="AB300" s="131"/>
      <c r="AC300" s="131"/>
      <c r="AD300" s="323"/>
      <c r="AE300" s="131"/>
      <c r="AF300" s="90"/>
      <c r="AG300" s="87"/>
      <c r="AH300" s="39"/>
      <c r="AI300" s="87"/>
      <c r="AJ300" s="81"/>
      <c r="AK300" s="90"/>
      <c r="AL300" s="81"/>
      <c r="AM300" s="39"/>
      <c r="AN300" s="7"/>
      <c r="AO300" s="82"/>
      <c r="AP300" s="82"/>
      <c r="AQ300" s="7"/>
      <c r="AR300" s="82"/>
      <c r="AS300" s="82"/>
      <c r="AT300" s="82"/>
      <c r="AU300" s="82"/>
      <c r="AV300" s="82"/>
      <c r="AW300" s="7"/>
      <c r="AX300" s="82"/>
      <c r="AY300" s="7"/>
      <c r="AZ300" s="7"/>
      <c r="BA300" s="7"/>
      <c r="BB300" s="7"/>
      <c r="BC300" s="7"/>
      <c r="BD300" s="7"/>
      <c r="BE300" s="7"/>
      <c r="BF300" s="7"/>
      <c r="BG300" s="7"/>
    </row>
    <row r="301">
      <c r="A301" s="39"/>
      <c r="B301" s="39"/>
      <c r="C301" s="7"/>
      <c r="D301" s="53"/>
      <c r="E301" s="7"/>
      <c r="F301" s="53"/>
      <c r="G301" s="16"/>
      <c r="H301" s="81"/>
      <c r="J301" s="39"/>
      <c r="K301" s="53"/>
      <c r="L301" s="90"/>
      <c r="M301" s="39"/>
      <c r="N301" s="327"/>
      <c r="O301" s="367"/>
      <c r="P301" s="82"/>
      <c r="Q301" s="82"/>
      <c r="R301" s="82"/>
      <c r="S301" s="83"/>
      <c r="T301" s="16"/>
      <c r="U301" s="39"/>
      <c r="V301" s="7"/>
      <c r="W301" s="7"/>
      <c r="X301" s="93"/>
      <c r="Y301" s="131"/>
      <c r="Z301" s="131"/>
      <c r="AA301" s="131"/>
      <c r="AB301" s="131"/>
      <c r="AC301" s="131"/>
      <c r="AD301" s="323"/>
      <c r="AE301" s="131"/>
      <c r="AF301" s="90"/>
      <c r="AG301" s="87"/>
      <c r="AH301" s="39"/>
      <c r="AI301" s="87"/>
      <c r="AJ301" s="81"/>
      <c r="AK301" s="90"/>
      <c r="AL301" s="81"/>
      <c r="AM301" s="39"/>
      <c r="AN301" s="7"/>
      <c r="AO301" s="82"/>
      <c r="AP301" s="82"/>
      <c r="AQ301" s="7"/>
      <c r="AR301" s="82"/>
      <c r="AS301" s="82"/>
      <c r="AT301" s="82"/>
      <c r="AU301" s="82"/>
      <c r="AV301" s="82"/>
      <c r="AW301" s="7"/>
      <c r="AX301" s="82"/>
      <c r="AY301" s="7"/>
      <c r="AZ301" s="7"/>
      <c r="BA301" s="7"/>
      <c r="BB301" s="7"/>
      <c r="BC301" s="7"/>
      <c r="BD301" s="7"/>
      <c r="BE301" s="7"/>
      <c r="BF301" s="7"/>
      <c r="BG301" s="7"/>
    </row>
    <row r="302">
      <c r="A302" s="39"/>
      <c r="B302" s="39"/>
      <c r="C302" s="7"/>
      <c r="D302" s="53"/>
      <c r="E302" s="7"/>
      <c r="F302" s="53"/>
      <c r="G302" s="16"/>
      <c r="H302" s="81"/>
      <c r="J302" s="39"/>
      <c r="K302" s="53"/>
      <c r="L302" s="90"/>
      <c r="M302" s="39"/>
      <c r="N302" s="327"/>
      <c r="O302" s="367"/>
      <c r="P302" s="82"/>
      <c r="Q302" s="82"/>
      <c r="R302" s="82"/>
      <c r="S302" s="81"/>
      <c r="T302" s="16"/>
      <c r="U302" s="39"/>
      <c r="V302" s="7"/>
      <c r="W302" s="7"/>
      <c r="X302" s="93"/>
      <c r="Y302" s="131"/>
      <c r="Z302" s="131"/>
      <c r="AA302" s="131"/>
      <c r="AB302" s="131"/>
      <c r="AC302" s="131"/>
      <c r="AD302" s="323"/>
      <c r="AE302" s="131"/>
      <c r="AF302" s="90"/>
      <c r="AG302" s="87"/>
      <c r="AH302" s="39"/>
      <c r="AI302" s="87"/>
      <c r="AJ302" s="81"/>
      <c r="AK302" s="90"/>
      <c r="AL302" s="81"/>
      <c r="AM302" s="39"/>
      <c r="AN302" s="7"/>
      <c r="AO302" s="82"/>
      <c r="AP302" s="82"/>
      <c r="AQ302" s="7"/>
      <c r="AR302" s="82"/>
      <c r="AS302" s="82"/>
      <c r="AT302" s="82"/>
      <c r="AU302" s="82"/>
      <c r="AV302" s="82"/>
      <c r="AW302" s="7"/>
      <c r="AX302" s="82"/>
      <c r="AY302" s="7"/>
      <c r="AZ302" s="7"/>
      <c r="BA302" s="7"/>
      <c r="BB302" s="7"/>
      <c r="BC302" s="7"/>
      <c r="BD302" s="7"/>
      <c r="BE302" s="7"/>
      <c r="BF302" s="7"/>
      <c r="BG302" s="7"/>
    </row>
    <row r="303">
      <c r="A303" s="39"/>
      <c r="B303" s="39"/>
      <c r="C303" s="7"/>
      <c r="D303" s="53"/>
      <c r="E303" s="7"/>
      <c r="F303" s="53"/>
      <c r="G303" s="16"/>
      <c r="H303" s="81"/>
      <c r="J303" s="39"/>
      <c r="K303" s="53"/>
      <c r="L303" s="90"/>
      <c r="M303" s="39"/>
      <c r="N303" s="327"/>
      <c r="O303" s="367"/>
      <c r="P303" s="82"/>
      <c r="Q303" s="82"/>
      <c r="R303" s="82"/>
      <c r="S303" s="81"/>
      <c r="T303" s="16"/>
      <c r="U303" s="39"/>
      <c r="V303" s="7"/>
      <c r="W303" s="7"/>
      <c r="X303" s="93"/>
      <c r="Y303" s="131"/>
      <c r="Z303" s="131"/>
      <c r="AA303" s="131"/>
      <c r="AB303" s="131"/>
      <c r="AC303" s="131"/>
      <c r="AD303" s="323"/>
      <c r="AE303" s="131"/>
      <c r="AF303" s="90"/>
      <c r="AG303" s="87"/>
      <c r="AH303" s="39"/>
      <c r="AI303" s="87"/>
      <c r="AJ303" s="81"/>
      <c r="AK303" s="90"/>
      <c r="AL303" s="81"/>
      <c r="AM303" s="39"/>
      <c r="AN303" s="7"/>
      <c r="AO303" s="82"/>
      <c r="AP303" s="82"/>
      <c r="AQ303" s="7"/>
      <c r="AR303" s="82"/>
      <c r="AS303" s="82"/>
      <c r="AT303" s="82"/>
      <c r="AU303" s="82"/>
      <c r="AV303" s="82"/>
      <c r="AW303" s="7"/>
      <c r="AX303" s="82"/>
      <c r="AY303" s="7"/>
      <c r="AZ303" s="7"/>
      <c r="BA303" s="7"/>
      <c r="BB303" s="7"/>
      <c r="BC303" s="7"/>
      <c r="BD303" s="7"/>
      <c r="BE303" s="7"/>
      <c r="BF303" s="7"/>
      <c r="BG303" s="7"/>
    </row>
    <row r="304">
      <c r="A304" s="39"/>
      <c r="B304" s="39"/>
      <c r="C304" s="7"/>
      <c r="D304" s="53"/>
      <c r="E304" s="7"/>
      <c r="F304" s="53"/>
      <c r="G304" s="16"/>
      <c r="H304" s="81"/>
      <c r="J304" s="39"/>
      <c r="K304" s="53"/>
      <c r="L304" s="90"/>
      <c r="M304" s="39"/>
      <c r="N304" s="327"/>
      <c r="O304" s="367"/>
      <c r="P304" s="82"/>
      <c r="Q304" s="82"/>
      <c r="R304" s="82"/>
      <c r="S304" s="81"/>
      <c r="T304" s="16"/>
      <c r="U304" s="39"/>
      <c r="V304" s="7"/>
      <c r="W304" s="7"/>
      <c r="X304" s="93"/>
      <c r="Y304" s="131"/>
      <c r="Z304" s="131"/>
      <c r="AA304" s="131"/>
      <c r="AB304" s="131"/>
      <c r="AC304" s="131"/>
      <c r="AD304" s="323"/>
      <c r="AE304" s="131"/>
      <c r="AF304" s="90"/>
      <c r="AG304" s="87"/>
      <c r="AH304" s="39"/>
      <c r="AI304" s="87"/>
      <c r="AJ304" s="81"/>
      <c r="AK304" s="90"/>
      <c r="AL304" s="81"/>
      <c r="AM304" s="39"/>
      <c r="AN304" s="7"/>
      <c r="AO304" s="82"/>
      <c r="AP304" s="82"/>
      <c r="AQ304" s="7"/>
      <c r="AR304" s="82"/>
      <c r="AS304" s="82"/>
      <c r="AT304" s="82"/>
      <c r="AU304" s="82"/>
      <c r="AV304" s="82"/>
      <c r="AW304" s="7"/>
      <c r="AX304" s="82"/>
      <c r="AY304" s="7"/>
      <c r="AZ304" s="7"/>
      <c r="BA304" s="7"/>
      <c r="BB304" s="7"/>
      <c r="BC304" s="7"/>
      <c r="BD304" s="7"/>
      <c r="BE304" s="7"/>
      <c r="BF304" s="7"/>
      <c r="BG304" s="7"/>
    </row>
    <row r="305">
      <c r="A305" s="39"/>
      <c r="B305" s="39"/>
      <c r="C305" s="7"/>
      <c r="D305" s="53"/>
      <c r="E305" s="7"/>
      <c r="F305" s="53"/>
      <c r="G305" s="16"/>
      <c r="H305" s="81"/>
      <c r="J305" s="39"/>
      <c r="K305" s="53"/>
      <c r="L305" s="90"/>
      <c r="M305" s="39"/>
      <c r="N305" s="327"/>
      <c r="O305" s="367"/>
      <c r="P305" s="82"/>
      <c r="Q305" s="82"/>
      <c r="R305" s="82"/>
      <c r="S305" s="81"/>
      <c r="T305" s="16"/>
      <c r="U305" s="39"/>
      <c r="V305" s="7"/>
      <c r="W305" s="7"/>
      <c r="X305" s="93"/>
      <c r="Y305" s="131"/>
      <c r="Z305" s="131"/>
      <c r="AA305" s="131"/>
      <c r="AB305" s="131"/>
      <c r="AC305" s="131"/>
      <c r="AD305" s="323"/>
      <c r="AE305" s="131"/>
      <c r="AF305" s="90"/>
      <c r="AG305" s="87"/>
      <c r="AH305" s="39"/>
      <c r="AI305" s="87"/>
      <c r="AJ305" s="81"/>
      <c r="AK305" s="90"/>
      <c r="AL305" s="81"/>
      <c r="AM305" s="39"/>
      <c r="AN305" s="7"/>
      <c r="AO305" s="82"/>
      <c r="AP305" s="82"/>
      <c r="AQ305" s="7"/>
      <c r="AR305" s="82"/>
      <c r="AS305" s="82"/>
      <c r="AT305" s="82"/>
      <c r="AU305" s="82"/>
      <c r="AV305" s="82"/>
      <c r="AW305" s="7"/>
      <c r="AX305" s="82"/>
      <c r="AY305" s="7"/>
      <c r="AZ305" s="7"/>
      <c r="BA305" s="7"/>
      <c r="BB305" s="7"/>
      <c r="BC305" s="7"/>
      <c r="BD305" s="7"/>
      <c r="BE305" s="7"/>
      <c r="BF305" s="7"/>
      <c r="BG305" s="7"/>
    </row>
    <row r="306">
      <c r="A306" s="39"/>
      <c r="B306" s="39"/>
      <c r="C306" s="7"/>
      <c r="D306" s="53"/>
      <c r="E306" s="7"/>
      <c r="F306" s="53"/>
      <c r="G306" s="16"/>
      <c r="H306" s="81"/>
      <c r="J306" s="39"/>
      <c r="K306" s="53"/>
      <c r="L306" s="90"/>
      <c r="M306" s="39"/>
      <c r="N306" s="327"/>
      <c r="O306" s="368"/>
      <c r="P306" s="82"/>
      <c r="Q306" s="82"/>
      <c r="R306" s="82"/>
      <c r="S306" s="83"/>
      <c r="T306" s="16"/>
      <c r="U306" s="39"/>
      <c r="V306" s="7"/>
      <c r="W306" s="7"/>
      <c r="X306" s="93"/>
      <c r="Y306" s="131"/>
      <c r="Z306" s="131"/>
      <c r="AA306" s="131"/>
      <c r="AB306" s="131"/>
      <c r="AC306" s="131"/>
      <c r="AD306" s="323"/>
      <c r="AE306" s="131"/>
      <c r="AF306" s="90"/>
      <c r="AG306" s="87"/>
      <c r="AH306" s="39"/>
      <c r="AI306" s="87"/>
      <c r="AJ306" s="81"/>
      <c r="AK306" s="90"/>
      <c r="AL306" s="81"/>
      <c r="AM306" s="39"/>
      <c r="AN306" s="7"/>
      <c r="AO306" s="82"/>
      <c r="AP306" s="82"/>
      <c r="AQ306" s="7"/>
      <c r="AR306" s="82"/>
      <c r="AS306" s="82"/>
      <c r="AT306" s="82"/>
      <c r="AU306" s="82"/>
      <c r="AV306" s="82"/>
      <c r="AW306" s="7"/>
      <c r="AX306" s="82"/>
      <c r="AY306" s="7"/>
      <c r="AZ306" s="7"/>
      <c r="BA306" s="7"/>
      <c r="BB306" s="7"/>
      <c r="BC306" s="7"/>
      <c r="BD306" s="7"/>
      <c r="BE306" s="7"/>
      <c r="BF306" s="7"/>
      <c r="BG306" s="7"/>
    </row>
    <row r="307">
      <c r="A307" s="39"/>
      <c r="B307" s="39"/>
      <c r="C307" s="7"/>
      <c r="D307" s="53"/>
      <c r="E307" s="7"/>
      <c r="F307" s="53"/>
      <c r="G307" s="16"/>
      <c r="H307" s="81"/>
      <c r="J307" s="39"/>
      <c r="K307" s="53"/>
      <c r="L307" s="90"/>
      <c r="M307" s="39"/>
      <c r="N307" s="327"/>
      <c r="O307" s="367"/>
      <c r="P307" s="82"/>
      <c r="Q307" s="82"/>
      <c r="R307" s="82"/>
      <c r="S307" s="81"/>
      <c r="T307" s="16"/>
      <c r="U307" s="39"/>
      <c r="V307" s="7"/>
      <c r="W307" s="7"/>
      <c r="X307" s="93"/>
      <c r="Y307" s="131"/>
      <c r="Z307" s="131"/>
      <c r="AA307" s="131"/>
      <c r="AB307" s="131"/>
      <c r="AC307" s="131"/>
      <c r="AD307" s="323"/>
      <c r="AE307" s="131"/>
      <c r="AF307" s="90"/>
      <c r="AG307" s="87"/>
      <c r="AH307" s="39"/>
      <c r="AI307" s="87"/>
      <c r="AJ307" s="81"/>
      <c r="AK307" s="90"/>
      <c r="AL307" s="81"/>
      <c r="AM307" s="39"/>
      <c r="AN307" s="7"/>
      <c r="AO307" s="82"/>
      <c r="AP307" s="82"/>
      <c r="AQ307" s="7"/>
      <c r="AR307" s="82"/>
      <c r="AS307" s="82"/>
      <c r="AT307" s="82"/>
      <c r="AU307" s="82"/>
      <c r="AV307" s="82"/>
      <c r="AW307" s="7"/>
      <c r="AX307" s="82"/>
      <c r="AY307" s="7"/>
      <c r="AZ307" s="7"/>
      <c r="BA307" s="7"/>
      <c r="BB307" s="7"/>
      <c r="BC307" s="7"/>
      <c r="BD307" s="7"/>
      <c r="BE307" s="7"/>
      <c r="BF307" s="7"/>
      <c r="BG307" s="7"/>
    </row>
    <row r="308">
      <c r="A308" s="39"/>
      <c r="B308" s="39"/>
      <c r="C308" s="7"/>
      <c r="D308" s="53"/>
      <c r="E308" s="7"/>
      <c r="F308" s="53"/>
      <c r="G308" s="16"/>
      <c r="H308" s="81"/>
      <c r="J308" s="39"/>
      <c r="K308" s="53"/>
      <c r="L308" s="90"/>
      <c r="M308" s="39"/>
      <c r="N308" s="327"/>
      <c r="O308" s="367"/>
      <c r="P308" s="7"/>
      <c r="Q308" s="7"/>
      <c r="R308" s="7"/>
      <c r="S308" s="81"/>
      <c r="T308" s="16"/>
      <c r="U308" s="39"/>
      <c r="V308" s="7"/>
      <c r="W308" s="7"/>
      <c r="X308" s="93"/>
      <c r="Y308" s="131"/>
      <c r="Z308" s="131"/>
      <c r="AA308" s="131"/>
      <c r="AB308" s="131"/>
      <c r="AC308" s="131"/>
      <c r="AD308" s="323"/>
      <c r="AE308" s="131"/>
      <c r="AF308" s="90"/>
      <c r="AG308" s="87"/>
      <c r="AH308" s="39"/>
      <c r="AI308" s="87"/>
      <c r="AJ308" s="81"/>
      <c r="AK308" s="90"/>
      <c r="AL308" s="81"/>
      <c r="AM308" s="39"/>
      <c r="AN308" s="7"/>
      <c r="AO308" s="82"/>
      <c r="AP308" s="82"/>
      <c r="AQ308" s="7"/>
      <c r="AR308" s="82"/>
      <c r="AS308" s="82"/>
      <c r="AT308" s="82"/>
      <c r="AU308" s="82"/>
      <c r="AV308" s="82"/>
      <c r="AW308" s="7"/>
      <c r="AX308" s="82"/>
      <c r="AY308" s="7"/>
      <c r="AZ308" s="7"/>
      <c r="BA308" s="7"/>
      <c r="BB308" s="7"/>
      <c r="BC308" s="7"/>
      <c r="BD308" s="7"/>
      <c r="BE308" s="7"/>
      <c r="BF308" s="7"/>
      <c r="BG308" s="7"/>
    </row>
    <row r="309">
      <c r="A309" s="39"/>
      <c r="B309" s="39"/>
      <c r="C309" s="7"/>
      <c r="D309" s="53"/>
      <c r="E309" s="7"/>
      <c r="F309" s="53"/>
      <c r="G309" s="16"/>
      <c r="H309" s="81"/>
      <c r="J309" s="39"/>
      <c r="K309" s="53"/>
      <c r="L309" s="90"/>
      <c r="M309" s="39"/>
      <c r="N309" s="327"/>
      <c r="O309" s="367"/>
      <c r="P309" s="82"/>
      <c r="Q309" s="82"/>
      <c r="R309" s="82"/>
      <c r="S309" s="81"/>
      <c r="T309" s="16"/>
      <c r="U309" s="39"/>
      <c r="V309" s="7"/>
      <c r="W309" s="7"/>
      <c r="X309" s="93"/>
      <c r="Y309" s="131"/>
      <c r="Z309" s="131"/>
      <c r="AA309" s="131"/>
      <c r="AB309" s="131"/>
      <c r="AC309" s="131"/>
      <c r="AD309" s="323"/>
      <c r="AE309" s="131"/>
      <c r="AF309" s="90"/>
      <c r="AG309" s="87"/>
      <c r="AH309" s="39"/>
      <c r="AI309" s="87"/>
      <c r="AJ309" s="81"/>
      <c r="AK309" s="90"/>
      <c r="AL309" s="81"/>
      <c r="AM309" s="39"/>
      <c r="AN309" s="7"/>
      <c r="AO309" s="82"/>
      <c r="AP309" s="82"/>
      <c r="AQ309" s="7"/>
      <c r="AR309" s="82"/>
      <c r="AS309" s="82"/>
      <c r="AT309" s="82"/>
      <c r="AU309" s="82"/>
      <c r="AV309" s="82"/>
      <c r="AW309" s="7"/>
      <c r="AX309" s="82"/>
      <c r="AY309" s="7"/>
      <c r="AZ309" s="7"/>
      <c r="BA309" s="7"/>
      <c r="BB309" s="7"/>
      <c r="BC309" s="7"/>
      <c r="BD309" s="7"/>
      <c r="BE309" s="7"/>
      <c r="BF309" s="7"/>
      <c r="BG309" s="7"/>
    </row>
    <row r="310">
      <c r="A310" s="39"/>
      <c r="B310" s="39"/>
      <c r="C310" s="7"/>
      <c r="D310" s="53"/>
      <c r="E310" s="7"/>
      <c r="F310" s="53"/>
      <c r="G310" s="16"/>
      <c r="H310" s="81"/>
      <c r="J310" s="39"/>
      <c r="K310" s="53"/>
      <c r="L310" s="90"/>
      <c r="M310" s="39"/>
      <c r="N310" s="321"/>
      <c r="O310" s="367"/>
      <c r="P310" s="7"/>
      <c r="Q310" s="7"/>
      <c r="R310" s="82"/>
      <c r="S310" s="81"/>
      <c r="T310" s="16"/>
      <c r="U310" s="39"/>
      <c r="V310" s="7"/>
      <c r="W310" s="7"/>
      <c r="X310" s="93"/>
      <c r="Y310" s="131"/>
      <c r="Z310" s="131"/>
      <c r="AA310" s="131"/>
      <c r="AB310" s="131"/>
      <c r="AC310" s="131"/>
      <c r="AD310" s="323"/>
      <c r="AE310" s="131"/>
      <c r="AF310" s="90"/>
      <c r="AG310" s="87"/>
      <c r="AH310" s="39"/>
      <c r="AI310" s="87"/>
      <c r="AJ310" s="81"/>
      <c r="AK310" s="90"/>
      <c r="AL310" s="81"/>
      <c r="AM310" s="39"/>
      <c r="AN310" s="7"/>
      <c r="AO310" s="82"/>
      <c r="AP310" s="82"/>
      <c r="AQ310" s="7"/>
      <c r="AR310" s="82"/>
      <c r="AS310" s="7"/>
      <c r="AT310" s="7"/>
      <c r="AU310" s="7"/>
      <c r="AV310" s="7"/>
      <c r="AW310" s="7"/>
      <c r="AX310" s="82"/>
      <c r="AY310" s="7"/>
      <c r="AZ310" s="7"/>
      <c r="BA310" s="7"/>
      <c r="BB310" s="7"/>
      <c r="BC310" s="7"/>
      <c r="BD310" s="7"/>
      <c r="BE310" s="7"/>
      <c r="BF310" s="7"/>
      <c r="BG310" s="7"/>
    </row>
    <row r="311">
      <c r="A311" s="39"/>
      <c r="B311" s="39"/>
      <c r="C311" s="7"/>
      <c r="D311" s="53"/>
      <c r="E311" s="7"/>
      <c r="F311" s="53"/>
      <c r="G311" s="16"/>
      <c r="H311" s="81"/>
      <c r="J311" s="39"/>
      <c r="K311" s="53"/>
      <c r="L311" s="90"/>
      <c r="M311" s="39"/>
      <c r="N311" s="327"/>
      <c r="O311" s="367"/>
      <c r="P311" s="82"/>
      <c r="Q311" s="82"/>
      <c r="R311" s="82"/>
      <c r="S311" s="81"/>
      <c r="T311" s="16"/>
      <c r="U311" s="39"/>
      <c r="V311" s="7"/>
      <c r="W311" s="7"/>
      <c r="X311" s="93"/>
      <c r="Y311" s="131"/>
      <c r="Z311" s="131"/>
      <c r="AA311" s="131"/>
      <c r="AB311" s="131"/>
      <c r="AC311" s="131"/>
      <c r="AD311" s="323"/>
      <c r="AE311" s="131"/>
      <c r="AF311" s="90"/>
      <c r="AG311" s="87"/>
      <c r="AH311" s="39"/>
      <c r="AI311" s="87"/>
      <c r="AJ311" s="81"/>
      <c r="AK311" s="90"/>
      <c r="AL311" s="81"/>
      <c r="AM311" s="39"/>
      <c r="AN311" s="7"/>
      <c r="AO311" s="82"/>
      <c r="AP311" s="82"/>
      <c r="AQ311" s="7"/>
      <c r="AR311" s="82"/>
      <c r="AS311" s="82"/>
      <c r="AT311" s="82"/>
      <c r="AU311" s="82"/>
      <c r="AV311" s="82"/>
      <c r="AW311" s="7"/>
      <c r="AX311" s="82"/>
      <c r="AY311" s="7"/>
      <c r="AZ311" s="7"/>
      <c r="BA311" s="7"/>
      <c r="BB311" s="7"/>
      <c r="BC311" s="7"/>
      <c r="BD311" s="7"/>
      <c r="BE311" s="7"/>
      <c r="BF311" s="7"/>
      <c r="BG311" s="7"/>
    </row>
    <row r="312">
      <c r="A312" s="39"/>
      <c r="B312" s="39"/>
      <c r="C312" s="7"/>
      <c r="D312" s="53"/>
      <c r="E312" s="7"/>
      <c r="F312" s="53"/>
      <c r="G312" s="16"/>
      <c r="H312" s="81"/>
      <c r="J312" s="39"/>
      <c r="K312" s="53"/>
      <c r="L312" s="90"/>
      <c r="M312" s="39"/>
      <c r="N312" s="327"/>
      <c r="O312" s="367"/>
      <c r="P312" s="82"/>
      <c r="Q312" s="82"/>
      <c r="R312" s="82"/>
      <c r="S312" s="81"/>
      <c r="T312" s="16"/>
      <c r="U312" s="39"/>
      <c r="V312" s="7"/>
      <c r="W312" s="7"/>
      <c r="X312" s="93"/>
      <c r="Y312" s="131"/>
      <c r="Z312" s="131"/>
      <c r="AA312" s="131"/>
      <c r="AB312" s="131"/>
      <c r="AC312" s="131"/>
      <c r="AD312" s="323"/>
      <c r="AE312" s="131"/>
      <c r="AF312" s="90"/>
      <c r="AG312" s="87"/>
      <c r="AH312" s="39"/>
      <c r="AI312" s="87"/>
      <c r="AJ312" s="81"/>
      <c r="AK312" s="90"/>
      <c r="AL312" s="81"/>
      <c r="AM312" s="39"/>
      <c r="AN312" s="7"/>
      <c r="AO312" s="82"/>
      <c r="AP312" s="82"/>
      <c r="AQ312" s="7"/>
      <c r="AR312" s="82"/>
      <c r="AS312" s="82"/>
      <c r="AT312" s="82"/>
      <c r="AU312" s="82"/>
      <c r="AV312" s="82"/>
      <c r="AW312" s="7"/>
      <c r="AX312" s="82"/>
      <c r="AY312" s="7"/>
      <c r="AZ312" s="7"/>
      <c r="BA312" s="7"/>
      <c r="BB312" s="7"/>
      <c r="BC312" s="7"/>
      <c r="BD312" s="7"/>
      <c r="BE312" s="7"/>
      <c r="BF312" s="7"/>
      <c r="BG312" s="7"/>
    </row>
    <row r="313">
      <c r="A313" s="39"/>
      <c r="B313" s="39"/>
      <c r="C313" s="7"/>
      <c r="D313" s="53"/>
      <c r="E313" s="7"/>
      <c r="F313" s="53"/>
      <c r="G313" s="16"/>
      <c r="H313" s="81"/>
      <c r="J313" s="39"/>
      <c r="K313" s="53"/>
      <c r="L313" s="90"/>
      <c r="M313" s="39"/>
      <c r="N313" s="327"/>
      <c r="O313" s="368"/>
      <c r="P313" s="82"/>
      <c r="Q313" s="82"/>
      <c r="R313" s="82"/>
      <c r="S313" s="81"/>
      <c r="T313" s="39"/>
      <c r="U313" s="39"/>
      <c r="V313" s="7"/>
      <c r="W313" s="7"/>
      <c r="X313" s="93"/>
      <c r="Y313" s="131"/>
      <c r="Z313" s="131"/>
      <c r="AA313" s="131"/>
      <c r="AB313" s="131"/>
      <c r="AC313" s="131"/>
      <c r="AD313" s="323"/>
      <c r="AE313" s="131"/>
      <c r="AF313" s="90"/>
      <c r="AG313" s="87"/>
      <c r="AH313" s="39"/>
      <c r="AI313" s="87"/>
      <c r="AJ313" s="81"/>
      <c r="AK313" s="90"/>
      <c r="AL313" s="81"/>
      <c r="AM313" s="39"/>
      <c r="AN313" s="7"/>
      <c r="AO313" s="82"/>
      <c r="AP313" s="82"/>
      <c r="AQ313" s="7"/>
      <c r="AR313" s="82"/>
      <c r="AS313" s="7"/>
      <c r="AT313" s="7"/>
      <c r="AU313" s="7"/>
      <c r="AV313" s="7"/>
      <c r="AW313" s="7"/>
      <c r="AX313" s="82"/>
      <c r="AY313" s="7"/>
      <c r="AZ313" s="7"/>
      <c r="BA313" s="7"/>
      <c r="BB313" s="7"/>
      <c r="BC313" s="7"/>
      <c r="BD313" s="7"/>
      <c r="BE313" s="7"/>
      <c r="BF313" s="7"/>
      <c r="BG313" s="7"/>
    </row>
    <row r="314">
      <c r="A314" s="39"/>
      <c r="B314" s="39"/>
      <c r="C314" s="7"/>
      <c r="D314" s="53"/>
      <c r="E314" s="7"/>
      <c r="F314" s="53"/>
      <c r="G314" s="16"/>
      <c r="H314" s="81"/>
      <c r="J314" s="39"/>
      <c r="K314" s="53"/>
      <c r="L314" s="90"/>
      <c r="M314" s="39"/>
      <c r="N314" s="327"/>
      <c r="O314" s="367"/>
      <c r="P314" s="82"/>
      <c r="Q314" s="82"/>
      <c r="R314" s="82"/>
      <c r="S314" s="81"/>
      <c r="T314" s="16"/>
      <c r="U314" s="39"/>
      <c r="V314" s="7"/>
      <c r="W314" s="7"/>
      <c r="X314" s="93"/>
      <c r="Y314" s="131"/>
      <c r="Z314" s="131"/>
      <c r="AA314" s="131"/>
      <c r="AB314" s="131"/>
      <c r="AC314" s="131"/>
      <c r="AD314" s="323"/>
      <c r="AE314" s="131"/>
      <c r="AF314" s="90"/>
      <c r="AG314" s="87"/>
      <c r="AH314" s="39"/>
      <c r="AI314" s="87"/>
      <c r="AJ314" s="81"/>
      <c r="AK314" s="90"/>
      <c r="AL314" s="81"/>
      <c r="AM314" s="39"/>
      <c r="AN314" s="7"/>
      <c r="AO314" s="82"/>
      <c r="AP314" s="82"/>
      <c r="AQ314" s="7"/>
      <c r="AR314" s="82"/>
      <c r="AS314" s="82"/>
      <c r="AT314" s="82"/>
      <c r="AU314" s="82"/>
      <c r="AV314" s="82"/>
      <c r="AW314" s="7"/>
      <c r="AX314" s="82"/>
      <c r="AY314" s="7"/>
      <c r="AZ314" s="7"/>
      <c r="BA314" s="7"/>
      <c r="BB314" s="7"/>
      <c r="BC314" s="7"/>
      <c r="BD314" s="7"/>
      <c r="BE314" s="7"/>
      <c r="BF314" s="7"/>
      <c r="BG314" s="7"/>
    </row>
    <row r="315">
      <c r="A315" s="39"/>
      <c r="B315" s="39"/>
      <c r="C315" s="7"/>
      <c r="D315" s="53"/>
      <c r="E315" s="7"/>
      <c r="F315" s="53"/>
      <c r="G315" s="16"/>
      <c r="H315" s="81"/>
      <c r="J315" s="39"/>
      <c r="K315" s="53"/>
      <c r="L315" s="90"/>
      <c r="M315" s="39"/>
      <c r="N315" s="327"/>
      <c r="O315" s="368"/>
      <c r="P315" s="82"/>
      <c r="Q315" s="82"/>
      <c r="R315" s="82"/>
      <c r="S315" s="81"/>
      <c r="T315" s="16"/>
      <c r="U315" s="39"/>
      <c r="V315" s="7"/>
      <c r="W315" s="7"/>
      <c r="X315" s="93"/>
      <c r="Y315" s="131"/>
      <c r="Z315" s="131"/>
      <c r="AA315" s="131"/>
      <c r="AB315" s="131"/>
      <c r="AC315" s="131"/>
      <c r="AD315" s="323"/>
      <c r="AE315" s="131"/>
      <c r="AF315" s="90"/>
      <c r="AG315" s="87"/>
      <c r="AH315" s="39"/>
      <c r="AI315" s="87"/>
      <c r="AJ315" s="81"/>
      <c r="AK315" s="90"/>
      <c r="AL315" s="81"/>
      <c r="AM315" s="39"/>
      <c r="AN315" s="7"/>
      <c r="AO315" s="82"/>
      <c r="AP315" s="82"/>
      <c r="AQ315" s="7"/>
      <c r="AR315" s="82"/>
      <c r="AS315" s="82"/>
      <c r="AT315" s="82"/>
      <c r="AU315" s="82"/>
      <c r="AV315" s="82"/>
      <c r="AW315" s="7"/>
      <c r="AX315" s="82"/>
      <c r="AY315" s="7"/>
      <c r="AZ315" s="7"/>
      <c r="BA315" s="7"/>
      <c r="BB315" s="7"/>
      <c r="BC315" s="7"/>
      <c r="BD315" s="7"/>
      <c r="BE315" s="7"/>
      <c r="BF315" s="7"/>
      <c r="BG315" s="7"/>
    </row>
    <row r="316">
      <c r="A316" s="39"/>
      <c r="B316" s="39"/>
      <c r="C316" s="7"/>
      <c r="D316" s="53"/>
      <c r="E316" s="7"/>
      <c r="F316" s="53"/>
      <c r="G316" s="16"/>
      <c r="H316" s="81"/>
      <c r="J316" s="39"/>
      <c r="K316" s="53"/>
      <c r="L316" s="90"/>
      <c r="M316" s="39"/>
      <c r="N316" s="327"/>
      <c r="O316" s="367"/>
      <c r="P316" s="82"/>
      <c r="Q316" s="82"/>
      <c r="R316" s="82"/>
      <c r="S316" s="81"/>
      <c r="T316" s="16"/>
      <c r="U316" s="39"/>
      <c r="V316" s="7"/>
      <c r="W316" s="7"/>
      <c r="X316" s="93"/>
      <c r="Y316" s="131"/>
      <c r="Z316" s="131"/>
      <c r="AA316" s="131"/>
      <c r="AB316" s="131"/>
      <c r="AC316" s="131"/>
      <c r="AD316" s="323"/>
      <c r="AE316" s="131"/>
      <c r="AF316" s="90"/>
      <c r="AG316" s="87"/>
      <c r="AH316" s="39"/>
      <c r="AI316" s="87"/>
      <c r="AJ316" s="81"/>
      <c r="AK316" s="90"/>
      <c r="AL316" s="81"/>
      <c r="AM316" s="39"/>
      <c r="AN316" s="7"/>
      <c r="AO316" s="82"/>
      <c r="AP316" s="82"/>
      <c r="AQ316" s="7"/>
      <c r="AR316" s="82"/>
      <c r="AS316" s="82"/>
      <c r="AT316" s="82"/>
      <c r="AU316" s="82"/>
      <c r="AV316" s="82"/>
      <c r="AW316" s="7"/>
      <c r="AX316" s="82"/>
      <c r="AY316" s="7"/>
      <c r="AZ316" s="7"/>
      <c r="BA316" s="7"/>
      <c r="BB316" s="7"/>
      <c r="BC316" s="7"/>
      <c r="BD316" s="7"/>
      <c r="BE316" s="7"/>
      <c r="BF316" s="7"/>
      <c r="BG316" s="7"/>
    </row>
    <row r="317">
      <c r="A317" s="39"/>
      <c r="B317" s="39"/>
      <c r="C317" s="7"/>
      <c r="D317" s="53"/>
      <c r="E317" s="7"/>
      <c r="F317" s="53"/>
      <c r="G317" s="16"/>
      <c r="H317" s="81"/>
      <c r="J317" s="39"/>
      <c r="K317" s="53"/>
      <c r="L317" s="90"/>
      <c r="M317" s="39"/>
      <c r="N317" s="327"/>
      <c r="O317" s="368"/>
      <c r="P317" s="7"/>
      <c r="Q317" s="7"/>
      <c r="R317" s="352"/>
      <c r="S317" s="81"/>
      <c r="T317" s="39"/>
      <c r="U317" s="39"/>
      <c r="V317" s="7"/>
      <c r="W317" s="7"/>
      <c r="X317" s="93"/>
      <c r="Y317" s="131"/>
      <c r="Z317" s="131"/>
      <c r="AA317" s="131"/>
      <c r="AB317" s="131"/>
      <c r="AC317" s="131"/>
      <c r="AD317" s="323"/>
      <c r="AE317" s="131"/>
      <c r="AF317" s="90"/>
      <c r="AG317" s="87"/>
      <c r="AH317" s="39"/>
      <c r="AI317" s="87"/>
      <c r="AJ317" s="81"/>
      <c r="AK317" s="90"/>
      <c r="AL317" s="81"/>
      <c r="AM317" s="39"/>
      <c r="AN317" s="7"/>
      <c r="AO317" s="82"/>
      <c r="AP317" s="82"/>
      <c r="AQ317" s="7"/>
      <c r="AR317" s="82"/>
      <c r="AS317" s="82"/>
      <c r="AT317" s="82"/>
      <c r="AU317" s="82"/>
      <c r="AV317" s="82"/>
      <c r="AW317" s="7"/>
      <c r="AX317" s="82"/>
      <c r="AY317" s="7"/>
      <c r="AZ317" s="7"/>
      <c r="BA317" s="7"/>
      <c r="BB317" s="7"/>
      <c r="BC317" s="7"/>
      <c r="BD317" s="7"/>
      <c r="BE317" s="7"/>
      <c r="BF317" s="7"/>
      <c r="BG317" s="7"/>
    </row>
    <row r="318">
      <c r="A318" s="39"/>
      <c r="B318" s="39"/>
      <c r="C318" s="7"/>
      <c r="D318" s="53"/>
      <c r="E318" s="7"/>
      <c r="F318" s="53"/>
      <c r="G318" s="16"/>
      <c r="H318" s="81"/>
      <c r="J318" s="39"/>
      <c r="K318" s="53"/>
      <c r="L318" s="90"/>
      <c r="M318" s="39"/>
      <c r="N318" s="327"/>
      <c r="O318" s="367"/>
      <c r="P318" s="82"/>
      <c r="Q318" s="82"/>
      <c r="R318" s="82"/>
      <c r="S318" s="81"/>
      <c r="T318" s="16"/>
      <c r="U318" s="39"/>
      <c r="V318" s="7"/>
      <c r="W318" s="7"/>
      <c r="X318" s="93"/>
      <c r="Y318" s="131"/>
      <c r="Z318" s="131"/>
      <c r="AA318" s="131"/>
      <c r="AB318" s="131"/>
      <c r="AC318" s="131"/>
      <c r="AD318" s="323"/>
      <c r="AE318" s="131"/>
      <c r="AF318" s="90"/>
      <c r="AG318" s="87"/>
      <c r="AH318" s="39"/>
      <c r="AI318" s="87"/>
      <c r="AJ318" s="81"/>
      <c r="AK318" s="90"/>
      <c r="AL318" s="81"/>
      <c r="AM318" s="39"/>
      <c r="AN318" s="7"/>
      <c r="AO318" s="82"/>
      <c r="AP318" s="82"/>
      <c r="AQ318" s="7"/>
      <c r="AR318" s="82"/>
      <c r="AS318" s="82"/>
      <c r="AT318" s="82"/>
      <c r="AU318" s="82"/>
      <c r="AV318" s="82"/>
      <c r="AW318" s="7"/>
      <c r="AX318" s="82"/>
      <c r="AY318" s="7"/>
      <c r="AZ318" s="7"/>
      <c r="BA318" s="7"/>
      <c r="BB318" s="7"/>
      <c r="BC318" s="7"/>
      <c r="BD318" s="7"/>
      <c r="BE318" s="7"/>
      <c r="BF318" s="7"/>
      <c r="BG318" s="7"/>
    </row>
    <row r="319">
      <c r="A319" s="39"/>
      <c r="B319" s="39"/>
      <c r="C319" s="7"/>
      <c r="D319" s="53"/>
      <c r="E319" s="7"/>
      <c r="F319" s="53"/>
      <c r="G319" s="16"/>
      <c r="H319" s="81"/>
      <c r="J319" s="39"/>
      <c r="K319" s="53"/>
      <c r="L319" s="90"/>
      <c r="M319" s="39"/>
      <c r="N319" s="327"/>
      <c r="O319" s="367"/>
      <c r="P319" s="82"/>
      <c r="Q319" s="82"/>
      <c r="R319" s="82"/>
      <c r="S319" s="81"/>
      <c r="T319" s="16"/>
      <c r="U319" s="39"/>
      <c r="V319" s="7"/>
      <c r="W319" s="7"/>
      <c r="X319" s="93"/>
      <c r="Y319" s="131"/>
      <c r="Z319" s="131"/>
      <c r="AA319" s="131"/>
      <c r="AB319" s="131"/>
      <c r="AC319" s="131"/>
      <c r="AD319" s="323"/>
      <c r="AE319" s="131"/>
      <c r="AF319" s="90"/>
      <c r="AG319" s="87"/>
      <c r="AH319" s="39"/>
      <c r="AI319" s="87"/>
      <c r="AJ319" s="81"/>
      <c r="AK319" s="90"/>
      <c r="AL319" s="81"/>
      <c r="AM319" s="39"/>
      <c r="AN319" s="7"/>
      <c r="AO319" s="82"/>
      <c r="AP319" s="82"/>
      <c r="AQ319" s="7"/>
      <c r="AR319" s="82"/>
      <c r="AS319" s="82"/>
      <c r="AT319" s="82"/>
      <c r="AU319" s="82"/>
      <c r="AV319" s="82"/>
      <c r="AW319" s="7"/>
      <c r="AX319" s="82"/>
      <c r="AY319" s="7"/>
      <c r="AZ319" s="7"/>
      <c r="BA319" s="7"/>
      <c r="BB319" s="7"/>
      <c r="BC319" s="7"/>
      <c r="BD319" s="7"/>
      <c r="BE319" s="7"/>
      <c r="BF319" s="7"/>
      <c r="BG319" s="7"/>
    </row>
    <row r="320">
      <c r="A320" s="39"/>
      <c r="B320" s="39"/>
      <c r="C320" s="7"/>
      <c r="D320" s="53"/>
      <c r="E320" s="7"/>
      <c r="F320" s="53"/>
      <c r="G320" s="16"/>
      <c r="H320" s="81"/>
      <c r="J320" s="39"/>
      <c r="K320" s="53"/>
      <c r="L320" s="90"/>
      <c r="M320" s="39"/>
      <c r="N320" s="327"/>
      <c r="O320" s="368"/>
      <c r="P320" s="7"/>
      <c r="Q320" s="7"/>
      <c r="R320" s="352"/>
      <c r="S320" s="16"/>
      <c r="T320" s="16"/>
      <c r="U320" s="39"/>
      <c r="V320" s="7"/>
      <c r="W320" s="7"/>
      <c r="X320" s="93"/>
      <c r="Y320" s="131"/>
      <c r="Z320" s="131"/>
      <c r="AA320" s="131"/>
      <c r="AB320" s="131"/>
      <c r="AC320" s="131"/>
      <c r="AD320" s="323"/>
      <c r="AE320" s="131"/>
      <c r="AF320" s="90"/>
      <c r="AG320" s="87"/>
      <c r="AH320" s="39"/>
      <c r="AI320" s="87"/>
      <c r="AJ320" s="81"/>
      <c r="AK320" s="90"/>
      <c r="AL320" s="81"/>
      <c r="AM320" s="39"/>
      <c r="AN320" s="7"/>
      <c r="AO320" s="82"/>
      <c r="AP320" s="82"/>
      <c r="AQ320" s="7"/>
      <c r="AR320" s="7"/>
      <c r="AS320" s="82"/>
      <c r="AT320" s="7"/>
      <c r="AU320" s="82"/>
      <c r="AV320" s="7"/>
      <c r="AW320" s="7"/>
      <c r="AX320" s="82"/>
      <c r="AY320" s="7"/>
      <c r="AZ320" s="7"/>
      <c r="BA320" s="7"/>
      <c r="BB320" s="7"/>
      <c r="BC320" s="7"/>
      <c r="BD320" s="7"/>
      <c r="BE320" s="7"/>
      <c r="BF320" s="7"/>
      <c r="BG320" s="7"/>
    </row>
    <row r="321">
      <c r="A321" s="39"/>
      <c r="B321" s="39"/>
      <c r="C321" s="7"/>
      <c r="D321" s="53"/>
      <c r="E321" s="7"/>
      <c r="F321" s="53"/>
      <c r="G321" s="16"/>
      <c r="H321" s="81"/>
      <c r="J321" s="39"/>
      <c r="K321" s="53"/>
      <c r="L321" s="90"/>
      <c r="M321" s="39"/>
      <c r="N321" s="327"/>
      <c r="O321" s="367"/>
      <c r="P321" s="82"/>
      <c r="Q321" s="82"/>
      <c r="R321" s="82"/>
      <c r="S321" s="16"/>
      <c r="T321" s="16"/>
      <c r="U321" s="39"/>
      <c r="V321" s="7"/>
      <c r="W321" s="7"/>
      <c r="X321" s="93"/>
      <c r="Y321" s="131"/>
      <c r="Z321" s="131"/>
      <c r="AA321" s="131"/>
      <c r="AB321" s="131"/>
      <c r="AC321" s="131"/>
      <c r="AD321" s="323"/>
      <c r="AE321" s="131"/>
      <c r="AF321" s="90"/>
      <c r="AG321" s="87"/>
      <c r="AH321" s="39"/>
      <c r="AI321" s="87"/>
      <c r="AJ321" s="81"/>
      <c r="AK321" s="90"/>
      <c r="AL321" s="81"/>
      <c r="AM321" s="39"/>
      <c r="AN321" s="7"/>
      <c r="AO321" s="82"/>
      <c r="AP321" s="82"/>
      <c r="AQ321" s="7"/>
      <c r="AR321" s="82"/>
      <c r="AS321" s="82"/>
      <c r="AT321" s="82"/>
      <c r="AU321" s="82"/>
      <c r="AV321" s="82"/>
      <c r="AW321" s="7"/>
      <c r="AX321" s="82"/>
      <c r="AY321" s="7"/>
      <c r="AZ321" s="7"/>
      <c r="BA321" s="7"/>
      <c r="BB321" s="7"/>
      <c r="BC321" s="7"/>
      <c r="BD321" s="7"/>
      <c r="BE321" s="7"/>
      <c r="BF321" s="7"/>
      <c r="BG321" s="7"/>
    </row>
    <row r="322">
      <c r="A322" s="39"/>
      <c r="B322" s="39"/>
      <c r="C322" s="7"/>
      <c r="D322" s="53"/>
      <c r="E322" s="7"/>
      <c r="F322" s="53"/>
      <c r="G322" s="16"/>
      <c r="H322" s="81"/>
      <c r="J322" s="39"/>
      <c r="K322" s="53"/>
      <c r="L322" s="90"/>
      <c r="M322" s="39"/>
      <c r="N322" s="327"/>
      <c r="O322" s="367"/>
      <c r="P322" s="82"/>
      <c r="Q322" s="82"/>
      <c r="R322" s="82"/>
      <c r="S322" s="16"/>
      <c r="T322" s="16"/>
      <c r="U322" s="39"/>
      <c r="V322" s="7"/>
      <c r="W322" s="7"/>
      <c r="X322" s="93"/>
      <c r="Y322" s="131"/>
      <c r="Z322" s="131"/>
      <c r="AA322" s="131"/>
      <c r="AB322" s="131"/>
      <c r="AC322" s="131"/>
      <c r="AD322" s="323"/>
      <c r="AE322" s="131"/>
      <c r="AF322" s="90"/>
      <c r="AG322" s="87"/>
      <c r="AH322" s="39"/>
      <c r="AI322" s="87"/>
      <c r="AJ322" s="81"/>
      <c r="AK322" s="90"/>
      <c r="AL322" s="81"/>
      <c r="AM322" s="39"/>
      <c r="AN322" s="7"/>
      <c r="AO322" s="82"/>
      <c r="AP322" s="82"/>
      <c r="AQ322" s="7"/>
      <c r="AR322" s="82"/>
      <c r="AS322" s="82"/>
      <c r="AT322" s="82"/>
      <c r="AU322" s="82"/>
      <c r="AV322" s="82"/>
      <c r="AW322" s="7"/>
      <c r="AX322" s="82"/>
      <c r="AY322" s="7"/>
      <c r="AZ322" s="7"/>
      <c r="BA322" s="7"/>
      <c r="BB322" s="7"/>
      <c r="BC322" s="7"/>
      <c r="BD322" s="7"/>
      <c r="BE322" s="7"/>
      <c r="BF322" s="7"/>
      <c r="BG322" s="7"/>
    </row>
    <row r="323">
      <c r="A323" s="39"/>
      <c r="B323" s="39"/>
      <c r="C323" s="7"/>
      <c r="D323" s="53"/>
      <c r="E323" s="7"/>
      <c r="F323" s="53"/>
      <c r="G323" s="16"/>
      <c r="H323" s="81"/>
      <c r="J323" s="39"/>
      <c r="K323" s="53"/>
      <c r="L323" s="90"/>
      <c r="M323" s="39"/>
      <c r="N323" s="327"/>
      <c r="O323" s="367"/>
      <c r="P323" s="82"/>
      <c r="Q323" s="82"/>
      <c r="R323" s="82"/>
      <c r="S323" s="16"/>
      <c r="T323" s="16"/>
      <c r="U323" s="39"/>
      <c r="V323" s="7"/>
      <c r="W323" s="7"/>
      <c r="X323" s="93"/>
      <c r="Y323" s="131"/>
      <c r="Z323" s="131"/>
      <c r="AA323" s="131"/>
      <c r="AB323" s="131"/>
      <c r="AC323" s="131"/>
      <c r="AD323" s="323"/>
      <c r="AE323" s="131"/>
      <c r="AF323" s="90"/>
      <c r="AG323" s="87"/>
      <c r="AH323" s="39"/>
      <c r="AI323" s="87"/>
      <c r="AJ323" s="81"/>
      <c r="AK323" s="90"/>
      <c r="AL323" s="81"/>
      <c r="AM323" s="39"/>
      <c r="AN323" s="7"/>
      <c r="AO323" s="82"/>
      <c r="AP323" s="82"/>
      <c r="AQ323" s="7"/>
      <c r="AR323" s="82"/>
      <c r="AS323" s="82"/>
      <c r="AT323" s="82"/>
      <c r="AU323" s="82"/>
      <c r="AV323" s="82"/>
      <c r="AW323" s="7"/>
      <c r="AX323" s="82"/>
      <c r="AY323" s="7"/>
      <c r="AZ323" s="7"/>
      <c r="BA323" s="7"/>
      <c r="BB323" s="7"/>
      <c r="BC323" s="7"/>
      <c r="BD323" s="7"/>
      <c r="BE323" s="7"/>
      <c r="BF323" s="7"/>
      <c r="BG323" s="7"/>
    </row>
    <row r="324">
      <c r="A324" s="39"/>
      <c r="B324" s="39"/>
      <c r="C324" s="7"/>
      <c r="D324" s="53"/>
      <c r="E324" s="7"/>
      <c r="F324" s="53"/>
      <c r="G324" s="16"/>
      <c r="H324" s="81"/>
      <c r="J324" s="39"/>
      <c r="K324" s="53"/>
      <c r="L324" s="90"/>
      <c r="M324" s="39"/>
      <c r="N324" s="327"/>
      <c r="O324" s="367"/>
      <c r="P324" s="82"/>
      <c r="Q324" s="82"/>
      <c r="R324" s="82"/>
      <c r="S324" s="16"/>
      <c r="T324" s="16"/>
      <c r="U324" s="39"/>
      <c r="V324" s="7"/>
      <c r="W324" s="7"/>
      <c r="X324" s="93"/>
      <c r="Y324" s="131"/>
      <c r="Z324" s="131"/>
      <c r="AA324" s="131"/>
      <c r="AB324" s="131"/>
      <c r="AC324" s="131"/>
      <c r="AD324" s="323"/>
      <c r="AE324" s="131"/>
      <c r="AF324" s="90"/>
      <c r="AG324" s="87"/>
      <c r="AH324" s="39"/>
      <c r="AI324" s="87"/>
      <c r="AJ324" s="81"/>
      <c r="AK324" s="90"/>
      <c r="AL324" s="81"/>
      <c r="AM324" s="39"/>
      <c r="AN324" s="7"/>
      <c r="AO324" s="82"/>
      <c r="AP324" s="82"/>
      <c r="AQ324" s="7"/>
      <c r="AR324" s="82"/>
      <c r="AS324" s="82"/>
      <c r="AT324" s="82"/>
      <c r="AU324" s="82"/>
      <c r="AV324" s="82"/>
      <c r="AW324" s="7"/>
      <c r="AX324" s="82"/>
      <c r="AY324" s="7"/>
      <c r="AZ324" s="7"/>
      <c r="BA324" s="7"/>
      <c r="BB324" s="7"/>
      <c r="BC324" s="7"/>
      <c r="BD324" s="7"/>
      <c r="BE324" s="7"/>
      <c r="BF324" s="7"/>
      <c r="BG324" s="7"/>
    </row>
    <row r="325">
      <c r="A325" s="39"/>
      <c r="B325" s="39"/>
      <c r="C325" s="7"/>
      <c r="D325" s="53"/>
      <c r="E325" s="7"/>
      <c r="F325" s="53"/>
      <c r="G325" s="16"/>
      <c r="H325" s="81"/>
      <c r="J325" s="39"/>
      <c r="K325" s="53"/>
      <c r="L325" s="90"/>
      <c r="M325" s="39"/>
      <c r="N325" s="327"/>
      <c r="O325" s="322"/>
      <c r="P325" s="82"/>
      <c r="Q325" s="82"/>
      <c r="R325" s="82"/>
      <c r="S325" s="16"/>
      <c r="T325" s="16"/>
      <c r="U325" s="39"/>
      <c r="V325" s="7"/>
      <c r="W325" s="7"/>
      <c r="X325" s="93"/>
      <c r="Y325" s="131"/>
      <c r="Z325" s="131"/>
      <c r="AA325" s="131"/>
      <c r="AB325" s="131"/>
      <c r="AC325" s="131"/>
      <c r="AD325" s="323"/>
      <c r="AE325" s="131"/>
      <c r="AF325" s="90"/>
      <c r="AG325" s="87"/>
      <c r="AH325" s="39"/>
      <c r="AI325" s="87"/>
      <c r="AJ325" s="81"/>
      <c r="AK325" s="90"/>
      <c r="AL325" s="81"/>
      <c r="AM325" s="39"/>
      <c r="AN325" s="7"/>
      <c r="AO325" s="82"/>
      <c r="AP325" s="82"/>
      <c r="AQ325" s="7"/>
      <c r="AR325" s="82"/>
      <c r="AS325" s="82"/>
      <c r="AT325" s="82"/>
      <c r="AU325" s="82"/>
      <c r="AV325" s="82"/>
      <c r="AW325" s="7"/>
      <c r="AX325" s="82"/>
      <c r="AY325" s="7"/>
      <c r="AZ325" s="7"/>
      <c r="BA325" s="7"/>
      <c r="BB325" s="7"/>
      <c r="BC325" s="7"/>
      <c r="BD325" s="7"/>
      <c r="BE325" s="7"/>
      <c r="BF325" s="7"/>
      <c r="BG325" s="7"/>
    </row>
    <row r="326">
      <c r="A326" s="39"/>
      <c r="B326" s="39"/>
      <c r="C326" s="7"/>
      <c r="D326" s="53"/>
      <c r="E326" s="7"/>
      <c r="F326" s="53"/>
      <c r="G326" s="16"/>
      <c r="H326" s="81"/>
      <c r="J326" s="39"/>
      <c r="K326" s="53"/>
      <c r="L326" s="90"/>
      <c r="M326" s="39"/>
      <c r="N326" s="327"/>
      <c r="O326" s="369"/>
      <c r="P326" s="7"/>
      <c r="Q326" s="7"/>
      <c r="R326" s="352"/>
      <c r="S326" s="16"/>
      <c r="T326" s="16"/>
      <c r="U326" s="39"/>
      <c r="V326" s="7"/>
      <c r="W326" s="7"/>
      <c r="X326" s="93"/>
      <c r="Y326" s="131"/>
      <c r="Z326" s="131"/>
      <c r="AA326" s="131"/>
      <c r="AB326" s="131"/>
      <c r="AC326" s="131"/>
      <c r="AD326" s="323"/>
      <c r="AE326" s="131"/>
      <c r="AF326" s="90"/>
      <c r="AG326" s="87"/>
      <c r="AH326" s="39"/>
      <c r="AI326" s="87"/>
      <c r="AJ326" s="81"/>
      <c r="AK326" s="90"/>
      <c r="AL326" s="81"/>
      <c r="AM326" s="39"/>
      <c r="AN326" s="7"/>
      <c r="AO326" s="82"/>
      <c r="AP326" s="82"/>
      <c r="AQ326" s="7"/>
      <c r="AR326" s="82"/>
      <c r="AS326" s="82"/>
      <c r="AT326" s="82"/>
      <c r="AU326" s="82"/>
      <c r="AV326" s="82"/>
      <c r="AW326" s="7"/>
      <c r="AX326" s="82"/>
      <c r="AY326" s="7"/>
      <c r="AZ326" s="7"/>
      <c r="BA326" s="7"/>
      <c r="BB326" s="7"/>
      <c r="BC326" s="7"/>
      <c r="BD326" s="7"/>
      <c r="BE326" s="7"/>
      <c r="BF326" s="7"/>
      <c r="BG326" s="7"/>
    </row>
    <row r="327">
      <c r="A327" s="39"/>
      <c r="B327" s="39"/>
      <c r="C327" s="7"/>
      <c r="D327" s="53"/>
      <c r="E327" s="7"/>
      <c r="F327" s="53"/>
      <c r="G327" s="16"/>
      <c r="H327" s="81"/>
      <c r="J327" s="39"/>
      <c r="K327" s="53"/>
      <c r="L327" s="90"/>
      <c r="M327" s="39"/>
      <c r="N327" s="327"/>
      <c r="O327" s="367"/>
      <c r="P327" s="82"/>
      <c r="Q327" s="82"/>
      <c r="R327" s="82"/>
      <c r="S327" s="16"/>
      <c r="T327" s="16"/>
      <c r="U327" s="39"/>
      <c r="V327" s="7"/>
      <c r="W327" s="7"/>
      <c r="X327" s="93"/>
      <c r="Y327" s="131"/>
      <c r="Z327" s="131"/>
      <c r="AA327" s="131"/>
      <c r="AB327" s="131"/>
      <c r="AC327" s="131"/>
      <c r="AD327" s="323"/>
      <c r="AE327" s="131"/>
      <c r="AF327" s="90"/>
      <c r="AG327" s="87"/>
      <c r="AH327" s="39"/>
      <c r="AI327" s="87"/>
      <c r="AJ327" s="81"/>
      <c r="AK327" s="90"/>
      <c r="AL327" s="81"/>
      <c r="AM327" s="39"/>
      <c r="AN327" s="7"/>
      <c r="AO327" s="82"/>
      <c r="AP327" s="82"/>
      <c r="AQ327" s="7"/>
      <c r="AR327" s="82"/>
      <c r="AS327" s="82"/>
      <c r="AT327" s="82"/>
      <c r="AU327" s="82"/>
      <c r="AV327" s="82"/>
      <c r="AW327" s="7"/>
      <c r="AX327" s="82"/>
      <c r="AY327" s="7"/>
      <c r="AZ327" s="7"/>
      <c r="BA327" s="7"/>
      <c r="BB327" s="7"/>
      <c r="BC327" s="7"/>
      <c r="BD327" s="7"/>
      <c r="BE327" s="7"/>
      <c r="BF327" s="7"/>
      <c r="BG327" s="7"/>
    </row>
    <row r="328">
      <c r="A328" s="39"/>
      <c r="B328" s="39"/>
      <c r="C328" s="7"/>
      <c r="D328" s="53"/>
      <c r="E328" s="7"/>
      <c r="F328" s="53"/>
      <c r="G328" s="16"/>
      <c r="H328" s="81"/>
      <c r="J328" s="39"/>
      <c r="K328" s="53"/>
      <c r="L328" s="90"/>
      <c r="M328" s="39"/>
      <c r="N328" s="327"/>
      <c r="O328" s="367"/>
      <c r="P328" s="82"/>
      <c r="Q328" s="82"/>
      <c r="R328" s="82"/>
      <c r="S328" s="16"/>
      <c r="T328" s="16"/>
      <c r="U328" s="39"/>
      <c r="V328" s="7"/>
      <c r="W328" s="7"/>
      <c r="X328" s="93"/>
      <c r="Y328" s="131"/>
      <c r="Z328" s="131"/>
      <c r="AA328" s="131"/>
      <c r="AB328" s="131"/>
      <c r="AC328" s="131"/>
      <c r="AD328" s="323"/>
      <c r="AE328" s="131"/>
      <c r="AF328" s="90"/>
      <c r="AG328" s="87"/>
      <c r="AH328" s="39"/>
      <c r="AI328" s="87"/>
      <c r="AJ328" s="81"/>
      <c r="AK328" s="90"/>
      <c r="AL328" s="81"/>
      <c r="AM328" s="39"/>
      <c r="AN328" s="7"/>
      <c r="AO328" s="82"/>
      <c r="AP328" s="82"/>
      <c r="AQ328" s="7"/>
      <c r="AR328" s="82"/>
      <c r="AS328" s="82"/>
      <c r="AT328" s="82"/>
      <c r="AU328" s="82"/>
      <c r="AV328" s="82"/>
      <c r="AW328" s="7"/>
      <c r="AX328" s="82"/>
      <c r="AY328" s="7"/>
      <c r="AZ328" s="7"/>
      <c r="BA328" s="7"/>
      <c r="BB328" s="7"/>
      <c r="BC328" s="7"/>
      <c r="BD328" s="7"/>
      <c r="BE328" s="7"/>
      <c r="BF328" s="7"/>
      <c r="BG328" s="7"/>
    </row>
    <row r="329">
      <c r="A329" s="39"/>
      <c r="B329" s="39"/>
      <c r="C329" s="7"/>
      <c r="D329" s="53"/>
      <c r="E329" s="7"/>
      <c r="F329" s="53"/>
      <c r="G329" s="16"/>
      <c r="H329" s="81"/>
      <c r="J329" s="39"/>
      <c r="K329" s="53"/>
      <c r="L329" s="90"/>
      <c r="M329" s="39"/>
      <c r="N329" s="327"/>
      <c r="O329" s="368"/>
      <c r="P329" s="82"/>
      <c r="Q329" s="82"/>
      <c r="R329" s="82"/>
      <c r="S329" s="16"/>
      <c r="T329" s="16"/>
      <c r="U329" s="39"/>
      <c r="V329" s="7"/>
      <c r="W329" s="7"/>
      <c r="X329" s="93"/>
      <c r="Y329" s="131"/>
      <c r="Z329" s="131"/>
      <c r="AA329" s="131"/>
      <c r="AB329" s="131"/>
      <c r="AC329" s="131"/>
      <c r="AD329" s="323"/>
      <c r="AE329" s="131"/>
      <c r="AF329" s="90"/>
      <c r="AG329" s="87"/>
      <c r="AH329" s="39"/>
      <c r="AI329" s="87"/>
      <c r="AJ329" s="81"/>
      <c r="AK329" s="90"/>
      <c r="AL329" s="81"/>
      <c r="AM329" s="39"/>
      <c r="AN329" s="7"/>
      <c r="AO329" s="82"/>
      <c r="AP329" s="82"/>
      <c r="AQ329" s="7"/>
      <c r="AR329" s="82"/>
      <c r="AS329" s="82"/>
      <c r="AT329" s="82"/>
      <c r="AU329" s="82"/>
      <c r="AV329" s="82"/>
      <c r="AW329" s="7"/>
      <c r="AX329" s="82"/>
      <c r="AY329" s="7"/>
      <c r="AZ329" s="7"/>
      <c r="BA329" s="7"/>
      <c r="BB329" s="7"/>
      <c r="BC329" s="7"/>
      <c r="BD329" s="7"/>
      <c r="BE329" s="7"/>
      <c r="BF329" s="7"/>
      <c r="BG329" s="7"/>
    </row>
    <row r="330">
      <c r="A330" s="39"/>
      <c r="B330" s="39"/>
      <c r="C330" s="7"/>
      <c r="D330" s="53"/>
      <c r="E330" s="7"/>
      <c r="F330" s="53"/>
      <c r="G330" s="16"/>
      <c r="H330" s="81"/>
      <c r="J330" s="39"/>
      <c r="K330" s="53"/>
      <c r="L330" s="90"/>
      <c r="M330" s="39"/>
      <c r="N330" s="327"/>
      <c r="O330" s="367"/>
      <c r="P330" s="7"/>
      <c r="Q330" s="7"/>
      <c r="R330" s="352"/>
      <c r="S330" s="81"/>
      <c r="T330" s="16"/>
      <c r="U330" s="39"/>
      <c r="V330" s="7"/>
      <c r="W330" s="7"/>
      <c r="X330" s="93"/>
      <c r="Y330" s="131"/>
      <c r="Z330" s="131"/>
      <c r="AA330" s="131"/>
      <c r="AB330" s="131"/>
      <c r="AC330" s="131"/>
      <c r="AD330" s="323"/>
      <c r="AE330" s="131"/>
      <c r="AF330" s="90"/>
      <c r="AG330" s="87"/>
      <c r="AH330" s="39"/>
      <c r="AI330" s="87"/>
      <c r="AJ330" s="81"/>
      <c r="AK330" s="90"/>
      <c r="AL330" s="81"/>
      <c r="AM330" s="39"/>
      <c r="AN330" s="7"/>
      <c r="AO330" s="82"/>
      <c r="AP330" s="82"/>
      <c r="AQ330" s="7"/>
      <c r="AR330" s="82"/>
      <c r="AS330" s="82"/>
      <c r="AT330" s="7"/>
      <c r="AU330" s="82"/>
      <c r="AV330" s="7"/>
      <c r="AW330" s="7"/>
      <c r="AX330" s="82"/>
      <c r="AY330" s="7"/>
      <c r="AZ330" s="7"/>
      <c r="BA330" s="7"/>
      <c r="BB330" s="7"/>
      <c r="BC330" s="7"/>
      <c r="BD330" s="7"/>
      <c r="BE330" s="7"/>
      <c r="BF330" s="7"/>
      <c r="BG330" s="7"/>
    </row>
    <row r="331">
      <c r="A331" s="39"/>
      <c r="B331" s="39"/>
      <c r="C331" s="7"/>
      <c r="D331" s="53"/>
      <c r="E331" s="7"/>
      <c r="F331" s="53"/>
      <c r="G331" s="16"/>
      <c r="H331" s="81"/>
      <c r="J331" s="39"/>
      <c r="K331" s="53"/>
      <c r="L331" s="90"/>
      <c r="M331" s="39"/>
      <c r="N331" s="327"/>
      <c r="O331" s="367"/>
      <c r="P331" s="82"/>
      <c r="Q331" s="82"/>
      <c r="R331" s="82"/>
      <c r="S331" s="81"/>
      <c r="T331" s="16"/>
      <c r="U331" s="39"/>
      <c r="V331" s="7"/>
      <c r="W331" s="7"/>
      <c r="X331" s="93"/>
      <c r="Y331" s="131"/>
      <c r="Z331" s="131"/>
      <c r="AA331" s="131"/>
      <c r="AB331" s="131"/>
      <c r="AC331" s="131"/>
      <c r="AD331" s="323"/>
      <c r="AE331" s="131"/>
      <c r="AF331" s="90"/>
      <c r="AG331" s="87"/>
      <c r="AH331" s="39"/>
      <c r="AI331" s="87"/>
      <c r="AJ331" s="81"/>
      <c r="AK331" s="90"/>
      <c r="AL331" s="81"/>
      <c r="AM331" s="39"/>
      <c r="AN331" s="7"/>
      <c r="AO331" s="82"/>
      <c r="AP331" s="82"/>
      <c r="AQ331" s="7"/>
      <c r="AR331" s="82"/>
      <c r="AS331" s="82"/>
      <c r="AT331" s="82"/>
      <c r="AU331" s="82"/>
      <c r="AV331" s="82"/>
      <c r="AW331" s="7"/>
      <c r="AX331" s="82"/>
      <c r="AY331" s="7"/>
      <c r="AZ331" s="7"/>
      <c r="BA331" s="7"/>
      <c r="BB331" s="7"/>
      <c r="BC331" s="7"/>
      <c r="BD331" s="7"/>
      <c r="BE331" s="7"/>
      <c r="BF331" s="7"/>
      <c r="BG331" s="7"/>
    </row>
    <row r="332">
      <c r="A332" s="39"/>
      <c r="B332" s="39"/>
      <c r="C332" s="7"/>
      <c r="D332" s="53"/>
      <c r="E332" s="7"/>
      <c r="F332" s="53"/>
      <c r="G332" s="16"/>
      <c r="H332" s="81"/>
      <c r="J332" s="39"/>
      <c r="K332" s="53"/>
      <c r="L332" s="90"/>
      <c r="M332" s="39"/>
      <c r="N332" s="327"/>
      <c r="O332" s="367"/>
      <c r="P332" s="82"/>
      <c r="Q332" s="82"/>
      <c r="R332" s="82"/>
      <c r="S332" s="81"/>
      <c r="T332" s="16"/>
      <c r="U332" s="39"/>
      <c r="V332" s="7"/>
      <c r="W332" s="7"/>
      <c r="X332" s="93"/>
      <c r="Y332" s="131"/>
      <c r="Z332" s="131"/>
      <c r="AA332" s="131"/>
      <c r="AB332" s="131"/>
      <c r="AC332" s="131"/>
      <c r="AD332" s="323"/>
      <c r="AE332" s="131"/>
      <c r="AF332" s="90"/>
      <c r="AG332" s="105"/>
      <c r="AH332" s="39"/>
      <c r="AI332" s="87"/>
      <c r="AJ332" s="81"/>
      <c r="AK332" s="90"/>
      <c r="AL332" s="81"/>
      <c r="AM332" s="39"/>
      <c r="AN332" s="7"/>
      <c r="AO332" s="82"/>
      <c r="AP332" s="82"/>
      <c r="AQ332" s="7"/>
      <c r="AR332" s="82"/>
      <c r="AS332" s="82"/>
      <c r="AT332" s="82"/>
      <c r="AU332" s="82"/>
      <c r="AV332" s="82"/>
      <c r="AW332" s="7"/>
      <c r="AX332" s="82"/>
      <c r="AY332" s="7"/>
      <c r="AZ332" s="7"/>
      <c r="BA332" s="7"/>
      <c r="BB332" s="7"/>
      <c r="BC332" s="7"/>
      <c r="BD332" s="7"/>
      <c r="BE332" s="7"/>
      <c r="BF332" s="7"/>
      <c r="BG332" s="7"/>
    </row>
    <row r="333">
      <c r="A333" s="39"/>
      <c r="B333" s="39"/>
      <c r="C333" s="7"/>
      <c r="D333" s="53"/>
      <c r="E333" s="7"/>
      <c r="F333" s="53"/>
      <c r="G333" s="16"/>
      <c r="H333" s="81"/>
      <c r="J333" s="39"/>
      <c r="K333" s="53"/>
      <c r="L333" s="90"/>
      <c r="M333" s="39"/>
      <c r="N333" s="327"/>
      <c r="O333" s="367"/>
      <c r="P333" s="82"/>
      <c r="Q333" s="82"/>
      <c r="R333" s="82"/>
      <c r="S333" s="81"/>
      <c r="T333" s="16"/>
      <c r="U333" s="39"/>
      <c r="V333" s="7"/>
      <c r="W333" s="7"/>
      <c r="X333" s="93"/>
      <c r="Y333" s="131"/>
      <c r="Z333" s="131"/>
      <c r="AA333" s="131"/>
      <c r="AB333" s="131"/>
      <c r="AC333" s="131"/>
      <c r="AD333" s="323"/>
      <c r="AE333" s="131"/>
      <c r="AF333" s="90"/>
      <c r="AG333" s="108"/>
      <c r="AH333" s="39"/>
      <c r="AI333" s="87"/>
      <c r="AJ333" s="81"/>
      <c r="AK333" s="90"/>
      <c r="AL333" s="81"/>
      <c r="AM333" s="39"/>
      <c r="AN333" s="7"/>
      <c r="AO333" s="82"/>
      <c r="AP333" s="82"/>
      <c r="AQ333" s="7"/>
      <c r="AR333" s="82"/>
      <c r="AS333" s="82"/>
      <c r="AT333" s="82"/>
      <c r="AU333" s="82"/>
      <c r="AV333" s="82"/>
      <c r="AW333" s="7"/>
      <c r="AX333" s="82"/>
      <c r="AY333" s="7"/>
      <c r="AZ333" s="7"/>
      <c r="BA333" s="7"/>
      <c r="BB333" s="7"/>
      <c r="BC333" s="7"/>
      <c r="BD333" s="7"/>
      <c r="BE333" s="7"/>
      <c r="BF333" s="7"/>
      <c r="BG333" s="7"/>
    </row>
    <row r="334">
      <c r="A334" s="39"/>
      <c r="B334" s="39"/>
      <c r="C334" s="7"/>
      <c r="D334" s="53"/>
      <c r="E334" s="7"/>
      <c r="F334" s="53"/>
      <c r="G334" s="16"/>
      <c r="H334" s="81"/>
      <c r="J334" s="39"/>
      <c r="K334" s="53"/>
      <c r="L334" s="90"/>
      <c r="M334" s="39"/>
      <c r="N334" s="327"/>
      <c r="O334" s="367"/>
      <c r="P334" s="82"/>
      <c r="Q334" s="82"/>
      <c r="R334" s="82"/>
      <c r="S334" s="81"/>
      <c r="T334" s="16"/>
      <c r="U334" s="39"/>
      <c r="V334" s="7"/>
      <c r="W334" s="7"/>
      <c r="X334" s="93"/>
      <c r="Y334" s="131"/>
      <c r="Z334" s="131"/>
      <c r="AA334" s="131"/>
      <c r="AB334" s="131"/>
      <c r="AC334" s="131"/>
      <c r="AD334" s="323"/>
      <c r="AE334" s="131"/>
      <c r="AF334" s="90"/>
      <c r="AG334" s="108"/>
      <c r="AH334" s="39"/>
      <c r="AI334" s="87"/>
      <c r="AJ334" s="81"/>
      <c r="AK334" s="90"/>
      <c r="AL334" s="81"/>
      <c r="AM334" s="39"/>
      <c r="AN334" s="7"/>
      <c r="AO334" s="82"/>
      <c r="AP334" s="82"/>
      <c r="AQ334" s="7"/>
      <c r="AR334" s="82"/>
      <c r="AS334" s="82"/>
      <c r="AT334" s="82"/>
      <c r="AU334" s="82"/>
      <c r="AV334" s="82"/>
      <c r="AW334" s="7"/>
      <c r="AX334" s="82"/>
      <c r="AY334" s="7"/>
      <c r="AZ334" s="7"/>
      <c r="BA334" s="7"/>
      <c r="BB334" s="7"/>
      <c r="BC334" s="7"/>
      <c r="BD334" s="7"/>
      <c r="BE334" s="7"/>
      <c r="BF334" s="7"/>
      <c r="BG334" s="7"/>
    </row>
    <row r="335">
      <c r="A335" s="39"/>
      <c r="B335" s="39"/>
      <c r="C335" s="7"/>
      <c r="D335" s="53"/>
      <c r="E335" s="7"/>
      <c r="F335" s="53"/>
      <c r="G335" s="16"/>
      <c r="H335" s="81"/>
      <c r="J335" s="39"/>
      <c r="K335" s="53"/>
      <c r="L335" s="90"/>
      <c r="M335" s="39"/>
      <c r="N335" s="327"/>
      <c r="O335" s="368"/>
      <c r="P335" s="7"/>
      <c r="Q335" s="7"/>
      <c r="R335" s="352"/>
      <c r="S335" s="81"/>
      <c r="T335" s="16"/>
      <c r="U335" s="39"/>
      <c r="V335" s="7"/>
      <c r="W335" s="7"/>
      <c r="X335" s="93"/>
      <c r="Y335" s="131"/>
      <c r="Z335" s="131"/>
      <c r="AA335" s="131"/>
      <c r="AB335" s="131"/>
      <c r="AC335" s="131"/>
      <c r="AD335" s="323"/>
      <c r="AE335" s="131"/>
      <c r="AF335" s="90"/>
      <c r="AG335" s="87"/>
      <c r="AH335" s="39"/>
      <c r="AI335" s="87"/>
      <c r="AJ335" s="81"/>
      <c r="AK335" s="90"/>
      <c r="AL335" s="81"/>
      <c r="AM335" s="39"/>
      <c r="AN335" s="7"/>
      <c r="AO335" s="82"/>
      <c r="AP335" s="82"/>
      <c r="AQ335" s="7"/>
      <c r="AR335" s="82"/>
      <c r="AS335" s="82"/>
      <c r="AT335" s="82"/>
      <c r="AU335" s="82"/>
      <c r="AV335" s="82"/>
      <c r="AW335" s="7"/>
      <c r="AX335" s="82"/>
      <c r="AY335" s="7"/>
      <c r="AZ335" s="7"/>
      <c r="BA335" s="7"/>
      <c r="BB335" s="7"/>
      <c r="BC335" s="7"/>
      <c r="BD335" s="7"/>
      <c r="BE335" s="7"/>
      <c r="BF335" s="7"/>
      <c r="BG335" s="7"/>
    </row>
    <row r="336">
      <c r="A336" s="39"/>
      <c r="B336" s="39"/>
      <c r="C336" s="7"/>
      <c r="D336" s="53"/>
      <c r="E336" s="7"/>
      <c r="F336" s="53"/>
      <c r="G336" s="16"/>
      <c r="H336" s="81"/>
      <c r="J336" s="39"/>
      <c r="K336" s="53"/>
      <c r="L336" s="90"/>
      <c r="M336" s="39"/>
      <c r="N336" s="327"/>
      <c r="O336" s="367"/>
      <c r="P336" s="82"/>
      <c r="Q336" s="82"/>
      <c r="R336" s="82"/>
      <c r="S336" s="81"/>
      <c r="T336" s="16"/>
      <c r="U336" s="39"/>
      <c r="V336" s="7"/>
      <c r="W336" s="7"/>
      <c r="X336" s="93"/>
      <c r="Y336" s="131"/>
      <c r="Z336" s="131"/>
      <c r="AA336" s="131"/>
      <c r="AB336" s="131"/>
      <c r="AC336" s="131"/>
      <c r="AD336" s="323"/>
      <c r="AE336" s="131"/>
      <c r="AF336" s="90"/>
      <c r="AG336" s="87"/>
      <c r="AH336" s="39"/>
      <c r="AI336" s="87"/>
      <c r="AJ336" s="81"/>
      <c r="AK336" s="90"/>
      <c r="AL336" s="81"/>
      <c r="AM336" s="39"/>
      <c r="AN336" s="7"/>
      <c r="AO336" s="82"/>
      <c r="AP336" s="82"/>
      <c r="AQ336" s="7"/>
      <c r="AR336" s="82"/>
      <c r="AS336" s="82"/>
      <c r="AT336" s="82"/>
      <c r="AU336" s="82"/>
      <c r="AV336" s="82"/>
      <c r="AW336" s="7"/>
      <c r="AX336" s="82"/>
      <c r="AY336" s="7"/>
      <c r="AZ336" s="7"/>
      <c r="BA336" s="7"/>
      <c r="BB336" s="7"/>
      <c r="BC336" s="7"/>
      <c r="BD336" s="7"/>
      <c r="BE336" s="7"/>
      <c r="BF336" s="7"/>
      <c r="BG336" s="7"/>
    </row>
    <row r="337">
      <c r="A337" s="39"/>
      <c r="B337" s="39"/>
      <c r="C337" s="7"/>
      <c r="D337" s="53"/>
      <c r="E337" s="7"/>
      <c r="F337" s="53"/>
      <c r="G337" s="16"/>
      <c r="H337" s="81"/>
      <c r="J337" s="39"/>
      <c r="K337" s="53"/>
      <c r="L337" s="90"/>
      <c r="M337" s="39"/>
      <c r="N337" s="327"/>
      <c r="O337" s="367"/>
      <c r="P337" s="82"/>
      <c r="Q337" s="82"/>
      <c r="R337" s="82"/>
      <c r="S337" s="81"/>
      <c r="T337" s="16"/>
      <c r="U337" s="39"/>
      <c r="V337" s="7"/>
      <c r="W337" s="7"/>
      <c r="X337" s="93"/>
      <c r="Y337" s="131"/>
      <c r="Z337" s="131"/>
      <c r="AA337" s="131"/>
      <c r="AB337" s="131"/>
      <c r="AC337" s="131"/>
      <c r="AD337" s="323"/>
      <c r="AE337" s="131"/>
      <c r="AF337" s="90"/>
      <c r="AG337" s="87"/>
      <c r="AH337" s="39"/>
      <c r="AI337" s="87"/>
      <c r="AJ337" s="81"/>
      <c r="AK337" s="90"/>
      <c r="AL337" s="81"/>
      <c r="AM337" s="39"/>
      <c r="AN337" s="7"/>
      <c r="AO337" s="82"/>
      <c r="AP337" s="82"/>
      <c r="AQ337" s="7"/>
      <c r="AR337" s="82"/>
      <c r="AS337" s="82"/>
      <c r="AT337" s="82"/>
      <c r="AU337" s="82"/>
      <c r="AV337" s="82"/>
      <c r="AW337" s="7"/>
      <c r="AX337" s="82"/>
      <c r="AY337" s="7"/>
      <c r="AZ337" s="7"/>
      <c r="BA337" s="7"/>
      <c r="BB337" s="7"/>
      <c r="BC337" s="7"/>
      <c r="BD337" s="7"/>
      <c r="BE337" s="7"/>
      <c r="BF337" s="7"/>
      <c r="BG337" s="7"/>
    </row>
    <row r="338">
      <c r="A338" s="39"/>
      <c r="B338" s="39"/>
      <c r="C338" s="7"/>
      <c r="D338" s="53"/>
      <c r="E338" s="7"/>
      <c r="F338" s="53"/>
      <c r="G338" s="16"/>
      <c r="H338" s="81"/>
      <c r="J338" s="39"/>
      <c r="K338" s="53"/>
      <c r="L338" s="90"/>
      <c r="M338" s="39"/>
      <c r="N338" s="321"/>
      <c r="O338" s="322"/>
      <c r="P338" s="7"/>
      <c r="Q338" s="7"/>
      <c r="R338" s="352"/>
      <c r="S338" s="81"/>
      <c r="T338" s="16"/>
      <c r="U338" s="39"/>
      <c r="V338" s="7"/>
      <c r="W338" s="7"/>
      <c r="X338" s="93"/>
      <c r="Y338" s="131"/>
      <c r="Z338" s="131"/>
      <c r="AA338" s="131"/>
      <c r="AB338" s="131"/>
      <c r="AC338" s="131"/>
      <c r="AD338" s="323"/>
      <c r="AE338" s="131"/>
      <c r="AF338" s="90"/>
      <c r="AG338" s="87"/>
      <c r="AH338" s="39"/>
      <c r="AI338" s="87"/>
      <c r="AJ338" s="81"/>
      <c r="AK338" s="90"/>
      <c r="AL338" s="81"/>
      <c r="AM338" s="16"/>
      <c r="AN338" s="7"/>
      <c r="AO338" s="82"/>
      <c r="AP338" s="82"/>
      <c r="AQ338" s="50"/>
      <c r="AR338" s="7"/>
      <c r="AS338" s="7"/>
      <c r="AT338" s="7"/>
      <c r="AU338" s="7"/>
      <c r="AV338" s="7"/>
      <c r="AW338" s="7"/>
      <c r="AX338" s="82"/>
      <c r="AY338" s="7"/>
      <c r="AZ338" s="7"/>
      <c r="BA338" s="7"/>
      <c r="BB338" s="7"/>
      <c r="BC338" s="7"/>
      <c r="BD338" s="7"/>
      <c r="BE338" s="7"/>
      <c r="BF338" s="7"/>
      <c r="BG338" s="7"/>
    </row>
    <row r="339">
      <c r="A339" s="39"/>
      <c r="B339" s="39"/>
      <c r="C339" s="7"/>
      <c r="D339" s="53"/>
      <c r="E339" s="7"/>
      <c r="F339" s="53"/>
      <c r="G339" s="16"/>
      <c r="H339" s="81"/>
      <c r="J339" s="39"/>
      <c r="K339" s="53"/>
      <c r="L339" s="90"/>
      <c r="M339" s="39"/>
      <c r="N339" s="327"/>
      <c r="O339" s="367"/>
      <c r="P339" s="82"/>
      <c r="Q339" s="82"/>
      <c r="R339" s="82"/>
      <c r="S339" s="81"/>
      <c r="T339" s="16"/>
      <c r="U339" s="39"/>
      <c r="V339" s="7"/>
      <c r="W339" s="7"/>
      <c r="X339" s="93"/>
      <c r="Y339" s="131"/>
      <c r="Z339" s="131"/>
      <c r="AA339" s="131"/>
      <c r="AB339" s="131"/>
      <c r="AC339" s="131"/>
      <c r="AD339" s="323"/>
      <c r="AE339" s="131"/>
      <c r="AF339" s="90"/>
      <c r="AG339" s="87"/>
      <c r="AH339" s="39"/>
      <c r="AI339" s="87"/>
      <c r="AJ339" s="81"/>
      <c r="AK339" s="90"/>
      <c r="AL339" s="81"/>
      <c r="AM339" s="39"/>
      <c r="AN339" s="7"/>
      <c r="AO339" s="82"/>
      <c r="AP339" s="82"/>
      <c r="AQ339" s="50"/>
      <c r="AR339" s="7"/>
      <c r="AS339" s="82"/>
      <c r="AT339" s="82"/>
      <c r="AU339" s="82"/>
      <c r="AV339" s="82"/>
      <c r="AW339" s="7"/>
      <c r="AX339" s="82"/>
      <c r="AY339" s="7"/>
      <c r="AZ339" s="7"/>
      <c r="BA339" s="7"/>
      <c r="BB339" s="7"/>
      <c r="BC339" s="7"/>
      <c r="BD339" s="7"/>
      <c r="BE339" s="7"/>
      <c r="BF339" s="7"/>
      <c r="BG339" s="7"/>
    </row>
    <row r="340">
      <c r="A340" s="39"/>
      <c r="B340" s="39"/>
      <c r="C340" s="7"/>
      <c r="D340" s="53"/>
      <c r="E340" s="7"/>
      <c r="F340" s="53"/>
      <c r="G340" s="16"/>
      <c r="H340" s="81"/>
      <c r="J340" s="39"/>
      <c r="K340" s="53"/>
      <c r="L340" s="90"/>
      <c r="M340" s="39"/>
      <c r="N340" s="327"/>
      <c r="O340" s="322"/>
      <c r="P340" s="82"/>
      <c r="Q340" s="82"/>
      <c r="R340" s="82"/>
      <c r="S340" s="81"/>
      <c r="T340" s="16"/>
      <c r="U340" s="39"/>
      <c r="V340" s="7"/>
      <c r="W340" s="7"/>
      <c r="X340" s="93"/>
      <c r="Y340" s="131"/>
      <c r="Z340" s="131"/>
      <c r="AA340" s="131"/>
      <c r="AB340" s="131"/>
      <c r="AC340" s="131"/>
      <c r="AD340" s="323"/>
      <c r="AE340" s="131"/>
      <c r="AF340" s="90"/>
      <c r="AG340" s="87"/>
      <c r="AH340" s="39"/>
      <c r="AI340" s="87"/>
      <c r="AJ340" s="81"/>
      <c r="AK340" s="90"/>
      <c r="AL340" s="81"/>
      <c r="AM340" s="39"/>
      <c r="AN340" s="7"/>
      <c r="AO340" s="82"/>
      <c r="AP340" s="82"/>
      <c r="AQ340" s="50"/>
      <c r="AR340" s="7"/>
      <c r="AS340" s="82"/>
      <c r="AT340" s="82"/>
      <c r="AU340" s="82"/>
      <c r="AV340" s="82"/>
      <c r="AW340" s="7"/>
      <c r="AX340" s="82"/>
      <c r="AY340" s="7"/>
      <c r="AZ340" s="7"/>
      <c r="BA340" s="7"/>
      <c r="BB340" s="7"/>
      <c r="BC340" s="7"/>
      <c r="BD340" s="7"/>
      <c r="BE340" s="7"/>
      <c r="BF340" s="7"/>
      <c r="BG340" s="7"/>
    </row>
    <row r="341">
      <c r="A341" s="39"/>
      <c r="B341" s="39"/>
      <c r="C341" s="7"/>
      <c r="D341" s="53"/>
      <c r="E341" s="7"/>
      <c r="F341" s="53"/>
      <c r="G341" s="16"/>
      <c r="H341" s="81"/>
      <c r="J341" s="39"/>
      <c r="K341" s="53"/>
      <c r="L341" s="90"/>
      <c r="M341" s="39"/>
      <c r="N341" s="327"/>
      <c r="O341" s="368"/>
      <c r="P341" s="82"/>
      <c r="Q341" s="82"/>
      <c r="R341" s="82"/>
      <c r="S341" s="81"/>
      <c r="T341" s="16"/>
      <c r="U341" s="39"/>
      <c r="V341" s="7"/>
      <c r="W341" s="7"/>
      <c r="X341" s="93"/>
      <c r="Y341" s="131"/>
      <c r="Z341" s="131"/>
      <c r="AA341" s="131"/>
      <c r="AB341" s="131"/>
      <c r="AC341" s="131"/>
      <c r="AD341" s="323"/>
      <c r="AE341" s="131"/>
      <c r="AF341" s="90"/>
      <c r="AG341" s="87"/>
      <c r="AH341" s="39"/>
      <c r="AI341" s="87"/>
      <c r="AJ341" s="81"/>
      <c r="AK341" s="90"/>
      <c r="AL341" s="81"/>
      <c r="AM341" s="39"/>
      <c r="AN341" s="7"/>
      <c r="AO341" s="82"/>
      <c r="AP341" s="82"/>
      <c r="AQ341" s="50"/>
      <c r="AR341" s="7"/>
      <c r="AS341" s="82"/>
      <c r="AT341" s="82"/>
      <c r="AU341" s="82"/>
      <c r="AV341" s="82"/>
      <c r="AW341" s="7"/>
      <c r="AX341" s="82"/>
      <c r="AY341" s="7"/>
      <c r="AZ341" s="7"/>
      <c r="BA341" s="7"/>
      <c r="BB341" s="7"/>
      <c r="BC341" s="7"/>
      <c r="BD341" s="7"/>
      <c r="BE341" s="7"/>
      <c r="BF341" s="7"/>
      <c r="BG341" s="7"/>
    </row>
    <row r="342">
      <c r="A342" s="39"/>
      <c r="B342" s="39"/>
      <c r="C342" s="7"/>
      <c r="D342" s="53"/>
      <c r="E342" s="7"/>
      <c r="F342" s="53"/>
      <c r="G342" s="16"/>
      <c r="H342" s="81"/>
      <c r="J342" s="39"/>
      <c r="K342" s="53"/>
      <c r="L342" s="90"/>
      <c r="M342" s="39"/>
      <c r="N342" s="327"/>
      <c r="O342" s="368"/>
      <c r="P342" s="82"/>
      <c r="Q342" s="82"/>
      <c r="R342" s="82"/>
      <c r="S342" s="81"/>
      <c r="T342" s="16"/>
      <c r="U342" s="39"/>
      <c r="V342" s="7"/>
      <c r="W342" s="7"/>
      <c r="X342" s="93"/>
      <c r="Y342" s="131"/>
      <c r="Z342" s="131"/>
      <c r="AA342" s="131"/>
      <c r="AB342" s="131"/>
      <c r="AC342" s="131"/>
      <c r="AD342" s="323"/>
      <c r="AE342" s="131"/>
      <c r="AF342" s="90"/>
      <c r="AG342" s="87"/>
      <c r="AH342" s="39"/>
      <c r="AI342" s="87"/>
      <c r="AJ342" s="81"/>
      <c r="AK342" s="90"/>
      <c r="AL342" s="81"/>
      <c r="AM342" s="39"/>
      <c r="AN342" s="7"/>
      <c r="AO342" s="82"/>
      <c r="AP342" s="82"/>
      <c r="AQ342" s="7"/>
      <c r="AR342" s="7"/>
      <c r="AS342" s="82"/>
      <c r="AT342" s="82"/>
      <c r="AU342" s="82"/>
      <c r="AV342" s="82"/>
      <c r="AW342" s="7"/>
      <c r="AX342" s="82"/>
      <c r="AY342" s="7"/>
      <c r="AZ342" s="7"/>
      <c r="BA342" s="7"/>
      <c r="BB342" s="7"/>
      <c r="BC342" s="7"/>
      <c r="BD342" s="7"/>
      <c r="BE342" s="7"/>
      <c r="BF342" s="7"/>
      <c r="BG342" s="7"/>
    </row>
    <row r="343">
      <c r="A343" s="39"/>
      <c r="B343" s="39"/>
      <c r="C343" s="7"/>
      <c r="D343" s="53"/>
      <c r="E343" s="7"/>
      <c r="F343" s="53"/>
      <c r="G343" s="16"/>
      <c r="H343" s="81"/>
      <c r="J343" s="39"/>
      <c r="K343" s="53"/>
      <c r="L343" s="90"/>
      <c r="M343" s="39"/>
      <c r="N343" s="321"/>
      <c r="O343" s="322"/>
      <c r="P343" s="82"/>
      <c r="Q343" s="82"/>
      <c r="R343" s="82"/>
      <c r="S343" s="81"/>
      <c r="T343" s="16"/>
      <c r="U343" s="39"/>
      <c r="V343" s="7"/>
      <c r="W343" s="7"/>
      <c r="X343" s="93"/>
      <c r="Y343" s="131"/>
      <c r="Z343" s="131"/>
      <c r="AA343" s="131"/>
      <c r="AB343" s="131"/>
      <c r="AC343" s="131"/>
      <c r="AD343" s="323"/>
      <c r="AE343" s="131"/>
      <c r="AF343" s="90"/>
      <c r="AG343" s="87"/>
      <c r="AH343" s="39"/>
      <c r="AI343" s="87"/>
      <c r="AJ343" s="81"/>
      <c r="AK343" s="90"/>
      <c r="AL343" s="81"/>
      <c r="AM343" s="39"/>
      <c r="AN343" s="7"/>
      <c r="AO343" s="82"/>
      <c r="AP343" s="82"/>
      <c r="AQ343" s="7"/>
      <c r="AR343" s="7"/>
      <c r="AS343" s="82"/>
      <c r="AT343" s="82"/>
      <c r="AU343" s="82"/>
      <c r="AV343" s="82"/>
      <c r="AW343" s="7"/>
      <c r="AX343" s="82"/>
      <c r="AY343" s="7"/>
      <c r="AZ343" s="7"/>
      <c r="BA343" s="7"/>
      <c r="BB343" s="7"/>
      <c r="BC343" s="7"/>
      <c r="BD343" s="7"/>
      <c r="BE343" s="7"/>
      <c r="BF343" s="7"/>
      <c r="BG343" s="7"/>
    </row>
    <row r="344">
      <c r="A344" s="39"/>
      <c r="B344" s="39"/>
      <c r="C344" s="7"/>
      <c r="D344" s="53"/>
      <c r="E344" s="7"/>
      <c r="F344" s="53"/>
      <c r="G344" s="16"/>
      <c r="H344" s="81"/>
      <c r="J344" s="39"/>
      <c r="K344" s="53"/>
      <c r="L344" s="90"/>
      <c r="M344" s="39"/>
      <c r="N344" s="321"/>
      <c r="O344" s="368"/>
      <c r="P344" s="7"/>
      <c r="Q344" s="7"/>
      <c r="R344" s="352"/>
      <c r="S344" s="81"/>
      <c r="T344" s="16"/>
      <c r="U344" s="39"/>
      <c r="V344" s="7"/>
      <c r="W344" s="7"/>
      <c r="X344" s="93"/>
      <c r="Y344" s="131"/>
      <c r="Z344" s="131"/>
      <c r="AA344" s="131"/>
      <c r="AB344" s="131"/>
      <c r="AC344" s="131"/>
      <c r="AD344" s="323"/>
      <c r="AE344" s="131"/>
      <c r="AF344" s="90"/>
      <c r="AG344" s="87"/>
      <c r="AH344" s="39"/>
      <c r="AI344" s="87"/>
      <c r="AJ344" s="81"/>
      <c r="AK344" s="90"/>
      <c r="AL344" s="81"/>
      <c r="AM344" s="39"/>
      <c r="AN344" s="7"/>
      <c r="AO344" s="82"/>
      <c r="AP344" s="82"/>
      <c r="AQ344" s="7"/>
      <c r="AR344" s="7"/>
      <c r="AS344" s="82"/>
      <c r="AT344" s="7"/>
      <c r="AU344" s="82"/>
      <c r="AV344" s="7"/>
      <c r="AW344" s="7"/>
      <c r="AX344" s="82"/>
      <c r="AY344" s="7"/>
      <c r="AZ344" s="7"/>
      <c r="BA344" s="7"/>
      <c r="BB344" s="7"/>
      <c r="BC344" s="7"/>
      <c r="BD344" s="7"/>
      <c r="BE344" s="7"/>
      <c r="BF344" s="7"/>
      <c r="BG344" s="7"/>
    </row>
    <row r="345">
      <c r="A345" s="39"/>
      <c r="B345" s="39"/>
      <c r="C345" s="7"/>
      <c r="D345" s="53"/>
      <c r="E345" s="7"/>
      <c r="F345" s="53"/>
      <c r="G345" s="16"/>
      <c r="H345" s="81"/>
      <c r="J345" s="39"/>
      <c r="K345" s="53"/>
      <c r="L345" s="90"/>
      <c r="M345" s="39"/>
      <c r="N345" s="327"/>
      <c r="O345" s="322"/>
      <c r="P345" s="82"/>
      <c r="Q345" s="82"/>
      <c r="R345" s="82"/>
      <c r="S345" s="81"/>
      <c r="T345" s="16"/>
      <c r="U345" s="39"/>
      <c r="V345" s="7"/>
      <c r="W345" s="7"/>
      <c r="X345" s="93"/>
      <c r="Y345" s="131"/>
      <c r="Z345" s="131"/>
      <c r="AA345" s="131"/>
      <c r="AB345" s="131"/>
      <c r="AC345" s="131"/>
      <c r="AD345" s="323"/>
      <c r="AE345" s="131"/>
      <c r="AF345" s="90"/>
      <c r="AG345" s="87"/>
      <c r="AH345" s="39"/>
      <c r="AI345" s="87"/>
      <c r="AJ345" s="81"/>
      <c r="AK345" s="90"/>
      <c r="AL345" s="81"/>
      <c r="AM345" s="7"/>
      <c r="AN345" s="7"/>
      <c r="AO345" s="82"/>
      <c r="AP345" s="82"/>
      <c r="AQ345" s="7"/>
      <c r="AR345" s="7"/>
      <c r="AS345" s="82"/>
      <c r="AT345" s="82"/>
      <c r="AU345" s="82"/>
      <c r="AV345" s="82"/>
      <c r="AW345" s="7"/>
      <c r="AX345" s="82"/>
      <c r="AY345" s="7"/>
      <c r="AZ345" s="7"/>
      <c r="BA345" s="7"/>
      <c r="BB345" s="7"/>
      <c r="BC345" s="7"/>
      <c r="BD345" s="7"/>
      <c r="BE345" s="7"/>
      <c r="BF345" s="7"/>
      <c r="BG345" s="7"/>
    </row>
    <row r="346">
      <c r="A346" s="39"/>
      <c r="B346" s="39"/>
      <c r="C346" s="7"/>
      <c r="D346" s="53"/>
      <c r="E346" s="7"/>
      <c r="F346" s="53"/>
      <c r="G346" s="16"/>
      <c r="H346" s="81"/>
      <c r="J346" s="39"/>
      <c r="K346" s="53"/>
      <c r="L346" s="90"/>
      <c r="M346" s="39"/>
      <c r="N346" s="327"/>
      <c r="O346" s="367"/>
      <c r="P346" s="82"/>
      <c r="Q346" s="82"/>
      <c r="R346" s="82"/>
      <c r="S346" s="81"/>
      <c r="T346" s="16"/>
      <c r="U346" s="39"/>
      <c r="V346" s="7"/>
      <c r="W346" s="7"/>
      <c r="X346" s="93"/>
      <c r="Y346" s="131"/>
      <c r="Z346" s="131"/>
      <c r="AA346" s="131"/>
      <c r="AB346" s="131"/>
      <c r="AC346" s="131"/>
      <c r="AD346" s="323"/>
      <c r="AE346" s="131"/>
      <c r="AF346" s="90"/>
      <c r="AG346" s="87"/>
      <c r="AH346" s="39"/>
      <c r="AI346" s="87"/>
      <c r="AJ346" s="81"/>
      <c r="AK346" s="90"/>
      <c r="AL346" s="81"/>
      <c r="AM346" s="39"/>
      <c r="AN346" s="7"/>
      <c r="AO346" s="82"/>
      <c r="AP346" s="82"/>
      <c r="AQ346" s="7"/>
      <c r="AR346" s="7"/>
      <c r="AS346" s="82"/>
      <c r="AT346" s="82"/>
      <c r="AU346" s="82"/>
      <c r="AV346" s="82"/>
      <c r="AW346" s="7"/>
      <c r="AX346" s="82"/>
      <c r="AY346" s="7"/>
      <c r="AZ346" s="7"/>
      <c r="BA346" s="7"/>
      <c r="BB346" s="7"/>
      <c r="BC346" s="7"/>
      <c r="BD346" s="7"/>
      <c r="BE346" s="7"/>
      <c r="BF346" s="7"/>
      <c r="BG346" s="7"/>
    </row>
    <row r="347">
      <c r="A347" s="39"/>
      <c r="B347" s="39"/>
      <c r="C347" s="7"/>
      <c r="D347" s="53"/>
      <c r="E347" s="7"/>
      <c r="F347" s="53"/>
      <c r="G347" s="16"/>
      <c r="H347" s="81"/>
      <c r="J347" s="39"/>
      <c r="K347" s="148"/>
      <c r="L347" s="90"/>
      <c r="M347" s="39"/>
      <c r="N347" s="327"/>
      <c r="O347" s="322"/>
      <c r="P347" s="82"/>
      <c r="Q347" s="82"/>
      <c r="R347" s="82"/>
      <c r="S347" s="81"/>
      <c r="T347" s="81"/>
      <c r="U347" s="39"/>
      <c r="V347" s="7"/>
      <c r="W347" s="7"/>
      <c r="X347" s="93"/>
      <c r="Y347" s="131"/>
      <c r="Z347" s="131"/>
      <c r="AA347" s="131"/>
      <c r="AB347" s="131"/>
      <c r="AC347" s="131"/>
      <c r="AD347" s="323"/>
      <c r="AE347" s="131"/>
      <c r="AF347" s="90"/>
      <c r="AG347" s="105"/>
      <c r="AH347" s="39"/>
      <c r="AI347" s="87"/>
      <c r="AJ347" s="81"/>
      <c r="AK347" s="90"/>
      <c r="AL347" s="81"/>
      <c r="AM347" s="39"/>
      <c r="AN347" s="7"/>
      <c r="AO347" s="82"/>
      <c r="AP347" s="82"/>
      <c r="AQ347" s="82"/>
      <c r="AR347" s="82"/>
      <c r="AS347" s="82"/>
      <c r="AT347" s="82"/>
      <c r="AU347" s="82"/>
      <c r="AV347" s="82"/>
      <c r="AW347" s="7"/>
      <c r="AX347" s="82"/>
      <c r="AY347" s="82"/>
      <c r="AZ347" s="7"/>
      <c r="BA347" s="7"/>
      <c r="BB347" s="7"/>
      <c r="BC347" s="7"/>
      <c r="BD347" s="7"/>
      <c r="BE347" s="7"/>
      <c r="BF347" s="7"/>
      <c r="BG347" s="7"/>
    </row>
    <row r="348">
      <c r="A348" s="39"/>
      <c r="B348" s="39"/>
      <c r="C348" s="7"/>
      <c r="D348" s="53"/>
      <c r="E348" s="7"/>
      <c r="F348" s="53"/>
      <c r="G348" s="16"/>
      <c r="H348" s="81"/>
      <c r="J348" s="16"/>
      <c r="K348" s="148"/>
      <c r="L348" s="90"/>
      <c r="M348" s="39"/>
      <c r="N348" s="321"/>
      <c r="O348" s="322"/>
      <c r="P348" s="82"/>
      <c r="Q348" s="82"/>
      <c r="R348" s="82"/>
      <c r="S348" s="83"/>
      <c r="T348" s="83"/>
      <c r="U348" s="16"/>
      <c r="V348" s="7"/>
      <c r="W348" s="7"/>
      <c r="X348" s="93"/>
      <c r="Y348" s="131"/>
      <c r="Z348" s="131"/>
      <c r="AA348" s="131"/>
      <c r="AB348" s="131"/>
      <c r="AC348" s="131"/>
      <c r="AD348" s="323"/>
      <c r="AE348" s="131"/>
      <c r="AF348" s="90"/>
      <c r="AG348" s="104"/>
      <c r="AH348" s="39"/>
      <c r="AI348" s="87"/>
      <c r="AJ348" s="81"/>
      <c r="AK348" s="21"/>
      <c r="AL348" s="81"/>
      <c r="AM348" s="39"/>
      <c r="AN348" s="7"/>
      <c r="AO348" s="82"/>
      <c r="AP348" s="82"/>
      <c r="AQ348" s="82"/>
      <c r="AR348" s="7"/>
      <c r="AS348" s="82"/>
      <c r="AT348" s="7"/>
      <c r="AU348" s="82"/>
      <c r="AV348" s="7"/>
      <c r="AW348" s="7"/>
      <c r="AX348" s="82"/>
      <c r="AY348" s="82"/>
      <c r="AZ348" s="7"/>
      <c r="BA348" s="7"/>
      <c r="BB348" s="7"/>
      <c r="BC348" s="7"/>
      <c r="BD348" s="7"/>
      <c r="BE348" s="7"/>
      <c r="BF348" s="7"/>
      <c r="BG348" s="7"/>
    </row>
    <row r="349">
      <c r="A349" s="39"/>
      <c r="B349" s="39"/>
      <c r="C349" s="7"/>
      <c r="D349" s="53"/>
      <c r="E349" s="7"/>
      <c r="F349" s="53"/>
      <c r="G349" s="16"/>
      <c r="H349" s="81"/>
      <c r="J349" s="39"/>
      <c r="K349" s="148"/>
      <c r="L349" s="90"/>
      <c r="M349" s="39"/>
      <c r="N349" s="327"/>
      <c r="O349" s="322"/>
      <c r="P349" s="82"/>
      <c r="Q349" s="82"/>
      <c r="R349" s="82"/>
      <c r="S349" s="81"/>
      <c r="T349" s="81"/>
      <c r="U349" s="39"/>
      <c r="V349" s="7"/>
      <c r="W349" s="7"/>
      <c r="X349" s="93"/>
      <c r="Y349" s="131"/>
      <c r="Z349" s="131"/>
      <c r="AA349" s="131"/>
      <c r="AB349" s="131"/>
      <c r="AC349" s="131"/>
      <c r="AD349" s="323"/>
      <c r="AE349" s="131"/>
      <c r="AF349" s="90"/>
      <c r="AG349" s="104"/>
      <c r="AH349" s="39"/>
      <c r="AI349" s="87"/>
      <c r="AJ349" s="81"/>
      <c r="AK349" s="90"/>
      <c r="AL349" s="81"/>
      <c r="AM349" s="39"/>
      <c r="AN349" s="7"/>
      <c r="AO349" s="82"/>
      <c r="AP349" s="82"/>
      <c r="AQ349" s="82"/>
      <c r="AR349" s="82"/>
      <c r="AS349" s="82"/>
      <c r="AT349" s="82"/>
      <c r="AU349" s="82"/>
      <c r="AV349" s="82"/>
      <c r="AW349" s="7"/>
      <c r="AX349" s="82"/>
      <c r="AY349" s="82"/>
      <c r="AZ349" s="7"/>
      <c r="BA349" s="7"/>
      <c r="BB349" s="7"/>
      <c r="BC349" s="7"/>
      <c r="BD349" s="7"/>
      <c r="BE349" s="7"/>
      <c r="BF349" s="7"/>
      <c r="BG349" s="7"/>
    </row>
    <row r="350">
      <c r="A350" s="39"/>
      <c r="B350" s="39"/>
      <c r="C350" s="7"/>
      <c r="D350" s="53"/>
      <c r="E350" s="7"/>
      <c r="F350" s="53"/>
      <c r="G350" s="16"/>
      <c r="H350" s="81"/>
      <c r="J350" s="39"/>
      <c r="K350" s="148"/>
      <c r="L350" s="90"/>
      <c r="M350" s="39"/>
      <c r="N350" s="327"/>
      <c r="O350" s="322"/>
      <c r="P350" s="82"/>
      <c r="Q350" s="82"/>
      <c r="R350" s="82"/>
      <c r="S350" s="83"/>
      <c r="T350" s="83"/>
      <c r="U350" s="39"/>
      <c r="V350" s="7"/>
      <c r="W350" s="7"/>
      <c r="X350" s="93"/>
      <c r="Y350" s="131"/>
      <c r="Z350" s="131"/>
      <c r="AA350" s="131"/>
      <c r="AB350" s="131"/>
      <c r="AC350" s="131"/>
      <c r="AD350" s="323"/>
      <c r="AE350" s="131"/>
      <c r="AF350" s="90"/>
      <c r="AG350" s="104"/>
      <c r="AH350" s="39"/>
      <c r="AI350" s="87"/>
      <c r="AJ350" s="81"/>
      <c r="AK350" s="90"/>
      <c r="AL350" s="81"/>
      <c r="AM350" s="39"/>
      <c r="AN350" s="7"/>
      <c r="AO350" s="82"/>
      <c r="AP350" s="82"/>
      <c r="AQ350" s="82"/>
      <c r="AR350" s="82"/>
      <c r="AS350" s="82"/>
      <c r="AT350" s="82"/>
      <c r="AU350" s="82"/>
      <c r="AV350" s="82"/>
      <c r="AW350" s="7"/>
      <c r="AX350" s="82"/>
      <c r="AY350" s="82"/>
      <c r="AZ350" s="7"/>
      <c r="BA350" s="7"/>
      <c r="BB350" s="7"/>
      <c r="BC350" s="7"/>
      <c r="BD350" s="7"/>
      <c r="BE350" s="7"/>
      <c r="BF350" s="7"/>
      <c r="BG350" s="7"/>
    </row>
    <row r="351">
      <c r="A351" s="39"/>
      <c r="B351" s="39"/>
      <c r="C351" s="7"/>
      <c r="D351" s="53"/>
      <c r="E351" s="7"/>
      <c r="F351" s="53"/>
      <c r="G351" s="16"/>
      <c r="H351" s="81"/>
      <c r="J351" s="39"/>
      <c r="K351" s="148"/>
      <c r="L351" s="90"/>
      <c r="M351" s="39"/>
      <c r="N351" s="321"/>
      <c r="O351" s="322"/>
      <c r="P351" s="82"/>
      <c r="Q351" s="82"/>
      <c r="R351" s="82"/>
      <c r="S351" s="81"/>
      <c r="T351" s="16"/>
      <c r="U351" s="39"/>
      <c r="V351" s="7"/>
      <c r="W351" s="7"/>
      <c r="X351" s="93"/>
      <c r="Y351" s="131"/>
      <c r="Z351" s="131"/>
      <c r="AA351" s="131"/>
      <c r="AB351" s="131"/>
      <c r="AC351" s="131"/>
      <c r="AD351" s="323"/>
      <c r="AE351" s="131"/>
      <c r="AF351" s="90"/>
      <c r="AG351" s="104"/>
      <c r="AH351" s="39"/>
      <c r="AI351" s="87"/>
      <c r="AJ351" s="81"/>
      <c r="AK351" s="90"/>
      <c r="AL351" s="81"/>
      <c r="AM351" s="39"/>
      <c r="AN351" s="7"/>
      <c r="AO351" s="82"/>
      <c r="AP351" s="82"/>
      <c r="AQ351" s="82"/>
      <c r="AR351" s="82"/>
      <c r="AS351" s="82"/>
      <c r="AT351" s="82"/>
      <c r="AU351" s="82"/>
      <c r="AV351" s="82"/>
      <c r="AW351" s="7"/>
      <c r="AX351" s="82"/>
      <c r="AY351" s="82"/>
      <c r="AZ351" s="7"/>
      <c r="BA351" s="7"/>
      <c r="BB351" s="7"/>
      <c r="BC351" s="7"/>
      <c r="BD351" s="7"/>
      <c r="BE351" s="7"/>
      <c r="BF351" s="7"/>
      <c r="BG351" s="7"/>
    </row>
    <row r="352">
      <c r="A352" s="39"/>
      <c r="B352" s="39"/>
      <c r="C352" s="7"/>
      <c r="D352" s="53"/>
      <c r="E352" s="7"/>
      <c r="F352" s="53"/>
      <c r="G352" s="16"/>
      <c r="H352" s="81"/>
      <c r="J352" s="39"/>
      <c r="K352" s="148"/>
      <c r="L352" s="90"/>
      <c r="M352" s="39"/>
      <c r="N352" s="321"/>
      <c r="O352" s="368"/>
      <c r="P352" s="82"/>
      <c r="Q352" s="82"/>
      <c r="R352" s="82"/>
      <c r="S352" s="81"/>
      <c r="T352" s="81"/>
      <c r="U352" s="39"/>
      <c r="V352" s="7"/>
      <c r="W352" s="7"/>
      <c r="X352" s="93"/>
      <c r="Y352" s="131"/>
      <c r="Z352" s="131"/>
      <c r="AA352" s="131"/>
      <c r="AB352" s="131"/>
      <c r="AC352" s="131"/>
      <c r="AD352" s="323"/>
      <c r="AE352" s="131"/>
      <c r="AF352" s="90"/>
      <c r="AG352" s="104"/>
      <c r="AH352" s="39"/>
      <c r="AI352" s="87"/>
      <c r="AJ352" s="81"/>
      <c r="AK352" s="90"/>
      <c r="AL352" s="81"/>
      <c r="AM352" s="39"/>
      <c r="AN352" s="7"/>
      <c r="AO352" s="82"/>
      <c r="AP352" s="82"/>
      <c r="AQ352" s="82"/>
      <c r="AR352" s="82"/>
      <c r="AS352" s="82"/>
      <c r="AT352" s="82"/>
      <c r="AU352" s="82"/>
      <c r="AV352" s="82"/>
      <c r="AW352" s="7"/>
      <c r="AX352" s="82"/>
      <c r="AY352" s="82"/>
      <c r="AZ352" s="7"/>
      <c r="BA352" s="7"/>
      <c r="BB352" s="7"/>
      <c r="BC352" s="7"/>
      <c r="BD352" s="7"/>
      <c r="BE352" s="7"/>
      <c r="BF352" s="7"/>
      <c r="BG352" s="7"/>
    </row>
    <row r="353">
      <c r="A353" s="39"/>
      <c r="B353" s="39"/>
      <c r="C353" s="7"/>
      <c r="D353" s="53"/>
      <c r="E353" s="7"/>
      <c r="F353" s="53"/>
      <c r="G353" s="16"/>
      <c r="H353" s="81"/>
      <c r="J353" s="39"/>
      <c r="K353" s="148"/>
      <c r="L353" s="90"/>
      <c r="M353" s="39"/>
      <c r="N353" s="327"/>
      <c r="O353" s="322"/>
      <c r="P353" s="82"/>
      <c r="Q353" s="82"/>
      <c r="R353" s="82"/>
      <c r="S353" s="81"/>
      <c r="T353" s="81"/>
      <c r="U353" s="39"/>
      <c r="V353" s="7"/>
      <c r="W353" s="7"/>
      <c r="X353" s="93"/>
      <c r="Y353" s="131"/>
      <c r="Z353" s="131"/>
      <c r="AA353" s="131"/>
      <c r="AB353" s="131"/>
      <c r="AC353" s="131"/>
      <c r="AD353" s="323"/>
      <c r="AE353" s="131"/>
      <c r="AF353" s="90"/>
      <c r="AG353" s="104"/>
      <c r="AH353" s="39"/>
      <c r="AI353" s="87"/>
      <c r="AJ353" s="81"/>
      <c r="AK353" s="90"/>
      <c r="AL353" s="81"/>
      <c r="AM353" s="39"/>
      <c r="AN353" s="7"/>
      <c r="AO353" s="82"/>
      <c r="AP353" s="82"/>
      <c r="AQ353" s="7"/>
      <c r="AR353" s="82"/>
      <c r="AS353" s="82"/>
      <c r="AT353" s="82"/>
      <c r="AU353" s="82"/>
      <c r="AV353" s="82"/>
      <c r="AW353" s="7"/>
      <c r="AX353" s="82"/>
      <c r="AY353" s="82"/>
      <c r="AZ353" s="7"/>
      <c r="BA353" s="7"/>
      <c r="BB353" s="7"/>
      <c r="BC353" s="7"/>
      <c r="BD353" s="7"/>
      <c r="BE353" s="7"/>
      <c r="BF353" s="7"/>
      <c r="BG353" s="7"/>
    </row>
    <row r="354">
      <c r="A354" s="39"/>
      <c r="B354" s="39"/>
      <c r="C354" s="7"/>
      <c r="D354" s="53"/>
      <c r="E354" s="7"/>
      <c r="F354" s="53"/>
      <c r="G354" s="16"/>
      <c r="H354" s="81"/>
      <c r="J354" s="39"/>
      <c r="K354" s="53"/>
      <c r="L354" s="90"/>
      <c r="M354" s="39"/>
      <c r="N354" s="327"/>
      <c r="O354" s="367"/>
      <c r="P354" s="82"/>
      <c r="Q354" s="82"/>
      <c r="R354" s="82"/>
      <c r="S354" s="81"/>
      <c r="T354" s="39"/>
      <c r="U354" s="39"/>
      <c r="V354" s="7"/>
      <c r="W354" s="7"/>
      <c r="X354" s="93"/>
      <c r="Y354" s="131"/>
      <c r="Z354" s="131"/>
      <c r="AA354" s="131"/>
      <c r="AB354" s="131"/>
      <c r="AC354" s="131"/>
      <c r="AD354" s="323"/>
      <c r="AE354" s="131"/>
      <c r="AF354" s="90"/>
      <c r="AG354" s="104"/>
      <c r="AH354" s="39"/>
      <c r="AI354" s="87"/>
      <c r="AJ354" s="81"/>
      <c r="AK354" s="90"/>
      <c r="AL354" s="81"/>
      <c r="AM354" s="39"/>
      <c r="AN354" s="7"/>
      <c r="AO354" s="82"/>
      <c r="AP354" s="82"/>
      <c r="AQ354" s="7"/>
      <c r="AR354" s="82"/>
      <c r="AS354" s="82"/>
      <c r="AT354" s="82"/>
      <c r="AU354" s="82"/>
      <c r="AV354" s="82"/>
      <c r="AW354" s="7"/>
      <c r="AX354" s="82"/>
      <c r="AY354" s="7"/>
      <c r="AZ354" s="7"/>
      <c r="BA354" s="7"/>
      <c r="BB354" s="7"/>
      <c r="BC354" s="7"/>
      <c r="BD354" s="7"/>
      <c r="BE354" s="7"/>
      <c r="BF354" s="7"/>
      <c r="BG354" s="7"/>
    </row>
    <row r="355">
      <c r="A355" s="39"/>
      <c r="B355" s="39"/>
      <c r="C355" s="7"/>
      <c r="D355" s="53"/>
      <c r="E355" s="7"/>
      <c r="F355" s="53"/>
      <c r="G355" s="16"/>
      <c r="H355" s="81"/>
      <c r="J355" s="39"/>
      <c r="K355" s="53"/>
      <c r="L355" s="90"/>
      <c r="M355" s="39"/>
      <c r="N355" s="327"/>
      <c r="O355" s="367"/>
      <c r="P355" s="7"/>
      <c r="Q355" s="7"/>
      <c r="R355" s="7"/>
      <c r="S355" s="81"/>
      <c r="T355" s="81"/>
      <c r="U355" s="39"/>
      <c r="V355" s="7"/>
      <c r="W355" s="7"/>
      <c r="X355" s="93"/>
      <c r="Y355" s="131"/>
      <c r="Z355" s="131"/>
      <c r="AA355" s="131"/>
      <c r="AB355" s="131"/>
      <c r="AC355" s="131"/>
      <c r="AD355" s="323"/>
      <c r="AE355" s="131"/>
      <c r="AF355" s="90"/>
      <c r="AG355" s="104"/>
      <c r="AH355" s="39"/>
      <c r="AI355" s="87"/>
      <c r="AJ355" s="81"/>
      <c r="AK355" s="90"/>
      <c r="AL355" s="81"/>
      <c r="AM355" s="39"/>
      <c r="AN355" s="7"/>
      <c r="AO355" s="82"/>
      <c r="AP355" s="82"/>
      <c r="AQ355" s="7"/>
      <c r="AR355" s="82"/>
      <c r="AS355" s="7"/>
      <c r="AT355" s="7"/>
      <c r="AU355" s="82"/>
      <c r="AV355" s="7"/>
      <c r="AW355" s="7"/>
      <c r="AX355" s="82"/>
      <c r="AY355" s="7"/>
      <c r="AZ355" s="7"/>
      <c r="BA355" s="7"/>
      <c r="BB355" s="7"/>
      <c r="BC355" s="7"/>
      <c r="BD355" s="7"/>
      <c r="BE355" s="7"/>
      <c r="BF355" s="7"/>
      <c r="BG355" s="7"/>
    </row>
    <row r="356">
      <c r="A356" s="39"/>
      <c r="B356" s="39"/>
      <c r="C356" s="7"/>
      <c r="D356" s="53"/>
      <c r="E356" s="7"/>
      <c r="F356" s="53"/>
      <c r="G356" s="16"/>
      <c r="H356" s="81"/>
      <c r="J356" s="39"/>
      <c r="K356" s="53"/>
      <c r="L356" s="90"/>
      <c r="M356" s="39"/>
      <c r="N356" s="327"/>
      <c r="O356" s="367"/>
      <c r="P356" s="82"/>
      <c r="Q356" s="82"/>
      <c r="R356" s="82"/>
      <c r="S356" s="81"/>
      <c r="T356" s="81"/>
      <c r="U356" s="39"/>
      <c r="V356" s="7"/>
      <c r="W356" s="7"/>
      <c r="X356" s="93"/>
      <c r="Y356" s="131"/>
      <c r="Z356" s="131"/>
      <c r="AA356" s="131"/>
      <c r="AB356" s="131"/>
      <c r="AC356" s="131"/>
      <c r="AD356" s="323"/>
      <c r="AE356" s="131"/>
      <c r="AF356" s="90"/>
      <c r="AG356" s="104"/>
      <c r="AH356" s="39"/>
      <c r="AI356" s="87"/>
      <c r="AJ356" s="81"/>
      <c r="AK356" s="90"/>
      <c r="AL356" s="81"/>
      <c r="AM356" s="39"/>
      <c r="AN356" s="7"/>
      <c r="AO356" s="82"/>
      <c r="AP356" s="82"/>
      <c r="AQ356" s="7"/>
      <c r="AR356" s="82"/>
      <c r="AS356" s="82"/>
      <c r="AT356" s="82"/>
      <c r="AU356" s="82"/>
      <c r="AV356" s="82"/>
      <c r="AW356" s="7"/>
      <c r="AX356" s="82"/>
      <c r="AY356" s="7"/>
      <c r="AZ356" s="7"/>
      <c r="BA356" s="7"/>
      <c r="BB356" s="7"/>
      <c r="BC356" s="7"/>
      <c r="BD356" s="7"/>
      <c r="BE356" s="7"/>
      <c r="BF356" s="7"/>
      <c r="BG356" s="7"/>
    </row>
    <row r="357">
      <c r="A357" s="39"/>
      <c r="B357" s="39"/>
      <c r="C357" s="7"/>
      <c r="D357" s="53"/>
      <c r="E357" s="7"/>
      <c r="F357" s="53"/>
      <c r="G357" s="16"/>
      <c r="H357" s="81"/>
      <c r="J357" s="39"/>
      <c r="K357" s="53"/>
      <c r="L357" s="90"/>
      <c r="M357" s="39"/>
      <c r="N357" s="327"/>
      <c r="O357" s="367"/>
      <c r="P357" s="82"/>
      <c r="Q357" s="82"/>
      <c r="R357" s="82"/>
      <c r="S357" s="81"/>
      <c r="T357" s="81"/>
      <c r="U357" s="39"/>
      <c r="V357" s="7"/>
      <c r="W357" s="7"/>
      <c r="X357" s="93"/>
      <c r="Y357" s="131"/>
      <c r="Z357" s="131"/>
      <c r="AA357" s="131"/>
      <c r="AB357" s="131"/>
      <c r="AC357" s="131"/>
      <c r="AD357" s="323"/>
      <c r="AE357" s="131"/>
      <c r="AF357" s="90"/>
      <c r="AG357" s="104"/>
      <c r="AH357" s="39"/>
      <c r="AI357" s="87"/>
      <c r="AJ357" s="81"/>
      <c r="AK357" s="90"/>
      <c r="AL357" s="81"/>
      <c r="AM357" s="39"/>
      <c r="AN357" s="7"/>
      <c r="AO357" s="82"/>
      <c r="AP357" s="82"/>
      <c r="AQ357" s="7"/>
      <c r="AR357" s="82"/>
      <c r="AS357" s="82"/>
      <c r="AT357" s="82"/>
      <c r="AU357" s="82"/>
      <c r="AV357" s="82"/>
      <c r="AW357" s="7"/>
      <c r="AX357" s="82"/>
      <c r="AY357" s="7"/>
      <c r="AZ357" s="7"/>
      <c r="BA357" s="7"/>
      <c r="BB357" s="7"/>
      <c r="BC357" s="7"/>
      <c r="BD357" s="7"/>
      <c r="BE357" s="7"/>
      <c r="BF357" s="7"/>
      <c r="BG357" s="7"/>
    </row>
    <row r="358">
      <c r="A358" s="39"/>
      <c r="B358" s="39"/>
      <c r="C358" s="7"/>
      <c r="D358" s="53"/>
      <c r="E358" s="7"/>
      <c r="F358" s="53"/>
      <c r="G358" s="16"/>
      <c r="H358" s="81"/>
      <c r="J358" s="39"/>
      <c r="K358" s="53"/>
      <c r="L358" s="90"/>
      <c r="M358" s="39"/>
      <c r="N358" s="327"/>
      <c r="O358" s="367"/>
      <c r="P358" s="7"/>
      <c r="Q358" s="7"/>
      <c r="R358" s="352"/>
      <c r="S358" s="81"/>
      <c r="T358" s="81"/>
      <c r="U358" s="39"/>
      <c r="V358" s="7"/>
      <c r="W358" s="7"/>
      <c r="X358" s="93"/>
      <c r="Y358" s="131"/>
      <c r="Z358" s="131"/>
      <c r="AA358" s="131"/>
      <c r="AB358" s="131"/>
      <c r="AC358" s="131"/>
      <c r="AD358" s="323"/>
      <c r="AE358" s="131"/>
      <c r="AF358" s="90"/>
      <c r="AG358" s="104"/>
      <c r="AH358" s="39"/>
      <c r="AI358" s="87"/>
      <c r="AJ358" s="81"/>
      <c r="AK358" s="90"/>
      <c r="AL358" s="81"/>
      <c r="AM358" s="39"/>
      <c r="AN358" s="7"/>
      <c r="AO358" s="82"/>
      <c r="AP358" s="82"/>
      <c r="AQ358" s="7"/>
      <c r="AR358" s="82"/>
      <c r="AS358" s="82"/>
      <c r="AT358" s="82"/>
      <c r="AU358" s="82"/>
      <c r="AV358" s="82"/>
      <c r="AW358" s="7"/>
      <c r="AX358" s="82"/>
      <c r="AY358" s="7"/>
      <c r="AZ358" s="7"/>
      <c r="BA358" s="7"/>
      <c r="BB358" s="7"/>
      <c r="BC358" s="7"/>
      <c r="BD358" s="7"/>
      <c r="BE358" s="7"/>
      <c r="BF358" s="7"/>
      <c r="BG358" s="7"/>
    </row>
    <row r="359">
      <c r="A359" s="39"/>
      <c r="B359" s="39"/>
      <c r="C359" s="7"/>
      <c r="D359" s="53"/>
      <c r="E359" s="7"/>
      <c r="F359" s="53"/>
      <c r="G359" s="16"/>
      <c r="H359" s="81"/>
      <c r="J359" s="39"/>
      <c r="K359" s="53"/>
      <c r="L359" s="90"/>
      <c r="M359" s="39"/>
      <c r="N359" s="327"/>
      <c r="O359" s="367"/>
      <c r="P359" s="82"/>
      <c r="Q359" s="82"/>
      <c r="R359" s="82"/>
      <c r="S359" s="81"/>
      <c r="T359" s="81"/>
      <c r="U359" s="39"/>
      <c r="V359" s="7"/>
      <c r="W359" s="7"/>
      <c r="X359" s="93"/>
      <c r="Y359" s="131"/>
      <c r="Z359" s="131"/>
      <c r="AA359" s="131"/>
      <c r="AB359" s="131"/>
      <c r="AC359" s="131"/>
      <c r="AD359" s="323"/>
      <c r="AE359" s="131"/>
      <c r="AF359" s="90"/>
      <c r="AG359" s="104"/>
      <c r="AH359" s="39"/>
      <c r="AI359" s="87"/>
      <c r="AJ359" s="81"/>
      <c r="AK359" s="90"/>
      <c r="AL359" s="81"/>
      <c r="AM359" s="39"/>
      <c r="AN359" s="7"/>
      <c r="AO359" s="82"/>
      <c r="AP359" s="82"/>
      <c r="AQ359" s="7"/>
      <c r="AR359" s="82"/>
      <c r="AS359" s="82"/>
      <c r="AT359" s="82"/>
      <c r="AU359" s="82"/>
      <c r="AV359" s="82"/>
      <c r="AW359" s="7"/>
      <c r="AX359" s="82"/>
      <c r="AY359" s="7"/>
      <c r="AZ359" s="7"/>
      <c r="BA359" s="7"/>
      <c r="BB359" s="7"/>
      <c r="BC359" s="7"/>
      <c r="BD359" s="7"/>
      <c r="BE359" s="7"/>
      <c r="BF359" s="7"/>
      <c r="BG359" s="7"/>
    </row>
    <row r="360">
      <c r="A360" s="39"/>
      <c r="B360" s="39"/>
      <c r="C360" s="7"/>
      <c r="D360" s="53"/>
      <c r="E360" s="7"/>
      <c r="F360" s="53"/>
      <c r="G360" s="16"/>
      <c r="H360" s="81"/>
      <c r="J360" s="39"/>
      <c r="K360" s="53"/>
      <c r="L360" s="90"/>
      <c r="M360" s="39"/>
      <c r="N360" s="327"/>
      <c r="O360" s="367"/>
      <c r="P360" s="82"/>
      <c r="Q360" s="82"/>
      <c r="R360" s="82"/>
      <c r="S360" s="81"/>
      <c r="T360" s="81"/>
      <c r="U360" s="39"/>
      <c r="V360" s="7"/>
      <c r="W360" s="7"/>
      <c r="X360" s="93"/>
      <c r="Y360" s="131"/>
      <c r="Z360" s="131"/>
      <c r="AA360" s="131"/>
      <c r="AB360" s="131"/>
      <c r="AC360" s="131"/>
      <c r="AD360" s="323"/>
      <c r="AE360" s="131"/>
      <c r="AF360" s="90"/>
      <c r="AG360" s="104"/>
      <c r="AH360" s="39"/>
      <c r="AI360" s="87"/>
      <c r="AJ360" s="81"/>
      <c r="AK360" s="90"/>
      <c r="AL360" s="81"/>
      <c r="AM360" s="39"/>
      <c r="AN360" s="7"/>
      <c r="AO360" s="82"/>
      <c r="AP360" s="82"/>
      <c r="AQ360" s="7"/>
      <c r="AR360" s="82"/>
      <c r="AS360" s="82"/>
      <c r="AT360" s="82"/>
      <c r="AU360" s="82"/>
      <c r="AV360" s="82"/>
      <c r="AW360" s="7"/>
      <c r="AX360" s="82"/>
      <c r="AY360" s="7"/>
      <c r="AZ360" s="7"/>
      <c r="BA360" s="7"/>
      <c r="BB360" s="7"/>
      <c r="BC360" s="7"/>
      <c r="BD360" s="7"/>
      <c r="BE360" s="7"/>
      <c r="BF360" s="7"/>
      <c r="BG360" s="7"/>
    </row>
    <row r="361">
      <c r="A361" s="39"/>
      <c r="B361" s="39"/>
      <c r="C361" s="7"/>
      <c r="D361" s="53"/>
      <c r="E361" s="7"/>
      <c r="F361" s="53"/>
      <c r="G361" s="16"/>
      <c r="H361" s="81"/>
      <c r="J361" s="39"/>
      <c r="K361" s="53"/>
      <c r="L361" s="90"/>
      <c r="M361" s="39"/>
      <c r="N361" s="327"/>
      <c r="O361" s="368"/>
      <c r="P361" s="82"/>
      <c r="Q361" s="82"/>
      <c r="R361" s="82"/>
      <c r="S361" s="81"/>
      <c r="T361" s="81"/>
      <c r="U361" s="39"/>
      <c r="V361" s="7"/>
      <c r="W361" s="7"/>
      <c r="X361" s="93"/>
      <c r="Y361" s="131"/>
      <c r="Z361" s="131"/>
      <c r="AA361" s="131"/>
      <c r="AB361" s="131"/>
      <c r="AC361" s="131"/>
      <c r="AD361" s="323"/>
      <c r="AE361" s="131"/>
      <c r="AF361" s="90"/>
      <c r="AG361" s="104"/>
      <c r="AH361" s="39"/>
      <c r="AI361" s="87"/>
      <c r="AJ361" s="81"/>
      <c r="AK361" s="90"/>
      <c r="AL361" s="81"/>
      <c r="AM361" s="39"/>
      <c r="AN361" s="7"/>
      <c r="AO361" s="82"/>
      <c r="AP361" s="82"/>
      <c r="AQ361" s="7"/>
      <c r="AR361" s="82"/>
      <c r="AS361" s="82"/>
      <c r="AT361" s="82"/>
      <c r="AU361" s="82"/>
      <c r="AV361" s="82"/>
      <c r="AW361" s="7"/>
      <c r="AX361" s="82"/>
      <c r="AY361" s="7"/>
      <c r="AZ361" s="7"/>
      <c r="BA361" s="7"/>
      <c r="BB361" s="7"/>
      <c r="BC361" s="7"/>
      <c r="BD361" s="7"/>
      <c r="BE361" s="7"/>
      <c r="BF361" s="7"/>
      <c r="BG361" s="7"/>
    </row>
    <row r="362">
      <c r="A362" s="39"/>
      <c r="B362" s="39"/>
      <c r="C362" s="7"/>
      <c r="D362" s="53"/>
      <c r="E362" s="7"/>
      <c r="F362" s="53"/>
      <c r="G362" s="16"/>
      <c r="H362" s="81"/>
      <c r="J362" s="39"/>
      <c r="K362" s="53"/>
      <c r="L362" s="90"/>
      <c r="M362" s="39"/>
      <c r="N362" s="321"/>
      <c r="O362" s="367"/>
      <c r="P362" s="7"/>
      <c r="Q362" s="7"/>
      <c r="R362" s="352"/>
      <c r="S362" s="83"/>
      <c r="T362" s="16"/>
      <c r="U362" s="39"/>
      <c r="V362" s="7"/>
      <c r="W362" s="7"/>
      <c r="X362" s="93"/>
      <c r="Y362" s="131"/>
      <c r="Z362" s="131"/>
      <c r="AA362" s="131"/>
      <c r="AB362" s="131"/>
      <c r="AC362" s="131"/>
      <c r="AD362" s="323"/>
      <c r="AE362" s="131"/>
      <c r="AF362" s="90"/>
      <c r="AG362" s="104"/>
      <c r="AH362" s="39"/>
      <c r="AI362" s="87"/>
      <c r="AJ362" s="81"/>
      <c r="AK362" s="90"/>
      <c r="AL362" s="81"/>
      <c r="AM362" s="39"/>
      <c r="AN362" s="7"/>
      <c r="AO362" s="82"/>
      <c r="AP362" s="82"/>
      <c r="AQ362" s="7"/>
      <c r="AR362" s="7"/>
      <c r="AS362" s="7"/>
      <c r="AT362" s="7"/>
      <c r="AU362" s="7"/>
      <c r="AV362" s="7"/>
      <c r="AW362" s="7"/>
      <c r="AX362" s="82"/>
      <c r="AY362" s="7"/>
      <c r="AZ362" s="7"/>
      <c r="BA362" s="7"/>
      <c r="BB362" s="7"/>
      <c r="BC362" s="7"/>
      <c r="BD362" s="7"/>
      <c r="BE362" s="7"/>
      <c r="BF362" s="7"/>
      <c r="BG362" s="7"/>
    </row>
    <row r="363">
      <c r="A363" s="39"/>
      <c r="B363" s="39"/>
      <c r="C363" s="7"/>
      <c r="D363" s="53"/>
      <c r="E363" s="7"/>
      <c r="F363" s="53"/>
      <c r="G363" s="16"/>
      <c r="H363" s="81"/>
      <c r="J363" s="39"/>
      <c r="K363" s="53"/>
      <c r="L363" s="90"/>
      <c r="M363" s="39"/>
      <c r="N363" s="327"/>
      <c r="O363" s="368"/>
      <c r="P363" s="82"/>
      <c r="Q363" s="82"/>
      <c r="R363" s="82"/>
      <c r="S363" s="81"/>
      <c r="T363" s="16"/>
      <c r="U363" s="39"/>
      <c r="V363" s="7"/>
      <c r="W363" s="7"/>
      <c r="X363" s="93"/>
      <c r="Y363" s="131"/>
      <c r="Z363" s="131"/>
      <c r="AA363" s="131"/>
      <c r="AB363" s="131"/>
      <c r="AC363" s="131"/>
      <c r="AD363" s="323"/>
      <c r="AE363" s="131"/>
      <c r="AF363" s="90"/>
      <c r="AG363" s="104"/>
      <c r="AH363" s="39"/>
      <c r="AI363" s="87"/>
      <c r="AJ363" s="81"/>
      <c r="AK363" s="90"/>
      <c r="AL363" s="81"/>
      <c r="AM363" s="39"/>
      <c r="AN363" s="7"/>
      <c r="AO363" s="82"/>
      <c r="AP363" s="82"/>
      <c r="AQ363" s="7"/>
      <c r="AR363" s="7"/>
      <c r="AS363" s="82"/>
      <c r="AT363" s="82"/>
      <c r="AU363" s="82"/>
      <c r="AV363" s="82"/>
      <c r="AW363" s="7"/>
      <c r="AX363" s="82"/>
      <c r="AY363" s="7"/>
      <c r="AZ363" s="7"/>
      <c r="BA363" s="7"/>
      <c r="BB363" s="7"/>
      <c r="BC363" s="7"/>
      <c r="BD363" s="7"/>
      <c r="BE363" s="7"/>
      <c r="BF363" s="7"/>
      <c r="BG363" s="7"/>
    </row>
    <row r="364">
      <c r="A364" s="39"/>
      <c r="B364" s="39"/>
      <c r="C364" s="7"/>
      <c r="D364" s="53"/>
      <c r="E364" s="7"/>
      <c r="F364" s="53"/>
      <c r="G364" s="16"/>
      <c r="H364" s="81"/>
      <c r="J364" s="39"/>
      <c r="K364" s="53"/>
      <c r="L364" s="90"/>
      <c r="M364" s="39"/>
      <c r="N364" s="327"/>
      <c r="O364" s="367"/>
      <c r="P364" s="7"/>
      <c r="Q364" s="7"/>
      <c r="R364" s="352"/>
      <c r="S364" s="81"/>
      <c r="T364" s="16"/>
      <c r="U364" s="39"/>
      <c r="V364" s="7"/>
      <c r="W364" s="7"/>
      <c r="X364" s="93"/>
      <c r="Y364" s="131"/>
      <c r="Z364" s="131"/>
      <c r="AA364" s="131"/>
      <c r="AB364" s="131"/>
      <c r="AC364" s="131"/>
      <c r="AD364" s="323"/>
      <c r="AE364" s="131"/>
      <c r="AF364" s="90"/>
      <c r="AG364" s="104"/>
      <c r="AH364" s="39"/>
      <c r="AI364" s="87"/>
      <c r="AJ364" s="81"/>
      <c r="AK364" s="90"/>
      <c r="AL364" s="81"/>
      <c r="AM364" s="39"/>
      <c r="AN364" s="7"/>
      <c r="AO364" s="82"/>
      <c r="AP364" s="82"/>
      <c r="AQ364" s="7"/>
      <c r="AR364" s="7"/>
      <c r="AS364" s="7"/>
      <c r="AT364" s="7"/>
      <c r="AU364" s="7"/>
      <c r="AV364" s="7"/>
      <c r="AW364" s="7"/>
      <c r="AX364" s="82"/>
      <c r="AY364" s="7"/>
      <c r="AZ364" s="7"/>
      <c r="BA364" s="7"/>
      <c r="BB364" s="7"/>
      <c r="BC364" s="7"/>
      <c r="BD364" s="7"/>
      <c r="BE364" s="7"/>
      <c r="BF364" s="7"/>
      <c r="BG364" s="7"/>
    </row>
    <row r="365">
      <c r="A365" s="39"/>
      <c r="B365" s="39"/>
      <c r="C365" s="7"/>
      <c r="D365" s="53"/>
      <c r="E365" s="7"/>
      <c r="F365" s="53"/>
      <c r="G365" s="16"/>
      <c r="H365" s="81"/>
      <c r="J365" s="39"/>
      <c r="K365" s="53"/>
      <c r="L365" s="90"/>
      <c r="M365" s="39"/>
      <c r="N365" s="327"/>
      <c r="O365" s="367"/>
      <c r="P365" s="82"/>
      <c r="Q365" s="82"/>
      <c r="R365" s="82"/>
      <c r="S365" s="81"/>
      <c r="T365" s="16"/>
      <c r="U365" s="39"/>
      <c r="V365" s="7"/>
      <c r="W365" s="7"/>
      <c r="X365" s="93"/>
      <c r="Y365" s="131"/>
      <c r="Z365" s="131"/>
      <c r="AA365" s="131"/>
      <c r="AB365" s="131"/>
      <c r="AC365" s="131"/>
      <c r="AD365" s="323"/>
      <c r="AE365" s="131"/>
      <c r="AF365" s="90"/>
      <c r="AG365" s="104"/>
      <c r="AH365" s="39"/>
      <c r="AI365" s="87"/>
      <c r="AJ365" s="81"/>
      <c r="AK365" s="90"/>
      <c r="AL365" s="81"/>
      <c r="AM365" s="39"/>
      <c r="AN365" s="7"/>
      <c r="AO365" s="82"/>
      <c r="AP365" s="82"/>
      <c r="AQ365" s="7"/>
      <c r="AR365" s="7"/>
      <c r="AS365" s="82"/>
      <c r="AT365" s="82"/>
      <c r="AU365" s="82"/>
      <c r="AV365" s="82"/>
      <c r="AW365" s="7"/>
      <c r="AX365" s="82"/>
      <c r="AY365" s="7"/>
      <c r="AZ365" s="7"/>
      <c r="BA365" s="7"/>
      <c r="BB365" s="7"/>
      <c r="BC365" s="7"/>
      <c r="BD365" s="7"/>
      <c r="BE365" s="7"/>
      <c r="BF365" s="7"/>
      <c r="BG365" s="7"/>
    </row>
    <row r="366">
      <c r="A366" s="39"/>
      <c r="B366" s="39"/>
      <c r="C366" s="7"/>
      <c r="D366" s="53"/>
      <c r="E366" s="7"/>
      <c r="F366" s="53"/>
      <c r="G366" s="16"/>
      <c r="H366" s="81"/>
      <c r="J366" s="39"/>
      <c r="K366" s="53"/>
      <c r="L366" s="90"/>
      <c r="M366" s="39"/>
      <c r="N366" s="327"/>
      <c r="O366" s="322"/>
      <c r="P366" s="82"/>
      <c r="Q366" s="82"/>
      <c r="R366" s="82"/>
      <c r="S366" s="81"/>
      <c r="T366" s="16"/>
      <c r="U366" s="39"/>
      <c r="V366" s="7"/>
      <c r="W366" s="7"/>
      <c r="X366" s="93"/>
      <c r="Y366" s="131"/>
      <c r="Z366" s="131"/>
      <c r="AA366" s="131"/>
      <c r="AB366" s="131"/>
      <c r="AC366" s="131"/>
      <c r="AD366" s="323"/>
      <c r="AE366" s="131"/>
      <c r="AF366" s="90"/>
      <c r="AG366" s="104"/>
      <c r="AH366" s="39"/>
      <c r="AI366" s="87"/>
      <c r="AJ366" s="81"/>
      <c r="AK366" s="90"/>
      <c r="AL366" s="81"/>
      <c r="AM366" s="39"/>
      <c r="AN366" s="7"/>
      <c r="AO366" s="82"/>
      <c r="AP366" s="82"/>
      <c r="AQ366" s="7"/>
      <c r="AR366" s="7"/>
      <c r="AS366" s="82"/>
      <c r="AT366" s="82"/>
      <c r="AU366" s="82"/>
      <c r="AV366" s="82"/>
      <c r="AW366" s="7"/>
      <c r="AX366" s="82"/>
      <c r="AY366" s="7"/>
      <c r="AZ366" s="7"/>
      <c r="BA366" s="7"/>
      <c r="BB366" s="7"/>
      <c r="BC366" s="7"/>
      <c r="BD366" s="7"/>
      <c r="BE366" s="7"/>
      <c r="BF366" s="7"/>
      <c r="BG366" s="7"/>
    </row>
    <row r="367">
      <c r="A367" s="39"/>
      <c r="B367" s="39"/>
      <c r="C367" s="7"/>
      <c r="D367" s="53"/>
      <c r="E367" s="7"/>
      <c r="F367" s="53"/>
      <c r="G367" s="16"/>
      <c r="H367" s="81"/>
      <c r="J367" s="39"/>
      <c r="K367" s="53"/>
      <c r="L367" s="90"/>
      <c r="M367" s="39"/>
      <c r="N367" s="327"/>
      <c r="O367" s="322"/>
      <c r="P367" s="82"/>
      <c r="Q367" s="82"/>
      <c r="R367" s="82"/>
      <c r="S367" s="81"/>
      <c r="T367" s="16"/>
      <c r="U367" s="39"/>
      <c r="V367" s="7"/>
      <c r="W367" s="7"/>
      <c r="X367" s="93"/>
      <c r="Y367" s="131"/>
      <c r="Z367" s="131"/>
      <c r="AA367" s="131"/>
      <c r="AB367" s="131"/>
      <c r="AC367" s="131"/>
      <c r="AD367" s="323"/>
      <c r="AE367" s="131"/>
      <c r="AF367" s="90"/>
      <c r="AG367" s="104"/>
      <c r="AH367" s="39"/>
      <c r="AI367" s="87"/>
      <c r="AJ367" s="81"/>
      <c r="AK367" s="90"/>
      <c r="AL367" s="81"/>
      <c r="AM367" s="39"/>
      <c r="AN367" s="7"/>
      <c r="AO367" s="82"/>
      <c r="AP367" s="82"/>
      <c r="AQ367" s="7"/>
      <c r="AR367" s="7"/>
      <c r="AS367" s="82"/>
      <c r="AT367" s="82"/>
      <c r="AU367" s="82"/>
      <c r="AV367" s="82"/>
      <c r="AW367" s="7"/>
      <c r="AX367" s="82"/>
      <c r="AY367" s="7"/>
      <c r="AZ367" s="7"/>
      <c r="BA367" s="7"/>
      <c r="BB367" s="7"/>
      <c r="BC367" s="7"/>
      <c r="BD367" s="7"/>
      <c r="BE367" s="7"/>
      <c r="BF367" s="7"/>
      <c r="BG367" s="7"/>
    </row>
    <row r="368">
      <c r="A368" s="39"/>
      <c r="B368" s="39"/>
      <c r="C368" s="7"/>
      <c r="D368" s="53"/>
      <c r="E368" s="7"/>
      <c r="F368" s="53"/>
      <c r="G368" s="16"/>
      <c r="H368" s="81"/>
      <c r="J368" s="39"/>
      <c r="K368" s="53"/>
      <c r="L368" s="90"/>
      <c r="M368" s="39"/>
      <c r="N368" s="327"/>
      <c r="O368" s="322"/>
      <c r="P368" s="82"/>
      <c r="Q368" s="82"/>
      <c r="R368" s="82"/>
      <c r="S368" s="81"/>
      <c r="T368" s="16"/>
      <c r="U368" s="39"/>
      <c r="V368" s="7"/>
      <c r="W368" s="7"/>
      <c r="X368" s="93"/>
      <c r="Y368" s="131"/>
      <c r="Z368" s="131"/>
      <c r="AA368" s="131"/>
      <c r="AB368" s="131"/>
      <c r="AC368" s="131"/>
      <c r="AD368" s="323"/>
      <c r="AE368" s="131"/>
      <c r="AF368" s="90"/>
      <c r="AG368" s="104"/>
      <c r="AH368" s="39"/>
      <c r="AI368" s="87"/>
      <c r="AJ368" s="81"/>
      <c r="AK368" s="90"/>
      <c r="AL368" s="81"/>
      <c r="AM368" s="39"/>
      <c r="AN368" s="7"/>
      <c r="AO368" s="82"/>
      <c r="AP368" s="82"/>
      <c r="AQ368" s="7"/>
      <c r="AR368" s="7"/>
      <c r="AS368" s="82"/>
      <c r="AT368" s="82"/>
      <c r="AU368" s="82"/>
      <c r="AV368" s="82"/>
      <c r="AW368" s="7"/>
      <c r="AX368" s="82"/>
      <c r="AY368" s="7"/>
      <c r="AZ368" s="7"/>
      <c r="BA368" s="7"/>
      <c r="BB368" s="7"/>
      <c r="BC368" s="7"/>
      <c r="BD368" s="7"/>
      <c r="BE368" s="7"/>
      <c r="BF368" s="7"/>
      <c r="BG368" s="7"/>
    </row>
    <row r="369">
      <c r="A369" s="39"/>
      <c r="B369" s="39"/>
      <c r="C369" s="7"/>
      <c r="D369" s="53"/>
      <c r="E369" s="7"/>
      <c r="F369" s="53"/>
      <c r="G369" s="16"/>
      <c r="H369" s="81"/>
      <c r="J369" s="39"/>
      <c r="K369" s="53"/>
      <c r="L369" s="90"/>
      <c r="M369" s="39"/>
      <c r="N369" s="327"/>
      <c r="O369" s="367"/>
      <c r="P369" s="82"/>
      <c r="Q369" s="82"/>
      <c r="R369" s="82"/>
      <c r="S369" s="81"/>
      <c r="T369" s="16"/>
      <c r="U369" s="39"/>
      <c r="V369" s="7"/>
      <c r="W369" s="7"/>
      <c r="X369" s="93"/>
      <c r="Y369" s="131"/>
      <c r="Z369" s="131"/>
      <c r="AA369" s="131"/>
      <c r="AB369" s="131"/>
      <c r="AC369" s="131"/>
      <c r="AD369" s="323"/>
      <c r="AE369" s="131"/>
      <c r="AF369" s="90"/>
      <c r="AG369" s="104"/>
      <c r="AH369" s="39"/>
      <c r="AI369" s="87"/>
      <c r="AJ369" s="81"/>
      <c r="AK369" s="90"/>
      <c r="AL369" s="81"/>
      <c r="AM369" s="39"/>
      <c r="AN369" s="7"/>
      <c r="AO369" s="82"/>
      <c r="AP369" s="82"/>
      <c r="AQ369" s="7"/>
      <c r="AR369" s="7"/>
      <c r="AS369" s="82"/>
      <c r="AT369" s="82"/>
      <c r="AU369" s="82"/>
      <c r="AV369" s="82"/>
      <c r="AW369" s="7"/>
      <c r="AX369" s="82"/>
      <c r="AY369" s="7"/>
      <c r="AZ369" s="7"/>
      <c r="BA369" s="7"/>
      <c r="BB369" s="7"/>
      <c r="BC369" s="7"/>
      <c r="BD369" s="7"/>
      <c r="BE369" s="7"/>
      <c r="BF369" s="7"/>
      <c r="BG369" s="7"/>
    </row>
    <row r="370">
      <c r="A370" s="39"/>
      <c r="B370" s="39"/>
      <c r="C370" s="7"/>
      <c r="D370" s="53"/>
      <c r="E370" s="7"/>
      <c r="F370" s="53"/>
      <c r="G370" s="16"/>
      <c r="H370" s="81"/>
      <c r="J370" s="39"/>
      <c r="K370" s="53"/>
      <c r="L370" s="90"/>
      <c r="M370" s="39"/>
      <c r="N370" s="327"/>
      <c r="O370" s="322"/>
      <c r="P370" s="82"/>
      <c r="Q370" s="82"/>
      <c r="R370" s="82"/>
      <c r="S370" s="81"/>
      <c r="T370" s="16"/>
      <c r="U370" s="39"/>
      <c r="V370" s="7"/>
      <c r="W370" s="7"/>
      <c r="X370" s="93"/>
      <c r="Y370" s="131"/>
      <c r="Z370" s="131"/>
      <c r="AA370" s="131"/>
      <c r="AB370" s="131"/>
      <c r="AC370" s="131"/>
      <c r="AD370" s="323"/>
      <c r="AE370" s="131"/>
      <c r="AF370" s="90"/>
      <c r="AG370" s="104"/>
      <c r="AH370" s="39"/>
      <c r="AI370" s="87"/>
      <c r="AJ370" s="81"/>
      <c r="AK370" s="90"/>
      <c r="AL370" s="81"/>
      <c r="AM370" s="39"/>
      <c r="AN370" s="7"/>
      <c r="AO370" s="82"/>
      <c r="AP370" s="82"/>
      <c r="AQ370" s="7"/>
      <c r="AR370" s="7"/>
      <c r="AS370" s="82"/>
      <c r="AT370" s="82"/>
      <c r="AU370" s="82"/>
      <c r="AV370" s="82"/>
      <c r="AW370" s="7"/>
      <c r="AX370" s="82"/>
      <c r="AY370" s="7"/>
      <c r="AZ370" s="7"/>
      <c r="BA370" s="7"/>
      <c r="BB370" s="7"/>
      <c r="BC370" s="7"/>
      <c r="BD370" s="7"/>
      <c r="BE370" s="7"/>
      <c r="BF370" s="7"/>
      <c r="BG370" s="7"/>
    </row>
    <row r="371">
      <c r="A371" s="39"/>
      <c r="B371" s="39"/>
      <c r="C371" s="7"/>
      <c r="D371" s="53"/>
      <c r="E371" s="7"/>
      <c r="F371" s="53"/>
      <c r="G371" s="16"/>
      <c r="H371" s="81"/>
      <c r="J371" s="39"/>
      <c r="K371" s="53"/>
      <c r="L371" s="90"/>
      <c r="M371" s="39"/>
      <c r="N371" s="327"/>
      <c r="O371" s="322"/>
      <c r="P371" s="82"/>
      <c r="Q371" s="82"/>
      <c r="R371" s="82"/>
      <c r="S371" s="81"/>
      <c r="T371" s="16"/>
      <c r="U371" s="39"/>
      <c r="V371" s="7"/>
      <c r="W371" s="7"/>
      <c r="X371" s="93"/>
      <c r="Y371" s="131"/>
      <c r="Z371" s="131"/>
      <c r="AA371" s="131"/>
      <c r="AB371" s="131"/>
      <c r="AC371" s="131"/>
      <c r="AD371" s="323"/>
      <c r="AE371" s="131"/>
      <c r="AF371" s="90"/>
      <c r="AG371" s="104"/>
      <c r="AH371" s="39"/>
      <c r="AI371" s="87"/>
      <c r="AJ371" s="81"/>
      <c r="AK371" s="90"/>
      <c r="AL371" s="81"/>
      <c r="AM371" s="39"/>
      <c r="AN371" s="7"/>
      <c r="AO371" s="82"/>
      <c r="AP371" s="82"/>
      <c r="AQ371" s="7"/>
      <c r="AR371" s="7"/>
      <c r="AS371" s="82"/>
      <c r="AT371" s="82"/>
      <c r="AU371" s="82"/>
      <c r="AV371" s="82"/>
      <c r="AW371" s="7"/>
      <c r="AX371" s="82"/>
      <c r="AY371" s="7"/>
      <c r="AZ371" s="7"/>
      <c r="BA371" s="7"/>
      <c r="BB371" s="7"/>
      <c r="BC371" s="7"/>
      <c r="BD371" s="7"/>
      <c r="BE371" s="7"/>
      <c r="BF371" s="7"/>
      <c r="BG371" s="7"/>
    </row>
    <row r="372">
      <c r="A372" s="39"/>
      <c r="B372" s="39"/>
      <c r="C372" s="7"/>
      <c r="D372" s="53"/>
      <c r="E372" s="7"/>
      <c r="F372" s="53"/>
      <c r="G372" s="16"/>
      <c r="H372" s="81"/>
      <c r="J372" s="39"/>
      <c r="K372" s="53"/>
      <c r="L372" s="90"/>
      <c r="M372" s="39"/>
      <c r="N372" s="321"/>
      <c r="O372" s="322"/>
      <c r="P372" s="82"/>
      <c r="Q372" s="82"/>
      <c r="R372" s="82"/>
      <c r="S372" s="81"/>
      <c r="T372" s="16"/>
      <c r="U372" s="39"/>
      <c r="V372" s="7"/>
      <c r="W372" s="7"/>
      <c r="X372" s="93"/>
      <c r="Y372" s="131"/>
      <c r="Z372" s="131"/>
      <c r="AA372" s="131"/>
      <c r="AB372" s="131"/>
      <c r="AC372" s="131"/>
      <c r="AD372" s="323"/>
      <c r="AE372" s="131"/>
      <c r="AF372" s="90"/>
      <c r="AG372" s="104"/>
      <c r="AH372" s="39"/>
      <c r="AI372" s="87"/>
      <c r="AJ372" s="81"/>
      <c r="AK372" s="90"/>
      <c r="AL372" s="81"/>
      <c r="AM372" s="39"/>
      <c r="AN372" s="7"/>
      <c r="AO372" s="82"/>
      <c r="AP372" s="82"/>
      <c r="AQ372" s="7"/>
      <c r="AR372" s="7"/>
      <c r="AS372" s="82"/>
      <c r="AT372" s="82"/>
      <c r="AU372" s="82"/>
      <c r="AV372" s="82"/>
      <c r="AW372" s="7"/>
      <c r="AX372" s="82"/>
      <c r="AY372" s="7"/>
      <c r="AZ372" s="7"/>
      <c r="BA372" s="7"/>
      <c r="BB372" s="7"/>
      <c r="BC372" s="7"/>
      <c r="BD372" s="7"/>
      <c r="BE372" s="7"/>
      <c r="BF372" s="7"/>
      <c r="BG372" s="7"/>
    </row>
    <row r="373">
      <c r="A373" s="39"/>
      <c r="B373" s="39"/>
      <c r="C373" s="7"/>
      <c r="D373" s="53"/>
      <c r="E373" s="7"/>
      <c r="F373" s="53"/>
      <c r="G373" s="16"/>
      <c r="H373" s="81"/>
      <c r="J373" s="39"/>
      <c r="K373" s="53"/>
      <c r="L373" s="90"/>
      <c r="M373" s="39"/>
      <c r="N373" s="327"/>
      <c r="O373" s="322"/>
      <c r="P373" s="82"/>
      <c r="Q373" s="82"/>
      <c r="R373" s="82"/>
      <c r="S373" s="81"/>
      <c r="T373" s="16"/>
      <c r="U373" s="39"/>
      <c r="V373" s="7"/>
      <c r="W373" s="7"/>
      <c r="X373" s="93"/>
      <c r="Y373" s="131"/>
      <c r="Z373" s="131"/>
      <c r="AA373" s="131"/>
      <c r="AB373" s="131"/>
      <c r="AC373" s="131"/>
      <c r="AD373" s="323"/>
      <c r="AE373" s="131"/>
      <c r="AF373" s="90"/>
      <c r="AG373" s="104"/>
      <c r="AH373" s="39"/>
      <c r="AI373" s="87"/>
      <c r="AJ373" s="81"/>
      <c r="AK373" s="90"/>
      <c r="AL373" s="81"/>
      <c r="AM373" s="39"/>
      <c r="AN373" s="7"/>
      <c r="AO373" s="82"/>
      <c r="AP373" s="82"/>
      <c r="AQ373" s="7"/>
      <c r="AR373" s="7"/>
      <c r="AS373" s="82"/>
      <c r="AT373" s="82"/>
      <c r="AU373" s="82"/>
      <c r="AV373" s="82"/>
      <c r="AW373" s="7"/>
      <c r="AX373" s="82"/>
      <c r="AY373" s="7"/>
      <c r="AZ373" s="7"/>
      <c r="BA373" s="7"/>
      <c r="BB373" s="7"/>
      <c r="BC373" s="7"/>
      <c r="BD373" s="7"/>
      <c r="BE373" s="7"/>
      <c r="BF373" s="7"/>
      <c r="BG373" s="7"/>
    </row>
    <row r="374">
      <c r="A374" s="39"/>
      <c r="B374" s="39"/>
      <c r="C374" s="7"/>
      <c r="D374" s="53"/>
      <c r="E374" s="7"/>
      <c r="F374" s="53"/>
      <c r="G374" s="16"/>
      <c r="H374" s="81"/>
      <c r="J374" s="39"/>
      <c r="K374" s="53"/>
      <c r="L374" s="90"/>
      <c r="M374" s="39"/>
      <c r="N374" s="327"/>
      <c r="O374" s="370"/>
      <c r="P374" s="82"/>
      <c r="Q374" s="82"/>
      <c r="R374" s="82"/>
      <c r="S374" s="81"/>
      <c r="T374" s="16"/>
      <c r="U374" s="39"/>
      <c r="V374" s="7"/>
      <c r="W374" s="7"/>
      <c r="X374" s="93"/>
      <c r="Y374" s="131"/>
      <c r="Z374" s="131"/>
      <c r="AA374" s="131"/>
      <c r="AB374" s="131"/>
      <c r="AC374" s="131"/>
      <c r="AD374" s="323"/>
      <c r="AE374" s="131"/>
      <c r="AF374" s="90"/>
      <c r="AG374" s="104"/>
      <c r="AH374" s="39"/>
      <c r="AI374" s="87"/>
      <c r="AJ374" s="81"/>
      <c r="AK374" s="90"/>
      <c r="AL374" s="81"/>
      <c r="AM374" s="39"/>
      <c r="AN374" s="7"/>
      <c r="AO374" s="82"/>
      <c r="AP374" s="82"/>
      <c r="AQ374" s="7"/>
      <c r="AR374" s="7"/>
      <c r="AS374" s="82"/>
      <c r="AT374" s="82"/>
      <c r="AU374" s="82"/>
      <c r="AV374" s="82"/>
      <c r="AW374" s="7"/>
      <c r="AX374" s="82"/>
      <c r="AY374" s="7"/>
      <c r="AZ374" s="7"/>
      <c r="BA374" s="7"/>
      <c r="BB374" s="7"/>
      <c r="BC374" s="7"/>
      <c r="BD374" s="7"/>
      <c r="BE374" s="7"/>
      <c r="BF374" s="7"/>
      <c r="BG374" s="7"/>
    </row>
    <row r="375">
      <c r="A375" s="39"/>
      <c r="B375" s="39"/>
      <c r="C375" s="7"/>
      <c r="D375" s="53"/>
      <c r="E375" s="7"/>
      <c r="F375" s="53"/>
      <c r="G375" s="16"/>
      <c r="H375" s="81"/>
      <c r="J375" s="39"/>
      <c r="K375" s="53"/>
      <c r="L375" s="90"/>
      <c r="M375" s="39"/>
      <c r="N375" s="327"/>
      <c r="O375" s="322"/>
      <c r="P375" s="82"/>
      <c r="Q375" s="82"/>
      <c r="R375" s="82"/>
      <c r="S375" s="81"/>
      <c r="T375" s="16"/>
      <c r="U375" s="39"/>
      <c r="V375" s="7"/>
      <c r="W375" s="7"/>
      <c r="X375" s="93"/>
      <c r="Y375" s="131"/>
      <c r="Z375" s="131"/>
      <c r="AA375" s="131"/>
      <c r="AB375" s="131"/>
      <c r="AC375" s="131"/>
      <c r="AD375" s="323"/>
      <c r="AE375" s="131"/>
      <c r="AF375" s="90"/>
      <c r="AG375" s="104"/>
      <c r="AH375" s="39"/>
      <c r="AI375" s="87"/>
      <c r="AJ375" s="81"/>
      <c r="AK375" s="90"/>
      <c r="AL375" s="81"/>
      <c r="AM375" s="39"/>
      <c r="AN375" s="7"/>
      <c r="AO375" s="82"/>
      <c r="AP375" s="82"/>
      <c r="AQ375" s="7"/>
      <c r="AR375" s="7"/>
      <c r="AS375" s="82"/>
      <c r="AT375" s="82"/>
      <c r="AU375" s="82"/>
      <c r="AV375" s="82"/>
      <c r="AW375" s="7"/>
      <c r="AX375" s="82"/>
      <c r="AY375" s="7"/>
      <c r="AZ375" s="7"/>
      <c r="BA375" s="7"/>
      <c r="BB375" s="7"/>
      <c r="BC375" s="7"/>
      <c r="BD375" s="7"/>
      <c r="BE375" s="7"/>
      <c r="BF375" s="7"/>
      <c r="BG375" s="7"/>
    </row>
    <row r="376">
      <c r="A376" s="39"/>
      <c r="B376" s="39"/>
      <c r="C376" s="7"/>
      <c r="D376" s="53"/>
      <c r="E376" s="7"/>
      <c r="F376" s="53"/>
      <c r="G376" s="16"/>
      <c r="H376" s="81"/>
      <c r="J376" s="39"/>
      <c r="K376" s="53"/>
      <c r="L376" s="90"/>
      <c r="M376" s="39"/>
      <c r="N376" s="327"/>
      <c r="O376" s="322"/>
      <c r="P376" s="82"/>
      <c r="Q376" s="82"/>
      <c r="R376" s="82"/>
      <c r="S376" s="81"/>
      <c r="T376" s="16"/>
      <c r="U376" s="39"/>
      <c r="V376" s="7"/>
      <c r="W376" s="7"/>
      <c r="X376" s="93"/>
      <c r="Y376" s="131"/>
      <c r="Z376" s="131"/>
      <c r="AA376" s="131"/>
      <c r="AB376" s="131"/>
      <c r="AC376" s="131"/>
      <c r="AD376" s="323"/>
      <c r="AE376" s="131"/>
      <c r="AF376" s="90"/>
      <c r="AG376" s="104"/>
      <c r="AH376" s="39"/>
      <c r="AI376" s="87"/>
      <c r="AJ376" s="81"/>
      <c r="AK376" s="90"/>
      <c r="AL376" s="81"/>
      <c r="AM376" s="39"/>
      <c r="AN376" s="7"/>
      <c r="AO376" s="82"/>
      <c r="AP376" s="82"/>
      <c r="AQ376" s="7"/>
      <c r="AR376" s="7"/>
      <c r="AS376" s="82"/>
      <c r="AT376" s="82"/>
      <c r="AU376" s="82"/>
      <c r="AV376" s="82"/>
      <c r="AW376" s="7"/>
      <c r="AX376" s="82"/>
      <c r="AY376" s="7"/>
      <c r="AZ376" s="7"/>
      <c r="BA376" s="7"/>
      <c r="BB376" s="7"/>
      <c r="BC376" s="7"/>
      <c r="BD376" s="7"/>
      <c r="BE376" s="7"/>
      <c r="BF376" s="7"/>
      <c r="BG376" s="7"/>
    </row>
    <row r="377">
      <c r="A377" s="39"/>
      <c r="B377" s="39"/>
      <c r="C377" s="7"/>
      <c r="D377" s="53"/>
      <c r="E377" s="7"/>
      <c r="F377" s="53"/>
      <c r="G377" s="16"/>
      <c r="H377" s="81"/>
      <c r="J377" s="39"/>
      <c r="K377" s="53"/>
      <c r="L377" s="90"/>
      <c r="M377" s="16"/>
      <c r="N377" s="327"/>
      <c r="O377" s="322"/>
      <c r="P377" s="82"/>
      <c r="Q377" s="82"/>
      <c r="R377" s="82"/>
      <c r="S377" s="81"/>
      <c r="T377" s="16"/>
      <c r="U377" s="39"/>
      <c r="V377" s="7"/>
      <c r="W377" s="7"/>
      <c r="X377" s="93"/>
      <c r="Y377" s="131"/>
      <c r="Z377" s="131"/>
      <c r="AA377" s="131"/>
      <c r="AB377" s="131"/>
      <c r="AC377" s="131"/>
      <c r="AD377" s="323"/>
      <c r="AE377" s="131"/>
      <c r="AF377" s="90"/>
      <c r="AG377" s="104"/>
      <c r="AH377" s="39"/>
      <c r="AI377" s="87"/>
      <c r="AJ377" s="81"/>
      <c r="AK377" s="90"/>
      <c r="AL377" s="81"/>
      <c r="AM377" s="39"/>
      <c r="AN377" s="7"/>
      <c r="AO377" s="82"/>
      <c r="AP377" s="82"/>
      <c r="AQ377" s="7"/>
      <c r="AR377" s="7"/>
      <c r="AS377" s="82"/>
      <c r="AT377" s="82"/>
      <c r="AU377" s="82"/>
      <c r="AV377" s="82"/>
      <c r="AW377" s="7"/>
      <c r="AX377" s="82"/>
      <c r="AY377" s="7"/>
      <c r="AZ377" s="7"/>
      <c r="BA377" s="7"/>
      <c r="BB377" s="7"/>
      <c r="BC377" s="7"/>
      <c r="BD377" s="7"/>
      <c r="BE377" s="7"/>
      <c r="BF377" s="7"/>
      <c r="BG377" s="7"/>
    </row>
    <row r="378">
      <c r="A378" s="39"/>
      <c r="B378" s="39"/>
      <c r="C378" s="7"/>
      <c r="D378" s="53"/>
      <c r="E378" s="7"/>
      <c r="F378" s="53"/>
      <c r="G378" s="16"/>
      <c r="H378" s="81"/>
      <c r="J378" s="39"/>
      <c r="K378" s="53"/>
      <c r="L378" s="90"/>
      <c r="M378" s="39"/>
      <c r="N378" s="327"/>
      <c r="O378" s="322"/>
      <c r="P378" s="82"/>
      <c r="Q378" s="82"/>
      <c r="R378" s="82"/>
      <c r="S378" s="81"/>
      <c r="T378" s="16"/>
      <c r="U378" s="39"/>
      <c r="V378" s="7"/>
      <c r="W378" s="7"/>
      <c r="X378" s="93"/>
      <c r="Y378" s="131"/>
      <c r="Z378" s="131"/>
      <c r="AA378" s="131"/>
      <c r="AB378" s="131"/>
      <c r="AC378" s="131"/>
      <c r="AD378" s="323"/>
      <c r="AE378" s="131"/>
      <c r="AF378" s="90"/>
      <c r="AG378" s="104"/>
      <c r="AH378" s="39"/>
      <c r="AI378" s="87"/>
      <c r="AJ378" s="81"/>
      <c r="AK378" s="90"/>
      <c r="AL378" s="81"/>
      <c r="AM378" s="39"/>
      <c r="AN378" s="7"/>
      <c r="AO378" s="82"/>
      <c r="AP378" s="82"/>
      <c r="AQ378" s="7"/>
      <c r="AR378" s="7"/>
      <c r="AS378" s="82"/>
      <c r="AT378" s="82"/>
      <c r="AU378" s="82"/>
      <c r="AV378" s="82"/>
      <c r="AW378" s="7"/>
      <c r="AX378" s="82"/>
      <c r="AY378" s="7"/>
      <c r="AZ378" s="7"/>
      <c r="BA378" s="7"/>
      <c r="BB378" s="7"/>
      <c r="BC378" s="7"/>
      <c r="BD378" s="7"/>
      <c r="BE378" s="7"/>
      <c r="BF378" s="7"/>
      <c r="BG378" s="7"/>
    </row>
    <row r="379">
      <c r="A379" s="39"/>
      <c r="B379" s="39"/>
      <c r="C379" s="7"/>
      <c r="D379" s="53"/>
      <c r="E379" s="7"/>
      <c r="F379" s="53"/>
      <c r="G379" s="16"/>
      <c r="H379" s="16"/>
      <c r="J379" s="39"/>
      <c r="K379" s="53"/>
      <c r="L379" s="90"/>
      <c r="M379" s="39"/>
      <c r="N379" s="327"/>
      <c r="O379" s="367"/>
      <c r="P379" s="7"/>
      <c r="Q379" s="7"/>
      <c r="R379" s="352"/>
      <c r="S379" s="16"/>
      <c r="T379" s="16"/>
      <c r="U379" s="39"/>
      <c r="V379" s="7"/>
      <c r="W379" s="7"/>
      <c r="X379" s="93"/>
      <c r="Y379" s="131"/>
      <c r="Z379" s="131"/>
      <c r="AA379" s="131"/>
      <c r="AB379" s="85"/>
      <c r="AC379" s="85"/>
      <c r="AD379" s="325"/>
      <c r="AE379" s="85"/>
      <c r="AF379" s="90"/>
      <c r="AG379" s="104"/>
      <c r="AH379" s="39"/>
      <c r="AI379" s="87"/>
      <c r="AJ379" s="81"/>
      <c r="AK379" s="90"/>
      <c r="AL379" s="81"/>
      <c r="AM379" s="39"/>
      <c r="AN379" s="7"/>
      <c r="AO379" s="82"/>
      <c r="AP379" s="82"/>
      <c r="AQ379" s="7"/>
      <c r="AR379" s="7"/>
      <c r="AS379" s="82"/>
      <c r="AT379" s="7"/>
      <c r="AU379" s="82"/>
      <c r="AV379" s="7"/>
      <c r="AW379" s="7"/>
      <c r="AX379" s="82"/>
      <c r="AY379" s="7"/>
      <c r="AZ379" s="7"/>
      <c r="BA379" s="7"/>
      <c r="BB379" s="7"/>
      <c r="BC379" s="7"/>
      <c r="BD379" s="7"/>
      <c r="BE379" s="7"/>
      <c r="BF379" s="7"/>
      <c r="BG379" s="7"/>
    </row>
    <row r="380">
      <c r="A380" s="39"/>
      <c r="B380" s="39"/>
      <c r="C380" s="7"/>
      <c r="D380" s="53"/>
      <c r="E380" s="7"/>
      <c r="F380" s="53"/>
      <c r="G380" s="16"/>
      <c r="H380" s="16"/>
      <c r="J380" s="39"/>
      <c r="K380" s="53"/>
      <c r="L380" s="90"/>
      <c r="M380" s="39"/>
      <c r="N380" s="327"/>
      <c r="O380" s="367"/>
      <c r="P380" s="82"/>
      <c r="Q380" s="82"/>
      <c r="R380" s="82"/>
      <c r="S380" s="16"/>
      <c r="T380" s="16"/>
      <c r="U380" s="39"/>
      <c r="V380" s="7"/>
      <c r="W380" s="7"/>
      <c r="X380" s="93"/>
      <c r="Y380" s="131"/>
      <c r="Z380" s="131"/>
      <c r="AA380" s="131"/>
      <c r="AB380" s="85"/>
      <c r="AC380" s="85"/>
      <c r="AD380" s="325"/>
      <c r="AE380" s="85"/>
      <c r="AF380" s="90"/>
      <c r="AG380" s="104"/>
      <c r="AH380" s="39"/>
      <c r="AI380" s="87"/>
      <c r="AJ380" s="81"/>
      <c r="AK380" s="90"/>
      <c r="AL380" s="81"/>
      <c r="AM380" s="39"/>
      <c r="AN380" s="7"/>
      <c r="AO380" s="82"/>
      <c r="AP380" s="82"/>
      <c r="AQ380" s="7"/>
      <c r="AR380" s="82"/>
      <c r="AS380" s="82"/>
      <c r="AT380" s="82"/>
      <c r="AU380" s="82"/>
      <c r="AV380" s="82"/>
      <c r="AW380" s="7"/>
      <c r="AX380" s="82"/>
      <c r="AY380" s="7"/>
      <c r="AZ380" s="7"/>
      <c r="BA380" s="7"/>
      <c r="BB380" s="7"/>
      <c r="BC380" s="7"/>
      <c r="BD380" s="7"/>
      <c r="BE380" s="7"/>
      <c r="BF380" s="7"/>
      <c r="BG380" s="7"/>
    </row>
    <row r="381">
      <c r="A381" s="39"/>
      <c r="B381" s="39"/>
      <c r="C381" s="7"/>
      <c r="D381" s="53"/>
      <c r="E381" s="7"/>
      <c r="F381" s="53"/>
      <c r="G381" s="16"/>
      <c r="H381" s="16"/>
      <c r="J381" s="39"/>
      <c r="K381" s="53"/>
      <c r="L381" s="90"/>
      <c r="M381" s="39"/>
      <c r="N381" s="327"/>
      <c r="O381" s="367"/>
      <c r="P381" s="82"/>
      <c r="Q381" s="82"/>
      <c r="R381" s="82"/>
      <c r="S381" s="16"/>
      <c r="T381" s="16"/>
      <c r="U381" s="39"/>
      <c r="V381" s="7"/>
      <c r="W381" s="7"/>
      <c r="X381" s="93"/>
      <c r="Y381" s="131"/>
      <c r="Z381" s="131"/>
      <c r="AA381" s="131"/>
      <c r="AB381" s="85"/>
      <c r="AC381" s="85"/>
      <c r="AD381" s="325"/>
      <c r="AE381" s="85"/>
      <c r="AF381" s="90"/>
      <c r="AG381" s="104"/>
      <c r="AH381" s="39"/>
      <c r="AI381" s="87"/>
      <c r="AJ381" s="81"/>
      <c r="AK381" s="90"/>
      <c r="AL381" s="81"/>
      <c r="AM381" s="39"/>
      <c r="AN381" s="7"/>
      <c r="AO381" s="82"/>
      <c r="AP381" s="82"/>
      <c r="AQ381" s="7"/>
      <c r="AR381" s="82"/>
      <c r="AS381" s="82"/>
      <c r="AT381" s="82"/>
      <c r="AU381" s="82"/>
      <c r="AV381" s="82"/>
      <c r="AW381" s="7"/>
      <c r="AX381" s="82"/>
      <c r="AY381" s="7"/>
      <c r="AZ381" s="7"/>
      <c r="BA381" s="7"/>
      <c r="BB381" s="7"/>
      <c r="BC381" s="7"/>
      <c r="BD381" s="7"/>
      <c r="BE381" s="7"/>
      <c r="BF381" s="7"/>
      <c r="BG381" s="7"/>
    </row>
    <row r="382">
      <c r="A382" s="39"/>
      <c r="B382" s="39"/>
      <c r="C382" s="7"/>
      <c r="D382" s="53"/>
      <c r="E382" s="7"/>
      <c r="F382" s="53"/>
      <c r="G382" s="16"/>
      <c r="H382" s="16"/>
      <c r="J382" s="39"/>
      <c r="K382" s="53"/>
      <c r="L382" s="90"/>
      <c r="M382" s="39"/>
      <c r="N382" s="327"/>
      <c r="O382" s="367"/>
      <c r="P382" s="82"/>
      <c r="Q382" s="82"/>
      <c r="R382" s="82"/>
      <c r="S382" s="16"/>
      <c r="T382" s="16"/>
      <c r="U382" s="39"/>
      <c r="V382" s="7"/>
      <c r="W382" s="7"/>
      <c r="X382" s="93"/>
      <c r="Y382" s="131"/>
      <c r="Z382" s="131"/>
      <c r="AA382" s="131"/>
      <c r="AB382" s="85"/>
      <c r="AC382" s="85"/>
      <c r="AD382" s="325"/>
      <c r="AE382" s="85"/>
      <c r="AF382" s="90"/>
      <c r="AG382" s="104"/>
      <c r="AH382" s="39"/>
      <c r="AI382" s="87"/>
      <c r="AJ382" s="81"/>
      <c r="AK382" s="90"/>
      <c r="AL382" s="81"/>
      <c r="AM382" s="39"/>
      <c r="AN382" s="7"/>
      <c r="AO382" s="82"/>
      <c r="AP382" s="82"/>
      <c r="AQ382" s="7"/>
      <c r="AR382" s="82"/>
      <c r="AS382" s="82"/>
      <c r="AT382" s="82"/>
      <c r="AU382" s="82"/>
      <c r="AV382" s="82"/>
      <c r="AW382" s="7"/>
      <c r="AX382" s="82"/>
      <c r="AY382" s="7"/>
      <c r="AZ382" s="7"/>
      <c r="BA382" s="7"/>
      <c r="BB382" s="7"/>
      <c r="BC382" s="7"/>
      <c r="BD382" s="7"/>
      <c r="BE382" s="7"/>
      <c r="BF382" s="7"/>
      <c r="BG382" s="7"/>
    </row>
    <row r="383">
      <c r="A383" s="39"/>
      <c r="B383" s="39"/>
      <c r="C383" s="7"/>
      <c r="D383" s="53"/>
      <c r="E383" s="7"/>
      <c r="F383" s="53"/>
      <c r="G383" s="16"/>
      <c r="H383" s="16"/>
      <c r="J383" s="39"/>
      <c r="K383" s="53"/>
      <c r="L383" s="90"/>
      <c r="M383" s="39"/>
      <c r="N383" s="327"/>
      <c r="O383" s="367"/>
      <c r="P383" s="82"/>
      <c r="Q383" s="82"/>
      <c r="R383" s="82"/>
      <c r="S383" s="16"/>
      <c r="T383" s="16"/>
      <c r="U383" s="39"/>
      <c r="V383" s="7"/>
      <c r="W383" s="7"/>
      <c r="X383" s="93"/>
      <c r="Y383" s="131"/>
      <c r="Z383" s="131"/>
      <c r="AA383" s="131"/>
      <c r="AB383" s="85"/>
      <c r="AC383" s="85"/>
      <c r="AD383" s="325"/>
      <c r="AE383" s="85"/>
      <c r="AF383" s="90"/>
      <c r="AG383" s="104"/>
      <c r="AH383" s="39"/>
      <c r="AI383" s="87"/>
      <c r="AJ383" s="81"/>
      <c r="AK383" s="90"/>
      <c r="AL383" s="81"/>
      <c r="AM383" s="39"/>
      <c r="AN383" s="7"/>
      <c r="AO383" s="82"/>
      <c r="AP383" s="82"/>
      <c r="AQ383" s="122"/>
      <c r="AR383" s="82"/>
      <c r="AS383" s="82"/>
      <c r="AT383" s="82"/>
      <c r="AU383" s="82"/>
      <c r="AV383" s="82"/>
      <c r="AW383" s="7"/>
      <c r="AX383" s="82"/>
      <c r="AY383" s="7"/>
      <c r="AZ383" s="7"/>
      <c r="BA383" s="7"/>
      <c r="BB383" s="7"/>
      <c r="BC383" s="7"/>
      <c r="BD383" s="7"/>
      <c r="BE383" s="7"/>
      <c r="BF383" s="7"/>
      <c r="BG383" s="7"/>
    </row>
    <row r="384">
      <c r="A384" s="39"/>
      <c r="B384" s="39"/>
      <c r="C384" s="7"/>
      <c r="D384" s="53"/>
      <c r="E384" s="7"/>
      <c r="F384" s="53"/>
      <c r="G384" s="16"/>
      <c r="H384" s="16"/>
      <c r="J384" s="39"/>
      <c r="K384" s="53"/>
      <c r="L384" s="90"/>
      <c r="M384" s="39"/>
      <c r="N384" s="327"/>
      <c r="O384" s="367"/>
      <c r="P384" s="82"/>
      <c r="Q384" s="82"/>
      <c r="R384" s="82"/>
      <c r="S384" s="16"/>
      <c r="T384" s="16"/>
      <c r="U384" s="39"/>
      <c r="V384" s="7"/>
      <c r="W384" s="7"/>
      <c r="X384" s="93"/>
      <c r="Y384" s="131"/>
      <c r="Z384" s="131"/>
      <c r="AA384" s="131"/>
      <c r="AB384" s="85"/>
      <c r="AC384" s="85"/>
      <c r="AD384" s="325"/>
      <c r="AE384" s="85"/>
      <c r="AF384" s="90"/>
      <c r="AG384" s="104"/>
      <c r="AH384" s="39"/>
      <c r="AI384" s="87"/>
      <c r="AJ384" s="81"/>
      <c r="AK384" s="90"/>
      <c r="AL384" s="81"/>
      <c r="AM384" s="39"/>
      <c r="AN384" s="7"/>
      <c r="AO384" s="82"/>
      <c r="AP384" s="82"/>
      <c r="AQ384" s="122"/>
      <c r="AR384" s="82"/>
      <c r="AS384" s="82"/>
      <c r="AT384" s="82"/>
      <c r="AU384" s="82"/>
      <c r="AV384" s="82"/>
      <c r="AW384" s="7"/>
      <c r="AX384" s="82"/>
      <c r="AY384" s="7"/>
      <c r="AZ384" s="7"/>
      <c r="BA384" s="7"/>
      <c r="BB384" s="7"/>
      <c r="BC384" s="7"/>
      <c r="BD384" s="7"/>
      <c r="BE384" s="7"/>
      <c r="BF384" s="7"/>
      <c r="BG384" s="7"/>
    </row>
    <row r="385">
      <c r="A385" s="39"/>
      <c r="B385" s="39"/>
      <c r="C385" s="7"/>
      <c r="D385" s="53"/>
      <c r="E385" s="7"/>
      <c r="F385" s="53"/>
      <c r="G385" s="16"/>
      <c r="H385" s="16"/>
      <c r="J385" s="39"/>
      <c r="K385" s="53"/>
      <c r="L385" s="90"/>
      <c r="M385" s="39"/>
      <c r="N385" s="321"/>
      <c r="O385" s="367"/>
      <c r="P385" s="82"/>
      <c r="Q385" s="82"/>
      <c r="R385" s="82"/>
      <c r="S385" s="16"/>
      <c r="T385" s="16"/>
      <c r="U385" s="39"/>
      <c r="V385" s="7"/>
      <c r="W385" s="7"/>
      <c r="X385" s="93"/>
      <c r="Y385" s="131"/>
      <c r="Z385" s="131"/>
      <c r="AA385" s="131"/>
      <c r="AB385" s="85"/>
      <c r="AC385" s="85"/>
      <c r="AD385" s="325"/>
      <c r="AE385" s="85"/>
      <c r="AF385" s="90"/>
      <c r="AG385" s="104"/>
      <c r="AH385" s="39"/>
      <c r="AI385" s="87"/>
      <c r="AJ385" s="81"/>
      <c r="AK385" s="90"/>
      <c r="AL385" s="81"/>
      <c r="AM385" s="39"/>
      <c r="AN385" s="7"/>
      <c r="AO385" s="82"/>
      <c r="AP385" s="82"/>
      <c r="AQ385" s="122"/>
      <c r="AR385" s="82"/>
      <c r="AS385" s="82"/>
      <c r="AT385" s="82"/>
      <c r="AU385" s="82"/>
      <c r="AV385" s="82"/>
      <c r="AW385" s="7"/>
      <c r="AX385" s="82"/>
      <c r="AY385" s="7"/>
      <c r="AZ385" s="7"/>
      <c r="BA385" s="7"/>
      <c r="BB385" s="7"/>
      <c r="BC385" s="7"/>
      <c r="BD385" s="7"/>
      <c r="BE385" s="7"/>
      <c r="BF385" s="7"/>
      <c r="BG385" s="7"/>
    </row>
    <row r="386">
      <c r="A386" s="39"/>
      <c r="B386" s="39"/>
      <c r="C386" s="7"/>
      <c r="D386" s="53"/>
      <c r="E386" s="7"/>
      <c r="F386" s="53"/>
      <c r="G386" s="16"/>
      <c r="H386" s="16"/>
      <c r="J386" s="39"/>
      <c r="K386" s="53"/>
      <c r="L386" s="90"/>
      <c r="M386" s="39"/>
      <c r="N386" s="327"/>
      <c r="O386" s="367"/>
      <c r="P386" s="82"/>
      <c r="Q386" s="82"/>
      <c r="R386" s="82"/>
      <c r="S386" s="16"/>
      <c r="T386" s="16"/>
      <c r="U386" s="39"/>
      <c r="V386" s="7"/>
      <c r="W386" s="7"/>
      <c r="X386" s="93"/>
      <c r="Y386" s="131"/>
      <c r="Z386" s="131"/>
      <c r="AA386" s="131"/>
      <c r="AB386" s="85"/>
      <c r="AC386" s="85"/>
      <c r="AD386" s="325"/>
      <c r="AE386" s="85"/>
      <c r="AF386" s="90"/>
      <c r="AG386" s="104"/>
      <c r="AH386" s="39"/>
      <c r="AI386" s="87"/>
      <c r="AJ386" s="81"/>
      <c r="AK386" s="90"/>
      <c r="AL386" s="81"/>
      <c r="AM386" s="39"/>
      <c r="AN386" s="7"/>
      <c r="AO386" s="82"/>
      <c r="AP386" s="82"/>
      <c r="AQ386" s="82"/>
      <c r="AR386" s="82"/>
      <c r="AS386" s="82"/>
      <c r="AT386" s="82"/>
      <c r="AU386" s="82"/>
      <c r="AV386" s="82"/>
      <c r="AW386" s="7"/>
      <c r="AX386" s="82"/>
      <c r="AY386" s="7"/>
      <c r="AZ386" s="7"/>
      <c r="BA386" s="7"/>
      <c r="BB386" s="7"/>
      <c r="BC386" s="7"/>
      <c r="BD386" s="7"/>
      <c r="BE386" s="7"/>
      <c r="BF386" s="7"/>
      <c r="BG386" s="7"/>
    </row>
    <row r="387">
      <c r="A387" s="39"/>
      <c r="B387" s="39"/>
      <c r="C387" s="7"/>
      <c r="D387" s="53"/>
      <c r="E387" s="7"/>
      <c r="F387" s="53"/>
      <c r="G387" s="16"/>
      <c r="H387" s="16"/>
      <c r="J387" s="39"/>
      <c r="K387" s="53"/>
      <c r="L387" s="90"/>
      <c r="M387" s="39"/>
      <c r="N387" s="327"/>
      <c r="O387" s="368"/>
      <c r="P387" s="7"/>
      <c r="Q387" s="7"/>
      <c r="R387" s="352"/>
      <c r="S387" s="16"/>
      <c r="T387" s="16"/>
      <c r="U387" s="39"/>
      <c r="V387" s="7"/>
      <c r="W387" s="7"/>
      <c r="X387" s="93"/>
      <c r="Y387" s="131"/>
      <c r="Z387" s="131"/>
      <c r="AA387" s="131"/>
      <c r="AB387" s="85"/>
      <c r="AC387" s="85"/>
      <c r="AD387" s="325"/>
      <c r="AE387" s="85"/>
      <c r="AF387" s="90"/>
      <c r="AG387" s="104"/>
      <c r="AH387" s="39"/>
      <c r="AI387" s="87"/>
      <c r="AJ387" s="81"/>
      <c r="AK387" s="90"/>
      <c r="AL387" s="81"/>
      <c r="AM387" s="39"/>
      <c r="AN387" s="7"/>
      <c r="AO387" s="82"/>
      <c r="AP387" s="82"/>
      <c r="AQ387" s="82"/>
      <c r="AR387" s="82"/>
      <c r="AS387" s="82"/>
      <c r="AT387" s="82"/>
      <c r="AU387" s="82"/>
      <c r="AV387" s="7"/>
      <c r="AW387" s="7"/>
      <c r="AX387" s="82"/>
      <c r="AY387" s="7"/>
      <c r="AZ387" s="7"/>
      <c r="BA387" s="7"/>
      <c r="BB387" s="7"/>
      <c r="BC387" s="7"/>
      <c r="BD387" s="7"/>
      <c r="BE387" s="7"/>
      <c r="BF387" s="7"/>
      <c r="BG387" s="7"/>
    </row>
    <row r="388">
      <c r="A388" s="39"/>
      <c r="B388" s="39"/>
      <c r="C388" s="7"/>
      <c r="D388" s="53"/>
      <c r="E388" s="7"/>
      <c r="F388" s="53"/>
      <c r="G388" s="16"/>
      <c r="H388" s="81"/>
      <c r="J388" s="39"/>
      <c r="K388" s="53"/>
      <c r="L388" s="90"/>
      <c r="M388" s="39"/>
      <c r="N388" s="327"/>
      <c r="O388" s="367"/>
      <c r="P388" s="82"/>
      <c r="Q388" s="82"/>
      <c r="R388" s="82"/>
      <c r="S388" s="16"/>
      <c r="T388" s="16"/>
      <c r="U388" s="39"/>
      <c r="V388" s="7"/>
      <c r="W388" s="7"/>
      <c r="X388" s="93"/>
      <c r="Y388" s="131"/>
      <c r="Z388" s="131"/>
      <c r="AA388" s="131"/>
      <c r="AB388" s="131"/>
      <c r="AC388" s="85"/>
      <c r="AD388" s="325"/>
      <c r="AE388" s="85"/>
      <c r="AF388" s="90"/>
      <c r="AG388" s="104"/>
      <c r="AH388" s="39"/>
      <c r="AI388" s="87"/>
      <c r="AJ388" s="81"/>
      <c r="AK388" s="90"/>
      <c r="AL388" s="81"/>
      <c r="AM388" s="39"/>
      <c r="AN388" s="7"/>
      <c r="AO388" s="82"/>
      <c r="AP388" s="82"/>
      <c r="AQ388" s="82"/>
      <c r="AR388" s="82"/>
      <c r="AS388" s="82"/>
      <c r="AT388" s="82"/>
      <c r="AU388" s="82"/>
      <c r="AV388" s="82"/>
      <c r="AW388" s="7"/>
      <c r="AX388" s="82"/>
      <c r="AY388" s="7"/>
      <c r="AZ388" s="7"/>
      <c r="BA388" s="7"/>
      <c r="BB388" s="7"/>
      <c r="BC388" s="7"/>
      <c r="BD388" s="7"/>
      <c r="BE388" s="7"/>
      <c r="BF388" s="7"/>
      <c r="BG388" s="7"/>
    </row>
    <row r="389">
      <c r="A389" s="39"/>
      <c r="B389" s="39"/>
      <c r="C389" s="7"/>
      <c r="D389" s="53"/>
      <c r="E389" s="7"/>
      <c r="F389" s="53"/>
      <c r="G389" s="16"/>
      <c r="H389" s="16"/>
      <c r="J389" s="39"/>
      <c r="K389" s="53"/>
      <c r="L389" s="90"/>
      <c r="M389" s="39"/>
      <c r="N389" s="327"/>
      <c r="O389" s="368"/>
      <c r="P389" s="82"/>
      <c r="Q389" s="82"/>
      <c r="R389" s="82"/>
      <c r="S389" s="16"/>
      <c r="T389" s="16"/>
      <c r="U389" s="39"/>
      <c r="V389" s="7"/>
      <c r="W389" s="7"/>
      <c r="X389" s="93"/>
      <c r="Y389" s="131"/>
      <c r="Z389" s="131"/>
      <c r="AA389" s="131"/>
      <c r="AB389" s="85"/>
      <c r="AC389" s="85"/>
      <c r="AD389" s="323"/>
      <c r="AE389" s="131"/>
      <c r="AF389" s="90"/>
      <c r="AG389" s="104"/>
      <c r="AH389" s="39"/>
      <c r="AI389" s="87"/>
      <c r="AJ389" s="81"/>
      <c r="AK389" s="90"/>
      <c r="AL389" s="81"/>
      <c r="AM389" s="39"/>
      <c r="AN389" s="7"/>
      <c r="AO389" s="82"/>
      <c r="AP389" s="82"/>
      <c r="AQ389" s="82"/>
      <c r="AR389" s="82"/>
      <c r="AS389" s="82"/>
      <c r="AT389" s="82"/>
      <c r="AU389" s="82"/>
      <c r="AV389" s="82"/>
      <c r="AW389" s="7"/>
      <c r="AX389" s="82"/>
      <c r="AY389" s="7"/>
      <c r="AZ389" s="7"/>
      <c r="BA389" s="7"/>
      <c r="BB389" s="7"/>
      <c r="BC389" s="7"/>
      <c r="BD389" s="7"/>
      <c r="BE389" s="7"/>
      <c r="BF389" s="7"/>
      <c r="BG389" s="7"/>
    </row>
    <row r="390">
      <c r="A390" s="39"/>
      <c r="B390" s="39"/>
      <c r="C390" s="7"/>
      <c r="D390" s="53"/>
      <c r="E390" s="7"/>
      <c r="F390" s="53"/>
      <c r="G390" s="16"/>
      <c r="H390" s="16"/>
      <c r="J390" s="39"/>
      <c r="K390" s="53"/>
      <c r="L390" s="90"/>
      <c r="M390" s="39"/>
      <c r="N390" s="327"/>
      <c r="O390" s="367"/>
      <c r="P390" s="82"/>
      <c r="Q390" s="82"/>
      <c r="R390" s="82"/>
      <c r="S390" s="16"/>
      <c r="T390" s="16"/>
      <c r="U390" s="39"/>
      <c r="V390" s="7"/>
      <c r="W390" s="7"/>
      <c r="X390" s="93"/>
      <c r="Y390" s="131"/>
      <c r="Z390" s="131"/>
      <c r="AA390" s="131"/>
      <c r="AB390" s="85"/>
      <c r="AC390" s="85"/>
      <c r="AD390" s="325"/>
      <c r="AE390" s="85"/>
      <c r="AF390" s="90"/>
      <c r="AG390" s="104"/>
      <c r="AH390" s="39"/>
      <c r="AI390" s="87"/>
      <c r="AJ390" s="81"/>
      <c r="AK390" s="90"/>
      <c r="AL390" s="81"/>
      <c r="AM390" s="39"/>
      <c r="AN390" s="7"/>
      <c r="AO390" s="82"/>
      <c r="AP390" s="82"/>
      <c r="AQ390" s="82"/>
      <c r="AR390" s="82"/>
      <c r="AS390" s="82"/>
      <c r="AT390" s="82"/>
      <c r="AU390" s="82"/>
      <c r="AV390" s="82"/>
      <c r="AW390" s="7"/>
      <c r="AX390" s="82"/>
      <c r="AY390" s="7"/>
      <c r="AZ390" s="7"/>
      <c r="BA390" s="7"/>
      <c r="BB390" s="7"/>
      <c r="BC390" s="7"/>
      <c r="BD390" s="7"/>
      <c r="BE390" s="7"/>
      <c r="BF390" s="7"/>
      <c r="BG390" s="7"/>
    </row>
    <row r="391">
      <c r="A391" s="39"/>
      <c r="B391" s="39"/>
      <c r="C391" s="7"/>
      <c r="D391" s="53"/>
      <c r="E391" s="7"/>
      <c r="F391" s="53"/>
      <c r="G391" s="16"/>
      <c r="H391" s="16"/>
      <c r="J391" s="39"/>
      <c r="K391" s="53"/>
      <c r="L391" s="90"/>
      <c r="M391" s="39"/>
      <c r="N391" s="327"/>
      <c r="O391" s="367"/>
      <c r="P391" s="82"/>
      <c r="Q391" s="82"/>
      <c r="R391" s="82"/>
      <c r="S391" s="16"/>
      <c r="T391" s="16"/>
      <c r="U391" s="39"/>
      <c r="V391" s="7"/>
      <c r="W391" s="7"/>
      <c r="X391" s="93"/>
      <c r="Y391" s="131"/>
      <c r="Z391" s="131"/>
      <c r="AA391" s="131"/>
      <c r="AB391" s="85"/>
      <c r="AC391" s="85"/>
      <c r="AD391" s="325"/>
      <c r="AE391" s="85"/>
      <c r="AF391" s="90"/>
      <c r="AG391" s="104"/>
      <c r="AH391" s="39"/>
      <c r="AI391" s="87"/>
      <c r="AJ391" s="81"/>
      <c r="AK391" s="90"/>
      <c r="AL391" s="81"/>
      <c r="AM391" s="39"/>
      <c r="AN391" s="7"/>
      <c r="AO391" s="82"/>
      <c r="AP391" s="82"/>
      <c r="AQ391" s="82"/>
      <c r="AR391" s="82"/>
      <c r="AS391" s="82"/>
      <c r="AT391" s="82"/>
      <c r="AU391" s="82"/>
      <c r="AV391" s="82"/>
      <c r="AW391" s="7"/>
      <c r="AX391" s="82"/>
      <c r="AY391" s="7"/>
      <c r="AZ391" s="7"/>
      <c r="BA391" s="7"/>
      <c r="BB391" s="7"/>
      <c r="BC391" s="7"/>
      <c r="BD391" s="7"/>
      <c r="BE391" s="7"/>
      <c r="BF391" s="7"/>
      <c r="BG391" s="7"/>
    </row>
    <row r="392">
      <c r="A392" s="39"/>
      <c r="B392" s="39"/>
      <c r="C392" s="7"/>
      <c r="D392" s="53"/>
      <c r="E392" s="7"/>
      <c r="F392" s="53"/>
      <c r="G392" s="16"/>
      <c r="H392" s="16"/>
      <c r="J392" s="39"/>
      <c r="K392" s="53"/>
      <c r="L392" s="90"/>
      <c r="M392" s="39"/>
      <c r="N392" s="327"/>
      <c r="O392" s="367"/>
      <c r="P392" s="82"/>
      <c r="Q392" s="82"/>
      <c r="R392" s="82"/>
      <c r="S392" s="16"/>
      <c r="T392" s="16"/>
      <c r="U392" s="39"/>
      <c r="V392" s="7"/>
      <c r="W392" s="7"/>
      <c r="X392" s="93"/>
      <c r="Y392" s="131"/>
      <c r="Z392" s="131"/>
      <c r="AA392" s="131"/>
      <c r="AB392" s="85"/>
      <c r="AC392" s="85"/>
      <c r="AD392" s="325"/>
      <c r="AE392" s="85"/>
      <c r="AF392" s="90"/>
      <c r="AG392" s="104"/>
      <c r="AH392" s="39"/>
      <c r="AI392" s="87"/>
      <c r="AJ392" s="81"/>
      <c r="AK392" s="90"/>
      <c r="AL392" s="81"/>
      <c r="AM392" s="39"/>
      <c r="AN392" s="7"/>
      <c r="AO392" s="82"/>
      <c r="AP392" s="82"/>
      <c r="AQ392" s="82"/>
      <c r="AR392" s="82"/>
      <c r="AS392" s="82"/>
      <c r="AT392" s="82"/>
      <c r="AU392" s="82"/>
      <c r="AV392" s="82"/>
      <c r="AW392" s="7"/>
      <c r="AX392" s="82"/>
      <c r="AY392" s="7"/>
      <c r="AZ392" s="7"/>
      <c r="BA392" s="7"/>
      <c r="BB392" s="7"/>
      <c r="BC392" s="7"/>
      <c r="BD392" s="7"/>
      <c r="BE392" s="7"/>
      <c r="BF392" s="7"/>
      <c r="BG392" s="7"/>
    </row>
    <row r="393">
      <c r="A393" s="39"/>
      <c r="B393" s="39"/>
      <c r="C393" s="7"/>
      <c r="D393" s="53"/>
      <c r="E393" s="7"/>
      <c r="F393" s="53"/>
      <c r="G393" s="16"/>
      <c r="H393" s="16"/>
      <c r="J393" s="39"/>
      <c r="K393" s="53"/>
      <c r="L393" s="90"/>
      <c r="M393" s="39"/>
      <c r="N393" s="327"/>
      <c r="O393" s="367"/>
      <c r="P393" s="82"/>
      <c r="Q393" s="82"/>
      <c r="R393" s="82"/>
      <c r="S393" s="16"/>
      <c r="T393" s="16"/>
      <c r="U393" s="39"/>
      <c r="V393" s="7"/>
      <c r="W393" s="7"/>
      <c r="X393" s="93"/>
      <c r="Y393" s="131"/>
      <c r="Z393" s="131"/>
      <c r="AA393" s="131"/>
      <c r="AB393" s="85"/>
      <c r="AC393" s="85"/>
      <c r="AD393" s="325"/>
      <c r="AE393" s="85"/>
      <c r="AF393" s="90"/>
      <c r="AG393" s="104"/>
      <c r="AH393" s="39"/>
      <c r="AI393" s="87"/>
      <c r="AJ393" s="81"/>
      <c r="AK393" s="90"/>
      <c r="AL393" s="81"/>
      <c r="AM393" s="39"/>
      <c r="AN393" s="7"/>
      <c r="AO393" s="82"/>
      <c r="AP393" s="82"/>
      <c r="AQ393" s="82"/>
      <c r="AR393" s="82"/>
      <c r="AS393" s="82"/>
      <c r="AT393" s="82"/>
      <c r="AU393" s="82"/>
      <c r="AV393" s="82"/>
      <c r="AW393" s="7"/>
      <c r="AX393" s="82"/>
      <c r="AY393" s="7"/>
      <c r="AZ393" s="7"/>
      <c r="BA393" s="7"/>
      <c r="BB393" s="7"/>
      <c r="BC393" s="7"/>
      <c r="BD393" s="7"/>
      <c r="BE393" s="7"/>
      <c r="BF393" s="7"/>
      <c r="BG393" s="7"/>
    </row>
    <row r="394">
      <c r="A394" s="39"/>
      <c r="B394" s="39"/>
      <c r="C394" s="7"/>
      <c r="D394" s="53"/>
      <c r="E394" s="7"/>
      <c r="F394" s="53"/>
      <c r="G394" s="16"/>
      <c r="H394" s="16"/>
      <c r="J394" s="39"/>
      <c r="K394" s="53"/>
      <c r="L394" s="90"/>
      <c r="M394" s="39"/>
      <c r="N394" s="327"/>
      <c r="O394" s="367"/>
      <c r="P394" s="82"/>
      <c r="Q394" s="82"/>
      <c r="R394" s="82"/>
      <c r="S394" s="16"/>
      <c r="T394" s="16"/>
      <c r="U394" s="39"/>
      <c r="V394" s="7"/>
      <c r="W394" s="7"/>
      <c r="X394" s="93"/>
      <c r="Y394" s="131"/>
      <c r="Z394" s="131"/>
      <c r="AA394" s="131"/>
      <c r="AB394" s="85"/>
      <c r="AC394" s="85"/>
      <c r="AD394" s="325"/>
      <c r="AE394" s="85"/>
      <c r="AF394" s="90"/>
      <c r="AG394" s="105"/>
      <c r="AH394" s="39"/>
      <c r="AI394" s="87"/>
      <c r="AJ394" s="81"/>
      <c r="AK394" s="90"/>
      <c r="AL394" s="81"/>
      <c r="AM394" s="39"/>
      <c r="AN394" s="7"/>
      <c r="AO394" s="82"/>
      <c r="AP394" s="82"/>
      <c r="AQ394" s="82"/>
      <c r="AR394" s="82"/>
      <c r="AS394" s="82"/>
      <c r="AT394" s="82"/>
      <c r="AU394" s="82"/>
      <c r="AV394" s="82"/>
      <c r="AW394" s="7"/>
      <c r="AX394" s="82"/>
      <c r="AY394" s="7"/>
      <c r="AZ394" s="7"/>
      <c r="BA394" s="7"/>
      <c r="BB394" s="7"/>
      <c r="BC394" s="7"/>
      <c r="BD394" s="7"/>
      <c r="BE394" s="7"/>
      <c r="BF394" s="7"/>
      <c r="BG394" s="7"/>
    </row>
    <row r="395">
      <c r="A395" s="39"/>
      <c r="B395" s="39"/>
      <c r="C395" s="7"/>
      <c r="D395" s="53"/>
      <c r="E395" s="7"/>
      <c r="F395" s="53"/>
      <c r="G395" s="16"/>
      <c r="H395" s="16"/>
      <c r="J395" s="39"/>
      <c r="K395" s="53"/>
      <c r="L395" s="90"/>
      <c r="M395" s="39"/>
      <c r="N395" s="327"/>
      <c r="O395" s="367"/>
      <c r="P395" s="82"/>
      <c r="Q395" s="82"/>
      <c r="R395" s="82"/>
      <c r="S395" s="16"/>
      <c r="T395" s="16"/>
      <c r="U395" s="39"/>
      <c r="V395" s="7"/>
      <c r="W395" s="7"/>
      <c r="X395" s="93"/>
      <c r="Y395" s="131"/>
      <c r="Z395" s="131"/>
      <c r="AA395" s="131"/>
      <c r="AB395" s="85"/>
      <c r="AC395" s="85"/>
      <c r="AD395" s="325"/>
      <c r="AE395" s="85"/>
      <c r="AF395" s="90"/>
      <c r="AG395" s="105"/>
      <c r="AH395" s="39"/>
      <c r="AI395" s="87"/>
      <c r="AJ395" s="81"/>
      <c r="AK395" s="90"/>
      <c r="AL395" s="81"/>
      <c r="AM395" s="39"/>
      <c r="AN395" s="7"/>
      <c r="AO395" s="82"/>
      <c r="AP395" s="82"/>
      <c r="AQ395" s="82"/>
      <c r="AR395" s="82"/>
      <c r="AS395" s="82"/>
      <c r="AT395" s="82"/>
      <c r="AU395" s="82"/>
      <c r="AV395" s="82"/>
      <c r="AW395" s="7"/>
      <c r="AX395" s="82"/>
      <c r="AY395" s="7"/>
      <c r="AZ395" s="7"/>
      <c r="BA395" s="7"/>
      <c r="BB395" s="7"/>
      <c r="BC395" s="7"/>
      <c r="BD395" s="7"/>
      <c r="BE395" s="7"/>
      <c r="BF395" s="7"/>
      <c r="BG395" s="7"/>
    </row>
    <row r="396">
      <c r="A396" s="39"/>
      <c r="B396" s="39"/>
      <c r="C396" s="7"/>
      <c r="D396" s="53"/>
      <c r="E396" s="7"/>
      <c r="F396" s="53"/>
      <c r="G396" s="16"/>
      <c r="H396" s="16"/>
      <c r="J396" s="39"/>
      <c r="K396" s="53"/>
      <c r="L396" s="90"/>
      <c r="M396" s="39"/>
      <c r="N396" s="327"/>
      <c r="O396" s="368"/>
      <c r="P396" s="7"/>
      <c r="Q396" s="7"/>
      <c r="R396" s="352"/>
      <c r="S396" s="81"/>
      <c r="T396" s="16"/>
      <c r="U396" s="39"/>
      <c r="V396" s="7"/>
      <c r="W396" s="7"/>
      <c r="X396" s="93"/>
      <c r="Y396" s="131"/>
      <c r="Z396" s="131"/>
      <c r="AA396" s="131"/>
      <c r="AB396" s="85"/>
      <c r="AC396" s="85"/>
      <c r="AD396" s="325"/>
      <c r="AE396" s="85"/>
      <c r="AF396" s="90"/>
      <c r="AG396" s="105"/>
      <c r="AH396" s="39"/>
      <c r="AI396" s="87"/>
      <c r="AJ396" s="81"/>
      <c r="AK396" s="90"/>
      <c r="AL396" s="81"/>
      <c r="AM396" s="39"/>
      <c r="AN396" s="7"/>
      <c r="AO396" s="82"/>
      <c r="AP396" s="82"/>
      <c r="AQ396" s="7"/>
      <c r="AR396" s="82"/>
      <c r="AS396" s="82"/>
      <c r="AT396" s="7"/>
      <c r="AU396" s="82"/>
      <c r="AV396" s="7"/>
      <c r="AW396" s="7"/>
      <c r="AX396" s="82"/>
      <c r="AY396" s="7"/>
      <c r="AZ396" s="7"/>
      <c r="BA396" s="7"/>
      <c r="BB396" s="7"/>
      <c r="BC396" s="7"/>
      <c r="BD396" s="7"/>
      <c r="BE396" s="7"/>
      <c r="BF396" s="7"/>
      <c r="BG396" s="7"/>
    </row>
    <row r="397">
      <c r="A397" s="39"/>
      <c r="B397" s="39"/>
      <c r="C397" s="7"/>
      <c r="D397" s="53"/>
      <c r="E397" s="7"/>
      <c r="F397" s="53"/>
      <c r="G397" s="16"/>
      <c r="H397" s="16"/>
      <c r="J397" s="39"/>
      <c r="K397" s="53"/>
      <c r="L397" s="90"/>
      <c r="M397" s="39"/>
      <c r="N397" s="327"/>
      <c r="O397" s="367"/>
      <c r="P397" s="82"/>
      <c r="Q397" s="82"/>
      <c r="R397" s="82"/>
      <c r="S397" s="81"/>
      <c r="T397" s="16"/>
      <c r="U397" s="39"/>
      <c r="V397" s="7"/>
      <c r="W397" s="7"/>
      <c r="X397" s="93"/>
      <c r="Y397" s="131"/>
      <c r="Z397" s="131"/>
      <c r="AA397" s="131"/>
      <c r="AB397" s="85"/>
      <c r="AC397" s="85"/>
      <c r="AD397" s="325"/>
      <c r="AE397" s="85"/>
      <c r="AF397" s="90"/>
      <c r="AG397" s="105"/>
      <c r="AH397" s="39"/>
      <c r="AI397" s="87"/>
      <c r="AJ397" s="81"/>
      <c r="AK397" s="90"/>
      <c r="AL397" s="81"/>
      <c r="AM397" s="39"/>
      <c r="AN397" s="7"/>
      <c r="AO397" s="82"/>
      <c r="AP397" s="82"/>
      <c r="AQ397" s="7"/>
      <c r="AR397" s="82"/>
      <c r="AS397" s="82"/>
      <c r="AT397" s="82"/>
      <c r="AU397" s="82"/>
      <c r="AV397" s="82"/>
      <c r="AW397" s="7"/>
      <c r="AX397" s="82"/>
      <c r="AY397" s="7"/>
      <c r="AZ397" s="7"/>
      <c r="BA397" s="7"/>
      <c r="BB397" s="7"/>
      <c r="BC397" s="7"/>
      <c r="BD397" s="7"/>
      <c r="BE397" s="7"/>
      <c r="BF397" s="7"/>
      <c r="BG397" s="7"/>
    </row>
    <row r="398">
      <c r="A398" s="39"/>
      <c r="B398" s="39"/>
      <c r="C398" s="7"/>
      <c r="D398" s="53"/>
      <c r="E398" s="7"/>
      <c r="F398" s="53"/>
      <c r="G398" s="16"/>
      <c r="H398" s="16"/>
      <c r="J398" s="39"/>
      <c r="K398" s="53"/>
      <c r="L398" s="90"/>
      <c r="M398" s="39"/>
      <c r="N398" s="327"/>
      <c r="O398" s="368"/>
      <c r="P398" s="7"/>
      <c r="Q398" s="7"/>
      <c r="R398" s="352"/>
      <c r="S398" s="81"/>
      <c r="T398" s="16"/>
      <c r="U398" s="39"/>
      <c r="V398" s="7"/>
      <c r="W398" s="7"/>
      <c r="X398" s="93"/>
      <c r="Y398" s="131"/>
      <c r="Z398" s="131"/>
      <c r="AA398" s="131"/>
      <c r="AB398" s="85"/>
      <c r="AC398" s="85"/>
      <c r="AD398" s="325"/>
      <c r="AE398" s="85"/>
      <c r="AF398" s="90"/>
      <c r="AG398" s="105"/>
      <c r="AH398" s="39"/>
      <c r="AI398" s="87"/>
      <c r="AJ398" s="81"/>
      <c r="AK398" s="90"/>
      <c r="AL398" s="81"/>
      <c r="AM398" s="39"/>
      <c r="AN398" s="7"/>
      <c r="AO398" s="82"/>
      <c r="AP398" s="82"/>
      <c r="AQ398" s="7"/>
      <c r="AR398" s="82"/>
      <c r="AS398" s="82"/>
      <c r="AT398" s="82"/>
      <c r="AU398" s="82"/>
      <c r="AV398" s="82"/>
      <c r="AW398" s="7"/>
      <c r="AX398" s="82"/>
      <c r="AY398" s="7"/>
      <c r="AZ398" s="7"/>
      <c r="BA398" s="7"/>
      <c r="BB398" s="7"/>
      <c r="BC398" s="7"/>
      <c r="BD398" s="7"/>
      <c r="BE398" s="7"/>
      <c r="BF398" s="7"/>
      <c r="BG398" s="7"/>
    </row>
    <row r="399">
      <c r="A399" s="39"/>
      <c r="B399" s="39"/>
      <c r="C399" s="7"/>
      <c r="D399" s="53"/>
      <c r="E399" s="7"/>
      <c r="F399" s="53"/>
      <c r="G399" s="16"/>
      <c r="H399" s="16"/>
      <c r="J399" s="39"/>
      <c r="K399" s="53"/>
      <c r="L399" s="90"/>
      <c r="M399" s="39"/>
      <c r="N399" s="327"/>
      <c r="O399" s="367"/>
      <c r="P399" s="82"/>
      <c r="Q399" s="82"/>
      <c r="R399" s="82"/>
      <c r="S399" s="81"/>
      <c r="T399" s="16"/>
      <c r="U399" s="39"/>
      <c r="V399" s="7"/>
      <c r="W399" s="7"/>
      <c r="X399" s="93"/>
      <c r="Y399" s="131"/>
      <c r="Z399" s="131"/>
      <c r="AA399" s="131"/>
      <c r="AB399" s="85"/>
      <c r="AC399" s="85"/>
      <c r="AD399" s="325"/>
      <c r="AE399" s="85"/>
      <c r="AF399" s="90"/>
      <c r="AG399" s="105"/>
      <c r="AH399" s="39"/>
      <c r="AI399" s="87"/>
      <c r="AJ399" s="81"/>
      <c r="AK399" s="90"/>
      <c r="AL399" s="81"/>
      <c r="AM399" s="39"/>
      <c r="AN399" s="7"/>
      <c r="AO399" s="82"/>
      <c r="AP399" s="82"/>
      <c r="AQ399" s="7"/>
      <c r="AR399" s="82"/>
      <c r="AS399" s="82"/>
      <c r="AT399" s="82"/>
      <c r="AU399" s="82"/>
      <c r="AV399" s="82"/>
      <c r="AW399" s="7"/>
      <c r="AX399" s="82"/>
      <c r="AY399" s="7"/>
      <c r="AZ399" s="7"/>
      <c r="BA399" s="7"/>
      <c r="BB399" s="7"/>
      <c r="BC399" s="7"/>
      <c r="BD399" s="7"/>
      <c r="BE399" s="7"/>
      <c r="BF399" s="7"/>
      <c r="BG399" s="7"/>
    </row>
    <row r="400">
      <c r="A400" s="39"/>
      <c r="B400" s="39"/>
      <c r="C400" s="7"/>
      <c r="D400" s="53"/>
      <c r="E400" s="7"/>
      <c r="F400" s="53"/>
      <c r="G400" s="16"/>
      <c r="H400" s="16"/>
      <c r="J400" s="39"/>
      <c r="K400" s="53"/>
      <c r="L400" s="90"/>
      <c r="M400" s="39"/>
      <c r="N400" s="327"/>
      <c r="O400" s="367"/>
      <c r="P400" s="82"/>
      <c r="Q400" s="82"/>
      <c r="R400" s="82"/>
      <c r="S400" s="81"/>
      <c r="T400" s="16"/>
      <c r="U400" s="39"/>
      <c r="V400" s="7"/>
      <c r="W400" s="7"/>
      <c r="X400" s="93"/>
      <c r="Y400" s="131"/>
      <c r="Z400" s="131"/>
      <c r="AA400" s="131"/>
      <c r="AB400" s="85"/>
      <c r="AC400" s="85"/>
      <c r="AD400" s="325"/>
      <c r="AE400" s="85"/>
      <c r="AF400" s="90"/>
      <c r="AG400" s="105"/>
      <c r="AH400" s="39"/>
      <c r="AI400" s="87"/>
      <c r="AJ400" s="81"/>
      <c r="AK400" s="90"/>
      <c r="AL400" s="81"/>
      <c r="AM400" s="39"/>
      <c r="AN400" s="7"/>
      <c r="AO400" s="82"/>
      <c r="AP400" s="82"/>
      <c r="AQ400" s="7"/>
      <c r="AR400" s="82"/>
      <c r="AS400" s="82"/>
      <c r="AT400" s="82"/>
      <c r="AU400" s="82"/>
      <c r="AV400" s="82"/>
      <c r="AW400" s="7"/>
      <c r="AX400" s="82"/>
      <c r="AY400" s="7"/>
      <c r="AZ400" s="7"/>
      <c r="BA400" s="7"/>
      <c r="BB400" s="7"/>
      <c r="BC400" s="7"/>
      <c r="BD400" s="7"/>
      <c r="BE400" s="7"/>
      <c r="BF400" s="7"/>
      <c r="BG400" s="7"/>
    </row>
    <row r="401">
      <c r="A401" s="39"/>
      <c r="B401" s="39"/>
      <c r="C401" s="7"/>
      <c r="D401" s="53"/>
      <c r="E401" s="7"/>
      <c r="F401" s="53"/>
      <c r="G401" s="16"/>
      <c r="H401" s="16"/>
      <c r="J401" s="39"/>
      <c r="K401" s="53"/>
      <c r="L401" s="90"/>
      <c r="M401" s="371"/>
      <c r="N401" s="327"/>
      <c r="O401" s="367"/>
      <c r="P401" s="82"/>
      <c r="Q401" s="82"/>
      <c r="R401" s="82"/>
      <c r="S401" s="81"/>
      <c r="T401" s="16"/>
      <c r="U401" s="39"/>
      <c r="V401" s="7"/>
      <c r="W401" s="7"/>
      <c r="X401" s="93"/>
      <c r="Y401" s="131"/>
      <c r="Z401" s="131"/>
      <c r="AA401" s="131"/>
      <c r="AB401" s="85"/>
      <c r="AC401" s="85"/>
      <c r="AD401" s="325"/>
      <c r="AE401" s="85"/>
      <c r="AF401" s="90"/>
      <c r="AG401" s="105"/>
      <c r="AH401" s="39"/>
      <c r="AI401" s="87"/>
      <c r="AJ401" s="81"/>
      <c r="AK401" s="90"/>
      <c r="AL401" s="81"/>
      <c r="AM401" s="39"/>
      <c r="AN401" s="7"/>
      <c r="AO401" s="82"/>
      <c r="AP401" s="82"/>
      <c r="AQ401" s="7"/>
      <c r="AR401" s="82"/>
      <c r="AS401" s="82"/>
      <c r="AT401" s="82"/>
      <c r="AU401" s="82"/>
      <c r="AV401" s="82"/>
      <c r="AW401" s="7"/>
      <c r="AX401" s="82"/>
      <c r="AY401" s="7"/>
      <c r="AZ401" s="7"/>
      <c r="BA401" s="7"/>
      <c r="BB401" s="7"/>
      <c r="BC401" s="7"/>
      <c r="BD401" s="7"/>
      <c r="BE401" s="7"/>
      <c r="BF401" s="7"/>
      <c r="BG401" s="7"/>
    </row>
    <row r="402">
      <c r="A402" s="39"/>
      <c r="B402" s="39"/>
      <c r="C402" s="7"/>
      <c r="D402" s="53"/>
      <c r="E402" s="7"/>
      <c r="F402" s="53"/>
      <c r="G402" s="16"/>
      <c r="H402" s="16"/>
      <c r="J402" s="39"/>
      <c r="K402" s="53"/>
      <c r="L402" s="90"/>
      <c r="M402" s="39"/>
      <c r="N402" s="327"/>
      <c r="O402" s="367"/>
      <c r="P402" s="82"/>
      <c r="Q402" s="82"/>
      <c r="R402" s="82"/>
      <c r="S402" s="81"/>
      <c r="T402" s="16"/>
      <c r="U402" s="39"/>
      <c r="V402" s="7"/>
      <c r="W402" s="7"/>
      <c r="X402" s="93"/>
      <c r="Y402" s="131"/>
      <c r="Z402" s="131"/>
      <c r="AA402" s="131"/>
      <c r="AB402" s="85"/>
      <c r="AC402" s="85"/>
      <c r="AD402" s="325"/>
      <c r="AE402" s="85"/>
      <c r="AF402" s="90"/>
      <c r="AG402" s="105"/>
      <c r="AH402" s="39"/>
      <c r="AI402" s="87"/>
      <c r="AJ402" s="81"/>
      <c r="AK402" s="90"/>
      <c r="AL402" s="81"/>
      <c r="AM402" s="39"/>
      <c r="AN402" s="7"/>
      <c r="AO402" s="82"/>
      <c r="AP402" s="82"/>
      <c r="AQ402" s="7"/>
      <c r="AR402" s="82"/>
      <c r="AS402" s="82"/>
      <c r="AT402" s="82"/>
      <c r="AU402" s="82"/>
      <c r="AV402" s="82"/>
      <c r="AW402" s="7"/>
      <c r="AX402" s="82"/>
      <c r="AY402" s="7"/>
      <c r="AZ402" s="7"/>
      <c r="BA402" s="7"/>
      <c r="BB402" s="7"/>
      <c r="BC402" s="7"/>
      <c r="BD402" s="7"/>
      <c r="BE402" s="7"/>
      <c r="BF402" s="7"/>
      <c r="BG402" s="7"/>
    </row>
    <row r="403">
      <c r="A403" s="39"/>
      <c r="B403" s="39"/>
      <c r="C403" s="7"/>
      <c r="D403" s="53"/>
      <c r="E403" s="7"/>
      <c r="F403" s="53"/>
      <c r="G403" s="16"/>
      <c r="H403" s="16"/>
      <c r="J403" s="39"/>
      <c r="K403" s="53"/>
      <c r="L403" s="90"/>
      <c r="M403" s="39"/>
      <c r="N403" s="327"/>
      <c r="O403" s="367"/>
      <c r="P403" s="82"/>
      <c r="Q403" s="82"/>
      <c r="R403" s="82"/>
      <c r="S403" s="81"/>
      <c r="T403" s="16"/>
      <c r="U403" s="39"/>
      <c r="V403" s="7"/>
      <c r="W403" s="7"/>
      <c r="X403" s="93"/>
      <c r="Y403" s="131"/>
      <c r="Z403" s="131"/>
      <c r="AA403" s="131"/>
      <c r="AB403" s="85"/>
      <c r="AC403" s="85"/>
      <c r="AD403" s="325"/>
      <c r="AE403" s="85"/>
      <c r="AF403" s="90"/>
      <c r="AG403" s="105"/>
      <c r="AH403" s="39"/>
      <c r="AI403" s="87"/>
      <c r="AJ403" s="81"/>
      <c r="AK403" s="90"/>
      <c r="AL403" s="81"/>
      <c r="AM403" s="39"/>
      <c r="AN403" s="7"/>
      <c r="AO403" s="82"/>
      <c r="AP403" s="82"/>
      <c r="AQ403" s="7"/>
      <c r="AR403" s="82"/>
      <c r="AS403" s="82"/>
      <c r="AT403" s="82"/>
      <c r="AU403" s="82"/>
      <c r="AV403" s="82"/>
      <c r="AW403" s="7"/>
      <c r="AX403" s="82"/>
      <c r="AY403" s="7"/>
      <c r="AZ403" s="7"/>
      <c r="BA403" s="7"/>
      <c r="BB403" s="7"/>
      <c r="BC403" s="7"/>
      <c r="BD403" s="7"/>
      <c r="BE403" s="7"/>
      <c r="BF403" s="7"/>
      <c r="BG403" s="7"/>
    </row>
    <row r="404">
      <c r="A404" s="39"/>
      <c r="B404" s="39"/>
      <c r="C404" s="7"/>
      <c r="D404" s="53"/>
      <c r="E404" s="7"/>
      <c r="F404" s="53"/>
      <c r="G404" s="16"/>
      <c r="H404" s="16"/>
      <c r="J404" s="39"/>
      <c r="K404" s="53"/>
      <c r="L404" s="90"/>
      <c r="M404" s="39"/>
      <c r="N404" s="327"/>
      <c r="O404" s="367"/>
      <c r="P404" s="82"/>
      <c r="Q404" s="82"/>
      <c r="R404" s="82"/>
      <c r="S404" s="81"/>
      <c r="T404" s="16"/>
      <c r="U404" s="39"/>
      <c r="V404" s="7"/>
      <c r="W404" s="7"/>
      <c r="X404" s="93"/>
      <c r="Y404" s="131"/>
      <c r="Z404" s="131"/>
      <c r="AA404" s="131"/>
      <c r="AB404" s="85"/>
      <c r="AC404" s="85"/>
      <c r="AD404" s="325"/>
      <c r="AE404" s="85"/>
      <c r="AF404" s="90"/>
      <c r="AG404" s="105"/>
      <c r="AH404" s="39"/>
      <c r="AI404" s="87"/>
      <c r="AJ404" s="81"/>
      <c r="AK404" s="90"/>
      <c r="AL404" s="81"/>
      <c r="AM404" s="39"/>
      <c r="AN404" s="7"/>
      <c r="AO404" s="82"/>
      <c r="AP404" s="82"/>
      <c r="AQ404" s="7"/>
      <c r="AR404" s="82"/>
      <c r="AS404" s="82"/>
      <c r="AT404" s="82"/>
      <c r="AU404" s="82"/>
      <c r="AV404" s="82"/>
      <c r="AW404" s="7"/>
      <c r="AX404" s="82"/>
      <c r="AY404" s="7"/>
      <c r="AZ404" s="7"/>
      <c r="BA404" s="7"/>
      <c r="BB404" s="7"/>
      <c r="BC404" s="7"/>
      <c r="BD404" s="7"/>
      <c r="BE404" s="7"/>
      <c r="BF404" s="7"/>
      <c r="BG404" s="7"/>
    </row>
    <row r="405">
      <c r="A405" s="39"/>
      <c r="B405" s="39"/>
      <c r="C405" s="7"/>
      <c r="D405" s="53"/>
      <c r="E405" s="7"/>
      <c r="F405" s="53"/>
      <c r="G405" s="16"/>
      <c r="H405" s="16"/>
      <c r="J405" s="39"/>
      <c r="K405" s="53"/>
      <c r="L405" s="90"/>
      <c r="M405" s="39"/>
      <c r="N405" s="327"/>
      <c r="O405" s="367"/>
      <c r="P405" s="82"/>
      <c r="Q405" s="82"/>
      <c r="R405" s="82"/>
      <c r="S405" s="81"/>
      <c r="T405" s="16"/>
      <c r="U405" s="39"/>
      <c r="V405" s="7"/>
      <c r="W405" s="7"/>
      <c r="X405" s="93"/>
      <c r="Y405" s="131"/>
      <c r="Z405" s="131"/>
      <c r="AA405" s="131"/>
      <c r="AB405" s="85"/>
      <c r="AC405" s="85"/>
      <c r="AD405" s="325"/>
      <c r="AE405" s="85"/>
      <c r="AF405" s="90"/>
      <c r="AG405" s="105"/>
      <c r="AH405" s="39"/>
      <c r="AI405" s="87"/>
      <c r="AJ405" s="81"/>
      <c r="AK405" s="90"/>
      <c r="AL405" s="81"/>
      <c r="AM405" s="39"/>
      <c r="AN405" s="7"/>
      <c r="AO405" s="82"/>
      <c r="AP405" s="82"/>
      <c r="AQ405" s="7"/>
      <c r="AR405" s="82"/>
      <c r="AS405" s="82"/>
      <c r="AT405" s="82"/>
      <c r="AU405" s="82"/>
      <c r="AV405" s="82"/>
      <c r="AW405" s="7"/>
      <c r="AX405" s="82"/>
      <c r="AY405" s="7"/>
      <c r="AZ405" s="7"/>
      <c r="BA405" s="7"/>
      <c r="BB405" s="7"/>
      <c r="BC405" s="7"/>
      <c r="BD405" s="7"/>
      <c r="BE405" s="7"/>
      <c r="BF405" s="7"/>
      <c r="BG405" s="7"/>
    </row>
    <row r="406">
      <c r="A406" s="39"/>
      <c r="B406" s="39"/>
      <c r="C406" s="7"/>
      <c r="D406" s="53"/>
      <c r="E406" s="7"/>
      <c r="F406" s="53"/>
      <c r="G406" s="16"/>
      <c r="H406" s="16"/>
      <c r="J406" s="39"/>
      <c r="K406" s="53"/>
      <c r="L406" s="90"/>
      <c r="M406" s="39"/>
      <c r="N406" s="327"/>
      <c r="O406" s="367"/>
      <c r="P406" s="82"/>
      <c r="Q406" s="82"/>
      <c r="R406" s="82"/>
      <c r="S406" s="81"/>
      <c r="T406" s="16"/>
      <c r="U406" s="39"/>
      <c r="V406" s="7"/>
      <c r="W406" s="7"/>
      <c r="X406" s="93"/>
      <c r="Y406" s="131"/>
      <c r="Z406" s="131"/>
      <c r="AA406" s="131"/>
      <c r="AB406" s="85"/>
      <c r="AC406" s="85"/>
      <c r="AD406" s="325"/>
      <c r="AE406" s="85"/>
      <c r="AF406" s="90"/>
      <c r="AG406" s="105"/>
      <c r="AH406" s="39"/>
      <c r="AI406" s="87"/>
      <c r="AJ406" s="81"/>
      <c r="AK406" s="90"/>
      <c r="AL406" s="81"/>
      <c r="AM406" s="39"/>
      <c r="AN406" s="7"/>
      <c r="AO406" s="82"/>
      <c r="AP406" s="82"/>
      <c r="AQ406" s="7"/>
      <c r="AR406" s="82"/>
      <c r="AS406" s="82"/>
      <c r="AT406" s="82"/>
      <c r="AU406" s="82"/>
      <c r="AV406" s="82"/>
      <c r="AW406" s="7"/>
      <c r="AX406" s="82"/>
      <c r="AY406" s="7"/>
      <c r="AZ406" s="7"/>
      <c r="BA406" s="7"/>
      <c r="BB406" s="7"/>
      <c r="BC406" s="7"/>
      <c r="BD406" s="7"/>
      <c r="BE406" s="7"/>
      <c r="BF406" s="7"/>
      <c r="BG406" s="7"/>
    </row>
    <row r="407">
      <c r="A407" s="39"/>
      <c r="B407" s="39"/>
      <c r="C407" s="7"/>
      <c r="D407" s="53"/>
      <c r="E407" s="7"/>
      <c r="F407" s="53"/>
      <c r="G407" s="16"/>
      <c r="H407" s="16"/>
      <c r="J407" s="39"/>
      <c r="K407" s="53"/>
      <c r="L407" s="90"/>
      <c r="M407" s="39"/>
      <c r="N407" s="327"/>
      <c r="O407" s="367"/>
      <c r="P407" s="82"/>
      <c r="Q407" s="82"/>
      <c r="R407" s="82"/>
      <c r="S407" s="81"/>
      <c r="T407" s="16"/>
      <c r="U407" s="39"/>
      <c r="V407" s="7"/>
      <c r="W407" s="7"/>
      <c r="X407" s="93"/>
      <c r="Y407" s="131"/>
      <c r="Z407" s="131"/>
      <c r="AA407" s="131"/>
      <c r="AB407" s="85"/>
      <c r="AC407" s="85"/>
      <c r="AD407" s="325"/>
      <c r="AE407" s="85"/>
      <c r="AF407" s="90"/>
      <c r="AG407" s="105"/>
      <c r="AH407" s="39"/>
      <c r="AI407" s="87"/>
      <c r="AJ407" s="81"/>
      <c r="AK407" s="90"/>
      <c r="AL407" s="81"/>
      <c r="AM407" s="39"/>
      <c r="AN407" s="7"/>
      <c r="AO407" s="82"/>
      <c r="AP407" s="82"/>
      <c r="AQ407" s="7"/>
      <c r="AR407" s="82"/>
      <c r="AS407" s="82"/>
      <c r="AT407" s="82"/>
      <c r="AU407" s="82"/>
      <c r="AV407" s="82"/>
      <c r="AW407" s="7"/>
      <c r="AX407" s="82"/>
      <c r="AY407" s="7"/>
      <c r="AZ407" s="7"/>
      <c r="BA407" s="7"/>
      <c r="BB407" s="7"/>
      <c r="BC407" s="7"/>
      <c r="BD407" s="7"/>
      <c r="BE407" s="7"/>
      <c r="BF407" s="7"/>
      <c r="BG407" s="7"/>
    </row>
    <row r="408">
      <c r="A408" s="39"/>
      <c r="B408" s="39"/>
      <c r="C408" s="7"/>
      <c r="D408" s="53"/>
      <c r="E408" s="7"/>
      <c r="F408" s="53"/>
      <c r="G408" s="16"/>
      <c r="H408" s="16"/>
      <c r="J408" s="39"/>
      <c r="K408" s="53"/>
      <c r="L408" s="90"/>
      <c r="M408" s="39"/>
      <c r="N408" s="327"/>
      <c r="O408" s="367"/>
      <c r="P408" s="7"/>
      <c r="Q408" s="7"/>
      <c r="R408" s="352"/>
      <c r="S408" s="16"/>
      <c r="T408" s="16"/>
      <c r="U408" s="39"/>
      <c r="V408" s="7"/>
      <c r="W408" s="7"/>
      <c r="X408" s="93"/>
      <c r="Y408" s="131"/>
      <c r="Z408" s="131"/>
      <c r="AA408" s="131"/>
      <c r="AB408" s="85"/>
      <c r="AC408" s="85"/>
      <c r="AD408" s="325"/>
      <c r="AE408" s="85"/>
      <c r="AF408" s="90"/>
      <c r="AG408" s="105"/>
      <c r="AH408" s="39"/>
      <c r="AI408" s="87"/>
      <c r="AJ408" s="81"/>
      <c r="AK408" s="90"/>
      <c r="AL408" s="81"/>
      <c r="AM408" s="31"/>
      <c r="AN408" s="7"/>
      <c r="AO408" s="82"/>
      <c r="AP408" s="82"/>
      <c r="AQ408" s="7"/>
      <c r="AR408" s="82"/>
      <c r="AS408" s="82"/>
      <c r="AT408" s="7"/>
      <c r="AU408" s="82"/>
      <c r="AV408" s="7"/>
      <c r="AW408" s="7"/>
      <c r="AX408" s="82"/>
      <c r="AY408" s="7"/>
      <c r="AZ408" s="7"/>
      <c r="BA408" s="7"/>
      <c r="BB408" s="7"/>
      <c r="BC408" s="7"/>
      <c r="BD408" s="7"/>
      <c r="BE408" s="7"/>
      <c r="BF408" s="7"/>
      <c r="BG408" s="7"/>
    </row>
    <row r="409">
      <c r="A409" s="39"/>
      <c r="B409" s="39"/>
      <c r="C409" s="7"/>
      <c r="D409" s="53"/>
      <c r="E409" s="7"/>
      <c r="F409" s="53"/>
      <c r="G409" s="16"/>
      <c r="H409" s="16"/>
      <c r="J409" s="39"/>
      <c r="K409" s="53"/>
      <c r="L409" s="90"/>
      <c r="M409" s="39"/>
      <c r="N409" s="327"/>
      <c r="O409" s="367"/>
      <c r="P409" s="82"/>
      <c r="Q409" s="82"/>
      <c r="R409" s="82"/>
      <c r="S409" s="16"/>
      <c r="T409" s="16"/>
      <c r="U409" s="39"/>
      <c r="V409" s="7"/>
      <c r="W409" s="7"/>
      <c r="X409" s="93"/>
      <c r="Y409" s="131"/>
      <c r="Z409" s="131"/>
      <c r="AA409" s="131"/>
      <c r="AB409" s="85"/>
      <c r="AC409" s="85"/>
      <c r="AD409" s="325"/>
      <c r="AE409" s="85"/>
      <c r="AF409" s="90"/>
      <c r="AG409" s="105"/>
      <c r="AH409" s="39"/>
      <c r="AI409" s="87"/>
      <c r="AJ409" s="81"/>
      <c r="AK409" s="90"/>
      <c r="AL409" s="81"/>
      <c r="AM409" s="31"/>
      <c r="AN409" s="7"/>
      <c r="AO409" s="82"/>
      <c r="AP409" s="82"/>
      <c r="AQ409" s="7"/>
      <c r="AR409" s="82"/>
      <c r="AS409" s="82"/>
      <c r="AT409" s="82"/>
      <c r="AU409" s="82"/>
      <c r="AV409" s="82"/>
      <c r="AW409" s="7"/>
      <c r="AX409" s="82"/>
      <c r="AY409" s="7"/>
      <c r="AZ409" s="7"/>
      <c r="BA409" s="7"/>
      <c r="BB409" s="7"/>
      <c r="BC409" s="7"/>
      <c r="BD409" s="7"/>
      <c r="BE409" s="7"/>
      <c r="BF409" s="7"/>
      <c r="BG409" s="7"/>
    </row>
    <row r="410">
      <c r="A410" s="39"/>
      <c r="B410" s="39"/>
      <c r="C410" s="7"/>
      <c r="D410" s="53"/>
      <c r="E410" s="7"/>
      <c r="F410" s="53"/>
      <c r="G410" s="16"/>
      <c r="H410" s="16"/>
      <c r="J410" s="39"/>
      <c r="K410" s="53"/>
      <c r="L410" s="90"/>
      <c r="M410" s="39"/>
      <c r="N410" s="327"/>
      <c r="O410" s="367"/>
      <c r="P410" s="7"/>
      <c r="Q410" s="7"/>
      <c r="R410" s="7"/>
      <c r="S410" s="16"/>
      <c r="T410" s="16"/>
      <c r="U410" s="39"/>
      <c r="V410" s="7"/>
      <c r="W410" s="7"/>
      <c r="X410" s="93"/>
      <c r="Y410" s="131"/>
      <c r="Z410" s="131"/>
      <c r="AA410" s="131"/>
      <c r="AB410" s="85"/>
      <c r="AC410" s="85"/>
      <c r="AD410" s="325"/>
      <c r="AE410" s="85"/>
      <c r="AF410" s="90"/>
      <c r="AG410" s="105"/>
      <c r="AH410" s="39"/>
      <c r="AI410" s="87"/>
      <c r="AJ410" s="81"/>
      <c r="AK410" s="90"/>
      <c r="AL410" s="81"/>
      <c r="AM410" s="31"/>
      <c r="AN410" s="7"/>
      <c r="AO410" s="82"/>
      <c r="AP410" s="82"/>
      <c r="AQ410" s="7"/>
      <c r="AR410" s="82"/>
      <c r="AS410" s="7"/>
      <c r="AT410" s="82"/>
      <c r="AU410" s="7"/>
      <c r="AV410" s="82"/>
      <c r="AW410" s="7"/>
      <c r="AX410" s="82"/>
      <c r="AY410" s="7"/>
      <c r="AZ410" s="7"/>
      <c r="BA410" s="7"/>
      <c r="BB410" s="7"/>
      <c r="BC410" s="7"/>
      <c r="BD410" s="7"/>
      <c r="BE410" s="7"/>
      <c r="BF410" s="7"/>
      <c r="BG410" s="7"/>
    </row>
    <row r="411">
      <c r="A411" s="39"/>
      <c r="B411" s="39"/>
      <c r="C411" s="7"/>
      <c r="D411" s="53"/>
      <c r="E411" s="7"/>
      <c r="F411" s="53"/>
      <c r="G411" s="16"/>
      <c r="H411" s="81"/>
      <c r="J411" s="39"/>
      <c r="K411" s="53"/>
      <c r="L411" s="90"/>
      <c r="M411" s="39"/>
      <c r="N411" s="327"/>
      <c r="O411" s="368"/>
      <c r="P411" s="7"/>
      <c r="Q411" s="7"/>
      <c r="R411" s="7"/>
      <c r="S411" s="81"/>
      <c r="T411" s="81"/>
      <c r="U411" s="39"/>
      <c r="V411" s="7"/>
      <c r="W411" s="7"/>
      <c r="X411" s="93"/>
      <c r="Y411" s="131"/>
      <c r="Z411" s="131"/>
      <c r="AA411" s="131"/>
      <c r="AB411" s="131"/>
      <c r="AC411" s="131"/>
      <c r="AD411" s="323"/>
      <c r="AE411" s="131"/>
      <c r="AF411" s="90"/>
      <c r="AG411" s="105"/>
      <c r="AH411" s="39"/>
      <c r="AI411" s="87"/>
      <c r="AJ411" s="81"/>
      <c r="AK411" s="90"/>
      <c r="AL411" s="81"/>
      <c r="AM411" s="39"/>
      <c r="AN411" s="7"/>
      <c r="AO411" s="82"/>
      <c r="AP411" s="82"/>
      <c r="AQ411" s="7"/>
      <c r="AR411" s="82"/>
      <c r="AS411" s="7"/>
      <c r="AT411" s="7"/>
      <c r="AU411" s="7"/>
      <c r="AV411" s="7"/>
      <c r="AW411" s="7"/>
      <c r="AX411" s="82"/>
      <c r="AY411" s="7"/>
      <c r="AZ411" s="7"/>
      <c r="BA411" s="7"/>
      <c r="BB411" s="7"/>
      <c r="BC411" s="7"/>
      <c r="BD411" s="7"/>
      <c r="BE411" s="7"/>
      <c r="BF411" s="7"/>
      <c r="BG411" s="7"/>
    </row>
    <row r="412">
      <c r="A412" s="39"/>
      <c r="B412" s="39"/>
      <c r="C412" s="7"/>
      <c r="D412" s="53"/>
      <c r="E412" s="7"/>
      <c r="F412" s="53"/>
      <c r="G412" s="16"/>
      <c r="H412" s="81"/>
      <c r="J412" s="39"/>
      <c r="K412" s="53"/>
      <c r="L412" s="90"/>
      <c r="M412" s="39"/>
      <c r="N412" s="327"/>
      <c r="O412" s="367"/>
      <c r="P412" s="82"/>
      <c r="Q412" s="82"/>
      <c r="R412" s="82"/>
      <c r="S412" s="81"/>
      <c r="T412" s="83"/>
      <c r="U412" s="39"/>
      <c r="V412" s="7"/>
      <c r="W412" s="7"/>
      <c r="X412" s="93"/>
      <c r="Y412" s="131"/>
      <c r="Z412" s="131"/>
      <c r="AA412" s="131"/>
      <c r="AB412" s="131"/>
      <c r="AC412" s="131"/>
      <c r="AD412" s="323"/>
      <c r="AE412" s="131"/>
      <c r="AF412" s="90"/>
      <c r="AG412" s="105"/>
      <c r="AH412" s="39"/>
      <c r="AI412" s="87"/>
      <c r="AJ412" s="81"/>
      <c r="AK412" s="90"/>
      <c r="AL412" s="81"/>
      <c r="AM412" s="39"/>
      <c r="AN412" s="7"/>
      <c r="AO412" s="82"/>
      <c r="AP412" s="82"/>
      <c r="AQ412" s="7"/>
      <c r="AR412" s="82"/>
      <c r="AS412" s="82"/>
      <c r="AT412" s="82"/>
      <c r="AU412" s="82"/>
      <c r="AV412" s="82"/>
      <c r="AW412" s="7"/>
      <c r="AX412" s="82"/>
      <c r="AY412" s="7"/>
      <c r="AZ412" s="7"/>
      <c r="BA412" s="7"/>
      <c r="BB412" s="7"/>
      <c r="BC412" s="7"/>
      <c r="BD412" s="7"/>
      <c r="BE412" s="7"/>
      <c r="BF412" s="7"/>
      <c r="BG412" s="7"/>
    </row>
    <row r="413">
      <c r="A413" s="39"/>
      <c r="B413" s="39"/>
      <c r="C413" s="7"/>
      <c r="D413" s="53"/>
      <c r="E413" s="7"/>
      <c r="F413" s="53"/>
      <c r="G413" s="16"/>
      <c r="H413" s="81"/>
      <c r="J413" s="39"/>
      <c r="K413" s="53"/>
      <c r="L413" s="90"/>
      <c r="M413" s="39"/>
      <c r="N413" s="327"/>
      <c r="O413" s="367"/>
      <c r="P413" s="82"/>
      <c r="Q413" s="82"/>
      <c r="R413" s="82"/>
      <c r="S413" s="81"/>
      <c r="T413" s="83"/>
      <c r="U413" s="39"/>
      <c r="V413" s="7"/>
      <c r="W413" s="7"/>
      <c r="X413" s="93"/>
      <c r="Y413" s="131"/>
      <c r="Z413" s="131"/>
      <c r="AA413" s="131"/>
      <c r="AB413" s="131"/>
      <c r="AC413" s="131"/>
      <c r="AD413" s="323"/>
      <c r="AE413" s="131"/>
      <c r="AF413" s="90"/>
      <c r="AG413" s="104"/>
      <c r="AH413" s="39"/>
      <c r="AI413" s="87"/>
      <c r="AJ413" s="81"/>
      <c r="AK413" s="90"/>
      <c r="AL413" s="81"/>
      <c r="AM413" s="39"/>
      <c r="AN413" s="7"/>
      <c r="AO413" s="82"/>
      <c r="AP413" s="82"/>
      <c r="AQ413" s="7"/>
      <c r="AR413" s="82"/>
      <c r="AS413" s="82"/>
      <c r="AT413" s="82"/>
      <c r="AU413" s="82"/>
      <c r="AV413" s="82"/>
      <c r="AW413" s="7"/>
      <c r="AX413" s="82"/>
      <c r="AY413" s="7"/>
      <c r="AZ413" s="7"/>
      <c r="BA413" s="7"/>
      <c r="BB413" s="7"/>
      <c r="BC413" s="7"/>
      <c r="BD413" s="7"/>
      <c r="BE413" s="7"/>
      <c r="BF413" s="7"/>
      <c r="BG413" s="7"/>
    </row>
    <row r="414">
      <c r="A414" s="39"/>
      <c r="B414" s="39"/>
      <c r="C414" s="7"/>
      <c r="D414" s="53"/>
      <c r="E414" s="7"/>
      <c r="F414" s="53"/>
      <c r="G414" s="16"/>
      <c r="H414" s="81"/>
      <c r="J414" s="39"/>
      <c r="K414" s="53"/>
      <c r="L414" s="90"/>
      <c r="M414" s="39"/>
      <c r="N414" s="327"/>
      <c r="O414" s="367"/>
      <c r="P414" s="82"/>
      <c r="Q414" s="82"/>
      <c r="R414" s="82"/>
      <c r="S414" s="81"/>
      <c r="T414" s="83"/>
      <c r="U414" s="39"/>
      <c r="V414" s="7"/>
      <c r="W414" s="7"/>
      <c r="X414" s="93"/>
      <c r="Y414" s="131"/>
      <c r="Z414" s="131"/>
      <c r="AA414" s="131"/>
      <c r="AB414" s="131"/>
      <c r="AC414" s="131"/>
      <c r="AD414" s="323"/>
      <c r="AE414" s="131"/>
      <c r="AF414" s="90"/>
      <c r="AG414" s="104"/>
      <c r="AH414" s="39"/>
      <c r="AI414" s="87"/>
      <c r="AJ414" s="81"/>
      <c r="AK414" s="90"/>
      <c r="AL414" s="81"/>
      <c r="AM414" s="39"/>
      <c r="AN414" s="7"/>
      <c r="AO414" s="82"/>
      <c r="AP414" s="82"/>
      <c r="AQ414" s="7"/>
      <c r="AR414" s="82"/>
      <c r="AS414" s="82"/>
      <c r="AT414" s="82"/>
      <c r="AU414" s="82"/>
      <c r="AV414" s="82"/>
      <c r="AW414" s="7"/>
      <c r="AX414" s="82"/>
      <c r="AY414" s="7"/>
      <c r="AZ414" s="7"/>
      <c r="BA414" s="7"/>
      <c r="BB414" s="7"/>
      <c r="BC414" s="7"/>
      <c r="BD414" s="7"/>
      <c r="BE414" s="7"/>
      <c r="BF414" s="7"/>
      <c r="BG414" s="7"/>
    </row>
    <row r="415">
      <c r="A415" s="39"/>
      <c r="B415" s="39"/>
      <c r="C415" s="7"/>
      <c r="D415" s="53"/>
      <c r="E415" s="7"/>
      <c r="F415" s="53"/>
      <c r="G415" s="16"/>
      <c r="H415" s="81"/>
      <c r="J415" s="39"/>
      <c r="K415" s="53"/>
      <c r="L415" s="90"/>
      <c r="M415" s="39"/>
      <c r="N415" s="327"/>
      <c r="O415" s="367"/>
      <c r="P415" s="82"/>
      <c r="Q415" s="82"/>
      <c r="R415" s="82"/>
      <c r="S415" s="81"/>
      <c r="T415" s="83"/>
      <c r="U415" s="39"/>
      <c r="V415" s="7"/>
      <c r="W415" s="7"/>
      <c r="X415" s="93"/>
      <c r="Y415" s="131"/>
      <c r="Z415" s="131"/>
      <c r="AA415" s="131"/>
      <c r="AB415" s="131"/>
      <c r="AC415" s="131"/>
      <c r="AD415" s="323"/>
      <c r="AE415" s="131"/>
      <c r="AF415" s="90"/>
      <c r="AG415" s="104"/>
      <c r="AH415" s="39"/>
      <c r="AI415" s="87"/>
      <c r="AJ415" s="81"/>
      <c r="AK415" s="90"/>
      <c r="AL415" s="81"/>
      <c r="AM415" s="39"/>
      <c r="AN415" s="7"/>
      <c r="AO415" s="82"/>
      <c r="AP415" s="82"/>
      <c r="AQ415" s="7"/>
      <c r="AR415" s="82"/>
      <c r="AS415" s="82"/>
      <c r="AT415" s="82"/>
      <c r="AU415" s="82"/>
      <c r="AV415" s="82"/>
      <c r="AW415" s="7"/>
      <c r="AX415" s="82"/>
      <c r="AY415" s="7"/>
      <c r="AZ415" s="7"/>
      <c r="BA415" s="7"/>
      <c r="BB415" s="7"/>
      <c r="BC415" s="7"/>
      <c r="BD415" s="7"/>
      <c r="BE415" s="7"/>
      <c r="BF415" s="7"/>
      <c r="BG415" s="7"/>
    </row>
    <row r="416">
      <c r="A416" s="39"/>
      <c r="B416" s="39"/>
      <c r="C416" s="7"/>
      <c r="D416" s="53"/>
      <c r="E416" s="7"/>
      <c r="F416" s="53"/>
      <c r="G416" s="16"/>
      <c r="H416" s="81"/>
      <c r="J416" s="39"/>
      <c r="K416" s="53"/>
      <c r="L416" s="90"/>
      <c r="M416" s="39"/>
      <c r="N416" s="327"/>
      <c r="O416" s="368"/>
      <c r="P416" s="7"/>
      <c r="Q416" s="7"/>
      <c r="R416" s="7"/>
      <c r="S416" s="81"/>
      <c r="T416" s="81"/>
      <c r="U416" s="39"/>
      <c r="V416" s="7"/>
      <c r="W416" s="7"/>
      <c r="X416" s="93"/>
      <c r="Y416" s="131"/>
      <c r="Z416" s="131"/>
      <c r="AA416" s="131"/>
      <c r="AB416" s="131"/>
      <c r="AC416" s="131"/>
      <c r="AD416" s="323"/>
      <c r="AE416" s="131"/>
      <c r="AF416" s="90"/>
      <c r="AG416" s="104"/>
      <c r="AH416" s="39"/>
      <c r="AI416" s="87"/>
      <c r="AJ416" s="81"/>
      <c r="AK416" s="90"/>
      <c r="AL416" s="81"/>
      <c r="AM416" s="39"/>
      <c r="AN416" s="7"/>
      <c r="AO416" s="82"/>
      <c r="AP416" s="82"/>
      <c r="AQ416" s="7"/>
      <c r="AR416" s="82"/>
      <c r="AS416" s="82"/>
      <c r="AT416" s="82"/>
      <c r="AU416" s="82"/>
      <c r="AV416" s="82"/>
      <c r="AW416" s="7"/>
      <c r="AX416" s="82"/>
      <c r="AY416" s="7"/>
      <c r="AZ416" s="7"/>
      <c r="BA416" s="7"/>
      <c r="BB416" s="7"/>
      <c r="BC416" s="7"/>
      <c r="BD416" s="7"/>
      <c r="BE416" s="7"/>
      <c r="BF416" s="7"/>
      <c r="BG416" s="7"/>
    </row>
    <row r="417">
      <c r="A417" s="39"/>
      <c r="B417" s="39"/>
      <c r="C417" s="7"/>
      <c r="D417" s="53"/>
      <c r="E417" s="7"/>
      <c r="F417" s="53"/>
      <c r="G417" s="16"/>
      <c r="H417" s="81"/>
      <c r="J417" s="39"/>
      <c r="K417" s="53"/>
      <c r="L417" s="90"/>
      <c r="M417" s="39"/>
      <c r="N417" s="327"/>
      <c r="O417" s="322"/>
      <c r="P417" s="82"/>
      <c r="Q417" s="82"/>
      <c r="R417" s="82"/>
      <c r="S417" s="83"/>
      <c r="T417" s="83"/>
      <c r="U417" s="39"/>
      <c r="V417" s="7"/>
      <c r="W417" s="7"/>
      <c r="X417" s="93"/>
      <c r="Y417" s="131"/>
      <c r="Z417" s="131"/>
      <c r="AA417" s="131"/>
      <c r="AB417" s="131"/>
      <c r="AC417" s="131"/>
      <c r="AD417" s="323"/>
      <c r="AE417" s="131"/>
      <c r="AF417" s="90"/>
      <c r="AG417" s="104"/>
      <c r="AH417" s="39"/>
      <c r="AI417" s="87"/>
      <c r="AJ417" s="81"/>
      <c r="AK417" s="90"/>
      <c r="AL417" s="81"/>
      <c r="AM417" s="39"/>
      <c r="AN417" s="7"/>
      <c r="AO417" s="82"/>
      <c r="AP417" s="82"/>
      <c r="AQ417" s="7"/>
      <c r="AR417" s="82"/>
      <c r="AS417" s="82"/>
      <c r="AT417" s="82"/>
      <c r="AU417" s="82"/>
      <c r="AV417" s="82"/>
      <c r="AW417" s="7"/>
      <c r="AX417" s="82"/>
      <c r="AY417" s="7"/>
      <c r="AZ417" s="7"/>
      <c r="BA417" s="7"/>
      <c r="BB417" s="7"/>
      <c r="BC417" s="7"/>
      <c r="BD417" s="7"/>
      <c r="BE417" s="7"/>
      <c r="BF417" s="7"/>
      <c r="BG417" s="7"/>
    </row>
    <row r="418">
      <c r="A418" s="39"/>
      <c r="B418" s="39"/>
      <c r="C418" s="7"/>
      <c r="D418" s="53"/>
      <c r="E418" s="7"/>
      <c r="F418" s="53"/>
      <c r="G418" s="16"/>
      <c r="H418" s="16"/>
      <c r="J418" s="39"/>
      <c r="K418" s="53"/>
      <c r="L418" s="90"/>
      <c r="M418" s="39"/>
      <c r="N418" s="327"/>
      <c r="O418" s="368"/>
      <c r="P418" s="7"/>
      <c r="Q418" s="7"/>
      <c r="R418" s="7"/>
      <c r="S418" s="16"/>
      <c r="T418" s="16"/>
      <c r="U418" s="39"/>
      <c r="V418" s="7"/>
      <c r="W418" s="7"/>
      <c r="X418" s="93"/>
      <c r="Y418" s="131"/>
      <c r="Z418" s="131"/>
      <c r="AA418" s="131"/>
      <c r="AB418" s="85"/>
      <c r="AC418" s="85"/>
      <c r="AD418" s="325"/>
      <c r="AE418" s="85"/>
      <c r="AF418" s="90"/>
      <c r="AG418" s="104"/>
      <c r="AH418" s="39"/>
      <c r="AI418" s="87"/>
      <c r="AJ418" s="81"/>
      <c r="AK418" s="90"/>
      <c r="AL418" s="81"/>
      <c r="AM418" s="39"/>
      <c r="AN418" s="82"/>
      <c r="AO418" s="82"/>
      <c r="AP418" s="82"/>
      <c r="AQ418" s="7"/>
      <c r="AR418" s="7"/>
      <c r="AS418" s="7"/>
      <c r="AT418" s="7"/>
      <c r="AU418" s="7"/>
      <c r="AV418" s="7"/>
      <c r="AW418" s="7"/>
      <c r="AX418" s="82"/>
      <c r="AY418" s="7"/>
      <c r="AZ418" s="7"/>
      <c r="BA418" s="7"/>
      <c r="BB418" s="7"/>
      <c r="BC418" s="7"/>
      <c r="BD418" s="7"/>
      <c r="BE418" s="7"/>
      <c r="BF418" s="7"/>
      <c r="BG418" s="7"/>
    </row>
    <row r="419">
      <c r="A419" s="39"/>
      <c r="B419" s="39"/>
      <c r="C419" s="7"/>
      <c r="D419" s="53"/>
      <c r="E419" s="7"/>
      <c r="F419" s="53"/>
      <c r="G419" s="16"/>
      <c r="H419" s="81"/>
      <c r="J419" s="39"/>
      <c r="K419" s="53"/>
      <c r="L419" s="90"/>
      <c r="M419" s="39"/>
      <c r="N419" s="327"/>
      <c r="O419" s="367"/>
      <c r="P419" s="82"/>
      <c r="Q419" s="82"/>
      <c r="R419" s="82"/>
      <c r="S419" s="81"/>
      <c r="T419" s="16"/>
      <c r="U419" s="39"/>
      <c r="V419" s="7"/>
      <c r="W419" s="7"/>
      <c r="X419" s="93"/>
      <c r="Y419" s="131"/>
      <c r="Z419" s="131"/>
      <c r="AA419" s="131"/>
      <c r="AB419" s="131"/>
      <c r="AC419" s="131"/>
      <c r="AD419" s="323"/>
      <c r="AE419" s="131"/>
      <c r="AF419" s="90"/>
      <c r="AG419" s="104"/>
      <c r="AH419" s="39"/>
      <c r="AI419" s="87"/>
      <c r="AJ419" s="81"/>
      <c r="AK419" s="90"/>
      <c r="AL419" s="81"/>
      <c r="AM419" s="39"/>
      <c r="AN419" s="7"/>
      <c r="AO419" s="82"/>
      <c r="AP419" s="82"/>
      <c r="AQ419" s="7"/>
      <c r="AR419" s="7"/>
      <c r="AS419" s="82"/>
      <c r="AT419" s="82"/>
      <c r="AU419" s="82"/>
      <c r="AV419" s="82"/>
      <c r="AW419" s="7"/>
      <c r="AX419" s="82"/>
      <c r="AY419" s="7"/>
      <c r="AZ419" s="7"/>
      <c r="BA419" s="7"/>
      <c r="BB419" s="7"/>
      <c r="BC419" s="7"/>
      <c r="BD419" s="7"/>
      <c r="BE419" s="7"/>
      <c r="BF419" s="7"/>
      <c r="BG419" s="7"/>
    </row>
    <row r="420">
      <c r="A420" s="39"/>
      <c r="B420" s="39"/>
      <c r="C420" s="7"/>
      <c r="D420" s="53"/>
      <c r="E420" s="7"/>
      <c r="F420" s="53"/>
      <c r="G420" s="16"/>
      <c r="H420" s="81"/>
      <c r="J420" s="39"/>
      <c r="K420" s="53"/>
      <c r="L420" s="90"/>
      <c r="M420" s="39"/>
      <c r="N420" s="327"/>
      <c r="O420" s="367"/>
      <c r="P420" s="82"/>
      <c r="Q420" s="82"/>
      <c r="R420" s="82"/>
      <c r="S420" s="81"/>
      <c r="T420" s="16"/>
      <c r="U420" s="39"/>
      <c r="V420" s="7"/>
      <c r="W420" s="7"/>
      <c r="X420" s="93"/>
      <c r="Y420" s="131"/>
      <c r="Z420" s="131"/>
      <c r="AA420" s="131"/>
      <c r="AB420" s="131"/>
      <c r="AC420" s="131"/>
      <c r="AD420" s="323"/>
      <c r="AE420" s="131"/>
      <c r="AF420" s="90"/>
      <c r="AG420" s="104"/>
      <c r="AH420" s="39"/>
      <c r="AI420" s="87"/>
      <c r="AJ420" s="81"/>
      <c r="AK420" s="90"/>
      <c r="AL420" s="81"/>
      <c r="AM420" s="39"/>
      <c r="AN420" s="7"/>
      <c r="AO420" s="82"/>
      <c r="AP420" s="82"/>
      <c r="AQ420" s="7"/>
      <c r="AR420" s="7"/>
      <c r="AS420" s="82"/>
      <c r="AT420" s="82"/>
      <c r="AU420" s="82"/>
      <c r="AV420" s="82"/>
      <c r="AW420" s="7"/>
      <c r="AX420" s="82"/>
      <c r="AY420" s="7"/>
      <c r="AZ420" s="7"/>
      <c r="BA420" s="7"/>
      <c r="BB420" s="7"/>
      <c r="BC420" s="7"/>
      <c r="BD420" s="7"/>
      <c r="BE420" s="7"/>
      <c r="BF420" s="7"/>
      <c r="BG420" s="7"/>
    </row>
    <row r="421">
      <c r="A421" s="39"/>
      <c r="B421" s="39"/>
      <c r="C421" s="7"/>
      <c r="D421" s="53"/>
      <c r="E421" s="7"/>
      <c r="F421" s="53"/>
      <c r="G421" s="16"/>
      <c r="H421" s="81"/>
      <c r="J421" s="39"/>
      <c r="K421" s="53"/>
      <c r="L421" s="90"/>
      <c r="M421" s="39"/>
      <c r="N421" s="327"/>
      <c r="O421" s="367"/>
      <c r="P421" s="7"/>
      <c r="Q421" s="7"/>
      <c r="R421" s="7"/>
      <c r="S421" s="81"/>
      <c r="T421" s="16"/>
      <c r="U421" s="39"/>
      <c r="V421" s="7"/>
      <c r="W421" s="7"/>
      <c r="X421" s="93"/>
      <c r="Y421" s="131"/>
      <c r="Z421" s="131"/>
      <c r="AA421" s="131"/>
      <c r="AB421" s="131"/>
      <c r="AC421" s="131"/>
      <c r="AD421" s="323"/>
      <c r="AE421" s="131"/>
      <c r="AF421" s="90"/>
      <c r="AG421" s="104"/>
      <c r="AH421" s="39"/>
      <c r="AI421" s="87"/>
      <c r="AJ421" s="81"/>
      <c r="AK421" s="90"/>
      <c r="AL421" s="81"/>
      <c r="AM421" s="39"/>
      <c r="AN421" s="7"/>
      <c r="AO421" s="82"/>
      <c r="AP421" s="82"/>
      <c r="AQ421" s="7"/>
      <c r="AR421" s="7"/>
      <c r="AS421" s="7"/>
      <c r="AT421" s="7"/>
      <c r="AU421" s="7"/>
      <c r="AV421" s="7"/>
      <c r="AW421" s="7"/>
      <c r="AX421" s="82"/>
      <c r="AY421" s="7"/>
      <c r="AZ421" s="7"/>
      <c r="BA421" s="7"/>
      <c r="BB421" s="7"/>
      <c r="BC421" s="7"/>
      <c r="BD421" s="7"/>
      <c r="BE421" s="7"/>
      <c r="BF421" s="7"/>
      <c r="BG421" s="7"/>
    </row>
    <row r="422">
      <c r="A422" s="39"/>
      <c r="B422" s="39"/>
      <c r="C422" s="7"/>
      <c r="D422" s="53"/>
      <c r="E422" s="7"/>
      <c r="F422" s="53"/>
      <c r="G422" s="16"/>
      <c r="H422" s="81"/>
      <c r="J422" s="39"/>
      <c r="K422" s="53"/>
      <c r="L422" s="90"/>
      <c r="M422" s="39"/>
      <c r="N422" s="327"/>
      <c r="O422" s="367"/>
      <c r="P422" s="82"/>
      <c r="Q422" s="82"/>
      <c r="R422" s="82"/>
      <c r="S422" s="16"/>
      <c r="T422" s="16"/>
      <c r="U422" s="39"/>
      <c r="V422" s="7"/>
      <c r="W422" s="7"/>
      <c r="X422" s="93"/>
      <c r="Y422" s="131"/>
      <c r="Z422" s="131"/>
      <c r="AA422" s="131"/>
      <c r="AB422" s="131"/>
      <c r="AC422" s="131"/>
      <c r="AD422" s="323"/>
      <c r="AE422" s="131"/>
      <c r="AF422" s="90"/>
      <c r="AG422" s="104"/>
      <c r="AH422" s="39"/>
      <c r="AI422" s="87"/>
      <c r="AJ422" s="81"/>
      <c r="AK422" s="90"/>
      <c r="AL422" s="81"/>
      <c r="AM422" s="39"/>
      <c r="AN422" s="7"/>
      <c r="AO422" s="82"/>
      <c r="AP422" s="82"/>
      <c r="AQ422" s="7"/>
      <c r="AR422" s="7"/>
      <c r="AS422" s="82"/>
      <c r="AT422" s="82"/>
      <c r="AU422" s="82"/>
      <c r="AV422" s="82"/>
      <c r="AW422" s="7"/>
      <c r="AX422" s="82"/>
      <c r="AY422" s="7"/>
      <c r="AZ422" s="7"/>
      <c r="BA422" s="7"/>
      <c r="BB422" s="7"/>
      <c r="BC422" s="7"/>
      <c r="BD422" s="7"/>
      <c r="BE422" s="7"/>
      <c r="BF422" s="7"/>
      <c r="BG422" s="7"/>
    </row>
    <row r="423">
      <c r="A423" s="39"/>
      <c r="B423" s="39"/>
      <c r="C423" s="7"/>
      <c r="D423" s="53"/>
      <c r="E423" s="7"/>
      <c r="F423" s="53"/>
      <c r="G423" s="16"/>
      <c r="H423" s="81"/>
      <c r="J423" s="39"/>
      <c r="K423" s="53"/>
      <c r="L423" s="90"/>
      <c r="M423" s="39"/>
      <c r="N423" s="327"/>
      <c r="O423" s="367"/>
      <c r="P423" s="82"/>
      <c r="Q423" s="82"/>
      <c r="R423" s="82"/>
      <c r="S423" s="16"/>
      <c r="T423" s="16"/>
      <c r="U423" s="39"/>
      <c r="V423" s="7"/>
      <c r="W423" s="7"/>
      <c r="X423" s="93"/>
      <c r="Y423" s="131"/>
      <c r="Z423" s="131"/>
      <c r="AA423" s="131"/>
      <c r="AB423" s="131"/>
      <c r="AC423" s="131"/>
      <c r="AD423" s="323"/>
      <c r="AE423" s="131"/>
      <c r="AF423" s="90"/>
      <c r="AG423" s="104"/>
      <c r="AH423" s="39"/>
      <c r="AI423" s="87"/>
      <c r="AJ423" s="81"/>
      <c r="AK423" s="90"/>
      <c r="AL423" s="81"/>
      <c r="AM423" s="39"/>
      <c r="AN423" s="7"/>
      <c r="AO423" s="82"/>
      <c r="AP423" s="82"/>
      <c r="AQ423" s="7"/>
      <c r="AR423" s="7"/>
      <c r="AS423" s="82"/>
      <c r="AT423" s="82"/>
      <c r="AU423" s="82"/>
      <c r="AV423" s="82"/>
      <c r="AW423" s="7"/>
      <c r="AX423" s="82"/>
      <c r="AY423" s="7"/>
      <c r="AZ423" s="7"/>
      <c r="BA423" s="7"/>
      <c r="BB423" s="7"/>
      <c r="BC423" s="7"/>
      <c r="BD423" s="7"/>
      <c r="BE423" s="7"/>
      <c r="BF423" s="7"/>
      <c r="BG423" s="7"/>
    </row>
    <row r="424">
      <c r="A424" s="39"/>
      <c r="B424" s="39"/>
      <c r="C424" s="7"/>
      <c r="D424" s="53"/>
      <c r="E424" s="7"/>
      <c r="F424" s="53"/>
      <c r="G424" s="16"/>
      <c r="H424" s="81"/>
      <c r="J424" s="39"/>
      <c r="K424" s="53"/>
      <c r="L424" s="90"/>
      <c r="M424" s="39"/>
      <c r="N424" s="327"/>
      <c r="O424" s="367"/>
      <c r="P424" s="82"/>
      <c r="Q424" s="82"/>
      <c r="R424" s="82"/>
      <c r="S424" s="16"/>
      <c r="T424" s="16"/>
      <c r="U424" s="39"/>
      <c r="V424" s="7"/>
      <c r="W424" s="7"/>
      <c r="X424" s="93"/>
      <c r="Y424" s="131"/>
      <c r="Z424" s="131"/>
      <c r="AA424" s="131"/>
      <c r="AB424" s="131"/>
      <c r="AC424" s="131"/>
      <c r="AD424" s="323"/>
      <c r="AE424" s="131"/>
      <c r="AF424" s="90"/>
      <c r="AG424" s="104"/>
      <c r="AH424" s="39"/>
      <c r="AI424" s="87"/>
      <c r="AJ424" s="81"/>
      <c r="AK424" s="90"/>
      <c r="AL424" s="81"/>
      <c r="AM424" s="39"/>
      <c r="AN424" s="7"/>
      <c r="AO424" s="82"/>
      <c r="AP424" s="82"/>
      <c r="AQ424" s="7"/>
      <c r="AR424" s="7"/>
      <c r="AS424" s="82"/>
      <c r="AT424" s="82"/>
      <c r="AU424" s="82"/>
      <c r="AV424" s="82"/>
      <c r="AW424" s="7"/>
      <c r="AX424" s="82"/>
      <c r="AY424" s="7"/>
      <c r="AZ424" s="7"/>
      <c r="BA424" s="7"/>
      <c r="BB424" s="7"/>
      <c r="BC424" s="7"/>
      <c r="BD424" s="7"/>
      <c r="BE424" s="7"/>
      <c r="BF424" s="7"/>
      <c r="BG424" s="7"/>
    </row>
    <row r="425">
      <c r="A425" s="39"/>
      <c r="B425" s="39"/>
      <c r="C425" s="7"/>
      <c r="D425" s="53"/>
      <c r="E425" s="7"/>
      <c r="F425" s="53"/>
      <c r="G425" s="16"/>
      <c r="H425" s="81"/>
      <c r="J425" s="39"/>
      <c r="K425" s="53"/>
      <c r="L425" s="90"/>
      <c r="M425" s="39"/>
      <c r="N425" s="327"/>
      <c r="O425" s="368"/>
      <c r="P425" s="82"/>
      <c r="Q425" s="82"/>
      <c r="R425" s="82"/>
      <c r="S425" s="81"/>
      <c r="T425" s="16"/>
      <c r="U425" s="39"/>
      <c r="V425" s="7"/>
      <c r="W425" s="7"/>
      <c r="X425" s="93"/>
      <c r="Y425" s="131"/>
      <c r="Z425" s="131"/>
      <c r="AA425" s="131"/>
      <c r="AB425" s="131"/>
      <c r="AC425" s="131"/>
      <c r="AD425" s="323"/>
      <c r="AE425" s="131"/>
      <c r="AF425" s="90"/>
      <c r="AG425" s="104"/>
      <c r="AH425" s="39"/>
      <c r="AI425" s="87"/>
      <c r="AJ425" s="81"/>
      <c r="AK425" s="90"/>
      <c r="AL425" s="81"/>
      <c r="AM425" s="39"/>
      <c r="AN425" s="7"/>
      <c r="AO425" s="82"/>
      <c r="AP425" s="82"/>
      <c r="AQ425" s="7"/>
      <c r="AR425" s="7"/>
      <c r="AS425" s="82"/>
      <c r="AT425" s="82"/>
      <c r="AU425" s="82"/>
      <c r="AV425" s="82"/>
      <c r="AW425" s="7"/>
      <c r="AX425" s="82"/>
      <c r="AY425" s="7"/>
      <c r="AZ425" s="7"/>
      <c r="BA425" s="7"/>
      <c r="BB425" s="7"/>
      <c r="BC425" s="7"/>
      <c r="BD425" s="7"/>
      <c r="BE425" s="7"/>
      <c r="BF425" s="7"/>
      <c r="BG425" s="7"/>
    </row>
    <row r="426">
      <c r="A426" s="39"/>
      <c r="B426" s="39"/>
      <c r="C426" s="7"/>
      <c r="D426" s="53"/>
      <c r="E426" s="7"/>
      <c r="F426" s="53"/>
      <c r="G426" s="16"/>
      <c r="H426" s="81"/>
      <c r="J426" s="39"/>
      <c r="K426" s="53"/>
      <c r="L426" s="90"/>
      <c r="M426" s="39"/>
      <c r="N426" s="327"/>
      <c r="O426" s="367"/>
      <c r="P426" s="82"/>
      <c r="Q426" s="82"/>
      <c r="R426" s="82"/>
      <c r="S426" s="16"/>
      <c r="T426" s="16"/>
      <c r="U426" s="39"/>
      <c r="V426" s="7"/>
      <c r="W426" s="7"/>
      <c r="X426" s="93"/>
      <c r="Y426" s="131"/>
      <c r="Z426" s="131"/>
      <c r="AA426" s="131"/>
      <c r="AB426" s="131"/>
      <c r="AC426" s="131"/>
      <c r="AD426" s="323"/>
      <c r="AE426" s="131"/>
      <c r="AF426" s="90"/>
      <c r="AG426" s="104"/>
      <c r="AH426" s="39"/>
      <c r="AI426" s="87"/>
      <c r="AJ426" s="81"/>
      <c r="AK426" s="90"/>
      <c r="AL426" s="81"/>
      <c r="AM426" s="39"/>
      <c r="AN426" s="7"/>
      <c r="AO426" s="82"/>
      <c r="AP426" s="82"/>
      <c r="AQ426" s="7"/>
      <c r="AR426" s="7"/>
      <c r="AS426" s="82"/>
      <c r="AT426" s="82"/>
      <c r="AU426" s="82"/>
      <c r="AV426" s="82"/>
      <c r="AW426" s="7"/>
      <c r="AX426" s="82"/>
      <c r="AY426" s="7"/>
      <c r="AZ426" s="7"/>
      <c r="BA426" s="7"/>
      <c r="BB426" s="7"/>
      <c r="BC426" s="7"/>
      <c r="BD426" s="7"/>
      <c r="BE426" s="7"/>
      <c r="BF426" s="7"/>
      <c r="BG426" s="7"/>
    </row>
    <row r="427">
      <c r="A427" s="39"/>
      <c r="B427" s="39"/>
      <c r="C427" s="7"/>
      <c r="D427" s="53"/>
      <c r="E427" s="7"/>
      <c r="F427" s="53"/>
      <c r="G427" s="16"/>
      <c r="H427" s="81"/>
      <c r="J427" s="39"/>
      <c r="K427" s="53"/>
      <c r="L427" s="90"/>
      <c r="M427" s="39"/>
      <c r="N427" s="327"/>
      <c r="O427" s="367"/>
      <c r="P427" s="82"/>
      <c r="Q427" s="82"/>
      <c r="R427" s="82"/>
      <c r="S427" s="16"/>
      <c r="T427" s="16"/>
      <c r="U427" s="39"/>
      <c r="V427" s="7"/>
      <c r="W427" s="7"/>
      <c r="X427" s="93"/>
      <c r="Y427" s="131"/>
      <c r="Z427" s="131"/>
      <c r="AA427" s="131"/>
      <c r="AB427" s="131"/>
      <c r="AC427" s="131"/>
      <c r="AD427" s="323"/>
      <c r="AE427" s="131"/>
      <c r="AF427" s="90"/>
      <c r="AG427" s="104"/>
      <c r="AH427" s="39"/>
      <c r="AI427" s="87"/>
      <c r="AJ427" s="81"/>
      <c r="AK427" s="90"/>
      <c r="AL427" s="81"/>
      <c r="AM427" s="39"/>
      <c r="AN427" s="7"/>
      <c r="AO427" s="82"/>
      <c r="AP427" s="82"/>
      <c r="AQ427" s="7"/>
      <c r="AR427" s="7"/>
      <c r="AS427" s="82"/>
      <c r="AT427" s="82"/>
      <c r="AU427" s="82"/>
      <c r="AV427" s="82"/>
      <c r="AW427" s="7"/>
      <c r="AX427" s="82"/>
      <c r="AY427" s="7"/>
      <c r="AZ427" s="7"/>
      <c r="BA427" s="7"/>
      <c r="BB427" s="7"/>
      <c r="BC427" s="7"/>
      <c r="BD427" s="7"/>
      <c r="BE427" s="7"/>
      <c r="BF427" s="7"/>
      <c r="BG427" s="7"/>
    </row>
    <row r="428">
      <c r="A428" s="39"/>
      <c r="B428" s="39"/>
      <c r="C428" s="7"/>
      <c r="D428" s="53"/>
      <c r="E428" s="7"/>
      <c r="F428" s="53"/>
      <c r="G428" s="16"/>
      <c r="H428" s="81"/>
      <c r="J428" s="39"/>
      <c r="K428" s="53"/>
      <c r="L428" s="90"/>
      <c r="M428" s="39"/>
      <c r="N428" s="327"/>
      <c r="O428" s="367"/>
      <c r="P428" s="82"/>
      <c r="Q428" s="82"/>
      <c r="R428" s="82"/>
      <c r="S428" s="16"/>
      <c r="T428" s="16"/>
      <c r="U428" s="39"/>
      <c r="V428" s="7"/>
      <c r="W428" s="7"/>
      <c r="X428" s="93"/>
      <c r="Y428" s="131"/>
      <c r="Z428" s="131"/>
      <c r="AA428" s="131"/>
      <c r="AB428" s="131"/>
      <c r="AC428" s="131"/>
      <c r="AD428" s="323"/>
      <c r="AE428" s="131"/>
      <c r="AF428" s="90"/>
      <c r="AG428" s="104"/>
      <c r="AH428" s="39"/>
      <c r="AI428" s="87"/>
      <c r="AJ428" s="81"/>
      <c r="AK428" s="90"/>
      <c r="AL428" s="81"/>
      <c r="AM428" s="39"/>
      <c r="AN428" s="7"/>
      <c r="AO428" s="82"/>
      <c r="AP428" s="82"/>
      <c r="AQ428" s="7"/>
      <c r="AR428" s="7"/>
      <c r="AS428" s="82"/>
      <c r="AT428" s="82"/>
      <c r="AU428" s="82"/>
      <c r="AV428" s="82"/>
      <c r="AW428" s="7"/>
      <c r="AX428" s="82"/>
      <c r="AY428" s="7"/>
      <c r="AZ428" s="7"/>
      <c r="BA428" s="7"/>
      <c r="BB428" s="7"/>
      <c r="BC428" s="7"/>
      <c r="BD428" s="7"/>
      <c r="BE428" s="7"/>
      <c r="BF428" s="7"/>
      <c r="BG428" s="7"/>
    </row>
    <row r="429">
      <c r="A429" s="39"/>
      <c r="B429" s="39"/>
      <c r="C429" s="7"/>
      <c r="D429" s="53"/>
      <c r="E429" s="7"/>
      <c r="F429" s="53"/>
      <c r="G429" s="16"/>
      <c r="H429" s="81"/>
      <c r="J429" s="39"/>
      <c r="K429" s="53"/>
      <c r="L429" s="90"/>
      <c r="M429" s="39"/>
      <c r="N429" s="327"/>
      <c r="O429" s="367"/>
      <c r="P429" s="82"/>
      <c r="Q429" s="82"/>
      <c r="R429" s="82"/>
      <c r="S429" s="16"/>
      <c r="T429" s="16"/>
      <c r="U429" s="39"/>
      <c r="V429" s="7"/>
      <c r="W429" s="7"/>
      <c r="X429" s="93"/>
      <c r="Y429" s="131"/>
      <c r="Z429" s="131"/>
      <c r="AA429" s="131"/>
      <c r="AB429" s="131"/>
      <c r="AC429" s="131"/>
      <c r="AD429" s="323"/>
      <c r="AE429" s="131"/>
      <c r="AF429" s="90"/>
      <c r="AG429" s="104"/>
      <c r="AH429" s="39"/>
      <c r="AI429" s="87"/>
      <c r="AJ429" s="81"/>
      <c r="AK429" s="90"/>
      <c r="AL429" s="81"/>
      <c r="AM429" s="39"/>
      <c r="AN429" s="7"/>
      <c r="AO429" s="82"/>
      <c r="AP429" s="82"/>
      <c r="AQ429" s="7"/>
      <c r="AR429" s="7"/>
      <c r="AS429" s="82"/>
      <c r="AT429" s="82"/>
      <c r="AU429" s="82"/>
      <c r="AV429" s="82"/>
      <c r="AW429" s="7"/>
      <c r="AX429" s="82"/>
      <c r="AY429" s="7"/>
      <c r="AZ429" s="7"/>
      <c r="BA429" s="7"/>
      <c r="BB429" s="7"/>
      <c r="BC429" s="7"/>
      <c r="BD429" s="7"/>
      <c r="BE429" s="7"/>
      <c r="BF429" s="7"/>
      <c r="BG429" s="7"/>
    </row>
    <row r="430">
      <c r="A430" s="39"/>
      <c r="B430" s="39"/>
      <c r="C430" s="7"/>
      <c r="D430" s="53"/>
      <c r="E430" s="7"/>
      <c r="F430" s="53"/>
      <c r="G430" s="16"/>
      <c r="H430" s="16"/>
      <c r="J430" s="39"/>
      <c r="K430" s="53"/>
      <c r="L430" s="90"/>
      <c r="M430" s="39"/>
      <c r="N430" s="327"/>
      <c r="O430" s="368"/>
      <c r="P430" s="82"/>
      <c r="Q430" s="82"/>
      <c r="R430" s="82"/>
      <c r="S430" s="16"/>
      <c r="T430" s="16"/>
      <c r="U430" s="39"/>
      <c r="V430" s="7"/>
      <c r="W430" s="7"/>
      <c r="X430" s="93"/>
      <c r="Y430" s="131"/>
      <c r="Z430" s="131"/>
      <c r="AA430" s="131"/>
      <c r="AB430" s="85"/>
      <c r="AC430" s="85"/>
      <c r="AD430" s="323"/>
      <c r="AE430" s="131"/>
      <c r="AF430" s="90"/>
      <c r="AG430" s="104"/>
      <c r="AH430" s="39"/>
      <c r="AI430" s="87"/>
      <c r="AJ430" s="81"/>
      <c r="AK430" s="90"/>
      <c r="AL430" s="81"/>
      <c r="AM430" s="39"/>
      <c r="AN430" s="7"/>
      <c r="AO430" s="82"/>
      <c r="AP430" s="82"/>
      <c r="AQ430" s="82"/>
      <c r="AR430" s="7"/>
      <c r="AS430" s="82"/>
      <c r="AT430" s="7"/>
      <c r="AU430" s="82"/>
      <c r="AV430" s="7"/>
      <c r="AW430" s="7"/>
      <c r="AX430" s="82"/>
      <c r="AY430" s="352"/>
      <c r="AZ430" s="7"/>
      <c r="BA430" s="7"/>
      <c r="BB430" s="7"/>
      <c r="BC430" s="7"/>
      <c r="BD430" s="7"/>
      <c r="BE430" s="7"/>
      <c r="BF430" s="7"/>
      <c r="BG430" s="7"/>
    </row>
    <row r="431">
      <c r="A431" s="39"/>
      <c r="B431" s="39"/>
      <c r="C431" s="7"/>
      <c r="D431" s="53"/>
      <c r="E431" s="7"/>
      <c r="F431" s="53"/>
      <c r="G431" s="16"/>
      <c r="H431" s="16"/>
      <c r="J431" s="39"/>
      <c r="K431" s="53"/>
      <c r="L431" s="90"/>
      <c r="M431" s="39"/>
      <c r="N431" s="327"/>
      <c r="O431" s="322"/>
      <c r="P431" s="82"/>
      <c r="Q431" s="82"/>
      <c r="R431" s="82"/>
      <c r="S431" s="16"/>
      <c r="T431" s="16"/>
      <c r="U431" s="39"/>
      <c r="V431" s="7"/>
      <c r="W431" s="7"/>
      <c r="X431" s="93"/>
      <c r="Y431" s="131"/>
      <c r="Z431" s="131"/>
      <c r="AA431" s="131"/>
      <c r="AB431" s="85"/>
      <c r="AC431" s="85"/>
      <c r="AD431" s="323"/>
      <c r="AE431" s="131"/>
      <c r="AF431" s="90"/>
      <c r="AG431" s="104"/>
      <c r="AH431" s="39"/>
      <c r="AI431" s="87"/>
      <c r="AJ431" s="81"/>
      <c r="AK431" s="90"/>
      <c r="AL431" s="81"/>
      <c r="AM431" s="39"/>
      <c r="AN431" s="7"/>
      <c r="AO431" s="82"/>
      <c r="AP431" s="82"/>
      <c r="AQ431" s="82"/>
      <c r="AR431" s="82"/>
      <c r="AS431" s="82"/>
      <c r="AT431" s="82"/>
      <c r="AU431" s="82"/>
      <c r="AV431" s="82"/>
      <c r="AW431" s="7"/>
      <c r="AX431" s="82"/>
      <c r="AY431" s="7"/>
      <c r="AZ431" s="7"/>
      <c r="BA431" s="7"/>
      <c r="BB431" s="7"/>
      <c r="BC431" s="7"/>
      <c r="BD431" s="7"/>
      <c r="BE431" s="7"/>
      <c r="BF431" s="7"/>
      <c r="BG431" s="7"/>
    </row>
    <row r="432">
      <c r="A432" s="39"/>
      <c r="B432" s="39"/>
      <c r="C432" s="7"/>
      <c r="D432" s="53"/>
      <c r="E432" s="7"/>
      <c r="F432" s="53"/>
      <c r="G432" s="16"/>
      <c r="H432" s="16"/>
      <c r="J432" s="39"/>
      <c r="K432" s="53"/>
      <c r="L432" s="90"/>
      <c r="M432" s="39"/>
      <c r="N432" s="327"/>
      <c r="O432" s="370"/>
      <c r="P432" s="82"/>
      <c r="Q432" s="82"/>
      <c r="R432" s="82"/>
      <c r="S432" s="16"/>
      <c r="T432" s="16"/>
      <c r="U432" s="39"/>
      <c r="V432" s="7"/>
      <c r="W432" s="7"/>
      <c r="X432" s="93"/>
      <c r="Y432" s="131"/>
      <c r="Z432" s="131"/>
      <c r="AA432" s="131"/>
      <c r="AB432" s="85"/>
      <c r="AC432" s="85"/>
      <c r="AD432" s="323"/>
      <c r="AE432" s="131"/>
      <c r="AF432" s="90"/>
      <c r="AG432" s="104"/>
      <c r="AH432" s="39"/>
      <c r="AI432" s="87"/>
      <c r="AJ432" s="81"/>
      <c r="AK432" s="90"/>
      <c r="AL432" s="81"/>
      <c r="AM432" s="39"/>
      <c r="AN432" s="7"/>
      <c r="AO432" s="82"/>
      <c r="AP432" s="82"/>
      <c r="AQ432" s="82"/>
      <c r="AR432" s="82"/>
      <c r="AS432" s="82"/>
      <c r="AT432" s="82"/>
      <c r="AU432" s="82"/>
      <c r="AV432" s="82"/>
      <c r="AW432" s="7"/>
      <c r="AX432" s="82"/>
      <c r="AY432" s="7"/>
      <c r="AZ432" s="7"/>
      <c r="BA432" s="7"/>
      <c r="BB432" s="7"/>
      <c r="BC432" s="7"/>
      <c r="BD432" s="7"/>
      <c r="BE432" s="7"/>
      <c r="BF432" s="7"/>
      <c r="BG432" s="7"/>
    </row>
    <row r="433">
      <c r="A433" s="39"/>
      <c r="B433" s="39"/>
      <c r="C433" s="7"/>
      <c r="D433" s="53"/>
      <c r="E433" s="7"/>
      <c r="F433" s="53"/>
      <c r="G433" s="16"/>
      <c r="H433" s="16"/>
      <c r="J433" s="39"/>
      <c r="K433" s="53"/>
      <c r="L433" s="90"/>
      <c r="M433" s="39"/>
      <c r="N433" s="327"/>
      <c r="O433" s="367"/>
      <c r="P433" s="82"/>
      <c r="Q433" s="82"/>
      <c r="R433" s="82"/>
      <c r="S433" s="16"/>
      <c r="T433" s="16"/>
      <c r="U433" s="39"/>
      <c r="V433" s="7"/>
      <c r="W433" s="7"/>
      <c r="X433" s="93"/>
      <c r="Y433" s="131"/>
      <c r="Z433" s="131"/>
      <c r="AA433" s="131"/>
      <c r="AB433" s="85"/>
      <c r="AC433" s="85"/>
      <c r="AD433" s="323"/>
      <c r="AE433" s="131"/>
      <c r="AF433" s="90"/>
      <c r="AG433" s="104"/>
      <c r="AH433" s="39"/>
      <c r="AI433" s="87"/>
      <c r="AJ433" s="81"/>
      <c r="AK433" s="90"/>
      <c r="AL433" s="81"/>
      <c r="AM433" s="39"/>
      <c r="AN433" s="7"/>
      <c r="AO433" s="82"/>
      <c r="AP433" s="82"/>
      <c r="AQ433" s="82"/>
      <c r="AR433" s="82"/>
      <c r="AS433" s="82"/>
      <c r="AT433" s="82"/>
      <c r="AU433" s="82"/>
      <c r="AV433" s="82"/>
      <c r="AW433" s="7"/>
      <c r="AX433" s="82"/>
      <c r="AY433" s="7"/>
      <c r="AZ433" s="7"/>
      <c r="BA433" s="7"/>
      <c r="BB433" s="7"/>
      <c r="BC433" s="7"/>
      <c r="BD433" s="7"/>
      <c r="BE433" s="7"/>
      <c r="BF433" s="7"/>
      <c r="BG433" s="7"/>
    </row>
    <row r="434">
      <c r="A434" s="39"/>
      <c r="B434" s="39"/>
      <c r="C434" s="7"/>
      <c r="D434" s="53"/>
      <c r="E434" s="7"/>
      <c r="F434" s="53"/>
      <c r="G434" s="16"/>
      <c r="H434" s="16"/>
      <c r="J434" s="39"/>
      <c r="K434" s="53"/>
      <c r="L434" s="90"/>
      <c r="M434" s="39"/>
      <c r="N434" s="327"/>
      <c r="O434" s="367"/>
      <c r="P434" s="82"/>
      <c r="Q434" s="82"/>
      <c r="R434" s="82"/>
      <c r="S434" s="16"/>
      <c r="T434" s="16"/>
      <c r="U434" s="39"/>
      <c r="V434" s="7"/>
      <c r="W434" s="7"/>
      <c r="X434" s="93"/>
      <c r="Y434" s="131"/>
      <c r="Z434" s="131"/>
      <c r="AA434" s="131"/>
      <c r="AB434" s="85"/>
      <c r="AC434" s="85"/>
      <c r="AD434" s="323"/>
      <c r="AE434" s="131"/>
      <c r="AF434" s="90"/>
      <c r="AG434" s="104"/>
      <c r="AH434" s="39"/>
      <c r="AI434" s="87"/>
      <c r="AJ434" s="81"/>
      <c r="AK434" s="90"/>
      <c r="AL434" s="81"/>
      <c r="AM434" s="39"/>
      <c r="AN434" s="7"/>
      <c r="AO434" s="82"/>
      <c r="AP434" s="82"/>
      <c r="AQ434" s="82"/>
      <c r="AR434" s="82"/>
      <c r="AS434" s="82"/>
      <c r="AT434" s="82"/>
      <c r="AU434" s="82"/>
      <c r="AV434" s="82"/>
      <c r="AW434" s="7"/>
      <c r="AX434" s="82"/>
      <c r="AY434" s="7"/>
      <c r="AZ434" s="7"/>
      <c r="BA434" s="7"/>
      <c r="BB434" s="7"/>
      <c r="BC434" s="7"/>
      <c r="BD434" s="7"/>
      <c r="BE434" s="7"/>
      <c r="BF434" s="7"/>
      <c r="BG434" s="7"/>
    </row>
    <row r="435">
      <c r="A435" s="39"/>
      <c r="B435" s="39"/>
      <c r="C435" s="7"/>
      <c r="D435" s="53"/>
      <c r="E435" s="7"/>
      <c r="F435" s="53"/>
      <c r="G435" s="16"/>
      <c r="H435" s="16"/>
      <c r="J435" s="16"/>
      <c r="K435" s="53"/>
      <c r="L435" s="90"/>
      <c r="M435" s="39"/>
      <c r="N435" s="327"/>
      <c r="O435" s="322"/>
      <c r="P435" s="82"/>
      <c r="Q435" s="82"/>
      <c r="R435" s="82"/>
      <c r="S435" s="16"/>
      <c r="T435" s="16"/>
      <c r="U435" s="39"/>
      <c r="V435" s="7"/>
      <c r="W435" s="7"/>
      <c r="X435" s="93"/>
      <c r="Y435" s="85"/>
      <c r="Z435" s="85"/>
      <c r="AA435" s="85"/>
      <c r="AB435" s="85"/>
      <c r="AC435" s="85"/>
      <c r="AD435" s="323"/>
      <c r="AE435" s="131"/>
      <c r="AF435" s="90"/>
      <c r="AG435" s="104"/>
      <c r="AH435" s="39"/>
      <c r="AI435" s="87"/>
      <c r="AJ435" s="81"/>
      <c r="AK435" s="21"/>
      <c r="AL435" s="81"/>
      <c r="AM435" s="39"/>
      <c r="AN435" s="7"/>
      <c r="AO435" s="82"/>
      <c r="AP435" s="82"/>
      <c r="AQ435" s="82"/>
      <c r="AR435" s="82"/>
      <c r="AS435" s="82"/>
      <c r="AT435" s="82"/>
      <c r="AU435" s="82"/>
      <c r="AV435" s="82"/>
      <c r="AW435" s="7"/>
      <c r="AX435" s="82"/>
      <c r="AY435" s="7"/>
      <c r="AZ435" s="7"/>
      <c r="BA435" s="7"/>
      <c r="BB435" s="7"/>
      <c r="BC435" s="7"/>
      <c r="BD435" s="7"/>
      <c r="BE435" s="7"/>
      <c r="BF435" s="7"/>
      <c r="BG435" s="7"/>
    </row>
    <row r="436">
      <c r="A436" s="39"/>
      <c r="B436" s="39"/>
      <c r="C436" s="7"/>
      <c r="D436" s="53"/>
      <c r="E436" s="7"/>
      <c r="F436" s="53"/>
      <c r="G436" s="16"/>
      <c r="H436" s="16"/>
      <c r="J436" s="39"/>
      <c r="K436" s="53"/>
      <c r="L436" s="90"/>
      <c r="M436" s="39"/>
      <c r="N436" s="327"/>
      <c r="O436" s="367"/>
      <c r="P436" s="82"/>
      <c r="Q436" s="82"/>
      <c r="R436" s="82"/>
      <c r="S436" s="16"/>
      <c r="T436" s="16"/>
      <c r="U436" s="39"/>
      <c r="V436" s="7"/>
      <c r="W436" s="7"/>
      <c r="X436" s="93"/>
      <c r="Y436" s="131"/>
      <c r="Z436" s="131"/>
      <c r="AA436" s="131"/>
      <c r="AB436" s="85"/>
      <c r="AC436" s="85"/>
      <c r="AD436" s="323"/>
      <c r="AE436" s="131"/>
      <c r="AF436" s="90"/>
      <c r="AG436" s="104"/>
      <c r="AH436" s="39"/>
      <c r="AI436" s="87"/>
      <c r="AJ436" s="81"/>
      <c r="AK436" s="90"/>
      <c r="AL436" s="81"/>
      <c r="AM436" s="39"/>
      <c r="AN436" s="7"/>
      <c r="AO436" s="82"/>
      <c r="AP436" s="82"/>
      <c r="AQ436" s="82"/>
      <c r="AR436" s="82"/>
      <c r="AS436" s="82"/>
      <c r="AT436" s="82"/>
      <c r="AU436" s="82"/>
      <c r="AV436" s="82"/>
      <c r="AW436" s="7"/>
      <c r="AX436" s="82"/>
      <c r="AY436" s="7"/>
      <c r="AZ436" s="7"/>
      <c r="BA436" s="7"/>
      <c r="BB436" s="7"/>
      <c r="BC436" s="7"/>
      <c r="BD436" s="7"/>
      <c r="BE436" s="7"/>
      <c r="BF436" s="7"/>
      <c r="BG436" s="7"/>
    </row>
    <row r="437">
      <c r="A437" s="39"/>
      <c r="B437" s="39"/>
      <c r="C437" s="7"/>
      <c r="D437" s="53"/>
      <c r="E437" s="7"/>
      <c r="F437" s="53"/>
      <c r="G437" s="16"/>
      <c r="H437" s="16"/>
      <c r="J437" s="39"/>
      <c r="K437" s="53"/>
      <c r="L437" s="90"/>
      <c r="M437" s="39"/>
      <c r="N437" s="327"/>
      <c r="O437" s="367"/>
      <c r="P437" s="82"/>
      <c r="Q437" s="82"/>
      <c r="R437" s="82"/>
      <c r="S437" s="16"/>
      <c r="T437" s="16"/>
      <c r="U437" s="39"/>
      <c r="V437" s="7"/>
      <c r="W437" s="7"/>
      <c r="X437" s="93"/>
      <c r="Y437" s="131"/>
      <c r="Z437" s="131"/>
      <c r="AA437" s="131"/>
      <c r="AB437" s="85"/>
      <c r="AC437" s="85"/>
      <c r="AD437" s="323"/>
      <c r="AE437" s="131"/>
      <c r="AF437" s="90"/>
      <c r="AG437" s="104"/>
      <c r="AH437" s="39"/>
      <c r="AI437" s="87"/>
      <c r="AJ437" s="81"/>
      <c r="AK437" s="90"/>
      <c r="AL437" s="81"/>
      <c r="AM437" s="39"/>
      <c r="AN437" s="7"/>
      <c r="AO437" s="82"/>
      <c r="AP437" s="82"/>
      <c r="AQ437" s="82"/>
      <c r="AR437" s="82"/>
      <c r="AS437" s="82"/>
      <c r="AT437" s="82"/>
      <c r="AU437" s="82"/>
      <c r="AV437" s="82"/>
      <c r="AW437" s="7"/>
      <c r="AX437" s="82"/>
      <c r="AY437" s="7"/>
      <c r="AZ437" s="7"/>
      <c r="BA437" s="7"/>
      <c r="BB437" s="7"/>
      <c r="BC437" s="7"/>
      <c r="BD437" s="7"/>
      <c r="BE437" s="7"/>
      <c r="BF437" s="7"/>
      <c r="BG437" s="7"/>
    </row>
    <row r="438">
      <c r="A438" s="39"/>
      <c r="B438" s="39"/>
      <c r="C438" s="7"/>
      <c r="D438" s="53"/>
      <c r="E438" s="7"/>
      <c r="F438" s="53"/>
      <c r="G438" s="16"/>
      <c r="H438" s="16"/>
      <c r="J438" s="39"/>
      <c r="K438" s="53"/>
      <c r="L438" s="90"/>
      <c r="M438" s="39"/>
      <c r="N438" s="327"/>
      <c r="O438" s="368"/>
      <c r="P438" s="82"/>
      <c r="Q438" s="82"/>
      <c r="R438" s="82"/>
      <c r="S438" s="16"/>
      <c r="T438" s="16"/>
      <c r="U438" s="39"/>
      <c r="V438" s="7"/>
      <c r="W438" s="7"/>
      <c r="X438" s="93"/>
      <c r="Y438" s="85"/>
      <c r="Z438" s="85"/>
      <c r="AA438" s="85"/>
      <c r="AB438" s="85"/>
      <c r="AC438" s="85"/>
      <c r="AD438" s="323"/>
      <c r="AE438" s="131"/>
      <c r="AF438" s="90"/>
      <c r="AG438" s="104"/>
      <c r="AH438" s="39"/>
      <c r="AI438" s="87"/>
      <c r="AJ438" s="81"/>
      <c r="AK438" s="90"/>
      <c r="AL438" s="81"/>
      <c r="AM438" s="39"/>
      <c r="AN438" s="7"/>
      <c r="AO438" s="82"/>
      <c r="AP438" s="82"/>
      <c r="AQ438" s="82"/>
      <c r="AR438" s="82"/>
      <c r="AS438" s="82"/>
      <c r="AT438" s="82"/>
      <c r="AU438" s="82"/>
      <c r="AV438" s="82"/>
      <c r="AW438" s="7"/>
      <c r="AX438" s="82"/>
      <c r="AY438" s="7"/>
      <c r="AZ438" s="7"/>
      <c r="BA438" s="7"/>
      <c r="BB438" s="7"/>
      <c r="BC438" s="7"/>
      <c r="BD438" s="7"/>
      <c r="BE438" s="7"/>
      <c r="BF438" s="7"/>
      <c r="BG438" s="7"/>
    </row>
    <row r="439">
      <c r="A439" s="39"/>
      <c r="B439" s="39"/>
      <c r="C439" s="7"/>
      <c r="D439" s="53"/>
      <c r="E439" s="7"/>
      <c r="F439" s="53"/>
      <c r="G439" s="16"/>
      <c r="H439" s="16"/>
      <c r="J439" s="39"/>
      <c r="K439" s="53"/>
      <c r="L439" s="90"/>
      <c r="M439" s="39"/>
      <c r="N439" s="327"/>
      <c r="O439" s="367"/>
      <c r="P439" s="82"/>
      <c r="Q439" s="82"/>
      <c r="R439" s="82"/>
      <c r="S439" s="16"/>
      <c r="T439" s="16"/>
      <c r="U439" s="39"/>
      <c r="V439" s="7"/>
      <c r="W439" s="7"/>
      <c r="X439" s="93"/>
      <c r="Y439" s="131"/>
      <c r="Z439" s="131"/>
      <c r="AA439" s="131"/>
      <c r="AB439" s="85"/>
      <c r="AC439" s="85"/>
      <c r="AD439" s="323"/>
      <c r="AE439" s="131"/>
      <c r="AF439" s="90"/>
      <c r="AG439" s="104"/>
      <c r="AH439" s="39"/>
      <c r="AI439" s="87"/>
      <c r="AJ439" s="81"/>
      <c r="AK439" s="90"/>
      <c r="AL439" s="81"/>
      <c r="AM439" s="39"/>
      <c r="AN439" s="7"/>
      <c r="AO439" s="82"/>
      <c r="AP439" s="82"/>
      <c r="AQ439" s="82"/>
      <c r="AR439" s="82"/>
      <c r="AS439" s="82"/>
      <c r="AT439" s="82"/>
      <c r="AU439" s="82"/>
      <c r="AV439" s="82"/>
      <c r="AW439" s="7"/>
      <c r="AX439" s="82"/>
      <c r="AY439" s="7"/>
      <c r="AZ439" s="7"/>
      <c r="BA439" s="7"/>
      <c r="BB439" s="7"/>
      <c r="BC439" s="7"/>
      <c r="BD439" s="7"/>
      <c r="BE439" s="7"/>
      <c r="BF439" s="7"/>
      <c r="BG439" s="7"/>
    </row>
    <row r="440">
      <c r="A440" s="39"/>
      <c r="B440" s="39"/>
      <c r="C440" s="7"/>
      <c r="D440" s="53"/>
      <c r="E440" s="7"/>
      <c r="F440" s="53"/>
      <c r="G440" s="16"/>
      <c r="H440" s="16"/>
      <c r="J440" s="39"/>
      <c r="K440" s="53"/>
      <c r="L440" s="90"/>
      <c r="M440" s="39"/>
      <c r="N440" s="321"/>
      <c r="O440" s="368"/>
      <c r="P440" s="7"/>
      <c r="Q440" s="7"/>
      <c r="R440" s="352"/>
      <c r="S440" s="16"/>
      <c r="T440" s="16"/>
      <c r="U440" s="39"/>
      <c r="V440" s="7"/>
      <c r="W440" s="7"/>
      <c r="X440" s="93"/>
      <c r="Y440" s="131"/>
      <c r="Z440" s="131"/>
      <c r="AA440" s="131"/>
      <c r="AB440" s="131"/>
      <c r="AC440" s="131"/>
      <c r="AD440" s="323"/>
      <c r="AE440" s="131"/>
      <c r="AF440" s="90"/>
      <c r="AG440" s="104"/>
      <c r="AH440" s="39"/>
      <c r="AI440" s="87"/>
      <c r="AJ440" s="81"/>
      <c r="AK440" s="90"/>
      <c r="AL440" s="81"/>
      <c r="AM440" s="39"/>
      <c r="AN440" s="7"/>
      <c r="AO440" s="82"/>
      <c r="AP440" s="82"/>
      <c r="AQ440" s="82"/>
      <c r="AR440" s="7"/>
      <c r="AS440" s="82"/>
      <c r="AT440" s="7"/>
      <c r="AU440" s="82"/>
      <c r="AV440" s="7"/>
      <c r="AW440" s="7"/>
      <c r="AX440" s="82"/>
      <c r="AY440" s="7"/>
      <c r="AZ440" s="7"/>
      <c r="BA440" s="7"/>
      <c r="BB440" s="7"/>
      <c r="BC440" s="7"/>
      <c r="BD440" s="7"/>
      <c r="BE440" s="7"/>
      <c r="BF440" s="7"/>
      <c r="BG440" s="7"/>
    </row>
    <row r="441">
      <c r="A441" s="39"/>
      <c r="B441" s="39"/>
      <c r="C441" s="7"/>
      <c r="D441" s="53"/>
      <c r="E441" s="7"/>
      <c r="F441" s="53"/>
      <c r="G441" s="16"/>
      <c r="H441" s="16"/>
      <c r="J441" s="39"/>
      <c r="K441" s="53"/>
      <c r="L441" s="90"/>
      <c r="M441" s="39"/>
      <c r="N441" s="321"/>
      <c r="O441" s="368"/>
      <c r="P441" s="7"/>
      <c r="Q441" s="7"/>
      <c r="R441" s="82"/>
      <c r="S441" s="16"/>
      <c r="T441" s="16"/>
      <c r="U441" s="39"/>
      <c r="V441" s="7"/>
      <c r="W441" s="7"/>
      <c r="X441" s="93"/>
      <c r="Y441" s="131"/>
      <c r="Z441" s="131"/>
      <c r="AA441" s="131"/>
      <c r="AB441" s="131"/>
      <c r="AC441" s="131"/>
      <c r="AD441" s="323"/>
      <c r="AE441" s="131"/>
      <c r="AF441" s="90"/>
      <c r="AG441" s="104"/>
      <c r="AH441" s="39"/>
      <c r="AI441" s="87"/>
      <c r="AJ441" s="81"/>
      <c r="AK441" s="90"/>
      <c r="AL441" s="81"/>
      <c r="AM441" s="39"/>
      <c r="AN441" s="7"/>
      <c r="AO441" s="82"/>
      <c r="AP441" s="82"/>
      <c r="AQ441" s="82"/>
      <c r="AR441" s="82"/>
      <c r="AS441" s="82"/>
      <c r="AT441" s="82"/>
      <c r="AU441" s="82"/>
      <c r="AV441" s="82"/>
      <c r="AW441" s="7"/>
      <c r="AX441" s="82"/>
      <c r="AY441" s="7"/>
      <c r="AZ441" s="7"/>
      <c r="BA441" s="7"/>
      <c r="BB441" s="7"/>
      <c r="BC441" s="7"/>
      <c r="BD441" s="7"/>
      <c r="BE441" s="7"/>
      <c r="BF441" s="7"/>
      <c r="BG441" s="7"/>
    </row>
    <row r="442">
      <c r="A442" s="39"/>
      <c r="B442" s="39"/>
      <c r="C442" s="7"/>
      <c r="D442" s="53"/>
      <c r="E442" s="7"/>
      <c r="F442" s="53"/>
      <c r="G442" s="16"/>
      <c r="H442" s="81"/>
      <c r="J442" s="39"/>
      <c r="K442" s="53"/>
      <c r="L442" s="90"/>
      <c r="M442" s="39"/>
      <c r="N442" s="327"/>
      <c r="O442" s="367"/>
      <c r="P442" s="7"/>
      <c r="Q442" s="7"/>
      <c r="R442" s="82"/>
      <c r="S442" s="81"/>
      <c r="T442" s="81"/>
      <c r="U442" s="39"/>
      <c r="V442" s="7"/>
      <c r="W442" s="7"/>
      <c r="X442" s="93"/>
      <c r="Y442" s="131"/>
      <c r="Z442" s="131"/>
      <c r="AA442" s="131"/>
      <c r="AB442" s="131"/>
      <c r="AC442" s="131"/>
      <c r="AD442" s="323"/>
      <c r="AE442" s="131"/>
      <c r="AF442" s="90"/>
      <c r="AG442" s="104"/>
      <c r="AH442" s="39"/>
      <c r="AI442" s="87"/>
      <c r="AJ442" s="81"/>
      <c r="AK442" s="90"/>
      <c r="AL442" s="81"/>
      <c r="AM442" s="31"/>
      <c r="AN442" s="7"/>
      <c r="AO442" s="82"/>
      <c r="AP442" s="82"/>
      <c r="AQ442" s="7"/>
      <c r="AR442" s="7"/>
      <c r="AS442" s="7"/>
      <c r="AT442" s="7"/>
      <c r="AU442" s="7"/>
      <c r="AV442" s="7"/>
      <c r="AW442" s="7"/>
      <c r="AX442" s="82"/>
      <c r="AY442" s="7"/>
      <c r="AZ442" s="7"/>
      <c r="BA442" s="7"/>
      <c r="BB442" s="7"/>
      <c r="BC442" s="7"/>
      <c r="BD442" s="7"/>
      <c r="BE442" s="7"/>
      <c r="BF442" s="7"/>
      <c r="BG442" s="7"/>
    </row>
    <row r="443">
      <c r="A443" s="39"/>
      <c r="B443" s="39"/>
      <c r="C443" s="7"/>
      <c r="D443" s="53"/>
      <c r="E443" s="7"/>
      <c r="F443" s="53"/>
      <c r="G443" s="16"/>
      <c r="H443" s="81"/>
      <c r="J443" s="39"/>
      <c r="K443" s="53"/>
      <c r="L443" s="90"/>
      <c r="M443" s="39"/>
      <c r="N443" s="327"/>
      <c r="O443" s="367"/>
      <c r="P443" s="82"/>
      <c r="Q443" s="82"/>
      <c r="R443" s="82"/>
      <c r="S443" s="81"/>
      <c r="T443" s="16"/>
      <c r="U443" s="39"/>
      <c r="V443" s="7"/>
      <c r="W443" s="7"/>
      <c r="X443" s="93"/>
      <c r="Y443" s="131"/>
      <c r="Z443" s="131"/>
      <c r="AA443" s="131"/>
      <c r="AB443" s="131"/>
      <c r="AC443" s="131"/>
      <c r="AD443" s="323"/>
      <c r="AE443" s="131"/>
      <c r="AF443" s="90"/>
      <c r="AG443" s="104"/>
      <c r="AH443" s="39"/>
      <c r="AI443" s="87"/>
      <c r="AJ443" s="81"/>
      <c r="AK443" s="90"/>
      <c r="AL443" s="81"/>
      <c r="AM443" s="39"/>
      <c r="AN443" s="7"/>
      <c r="AO443" s="82"/>
      <c r="AP443" s="82"/>
      <c r="AQ443" s="7"/>
      <c r="AR443" s="7"/>
      <c r="AS443" s="82"/>
      <c r="AT443" s="82"/>
      <c r="AU443" s="82"/>
      <c r="AV443" s="82"/>
      <c r="AW443" s="7"/>
      <c r="AX443" s="82"/>
      <c r="AY443" s="7"/>
      <c r="AZ443" s="7"/>
      <c r="BA443" s="7"/>
      <c r="BB443" s="7"/>
      <c r="BC443" s="7"/>
      <c r="BD443" s="7"/>
      <c r="BE443" s="7"/>
      <c r="BF443" s="7"/>
      <c r="BG443" s="7"/>
    </row>
    <row r="444">
      <c r="A444" s="39"/>
      <c r="B444" s="39"/>
      <c r="C444" s="7"/>
      <c r="D444" s="53"/>
      <c r="E444" s="7"/>
      <c r="F444" s="53"/>
      <c r="G444" s="16"/>
      <c r="H444" s="81"/>
      <c r="J444" s="39"/>
      <c r="K444" s="53"/>
      <c r="L444" s="90"/>
      <c r="M444" s="39"/>
      <c r="N444" s="327"/>
      <c r="O444" s="367"/>
      <c r="P444" s="82"/>
      <c r="Q444" s="82"/>
      <c r="R444" s="82"/>
      <c r="S444" s="81"/>
      <c r="T444" s="16"/>
      <c r="U444" s="39"/>
      <c r="V444" s="7"/>
      <c r="W444" s="7"/>
      <c r="X444" s="93"/>
      <c r="Y444" s="131"/>
      <c r="Z444" s="131"/>
      <c r="AA444" s="131"/>
      <c r="AB444" s="131"/>
      <c r="AC444" s="131"/>
      <c r="AD444" s="323"/>
      <c r="AE444" s="131"/>
      <c r="AF444" s="90"/>
      <c r="AG444" s="104"/>
      <c r="AH444" s="39"/>
      <c r="AI444" s="87"/>
      <c r="AJ444" s="81"/>
      <c r="AK444" s="90"/>
      <c r="AL444" s="81"/>
      <c r="AM444" s="39"/>
      <c r="AN444" s="7"/>
      <c r="AO444" s="82"/>
      <c r="AP444" s="82"/>
      <c r="AQ444" s="7"/>
      <c r="AR444" s="7"/>
      <c r="AS444" s="82"/>
      <c r="AT444" s="82"/>
      <c r="AU444" s="82"/>
      <c r="AV444" s="82"/>
      <c r="AW444" s="7"/>
      <c r="AX444" s="82"/>
      <c r="AY444" s="7"/>
      <c r="AZ444" s="7"/>
      <c r="BA444" s="7"/>
      <c r="BB444" s="7"/>
      <c r="BC444" s="7"/>
      <c r="BD444" s="7"/>
      <c r="BE444" s="7"/>
      <c r="BF444" s="7"/>
      <c r="BG444" s="7"/>
    </row>
    <row r="445">
      <c r="A445" s="39"/>
      <c r="B445" s="39"/>
      <c r="C445" s="7"/>
      <c r="D445" s="53"/>
      <c r="E445" s="7"/>
      <c r="F445" s="53"/>
      <c r="G445" s="16"/>
      <c r="H445" s="81"/>
      <c r="J445" s="39"/>
      <c r="K445" s="53"/>
      <c r="L445" s="90"/>
      <c r="M445" s="39"/>
      <c r="N445" s="327"/>
      <c r="O445" s="367"/>
      <c r="P445" s="82"/>
      <c r="Q445" s="82"/>
      <c r="R445" s="82"/>
      <c r="S445" s="81"/>
      <c r="T445" s="16"/>
      <c r="U445" s="39"/>
      <c r="V445" s="7"/>
      <c r="W445" s="7"/>
      <c r="X445" s="93"/>
      <c r="Y445" s="131"/>
      <c r="Z445" s="131"/>
      <c r="AA445" s="131"/>
      <c r="AB445" s="131"/>
      <c r="AC445" s="131"/>
      <c r="AD445" s="323"/>
      <c r="AE445" s="131"/>
      <c r="AF445" s="90"/>
      <c r="AG445" s="104"/>
      <c r="AH445" s="39"/>
      <c r="AI445" s="87"/>
      <c r="AJ445" s="81"/>
      <c r="AK445" s="90"/>
      <c r="AL445" s="81"/>
      <c r="AM445" s="39"/>
      <c r="AN445" s="7"/>
      <c r="AO445" s="82"/>
      <c r="AP445" s="82"/>
      <c r="AQ445" s="7"/>
      <c r="AR445" s="7"/>
      <c r="AS445" s="82"/>
      <c r="AT445" s="82"/>
      <c r="AU445" s="82"/>
      <c r="AV445" s="82"/>
      <c r="AW445" s="7"/>
      <c r="AX445" s="82"/>
      <c r="AY445" s="7"/>
      <c r="AZ445" s="7"/>
      <c r="BA445" s="7"/>
      <c r="BB445" s="7"/>
      <c r="BC445" s="7"/>
      <c r="BD445" s="7"/>
      <c r="BE445" s="7"/>
      <c r="BF445" s="7"/>
      <c r="BG445" s="7"/>
    </row>
    <row r="446">
      <c r="A446" s="39"/>
      <c r="B446" s="39"/>
      <c r="C446" s="7"/>
      <c r="D446" s="53"/>
      <c r="E446" s="7"/>
      <c r="F446" s="53"/>
      <c r="G446" s="16"/>
      <c r="H446" s="81"/>
      <c r="J446" s="39"/>
      <c r="K446" s="53"/>
      <c r="L446" s="90"/>
      <c r="M446" s="39"/>
      <c r="N446" s="327"/>
      <c r="O446" s="367"/>
      <c r="P446" s="82"/>
      <c r="Q446" s="82"/>
      <c r="R446" s="82"/>
      <c r="S446" s="81"/>
      <c r="T446" s="16"/>
      <c r="U446" s="39"/>
      <c r="V446" s="7"/>
      <c r="W446" s="7"/>
      <c r="X446" s="93"/>
      <c r="Y446" s="131"/>
      <c r="Z446" s="131"/>
      <c r="AA446" s="131"/>
      <c r="AB446" s="131"/>
      <c r="AC446" s="131"/>
      <c r="AD446" s="323"/>
      <c r="AE446" s="131"/>
      <c r="AF446" s="90"/>
      <c r="AG446" s="104"/>
      <c r="AH446" s="39"/>
      <c r="AI446" s="87"/>
      <c r="AJ446" s="81"/>
      <c r="AK446" s="90"/>
      <c r="AL446" s="81"/>
      <c r="AM446" s="39"/>
      <c r="AN446" s="7"/>
      <c r="AO446" s="82"/>
      <c r="AP446" s="82"/>
      <c r="AQ446" s="7"/>
      <c r="AR446" s="7"/>
      <c r="AS446" s="82"/>
      <c r="AT446" s="82"/>
      <c r="AU446" s="82"/>
      <c r="AV446" s="82"/>
      <c r="AW446" s="7"/>
      <c r="AX446" s="82"/>
      <c r="AY446" s="7"/>
      <c r="AZ446" s="7"/>
      <c r="BA446" s="7"/>
      <c r="BB446" s="7"/>
      <c r="BC446" s="7"/>
      <c r="BD446" s="7"/>
      <c r="BE446" s="7"/>
      <c r="BF446" s="7"/>
      <c r="BG446" s="7"/>
    </row>
    <row r="447">
      <c r="A447" s="39"/>
      <c r="B447" s="39"/>
      <c r="C447" s="7"/>
      <c r="D447" s="53"/>
      <c r="E447" s="7"/>
      <c r="F447" s="53"/>
      <c r="G447" s="16"/>
      <c r="H447" s="81"/>
      <c r="J447" s="39"/>
      <c r="K447" s="53"/>
      <c r="L447" s="90"/>
      <c r="M447" s="39"/>
      <c r="N447" s="327"/>
      <c r="O447" s="367"/>
      <c r="P447" s="82"/>
      <c r="Q447" s="82"/>
      <c r="R447" s="82"/>
      <c r="S447" s="81"/>
      <c r="T447" s="81"/>
      <c r="U447" s="39"/>
      <c r="V447" s="7"/>
      <c r="W447" s="7"/>
      <c r="X447" s="93"/>
      <c r="Y447" s="131"/>
      <c r="Z447" s="131"/>
      <c r="AA447" s="131"/>
      <c r="AB447" s="131"/>
      <c r="AC447" s="131"/>
      <c r="AD447" s="323"/>
      <c r="AE447" s="131"/>
      <c r="AF447" s="90"/>
      <c r="AG447" s="104"/>
      <c r="AH447" s="39"/>
      <c r="AI447" s="87"/>
      <c r="AJ447" s="81"/>
      <c r="AK447" s="90"/>
      <c r="AL447" s="81"/>
      <c r="AM447" s="39"/>
      <c r="AN447" s="7"/>
      <c r="AO447" s="82"/>
      <c r="AP447" s="82"/>
      <c r="AQ447" s="7"/>
      <c r="AR447" s="82"/>
      <c r="AS447" s="82"/>
      <c r="AT447" s="82"/>
      <c r="AU447" s="82"/>
      <c r="AV447" s="82"/>
      <c r="AW447" s="7"/>
      <c r="AX447" s="82"/>
      <c r="AY447" s="7"/>
      <c r="AZ447" s="7"/>
      <c r="BA447" s="7"/>
      <c r="BB447" s="7"/>
      <c r="BC447" s="7"/>
      <c r="BD447" s="7"/>
      <c r="BE447" s="7"/>
      <c r="BF447" s="7"/>
      <c r="BG447" s="7"/>
    </row>
    <row r="448">
      <c r="A448" s="39"/>
      <c r="B448" s="39"/>
      <c r="C448" s="7"/>
      <c r="D448" s="53"/>
      <c r="E448" s="7"/>
      <c r="F448" s="53"/>
      <c r="G448" s="16"/>
      <c r="H448" s="81"/>
      <c r="J448" s="39"/>
      <c r="K448" s="53"/>
      <c r="L448" s="90"/>
      <c r="M448" s="39"/>
      <c r="N448" s="327"/>
      <c r="O448" s="367"/>
      <c r="P448" s="82"/>
      <c r="Q448" s="82"/>
      <c r="R448" s="82"/>
      <c r="S448" s="81"/>
      <c r="T448" s="16"/>
      <c r="U448" s="39"/>
      <c r="V448" s="7"/>
      <c r="W448" s="7"/>
      <c r="X448" s="93"/>
      <c r="Y448" s="131"/>
      <c r="Z448" s="131"/>
      <c r="AA448" s="131"/>
      <c r="AB448" s="131"/>
      <c r="AC448" s="131"/>
      <c r="AD448" s="323"/>
      <c r="AE448" s="131"/>
      <c r="AF448" s="90"/>
      <c r="AG448" s="104"/>
      <c r="AH448" s="39"/>
      <c r="AI448" s="87"/>
      <c r="AJ448" s="81"/>
      <c r="AK448" s="90"/>
      <c r="AL448" s="81"/>
      <c r="AM448" s="39"/>
      <c r="AN448" s="7"/>
      <c r="AO448" s="82"/>
      <c r="AP448" s="82"/>
      <c r="AQ448" s="7"/>
      <c r="AR448" s="82"/>
      <c r="AS448" s="82"/>
      <c r="AT448" s="82"/>
      <c r="AU448" s="82"/>
      <c r="AV448" s="82"/>
      <c r="AW448" s="7"/>
      <c r="AX448" s="82"/>
      <c r="AY448" s="7"/>
      <c r="AZ448" s="7"/>
      <c r="BA448" s="7"/>
      <c r="BB448" s="7"/>
      <c r="BC448" s="7"/>
      <c r="BD448" s="7"/>
      <c r="BE448" s="7"/>
      <c r="BF448" s="7"/>
      <c r="BG448" s="7"/>
    </row>
    <row r="449">
      <c r="A449" s="39"/>
      <c r="B449" s="39"/>
      <c r="C449" s="7"/>
      <c r="D449" s="53"/>
      <c r="E449" s="7"/>
      <c r="F449" s="53"/>
      <c r="G449" s="16"/>
      <c r="H449" s="81"/>
      <c r="J449" s="39"/>
      <c r="K449" s="53"/>
      <c r="L449" s="90"/>
      <c r="M449" s="39"/>
      <c r="N449" s="327"/>
      <c r="O449" s="368"/>
      <c r="P449" s="82"/>
      <c r="Q449" s="82"/>
      <c r="R449" s="82"/>
      <c r="S449" s="81"/>
      <c r="T449" s="16"/>
      <c r="U449" s="39"/>
      <c r="V449" s="7"/>
      <c r="W449" s="7"/>
      <c r="X449" s="93"/>
      <c r="Y449" s="131"/>
      <c r="Z449" s="131"/>
      <c r="AA449" s="131"/>
      <c r="AB449" s="131"/>
      <c r="AC449" s="131"/>
      <c r="AD449" s="323"/>
      <c r="AE449" s="131"/>
      <c r="AF449" s="90"/>
      <c r="AG449" s="104"/>
      <c r="AH449" s="39"/>
      <c r="AI449" s="87"/>
      <c r="AJ449" s="81"/>
      <c r="AK449" s="90"/>
      <c r="AL449" s="81"/>
      <c r="AM449" s="39"/>
      <c r="AN449" s="7"/>
      <c r="AO449" s="82"/>
      <c r="AP449" s="82"/>
      <c r="AQ449" s="7"/>
      <c r="AR449" s="82"/>
      <c r="AS449" s="82"/>
      <c r="AT449" s="82"/>
      <c r="AU449" s="82"/>
      <c r="AV449" s="82"/>
      <c r="AW449" s="7"/>
      <c r="AX449" s="82"/>
      <c r="AY449" s="7"/>
      <c r="AZ449" s="7"/>
      <c r="BA449" s="7"/>
      <c r="BB449" s="7"/>
      <c r="BC449" s="7"/>
      <c r="BD449" s="7"/>
      <c r="BE449" s="7"/>
      <c r="BF449" s="7"/>
      <c r="BG449" s="7"/>
    </row>
    <row r="450">
      <c r="A450" s="39"/>
      <c r="B450" s="39"/>
      <c r="C450" s="7"/>
      <c r="D450" s="53"/>
      <c r="E450" s="7"/>
      <c r="F450" s="53"/>
      <c r="G450" s="16"/>
      <c r="H450" s="81"/>
      <c r="J450" s="39"/>
      <c r="K450" s="53"/>
      <c r="L450" s="90"/>
      <c r="M450" s="39"/>
      <c r="N450" s="327"/>
      <c r="O450" s="367"/>
      <c r="P450" s="7"/>
      <c r="Q450" s="7"/>
      <c r="R450" s="82"/>
      <c r="S450" s="81"/>
      <c r="T450" s="39"/>
      <c r="U450" s="39"/>
      <c r="V450" s="7"/>
      <c r="W450" s="7"/>
      <c r="X450" s="93"/>
      <c r="Y450" s="131"/>
      <c r="Z450" s="131"/>
      <c r="AA450" s="131"/>
      <c r="AB450" s="131"/>
      <c r="AC450" s="131"/>
      <c r="AD450" s="323"/>
      <c r="AE450" s="131"/>
      <c r="AF450" s="90"/>
      <c r="AG450" s="104"/>
      <c r="AH450" s="39"/>
      <c r="AI450" s="87"/>
      <c r="AJ450" s="81"/>
      <c r="AK450" s="90"/>
      <c r="AL450" s="81"/>
      <c r="AM450" s="39"/>
      <c r="AN450" s="7"/>
      <c r="AO450" s="82"/>
      <c r="AP450" s="82"/>
      <c r="AQ450" s="7"/>
      <c r="AR450" s="82"/>
      <c r="AS450" s="82"/>
      <c r="AT450" s="82"/>
      <c r="AU450" s="82"/>
      <c r="AV450" s="82"/>
      <c r="AW450" s="7"/>
      <c r="AX450" s="82"/>
      <c r="AY450" s="7"/>
      <c r="AZ450" s="7"/>
      <c r="BA450" s="7"/>
      <c r="BB450" s="7"/>
      <c r="BC450" s="7"/>
      <c r="BD450" s="7"/>
      <c r="BE450" s="7"/>
      <c r="BF450" s="7"/>
      <c r="BG450" s="7"/>
    </row>
    <row r="451">
      <c r="A451" s="39"/>
      <c r="B451" s="39"/>
      <c r="C451" s="7"/>
      <c r="D451" s="53"/>
      <c r="E451" s="7"/>
      <c r="F451" s="53"/>
      <c r="G451" s="16"/>
      <c r="H451" s="81"/>
      <c r="J451" s="39"/>
      <c r="K451" s="53"/>
      <c r="L451" s="90"/>
      <c r="M451" s="39"/>
      <c r="N451" s="327"/>
      <c r="O451" s="367"/>
      <c r="P451" s="82"/>
      <c r="Q451" s="82"/>
      <c r="R451" s="82"/>
      <c r="S451" s="81"/>
      <c r="T451" s="16"/>
      <c r="U451" s="39"/>
      <c r="V451" s="7"/>
      <c r="W451" s="7"/>
      <c r="X451" s="93"/>
      <c r="Y451" s="131"/>
      <c r="Z451" s="131"/>
      <c r="AA451" s="131"/>
      <c r="AB451" s="131"/>
      <c r="AC451" s="131"/>
      <c r="AD451" s="323"/>
      <c r="AE451" s="131"/>
      <c r="AF451" s="90"/>
      <c r="AG451" s="104"/>
      <c r="AH451" s="39"/>
      <c r="AI451" s="87"/>
      <c r="AJ451" s="81"/>
      <c r="AK451" s="90"/>
      <c r="AL451" s="81"/>
      <c r="AM451" s="39"/>
      <c r="AN451" s="7"/>
      <c r="AO451" s="82"/>
      <c r="AP451" s="82"/>
      <c r="AQ451" s="7"/>
      <c r="AR451" s="82"/>
      <c r="AS451" s="82"/>
      <c r="AT451" s="82"/>
      <c r="AU451" s="82"/>
      <c r="AV451" s="82"/>
      <c r="AW451" s="7"/>
      <c r="AX451" s="82"/>
      <c r="AY451" s="7"/>
      <c r="AZ451" s="7"/>
      <c r="BA451" s="7"/>
      <c r="BB451" s="7"/>
      <c r="BC451" s="7"/>
      <c r="BD451" s="7"/>
      <c r="BE451" s="7"/>
      <c r="BF451" s="7"/>
      <c r="BG451" s="7"/>
    </row>
    <row r="452">
      <c r="A452" s="39"/>
      <c r="B452" s="39"/>
      <c r="C452" s="7"/>
      <c r="D452" s="53"/>
      <c r="E452" s="7"/>
      <c r="F452" s="53"/>
      <c r="G452" s="16"/>
      <c r="H452" s="16"/>
      <c r="J452" s="39"/>
      <c r="K452" s="53"/>
      <c r="L452" s="90"/>
      <c r="M452" s="39"/>
      <c r="N452" s="327"/>
      <c r="O452" s="367"/>
      <c r="P452" s="82"/>
      <c r="Q452" s="82"/>
      <c r="R452" s="82"/>
      <c r="S452" s="16"/>
      <c r="T452" s="16"/>
      <c r="U452" s="39"/>
      <c r="V452" s="7"/>
      <c r="W452" s="7"/>
      <c r="X452" s="93"/>
      <c r="Y452" s="131"/>
      <c r="Z452" s="131"/>
      <c r="AA452" s="131"/>
      <c r="AB452" s="85"/>
      <c r="AC452" s="85"/>
      <c r="AD452" s="325"/>
      <c r="AE452" s="85"/>
      <c r="AF452" s="90"/>
      <c r="AG452" s="104"/>
      <c r="AH452" s="39"/>
      <c r="AI452" s="87"/>
      <c r="AJ452" s="81"/>
      <c r="AK452" s="90"/>
      <c r="AL452" s="81"/>
      <c r="AM452" s="39"/>
      <c r="AN452" s="7"/>
      <c r="AO452" s="82"/>
      <c r="AP452" s="82"/>
      <c r="AQ452" s="82"/>
      <c r="AR452" s="82"/>
      <c r="AS452" s="82"/>
      <c r="AT452" s="82"/>
      <c r="AU452" s="82"/>
      <c r="AV452" s="82"/>
      <c r="AW452" s="7"/>
      <c r="AX452" s="82"/>
      <c r="AY452" s="7"/>
      <c r="AZ452" s="7"/>
      <c r="BA452" s="7"/>
      <c r="BB452" s="7"/>
      <c r="BC452" s="7"/>
      <c r="BD452" s="7"/>
      <c r="BE452" s="7"/>
      <c r="BF452" s="7"/>
      <c r="BG452" s="7"/>
    </row>
    <row r="453">
      <c r="A453" s="39"/>
      <c r="B453" s="39"/>
      <c r="C453" s="7"/>
      <c r="D453" s="53"/>
      <c r="E453" s="7"/>
      <c r="F453" s="53"/>
      <c r="G453" s="16"/>
      <c r="H453" s="16"/>
      <c r="J453" s="39"/>
      <c r="K453" s="53"/>
      <c r="L453" s="90"/>
      <c r="M453" s="39"/>
      <c r="N453" s="327"/>
      <c r="O453" s="367"/>
      <c r="P453" s="82"/>
      <c r="Q453" s="82"/>
      <c r="R453" s="82"/>
      <c r="S453" s="16"/>
      <c r="T453" s="16"/>
      <c r="U453" s="39"/>
      <c r="V453" s="7"/>
      <c r="W453" s="7"/>
      <c r="X453" s="93"/>
      <c r="Y453" s="131"/>
      <c r="Z453" s="131"/>
      <c r="AA453" s="131"/>
      <c r="AB453" s="85"/>
      <c r="AC453" s="85"/>
      <c r="AD453" s="325"/>
      <c r="AE453" s="85"/>
      <c r="AF453" s="90"/>
      <c r="AG453" s="104"/>
      <c r="AH453" s="39"/>
      <c r="AI453" s="87"/>
      <c r="AJ453" s="81"/>
      <c r="AK453" s="90"/>
      <c r="AL453" s="81"/>
      <c r="AM453" s="39"/>
      <c r="AN453" s="7"/>
      <c r="AO453" s="82"/>
      <c r="AP453" s="82"/>
      <c r="AQ453" s="82"/>
      <c r="AR453" s="7"/>
      <c r="AS453" s="82"/>
      <c r="AT453" s="7"/>
      <c r="AU453" s="82"/>
      <c r="AV453" s="7"/>
      <c r="AW453" s="7"/>
      <c r="AX453" s="82"/>
      <c r="AY453" s="7"/>
      <c r="AZ453" s="7"/>
      <c r="BA453" s="7"/>
      <c r="BB453" s="7"/>
      <c r="BC453" s="7"/>
      <c r="BD453" s="7"/>
      <c r="BE453" s="7"/>
      <c r="BF453" s="7"/>
      <c r="BG453" s="7"/>
    </row>
    <row r="454">
      <c r="A454" s="39"/>
      <c r="B454" s="39"/>
      <c r="C454" s="7"/>
      <c r="D454" s="53"/>
      <c r="E454" s="7"/>
      <c r="F454" s="53"/>
      <c r="G454" s="16"/>
      <c r="H454" s="16"/>
      <c r="J454" s="39"/>
      <c r="K454" s="53"/>
      <c r="L454" s="90"/>
      <c r="M454" s="39"/>
      <c r="N454" s="327"/>
      <c r="O454" s="367"/>
      <c r="P454" s="82"/>
      <c r="Q454" s="82"/>
      <c r="R454" s="82"/>
      <c r="S454" s="16"/>
      <c r="T454" s="16"/>
      <c r="U454" s="39"/>
      <c r="V454" s="7"/>
      <c r="W454" s="7"/>
      <c r="X454" s="93"/>
      <c r="Y454" s="131"/>
      <c r="Z454" s="131"/>
      <c r="AA454" s="131"/>
      <c r="AB454" s="85"/>
      <c r="AC454" s="85"/>
      <c r="AD454" s="325"/>
      <c r="AE454" s="85"/>
      <c r="AF454" s="90"/>
      <c r="AG454" s="104"/>
      <c r="AH454" s="39"/>
      <c r="AI454" s="87"/>
      <c r="AJ454" s="81"/>
      <c r="AK454" s="90"/>
      <c r="AL454" s="81"/>
      <c r="AM454" s="39"/>
      <c r="AN454" s="7"/>
      <c r="AO454" s="82"/>
      <c r="AP454" s="82"/>
      <c r="AQ454" s="82"/>
      <c r="AR454" s="7"/>
      <c r="AS454" s="82"/>
      <c r="AT454" s="7"/>
      <c r="AU454" s="82"/>
      <c r="AV454" s="7"/>
      <c r="AW454" s="7"/>
      <c r="AX454" s="82"/>
      <c r="AY454" s="7"/>
      <c r="AZ454" s="7"/>
      <c r="BA454" s="7"/>
      <c r="BB454" s="7"/>
      <c r="BC454" s="7"/>
      <c r="BD454" s="7"/>
      <c r="BE454" s="7"/>
      <c r="BF454" s="7"/>
      <c r="BG454" s="7"/>
    </row>
    <row r="455">
      <c r="A455" s="39"/>
      <c r="B455" s="39"/>
      <c r="C455" s="7"/>
      <c r="D455" s="53"/>
      <c r="E455" s="7"/>
      <c r="F455" s="53"/>
      <c r="G455" s="16"/>
      <c r="H455" s="16"/>
      <c r="J455" s="39"/>
      <c r="K455" s="53"/>
      <c r="L455" s="90"/>
      <c r="M455" s="39"/>
      <c r="N455" s="327"/>
      <c r="O455" s="367"/>
      <c r="P455" s="82"/>
      <c r="Q455" s="82"/>
      <c r="R455" s="82"/>
      <c r="S455" s="16"/>
      <c r="T455" s="16"/>
      <c r="U455" s="39"/>
      <c r="V455" s="7"/>
      <c r="W455" s="7"/>
      <c r="X455" s="93"/>
      <c r="Y455" s="131"/>
      <c r="Z455" s="131"/>
      <c r="AA455" s="131"/>
      <c r="AB455" s="85"/>
      <c r="AC455" s="85"/>
      <c r="AD455" s="325"/>
      <c r="AE455" s="85"/>
      <c r="AF455" s="90"/>
      <c r="AG455" s="104"/>
      <c r="AH455" s="39"/>
      <c r="AI455" s="87"/>
      <c r="AJ455" s="81"/>
      <c r="AK455" s="90"/>
      <c r="AL455" s="81"/>
      <c r="AM455" s="39"/>
      <c r="AN455" s="7"/>
      <c r="AO455" s="82"/>
      <c r="AP455" s="82"/>
      <c r="AQ455" s="82"/>
      <c r="AR455" s="82"/>
      <c r="AS455" s="82"/>
      <c r="AT455" s="82"/>
      <c r="AU455" s="82"/>
      <c r="AV455" s="82"/>
      <c r="AW455" s="7"/>
      <c r="AX455" s="82"/>
      <c r="AY455" s="7"/>
      <c r="AZ455" s="7"/>
      <c r="BA455" s="7"/>
      <c r="BB455" s="7"/>
      <c r="BC455" s="7"/>
      <c r="BD455" s="7"/>
      <c r="BE455" s="7"/>
      <c r="BF455" s="7"/>
      <c r="BG455" s="7"/>
    </row>
    <row r="456">
      <c r="A456" s="39"/>
      <c r="B456" s="39"/>
      <c r="C456" s="7"/>
      <c r="D456" s="53"/>
      <c r="E456" s="7"/>
      <c r="F456" s="53"/>
      <c r="G456" s="16"/>
      <c r="H456" s="16"/>
      <c r="J456" s="39"/>
      <c r="K456" s="53"/>
      <c r="L456" s="90"/>
      <c r="M456" s="39"/>
      <c r="N456" s="327"/>
      <c r="O456" s="367"/>
      <c r="P456" s="82"/>
      <c r="Q456" s="82"/>
      <c r="R456" s="82"/>
      <c r="S456" s="16"/>
      <c r="T456" s="16"/>
      <c r="U456" s="39"/>
      <c r="V456" s="7"/>
      <c r="W456" s="7"/>
      <c r="X456" s="93"/>
      <c r="Y456" s="131"/>
      <c r="Z456" s="131"/>
      <c r="AA456" s="131"/>
      <c r="AB456" s="85"/>
      <c r="AC456" s="85"/>
      <c r="AD456" s="325"/>
      <c r="AE456" s="85"/>
      <c r="AF456" s="90"/>
      <c r="AG456" s="104"/>
      <c r="AH456" s="39"/>
      <c r="AI456" s="87"/>
      <c r="AJ456" s="81"/>
      <c r="AK456" s="90"/>
      <c r="AL456" s="81"/>
      <c r="AM456" s="39"/>
      <c r="AN456" s="7"/>
      <c r="AO456" s="82"/>
      <c r="AP456" s="82"/>
      <c r="AQ456" s="7"/>
      <c r="AR456" s="7"/>
      <c r="AS456" s="82"/>
      <c r="AT456" s="7"/>
      <c r="AU456" s="152"/>
      <c r="AV456" s="7"/>
      <c r="AW456" s="7"/>
      <c r="AX456" s="82"/>
      <c r="AY456" s="7"/>
      <c r="AZ456" s="7"/>
      <c r="BA456" s="7"/>
      <c r="BB456" s="7"/>
      <c r="BC456" s="7"/>
      <c r="BD456" s="7"/>
      <c r="BE456" s="7"/>
      <c r="BF456" s="7"/>
      <c r="BG456" s="7"/>
    </row>
    <row r="457">
      <c r="A457" s="39"/>
      <c r="B457" s="39"/>
      <c r="C457" s="7"/>
      <c r="D457" s="53"/>
      <c r="E457" s="7"/>
      <c r="F457" s="53"/>
      <c r="G457" s="16"/>
      <c r="H457" s="16"/>
      <c r="J457" s="39"/>
      <c r="K457" s="53"/>
      <c r="L457" s="90"/>
      <c r="M457" s="39"/>
      <c r="N457" s="327"/>
      <c r="O457" s="367"/>
      <c r="P457" s="82"/>
      <c r="Q457" s="82"/>
      <c r="R457" s="82"/>
      <c r="S457" s="16"/>
      <c r="T457" s="16"/>
      <c r="U457" s="39"/>
      <c r="V457" s="7"/>
      <c r="W457" s="7"/>
      <c r="X457" s="93"/>
      <c r="Y457" s="131"/>
      <c r="Z457" s="131"/>
      <c r="AA457" s="131"/>
      <c r="AB457" s="85"/>
      <c r="AC457" s="85"/>
      <c r="AD457" s="325"/>
      <c r="AE457" s="85"/>
      <c r="AF457" s="90"/>
      <c r="AG457" s="104"/>
      <c r="AH457" s="39"/>
      <c r="AI457" s="87"/>
      <c r="AJ457" s="81"/>
      <c r="AK457" s="90"/>
      <c r="AL457" s="81"/>
      <c r="AM457" s="39"/>
      <c r="AN457" s="7"/>
      <c r="AO457" s="82"/>
      <c r="AP457" s="82"/>
      <c r="AQ457" s="82"/>
      <c r="AR457" s="82"/>
      <c r="AS457" s="82"/>
      <c r="AT457" s="82"/>
      <c r="AU457" s="82"/>
      <c r="AV457" s="82"/>
      <c r="AW457" s="7"/>
      <c r="AX457" s="82"/>
      <c r="AY457" s="7"/>
      <c r="AZ457" s="7"/>
      <c r="BA457" s="7"/>
      <c r="BB457" s="7"/>
      <c r="BC457" s="7"/>
      <c r="BD457" s="7"/>
      <c r="BE457" s="7"/>
      <c r="BF457" s="7"/>
      <c r="BG457" s="7"/>
    </row>
    <row r="458">
      <c r="A458" s="39"/>
      <c r="B458" s="39"/>
      <c r="C458" s="7"/>
      <c r="D458" s="53"/>
      <c r="E458" s="7"/>
      <c r="F458" s="53"/>
      <c r="G458" s="16"/>
      <c r="H458" s="16"/>
      <c r="J458" s="39"/>
      <c r="K458" s="53"/>
      <c r="L458" s="90"/>
      <c r="M458" s="39"/>
      <c r="N458" s="327"/>
      <c r="O458" s="368"/>
      <c r="P458" s="82"/>
      <c r="Q458" s="82"/>
      <c r="R458" s="82"/>
      <c r="S458" s="16"/>
      <c r="T458" s="16"/>
      <c r="U458" s="39"/>
      <c r="V458" s="7"/>
      <c r="W458" s="7"/>
      <c r="X458" s="93"/>
      <c r="Y458" s="131"/>
      <c r="Z458" s="131"/>
      <c r="AA458" s="131"/>
      <c r="AB458" s="85"/>
      <c r="AC458" s="85"/>
      <c r="AD458" s="325"/>
      <c r="AE458" s="85"/>
      <c r="AF458" s="90"/>
      <c r="AG458" s="105"/>
      <c r="AH458" s="39"/>
      <c r="AI458" s="87"/>
      <c r="AJ458" s="81"/>
      <c r="AK458" s="90"/>
      <c r="AL458" s="81"/>
      <c r="AM458" s="39"/>
      <c r="AN458" s="7"/>
      <c r="AO458" s="82"/>
      <c r="AP458" s="82"/>
      <c r="AQ458" s="82"/>
      <c r="AR458" s="82"/>
      <c r="AS458" s="82"/>
      <c r="AT458" s="82"/>
      <c r="AU458" s="82"/>
      <c r="AV458" s="82"/>
      <c r="AW458" s="7"/>
      <c r="AX458" s="82"/>
      <c r="AY458" s="7"/>
      <c r="AZ458" s="7"/>
      <c r="BA458" s="7"/>
      <c r="BB458" s="7"/>
      <c r="BC458" s="7"/>
      <c r="BD458" s="7"/>
      <c r="BE458" s="7"/>
      <c r="BF458" s="7"/>
      <c r="BG458" s="7"/>
    </row>
    <row r="459">
      <c r="A459" s="39"/>
      <c r="B459" s="39"/>
      <c r="C459" s="7"/>
      <c r="D459" s="53"/>
      <c r="E459" s="7"/>
      <c r="F459" s="53"/>
      <c r="G459" s="16"/>
      <c r="H459" s="16"/>
      <c r="J459" s="39"/>
      <c r="K459" s="53"/>
      <c r="L459" s="90"/>
      <c r="M459" s="39"/>
      <c r="N459" s="327"/>
      <c r="O459" s="367"/>
      <c r="P459" s="82"/>
      <c r="Q459" s="82"/>
      <c r="R459" s="82"/>
      <c r="S459" s="16"/>
      <c r="T459" s="16"/>
      <c r="U459" s="39"/>
      <c r="V459" s="7"/>
      <c r="W459" s="7"/>
      <c r="X459" s="93"/>
      <c r="Y459" s="131"/>
      <c r="Z459" s="131"/>
      <c r="AA459" s="131"/>
      <c r="AB459" s="85"/>
      <c r="AC459" s="85"/>
      <c r="AD459" s="325"/>
      <c r="AE459" s="85"/>
      <c r="AF459" s="90"/>
      <c r="AG459" s="105"/>
      <c r="AH459" s="39"/>
      <c r="AI459" s="87"/>
      <c r="AJ459" s="81"/>
      <c r="AK459" s="90"/>
      <c r="AL459" s="81"/>
      <c r="AM459" s="39"/>
      <c r="AN459" s="7"/>
      <c r="AO459" s="82"/>
      <c r="AP459" s="82"/>
      <c r="AQ459" s="82"/>
      <c r="AR459" s="82"/>
      <c r="AS459" s="82"/>
      <c r="AT459" s="82"/>
      <c r="AU459" s="82"/>
      <c r="AV459" s="82"/>
      <c r="AW459" s="7"/>
      <c r="AX459" s="82"/>
      <c r="AY459" s="7"/>
      <c r="AZ459" s="7"/>
      <c r="BA459" s="7"/>
      <c r="BB459" s="7"/>
      <c r="BC459" s="7"/>
      <c r="BD459" s="7"/>
      <c r="BE459" s="7"/>
      <c r="BF459" s="7"/>
      <c r="BG459" s="7"/>
    </row>
    <row r="460">
      <c r="A460" s="39"/>
      <c r="B460" s="39"/>
      <c r="C460" s="7"/>
      <c r="D460" s="53"/>
      <c r="E460" s="7"/>
      <c r="F460" s="53"/>
      <c r="G460" s="16"/>
      <c r="H460" s="16"/>
      <c r="J460" s="39"/>
      <c r="K460" s="53"/>
      <c r="L460" s="90"/>
      <c r="M460" s="39"/>
      <c r="N460" s="327"/>
      <c r="O460" s="367"/>
      <c r="P460" s="82"/>
      <c r="Q460" s="82"/>
      <c r="R460" s="82"/>
      <c r="S460" s="16"/>
      <c r="T460" s="16"/>
      <c r="U460" s="39"/>
      <c r="V460" s="7"/>
      <c r="W460" s="7"/>
      <c r="X460" s="93"/>
      <c r="Y460" s="131"/>
      <c r="Z460" s="131"/>
      <c r="AA460" s="131"/>
      <c r="AB460" s="85"/>
      <c r="AC460" s="85"/>
      <c r="AD460" s="325"/>
      <c r="AE460" s="85"/>
      <c r="AF460" s="90"/>
      <c r="AG460" s="108"/>
      <c r="AH460" s="39"/>
      <c r="AI460" s="87"/>
      <c r="AJ460" s="81"/>
      <c r="AK460" s="90"/>
      <c r="AL460" s="81"/>
      <c r="AM460" s="39"/>
      <c r="AN460" s="7"/>
      <c r="AO460" s="82"/>
      <c r="AP460" s="82"/>
      <c r="AQ460" s="82"/>
      <c r="AR460" s="7"/>
      <c r="AS460" s="82"/>
      <c r="AT460" s="7"/>
      <c r="AU460" s="152"/>
      <c r="AV460" s="7"/>
      <c r="AW460" s="7"/>
      <c r="AX460" s="82"/>
      <c r="AY460" s="7"/>
      <c r="AZ460" s="7"/>
      <c r="BA460" s="7"/>
      <c r="BB460" s="7"/>
      <c r="BC460" s="7"/>
      <c r="BD460" s="7"/>
      <c r="BE460" s="7"/>
      <c r="BF460" s="7"/>
      <c r="BG460" s="7"/>
    </row>
    <row r="461">
      <c r="A461" s="39"/>
      <c r="B461" s="39"/>
      <c r="C461" s="7"/>
      <c r="D461" s="53"/>
      <c r="E461" s="7"/>
      <c r="F461" s="53"/>
      <c r="G461" s="16"/>
      <c r="H461" s="16"/>
      <c r="J461" s="39"/>
      <c r="K461" s="53"/>
      <c r="L461" s="90"/>
      <c r="M461" s="39"/>
      <c r="N461" s="327"/>
      <c r="O461" s="367"/>
      <c r="P461" s="82"/>
      <c r="Q461" s="82"/>
      <c r="R461" s="82"/>
      <c r="S461" s="16"/>
      <c r="T461" s="16"/>
      <c r="U461" s="39"/>
      <c r="V461" s="7"/>
      <c r="W461" s="7"/>
      <c r="X461" s="93"/>
      <c r="Y461" s="131"/>
      <c r="Z461" s="131"/>
      <c r="AA461" s="131"/>
      <c r="AB461" s="85"/>
      <c r="AC461" s="85"/>
      <c r="AD461" s="325"/>
      <c r="AE461" s="85"/>
      <c r="AF461" s="90"/>
      <c r="AG461" s="87"/>
      <c r="AH461" s="39"/>
      <c r="AI461" s="87"/>
      <c r="AJ461" s="81"/>
      <c r="AK461" s="90"/>
      <c r="AL461" s="81"/>
      <c r="AM461" s="39"/>
      <c r="AN461" s="7"/>
      <c r="AO461" s="82"/>
      <c r="AP461" s="82"/>
      <c r="AQ461" s="82"/>
      <c r="AR461" s="7"/>
      <c r="AS461" s="82"/>
      <c r="AT461" s="7"/>
      <c r="AU461" s="82"/>
      <c r="AV461" s="7"/>
      <c r="AW461" s="7"/>
      <c r="AX461" s="82"/>
      <c r="AY461" s="7"/>
      <c r="AZ461" s="7"/>
      <c r="BA461" s="7"/>
      <c r="BB461" s="7"/>
      <c r="BC461" s="7"/>
      <c r="BD461" s="7"/>
      <c r="BE461" s="7"/>
      <c r="BF461" s="7"/>
      <c r="BG461" s="7"/>
    </row>
    <row r="462">
      <c r="A462" s="39"/>
      <c r="B462" s="39"/>
      <c r="C462" s="7"/>
      <c r="D462" s="53"/>
      <c r="E462" s="7"/>
      <c r="F462" s="53"/>
      <c r="G462" s="16"/>
      <c r="H462" s="16"/>
      <c r="J462" s="39"/>
      <c r="K462" s="53"/>
      <c r="L462" s="90"/>
      <c r="M462" s="39"/>
      <c r="N462" s="327"/>
      <c r="O462" s="367"/>
      <c r="P462" s="82"/>
      <c r="Q462" s="82"/>
      <c r="R462" s="82"/>
      <c r="S462" s="16"/>
      <c r="T462" s="16"/>
      <c r="U462" s="39"/>
      <c r="V462" s="7"/>
      <c r="W462" s="7"/>
      <c r="X462" s="93"/>
      <c r="Y462" s="131"/>
      <c r="Z462" s="131"/>
      <c r="AA462" s="131"/>
      <c r="AB462" s="85"/>
      <c r="AC462" s="85"/>
      <c r="AD462" s="325"/>
      <c r="AE462" s="85"/>
      <c r="AF462" s="90"/>
      <c r="AG462" s="87"/>
      <c r="AH462" s="39"/>
      <c r="AI462" s="87"/>
      <c r="AJ462" s="81"/>
      <c r="AK462" s="90"/>
      <c r="AL462" s="81"/>
      <c r="AM462" s="39"/>
      <c r="AN462" s="7"/>
      <c r="AO462" s="82"/>
      <c r="AP462" s="82"/>
      <c r="AQ462" s="82"/>
      <c r="AR462" s="82"/>
      <c r="AS462" s="82"/>
      <c r="AT462" s="82"/>
      <c r="AU462" s="82"/>
      <c r="AV462" s="82"/>
      <c r="AW462" s="7"/>
      <c r="AX462" s="82"/>
      <c r="AY462" s="7"/>
      <c r="AZ462" s="7"/>
      <c r="BA462" s="7"/>
      <c r="BB462" s="7"/>
      <c r="BC462" s="7"/>
      <c r="BD462" s="7"/>
      <c r="BE462" s="7"/>
      <c r="BF462" s="7"/>
      <c r="BG462" s="7"/>
    </row>
    <row r="463">
      <c r="A463" s="39"/>
      <c r="B463" s="39"/>
      <c r="C463" s="7"/>
      <c r="D463" s="53"/>
      <c r="E463" s="7"/>
      <c r="F463" s="53"/>
      <c r="G463" s="16"/>
      <c r="H463" s="16"/>
      <c r="J463" s="39"/>
      <c r="K463" s="53"/>
      <c r="L463" s="90"/>
      <c r="M463" s="39"/>
      <c r="N463" s="327"/>
      <c r="O463" s="368"/>
      <c r="P463" s="7"/>
      <c r="Q463" s="7"/>
      <c r="R463" s="352"/>
      <c r="S463" s="16"/>
      <c r="T463" s="16"/>
      <c r="U463" s="39"/>
      <c r="V463" s="7"/>
      <c r="W463" s="7"/>
      <c r="X463" s="93"/>
      <c r="Y463" s="131"/>
      <c r="Z463" s="131"/>
      <c r="AA463" s="131"/>
      <c r="AB463" s="85"/>
      <c r="AC463" s="85"/>
      <c r="AD463" s="325"/>
      <c r="AE463" s="85"/>
      <c r="AF463" s="90"/>
      <c r="AG463" s="87"/>
      <c r="AH463" s="39"/>
      <c r="AI463" s="87"/>
      <c r="AJ463" s="81"/>
      <c r="AK463" s="90"/>
      <c r="AL463" s="81"/>
      <c r="AM463" s="39"/>
      <c r="AN463" s="7"/>
      <c r="AO463" s="82"/>
      <c r="AP463" s="82"/>
      <c r="AQ463" s="7"/>
      <c r="AR463" s="7"/>
      <c r="AS463" s="7"/>
      <c r="AT463" s="7"/>
      <c r="AU463" s="7"/>
      <c r="AV463" s="7"/>
      <c r="AW463" s="7"/>
      <c r="AX463" s="82"/>
      <c r="AY463" s="7"/>
      <c r="AZ463" s="7"/>
      <c r="BA463" s="7"/>
      <c r="BB463" s="7"/>
      <c r="BC463" s="7"/>
      <c r="BD463" s="7"/>
      <c r="BE463" s="7"/>
      <c r="BF463" s="7"/>
      <c r="BG463" s="7"/>
    </row>
    <row r="464">
      <c r="A464" s="39"/>
      <c r="B464" s="39"/>
      <c r="C464" s="7"/>
      <c r="D464" s="53"/>
      <c r="E464" s="7"/>
      <c r="F464" s="53"/>
      <c r="G464" s="16"/>
      <c r="H464" s="16"/>
      <c r="J464" s="39"/>
      <c r="K464" s="53"/>
      <c r="L464" s="90"/>
      <c r="M464" s="39"/>
      <c r="N464" s="327"/>
      <c r="O464" s="367"/>
      <c r="P464" s="82"/>
      <c r="Q464" s="82"/>
      <c r="R464" s="82"/>
      <c r="S464" s="16"/>
      <c r="T464" s="16"/>
      <c r="U464" s="39"/>
      <c r="V464" s="7"/>
      <c r="W464" s="7"/>
      <c r="X464" s="93"/>
      <c r="Y464" s="131"/>
      <c r="Z464" s="131"/>
      <c r="AA464" s="131"/>
      <c r="AB464" s="85"/>
      <c r="AC464" s="85"/>
      <c r="AD464" s="325"/>
      <c r="AE464" s="85"/>
      <c r="AF464" s="90"/>
      <c r="AG464" s="87"/>
      <c r="AH464" s="39"/>
      <c r="AI464" s="87"/>
      <c r="AJ464" s="81"/>
      <c r="AK464" s="90"/>
      <c r="AL464" s="81"/>
      <c r="AM464" s="39"/>
      <c r="AN464" s="7"/>
      <c r="AO464" s="82"/>
      <c r="AP464" s="82"/>
      <c r="AQ464" s="82"/>
      <c r="AR464" s="82"/>
      <c r="AS464" s="82"/>
      <c r="AT464" s="82"/>
      <c r="AU464" s="82"/>
      <c r="AV464" s="82"/>
      <c r="AW464" s="7"/>
      <c r="AX464" s="82"/>
      <c r="AY464" s="7"/>
      <c r="AZ464" s="7"/>
      <c r="BA464" s="7"/>
      <c r="BB464" s="7"/>
      <c r="BC464" s="7"/>
      <c r="BD464" s="7"/>
      <c r="BE464" s="7"/>
      <c r="BF464" s="7"/>
      <c r="BG464" s="7"/>
    </row>
    <row r="465">
      <c r="A465" s="39"/>
      <c r="B465" s="39"/>
      <c r="C465" s="7"/>
      <c r="D465" s="53"/>
      <c r="E465" s="7"/>
      <c r="F465" s="53"/>
      <c r="G465" s="16"/>
      <c r="H465" s="16"/>
      <c r="J465" s="39"/>
      <c r="K465" s="53"/>
      <c r="L465" s="90"/>
      <c r="M465" s="39"/>
      <c r="N465" s="321"/>
      <c r="O465" s="367"/>
      <c r="P465" s="7"/>
      <c r="Q465" s="7"/>
      <c r="R465" s="82"/>
      <c r="S465" s="16"/>
      <c r="T465" s="16"/>
      <c r="U465" s="39"/>
      <c r="V465" s="7"/>
      <c r="W465" s="7"/>
      <c r="X465" s="93"/>
      <c r="Y465" s="131"/>
      <c r="Z465" s="131"/>
      <c r="AA465" s="131"/>
      <c r="AB465" s="85"/>
      <c r="AC465" s="85"/>
      <c r="AD465" s="325"/>
      <c r="AE465" s="85"/>
      <c r="AF465" s="90"/>
      <c r="AG465" s="87"/>
      <c r="AH465" s="39"/>
      <c r="AI465" s="87"/>
      <c r="AJ465" s="81"/>
      <c r="AK465" s="90"/>
      <c r="AL465" s="81"/>
      <c r="AM465" s="16"/>
      <c r="AN465" s="7"/>
      <c r="AO465" s="82"/>
      <c r="AP465" s="82"/>
      <c r="AQ465" s="7"/>
      <c r="AR465" s="6"/>
      <c r="AS465" s="82"/>
      <c r="AT465" s="7"/>
      <c r="AU465" s="82"/>
      <c r="AV465" s="7"/>
      <c r="AW465" s="7"/>
      <c r="AX465" s="82"/>
      <c r="AY465" s="7"/>
      <c r="AZ465" s="7"/>
      <c r="BA465" s="7"/>
      <c r="BB465" s="7"/>
      <c r="BC465" s="7"/>
      <c r="BD465" s="7"/>
      <c r="BE465" s="7"/>
      <c r="BF465" s="7"/>
      <c r="BG465" s="7"/>
    </row>
    <row r="466">
      <c r="A466" s="39"/>
      <c r="B466" s="39"/>
      <c r="C466" s="7"/>
      <c r="D466" s="53"/>
      <c r="E466" s="7"/>
      <c r="F466" s="53"/>
      <c r="G466" s="16"/>
      <c r="H466" s="16"/>
      <c r="J466" s="39"/>
      <c r="K466" s="53"/>
      <c r="L466" s="90"/>
      <c r="M466" s="39"/>
      <c r="N466" s="327"/>
      <c r="O466" s="367"/>
      <c r="P466" s="7"/>
      <c r="Q466" s="7"/>
      <c r="R466" s="82"/>
      <c r="S466" s="16"/>
      <c r="T466" s="16"/>
      <c r="U466" s="39"/>
      <c r="V466" s="7"/>
      <c r="W466" s="7"/>
      <c r="X466" s="93"/>
      <c r="Y466" s="131"/>
      <c r="Z466" s="131"/>
      <c r="AA466" s="131"/>
      <c r="AB466" s="85"/>
      <c r="AC466" s="85"/>
      <c r="AD466" s="325"/>
      <c r="AE466" s="85"/>
      <c r="AF466" s="90"/>
      <c r="AG466" s="87"/>
      <c r="AH466" s="39"/>
      <c r="AI466" s="87"/>
      <c r="AJ466" s="81"/>
      <c r="AK466" s="90"/>
      <c r="AL466" s="81"/>
      <c r="AM466" s="39"/>
      <c r="AN466" s="7"/>
      <c r="AO466" s="82"/>
      <c r="AP466" s="82"/>
      <c r="AQ466" s="7"/>
      <c r="AR466" s="6"/>
      <c r="AS466" s="7"/>
      <c r="AT466" s="7"/>
      <c r="AU466" s="7"/>
      <c r="AV466" s="7"/>
      <c r="AW466" s="7"/>
      <c r="AX466" s="82"/>
      <c r="AY466" s="7"/>
      <c r="AZ466" s="7"/>
      <c r="BA466" s="7"/>
      <c r="BB466" s="7"/>
      <c r="BC466" s="7"/>
      <c r="BD466" s="7"/>
      <c r="BE466" s="7"/>
      <c r="BF466" s="7"/>
      <c r="BG466" s="7"/>
    </row>
    <row r="467">
      <c r="A467" s="39"/>
      <c r="B467" s="39"/>
      <c r="C467" s="7"/>
      <c r="D467" s="53"/>
      <c r="E467" s="7"/>
      <c r="F467" s="53"/>
      <c r="G467" s="16"/>
      <c r="H467" s="16"/>
      <c r="J467" s="39"/>
      <c r="K467" s="53"/>
      <c r="L467" s="90"/>
      <c r="M467" s="39"/>
      <c r="N467" s="327"/>
      <c r="O467" s="322"/>
      <c r="P467" s="7"/>
      <c r="Q467" s="7"/>
      <c r="R467" s="352"/>
      <c r="S467" s="16"/>
      <c r="T467" s="16"/>
      <c r="U467" s="39"/>
      <c r="V467" s="7"/>
      <c r="W467" s="7"/>
      <c r="X467" s="93"/>
      <c r="Y467" s="131"/>
      <c r="Z467" s="131"/>
      <c r="AA467" s="131"/>
      <c r="AB467" s="85"/>
      <c r="AC467" s="85"/>
      <c r="AD467" s="325"/>
      <c r="AE467" s="85"/>
      <c r="AF467" s="90"/>
      <c r="AG467" s="87"/>
      <c r="AH467" s="39"/>
      <c r="AI467" s="87"/>
      <c r="AJ467" s="81"/>
      <c r="AK467" s="90"/>
      <c r="AL467" s="81"/>
      <c r="AM467" s="16"/>
      <c r="AN467" s="7"/>
      <c r="AO467" s="82"/>
      <c r="AP467" s="82"/>
      <c r="AQ467" s="7"/>
      <c r="AR467" s="6"/>
      <c r="AS467" s="7"/>
      <c r="AT467" s="7"/>
      <c r="AU467" s="7"/>
      <c r="AV467" s="7"/>
      <c r="AW467" s="7"/>
      <c r="AX467" s="82"/>
      <c r="AY467" s="7"/>
      <c r="AZ467" s="7"/>
      <c r="BA467" s="7"/>
      <c r="BB467" s="7"/>
      <c r="BC467" s="7"/>
      <c r="BD467" s="7"/>
      <c r="BE467" s="7"/>
      <c r="BF467" s="7"/>
      <c r="BG467" s="7"/>
    </row>
    <row r="468">
      <c r="A468" s="39"/>
      <c r="B468" s="39"/>
      <c r="C468" s="7"/>
      <c r="D468" s="53"/>
      <c r="E468" s="7"/>
      <c r="F468" s="53"/>
      <c r="G468" s="16"/>
      <c r="H468" s="16"/>
      <c r="J468" s="39"/>
      <c r="K468" s="53"/>
      <c r="L468" s="90"/>
      <c r="M468" s="39"/>
      <c r="N468" s="321"/>
      <c r="O468" s="322"/>
      <c r="P468" s="82"/>
      <c r="Q468" s="82"/>
      <c r="R468" s="82"/>
      <c r="S468" s="16"/>
      <c r="T468" s="16"/>
      <c r="U468" s="39"/>
      <c r="V468" s="7"/>
      <c r="W468" s="7"/>
      <c r="X468" s="93"/>
      <c r="Y468" s="131"/>
      <c r="Z468" s="131"/>
      <c r="AA468" s="131"/>
      <c r="AB468" s="85"/>
      <c r="AC468" s="85"/>
      <c r="AD468" s="325"/>
      <c r="AE468" s="85"/>
      <c r="AF468" s="90"/>
      <c r="AG468" s="87"/>
      <c r="AH468" s="39"/>
      <c r="AI468" s="87"/>
      <c r="AJ468" s="81"/>
      <c r="AK468" s="90"/>
      <c r="AL468" s="81"/>
      <c r="AM468" s="39"/>
      <c r="AN468" s="7"/>
      <c r="AO468" s="82"/>
      <c r="AP468" s="82"/>
      <c r="AQ468" s="7"/>
      <c r="AR468" s="13"/>
      <c r="AS468" s="82"/>
      <c r="AT468" s="82"/>
      <c r="AU468" s="82"/>
      <c r="AV468" s="82"/>
      <c r="AW468" s="7"/>
      <c r="AX468" s="82"/>
      <c r="AY468" s="7"/>
      <c r="AZ468" s="7"/>
      <c r="BA468" s="7"/>
      <c r="BB468" s="7"/>
      <c r="BC468" s="7"/>
      <c r="BD468" s="7"/>
      <c r="BE468" s="7"/>
      <c r="BF468" s="7"/>
      <c r="BG468" s="7"/>
    </row>
    <row r="469">
      <c r="A469" s="39"/>
      <c r="B469" s="39"/>
      <c r="C469" s="7"/>
      <c r="D469" s="53"/>
      <c r="E469" s="7"/>
      <c r="F469" s="53"/>
      <c r="G469" s="16"/>
      <c r="H469" s="16"/>
      <c r="J469" s="39"/>
      <c r="K469" s="53"/>
      <c r="L469" s="90"/>
      <c r="M469" s="39"/>
      <c r="N469" s="321"/>
      <c r="O469" s="322"/>
      <c r="P469" s="82"/>
      <c r="Q469" s="82"/>
      <c r="R469" s="82"/>
      <c r="S469" s="16"/>
      <c r="T469" s="16"/>
      <c r="U469" s="39"/>
      <c r="V469" s="7"/>
      <c r="W469" s="7"/>
      <c r="X469" s="93"/>
      <c r="Y469" s="131"/>
      <c r="Z469" s="131"/>
      <c r="AA469" s="131"/>
      <c r="AB469" s="85"/>
      <c r="AC469" s="85"/>
      <c r="AD469" s="325"/>
      <c r="AE469" s="85"/>
      <c r="AF469" s="90"/>
      <c r="AG469" s="87"/>
      <c r="AH469" s="39"/>
      <c r="AI469" s="87"/>
      <c r="AJ469" s="81"/>
      <c r="AK469" s="90"/>
      <c r="AL469" s="81"/>
      <c r="AM469" s="39"/>
      <c r="AN469" s="7"/>
      <c r="AO469" s="82"/>
      <c r="AP469" s="82"/>
      <c r="AQ469" s="7"/>
      <c r="AR469" s="13"/>
      <c r="AS469" s="82"/>
      <c r="AT469" s="82"/>
      <c r="AU469" s="82"/>
      <c r="AV469" s="82"/>
      <c r="AW469" s="7"/>
      <c r="AX469" s="82"/>
      <c r="AY469" s="7"/>
      <c r="AZ469" s="7"/>
      <c r="BA469" s="7"/>
      <c r="BB469" s="7"/>
      <c r="BC469" s="7"/>
      <c r="BD469" s="7"/>
      <c r="BE469" s="7"/>
      <c r="BF469" s="7"/>
      <c r="BG469" s="7"/>
    </row>
    <row r="470">
      <c r="A470" s="39"/>
      <c r="B470" s="39"/>
      <c r="C470" s="7"/>
      <c r="D470" s="53"/>
      <c r="E470" s="7"/>
      <c r="F470" s="53"/>
      <c r="G470" s="16"/>
      <c r="H470" s="16"/>
      <c r="J470" s="16"/>
      <c r="K470" s="53"/>
      <c r="L470" s="90"/>
      <c r="M470" s="39"/>
      <c r="N470" s="327"/>
      <c r="O470" s="368"/>
      <c r="P470" s="7"/>
      <c r="Q470" s="7"/>
      <c r="R470" s="352"/>
      <c r="S470" s="16"/>
      <c r="T470" s="16"/>
      <c r="U470" s="16"/>
      <c r="V470" s="7"/>
      <c r="W470" s="7"/>
      <c r="X470" s="93"/>
      <c r="Y470" s="131"/>
      <c r="Z470" s="131"/>
      <c r="AA470" s="131"/>
      <c r="AB470" s="85"/>
      <c r="AC470" s="85"/>
      <c r="AD470" s="325"/>
      <c r="AE470" s="85"/>
      <c r="AF470" s="90"/>
      <c r="AG470" s="87"/>
      <c r="AH470" s="39"/>
      <c r="AI470" s="87"/>
      <c r="AJ470" s="81"/>
      <c r="AK470" s="21"/>
      <c r="AL470" s="81"/>
      <c r="AM470" s="39"/>
      <c r="AN470" s="7"/>
      <c r="AO470" s="82"/>
      <c r="AP470" s="82"/>
      <c r="AQ470" s="7"/>
      <c r="AR470" s="13"/>
      <c r="AS470" s="82"/>
      <c r="AT470" s="82"/>
      <c r="AU470" s="82"/>
      <c r="AV470" s="82"/>
      <c r="AW470" s="7"/>
      <c r="AX470" s="82"/>
      <c r="AY470" s="7"/>
      <c r="AZ470" s="7"/>
      <c r="BA470" s="7"/>
      <c r="BB470" s="7"/>
      <c r="BC470" s="7"/>
      <c r="BD470" s="7"/>
      <c r="BE470" s="7"/>
      <c r="BF470" s="7"/>
      <c r="BG470" s="7"/>
    </row>
    <row r="471">
      <c r="A471" s="39"/>
      <c r="B471" s="39"/>
      <c r="C471" s="7"/>
      <c r="D471" s="53"/>
      <c r="E471" s="7"/>
      <c r="F471" s="53"/>
      <c r="G471" s="16"/>
      <c r="H471" s="16"/>
      <c r="J471" s="39"/>
      <c r="K471" s="53"/>
      <c r="L471" s="90"/>
      <c r="M471" s="39"/>
      <c r="N471" s="327"/>
      <c r="O471" s="367"/>
      <c r="P471" s="82"/>
      <c r="Q471" s="82"/>
      <c r="R471" s="82"/>
      <c r="S471" s="16"/>
      <c r="T471" s="16"/>
      <c r="U471" s="39"/>
      <c r="V471" s="7"/>
      <c r="W471" s="7"/>
      <c r="X471" s="93"/>
      <c r="Y471" s="131"/>
      <c r="Z471" s="131"/>
      <c r="AA471" s="131"/>
      <c r="AB471" s="85"/>
      <c r="AC471" s="85"/>
      <c r="AD471" s="325"/>
      <c r="AE471" s="85"/>
      <c r="AF471" s="90"/>
      <c r="AG471" s="87"/>
      <c r="AH471" s="39"/>
      <c r="AI471" s="87"/>
      <c r="AJ471" s="81"/>
      <c r="AK471" s="90"/>
      <c r="AL471" s="81"/>
      <c r="AM471" s="39"/>
      <c r="AN471" s="7"/>
      <c r="AO471" s="82"/>
      <c r="AP471" s="82"/>
      <c r="AQ471" s="7"/>
      <c r="AR471" s="13"/>
      <c r="AS471" s="82"/>
      <c r="AT471" s="82"/>
      <c r="AU471" s="82"/>
      <c r="AV471" s="82"/>
      <c r="AW471" s="7"/>
      <c r="AX471" s="82"/>
      <c r="AY471" s="7"/>
      <c r="AZ471" s="7"/>
      <c r="BA471" s="7"/>
      <c r="BB471" s="7"/>
      <c r="BC471" s="7"/>
      <c r="BD471" s="7"/>
      <c r="BE471" s="7"/>
      <c r="BF471" s="7"/>
      <c r="BG471" s="7"/>
    </row>
    <row r="472">
      <c r="A472" s="39"/>
      <c r="B472" s="39"/>
      <c r="C472" s="7"/>
      <c r="D472" s="53"/>
      <c r="E472" s="7"/>
      <c r="F472" s="53"/>
      <c r="G472" s="16"/>
      <c r="H472" s="16"/>
      <c r="J472" s="16"/>
      <c r="K472" s="53"/>
      <c r="L472" s="90"/>
      <c r="M472" s="39"/>
      <c r="N472" s="321"/>
      <c r="O472" s="322"/>
      <c r="P472" s="82"/>
      <c r="Q472" s="82"/>
      <c r="R472" s="82"/>
      <c r="S472" s="16"/>
      <c r="T472" s="16"/>
      <c r="U472" s="16"/>
      <c r="V472" s="7"/>
      <c r="W472" s="7"/>
      <c r="X472" s="93"/>
      <c r="Y472" s="131"/>
      <c r="Z472" s="131"/>
      <c r="AA472" s="131"/>
      <c r="AB472" s="85"/>
      <c r="AC472" s="85"/>
      <c r="AD472" s="325"/>
      <c r="AE472" s="85"/>
      <c r="AF472" s="90"/>
      <c r="AG472" s="87"/>
      <c r="AH472" s="39"/>
      <c r="AI472" s="87"/>
      <c r="AJ472" s="81"/>
      <c r="AK472" s="21"/>
      <c r="AL472" s="81"/>
      <c r="AM472" s="39"/>
      <c r="AN472" s="7"/>
      <c r="AO472" s="82"/>
      <c r="AP472" s="82"/>
      <c r="AQ472" s="7"/>
      <c r="AR472" s="13"/>
      <c r="AS472" s="82"/>
      <c r="AT472" s="82"/>
      <c r="AU472" s="82"/>
      <c r="AV472" s="82"/>
      <c r="AW472" s="7"/>
      <c r="AX472" s="82"/>
      <c r="AY472" s="7"/>
      <c r="AZ472" s="7"/>
      <c r="BA472" s="7"/>
      <c r="BB472" s="7"/>
      <c r="BC472" s="7"/>
      <c r="BD472" s="7"/>
      <c r="BE472" s="7"/>
      <c r="BF472" s="7"/>
      <c r="BG472" s="7"/>
    </row>
    <row r="473">
      <c r="A473" s="39"/>
      <c r="B473" s="39"/>
      <c r="C473" s="7"/>
      <c r="D473" s="53"/>
      <c r="E473" s="7"/>
      <c r="F473" s="53"/>
      <c r="G473" s="16"/>
      <c r="H473" s="16"/>
      <c r="J473" s="39"/>
      <c r="K473" s="53"/>
      <c r="L473" s="90"/>
      <c r="M473" s="39"/>
      <c r="N473" s="327"/>
      <c r="O473" s="322"/>
      <c r="P473" s="82"/>
      <c r="Q473" s="82"/>
      <c r="R473" s="82"/>
      <c r="S473" s="16"/>
      <c r="T473" s="16"/>
      <c r="U473" s="39"/>
      <c r="V473" s="7"/>
      <c r="W473" s="7"/>
      <c r="X473" s="93"/>
      <c r="Y473" s="131"/>
      <c r="Z473" s="131"/>
      <c r="AA473" s="131"/>
      <c r="AB473" s="85"/>
      <c r="AC473" s="85"/>
      <c r="AD473" s="325"/>
      <c r="AE473" s="85"/>
      <c r="AF473" s="90"/>
      <c r="AG473" s="87"/>
      <c r="AH473" s="39"/>
      <c r="AI473" s="87"/>
      <c r="AJ473" s="81"/>
      <c r="AK473" s="90"/>
      <c r="AL473" s="81"/>
      <c r="AM473" s="39"/>
      <c r="AN473" s="7"/>
      <c r="AO473" s="82"/>
      <c r="AP473" s="82"/>
      <c r="AQ473" s="7"/>
      <c r="AR473" s="13"/>
      <c r="AS473" s="82"/>
      <c r="AT473" s="82"/>
      <c r="AU473" s="82"/>
      <c r="AV473" s="82"/>
      <c r="AW473" s="7"/>
      <c r="AX473" s="82"/>
      <c r="AY473" s="7"/>
      <c r="AZ473" s="7"/>
      <c r="BA473" s="7"/>
      <c r="BB473" s="7"/>
      <c r="BC473" s="7"/>
      <c r="BD473" s="7"/>
      <c r="BE473" s="7"/>
      <c r="BF473" s="7"/>
      <c r="BG473" s="7"/>
    </row>
    <row r="474">
      <c r="A474" s="39"/>
      <c r="B474" s="39"/>
      <c r="C474" s="7"/>
      <c r="D474" s="53"/>
      <c r="E474" s="7"/>
      <c r="F474" s="53"/>
      <c r="G474" s="16"/>
      <c r="H474" s="16"/>
      <c r="J474" s="39"/>
      <c r="K474" s="53"/>
      <c r="L474" s="90"/>
      <c r="M474" s="39"/>
      <c r="N474" s="321"/>
      <c r="O474" s="322"/>
      <c r="P474" s="7"/>
      <c r="Q474" s="7"/>
      <c r="R474" s="352"/>
      <c r="S474" s="16"/>
      <c r="T474" s="16"/>
      <c r="U474" s="39"/>
      <c r="V474" s="7"/>
      <c r="W474" s="7"/>
      <c r="X474" s="93"/>
      <c r="Y474" s="131"/>
      <c r="Z474" s="131"/>
      <c r="AA474" s="131"/>
      <c r="AB474" s="85"/>
      <c r="AC474" s="85"/>
      <c r="AD474" s="325"/>
      <c r="AE474" s="85"/>
      <c r="AF474" s="90"/>
      <c r="AG474" s="87"/>
      <c r="AH474" s="39"/>
      <c r="AI474" s="87"/>
      <c r="AJ474" s="81"/>
      <c r="AK474" s="90"/>
      <c r="AL474" s="81"/>
      <c r="AM474" s="16"/>
      <c r="AN474" s="7"/>
      <c r="AO474" s="82"/>
      <c r="AP474" s="82"/>
      <c r="AQ474" s="7"/>
      <c r="AR474" s="6"/>
      <c r="AS474" s="7"/>
      <c r="AT474" s="7"/>
      <c r="AU474" s="7"/>
      <c r="AV474" s="7"/>
      <c r="AW474" s="7"/>
      <c r="AX474" s="82"/>
      <c r="AY474" s="7"/>
      <c r="AZ474" s="7"/>
      <c r="BA474" s="7"/>
      <c r="BB474" s="7"/>
      <c r="BC474" s="7"/>
      <c r="BD474" s="7"/>
      <c r="BE474" s="7"/>
      <c r="BF474" s="7"/>
      <c r="BG474" s="7"/>
    </row>
    <row r="475">
      <c r="A475" s="39"/>
      <c r="B475" s="39"/>
      <c r="C475" s="7"/>
      <c r="D475" s="53"/>
      <c r="E475" s="7"/>
      <c r="F475" s="53"/>
      <c r="G475" s="16"/>
      <c r="H475" s="16"/>
      <c r="J475" s="39"/>
      <c r="K475" s="53"/>
      <c r="L475" s="90"/>
      <c r="M475" s="39"/>
      <c r="N475" s="321"/>
      <c r="O475" s="322"/>
      <c r="P475" s="82"/>
      <c r="Q475" s="82"/>
      <c r="R475" s="82"/>
      <c r="S475" s="16"/>
      <c r="T475" s="16"/>
      <c r="U475" s="39"/>
      <c r="V475" s="7"/>
      <c r="W475" s="7"/>
      <c r="X475" s="93"/>
      <c r="Y475" s="131"/>
      <c r="Z475" s="131"/>
      <c r="AA475" s="131"/>
      <c r="AB475" s="85"/>
      <c r="AC475" s="85"/>
      <c r="AD475" s="325"/>
      <c r="AE475" s="85"/>
      <c r="AF475" s="90"/>
      <c r="AG475" s="87"/>
      <c r="AH475" s="39"/>
      <c r="AI475" s="87"/>
      <c r="AJ475" s="81"/>
      <c r="AK475" s="90"/>
      <c r="AL475" s="81"/>
      <c r="AM475" s="39"/>
      <c r="AN475" s="7"/>
      <c r="AO475" s="82"/>
      <c r="AP475" s="82"/>
      <c r="AQ475" s="7"/>
      <c r="AR475" s="13"/>
      <c r="AS475" s="82"/>
      <c r="AT475" s="82"/>
      <c r="AU475" s="82"/>
      <c r="AV475" s="82"/>
      <c r="AW475" s="7"/>
      <c r="AX475" s="82"/>
      <c r="AY475" s="7"/>
      <c r="AZ475" s="7"/>
      <c r="BA475" s="7"/>
      <c r="BB475" s="7"/>
      <c r="BC475" s="7"/>
      <c r="BD475" s="7"/>
      <c r="BE475" s="7"/>
      <c r="BF475" s="7"/>
      <c r="BG475" s="7"/>
    </row>
    <row r="476">
      <c r="A476" s="39"/>
      <c r="B476" s="39"/>
      <c r="C476" s="7"/>
      <c r="D476" s="53"/>
      <c r="E476" s="7"/>
      <c r="F476" s="53"/>
      <c r="G476" s="16"/>
      <c r="H476" s="16"/>
      <c r="J476" s="16"/>
      <c r="K476" s="53"/>
      <c r="L476" s="90"/>
      <c r="M476" s="39"/>
      <c r="N476" s="327"/>
      <c r="O476" s="322"/>
      <c r="P476" s="7"/>
      <c r="Q476" s="7"/>
      <c r="R476" s="7"/>
      <c r="S476" s="16"/>
      <c r="T476" s="16"/>
      <c r="U476" s="16"/>
      <c r="V476" s="7"/>
      <c r="W476" s="7"/>
      <c r="X476" s="93"/>
      <c r="Y476" s="131"/>
      <c r="Z476" s="131"/>
      <c r="AA476" s="131"/>
      <c r="AB476" s="85"/>
      <c r="AC476" s="85"/>
      <c r="AD476" s="325"/>
      <c r="AE476" s="85"/>
      <c r="AF476" s="90"/>
      <c r="AG476" s="87"/>
      <c r="AH476" s="39"/>
      <c r="AI476" s="87"/>
      <c r="AJ476" s="81"/>
      <c r="AK476" s="21"/>
      <c r="AL476" s="81"/>
      <c r="AM476" s="6"/>
      <c r="AN476" s="50"/>
      <c r="AO476" s="82"/>
      <c r="AP476" s="82"/>
      <c r="AQ476" s="7"/>
      <c r="AR476" s="6"/>
      <c r="AS476" s="82"/>
      <c r="AT476" s="7"/>
      <c r="AU476" s="82"/>
      <c r="AV476" s="7"/>
      <c r="AW476" s="7"/>
      <c r="AX476" s="82"/>
      <c r="AY476" s="7"/>
      <c r="AZ476" s="7"/>
      <c r="BA476" s="7"/>
      <c r="BB476" s="7"/>
      <c r="BC476" s="7"/>
      <c r="BD476" s="7"/>
      <c r="BE476" s="7"/>
      <c r="BF476" s="7"/>
      <c r="BG476" s="7"/>
    </row>
    <row r="477">
      <c r="A477" s="39"/>
      <c r="B477" s="39"/>
      <c r="C477" s="7"/>
      <c r="D477" s="53"/>
      <c r="E477" s="7"/>
      <c r="F477" s="53"/>
      <c r="G477" s="16"/>
      <c r="H477" s="16"/>
      <c r="J477" s="16"/>
      <c r="K477" s="53"/>
      <c r="L477" s="90"/>
      <c r="M477" s="39"/>
      <c r="N477" s="327"/>
      <c r="O477" s="367"/>
      <c r="P477" s="82"/>
      <c r="Q477" s="82"/>
      <c r="R477" s="82"/>
      <c r="S477" s="16"/>
      <c r="T477" s="16"/>
      <c r="U477" s="16"/>
      <c r="V477" s="7"/>
      <c r="W477" s="7"/>
      <c r="X477" s="93"/>
      <c r="Y477" s="131"/>
      <c r="Z477" s="131"/>
      <c r="AA477" s="131"/>
      <c r="AB477" s="85"/>
      <c r="AC477" s="85"/>
      <c r="AD477" s="325"/>
      <c r="AE477" s="85"/>
      <c r="AF477" s="90"/>
      <c r="AG477" s="87"/>
      <c r="AH477" s="39"/>
      <c r="AI477" s="87"/>
      <c r="AJ477" s="81"/>
      <c r="AK477" s="21"/>
      <c r="AL477" s="81"/>
      <c r="AM477" s="39"/>
      <c r="AN477" s="50"/>
      <c r="AO477" s="82"/>
      <c r="AP477" s="82"/>
      <c r="AQ477" s="7"/>
      <c r="AR477" s="13"/>
      <c r="AS477" s="82"/>
      <c r="AT477" s="82"/>
      <c r="AU477" s="82"/>
      <c r="AV477" s="82"/>
      <c r="AW477" s="7"/>
      <c r="AX477" s="82"/>
      <c r="AY477" s="7"/>
      <c r="AZ477" s="7"/>
      <c r="BA477" s="7"/>
      <c r="BB477" s="7"/>
      <c r="BC477" s="7"/>
      <c r="BD477" s="7"/>
      <c r="BE477" s="7"/>
      <c r="BF477" s="7"/>
      <c r="BG477" s="7"/>
    </row>
    <row r="478">
      <c r="A478" s="39"/>
      <c r="B478" s="39"/>
      <c r="C478" s="7"/>
      <c r="D478" s="53"/>
      <c r="E478" s="7"/>
      <c r="F478" s="53"/>
      <c r="G478" s="16"/>
      <c r="H478" s="16"/>
      <c r="J478" s="16"/>
      <c r="K478" s="53"/>
      <c r="L478" s="90"/>
      <c r="M478" s="39"/>
      <c r="N478" s="321"/>
      <c r="O478" s="322"/>
      <c r="P478" s="82"/>
      <c r="Q478" s="82"/>
      <c r="R478" s="82"/>
      <c r="S478" s="16"/>
      <c r="T478" s="16"/>
      <c r="U478" s="16"/>
      <c r="V478" s="7"/>
      <c r="W478" s="7"/>
      <c r="X478" s="93"/>
      <c r="Y478" s="131"/>
      <c r="Z478" s="131"/>
      <c r="AA478" s="131"/>
      <c r="AB478" s="85"/>
      <c r="AC478" s="85"/>
      <c r="AD478" s="325"/>
      <c r="AE478" s="85"/>
      <c r="AF478" s="90"/>
      <c r="AG478" s="87"/>
      <c r="AH478" s="39"/>
      <c r="AI478" s="87"/>
      <c r="AJ478" s="81"/>
      <c r="AK478" s="21"/>
      <c r="AL478" s="81"/>
      <c r="AM478" s="16"/>
      <c r="AN478" s="50"/>
      <c r="AO478" s="82"/>
      <c r="AP478" s="82"/>
      <c r="AQ478" s="7"/>
      <c r="AR478" s="82"/>
      <c r="AS478" s="82"/>
      <c r="AT478" s="82"/>
      <c r="AU478" s="82"/>
      <c r="AV478" s="82"/>
      <c r="AW478" s="7"/>
      <c r="AX478" s="82"/>
      <c r="AY478" s="7"/>
      <c r="AZ478" s="7"/>
      <c r="BA478" s="7"/>
      <c r="BB478" s="7"/>
      <c r="BC478" s="7"/>
      <c r="BD478" s="7"/>
      <c r="BE478" s="7"/>
      <c r="BF478" s="7"/>
      <c r="BG478" s="7"/>
    </row>
    <row r="479">
      <c r="A479" s="39"/>
      <c r="B479" s="39"/>
      <c r="C479" s="7"/>
      <c r="D479" s="53"/>
      <c r="E479" s="7"/>
      <c r="F479" s="53"/>
      <c r="G479" s="16"/>
      <c r="H479" s="16"/>
      <c r="J479" s="16"/>
      <c r="K479" s="53"/>
      <c r="L479" s="90"/>
      <c r="M479" s="39"/>
      <c r="N479" s="327"/>
      <c r="O479" s="322"/>
      <c r="P479" s="7"/>
      <c r="Q479" s="7"/>
      <c r="R479" s="352"/>
      <c r="S479" s="16"/>
      <c r="T479" s="16"/>
      <c r="U479" s="16"/>
      <c r="V479" s="7"/>
      <c r="W479" s="7"/>
      <c r="X479" s="93"/>
      <c r="Y479" s="131"/>
      <c r="Z479" s="131"/>
      <c r="AA479" s="131"/>
      <c r="AB479" s="85"/>
      <c r="AC479" s="85"/>
      <c r="AD479" s="325"/>
      <c r="AE479" s="85"/>
      <c r="AF479" s="90"/>
      <c r="AG479" s="87"/>
      <c r="AH479" s="39"/>
      <c r="AI479" s="87"/>
      <c r="AJ479" s="81"/>
      <c r="AK479" s="21"/>
      <c r="AL479" s="81"/>
      <c r="AM479" s="39"/>
      <c r="AN479" s="50"/>
      <c r="AO479" s="82"/>
      <c r="AP479" s="82"/>
      <c r="AQ479" s="7"/>
      <c r="AR479" s="7"/>
      <c r="AS479" s="82"/>
      <c r="AT479" s="82"/>
      <c r="AU479" s="82"/>
      <c r="AV479" s="82"/>
      <c r="AW479" s="7"/>
      <c r="AX479" s="82"/>
      <c r="AY479" s="7"/>
      <c r="AZ479" s="7"/>
      <c r="BA479" s="7"/>
      <c r="BB479" s="7"/>
      <c r="BC479" s="7"/>
      <c r="BD479" s="7"/>
      <c r="BE479" s="7"/>
      <c r="BF479" s="7"/>
      <c r="BG479" s="7"/>
    </row>
    <row r="480">
      <c r="A480" s="39"/>
      <c r="B480" s="39"/>
      <c r="C480" s="7"/>
      <c r="D480" s="53"/>
      <c r="E480" s="7"/>
      <c r="F480" s="53"/>
      <c r="G480" s="16"/>
      <c r="H480" s="16"/>
      <c r="J480" s="16"/>
      <c r="K480" s="53"/>
      <c r="L480" s="90"/>
      <c r="M480" s="39"/>
      <c r="N480" s="327"/>
      <c r="O480" s="367"/>
      <c r="P480" s="82"/>
      <c r="Q480" s="82"/>
      <c r="R480" s="82"/>
      <c r="S480" s="16"/>
      <c r="T480" s="16"/>
      <c r="U480" s="16"/>
      <c r="V480" s="7"/>
      <c r="W480" s="7"/>
      <c r="X480" s="93"/>
      <c r="Y480" s="131"/>
      <c r="Z480" s="131"/>
      <c r="AA480" s="131"/>
      <c r="AB480" s="85"/>
      <c r="AC480" s="85"/>
      <c r="AD480" s="325"/>
      <c r="AE480" s="85"/>
      <c r="AF480" s="90"/>
      <c r="AG480" s="87"/>
      <c r="AH480" s="39"/>
      <c r="AI480" s="87"/>
      <c r="AJ480" s="81"/>
      <c r="AK480" s="21"/>
      <c r="AL480" s="81"/>
      <c r="AM480" s="39"/>
      <c r="AN480" s="50"/>
      <c r="AO480" s="82"/>
      <c r="AP480" s="82"/>
      <c r="AQ480" s="7"/>
      <c r="AR480" s="82"/>
      <c r="AS480" s="82"/>
      <c r="AT480" s="82"/>
      <c r="AU480" s="82"/>
      <c r="AV480" s="82"/>
      <c r="AW480" s="7"/>
      <c r="AX480" s="82"/>
      <c r="AY480" s="7"/>
      <c r="AZ480" s="7"/>
      <c r="BA480" s="7"/>
      <c r="BB480" s="7"/>
      <c r="BC480" s="7"/>
      <c r="BD480" s="7"/>
      <c r="BE480" s="7"/>
      <c r="BF480" s="7"/>
      <c r="BG480" s="7"/>
    </row>
    <row r="481">
      <c r="A481" s="39"/>
      <c r="B481" s="39"/>
      <c r="C481" s="7"/>
      <c r="D481" s="53"/>
      <c r="E481" s="7"/>
      <c r="F481" s="53"/>
      <c r="G481" s="16"/>
      <c r="H481" s="16"/>
      <c r="J481" s="39"/>
      <c r="K481" s="53"/>
      <c r="L481" s="90"/>
      <c r="M481" s="39"/>
      <c r="N481" s="327"/>
      <c r="O481" s="368"/>
      <c r="P481" s="7"/>
      <c r="Q481" s="7"/>
      <c r="R481" s="7"/>
      <c r="S481" s="16"/>
      <c r="T481" s="16"/>
      <c r="U481" s="39"/>
      <c r="V481" s="7"/>
      <c r="W481" s="7"/>
      <c r="X481" s="93"/>
      <c r="Y481" s="131"/>
      <c r="Z481" s="131"/>
      <c r="AA481" s="131"/>
      <c r="AB481" s="85"/>
      <c r="AC481" s="85"/>
      <c r="AD481" s="325"/>
      <c r="AE481" s="85"/>
      <c r="AF481" s="90"/>
      <c r="AG481" s="87"/>
      <c r="AH481" s="39"/>
      <c r="AI481" s="87"/>
      <c r="AJ481" s="81"/>
      <c r="AK481" s="90"/>
      <c r="AL481" s="81"/>
      <c r="AM481" s="39"/>
      <c r="AN481" s="7"/>
      <c r="AO481" s="82"/>
      <c r="AP481" s="82"/>
      <c r="AQ481" s="7"/>
      <c r="AR481" s="7"/>
      <c r="AS481" s="7"/>
      <c r="AT481" s="7"/>
      <c r="AU481" s="7"/>
      <c r="AV481" s="7"/>
      <c r="AW481" s="7"/>
      <c r="AX481" s="82"/>
      <c r="AY481" s="7"/>
      <c r="AZ481" s="7"/>
      <c r="BA481" s="7"/>
      <c r="BB481" s="7"/>
      <c r="BC481" s="7"/>
      <c r="BD481" s="7"/>
      <c r="BE481" s="7"/>
      <c r="BF481" s="7"/>
      <c r="BG481" s="7"/>
    </row>
    <row r="482">
      <c r="A482" s="39"/>
      <c r="B482" s="39"/>
      <c r="C482" s="7"/>
      <c r="D482" s="53"/>
      <c r="E482" s="7"/>
      <c r="F482" s="53"/>
      <c r="G482" s="16"/>
      <c r="H482" s="16"/>
      <c r="J482" s="39"/>
      <c r="K482" s="53"/>
      <c r="L482" s="90"/>
      <c r="M482" s="39"/>
      <c r="N482" s="327"/>
      <c r="O482" s="368"/>
      <c r="P482" s="7"/>
      <c r="Q482" s="7"/>
      <c r="R482" s="7"/>
      <c r="S482" s="16"/>
      <c r="T482" s="16"/>
      <c r="U482" s="39"/>
      <c r="V482" s="7"/>
      <c r="W482" s="7"/>
      <c r="X482" s="93"/>
      <c r="Y482" s="131"/>
      <c r="Z482" s="131"/>
      <c r="AA482" s="131"/>
      <c r="AB482" s="85"/>
      <c r="AC482" s="85"/>
      <c r="AD482" s="325"/>
      <c r="AE482" s="85"/>
      <c r="AF482" s="90"/>
      <c r="AG482" s="87"/>
      <c r="AH482" s="39"/>
      <c r="AI482" s="87"/>
      <c r="AJ482" s="81"/>
      <c r="AK482" s="90"/>
      <c r="AL482" s="81"/>
      <c r="AM482" s="39"/>
      <c r="AN482" s="7"/>
      <c r="AO482" s="82"/>
      <c r="AP482" s="82"/>
      <c r="AQ482" s="82"/>
      <c r="AR482" s="7"/>
      <c r="AS482" s="82"/>
      <c r="AT482" s="7"/>
      <c r="AU482" s="82"/>
      <c r="AV482" s="7"/>
      <c r="AW482" s="7"/>
      <c r="AX482" s="82"/>
      <c r="AY482" s="7"/>
      <c r="AZ482" s="7"/>
      <c r="BA482" s="7"/>
      <c r="BB482" s="7"/>
      <c r="BC482" s="7"/>
      <c r="BD482" s="7"/>
      <c r="BE482" s="7"/>
      <c r="BF482" s="7"/>
      <c r="BG482" s="7"/>
    </row>
    <row r="483">
      <c r="A483" s="39"/>
      <c r="B483" s="39"/>
      <c r="C483" s="7"/>
      <c r="D483" s="53"/>
      <c r="E483" s="7"/>
      <c r="F483" s="53"/>
      <c r="G483" s="16"/>
      <c r="H483" s="16"/>
      <c r="J483" s="39"/>
      <c r="K483" s="53"/>
      <c r="L483" s="90"/>
      <c r="M483" s="39"/>
      <c r="N483" s="327"/>
      <c r="O483" s="322"/>
      <c r="P483" s="82"/>
      <c r="Q483" s="82"/>
      <c r="R483" s="82"/>
      <c r="S483" s="16"/>
      <c r="T483" s="16"/>
      <c r="U483" s="39"/>
      <c r="V483" s="7"/>
      <c r="W483" s="7"/>
      <c r="X483" s="93"/>
      <c r="Y483" s="131"/>
      <c r="Z483" s="131"/>
      <c r="AA483" s="131"/>
      <c r="AB483" s="85"/>
      <c r="AC483" s="85"/>
      <c r="AD483" s="325"/>
      <c r="AE483" s="85"/>
      <c r="AF483" s="90"/>
      <c r="AG483" s="87"/>
      <c r="AH483" s="39"/>
      <c r="AI483" s="87"/>
      <c r="AJ483" s="81"/>
      <c r="AK483" s="90"/>
      <c r="AL483" s="81"/>
      <c r="AM483" s="39"/>
      <c r="AN483" s="7"/>
      <c r="AO483" s="82"/>
      <c r="AP483" s="82"/>
      <c r="AQ483" s="82"/>
      <c r="AR483" s="82"/>
      <c r="AS483" s="82"/>
      <c r="AT483" s="82"/>
      <c r="AU483" s="82"/>
      <c r="AV483" s="82"/>
      <c r="AW483" s="7"/>
      <c r="AX483" s="82"/>
      <c r="AY483" s="7"/>
      <c r="AZ483" s="7"/>
      <c r="BA483" s="7"/>
      <c r="BB483" s="7"/>
      <c r="BC483" s="7"/>
      <c r="BD483" s="7"/>
      <c r="BE483" s="7"/>
      <c r="BF483" s="7"/>
      <c r="BG483" s="7"/>
    </row>
    <row r="484">
      <c r="A484" s="39"/>
      <c r="B484" s="39"/>
      <c r="C484" s="7"/>
      <c r="D484" s="53"/>
      <c r="E484" s="7"/>
      <c r="F484" s="53"/>
      <c r="G484" s="16"/>
      <c r="H484" s="81"/>
      <c r="J484" s="39"/>
      <c r="K484" s="53"/>
      <c r="L484" s="90"/>
      <c r="M484" s="39"/>
      <c r="N484" s="327"/>
      <c r="O484" s="322"/>
      <c r="P484" s="7"/>
      <c r="Q484" s="7"/>
      <c r="R484" s="82"/>
      <c r="S484" s="16"/>
      <c r="T484" s="16"/>
      <c r="U484" s="39"/>
      <c r="V484" s="7"/>
      <c r="W484" s="7"/>
      <c r="X484" s="93"/>
      <c r="Y484" s="131"/>
      <c r="Z484" s="131"/>
      <c r="AA484" s="131"/>
      <c r="AB484" s="131"/>
      <c r="AC484" s="131"/>
      <c r="AD484" s="323"/>
      <c r="AE484" s="131"/>
      <c r="AF484" s="90"/>
      <c r="AG484" s="87"/>
      <c r="AH484" s="39"/>
      <c r="AI484" s="87"/>
      <c r="AJ484" s="81"/>
      <c r="AK484" s="90"/>
      <c r="AL484" s="81"/>
      <c r="AM484" s="39"/>
      <c r="AN484" s="82"/>
      <c r="AO484" s="82"/>
      <c r="AP484" s="82"/>
      <c r="AQ484" s="82"/>
      <c r="AR484" s="7"/>
      <c r="AS484" s="82"/>
      <c r="AT484" s="7"/>
      <c r="AU484" s="82"/>
      <c r="AV484" s="7"/>
      <c r="AW484" s="7"/>
      <c r="AX484" s="82"/>
      <c r="AY484" s="7"/>
      <c r="AZ484" s="7"/>
      <c r="BA484" s="7"/>
      <c r="BB484" s="7"/>
      <c r="BC484" s="7"/>
      <c r="BD484" s="7"/>
      <c r="BE484" s="7"/>
      <c r="BF484" s="7"/>
      <c r="BG484" s="7"/>
    </row>
    <row r="485">
      <c r="A485" s="39"/>
      <c r="B485" s="39"/>
      <c r="C485" s="7"/>
      <c r="D485" s="53"/>
      <c r="E485" s="7"/>
      <c r="F485" s="53"/>
      <c r="G485" s="16"/>
      <c r="H485" s="81"/>
      <c r="J485" s="39"/>
      <c r="K485" s="53"/>
      <c r="L485" s="90"/>
      <c r="M485" s="39"/>
      <c r="N485" s="327"/>
      <c r="O485" s="368"/>
      <c r="P485" s="7"/>
      <c r="Q485" s="7"/>
      <c r="R485" s="7"/>
      <c r="S485" s="16"/>
      <c r="T485" s="16"/>
      <c r="U485" s="39"/>
      <c r="V485" s="7"/>
      <c r="W485" s="7"/>
      <c r="X485" s="93"/>
      <c r="Y485" s="131"/>
      <c r="Z485" s="131"/>
      <c r="AA485" s="131"/>
      <c r="AB485" s="131"/>
      <c r="AC485" s="131"/>
      <c r="AD485" s="323"/>
      <c r="AE485" s="131"/>
      <c r="AF485" s="90"/>
      <c r="AG485" s="87"/>
      <c r="AH485" s="39"/>
      <c r="AI485" s="87"/>
      <c r="AJ485" s="81"/>
      <c r="AK485" s="90"/>
      <c r="AL485" s="81"/>
      <c r="AM485" s="39"/>
      <c r="AN485" s="82"/>
      <c r="AO485" s="82"/>
      <c r="AP485" s="82"/>
      <c r="AQ485" s="7"/>
      <c r="AR485" s="82"/>
      <c r="AS485" s="7"/>
      <c r="AT485" s="82"/>
      <c r="AU485" s="7"/>
      <c r="AV485" s="82"/>
      <c r="AW485" s="7"/>
      <c r="AX485" s="82"/>
      <c r="AY485" s="7"/>
      <c r="AZ485" s="7"/>
      <c r="BA485" s="7"/>
      <c r="BB485" s="7"/>
      <c r="BC485" s="7"/>
      <c r="BD485" s="7"/>
      <c r="BE485" s="7"/>
      <c r="BF485" s="7"/>
      <c r="BG485" s="7"/>
    </row>
    <row r="486">
      <c r="A486" s="39"/>
      <c r="B486" s="39"/>
      <c r="C486" s="7"/>
      <c r="D486" s="53"/>
      <c r="E486" s="7"/>
      <c r="F486" s="53"/>
      <c r="G486" s="16"/>
      <c r="H486" s="16"/>
      <c r="J486" s="39"/>
      <c r="K486" s="53"/>
      <c r="L486" s="90"/>
      <c r="M486" s="39"/>
      <c r="N486" s="321"/>
      <c r="O486" s="368"/>
      <c r="P486" s="7"/>
      <c r="Q486" s="7"/>
      <c r="R486" s="7"/>
      <c r="S486" s="16"/>
      <c r="T486" s="16"/>
      <c r="U486" s="39"/>
      <c r="V486" s="7"/>
      <c r="W486" s="7"/>
      <c r="X486" s="93"/>
      <c r="Y486" s="131"/>
      <c r="Z486" s="131"/>
      <c r="AA486" s="131"/>
      <c r="AB486" s="85"/>
      <c r="AC486" s="85"/>
      <c r="AD486" s="325"/>
      <c r="AE486" s="85"/>
      <c r="AF486" s="90"/>
      <c r="AG486" s="87"/>
      <c r="AH486" s="39"/>
      <c r="AI486" s="87"/>
      <c r="AJ486" s="81"/>
      <c r="AK486" s="90"/>
      <c r="AL486" s="81"/>
      <c r="AM486" s="39"/>
      <c r="AN486" s="155"/>
      <c r="AO486" s="82"/>
      <c r="AP486" s="82"/>
      <c r="AQ486" s="7"/>
      <c r="AR486" s="7"/>
      <c r="AS486" s="7"/>
      <c r="AT486" s="7"/>
      <c r="AU486" s="7"/>
      <c r="AV486" s="7"/>
      <c r="AW486" s="7"/>
      <c r="AX486" s="82"/>
      <c r="AY486" s="7"/>
      <c r="AZ486" s="7"/>
      <c r="BA486" s="7"/>
      <c r="BB486" s="7"/>
      <c r="BC486" s="7"/>
      <c r="BD486" s="7"/>
      <c r="BE486" s="7"/>
      <c r="BF486" s="7"/>
      <c r="BG486" s="7"/>
    </row>
    <row r="487">
      <c r="A487" s="39"/>
      <c r="B487" s="39"/>
      <c r="C487" s="7"/>
      <c r="D487" s="53"/>
      <c r="E487" s="7"/>
      <c r="F487" s="53"/>
      <c r="G487" s="16"/>
      <c r="H487" s="16"/>
      <c r="J487" s="39"/>
      <c r="K487" s="53"/>
      <c r="L487" s="90"/>
      <c r="M487" s="39"/>
      <c r="N487" s="327"/>
      <c r="O487" s="322"/>
      <c r="P487" s="7"/>
      <c r="Q487" s="7"/>
      <c r="R487" s="7"/>
      <c r="S487" s="16"/>
      <c r="T487" s="16"/>
      <c r="U487" s="39"/>
      <c r="V487" s="7"/>
      <c r="W487" s="7"/>
      <c r="X487" s="93"/>
      <c r="Y487" s="131"/>
      <c r="Z487" s="131"/>
      <c r="AA487" s="131"/>
      <c r="AB487" s="85"/>
      <c r="AC487" s="85"/>
      <c r="AD487" s="325"/>
      <c r="AE487" s="85"/>
      <c r="AF487" s="90"/>
      <c r="AG487" s="87"/>
      <c r="AH487" s="39"/>
      <c r="AI487" s="87"/>
      <c r="AJ487" s="81"/>
      <c r="AK487" s="90"/>
      <c r="AL487" s="81"/>
      <c r="AM487" s="39"/>
      <c r="AN487" s="155"/>
      <c r="AO487" s="82"/>
      <c r="AP487" s="82"/>
      <c r="AQ487" s="7"/>
      <c r="AR487" s="7"/>
      <c r="AS487" s="7"/>
      <c r="AT487" s="7"/>
      <c r="AU487" s="7"/>
      <c r="AV487" s="7"/>
      <c r="AW487" s="7"/>
      <c r="AX487" s="82"/>
      <c r="AY487" s="7"/>
      <c r="AZ487" s="7"/>
      <c r="BA487" s="7"/>
      <c r="BB487" s="7"/>
      <c r="BC487" s="7"/>
      <c r="BD487" s="7"/>
      <c r="BE487" s="7"/>
      <c r="BF487" s="7"/>
      <c r="BG487" s="7"/>
    </row>
    <row r="488">
      <c r="A488" s="39"/>
      <c r="B488" s="39"/>
      <c r="C488" s="7"/>
      <c r="D488" s="53"/>
      <c r="E488" s="7"/>
      <c r="F488" s="53"/>
      <c r="G488" s="16"/>
      <c r="H488" s="16"/>
      <c r="J488" s="39"/>
      <c r="K488" s="53"/>
      <c r="L488" s="90"/>
      <c r="M488" s="39"/>
      <c r="N488" s="327"/>
      <c r="O488" s="322"/>
      <c r="P488" s="82"/>
      <c r="Q488" s="82"/>
      <c r="R488" s="82"/>
      <c r="S488" s="16"/>
      <c r="T488" s="16"/>
      <c r="U488" s="39"/>
      <c r="V488" s="7"/>
      <c r="W488" s="7"/>
      <c r="X488" s="93"/>
      <c r="Y488" s="131"/>
      <c r="Z488" s="131"/>
      <c r="AA488" s="131"/>
      <c r="AB488" s="85"/>
      <c r="AC488" s="85"/>
      <c r="AD488" s="325"/>
      <c r="AE488" s="85"/>
      <c r="AF488" s="90"/>
      <c r="AG488" s="87"/>
      <c r="AH488" s="39"/>
      <c r="AI488" s="87"/>
      <c r="AJ488" s="81"/>
      <c r="AK488" s="90"/>
      <c r="AL488" s="81"/>
      <c r="AM488" s="39"/>
      <c r="AN488" s="155"/>
      <c r="AO488" s="82"/>
      <c r="AP488" s="82"/>
      <c r="AQ488" s="7"/>
      <c r="AR488" s="82"/>
      <c r="AS488" s="82"/>
      <c r="AT488" s="82"/>
      <c r="AU488" s="82"/>
      <c r="AV488" s="82"/>
      <c r="AW488" s="7"/>
      <c r="AX488" s="82"/>
      <c r="AY488" s="7"/>
      <c r="AZ488" s="7"/>
      <c r="BA488" s="7"/>
      <c r="BB488" s="7"/>
      <c r="BC488" s="7"/>
      <c r="BD488" s="7"/>
      <c r="BE488" s="7"/>
      <c r="BF488" s="7"/>
      <c r="BG488" s="7"/>
    </row>
    <row r="489">
      <c r="A489" s="39"/>
      <c r="B489" s="39"/>
      <c r="C489" s="7"/>
      <c r="D489" s="53"/>
      <c r="E489" s="7"/>
      <c r="F489" s="53"/>
      <c r="G489" s="16"/>
      <c r="H489" s="81"/>
      <c r="J489" s="39"/>
      <c r="K489" s="53"/>
      <c r="L489" s="90"/>
      <c r="M489" s="39"/>
      <c r="N489" s="327"/>
      <c r="O489" s="367"/>
      <c r="P489" s="82"/>
      <c r="Q489" s="82"/>
      <c r="R489" s="82"/>
      <c r="S489" s="83"/>
      <c r="T489" s="83"/>
      <c r="U489" s="39"/>
      <c r="V489" s="7"/>
      <c r="W489" s="7"/>
      <c r="X489" s="93"/>
      <c r="Y489" s="131"/>
      <c r="Z489" s="131"/>
      <c r="AA489" s="131"/>
      <c r="AB489" s="131"/>
      <c r="AC489" s="131"/>
      <c r="AD489" s="323"/>
      <c r="AE489" s="131"/>
      <c r="AF489" s="90"/>
      <c r="AG489" s="87"/>
      <c r="AH489" s="39"/>
      <c r="AI489" s="87"/>
      <c r="AJ489" s="81"/>
      <c r="AK489" s="90"/>
      <c r="AL489" s="81"/>
      <c r="AM489" s="39"/>
      <c r="AN489" s="7"/>
      <c r="AO489" s="82"/>
      <c r="AP489" s="82"/>
      <c r="AQ489" s="7"/>
      <c r="AR489" s="82"/>
      <c r="AS489" s="82"/>
      <c r="AT489" s="82"/>
      <c r="AU489" s="82"/>
      <c r="AV489" s="82"/>
      <c r="AW489" s="7"/>
      <c r="AX489" s="82"/>
      <c r="AY489" s="7"/>
      <c r="AZ489" s="7"/>
      <c r="BA489" s="7"/>
      <c r="BB489" s="7"/>
      <c r="BC489" s="7"/>
      <c r="BD489" s="7"/>
      <c r="BE489" s="7"/>
      <c r="BF489" s="7"/>
      <c r="BG489" s="7"/>
    </row>
    <row r="490">
      <c r="A490" s="39"/>
      <c r="B490" s="39"/>
      <c r="C490" s="7"/>
      <c r="D490" s="53"/>
      <c r="E490" s="7"/>
      <c r="F490" s="53"/>
      <c r="G490" s="16"/>
      <c r="H490" s="81"/>
      <c r="J490" s="39"/>
      <c r="K490" s="53"/>
      <c r="L490" s="90"/>
      <c r="M490" s="39"/>
      <c r="N490" s="327"/>
      <c r="O490" s="367"/>
      <c r="P490" s="7"/>
      <c r="Q490" s="7"/>
      <c r="R490" s="352"/>
      <c r="S490" s="83"/>
      <c r="T490" s="83"/>
      <c r="U490" s="39"/>
      <c r="V490" s="7"/>
      <c r="W490" s="7"/>
      <c r="X490" s="93"/>
      <c r="Y490" s="131"/>
      <c r="Z490" s="131"/>
      <c r="AA490" s="131"/>
      <c r="AB490" s="131"/>
      <c r="AC490" s="131"/>
      <c r="AD490" s="323"/>
      <c r="AE490" s="131"/>
      <c r="AF490" s="90"/>
      <c r="AG490" s="87"/>
      <c r="AH490" s="39"/>
      <c r="AI490" s="87"/>
      <c r="AJ490" s="81"/>
      <c r="AK490" s="90"/>
      <c r="AL490" s="81"/>
      <c r="AM490" s="39"/>
      <c r="AN490" s="7"/>
      <c r="AO490" s="82"/>
      <c r="AP490" s="82"/>
      <c r="AQ490" s="7"/>
      <c r="AR490" s="7"/>
      <c r="AS490" s="82"/>
      <c r="AT490" s="7"/>
      <c r="AU490" s="82"/>
      <c r="AV490" s="7"/>
      <c r="AW490" s="7"/>
      <c r="AX490" s="82"/>
      <c r="AY490" s="7"/>
      <c r="AZ490" s="7"/>
      <c r="BA490" s="7"/>
      <c r="BB490" s="7"/>
      <c r="BC490" s="7"/>
      <c r="BD490" s="7"/>
      <c r="BE490" s="7"/>
      <c r="BF490" s="7"/>
      <c r="BG490" s="7"/>
    </row>
    <row r="491">
      <c r="A491" s="39"/>
      <c r="B491" s="39"/>
      <c r="C491" s="7"/>
      <c r="D491" s="53"/>
      <c r="E491" s="7"/>
      <c r="F491" s="53"/>
      <c r="G491" s="16"/>
      <c r="H491" s="81"/>
      <c r="J491" s="39"/>
      <c r="K491" s="53"/>
      <c r="L491" s="90"/>
      <c r="M491" s="39"/>
      <c r="N491" s="327"/>
      <c r="O491" s="367"/>
      <c r="P491" s="82"/>
      <c r="Q491" s="82"/>
      <c r="R491" s="82"/>
      <c r="S491" s="83"/>
      <c r="T491" s="83"/>
      <c r="U491" s="39"/>
      <c r="V491" s="7"/>
      <c r="W491" s="7"/>
      <c r="X491" s="93"/>
      <c r="Y491" s="131"/>
      <c r="Z491" s="131"/>
      <c r="AA491" s="131"/>
      <c r="AB491" s="131"/>
      <c r="AC491" s="131"/>
      <c r="AD491" s="323"/>
      <c r="AE491" s="131"/>
      <c r="AF491" s="90"/>
      <c r="AG491" s="87"/>
      <c r="AH491" s="39"/>
      <c r="AI491" s="87"/>
      <c r="AJ491" s="81"/>
      <c r="AK491" s="90"/>
      <c r="AL491" s="81"/>
      <c r="AM491" s="39"/>
      <c r="AN491" s="7"/>
      <c r="AO491" s="82"/>
      <c r="AP491" s="82"/>
      <c r="AQ491" s="7"/>
      <c r="AR491" s="7"/>
      <c r="AS491" s="7"/>
      <c r="AT491" s="7"/>
      <c r="AU491" s="7"/>
      <c r="AV491" s="7"/>
      <c r="AW491" s="7"/>
      <c r="AX491" s="82"/>
      <c r="AY491" s="7"/>
      <c r="AZ491" s="7"/>
      <c r="BA491" s="7"/>
      <c r="BB491" s="7"/>
      <c r="BC491" s="7"/>
      <c r="BD491" s="7"/>
      <c r="BE491" s="7"/>
      <c r="BF491" s="7"/>
      <c r="BG491" s="7"/>
    </row>
    <row r="492">
      <c r="A492" s="39"/>
      <c r="B492" s="39"/>
      <c r="C492" s="7"/>
      <c r="D492" s="53"/>
      <c r="E492" s="7"/>
      <c r="F492" s="53"/>
      <c r="G492" s="16"/>
      <c r="H492" s="81"/>
      <c r="J492" s="39"/>
      <c r="K492" s="53"/>
      <c r="L492" s="90"/>
      <c r="M492" s="39"/>
      <c r="N492" s="327"/>
      <c r="O492" s="367"/>
      <c r="P492" s="82"/>
      <c r="Q492" s="82"/>
      <c r="R492" s="82"/>
      <c r="S492" s="83"/>
      <c r="T492" s="83"/>
      <c r="U492" s="39"/>
      <c r="V492" s="7"/>
      <c r="W492" s="7"/>
      <c r="X492" s="93"/>
      <c r="Y492" s="131"/>
      <c r="Z492" s="131"/>
      <c r="AA492" s="131"/>
      <c r="AB492" s="131"/>
      <c r="AC492" s="131"/>
      <c r="AD492" s="323"/>
      <c r="AE492" s="131"/>
      <c r="AF492" s="90"/>
      <c r="AG492" s="87"/>
      <c r="AH492" s="39"/>
      <c r="AI492" s="87"/>
      <c r="AJ492" s="81"/>
      <c r="AK492" s="90"/>
      <c r="AL492" s="81"/>
      <c r="AM492" s="39"/>
      <c r="AN492" s="7"/>
      <c r="AO492" s="82"/>
      <c r="AP492" s="82"/>
      <c r="AQ492" s="7"/>
      <c r="AR492" s="7"/>
      <c r="AS492" s="7"/>
      <c r="AT492" s="7"/>
      <c r="AU492" s="7"/>
      <c r="AV492" s="7"/>
      <c r="AW492" s="7"/>
      <c r="AX492" s="82"/>
      <c r="AY492" s="7"/>
      <c r="AZ492" s="7"/>
      <c r="BA492" s="7"/>
      <c r="BB492" s="7"/>
      <c r="BC492" s="7"/>
      <c r="BD492" s="7"/>
      <c r="BE492" s="7"/>
      <c r="BF492" s="7"/>
      <c r="BG492" s="7"/>
    </row>
    <row r="493">
      <c r="A493" s="39"/>
      <c r="B493" s="39"/>
      <c r="C493" s="7"/>
      <c r="D493" s="53"/>
      <c r="E493" s="7"/>
      <c r="F493" s="53"/>
      <c r="G493" s="16"/>
      <c r="H493" s="81"/>
      <c r="J493" s="39"/>
      <c r="K493" s="53"/>
      <c r="L493" s="90"/>
      <c r="M493" s="39"/>
      <c r="N493" s="327"/>
      <c r="O493" s="367"/>
      <c r="P493" s="7"/>
      <c r="Q493" s="7"/>
      <c r="R493" s="82"/>
      <c r="S493" s="83"/>
      <c r="T493" s="83"/>
      <c r="U493" s="39"/>
      <c r="V493" s="7"/>
      <c r="W493" s="7"/>
      <c r="X493" s="93"/>
      <c r="Y493" s="131"/>
      <c r="Z493" s="131"/>
      <c r="AA493" s="131"/>
      <c r="AB493" s="131"/>
      <c r="AC493" s="131"/>
      <c r="AD493" s="323"/>
      <c r="AE493" s="131"/>
      <c r="AF493" s="90"/>
      <c r="AG493" s="87"/>
      <c r="AH493" s="39"/>
      <c r="AI493" s="87"/>
      <c r="AJ493" s="81"/>
      <c r="AK493" s="90"/>
      <c r="AL493" s="81"/>
      <c r="AM493" s="39"/>
      <c r="AN493" s="7"/>
      <c r="AO493" s="82"/>
      <c r="AP493" s="82"/>
      <c r="AQ493" s="7"/>
      <c r="AR493" s="7"/>
      <c r="AS493" s="7"/>
      <c r="AT493" s="7"/>
      <c r="AU493" s="7"/>
      <c r="AV493" s="7"/>
      <c r="AW493" s="7"/>
      <c r="AX493" s="82"/>
      <c r="AY493" s="7"/>
      <c r="AZ493" s="7"/>
      <c r="BA493" s="7"/>
      <c r="BB493" s="7"/>
      <c r="BC493" s="7"/>
      <c r="BD493" s="7"/>
      <c r="BE493" s="7"/>
      <c r="BF493" s="7"/>
      <c r="BG493" s="7"/>
    </row>
    <row r="494">
      <c r="A494" s="39"/>
      <c r="B494" s="39"/>
      <c r="C494" s="7"/>
      <c r="D494" s="53"/>
      <c r="E494" s="7"/>
      <c r="F494" s="53"/>
      <c r="G494" s="16"/>
      <c r="H494" s="81"/>
      <c r="J494" s="39"/>
      <c r="K494" s="53"/>
      <c r="L494" s="90"/>
      <c r="M494" s="39"/>
      <c r="N494" s="327"/>
      <c r="O494" s="367"/>
      <c r="P494" s="82"/>
      <c r="Q494" s="82"/>
      <c r="R494" s="82"/>
      <c r="S494" s="83"/>
      <c r="T494" s="83"/>
      <c r="U494" s="39"/>
      <c r="V494" s="7"/>
      <c r="W494" s="7"/>
      <c r="X494" s="93"/>
      <c r="Y494" s="131"/>
      <c r="Z494" s="131"/>
      <c r="AA494" s="131"/>
      <c r="AB494" s="131"/>
      <c r="AC494" s="131"/>
      <c r="AD494" s="323"/>
      <c r="AE494" s="131"/>
      <c r="AF494" s="90"/>
      <c r="AG494" s="87"/>
      <c r="AH494" s="39"/>
      <c r="AI494" s="87"/>
      <c r="AJ494" s="81"/>
      <c r="AK494" s="90"/>
      <c r="AL494" s="81"/>
      <c r="AM494" s="39"/>
      <c r="AN494" s="7"/>
      <c r="AO494" s="82"/>
      <c r="AP494" s="82"/>
      <c r="AQ494" s="7"/>
      <c r="AR494" s="82"/>
      <c r="AS494" s="82"/>
      <c r="AT494" s="82"/>
      <c r="AU494" s="82"/>
      <c r="AV494" s="82"/>
      <c r="AW494" s="7"/>
      <c r="AX494" s="82"/>
      <c r="AY494" s="7"/>
      <c r="AZ494" s="7"/>
      <c r="BA494" s="7"/>
      <c r="BB494" s="7"/>
      <c r="BC494" s="7"/>
      <c r="BD494" s="7"/>
      <c r="BE494" s="7"/>
      <c r="BF494" s="7"/>
      <c r="BG494" s="7"/>
    </row>
    <row r="495">
      <c r="A495" s="39"/>
      <c r="B495" s="39"/>
      <c r="C495" s="7"/>
      <c r="D495" s="53"/>
      <c r="E495" s="7"/>
      <c r="F495" s="53"/>
      <c r="G495" s="16"/>
      <c r="H495" s="81"/>
      <c r="J495" s="39"/>
      <c r="K495" s="53"/>
      <c r="L495" s="90"/>
      <c r="M495" s="39"/>
      <c r="N495" s="327"/>
      <c r="O495" s="367"/>
      <c r="P495" s="82"/>
      <c r="Q495" s="82"/>
      <c r="R495" s="82"/>
      <c r="S495" s="83"/>
      <c r="T495" s="83"/>
      <c r="U495" s="39"/>
      <c r="V495" s="7"/>
      <c r="W495" s="7"/>
      <c r="X495" s="93"/>
      <c r="Y495" s="131"/>
      <c r="Z495" s="131"/>
      <c r="AA495" s="131"/>
      <c r="AB495" s="131"/>
      <c r="AC495" s="131"/>
      <c r="AD495" s="323"/>
      <c r="AE495" s="131"/>
      <c r="AF495" s="90"/>
      <c r="AG495" s="87"/>
      <c r="AH495" s="39"/>
      <c r="AI495" s="87"/>
      <c r="AJ495" s="81"/>
      <c r="AK495" s="90"/>
      <c r="AL495" s="81"/>
      <c r="AM495" s="39"/>
      <c r="AN495" s="7"/>
      <c r="AO495" s="82"/>
      <c r="AP495" s="82"/>
      <c r="AQ495" s="7"/>
      <c r="AR495" s="82"/>
      <c r="AS495" s="82"/>
      <c r="AT495" s="82"/>
      <c r="AU495" s="82"/>
      <c r="AV495" s="82"/>
      <c r="AW495" s="7"/>
      <c r="AX495" s="82"/>
      <c r="AY495" s="7"/>
      <c r="AZ495" s="7"/>
      <c r="BA495" s="7"/>
      <c r="BB495" s="7"/>
      <c r="BC495" s="7"/>
      <c r="BD495" s="7"/>
      <c r="BE495" s="7"/>
      <c r="BF495" s="7"/>
      <c r="BG495" s="7"/>
    </row>
    <row r="496">
      <c r="A496" s="39"/>
      <c r="B496" s="39"/>
      <c r="C496" s="7"/>
      <c r="D496" s="53"/>
      <c r="E496" s="7"/>
      <c r="F496" s="53"/>
      <c r="G496" s="16"/>
      <c r="H496" s="81"/>
      <c r="J496" s="39"/>
      <c r="K496" s="53"/>
      <c r="L496" s="90"/>
      <c r="M496" s="39"/>
      <c r="N496" s="327"/>
      <c r="O496" s="367"/>
      <c r="P496" s="82"/>
      <c r="Q496" s="82"/>
      <c r="R496" s="82"/>
      <c r="S496" s="83"/>
      <c r="T496" s="83"/>
      <c r="U496" s="39"/>
      <c r="V496" s="7"/>
      <c r="W496" s="7"/>
      <c r="X496" s="93"/>
      <c r="Y496" s="131"/>
      <c r="Z496" s="131"/>
      <c r="AA496" s="131"/>
      <c r="AB496" s="131"/>
      <c r="AC496" s="131"/>
      <c r="AD496" s="323"/>
      <c r="AE496" s="131"/>
      <c r="AF496" s="90"/>
      <c r="AG496" s="87"/>
      <c r="AH496" s="39"/>
      <c r="AI496" s="87"/>
      <c r="AJ496" s="81"/>
      <c r="AK496" s="90"/>
      <c r="AL496" s="81"/>
      <c r="AM496" s="39"/>
      <c r="AN496" s="7"/>
      <c r="AO496" s="82"/>
      <c r="AP496" s="82"/>
      <c r="AQ496" s="7"/>
      <c r="AR496" s="82"/>
      <c r="AS496" s="82"/>
      <c r="AT496" s="82"/>
      <c r="AU496" s="82"/>
      <c r="AV496" s="82"/>
      <c r="AW496" s="7"/>
      <c r="AX496" s="82"/>
      <c r="AY496" s="7"/>
      <c r="AZ496" s="7"/>
      <c r="BA496" s="7"/>
      <c r="BB496" s="7"/>
      <c r="BC496" s="7"/>
      <c r="BD496" s="7"/>
      <c r="BE496" s="7"/>
      <c r="BF496" s="7"/>
      <c r="BG496" s="7"/>
    </row>
    <row r="497">
      <c r="A497" s="39"/>
      <c r="B497" s="39"/>
      <c r="C497" s="7"/>
      <c r="D497" s="53"/>
      <c r="E497" s="7"/>
      <c r="F497" s="53"/>
      <c r="G497" s="16"/>
      <c r="H497" s="83"/>
      <c r="J497" s="39"/>
      <c r="K497" s="53"/>
      <c r="L497" s="90"/>
      <c r="M497" s="39"/>
      <c r="N497" s="327"/>
      <c r="O497" s="367"/>
      <c r="P497" s="82"/>
      <c r="Q497" s="82"/>
      <c r="R497" s="82"/>
      <c r="S497" s="83"/>
      <c r="T497" s="83"/>
      <c r="U497" s="39"/>
      <c r="V497" s="7"/>
      <c r="W497" s="7"/>
      <c r="X497" s="93"/>
      <c r="Y497" s="131"/>
      <c r="Z497" s="131"/>
      <c r="AA497" s="131"/>
      <c r="AB497" s="85"/>
      <c r="AC497" s="85"/>
      <c r="AD497" s="323"/>
      <c r="AE497" s="131"/>
      <c r="AF497" s="90"/>
      <c r="AG497" s="87"/>
      <c r="AH497" s="39"/>
      <c r="AI497" s="87"/>
      <c r="AJ497" s="81"/>
      <c r="AK497" s="90"/>
      <c r="AL497" s="81"/>
      <c r="AM497" s="39"/>
      <c r="AN497" s="7"/>
      <c r="AO497" s="82"/>
      <c r="AP497" s="82"/>
      <c r="AQ497" s="7"/>
      <c r="AR497" s="7"/>
      <c r="AS497" s="7"/>
      <c r="AT497" s="7"/>
      <c r="AU497" s="7"/>
      <c r="AV497" s="7"/>
      <c r="AW497" s="7"/>
      <c r="AX497" s="82"/>
      <c r="AY497" s="7"/>
      <c r="AZ497" s="7"/>
      <c r="BA497" s="7"/>
      <c r="BB497" s="7"/>
      <c r="BC497" s="7"/>
      <c r="BD497" s="7"/>
      <c r="BE497" s="7"/>
      <c r="BF497" s="7"/>
      <c r="BG497" s="7"/>
    </row>
    <row r="498">
      <c r="A498" s="39"/>
      <c r="B498" s="39"/>
      <c r="C498" s="7"/>
      <c r="D498" s="53"/>
      <c r="E498" s="7"/>
      <c r="F498" s="53"/>
      <c r="G498" s="16"/>
      <c r="H498" s="81"/>
      <c r="J498" s="39"/>
      <c r="K498" s="53"/>
      <c r="L498" s="90"/>
      <c r="M498" s="39"/>
      <c r="N498" s="327"/>
      <c r="O498" s="367"/>
      <c r="P498" s="82"/>
      <c r="Q498" s="82"/>
      <c r="R498" s="82"/>
      <c r="S498" s="83"/>
      <c r="T498" s="83"/>
      <c r="U498" s="39"/>
      <c r="V498" s="7"/>
      <c r="W498" s="7"/>
      <c r="X498" s="93"/>
      <c r="Y498" s="131"/>
      <c r="Z498" s="131"/>
      <c r="AA498" s="131"/>
      <c r="AB498" s="131"/>
      <c r="AC498" s="131"/>
      <c r="AD498" s="323"/>
      <c r="AE498" s="131"/>
      <c r="AF498" s="90"/>
      <c r="AG498" s="87"/>
      <c r="AH498" s="39"/>
      <c r="AI498" s="87"/>
      <c r="AJ498" s="81"/>
      <c r="AK498" s="90"/>
      <c r="AL498" s="81"/>
      <c r="AM498" s="39"/>
      <c r="AN498" s="7"/>
      <c r="AO498" s="82"/>
      <c r="AP498" s="82"/>
      <c r="AQ498" s="7"/>
      <c r="AR498" s="82"/>
      <c r="AS498" s="82"/>
      <c r="AT498" s="82"/>
      <c r="AU498" s="82"/>
      <c r="AV498" s="82"/>
      <c r="AW498" s="7"/>
      <c r="AX498" s="82"/>
      <c r="AY498" s="7"/>
      <c r="AZ498" s="7"/>
      <c r="BA498" s="7"/>
      <c r="BB498" s="7"/>
      <c r="BC498" s="7"/>
      <c r="BD498" s="7"/>
      <c r="BE498" s="7"/>
      <c r="BF498" s="7"/>
      <c r="BG498" s="7"/>
    </row>
    <row r="499">
      <c r="A499" s="39"/>
      <c r="B499" s="39"/>
      <c r="C499" s="7"/>
      <c r="D499" s="53"/>
      <c r="E499" s="7"/>
      <c r="F499" s="53"/>
      <c r="G499" s="16"/>
      <c r="H499" s="81"/>
      <c r="J499" s="39"/>
      <c r="K499" s="53"/>
      <c r="L499" s="90"/>
      <c r="M499" s="39"/>
      <c r="N499" s="327"/>
      <c r="O499" s="367"/>
      <c r="P499" s="82"/>
      <c r="Q499" s="82"/>
      <c r="R499" s="82"/>
      <c r="S499" s="83"/>
      <c r="T499" s="83"/>
      <c r="U499" s="39"/>
      <c r="V499" s="7"/>
      <c r="W499" s="7"/>
      <c r="X499" s="93"/>
      <c r="Y499" s="131"/>
      <c r="Z499" s="131"/>
      <c r="AA499" s="131"/>
      <c r="AB499" s="131"/>
      <c r="AC499" s="131"/>
      <c r="AD499" s="323"/>
      <c r="AE499" s="131"/>
      <c r="AF499" s="90"/>
      <c r="AG499" s="87"/>
      <c r="AH499" s="39"/>
      <c r="AI499" s="87"/>
      <c r="AJ499" s="81"/>
      <c r="AK499" s="90"/>
      <c r="AL499" s="81"/>
      <c r="AM499" s="39"/>
      <c r="AN499" s="7"/>
      <c r="AO499" s="82"/>
      <c r="AP499" s="82"/>
      <c r="AQ499" s="7"/>
      <c r="AR499" s="82"/>
      <c r="AS499" s="82"/>
      <c r="AT499" s="82"/>
      <c r="AU499" s="82"/>
      <c r="AV499" s="82"/>
      <c r="AW499" s="7"/>
      <c r="AX499" s="82"/>
      <c r="AY499" s="7"/>
      <c r="AZ499" s="7"/>
      <c r="BA499" s="7"/>
      <c r="BB499" s="7"/>
      <c r="BC499" s="7"/>
      <c r="BD499" s="7"/>
      <c r="BE499" s="7"/>
      <c r="BF499" s="7"/>
      <c r="BG499" s="7"/>
    </row>
    <row r="500">
      <c r="A500" s="39"/>
      <c r="B500" s="39"/>
      <c r="C500" s="7"/>
      <c r="D500" s="53"/>
      <c r="E500" s="7"/>
      <c r="F500" s="53"/>
      <c r="G500" s="16"/>
      <c r="H500" s="81"/>
      <c r="J500" s="39"/>
      <c r="K500" s="53"/>
      <c r="L500" s="90"/>
      <c r="M500" s="39"/>
      <c r="N500" s="327"/>
      <c r="O500" s="367"/>
      <c r="P500" s="82"/>
      <c r="Q500" s="82"/>
      <c r="R500" s="82"/>
      <c r="S500" s="83"/>
      <c r="T500" s="83"/>
      <c r="U500" s="39"/>
      <c r="V500" s="7"/>
      <c r="W500" s="7"/>
      <c r="X500" s="93"/>
      <c r="Y500" s="131"/>
      <c r="Z500" s="131"/>
      <c r="AA500" s="131"/>
      <c r="AB500" s="131"/>
      <c r="AC500" s="131"/>
      <c r="AD500" s="323"/>
      <c r="AE500" s="131"/>
      <c r="AF500" s="90"/>
      <c r="AG500" s="87"/>
      <c r="AH500" s="39"/>
      <c r="AI500" s="87"/>
      <c r="AJ500" s="81"/>
      <c r="AK500" s="90"/>
      <c r="AL500" s="81"/>
      <c r="AM500" s="39"/>
      <c r="AN500" s="7"/>
      <c r="AO500" s="82"/>
      <c r="AP500" s="82"/>
      <c r="AQ500" s="7"/>
      <c r="AR500" s="82"/>
      <c r="AS500" s="82"/>
      <c r="AT500" s="82"/>
      <c r="AU500" s="82"/>
      <c r="AV500" s="82"/>
      <c r="AW500" s="7"/>
      <c r="AX500" s="82"/>
      <c r="AY500" s="7"/>
      <c r="AZ500" s="7"/>
      <c r="BA500" s="7"/>
      <c r="BB500" s="7"/>
      <c r="BC500" s="7"/>
      <c r="BD500" s="7"/>
      <c r="BE500" s="7"/>
      <c r="BF500" s="7"/>
      <c r="BG500" s="7"/>
    </row>
    <row r="501">
      <c r="A501" s="39"/>
      <c r="B501" s="39"/>
      <c r="C501" s="7"/>
      <c r="D501" s="53"/>
      <c r="E501" s="7"/>
      <c r="F501" s="53"/>
      <c r="G501" s="16"/>
      <c r="H501" s="16"/>
      <c r="J501" s="39"/>
      <c r="K501" s="53"/>
      <c r="L501" s="90"/>
      <c r="M501" s="39"/>
      <c r="N501" s="327"/>
      <c r="O501" s="368"/>
      <c r="P501" s="7"/>
      <c r="Q501" s="7"/>
      <c r="R501" s="352"/>
      <c r="S501" s="16"/>
      <c r="T501" s="16"/>
      <c r="U501" s="39"/>
      <c r="V501" s="7"/>
      <c r="W501" s="7"/>
      <c r="X501" s="93"/>
      <c r="Y501" s="131"/>
      <c r="Z501" s="131"/>
      <c r="AA501" s="131"/>
      <c r="AB501" s="85"/>
      <c r="AC501" s="85"/>
      <c r="AD501" s="325"/>
      <c r="AE501" s="85"/>
      <c r="AF501" s="90"/>
      <c r="AG501" s="87"/>
      <c r="AH501" s="39"/>
      <c r="AI501" s="87"/>
      <c r="AJ501" s="81"/>
      <c r="AK501" s="90"/>
      <c r="AL501" s="81"/>
      <c r="AM501" s="39"/>
      <c r="AN501" s="7"/>
      <c r="AO501" s="82"/>
      <c r="AP501" s="82"/>
      <c r="AQ501" s="7"/>
      <c r="AR501" s="7"/>
      <c r="AS501" s="82"/>
      <c r="AT501" s="7"/>
      <c r="AU501" s="82"/>
      <c r="AV501" s="7"/>
      <c r="AW501" s="7"/>
      <c r="AX501" s="82"/>
      <c r="AY501" s="7"/>
      <c r="AZ501" s="7"/>
      <c r="BA501" s="7"/>
      <c r="BB501" s="7"/>
      <c r="BC501" s="7"/>
      <c r="BD501" s="7"/>
      <c r="BE501" s="7"/>
      <c r="BF501" s="7"/>
      <c r="BG501" s="7"/>
    </row>
    <row r="502">
      <c r="A502" s="39"/>
      <c r="B502" s="39"/>
      <c r="C502" s="7"/>
      <c r="D502" s="53"/>
      <c r="E502" s="7"/>
      <c r="F502" s="53"/>
      <c r="G502" s="16"/>
      <c r="H502" s="16"/>
      <c r="J502" s="39"/>
      <c r="K502" s="53"/>
      <c r="L502" s="90"/>
      <c r="M502" s="39"/>
      <c r="N502" s="327"/>
      <c r="O502" s="368"/>
      <c r="P502" s="82"/>
      <c r="Q502" s="82"/>
      <c r="R502" s="82"/>
      <c r="S502" s="16"/>
      <c r="T502" s="16"/>
      <c r="U502" s="39"/>
      <c r="V502" s="7"/>
      <c r="W502" s="7"/>
      <c r="X502" s="93"/>
      <c r="Y502" s="131"/>
      <c r="Z502" s="131"/>
      <c r="AA502" s="131"/>
      <c r="AB502" s="85"/>
      <c r="AC502" s="85"/>
      <c r="AD502" s="325"/>
      <c r="AE502" s="85"/>
      <c r="AF502" s="90"/>
      <c r="AG502" s="87"/>
      <c r="AH502" s="39"/>
      <c r="AI502" s="87"/>
      <c r="AJ502" s="81"/>
      <c r="AK502" s="90"/>
      <c r="AL502" s="81"/>
      <c r="AM502" s="39"/>
      <c r="AN502" s="7"/>
      <c r="AO502" s="82"/>
      <c r="AP502" s="82"/>
      <c r="AQ502" s="7"/>
      <c r="AR502" s="82"/>
      <c r="AS502" s="82"/>
      <c r="AT502" s="82"/>
      <c r="AU502" s="82"/>
      <c r="AV502" s="82"/>
      <c r="AW502" s="7"/>
      <c r="AX502" s="82"/>
      <c r="AY502" s="7"/>
      <c r="AZ502" s="7"/>
      <c r="BA502" s="7"/>
      <c r="BB502" s="7"/>
      <c r="BC502" s="7"/>
      <c r="BD502" s="7"/>
      <c r="BE502" s="7"/>
      <c r="BF502" s="7"/>
      <c r="BG502" s="7"/>
    </row>
    <row r="503">
      <c r="A503" s="39"/>
      <c r="B503" s="39"/>
      <c r="C503" s="7"/>
      <c r="D503" s="53"/>
      <c r="E503" s="7"/>
      <c r="F503" s="53"/>
      <c r="G503" s="16"/>
      <c r="H503" s="16"/>
      <c r="J503" s="39"/>
      <c r="K503" s="53"/>
      <c r="L503" s="90"/>
      <c r="M503" s="39"/>
      <c r="N503" s="327"/>
      <c r="O503" s="368"/>
      <c r="P503" s="7"/>
      <c r="Q503" s="7"/>
      <c r="R503" s="7"/>
      <c r="S503" s="16"/>
      <c r="T503" s="16"/>
      <c r="U503" s="39"/>
      <c r="V503" s="7"/>
      <c r="W503" s="7"/>
      <c r="X503" s="93"/>
      <c r="Y503" s="85"/>
      <c r="Z503" s="85"/>
      <c r="AA503" s="85"/>
      <c r="AB503" s="85"/>
      <c r="AC503" s="85"/>
      <c r="AD503" s="325"/>
      <c r="AE503" s="85"/>
      <c r="AF503" s="90"/>
      <c r="AG503" s="87"/>
      <c r="AH503" s="39"/>
      <c r="AI503" s="87"/>
      <c r="AJ503" s="81"/>
      <c r="AK503" s="90"/>
      <c r="AL503" s="81"/>
      <c r="AM503" s="39"/>
      <c r="AN503" s="7"/>
      <c r="AO503" s="82"/>
      <c r="AP503" s="82"/>
      <c r="AQ503" s="7"/>
      <c r="AR503" s="7"/>
      <c r="AS503" s="82"/>
      <c r="AT503" s="7"/>
      <c r="AU503" s="82"/>
      <c r="AV503" s="7"/>
      <c r="AW503" s="7"/>
      <c r="AX503" s="82"/>
      <c r="AY503" s="7"/>
      <c r="AZ503" s="7"/>
      <c r="BA503" s="7"/>
      <c r="BB503" s="7"/>
      <c r="BC503" s="7"/>
      <c r="BD503" s="7"/>
      <c r="BE503" s="7"/>
      <c r="BF503" s="7"/>
      <c r="BG503" s="7"/>
    </row>
    <row r="504">
      <c r="A504" s="39"/>
      <c r="B504" s="39"/>
      <c r="C504" s="7"/>
      <c r="D504" s="53"/>
      <c r="E504" s="7"/>
      <c r="F504" s="53"/>
      <c r="G504" s="16"/>
      <c r="H504" s="16"/>
      <c r="J504" s="39"/>
      <c r="K504" s="53"/>
      <c r="L504" s="90"/>
      <c r="M504" s="39"/>
      <c r="N504" s="321"/>
      <c r="O504" s="368"/>
      <c r="P504" s="7"/>
      <c r="Q504" s="7"/>
      <c r="R504" s="82"/>
      <c r="S504" s="16"/>
      <c r="T504" s="16"/>
      <c r="U504" s="39"/>
      <c r="V504" s="7"/>
      <c r="W504" s="7"/>
      <c r="X504" s="93"/>
      <c r="Y504" s="85"/>
      <c r="Z504" s="85"/>
      <c r="AA504" s="85"/>
      <c r="AB504" s="85"/>
      <c r="AC504" s="85"/>
      <c r="AD504" s="325"/>
      <c r="AE504" s="85"/>
      <c r="AF504" s="90"/>
      <c r="AG504" s="87"/>
      <c r="AH504" s="39"/>
      <c r="AI504" s="87"/>
      <c r="AJ504" s="81"/>
      <c r="AK504" s="90"/>
      <c r="AL504" s="81"/>
      <c r="AM504" s="39"/>
      <c r="AN504" s="7"/>
      <c r="AO504" s="82"/>
      <c r="AP504" s="82"/>
      <c r="AQ504" s="7"/>
      <c r="AR504" s="7"/>
      <c r="AS504" s="82"/>
      <c r="AT504" s="7"/>
      <c r="AU504" s="82"/>
      <c r="AV504" s="7"/>
      <c r="AW504" s="7"/>
      <c r="AX504" s="82"/>
      <c r="AY504" s="7"/>
      <c r="AZ504" s="7"/>
      <c r="BA504" s="7"/>
      <c r="BB504" s="7"/>
      <c r="BC504" s="7"/>
      <c r="BD504" s="7"/>
      <c r="BE504" s="7"/>
      <c r="BF504" s="7"/>
      <c r="BG504" s="7"/>
    </row>
    <row r="505">
      <c r="A505" s="39"/>
      <c r="B505" s="39"/>
      <c r="C505" s="7"/>
      <c r="D505" s="53"/>
      <c r="E505" s="7"/>
      <c r="F505" s="53"/>
      <c r="G505" s="16"/>
      <c r="H505" s="16"/>
      <c r="J505" s="39"/>
      <c r="K505" s="53"/>
      <c r="L505" s="90"/>
      <c r="M505" s="39"/>
      <c r="N505" s="327"/>
      <c r="O505" s="322"/>
      <c r="P505" s="82"/>
      <c r="Q505" s="82"/>
      <c r="R505" s="82"/>
      <c r="S505" s="16"/>
      <c r="T505" s="16"/>
      <c r="U505" s="39"/>
      <c r="V505" s="7"/>
      <c r="W505" s="7"/>
      <c r="X505" s="93"/>
      <c r="Y505" s="85"/>
      <c r="Z505" s="85"/>
      <c r="AA505" s="85"/>
      <c r="AB505" s="85"/>
      <c r="AC505" s="85"/>
      <c r="AD505" s="325"/>
      <c r="AE505" s="85"/>
      <c r="AF505" s="90"/>
      <c r="AG505" s="87"/>
      <c r="AH505" s="39"/>
      <c r="AI505" s="87"/>
      <c r="AJ505" s="81"/>
      <c r="AK505" s="90"/>
      <c r="AL505" s="81"/>
      <c r="AM505" s="39"/>
      <c r="AN505" s="7"/>
      <c r="AO505" s="82"/>
      <c r="AP505" s="82"/>
      <c r="AQ505" s="82"/>
      <c r="AR505" s="82"/>
      <c r="AS505" s="82"/>
      <c r="AT505" s="82"/>
      <c r="AU505" s="82"/>
      <c r="AV505" s="82"/>
      <c r="AW505" s="7"/>
      <c r="AX505" s="82"/>
      <c r="AY505" s="7"/>
      <c r="AZ505" s="7"/>
      <c r="BA505" s="7"/>
      <c r="BB505" s="7"/>
      <c r="BC505" s="7"/>
      <c r="BD505" s="7"/>
      <c r="BE505" s="7"/>
      <c r="BF505" s="7"/>
      <c r="BG505" s="7"/>
    </row>
    <row r="506">
      <c r="A506" s="39"/>
      <c r="B506" s="39"/>
      <c r="C506" s="7"/>
      <c r="D506" s="53"/>
      <c r="E506" s="7"/>
      <c r="F506" s="53"/>
      <c r="G506" s="16"/>
      <c r="H506" s="16"/>
      <c r="J506" s="39"/>
      <c r="K506" s="53"/>
      <c r="L506" s="90"/>
      <c r="M506" s="39"/>
      <c r="N506" s="327"/>
      <c r="O506" s="322"/>
      <c r="P506" s="82"/>
      <c r="Q506" s="82"/>
      <c r="R506" s="82"/>
      <c r="S506" s="29"/>
      <c r="T506" s="16"/>
      <c r="U506" s="39"/>
      <c r="V506" s="7"/>
      <c r="W506" s="7"/>
      <c r="X506" s="93"/>
      <c r="Y506" s="85"/>
      <c r="Z506" s="85"/>
      <c r="AA506" s="85"/>
      <c r="AB506" s="85"/>
      <c r="AC506" s="85"/>
      <c r="AD506" s="325"/>
      <c r="AE506" s="85"/>
      <c r="AF506" s="90"/>
      <c r="AG506" s="87"/>
      <c r="AH506" s="39"/>
      <c r="AI506" s="87"/>
      <c r="AJ506" s="81"/>
      <c r="AK506" s="90"/>
      <c r="AL506" s="81"/>
      <c r="AM506" s="39"/>
      <c r="AN506" s="7"/>
      <c r="AO506" s="82"/>
      <c r="AP506" s="82"/>
      <c r="AQ506" s="7"/>
      <c r="AR506" s="82"/>
      <c r="AS506" s="82"/>
      <c r="AT506" s="82"/>
      <c r="AU506" s="82"/>
      <c r="AV506" s="82"/>
      <c r="AW506" s="7"/>
      <c r="AX506" s="82"/>
      <c r="AY506" s="7"/>
      <c r="AZ506" s="7"/>
      <c r="BA506" s="7"/>
      <c r="BB506" s="7"/>
      <c r="BC506" s="7"/>
      <c r="BD506" s="7"/>
      <c r="BE506" s="7"/>
      <c r="BF506" s="7"/>
      <c r="BG506" s="7"/>
    </row>
    <row r="507">
      <c r="A507" s="39"/>
      <c r="B507" s="39"/>
      <c r="C507" s="7"/>
      <c r="D507" s="53"/>
      <c r="E507" s="7"/>
      <c r="F507" s="53"/>
      <c r="G507" s="16"/>
      <c r="H507" s="16"/>
      <c r="J507" s="39"/>
      <c r="K507" s="53"/>
      <c r="L507" s="90"/>
      <c r="M507" s="39"/>
      <c r="N507" s="321"/>
      <c r="O507" s="322"/>
      <c r="P507" s="82"/>
      <c r="Q507" s="82"/>
      <c r="R507" s="82"/>
      <c r="S507" s="16"/>
      <c r="T507" s="16"/>
      <c r="U507" s="39"/>
      <c r="V507" s="7"/>
      <c r="W507" s="7"/>
      <c r="X507" s="93"/>
      <c r="Y507" s="85"/>
      <c r="Z507" s="85"/>
      <c r="AA507" s="85"/>
      <c r="AB507" s="85"/>
      <c r="AC507" s="85"/>
      <c r="AD507" s="325"/>
      <c r="AE507" s="85"/>
      <c r="AF507" s="90"/>
      <c r="AG507" s="84"/>
      <c r="AH507" s="39"/>
      <c r="AI507" s="87"/>
      <c r="AJ507" s="81"/>
      <c r="AK507" s="90"/>
      <c r="AL507" s="81"/>
      <c r="AM507" s="39"/>
      <c r="AN507" s="7"/>
      <c r="AO507" s="82"/>
      <c r="AP507" s="82"/>
      <c r="AQ507" s="82"/>
      <c r="AR507" s="82"/>
      <c r="AS507" s="82"/>
      <c r="AT507" s="82"/>
      <c r="AU507" s="82"/>
      <c r="AV507" s="82"/>
      <c r="AW507" s="7"/>
      <c r="AX507" s="82"/>
      <c r="AY507" s="7"/>
      <c r="AZ507" s="7"/>
      <c r="BA507" s="7"/>
      <c r="BB507" s="7"/>
      <c r="BC507" s="7"/>
      <c r="BD507" s="7"/>
      <c r="BE507" s="7"/>
      <c r="BF507" s="7"/>
      <c r="BG507" s="7"/>
    </row>
    <row r="508">
      <c r="A508" s="39"/>
      <c r="B508" s="39"/>
      <c r="C508" s="7"/>
      <c r="D508" s="53"/>
      <c r="E508" s="7"/>
      <c r="F508" s="53"/>
      <c r="G508" s="16"/>
      <c r="H508" s="16"/>
      <c r="J508" s="39"/>
      <c r="K508" s="53"/>
      <c r="L508" s="90"/>
      <c r="M508" s="39"/>
      <c r="N508" s="321"/>
      <c r="O508" s="322"/>
      <c r="P508" s="7"/>
      <c r="Q508" s="7"/>
      <c r="R508" s="7"/>
      <c r="S508" s="16"/>
      <c r="T508" s="16"/>
      <c r="U508" s="39"/>
      <c r="V508" s="7"/>
      <c r="W508" s="7"/>
      <c r="X508" s="93"/>
      <c r="Y508" s="85"/>
      <c r="Z508" s="85"/>
      <c r="AA508" s="85"/>
      <c r="AB508" s="85"/>
      <c r="AC508" s="85"/>
      <c r="AD508" s="325"/>
      <c r="AE508" s="85"/>
      <c r="AF508" s="90"/>
      <c r="AG508" s="87"/>
      <c r="AH508" s="39"/>
      <c r="AI508" s="87"/>
      <c r="AJ508" s="81"/>
      <c r="AK508" s="90"/>
      <c r="AL508" s="81"/>
      <c r="AM508" s="16"/>
      <c r="AN508" s="7"/>
      <c r="AO508" s="82"/>
      <c r="AP508" s="82"/>
      <c r="AQ508" s="7"/>
      <c r="AR508" s="7"/>
      <c r="AS508" s="7"/>
      <c r="AT508" s="7"/>
      <c r="AU508" s="7"/>
      <c r="AV508" s="7"/>
      <c r="AW508" s="7"/>
      <c r="AX508" s="82"/>
      <c r="AY508" s="7"/>
      <c r="AZ508" s="7"/>
      <c r="BA508" s="7"/>
      <c r="BB508" s="7"/>
      <c r="BC508" s="7"/>
      <c r="BD508" s="7"/>
      <c r="BE508" s="7"/>
      <c r="BF508" s="7"/>
      <c r="BG508" s="7"/>
    </row>
    <row r="509">
      <c r="A509" s="39"/>
      <c r="B509" s="39"/>
      <c r="C509" s="7"/>
      <c r="D509" s="53"/>
      <c r="E509" s="7"/>
      <c r="F509" s="53"/>
      <c r="G509" s="16"/>
      <c r="H509" s="16"/>
      <c r="J509" s="39"/>
      <c r="K509" s="53"/>
      <c r="L509" s="90"/>
      <c r="M509" s="39"/>
      <c r="N509" s="327"/>
      <c r="O509" s="322"/>
      <c r="P509" s="82"/>
      <c r="Q509" s="82"/>
      <c r="R509" s="82"/>
      <c r="S509" s="16"/>
      <c r="T509" s="16"/>
      <c r="U509" s="39"/>
      <c r="V509" s="7"/>
      <c r="W509" s="7"/>
      <c r="X509" s="93"/>
      <c r="Y509" s="85"/>
      <c r="Z509" s="85"/>
      <c r="AA509" s="85"/>
      <c r="AB509" s="85"/>
      <c r="AC509" s="85"/>
      <c r="AD509" s="325"/>
      <c r="AE509" s="85"/>
      <c r="AF509" s="90"/>
      <c r="AG509" s="84"/>
      <c r="AH509" s="39"/>
      <c r="AI509" s="87"/>
      <c r="AJ509" s="81"/>
      <c r="AK509" s="90"/>
      <c r="AL509" s="81"/>
      <c r="AM509" s="39"/>
      <c r="AN509" s="7"/>
      <c r="AO509" s="82"/>
      <c r="AP509" s="82"/>
      <c r="AQ509" s="82"/>
      <c r="AR509" s="82"/>
      <c r="AS509" s="82"/>
      <c r="AT509" s="82"/>
      <c r="AU509" s="82"/>
      <c r="AV509" s="82"/>
      <c r="AW509" s="7"/>
      <c r="AX509" s="82"/>
      <c r="AY509" s="7"/>
      <c r="AZ509" s="7"/>
      <c r="BA509" s="7"/>
      <c r="BB509" s="7"/>
      <c r="BC509" s="7"/>
      <c r="BD509" s="7"/>
      <c r="BE509" s="7"/>
      <c r="BF509" s="7"/>
      <c r="BG509" s="7"/>
    </row>
    <row r="510">
      <c r="A510" s="39"/>
      <c r="B510" s="39"/>
      <c r="C510" s="7"/>
      <c r="D510" s="53"/>
      <c r="E510" s="7"/>
      <c r="F510" s="53"/>
      <c r="G510" s="16"/>
      <c r="H510" s="81"/>
      <c r="J510" s="39"/>
      <c r="K510" s="53"/>
      <c r="L510" s="90"/>
      <c r="M510" s="39"/>
      <c r="N510" s="321"/>
      <c r="O510" s="322"/>
      <c r="P510" s="7"/>
      <c r="Q510" s="7"/>
      <c r="R510" s="7"/>
      <c r="S510" s="16"/>
      <c r="T510" s="16"/>
      <c r="U510" s="39"/>
      <c r="V510" s="7"/>
      <c r="W510" s="7"/>
      <c r="X510" s="93"/>
      <c r="Y510" s="131"/>
      <c r="Z510" s="131"/>
      <c r="AA510" s="131"/>
      <c r="AB510" s="131"/>
      <c r="AC510" s="131"/>
      <c r="AD510" s="323"/>
      <c r="AE510" s="131"/>
      <c r="AF510" s="90"/>
      <c r="AG510" s="87"/>
      <c r="AH510" s="39"/>
      <c r="AI510" s="87"/>
      <c r="AJ510" s="81"/>
      <c r="AK510" s="90"/>
      <c r="AL510" s="81"/>
      <c r="AM510" s="82"/>
      <c r="AN510" s="7"/>
      <c r="AO510" s="82"/>
      <c r="AP510" s="82"/>
      <c r="AQ510" s="7"/>
      <c r="AR510" s="7"/>
      <c r="AS510" s="7"/>
      <c r="AT510" s="7"/>
      <c r="AU510" s="7"/>
      <c r="AV510" s="7"/>
      <c r="AW510" s="7"/>
      <c r="AX510" s="82"/>
      <c r="AY510" s="7"/>
      <c r="AZ510" s="7"/>
      <c r="BA510" s="7"/>
      <c r="BB510" s="7"/>
      <c r="BC510" s="7"/>
      <c r="BD510" s="7"/>
      <c r="BE510" s="7"/>
      <c r="BF510" s="7"/>
      <c r="BG510" s="7"/>
    </row>
    <row r="511">
      <c r="A511" s="39"/>
      <c r="B511" s="39"/>
      <c r="C511" s="7"/>
      <c r="D511" s="53"/>
      <c r="E511" s="7"/>
      <c r="F511" s="53"/>
      <c r="G511" s="16"/>
      <c r="H511" s="81"/>
      <c r="J511" s="39"/>
      <c r="K511" s="53"/>
      <c r="L511" s="90"/>
      <c r="M511" s="39"/>
      <c r="N511" s="327"/>
      <c r="O511" s="368"/>
      <c r="P511" s="7"/>
      <c r="Q511" s="7"/>
      <c r="R511" s="7"/>
      <c r="S511" s="16"/>
      <c r="T511" s="16"/>
      <c r="U511" s="39"/>
      <c r="V511" s="7"/>
      <c r="W511" s="7"/>
      <c r="X511" s="93"/>
      <c r="Y511" s="131"/>
      <c r="Z511" s="131"/>
      <c r="AA511" s="131"/>
      <c r="AB511" s="131"/>
      <c r="AC511" s="131"/>
      <c r="AD511" s="323"/>
      <c r="AE511" s="131"/>
      <c r="AF511" s="90"/>
      <c r="AG511" s="87"/>
      <c r="AH511" s="39"/>
      <c r="AI511" s="87"/>
      <c r="AJ511" s="81"/>
      <c r="AK511" s="90"/>
      <c r="AL511" s="81"/>
      <c r="AM511" s="82"/>
      <c r="AN511" s="7"/>
      <c r="AO511" s="82"/>
      <c r="AP511" s="82"/>
      <c r="AQ511" s="7"/>
      <c r="AR511" s="82"/>
      <c r="AS511" s="82"/>
      <c r="AT511" s="82"/>
      <c r="AU511" s="82"/>
      <c r="AV511" s="82"/>
      <c r="AW511" s="7"/>
      <c r="AX511" s="82"/>
      <c r="AY511" s="7"/>
      <c r="AZ511" s="7"/>
      <c r="BA511" s="7"/>
      <c r="BB511" s="7"/>
      <c r="BC511" s="7"/>
      <c r="BD511" s="7"/>
      <c r="BE511" s="7"/>
      <c r="BF511" s="7"/>
      <c r="BG511" s="7"/>
    </row>
    <row r="512">
      <c r="A512" s="39"/>
      <c r="B512" s="39"/>
      <c r="C512" s="7"/>
      <c r="D512" s="53"/>
      <c r="E512" s="7"/>
      <c r="F512" s="53"/>
      <c r="G512" s="16"/>
      <c r="H512" s="81"/>
      <c r="J512" s="39"/>
      <c r="K512" s="53"/>
      <c r="L512" s="90"/>
      <c r="M512" s="39"/>
      <c r="N512" s="327"/>
      <c r="O512" s="367"/>
      <c r="P512" s="82"/>
      <c r="Q512" s="82"/>
      <c r="R512" s="82"/>
      <c r="S512" s="16"/>
      <c r="T512" s="16"/>
      <c r="U512" s="39"/>
      <c r="V512" s="7"/>
      <c r="W512" s="7"/>
      <c r="X512" s="93"/>
      <c r="Y512" s="131"/>
      <c r="Z512" s="131"/>
      <c r="AA512" s="131"/>
      <c r="AB512" s="131"/>
      <c r="AC512" s="131"/>
      <c r="AD512" s="323"/>
      <c r="AE512" s="131"/>
      <c r="AF512" s="90"/>
      <c r="AG512" s="84"/>
      <c r="AH512" s="39"/>
      <c r="AI512" s="87"/>
      <c r="AJ512" s="81"/>
      <c r="AK512" s="90"/>
      <c r="AL512" s="81"/>
      <c r="AM512" s="82"/>
      <c r="AN512" s="7"/>
      <c r="AO512" s="82"/>
      <c r="AP512" s="82"/>
      <c r="AQ512" s="7"/>
      <c r="AR512" s="82"/>
      <c r="AS512" s="82"/>
      <c r="AT512" s="82"/>
      <c r="AU512" s="82"/>
      <c r="AV512" s="82"/>
      <c r="AW512" s="7"/>
      <c r="AX512" s="82"/>
      <c r="AY512" s="7"/>
      <c r="AZ512" s="7"/>
      <c r="BA512" s="7"/>
      <c r="BB512" s="7"/>
      <c r="BC512" s="7"/>
      <c r="BD512" s="7"/>
      <c r="BE512" s="7"/>
      <c r="BF512" s="7"/>
      <c r="BG512" s="7"/>
    </row>
    <row r="513">
      <c r="A513" s="39"/>
      <c r="B513" s="39"/>
      <c r="C513" s="7"/>
      <c r="D513" s="53"/>
      <c r="E513" s="7"/>
      <c r="F513" s="53"/>
      <c r="G513" s="16"/>
      <c r="H513" s="81"/>
      <c r="J513" s="39"/>
      <c r="K513" s="53"/>
      <c r="L513" s="90"/>
      <c r="M513" s="39"/>
      <c r="N513" s="327"/>
      <c r="O513" s="367"/>
      <c r="P513" s="82"/>
      <c r="Q513" s="82"/>
      <c r="R513" s="82"/>
      <c r="S513" s="16"/>
      <c r="T513" s="16"/>
      <c r="U513" s="39"/>
      <c r="V513" s="7"/>
      <c r="W513" s="7"/>
      <c r="X513" s="93"/>
      <c r="Y513" s="131"/>
      <c r="Z513" s="131"/>
      <c r="AA513" s="131"/>
      <c r="AB513" s="131"/>
      <c r="AC513" s="131"/>
      <c r="AD513" s="323"/>
      <c r="AE513" s="131"/>
      <c r="AF513" s="90"/>
      <c r="AG513" s="87"/>
      <c r="AH513" s="39"/>
      <c r="AI513" s="87"/>
      <c r="AJ513" s="81"/>
      <c r="AK513" s="90"/>
      <c r="AL513" s="81"/>
      <c r="AM513" s="82"/>
      <c r="AN513" s="7"/>
      <c r="AO513" s="82"/>
      <c r="AP513" s="82"/>
      <c r="AQ513" s="7"/>
      <c r="AR513" s="82"/>
      <c r="AS513" s="82"/>
      <c r="AT513" s="82"/>
      <c r="AU513" s="82"/>
      <c r="AV513" s="82"/>
      <c r="AW513" s="7"/>
      <c r="AX513" s="82"/>
      <c r="AY513" s="7"/>
      <c r="AZ513" s="7"/>
      <c r="BA513" s="7"/>
      <c r="BB513" s="7"/>
      <c r="BC513" s="7"/>
      <c r="BD513" s="7"/>
      <c r="BE513" s="7"/>
      <c r="BF513" s="7"/>
      <c r="BG513" s="7"/>
    </row>
    <row r="514">
      <c r="A514" s="39"/>
      <c r="B514" s="39"/>
      <c r="C514" s="7"/>
      <c r="D514" s="53"/>
      <c r="E514" s="7"/>
      <c r="F514" s="53"/>
      <c r="G514" s="16"/>
      <c r="H514" s="81"/>
      <c r="J514" s="39"/>
      <c r="K514" s="53"/>
      <c r="L514" s="90"/>
      <c r="M514" s="39"/>
      <c r="N514" s="327"/>
      <c r="O514" s="367"/>
      <c r="P514" s="82"/>
      <c r="Q514" s="82"/>
      <c r="R514" s="82"/>
      <c r="S514" s="16"/>
      <c r="T514" s="16"/>
      <c r="U514" s="39"/>
      <c r="V514" s="7"/>
      <c r="W514" s="7"/>
      <c r="X514" s="93"/>
      <c r="Y514" s="131"/>
      <c r="Z514" s="131"/>
      <c r="AA514" s="131"/>
      <c r="AB514" s="131"/>
      <c r="AC514" s="131"/>
      <c r="AD514" s="323"/>
      <c r="AE514" s="131"/>
      <c r="AF514" s="90"/>
      <c r="AG514" s="87"/>
      <c r="AH514" s="39"/>
      <c r="AI514" s="87"/>
      <c r="AJ514" s="81"/>
      <c r="AK514" s="90"/>
      <c r="AL514" s="81"/>
      <c r="AM514" s="82"/>
      <c r="AN514" s="7"/>
      <c r="AO514" s="82"/>
      <c r="AP514" s="82"/>
      <c r="AQ514" s="7"/>
      <c r="AR514" s="82"/>
      <c r="AS514" s="82"/>
      <c r="AT514" s="82"/>
      <c r="AU514" s="82"/>
      <c r="AV514" s="82"/>
      <c r="AW514" s="7"/>
      <c r="AX514" s="82"/>
      <c r="AY514" s="7"/>
      <c r="AZ514" s="7"/>
      <c r="BA514" s="7"/>
      <c r="BB514" s="7"/>
      <c r="BC514" s="7"/>
      <c r="BD514" s="7"/>
      <c r="BE514" s="7"/>
      <c r="BF514" s="7"/>
      <c r="BG514" s="7"/>
    </row>
    <row r="515">
      <c r="A515" s="39"/>
      <c r="B515" s="39"/>
      <c r="C515" s="7"/>
      <c r="D515" s="53"/>
      <c r="E515" s="7"/>
      <c r="F515" s="53"/>
      <c r="G515" s="16"/>
      <c r="H515" s="81"/>
      <c r="J515" s="39"/>
      <c r="K515" s="53"/>
      <c r="L515" s="90"/>
      <c r="M515" s="39"/>
      <c r="N515" s="327"/>
      <c r="O515" s="367"/>
      <c r="P515" s="82"/>
      <c r="Q515" s="82"/>
      <c r="R515" s="82"/>
      <c r="S515" s="16"/>
      <c r="T515" s="16"/>
      <c r="U515" s="39"/>
      <c r="V515" s="7"/>
      <c r="W515" s="7"/>
      <c r="X515" s="93"/>
      <c r="Y515" s="131"/>
      <c r="Z515" s="131"/>
      <c r="AA515" s="131"/>
      <c r="AB515" s="131"/>
      <c r="AC515" s="131"/>
      <c r="AD515" s="323"/>
      <c r="AE515" s="131"/>
      <c r="AF515" s="90"/>
      <c r="AG515" s="87"/>
      <c r="AH515" s="39"/>
      <c r="AI515" s="87"/>
      <c r="AJ515" s="81"/>
      <c r="AK515" s="90"/>
      <c r="AL515" s="81"/>
      <c r="AM515" s="82"/>
      <c r="AN515" s="7"/>
      <c r="AO515" s="82"/>
      <c r="AP515" s="82"/>
      <c r="AQ515" s="7"/>
      <c r="AR515" s="82"/>
      <c r="AS515" s="82"/>
      <c r="AT515" s="82"/>
      <c r="AU515" s="82"/>
      <c r="AV515" s="82"/>
      <c r="AW515" s="7"/>
      <c r="AX515" s="82"/>
      <c r="AY515" s="7"/>
      <c r="AZ515" s="7"/>
      <c r="BA515" s="7"/>
      <c r="BB515" s="7"/>
      <c r="BC515" s="7"/>
      <c r="BD515" s="7"/>
      <c r="BE515" s="7"/>
      <c r="BF515" s="7"/>
      <c r="BG515" s="7"/>
    </row>
    <row r="516">
      <c r="A516" s="39"/>
      <c r="B516" s="39"/>
      <c r="C516" s="7"/>
      <c r="D516" s="53"/>
      <c r="E516" s="7"/>
      <c r="F516" s="53"/>
      <c r="G516" s="16"/>
      <c r="H516" s="81"/>
      <c r="J516" s="39"/>
      <c r="K516" s="53"/>
      <c r="L516" s="90"/>
      <c r="M516" s="39"/>
      <c r="N516" s="327"/>
      <c r="O516" s="367"/>
      <c r="P516" s="82"/>
      <c r="Q516" s="82"/>
      <c r="R516" s="82"/>
      <c r="S516" s="16"/>
      <c r="T516" s="16"/>
      <c r="U516" s="39"/>
      <c r="V516" s="7"/>
      <c r="W516" s="7"/>
      <c r="X516" s="93"/>
      <c r="Y516" s="131"/>
      <c r="Z516" s="131"/>
      <c r="AA516" s="131"/>
      <c r="AB516" s="131"/>
      <c r="AC516" s="131"/>
      <c r="AD516" s="323"/>
      <c r="AE516" s="131"/>
      <c r="AF516" s="90"/>
      <c r="AG516" s="87"/>
      <c r="AH516" s="39"/>
      <c r="AI516" s="87"/>
      <c r="AJ516" s="81"/>
      <c r="AK516" s="90"/>
      <c r="AL516" s="81"/>
      <c r="AM516" s="82"/>
      <c r="AN516" s="7"/>
      <c r="AO516" s="82"/>
      <c r="AP516" s="82"/>
      <c r="AQ516" s="7"/>
      <c r="AR516" s="82"/>
      <c r="AS516" s="82"/>
      <c r="AT516" s="82"/>
      <c r="AU516" s="82"/>
      <c r="AV516" s="82"/>
      <c r="AW516" s="7"/>
      <c r="AX516" s="82"/>
      <c r="AY516" s="7"/>
      <c r="AZ516" s="7"/>
      <c r="BA516" s="7"/>
      <c r="BB516" s="7"/>
      <c r="BC516" s="7"/>
      <c r="BD516" s="7"/>
      <c r="BE516" s="7"/>
      <c r="BF516" s="7"/>
      <c r="BG516" s="7"/>
    </row>
    <row r="517">
      <c r="A517" s="39"/>
      <c r="B517" s="39"/>
      <c r="C517" s="7"/>
      <c r="D517" s="53"/>
      <c r="E517" s="7"/>
      <c r="F517" s="53"/>
      <c r="G517" s="16"/>
      <c r="H517" s="81"/>
      <c r="J517" s="39"/>
      <c r="K517" s="53"/>
      <c r="L517" s="90"/>
      <c r="M517" s="39"/>
      <c r="N517" s="327"/>
      <c r="O517" s="367"/>
      <c r="P517" s="82"/>
      <c r="Q517" s="82"/>
      <c r="R517" s="82"/>
      <c r="S517" s="16"/>
      <c r="T517" s="16"/>
      <c r="U517" s="39"/>
      <c r="V517" s="7"/>
      <c r="W517" s="7"/>
      <c r="X517" s="93"/>
      <c r="Y517" s="131"/>
      <c r="Z517" s="131"/>
      <c r="AA517" s="131"/>
      <c r="AB517" s="131"/>
      <c r="AC517" s="131"/>
      <c r="AD517" s="323"/>
      <c r="AE517" s="131"/>
      <c r="AF517" s="90"/>
      <c r="AG517" s="87"/>
      <c r="AH517" s="39"/>
      <c r="AI517" s="87"/>
      <c r="AJ517" s="81"/>
      <c r="AK517" s="90"/>
      <c r="AL517" s="81"/>
      <c r="AM517" s="82"/>
      <c r="AN517" s="7"/>
      <c r="AO517" s="82"/>
      <c r="AP517" s="82"/>
      <c r="AQ517" s="7"/>
      <c r="AR517" s="82"/>
      <c r="AS517" s="82"/>
      <c r="AT517" s="82"/>
      <c r="AU517" s="82"/>
      <c r="AV517" s="82"/>
      <c r="AW517" s="7"/>
      <c r="AX517" s="82"/>
      <c r="AY517" s="7"/>
      <c r="AZ517" s="7"/>
      <c r="BA517" s="7"/>
      <c r="BB517" s="7"/>
      <c r="BC517" s="7"/>
      <c r="BD517" s="7"/>
      <c r="BE517" s="7"/>
      <c r="BF517" s="7"/>
      <c r="BG517" s="7"/>
    </row>
    <row r="518">
      <c r="A518" s="39"/>
      <c r="B518" s="39"/>
      <c r="C518" s="7"/>
      <c r="D518" s="53"/>
      <c r="E518" s="7"/>
      <c r="F518" s="53"/>
      <c r="G518" s="16"/>
      <c r="H518" s="81"/>
      <c r="J518" s="39"/>
      <c r="K518" s="53"/>
      <c r="L518" s="90"/>
      <c r="M518" s="39"/>
      <c r="N518" s="327"/>
      <c r="O518" s="367"/>
      <c r="P518" s="82"/>
      <c r="Q518" s="82"/>
      <c r="R518" s="82"/>
      <c r="S518" s="16"/>
      <c r="T518" s="16"/>
      <c r="U518" s="39"/>
      <c r="V518" s="7"/>
      <c r="W518" s="7"/>
      <c r="X518" s="93"/>
      <c r="Y518" s="131"/>
      <c r="Z518" s="131"/>
      <c r="AA518" s="131"/>
      <c r="AB518" s="131"/>
      <c r="AC518" s="131"/>
      <c r="AD518" s="323"/>
      <c r="AE518" s="131"/>
      <c r="AF518" s="90"/>
      <c r="AG518" s="87"/>
      <c r="AH518" s="39"/>
      <c r="AI518" s="87"/>
      <c r="AJ518" s="81"/>
      <c r="AK518" s="90"/>
      <c r="AL518" s="81"/>
      <c r="AM518" s="82"/>
      <c r="AN518" s="7"/>
      <c r="AO518" s="82"/>
      <c r="AP518" s="82"/>
      <c r="AQ518" s="82"/>
      <c r="AR518" s="82"/>
      <c r="AS518" s="82"/>
      <c r="AT518" s="82"/>
      <c r="AU518" s="82"/>
      <c r="AV518" s="82"/>
      <c r="AW518" s="7"/>
      <c r="AX518" s="82"/>
      <c r="AY518" s="7"/>
      <c r="AZ518" s="7"/>
      <c r="BA518" s="7"/>
      <c r="BB518" s="7"/>
      <c r="BC518" s="7"/>
      <c r="BD518" s="7"/>
      <c r="BE518" s="7"/>
      <c r="BF518" s="7"/>
      <c r="BG518" s="7"/>
    </row>
    <row r="519">
      <c r="A519" s="39"/>
      <c r="B519" s="39"/>
      <c r="C519" s="7"/>
      <c r="D519" s="53"/>
      <c r="E519" s="7"/>
      <c r="F519" s="53"/>
      <c r="G519" s="16"/>
      <c r="H519" s="81"/>
      <c r="J519" s="39"/>
      <c r="K519" s="53"/>
      <c r="L519" s="90"/>
      <c r="M519" s="39"/>
      <c r="N519" s="327"/>
      <c r="O519" s="367"/>
      <c r="P519" s="82"/>
      <c r="Q519" s="82"/>
      <c r="R519" s="82"/>
      <c r="S519" s="16"/>
      <c r="T519" s="16"/>
      <c r="U519" s="39"/>
      <c r="V519" s="7"/>
      <c r="W519" s="7"/>
      <c r="X519" s="93"/>
      <c r="Y519" s="131"/>
      <c r="Z519" s="131"/>
      <c r="AA519" s="131"/>
      <c r="AB519" s="131"/>
      <c r="AC519" s="131"/>
      <c r="AD519" s="323"/>
      <c r="AE519" s="131"/>
      <c r="AF519" s="90"/>
      <c r="AG519" s="87"/>
      <c r="AH519" s="39"/>
      <c r="AI519" s="87"/>
      <c r="AJ519" s="81"/>
      <c r="AK519" s="90"/>
      <c r="AL519" s="81"/>
      <c r="AM519" s="82"/>
      <c r="AN519" s="7"/>
      <c r="AO519" s="82"/>
      <c r="AP519" s="82"/>
      <c r="AQ519" s="82"/>
      <c r="AR519" s="82"/>
      <c r="AS519" s="82"/>
      <c r="AT519" s="82"/>
      <c r="AU519" s="82"/>
      <c r="AV519" s="82"/>
      <c r="AW519" s="7"/>
      <c r="AX519" s="82"/>
      <c r="AY519" s="7"/>
      <c r="AZ519" s="7"/>
      <c r="BA519" s="7"/>
      <c r="BB519" s="7"/>
      <c r="BC519" s="7"/>
      <c r="BD519" s="7"/>
      <c r="BE519" s="7"/>
      <c r="BF519" s="7"/>
      <c r="BG519" s="7"/>
    </row>
    <row r="520">
      <c r="A520" s="39"/>
      <c r="B520" s="39"/>
      <c r="C520" s="7"/>
      <c r="D520" s="53"/>
      <c r="E520" s="7"/>
      <c r="F520" s="53"/>
      <c r="G520" s="16"/>
      <c r="H520" s="81"/>
      <c r="J520" s="39"/>
      <c r="K520" s="53"/>
      <c r="L520" s="90"/>
      <c r="M520" s="39"/>
      <c r="N520" s="327"/>
      <c r="O520" s="367"/>
      <c r="P520" s="82"/>
      <c r="Q520" s="82"/>
      <c r="R520" s="82"/>
      <c r="S520" s="16"/>
      <c r="T520" s="16"/>
      <c r="U520" s="39"/>
      <c r="V520" s="7"/>
      <c r="W520" s="7"/>
      <c r="X520" s="93"/>
      <c r="Y520" s="131"/>
      <c r="Z520" s="131"/>
      <c r="AA520" s="131"/>
      <c r="AB520" s="131"/>
      <c r="AC520" s="131"/>
      <c r="AD520" s="323"/>
      <c r="AE520" s="131"/>
      <c r="AF520" s="90"/>
      <c r="AG520" s="87"/>
      <c r="AH520" s="39"/>
      <c r="AI520" s="87"/>
      <c r="AJ520" s="81"/>
      <c r="AK520" s="90"/>
      <c r="AL520" s="81"/>
      <c r="AM520" s="82"/>
      <c r="AN520" s="7"/>
      <c r="AO520" s="82"/>
      <c r="AP520" s="82"/>
      <c r="AQ520" s="82"/>
      <c r="AR520" s="82"/>
      <c r="AS520" s="82"/>
      <c r="AT520" s="82"/>
      <c r="AU520" s="82"/>
      <c r="AV520" s="82"/>
      <c r="AW520" s="7"/>
      <c r="AX520" s="82"/>
      <c r="AY520" s="7"/>
      <c r="AZ520" s="7"/>
      <c r="BA520" s="7"/>
      <c r="BB520" s="7"/>
      <c r="BC520" s="7"/>
      <c r="BD520" s="7"/>
      <c r="BE520" s="7"/>
      <c r="BF520" s="7"/>
      <c r="BG520" s="7"/>
    </row>
    <row r="521">
      <c r="A521" s="39"/>
      <c r="B521" s="39"/>
      <c r="C521" s="7"/>
      <c r="D521" s="53"/>
      <c r="E521" s="7"/>
      <c r="F521" s="53"/>
      <c r="G521" s="16"/>
      <c r="H521" s="16"/>
      <c r="J521" s="39"/>
      <c r="K521" s="53"/>
      <c r="L521" s="90"/>
      <c r="M521" s="39"/>
      <c r="N521" s="327"/>
      <c r="O521" s="322"/>
      <c r="P521" s="7"/>
      <c r="Q521" s="7"/>
      <c r="R521" s="82"/>
      <c r="S521" s="16"/>
      <c r="T521" s="16"/>
      <c r="U521" s="39"/>
      <c r="V521" s="7"/>
      <c r="W521" s="7"/>
      <c r="X521" s="93"/>
      <c r="Y521" s="131"/>
      <c r="Z521" s="131"/>
      <c r="AA521" s="131"/>
      <c r="AB521" s="85"/>
      <c r="AC521" s="85"/>
      <c r="AD521" s="325"/>
      <c r="AE521" s="85"/>
      <c r="AF521" s="90"/>
      <c r="AG521" s="87"/>
      <c r="AH521" s="39"/>
      <c r="AI521" s="87"/>
      <c r="AJ521" s="81"/>
      <c r="AK521" s="90"/>
      <c r="AL521" s="81"/>
      <c r="AM521" s="7"/>
      <c r="AN521" s="82"/>
      <c r="AO521" s="82"/>
      <c r="AP521" s="82"/>
      <c r="AQ521" s="7"/>
      <c r="AR521" s="7"/>
      <c r="AS521" s="7"/>
      <c r="AT521" s="7"/>
      <c r="AU521" s="7"/>
      <c r="AV521" s="7"/>
      <c r="AW521" s="7"/>
      <c r="AX521" s="82"/>
      <c r="AY521" s="7"/>
      <c r="AZ521" s="7"/>
      <c r="BA521" s="7"/>
      <c r="BB521" s="7"/>
      <c r="BC521" s="7"/>
      <c r="BD521" s="7"/>
      <c r="BE521" s="7"/>
      <c r="BF521" s="7"/>
      <c r="BG521" s="7"/>
    </row>
    <row r="522">
      <c r="A522" s="39"/>
      <c r="B522" s="39"/>
      <c r="C522" s="7"/>
      <c r="D522" s="53"/>
      <c r="E522" s="7"/>
      <c r="F522" s="53"/>
      <c r="G522" s="16"/>
      <c r="H522" s="16"/>
      <c r="J522" s="39"/>
      <c r="K522" s="53"/>
      <c r="L522" s="90"/>
      <c r="M522" s="39"/>
      <c r="N522" s="327"/>
      <c r="O522" s="322"/>
      <c r="P522" s="82"/>
      <c r="Q522" s="82"/>
      <c r="R522" s="82"/>
      <c r="S522" s="16"/>
      <c r="T522" s="16"/>
      <c r="U522" s="39"/>
      <c r="V522" s="7"/>
      <c r="W522" s="7"/>
      <c r="X522" s="93"/>
      <c r="Y522" s="131"/>
      <c r="Z522" s="131"/>
      <c r="AA522" s="131"/>
      <c r="AB522" s="85"/>
      <c r="AC522" s="85"/>
      <c r="AD522" s="325"/>
      <c r="AE522" s="85"/>
      <c r="AF522" s="90"/>
      <c r="AG522" s="87"/>
      <c r="AH522" s="39"/>
      <c r="AI522" s="87"/>
      <c r="AJ522" s="81"/>
      <c r="AK522" s="90"/>
      <c r="AL522" s="81"/>
      <c r="AM522" s="7"/>
      <c r="AN522" s="82"/>
      <c r="AO522" s="82"/>
      <c r="AP522" s="82"/>
      <c r="AQ522" s="7"/>
      <c r="AR522" s="82"/>
      <c r="AS522" s="82"/>
      <c r="AT522" s="82"/>
      <c r="AU522" s="82"/>
      <c r="AV522" s="82"/>
      <c r="AW522" s="7"/>
      <c r="AX522" s="82"/>
      <c r="AY522" s="7"/>
      <c r="AZ522" s="7"/>
      <c r="BA522" s="7"/>
      <c r="BB522" s="7"/>
      <c r="BC522" s="7"/>
      <c r="BD522" s="7"/>
      <c r="BE522" s="7"/>
      <c r="BF522" s="7"/>
      <c r="BG522" s="7"/>
    </row>
    <row r="523">
      <c r="A523" s="39"/>
      <c r="B523" s="39"/>
      <c r="C523" s="7"/>
      <c r="D523" s="53"/>
      <c r="E523" s="7"/>
      <c r="F523" s="53"/>
      <c r="G523" s="16"/>
      <c r="H523" s="16"/>
      <c r="J523" s="39"/>
      <c r="K523" s="53"/>
      <c r="L523" s="90"/>
      <c r="M523" s="39"/>
      <c r="N523" s="321"/>
      <c r="O523" s="322"/>
      <c r="P523" s="82"/>
      <c r="Q523" s="82"/>
      <c r="R523" s="82"/>
      <c r="S523" s="16"/>
      <c r="T523" s="16"/>
      <c r="U523" s="39"/>
      <c r="V523" s="7"/>
      <c r="W523" s="7"/>
      <c r="X523" s="93"/>
      <c r="Y523" s="131"/>
      <c r="Z523" s="131"/>
      <c r="AA523" s="131"/>
      <c r="AB523" s="85"/>
      <c r="AC523" s="85"/>
      <c r="AD523" s="325"/>
      <c r="AE523" s="85"/>
      <c r="AF523" s="90"/>
      <c r="AG523" s="87"/>
      <c r="AH523" s="39"/>
      <c r="AI523" s="87"/>
      <c r="AJ523" s="81"/>
      <c r="AK523" s="90"/>
      <c r="AL523" s="81"/>
      <c r="AM523" s="82"/>
      <c r="AN523" s="82"/>
      <c r="AO523" s="82"/>
      <c r="AP523" s="82"/>
      <c r="AQ523" s="7"/>
      <c r="AR523" s="82"/>
      <c r="AS523" s="82"/>
      <c r="AT523" s="82"/>
      <c r="AU523" s="82"/>
      <c r="AV523" s="82"/>
      <c r="AW523" s="7"/>
      <c r="AX523" s="82"/>
      <c r="AY523" s="7"/>
      <c r="AZ523" s="7"/>
      <c r="BA523" s="7"/>
      <c r="BB523" s="7"/>
      <c r="BC523" s="7"/>
      <c r="BD523" s="7"/>
      <c r="BE523" s="7"/>
      <c r="BF523" s="7"/>
      <c r="BG523" s="7"/>
    </row>
    <row r="524">
      <c r="A524" s="39"/>
      <c r="B524" s="39"/>
      <c r="C524" s="7"/>
      <c r="D524" s="53"/>
      <c r="E524" s="7"/>
      <c r="F524" s="53"/>
      <c r="G524" s="16"/>
      <c r="H524" s="16"/>
      <c r="J524" s="39"/>
      <c r="K524" s="53"/>
      <c r="L524" s="90"/>
      <c r="M524" s="39"/>
      <c r="N524" s="327"/>
      <c r="O524" s="322"/>
      <c r="P524" s="82"/>
      <c r="Q524" s="82"/>
      <c r="R524" s="82"/>
      <c r="S524" s="16"/>
      <c r="T524" s="16"/>
      <c r="U524" s="39"/>
      <c r="V524" s="7"/>
      <c r="W524" s="7"/>
      <c r="X524" s="93"/>
      <c r="Y524" s="131"/>
      <c r="Z524" s="131"/>
      <c r="AA524" s="131"/>
      <c r="AB524" s="85"/>
      <c r="AC524" s="85"/>
      <c r="AD524" s="325"/>
      <c r="AE524" s="85"/>
      <c r="AF524" s="90"/>
      <c r="AG524" s="87"/>
      <c r="AH524" s="39"/>
      <c r="AI524" s="87"/>
      <c r="AJ524" s="81"/>
      <c r="AK524" s="90"/>
      <c r="AL524" s="81"/>
      <c r="AM524" s="82"/>
      <c r="AN524" s="82"/>
      <c r="AO524" s="82"/>
      <c r="AP524" s="82"/>
      <c r="AQ524" s="7"/>
      <c r="AR524" s="82"/>
      <c r="AS524" s="82"/>
      <c r="AT524" s="82"/>
      <c r="AU524" s="82"/>
      <c r="AV524" s="82"/>
      <c r="AW524" s="7"/>
      <c r="AX524" s="82"/>
      <c r="AY524" s="7"/>
      <c r="AZ524" s="7"/>
      <c r="BA524" s="7"/>
      <c r="BB524" s="7"/>
      <c r="BC524" s="7"/>
      <c r="BD524" s="7"/>
      <c r="BE524" s="7"/>
      <c r="BF524" s="7"/>
      <c r="BG524" s="7"/>
    </row>
    <row r="525">
      <c r="A525" s="39"/>
      <c r="B525" s="39"/>
      <c r="C525" s="7"/>
      <c r="D525" s="53"/>
      <c r="E525" s="7"/>
      <c r="F525" s="53"/>
      <c r="G525" s="16"/>
      <c r="H525" s="16"/>
      <c r="J525" s="39"/>
      <c r="K525" s="53"/>
      <c r="L525" s="90"/>
      <c r="M525" s="39"/>
      <c r="N525" s="321"/>
      <c r="O525" s="322"/>
      <c r="P525" s="82"/>
      <c r="Q525" s="82"/>
      <c r="R525" s="82"/>
      <c r="S525" s="16"/>
      <c r="T525" s="16"/>
      <c r="U525" s="39"/>
      <c r="V525" s="7"/>
      <c r="W525" s="7"/>
      <c r="X525" s="93"/>
      <c r="Y525" s="131"/>
      <c r="Z525" s="131"/>
      <c r="AA525" s="131"/>
      <c r="AB525" s="85"/>
      <c r="AC525" s="85"/>
      <c r="AD525" s="325"/>
      <c r="AE525" s="85"/>
      <c r="AF525" s="90"/>
      <c r="AG525" s="87"/>
      <c r="AH525" s="39"/>
      <c r="AI525" s="87"/>
      <c r="AJ525" s="81"/>
      <c r="AK525" s="90"/>
      <c r="AL525" s="81"/>
      <c r="AM525" s="82"/>
      <c r="AN525" s="82"/>
      <c r="AO525" s="82"/>
      <c r="AP525" s="82"/>
      <c r="AQ525" s="7"/>
      <c r="AR525" s="82"/>
      <c r="AS525" s="82"/>
      <c r="AT525" s="82"/>
      <c r="AU525" s="82"/>
      <c r="AV525" s="82"/>
      <c r="AW525" s="7"/>
      <c r="AX525" s="82"/>
      <c r="AY525" s="7"/>
      <c r="AZ525" s="7"/>
      <c r="BA525" s="7"/>
      <c r="BB525" s="7"/>
      <c r="BC525" s="7"/>
      <c r="BD525" s="7"/>
      <c r="BE525" s="7"/>
      <c r="BF525" s="7"/>
      <c r="BG525" s="7"/>
    </row>
    <row r="526">
      <c r="A526" s="39"/>
      <c r="B526" s="39"/>
      <c r="C526" s="7"/>
      <c r="D526" s="53"/>
      <c r="E526" s="7"/>
      <c r="F526" s="53"/>
      <c r="G526" s="16"/>
      <c r="H526" s="16"/>
      <c r="J526" s="39"/>
      <c r="K526" s="53"/>
      <c r="L526" s="90"/>
      <c r="M526" s="39"/>
      <c r="N526" s="327"/>
      <c r="O526" s="368"/>
      <c r="P526" s="7"/>
      <c r="Q526" s="7"/>
      <c r="R526" s="352"/>
      <c r="S526" s="16"/>
      <c r="T526" s="16"/>
      <c r="U526" s="39"/>
      <c r="V526" s="7"/>
      <c r="W526" s="7"/>
      <c r="X526" s="93"/>
      <c r="Y526" s="131"/>
      <c r="Z526" s="131"/>
      <c r="AA526" s="131"/>
      <c r="AB526" s="85"/>
      <c r="AC526" s="85"/>
      <c r="AD526" s="325"/>
      <c r="AE526" s="85"/>
      <c r="AF526" s="90"/>
      <c r="AG526" s="87"/>
      <c r="AH526" s="39"/>
      <c r="AI526" s="87"/>
      <c r="AJ526" s="81"/>
      <c r="AK526" s="90"/>
      <c r="AL526" s="81"/>
      <c r="AM526" s="82"/>
      <c r="AN526" s="82"/>
      <c r="AO526" s="82"/>
      <c r="AP526" s="82"/>
      <c r="AQ526" s="7"/>
      <c r="AR526" s="82"/>
      <c r="AS526" s="82"/>
      <c r="AT526" s="82"/>
      <c r="AU526" s="82"/>
      <c r="AV526" s="82"/>
      <c r="AW526" s="7"/>
      <c r="AX526" s="82"/>
      <c r="AY526" s="7"/>
      <c r="AZ526" s="7"/>
      <c r="BA526" s="7"/>
      <c r="BB526" s="7"/>
      <c r="BC526" s="7"/>
      <c r="BD526" s="7"/>
      <c r="BE526" s="7"/>
      <c r="BF526" s="7"/>
      <c r="BG526" s="7"/>
    </row>
    <row r="527">
      <c r="A527" s="39"/>
      <c r="B527" s="39"/>
      <c r="C527" s="7"/>
      <c r="D527" s="53"/>
      <c r="E527" s="7"/>
      <c r="F527" s="53"/>
      <c r="G527" s="16"/>
      <c r="H527" s="16"/>
      <c r="J527" s="39"/>
      <c r="K527" s="53"/>
      <c r="L527" s="90"/>
      <c r="M527" s="39"/>
      <c r="N527" s="327"/>
      <c r="O527" s="372"/>
      <c r="P527" s="7"/>
      <c r="Q527" s="7"/>
      <c r="R527" s="7"/>
      <c r="S527" s="16"/>
      <c r="T527" s="16"/>
      <c r="U527" s="39"/>
      <c r="V527" s="7"/>
      <c r="W527" s="7"/>
      <c r="X527" s="93"/>
      <c r="Y527" s="131"/>
      <c r="Z527" s="131"/>
      <c r="AA527" s="131"/>
      <c r="AB527" s="85"/>
      <c r="AC527" s="85"/>
      <c r="AD527" s="325"/>
      <c r="AE527" s="85"/>
      <c r="AF527" s="90"/>
      <c r="AG527" s="87"/>
      <c r="AH527" s="39"/>
      <c r="AI527" s="87"/>
      <c r="AJ527" s="81"/>
      <c r="AK527" s="90"/>
      <c r="AL527" s="81"/>
      <c r="AM527" s="82"/>
      <c r="AN527" s="82"/>
      <c r="AO527" s="82"/>
      <c r="AP527" s="82"/>
      <c r="AQ527" s="7"/>
      <c r="AR527" s="7"/>
      <c r="AS527" s="82"/>
      <c r="AT527" s="7"/>
      <c r="AU527" s="82"/>
      <c r="AV527" s="7"/>
      <c r="AW527" s="7"/>
      <c r="AX527" s="82"/>
      <c r="AY527" s="7"/>
      <c r="AZ527" s="7"/>
      <c r="BA527" s="7"/>
      <c r="BB527" s="7"/>
      <c r="BC527" s="7"/>
      <c r="BD527" s="7"/>
      <c r="BE527" s="7"/>
      <c r="BF527" s="7"/>
      <c r="BG527" s="7"/>
    </row>
    <row r="528">
      <c r="A528" s="39"/>
      <c r="B528" s="39"/>
      <c r="C528" s="7"/>
      <c r="D528" s="53"/>
      <c r="E528" s="7"/>
      <c r="F528" s="53"/>
      <c r="G528" s="16"/>
      <c r="H528" s="16"/>
      <c r="J528" s="39"/>
      <c r="K528" s="53"/>
      <c r="L528" s="90"/>
      <c r="M528" s="39"/>
      <c r="N528" s="327"/>
      <c r="O528" s="368"/>
      <c r="P528" s="82"/>
      <c r="Q528" s="82"/>
      <c r="R528" s="82"/>
      <c r="S528" s="16"/>
      <c r="T528" s="16"/>
      <c r="U528" s="39"/>
      <c r="V528" s="7"/>
      <c r="W528" s="7"/>
      <c r="X528" s="93"/>
      <c r="Y528" s="131"/>
      <c r="Z528" s="131"/>
      <c r="AA528" s="131"/>
      <c r="AB528" s="85"/>
      <c r="AC528" s="85"/>
      <c r="AD528" s="325"/>
      <c r="AE528" s="85"/>
      <c r="AF528" s="90"/>
      <c r="AG528" s="87"/>
      <c r="AH528" s="39"/>
      <c r="AI528" s="87"/>
      <c r="AJ528" s="81"/>
      <c r="AK528" s="90"/>
      <c r="AL528" s="81"/>
      <c r="AM528" s="82"/>
      <c r="AN528" s="82"/>
      <c r="AO528" s="82"/>
      <c r="AP528" s="82"/>
      <c r="AQ528" s="7"/>
      <c r="AR528" s="82"/>
      <c r="AS528" s="82"/>
      <c r="AT528" s="82"/>
      <c r="AU528" s="82"/>
      <c r="AV528" s="82"/>
      <c r="AW528" s="7"/>
      <c r="AX528" s="82"/>
      <c r="AY528" s="7"/>
      <c r="AZ528" s="7"/>
      <c r="BA528" s="7"/>
      <c r="BB528" s="7"/>
      <c r="BC528" s="7"/>
      <c r="BD528" s="7"/>
      <c r="BE528" s="7"/>
      <c r="BF528" s="7"/>
      <c r="BG528" s="7"/>
    </row>
    <row r="529">
      <c r="A529" s="39"/>
      <c r="B529" s="39"/>
      <c r="C529" s="7"/>
      <c r="D529" s="53"/>
      <c r="E529" s="7"/>
      <c r="F529" s="53"/>
      <c r="G529" s="16"/>
      <c r="H529" s="16"/>
      <c r="J529" s="39"/>
      <c r="K529" s="53"/>
      <c r="L529" s="90"/>
      <c r="M529" s="39"/>
      <c r="N529" s="327"/>
      <c r="O529" s="322"/>
      <c r="P529" s="82"/>
      <c r="Q529" s="82"/>
      <c r="R529" s="82"/>
      <c r="S529" s="16"/>
      <c r="T529" s="16"/>
      <c r="U529" s="39"/>
      <c r="V529" s="7"/>
      <c r="W529" s="7"/>
      <c r="X529" s="93"/>
      <c r="Y529" s="131"/>
      <c r="Z529" s="131"/>
      <c r="AA529" s="131"/>
      <c r="AB529" s="85"/>
      <c r="AC529" s="85"/>
      <c r="AD529" s="325"/>
      <c r="AE529" s="85"/>
      <c r="AF529" s="90"/>
      <c r="AG529" s="87"/>
      <c r="AH529" s="39"/>
      <c r="AI529" s="87"/>
      <c r="AJ529" s="81"/>
      <c r="AK529" s="90"/>
      <c r="AL529" s="81"/>
      <c r="AM529" s="82"/>
      <c r="AN529" s="82"/>
      <c r="AO529" s="82"/>
      <c r="AP529" s="82"/>
      <c r="AQ529" s="7"/>
      <c r="AR529" s="82"/>
      <c r="AS529" s="82"/>
      <c r="AT529" s="82"/>
      <c r="AU529" s="82"/>
      <c r="AV529" s="82"/>
      <c r="AW529" s="7"/>
      <c r="AX529" s="82"/>
      <c r="AY529" s="7"/>
      <c r="AZ529" s="7"/>
      <c r="BA529" s="7"/>
      <c r="BB529" s="7"/>
      <c r="BC529" s="7"/>
      <c r="BD529" s="7"/>
      <c r="BE529" s="7"/>
      <c r="BF529" s="7"/>
      <c r="BG529" s="7"/>
    </row>
    <row r="530">
      <c r="A530" s="39"/>
      <c r="B530" s="39"/>
      <c r="C530" s="7"/>
      <c r="D530" s="53"/>
      <c r="E530" s="7"/>
      <c r="F530" s="53"/>
      <c r="G530" s="16"/>
      <c r="H530" s="16"/>
      <c r="J530" s="39"/>
      <c r="K530" s="53"/>
      <c r="L530" s="90"/>
      <c r="M530" s="16"/>
      <c r="N530" s="321"/>
      <c r="O530" s="322"/>
      <c r="P530" s="82"/>
      <c r="Q530" s="82"/>
      <c r="R530" s="82"/>
      <c r="S530" s="16"/>
      <c r="T530" s="16"/>
      <c r="U530" s="39"/>
      <c r="V530" s="7"/>
      <c r="W530" s="7"/>
      <c r="X530" s="93"/>
      <c r="Y530" s="131"/>
      <c r="Z530" s="131"/>
      <c r="AA530" s="131"/>
      <c r="AB530" s="85"/>
      <c r="AC530" s="85"/>
      <c r="AD530" s="325"/>
      <c r="AE530" s="85"/>
      <c r="AF530" s="90"/>
      <c r="AG530" s="87"/>
      <c r="AH530" s="39"/>
      <c r="AI530" s="87"/>
      <c r="AJ530" s="81"/>
      <c r="AK530" s="90"/>
      <c r="AL530" s="81"/>
      <c r="AM530" s="82"/>
      <c r="AN530" s="82"/>
      <c r="AO530" s="82"/>
      <c r="AP530" s="82"/>
      <c r="AQ530" s="7"/>
      <c r="AR530" s="82"/>
      <c r="AS530" s="82"/>
      <c r="AT530" s="82"/>
      <c r="AU530" s="82"/>
      <c r="AV530" s="82"/>
      <c r="AW530" s="7"/>
      <c r="AX530" s="82"/>
      <c r="AY530" s="7"/>
      <c r="AZ530" s="7"/>
      <c r="BA530" s="7"/>
      <c r="BB530" s="7"/>
      <c r="BC530" s="7"/>
      <c r="BD530" s="7"/>
      <c r="BE530" s="7"/>
      <c r="BF530" s="7"/>
      <c r="BG530" s="7"/>
    </row>
    <row r="531">
      <c r="A531" s="39"/>
      <c r="B531" s="39"/>
      <c r="C531" s="7"/>
      <c r="D531" s="53"/>
      <c r="E531" s="7"/>
      <c r="F531" s="53"/>
      <c r="G531" s="16"/>
      <c r="H531" s="16"/>
      <c r="J531" s="39"/>
      <c r="K531" s="53"/>
      <c r="L531" s="90"/>
      <c r="M531" s="39"/>
      <c r="N531" s="327"/>
      <c r="O531" s="322"/>
      <c r="P531" s="82"/>
      <c r="Q531" s="82"/>
      <c r="R531" s="82"/>
      <c r="S531" s="16"/>
      <c r="T531" s="16"/>
      <c r="U531" s="39"/>
      <c r="V531" s="7"/>
      <c r="W531" s="7"/>
      <c r="X531" s="93"/>
      <c r="Y531" s="131"/>
      <c r="Z531" s="131"/>
      <c r="AA531" s="131"/>
      <c r="AB531" s="85"/>
      <c r="AC531" s="85"/>
      <c r="AD531" s="325"/>
      <c r="AE531" s="85"/>
      <c r="AF531" s="90"/>
      <c r="AG531" s="87"/>
      <c r="AH531" s="39"/>
      <c r="AI531" s="87"/>
      <c r="AJ531" s="81"/>
      <c r="AK531" s="90"/>
      <c r="AL531" s="81"/>
      <c r="AM531" s="82"/>
      <c r="AN531" s="82"/>
      <c r="AO531" s="82"/>
      <c r="AP531" s="82"/>
      <c r="AQ531" s="7"/>
      <c r="AR531" s="82"/>
      <c r="AS531" s="82"/>
      <c r="AT531" s="82"/>
      <c r="AU531" s="82"/>
      <c r="AV531" s="82"/>
      <c r="AW531" s="7"/>
      <c r="AX531" s="82"/>
      <c r="AY531" s="7"/>
      <c r="AZ531" s="7"/>
      <c r="BA531" s="7"/>
      <c r="BB531" s="7"/>
      <c r="BC531" s="7"/>
      <c r="BD531" s="7"/>
      <c r="BE531" s="7"/>
      <c r="BF531" s="7"/>
      <c r="BG531" s="7"/>
    </row>
    <row r="532">
      <c r="A532" s="39"/>
      <c r="B532" s="39"/>
      <c r="C532" s="7"/>
      <c r="D532" s="53"/>
      <c r="E532" s="7"/>
      <c r="F532" s="53"/>
      <c r="G532" s="16"/>
      <c r="H532" s="16"/>
      <c r="J532" s="39"/>
      <c r="K532" s="53"/>
      <c r="L532" s="90"/>
      <c r="M532" s="39"/>
      <c r="N532" s="327"/>
      <c r="O532" s="367"/>
      <c r="P532" s="82"/>
      <c r="Q532" s="82"/>
      <c r="R532" s="82"/>
      <c r="S532" s="16"/>
      <c r="T532" s="16"/>
      <c r="U532" s="39"/>
      <c r="V532" s="7"/>
      <c r="W532" s="7"/>
      <c r="X532" s="93"/>
      <c r="Y532" s="131"/>
      <c r="Z532" s="131"/>
      <c r="AA532" s="131"/>
      <c r="AB532" s="85"/>
      <c r="AC532" s="85"/>
      <c r="AD532" s="325"/>
      <c r="AE532" s="85"/>
      <c r="AF532" s="90"/>
      <c r="AG532" s="87"/>
      <c r="AH532" s="39"/>
      <c r="AI532" s="87"/>
      <c r="AJ532" s="81"/>
      <c r="AK532" s="90"/>
      <c r="AL532" s="81"/>
      <c r="AM532" s="82"/>
      <c r="AN532" s="82"/>
      <c r="AO532" s="82"/>
      <c r="AP532" s="82"/>
      <c r="AQ532" s="7"/>
      <c r="AR532" s="82"/>
      <c r="AS532" s="82"/>
      <c r="AT532" s="82"/>
      <c r="AU532" s="82"/>
      <c r="AV532" s="82"/>
      <c r="AW532" s="7"/>
      <c r="AX532" s="82"/>
      <c r="AY532" s="7"/>
      <c r="AZ532" s="7"/>
      <c r="BA532" s="7"/>
      <c r="BB532" s="7"/>
      <c r="BC532" s="7"/>
      <c r="BD532" s="7"/>
      <c r="BE532" s="7"/>
      <c r="BF532" s="7"/>
      <c r="BG532" s="7"/>
    </row>
    <row r="533">
      <c r="A533" s="39"/>
      <c r="B533" s="39"/>
      <c r="C533" s="7"/>
      <c r="D533" s="53"/>
      <c r="E533" s="7"/>
      <c r="F533" s="53"/>
      <c r="G533" s="16"/>
      <c r="H533" s="16"/>
      <c r="J533" s="39"/>
      <c r="K533" s="53"/>
      <c r="L533" s="90"/>
      <c r="M533" s="39"/>
      <c r="N533" s="327"/>
      <c r="O533" s="322"/>
      <c r="P533" s="82"/>
      <c r="Q533" s="82"/>
      <c r="R533" s="82"/>
      <c r="S533" s="16"/>
      <c r="T533" s="16"/>
      <c r="U533" s="39"/>
      <c r="V533" s="7"/>
      <c r="W533" s="7"/>
      <c r="X533" s="93"/>
      <c r="Y533" s="131"/>
      <c r="Z533" s="131"/>
      <c r="AA533" s="131"/>
      <c r="AB533" s="85"/>
      <c r="AC533" s="85"/>
      <c r="AD533" s="325"/>
      <c r="AE533" s="85"/>
      <c r="AF533" s="90"/>
      <c r="AG533" s="87"/>
      <c r="AH533" s="39"/>
      <c r="AI533" s="87"/>
      <c r="AJ533" s="81"/>
      <c r="AK533" s="90"/>
      <c r="AL533" s="81"/>
      <c r="AM533" s="82"/>
      <c r="AN533" s="82"/>
      <c r="AO533" s="82"/>
      <c r="AP533" s="82"/>
      <c r="AQ533" s="82"/>
      <c r="AR533" s="82"/>
      <c r="AS533" s="82"/>
      <c r="AT533" s="82"/>
      <c r="AU533" s="82"/>
      <c r="AV533" s="82"/>
      <c r="AW533" s="7"/>
      <c r="AX533" s="82"/>
      <c r="AY533" s="7"/>
      <c r="AZ533" s="7"/>
      <c r="BA533" s="7"/>
      <c r="BB533" s="7"/>
      <c r="BC533" s="7"/>
      <c r="BD533" s="7"/>
      <c r="BE533" s="7"/>
      <c r="BF533" s="7"/>
      <c r="BG533" s="7"/>
    </row>
    <row r="534">
      <c r="A534" s="39"/>
      <c r="B534" s="39"/>
      <c r="C534" s="7"/>
      <c r="D534" s="53"/>
      <c r="E534" s="7"/>
      <c r="F534" s="53"/>
      <c r="G534" s="16"/>
      <c r="H534" s="16"/>
      <c r="J534" s="39"/>
      <c r="K534" s="53"/>
      <c r="L534" s="90"/>
      <c r="M534" s="39"/>
      <c r="N534" s="327"/>
      <c r="O534" s="322"/>
      <c r="P534" s="82"/>
      <c r="Q534" s="82"/>
      <c r="R534" s="82"/>
      <c r="S534" s="16"/>
      <c r="T534" s="16"/>
      <c r="U534" s="39"/>
      <c r="V534" s="7"/>
      <c r="W534" s="7"/>
      <c r="X534" s="93"/>
      <c r="Y534" s="131"/>
      <c r="Z534" s="131"/>
      <c r="AA534" s="131"/>
      <c r="AB534" s="85"/>
      <c r="AC534" s="85"/>
      <c r="AD534" s="325"/>
      <c r="AE534" s="85"/>
      <c r="AF534" s="90"/>
      <c r="AG534" s="87"/>
      <c r="AH534" s="39"/>
      <c r="AI534" s="87"/>
      <c r="AJ534" s="81"/>
      <c r="AK534" s="90"/>
      <c r="AL534" s="81"/>
      <c r="AM534" s="82"/>
      <c r="AN534" s="82"/>
      <c r="AO534" s="82"/>
      <c r="AP534" s="82"/>
      <c r="AQ534" s="7"/>
      <c r="AR534" s="82"/>
      <c r="AS534" s="82"/>
      <c r="AT534" s="82"/>
      <c r="AU534" s="82"/>
      <c r="AV534" s="82"/>
      <c r="AW534" s="7"/>
      <c r="AX534" s="82"/>
      <c r="AY534" s="7"/>
      <c r="AZ534" s="7"/>
      <c r="BA534" s="7"/>
      <c r="BB534" s="7"/>
      <c r="BC534" s="7"/>
      <c r="BD534" s="7"/>
      <c r="BE534" s="7"/>
      <c r="BF534" s="7"/>
      <c r="BG534" s="7"/>
    </row>
    <row r="535">
      <c r="A535" s="39"/>
      <c r="B535" s="39"/>
      <c r="C535" s="7"/>
      <c r="D535" s="53"/>
      <c r="E535" s="7"/>
      <c r="F535" s="53"/>
      <c r="G535" s="16"/>
      <c r="H535" s="16"/>
      <c r="J535" s="39"/>
      <c r="K535" s="53"/>
      <c r="L535" s="90"/>
      <c r="M535" s="39"/>
      <c r="N535" s="327"/>
      <c r="O535" s="367"/>
      <c r="P535" s="82"/>
      <c r="Q535" s="82"/>
      <c r="R535" s="82"/>
      <c r="S535" s="16"/>
      <c r="T535" s="16"/>
      <c r="U535" s="39"/>
      <c r="V535" s="7"/>
      <c r="W535" s="7"/>
      <c r="X535" s="93"/>
      <c r="Y535" s="131"/>
      <c r="Z535" s="131"/>
      <c r="AA535" s="131"/>
      <c r="AB535" s="85"/>
      <c r="AC535" s="85"/>
      <c r="AD535" s="325"/>
      <c r="AE535" s="85"/>
      <c r="AF535" s="90"/>
      <c r="AG535" s="87"/>
      <c r="AH535" s="39"/>
      <c r="AI535" s="87"/>
      <c r="AJ535" s="81"/>
      <c r="AK535" s="90"/>
      <c r="AL535" s="81"/>
      <c r="AM535" s="82"/>
      <c r="AN535" s="82"/>
      <c r="AO535" s="82"/>
      <c r="AP535" s="82"/>
      <c r="AQ535" s="7"/>
      <c r="AR535" s="82"/>
      <c r="AS535" s="82"/>
      <c r="AT535" s="82"/>
      <c r="AU535" s="82"/>
      <c r="AV535" s="82"/>
      <c r="AW535" s="7"/>
      <c r="AX535" s="82"/>
      <c r="AY535" s="7"/>
      <c r="AZ535" s="7"/>
      <c r="BA535" s="7"/>
      <c r="BB535" s="7"/>
      <c r="BC535" s="7"/>
      <c r="BD535" s="7"/>
      <c r="BE535" s="7"/>
      <c r="BF535" s="7"/>
      <c r="BG535" s="7"/>
    </row>
    <row r="536">
      <c r="A536" s="39"/>
      <c r="B536" s="39"/>
      <c r="C536" s="7"/>
      <c r="D536" s="53"/>
      <c r="E536" s="7"/>
      <c r="F536" s="53"/>
      <c r="G536" s="16"/>
      <c r="H536" s="16"/>
      <c r="J536" s="39"/>
      <c r="K536" s="53"/>
      <c r="L536" s="90"/>
      <c r="M536" s="39"/>
      <c r="N536" s="321"/>
      <c r="O536" s="322"/>
      <c r="P536" s="82"/>
      <c r="Q536" s="82"/>
      <c r="R536" s="82"/>
      <c r="S536" s="16"/>
      <c r="T536" s="16"/>
      <c r="U536" s="39"/>
      <c r="V536" s="7"/>
      <c r="W536" s="7"/>
      <c r="X536" s="93"/>
      <c r="Y536" s="131"/>
      <c r="Z536" s="131"/>
      <c r="AA536" s="131"/>
      <c r="AB536" s="85"/>
      <c r="AC536" s="85"/>
      <c r="AD536" s="325"/>
      <c r="AE536" s="85"/>
      <c r="AF536" s="90"/>
      <c r="AG536" s="87"/>
      <c r="AH536" s="39"/>
      <c r="AI536" s="87"/>
      <c r="AJ536" s="81"/>
      <c r="AK536" s="90"/>
      <c r="AL536" s="81"/>
      <c r="AM536" s="82"/>
      <c r="AN536" s="82"/>
      <c r="AO536" s="82"/>
      <c r="AP536" s="82"/>
      <c r="AQ536" s="7"/>
      <c r="AR536" s="82"/>
      <c r="AS536" s="82"/>
      <c r="AT536" s="82"/>
      <c r="AU536" s="82"/>
      <c r="AV536" s="82"/>
      <c r="AW536" s="7"/>
      <c r="AX536" s="82"/>
      <c r="AY536" s="7"/>
      <c r="AZ536" s="7"/>
      <c r="BA536" s="7"/>
      <c r="BB536" s="7"/>
      <c r="BC536" s="7"/>
      <c r="BD536" s="7"/>
      <c r="BE536" s="7"/>
      <c r="BF536" s="7"/>
      <c r="BG536" s="7"/>
    </row>
    <row r="537">
      <c r="A537" s="39"/>
      <c r="B537" s="39"/>
      <c r="C537" s="7"/>
      <c r="D537" s="53"/>
      <c r="E537" s="7"/>
      <c r="F537" s="53"/>
      <c r="G537" s="16"/>
      <c r="H537" s="16"/>
      <c r="J537" s="39"/>
      <c r="K537" s="53"/>
      <c r="L537" s="90"/>
      <c r="M537" s="39"/>
      <c r="N537" s="327"/>
      <c r="O537" s="367"/>
      <c r="P537" s="82"/>
      <c r="Q537" s="82"/>
      <c r="R537" s="82"/>
      <c r="S537" s="16"/>
      <c r="T537" s="16"/>
      <c r="U537" s="39"/>
      <c r="V537" s="7"/>
      <c r="W537" s="7"/>
      <c r="X537" s="93"/>
      <c r="Y537" s="131"/>
      <c r="Z537" s="131"/>
      <c r="AA537" s="131"/>
      <c r="AB537" s="85"/>
      <c r="AC537" s="85"/>
      <c r="AD537" s="325"/>
      <c r="AE537" s="85"/>
      <c r="AF537" s="90"/>
      <c r="AG537" s="87"/>
      <c r="AH537" s="39"/>
      <c r="AI537" s="87"/>
      <c r="AJ537" s="81"/>
      <c r="AK537" s="90"/>
      <c r="AL537" s="81"/>
      <c r="AM537" s="82"/>
      <c r="AN537" s="82"/>
      <c r="AO537" s="82"/>
      <c r="AP537" s="82"/>
      <c r="AQ537" s="7"/>
      <c r="AR537" s="82"/>
      <c r="AS537" s="82"/>
      <c r="AT537" s="82"/>
      <c r="AU537" s="82"/>
      <c r="AV537" s="82"/>
      <c r="AW537" s="7"/>
      <c r="AX537" s="82"/>
      <c r="AY537" s="7"/>
      <c r="AZ537" s="7"/>
      <c r="BA537" s="7"/>
      <c r="BB537" s="7"/>
      <c r="BC537" s="7"/>
      <c r="BD537" s="7"/>
      <c r="BE537" s="7"/>
      <c r="BF537" s="7"/>
      <c r="BG537" s="7"/>
    </row>
    <row r="538">
      <c r="A538" s="39"/>
      <c r="B538" s="39"/>
      <c r="C538" s="7"/>
      <c r="D538" s="53"/>
      <c r="E538" s="7"/>
      <c r="F538" s="53"/>
      <c r="G538" s="16"/>
      <c r="H538" s="16"/>
      <c r="J538" s="39"/>
      <c r="K538" s="53"/>
      <c r="L538" s="90"/>
      <c r="M538" s="39"/>
      <c r="N538" s="327"/>
      <c r="O538" s="367"/>
      <c r="P538" s="82"/>
      <c r="Q538" s="82"/>
      <c r="R538" s="82"/>
      <c r="S538" s="16"/>
      <c r="T538" s="16"/>
      <c r="U538" s="39"/>
      <c r="V538" s="7"/>
      <c r="W538" s="7"/>
      <c r="X538" s="93"/>
      <c r="Y538" s="131"/>
      <c r="Z538" s="131"/>
      <c r="AA538" s="131"/>
      <c r="AB538" s="85"/>
      <c r="AC538" s="85"/>
      <c r="AD538" s="325"/>
      <c r="AE538" s="85"/>
      <c r="AF538" s="90"/>
      <c r="AG538" s="84"/>
      <c r="AH538" s="39"/>
      <c r="AI538" s="87"/>
      <c r="AJ538" s="81"/>
      <c r="AK538" s="90"/>
      <c r="AL538" s="81"/>
      <c r="AM538" s="82"/>
      <c r="AN538" s="82"/>
      <c r="AO538" s="82"/>
      <c r="AP538" s="82"/>
      <c r="AQ538" s="7"/>
      <c r="AR538" s="82"/>
      <c r="AS538" s="82"/>
      <c r="AT538" s="82"/>
      <c r="AU538" s="82"/>
      <c r="AV538" s="82"/>
      <c r="AW538" s="7"/>
      <c r="AX538" s="82"/>
      <c r="AY538" s="7"/>
      <c r="AZ538" s="7"/>
      <c r="BA538" s="7"/>
      <c r="BB538" s="7"/>
      <c r="BC538" s="7"/>
      <c r="BD538" s="7"/>
      <c r="BE538" s="7"/>
      <c r="BF538" s="7"/>
      <c r="BG538" s="7"/>
    </row>
    <row r="539">
      <c r="A539" s="39"/>
      <c r="B539" s="39"/>
      <c r="C539" s="7"/>
      <c r="D539" s="53"/>
      <c r="E539" s="7"/>
      <c r="F539" s="53"/>
      <c r="G539" s="16"/>
      <c r="H539" s="16"/>
      <c r="J539" s="39"/>
      <c r="K539" s="53"/>
      <c r="L539" s="90"/>
      <c r="M539" s="39"/>
      <c r="N539" s="327"/>
      <c r="O539" s="322"/>
      <c r="P539" s="82"/>
      <c r="Q539" s="82"/>
      <c r="R539" s="82"/>
      <c r="S539" s="16"/>
      <c r="T539" s="16"/>
      <c r="U539" s="39"/>
      <c r="V539" s="7"/>
      <c r="W539" s="7"/>
      <c r="X539" s="93"/>
      <c r="Y539" s="131"/>
      <c r="Z539" s="131"/>
      <c r="AA539" s="131"/>
      <c r="AB539" s="85"/>
      <c r="AC539" s="85"/>
      <c r="AD539" s="325"/>
      <c r="AE539" s="85"/>
      <c r="AF539" s="90"/>
      <c r="AG539" s="84"/>
      <c r="AH539" s="39"/>
      <c r="AI539" s="87"/>
      <c r="AJ539" s="81"/>
      <c r="AK539" s="90"/>
      <c r="AL539" s="81"/>
      <c r="AM539" s="82"/>
      <c r="AN539" s="82"/>
      <c r="AO539" s="82"/>
      <c r="AP539" s="82"/>
      <c r="AQ539" s="7"/>
      <c r="AR539" s="82"/>
      <c r="AS539" s="82"/>
      <c r="AT539" s="82"/>
      <c r="AU539" s="82"/>
      <c r="AV539" s="82"/>
      <c r="AW539" s="7"/>
      <c r="AX539" s="82"/>
      <c r="AY539" s="7"/>
      <c r="AZ539" s="7"/>
      <c r="BA539" s="7"/>
      <c r="BB539" s="7"/>
      <c r="BC539" s="7"/>
      <c r="BD539" s="7"/>
      <c r="BE539" s="7"/>
      <c r="BF539" s="7"/>
      <c r="BG539" s="7"/>
    </row>
    <row r="540">
      <c r="A540" s="39"/>
      <c r="B540" s="39"/>
      <c r="C540" s="7"/>
      <c r="D540" s="53"/>
      <c r="E540" s="7"/>
      <c r="F540" s="53"/>
      <c r="G540" s="16"/>
      <c r="H540" s="16"/>
      <c r="J540" s="39"/>
      <c r="K540" s="53"/>
      <c r="L540" s="90"/>
      <c r="M540" s="39"/>
      <c r="N540" s="327"/>
      <c r="O540" s="322"/>
      <c r="P540" s="82"/>
      <c r="Q540" s="82"/>
      <c r="R540" s="82"/>
      <c r="S540" s="16"/>
      <c r="T540" s="16"/>
      <c r="U540" s="39"/>
      <c r="V540" s="7"/>
      <c r="W540" s="7"/>
      <c r="X540" s="93"/>
      <c r="Y540" s="131"/>
      <c r="Z540" s="131"/>
      <c r="AA540" s="131"/>
      <c r="AB540" s="85"/>
      <c r="AC540" s="85"/>
      <c r="AD540" s="325"/>
      <c r="AE540" s="85"/>
      <c r="AF540" s="90"/>
      <c r="AG540" s="84"/>
      <c r="AH540" s="39"/>
      <c r="AI540" s="87"/>
      <c r="AJ540" s="81"/>
      <c r="AK540" s="90"/>
      <c r="AL540" s="81"/>
      <c r="AM540" s="7"/>
      <c r="AN540" s="82"/>
      <c r="AO540" s="82"/>
      <c r="AP540" s="82"/>
      <c r="AQ540" s="7"/>
      <c r="AR540" s="82"/>
      <c r="AS540" s="82"/>
      <c r="AT540" s="82"/>
      <c r="AU540" s="82"/>
      <c r="AV540" s="82"/>
      <c r="AW540" s="7"/>
      <c r="AX540" s="82"/>
      <c r="AY540" s="7"/>
      <c r="AZ540" s="7"/>
      <c r="BA540" s="7"/>
      <c r="BB540" s="7"/>
      <c r="BC540" s="7"/>
      <c r="BD540" s="7"/>
      <c r="BE540" s="7"/>
      <c r="BF540" s="7"/>
      <c r="BG540" s="7"/>
    </row>
    <row r="541">
      <c r="A541" s="39"/>
      <c r="B541" s="39"/>
      <c r="C541" s="7"/>
      <c r="D541" s="53"/>
      <c r="E541" s="7"/>
      <c r="F541" s="53"/>
      <c r="G541" s="16"/>
      <c r="H541" s="16"/>
      <c r="J541" s="39"/>
      <c r="K541" s="53"/>
      <c r="L541" s="90"/>
      <c r="M541" s="39"/>
      <c r="N541" s="327"/>
      <c r="O541" s="322"/>
      <c r="P541" s="82"/>
      <c r="Q541" s="82"/>
      <c r="R541" s="82"/>
      <c r="S541" s="16"/>
      <c r="T541" s="16"/>
      <c r="U541" s="39"/>
      <c r="V541" s="7"/>
      <c r="W541" s="7"/>
      <c r="X541" s="93"/>
      <c r="Y541" s="131"/>
      <c r="Z541" s="131"/>
      <c r="AA541" s="131"/>
      <c r="AB541" s="85"/>
      <c r="AC541" s="85"/>
      <c r="AD541" s="325"/>
      <c r="AE541" s="85"/>
      <c r="AF541" s="90"/>
      <c r="AG541" s="84"/>
      <c r="AH541" s="39"/>
      <c r="AI541" s="87"/>
      <c r="AJ541" s="81"/>
      <c r="AK541" s="90"/>
      <c r="AL541" s="81"/>
      <c r="AM541" s="82"/>
      <c r="AN541" s="82"/>
      <c r="AO541" s="82"/>
      <c r="AP541" s="82"/>
      <c r="AQ541" s="7"/>
      <c r="AR541" s="82"/>
      <c r="AS541" s="82"/>
      <c r="AT541" s="82"/>
      <c r="AU541" s="82"/>
      <c r="AV541" s="82"/>
      <c r="AW541" s="7"/>
      <c r="AX541" s="82"/>
      <c r="AY541" s="7"/>
      <c r="AZ541" s="7"/>
      <c r="BA541" s="7"/>
      <c r="BB541" s="7"/>
      <c r="BC541" s="7"/>
      <c r="BD541" s="7"/>
      <c r="BE541" s="7"/>
      <c r="BF541" s="7"/>
      <c r="BG541" s="7"/>
    </row>
    <row r="542">
      <c r="A542" s="39"/>
      <c r="B542" s="39"/>
      <c r="C542" s="7"/>
      <c r="D542" s="53"/>
      <c r="E542" s="7"/>
      <c r="F542" s="53"/>
      <c r="G542" s="16"/>
      <c r="H542" s="16"/>
      <c r="J542" s="39"/>
      <c r="K542" s="53"/>
      <c r="L542" s="90"/>
      <c r="M542" s="39"/>
      <c r="N542" s="321"/>
      <c r="O542" s="367"/>
      <c r="P542" s="7"/>
      <c r="Q542" s="7"/>
      <c r="R542" s="7"/>
      <c r="S542" s="16"/>
      <c r="T542" s="16"/>
      <c r="U542" s="39"/>
      <c r="V542" s="7"/>
      <c r="W542" s="7"/>
      <c r="X542" s="93"/>
      <c r="Y542" s="131"/>
      <c r="Z542" s="131"/>
      <c r="AA542" s="131"/>
      <c r="AB542" s="85"/>
      <c r="AC542" s="85"/>
      <c r="AD542" s="325"/>
      <c r="AE542" s="85"/>
      <c r="AF542" s="90"/>
      <c r="AG542" s="87"/>
      <c r="AH542" s="39"/>
      <c r="AI542" s="87"/>
      <c r="AJ542" s="81"/>
      <c r="AK542" s="90"/>
      <c r="AL542" s="81"/>
      <c r="AM542" s="82"/>
      <c r="AN542" s="82"/>
      <c r="AO542" s="82"/>
      <c r="AP542" s="82"/>
      <c r="AQ542" s="7"/>
      <c r="AR542" s="7"/>
      <c r="AS542" s="7"/>
      <c r="AT542" s="7"/>
      <c r="AU542" s="7"/>
      <c r="AV542" s="7"/>
      <c r="AW542" s="7"/>
      <c r="AX542" s="82"/>
      <c r="AY542" s="7"/>
      <c r="AZ542" s="7"/>
      <c r="BA542" s="7"/>
      <c r="BB542" s="7"/>
      <c r="BC542" s="7"/>
      <c r="BD542" s="7"/>
      <c r="BE542" s="7"/>
      <c r="BF542" s="7"/>
      <c r="BG542" s="7"/>
    </row>
    <row r="543">
      <c r="A543" s="39"/>
      <c r="B543" s="39"/>
      <c r="C543" s="7"/>
      <c r="D543" s="53"/>
      <c r="E543" s="7"/>
      <c r="F543" s="53"/>
      <c r="G543" s="16"/>
      <c r="H543" s="16"/>
      <c r="J543" s="39"/>
      <c r="K543" s="53"/>
      <c r="L543" s="90"/>
      <c r="M543" s="39"/>
      <c r="N543" s="321"/>
      <c r="O543" s="322"/>
      <c r="P543" s="82"/>
      <c r="Q543" s="82"/>
      <c r="R543" s="82"/>
      <c r="S543" s="16"/>
      <c r="T543" s="16"/>
      <c r="U543" s="39"/>
      <c r="V543" s="7"/>
      <c r="W543" s="7"/>
      <c r="X543" s="93"/>
      <c r="Y543" s="131"/>
      <c r="Z543" s="131"/>
      <c r="AA543" s="131"/>
      <c r="AB543" s="85"/>
      <c r="AC543" s="85"/>
      <c r="AD543" s="325"/>
      <c r="AE543" s="85"/>
      <c r="AF543" s="90"/>
      <c r="AG543" s="87"/>
      <c r="AH543" s="39"/>
      <c r="AI543" s="87"/>
      <c r="AJ543" s="81"/>
      <c r="AK543" s="90"/>
      <c r="AL543" s="81"/>
      <c r="AM543" s="82"/>
      <c r="AN543" s="82"/>
      <c r="AO543" s="82"/>
      <c r="AP543" s="82"/>
      <c r="AQ543" s="7"/>
      <c r="AR543" s="82"/>
      <c r="AS543" s="82"/>
      <c r="AT543" s="82"/>
      <c r="AU543" s="82"/>
      <c r="AV543" s="82"/>
      <c r="AW543" s="7"/>
      <c r="AX543" s="82"/>
      <c r="AY543" s="7"/>
      <c r="AZ543" s="7"/>
      <c r="BA543" s="7"/>
      <c r="BB543" s="7"/>
      <c r="BC543" s="7"/>
      <c r="BD543" s="7"/>
      <c r="BE543" s="7"/>
      <c r="BF543" s="7"/>
      <c r="BG543" s="7"/>
    </row>
    <row r="544">
      <c r="A544" s="39"/>
      <c r="B544" s="39"/>
      <c r="C544" s="7"/>
      <c r="D544" s="53"/>
      <c r="E544" s="7"/>
      <c r="F544" s="53"/>
      <c r="G544" s="16"/>
      <c r="H544" s="16"/>
      <c r="J544" s="39"/>
      <c r="K544" s="53"/>
      <c r="L544" s="90"/>
      <c r="M544" s="39"/>
      <c r="N544" s="327"/>
      <c r="O544" s="322"/>
      <c r="P544" s="82"/>
      <c r="Q544" s="82"/>
      <c r="R544" s="82"/>
      <c r="S544" s="16"/>
      <c r="T544" s="16"/>
      <c r="U544" s="39"/>
      <c r="V544" s="7"/>
      <c r="W544" s="7"/>
      <c r="X544" s="93"/>
      <c r="Y544" s="131"/>
      <c r="Z544" s="131"/>
      <c r="AA544" s="131"/>
      <c r="AB544" s="85"/>
      <c r="AC544" s="85"/>
      <c r="AD544" s="325"/>
      <c r="AE544" s="85"/>
      <c r="AF544" s="90"/>
      <c r="AG544" s="87"/>
      <c r="AH544" s="39"/>
      <c r="AI544" s="87"/>
      <c r="AJ544" s="81"/>
      <c r="AK544" s="90"/>
      <c r="AL544" s="81"/>
      <c r="AM544" s="7"/>
      <c r="AN544" s="82"/>
      <c r="AO544" s="82"/>
      <c r="AP544" s="82"/>
      <c r="AQ544" s="7"/>
      <c r="AR544" s="82"/>
      <c r="AS544" s="82"/>
      <c r="AT544" s="82"/>
      <c r="AU544" s="82"/>
      <c r="AV544" s="82"/>
      <c r="AW544" s="7"/>
      <c r="AX544" s="82"/>
      <c r="AY544" s="7"/>
      <c r="AZ544" s="7"/>
      <c r="BA544" s="7"/>
      <c r="BB544" s="7"/>
      <c r="BC544" s="7"/>
      <c r="BD544" s="7"/>
      <c r="BE544" s="7"/>
      <c r="BF544" s="7"/>
      <c r="BG544" s="7"/>
    </row>
    <row r="545">
      <c r="A545" s="39"/>
      <c r="B545" s="39"/>
      <c r="C545" s="7"/>
      <c r="D545" s="53"/>
      <c r="E545" s="7"/>
      <c r="F545" s="53"/>
      <c r="G545" s="16"/>
      <c r="H545" s="16"/>
      <c r="J545" s="39"/>
      <c r="K545" s="53"/>
      <c r="L545" s="90"/>
      <c r="M545" s="39"/>
      <c r="N545" s="327"/>
      <c r="O545" s="322"/>
      <c r="P545" s="82"/>
      <c r="Q545" s="82"/>
      <c r="R545" s="82"/>
      <c r="S545" s="16"/>
      <c r="T545" s="16"/>
      <c r="U545" s="39"/>
      <c r="V545" s="7"/>
      <c r="W545" s="7"/>
      <c r="X545" s="93"/>
      <c r="Y545" s="131"/>
      <c r="Z545" s="131"/>
      <c r="AA545" s="131"/>
      <c r="AB545" s="85"/>
      <c r="AC545" s="85"/>
      <c r="AD545" s="325"/>
      <c r="AE545" s="85"/>
      <c r="AF545" s="90"/>
      <c r="AG545" s="87"/>
      <c r="AH545" s="39"/>
      <c r="AI545" s="87"/>
      <c r="AJ545" s="81"/>
      <c r="AK545" s="90"/>
      <c r="AL545" s="81"/>
      <c r="AM545" s="7"/>
      <c r="AN545" s="82"/>
      <c r="AO545" s="82"/>
      <c r="AP545" s="82"/>
      <c r="AQ545" s="7"/>
      <c r="AR545" s="82"/>
      <c r="AS545" s="82"/>
      <c r="AT545" s="82"/>
      <c r="AU545" s="82"/>
      <c r="AV545" s="82"/>
      <c r="AW545" s="7"/>
      <c r="AX545" s="82"/>
      <c r="AY545" s="7"/>
      <c r="AZ545" s="7"/>
      <c r="BA545" s="7"/>
      <c r="BB545" s="7"/>
      <c r="BC545" s="7"/>
      <c r="BD545" s="7"/>
      <c r="BE545" s="7"/>
      <c r="BF545" s="7"/>
      <c r="BG545" s="7"/>
    </row>
    <row r="546">
      <c r="A546" s="39"/>
      <c r="B546" s="39"/>
      <c r="C546" s="7"/>
      <c r="D546" s="53"/>
      <c r="E546" s="7"/>
      <c r="F546" s="53"/>
      <c r="G546" s="16"/>
      <c r="H546" s="16"/>
      <c r="J546" s="39"/>
      <c r="K546" s="53"/>
      <c r="L546" s="90"/>
      <c r="M546" s="39"/>
      <c r="N546" s="327"/>
      <c r="O546" s="322"/>
      <c r="P546" s="82"/>
      <c r="Q546" s="82"/>
      <c r="R546" s="82"/>
      <c r="S546" s="16"/>
      <c r="T546" s="16"/>
      <c r="U546" s="39"/>
      <c r="V546" s="7"/>
      <c r="W546" s="7"/>
      <c r="X546" s="93"/>
      <c r="Y546" s="131"/>
      <c r="Z546" s="131"/>
      <c r="AA546" s="131"/>
      <c r="AB546" s="85"/>
      <c r="AC546" s="85"/>
      <c r="AD546" s="325"/>
      <c r="AE546" s="85"/>
      <c r="AF546" s="90"/>
      <c r="AG546" s="87"/>
      <c r="AH546" s="39"/>
      <c r="AI546" s="87"/>
      <c r="AJ546" s="81"/>
      <c r="AK546" s="90"/>
      <c r="AL546" s="81"/>
      <c r="AM546" s="82"/>
      <c r="AN546" s="82"/>
      <c r="AO546" s="82"/>
      <c r="AP546" s="82"/>
      <c r="AQ546" s="7"/>
      <c r="AR546" s="82"/>
      <c r="AS546" s="82"/>
      <c r="AT546" s="82"/>
      <c r="AU546" s="82"/>
      <c r="AV546" s="82"/>
      <c r="AW546" s="7"/>
      <c r="AX546" s="82"/>
      <c r="AY546" s="7"/>
      <c r="AZ546" s="7"/>
      <c r="BA546" s="7"/>
      <c r="BB546" s="7"/>
      <c r="BC546" s="7"/>
      <c r="BD546" s="7"/>
      <c r="BE546" s="7"/>
      <c r="BF546" s="7"/>
      <c r="BG546" s="7"/>
    </row>
    <row r="547">
      <c r="A547" s="39"/>
      <c r="B547" s="39"/>
      <c r="C547" s="7"/>
      <c r="D547" s="53"/>
      <c r="E547" s="7"/>
      <c r="F547" s="53"/>
      <c r="G547" s="16"/>
      <c r="H547" s="16"/>
      <c r="J547" s="39"/>
      <c r="K547" s="53"/>
      <c r="L547" s="90"/>
      <c r="M547" s="39"/>
      <c r="N547" s="321"/>
      <c r="O547" s="322"/>
      <c r="P547" s="82"/>
      <c r="Q547" s="82"/>
      <c r="R547" s="82"/>
      <c r="S547" s="16"/>
      <c r="T547" s="16"/>
      <c r="U547" s="39"/>
      <c r="V547" s="7"/>
      <c r="W547" s="7"/>
      <c r="X547" s="93"/>
      <c r="Y547" s="131"/>
      <c r="Z547" s="131"/>
      <c r="AA547" s="131"/>
      <c r="AB547" s="85"/>
      <c r="AC547" s="85"/>
      <c r="AD547" s="325"/>
      <c r="AE547" s="85"/>
      <c r="AF547" s="90"/>
      <c r="AG547" s="87"/>
      <c r="AH547" s="39"/>
      <c r="AI547" s="87"/>
      <c r="AJ547" s="81"/>
      <c r="AK547" s="90"/>
      <c r="AL547" s="81"/>
      <c r="AM547" s="7"/>
      <c r="AN547" s="82"/>
      <c r="AO547" s="82"/>
      <c r="AP547" s="82"/>
      <c r="AQ547" s="7"/>
      <c r="AR547" s="82"/>
      <c r="AS547" s="82"/>
      <c r="AT547" s="82"/>
      <c r="AU547" s="82"/>
      <c r="AV547" s="82"/>
      <c r="AW547" s="7"/>
      <c r="AX547" s="82"/>
      <c r="AY547" s="7"/>
      <c r="AZ547" s="7"/>
      <c r="BA547" s="7"/>
      <c r="BB547" s="7"/>
      <c r="BC547" s="7"/>
      <c r="BD547" s="7"/>
      <c r="BE547" s="7"/>
      <c r="BF547" s="7"/>
      <c r="BG547" s="7"/>
    </row>
    <row r="548">
      <c r="A548" s="39"/>
      <c r="B548" s="39"/>
      <c r="C548" s="7"/>
      <c r="D548" s="53"/>
      <c r="E548" s="7"/>
      <c r="F548" s="53"/>
      <c r="G548" s="16"/>
      <c r="H548" s="16"/>
      <c r="J548" s="39"/>
      <c r="K548" s="53"/>
      <c r="L548" s="90"/>
      <c r="M548" s="39"/>
      <c r="N548" s="327"/>
      <c r="O548" s="322"/>
      <c r="P548" s="82"/>
      <c r="Q548" s="82"/>
      <c r="R548" s="82"/>
      <c r="S548" s="16"/>
      <c r="T548" s="16"/>
      <c r="U548" s="39"/>
      <c r="V548" s="7"/>
      <c r="W548" s="7"/>
      <c r="X548" s="93"/>
      <c r="Y548" s="131"/>
      <c r="Z548" s="131"/>
      <c r="AA548" s="131"/>
      <c r="AB548" s="85"/>
      <c r="AC548" s="85"/>
      <c r="AD548" s="325"/>
      <c r="AE548" s="85"/>
      <c r="AF548" s="90"/>
      <c r="AG548" s="87"/>
      <c r="AH548" s="39"/>
      <c r="AI548" s="87"/>
      <c r="AJ548" s="81"/>
      <c r="AK548" s="90"/>
      <c r="AL548" s="81"/>
      <c r="AM548" s="7"/>
      <c r="AN548" s="82"/>
      <c r="AO548" s="82"/>
      <c r="AP548" s="82"/>
      <c r="AQ548" s="7"/>
      <c r="AR548" s="82"/>
      <c r="AS548" s="82"/>
      <c r="AT548" s="82"/>
      <c r="AU548" s="82"/>
      <c r="AV548" s="82"/>
      <c r="AW548" s="7"/>
      <c r="AX548" s="82"/>
      <c r="AY548" s="7"/>
      <c r="AZ548" s="7"/>
      <c r="BA548" s="7"/>
      <c r="BB548" s="7"/>
      <c r="BC548" s="7"/>
      <c r="BD548" s="7"/>
      <c r="BE548" s="7"/>
      <c r="BF548" s="7"/>
      <c r="BG548" s="7"/>
    </row>
    <row r="549">
      <c r="A549" s="39"/>
      <c r="B549" s="39"/>
      <c r="C549" s="7"/>
      <c r="D549" s="53"/>
      <c r="E549" s="7"/>
      <c r="F549" s="53"/>
      <c r="G549" s="16"/>
      <c r="H549" s="16"/>
      <c r="J549" s="39"/>
      <c r="K549" s="53"/>
      <c r="L549" s="90"/>
      <c r="M549" s="39"/>
      <c r="N549" s="321"/>
      <c r="O549" s="322"/>
      <c r="P549" s="82"/>
      <c r="Q549" s="82"/>
      <c r="R549" s="82"/>
      <c r="S549" s="16"/>
      <c r="T549" s="16"/>
      <c r="U549" s="39"/>
      <c r="V549" s="7"/>
      <c r="W549" s="7"/>
      <c r="X549" s="93"/>
      <c r="Y549" s="131"/>
      <c r="Z549" s="131"/>
      <c r="AA549" s="131"/>
      <c r="AB549" s="85"/>
      <c r="AC549" s="85"/>
      <c r="AD549" s="325"/>
      <c r="AE549" s="85"/>
      <c r="AF549" s="90"/>
      <c r="AG549" s="87"/>
      <c r="AH549" s="39"/>
      <c r="AI549" s="87"/>
      <c r="AJ549" s="81"/>
      <c r="AK549" s="90"/>
      <c r="AL549" s="81"/>
      <c r="AM549" s="82"/>
      <c r="AN549" s="82"/>
      <c r="AO549" s="82"/>
      <c r="AP549" s="82"/>
      <c r="AQ549" s="7"/>
      <c r="AR549" s="82"/>
      <c r="AS549" s="82"/>
      <c r="AT549" s="82"/>
      <c r="AU549" s="82"/>
      <c r="AV549" s="82"/>
      <c r="AW549" s="7"/>
      <c r="AX549" s="82"/>
      <c r="AY549" s="7"/>
      <c r="AZ549" s="7"/>
      <c r="BA549" s="7"/>
      <c r="BB549" s="7"/>
      <c r="BC549" s="7"/>
      <c r="BD549" s="7"/>
      <c r="BE549" s="7"/>
      <c r="BF549" s="7"/>
      <c r="BG549" s="7"/>
    </row>
    <row r="550">
      <c r="A550" s="39"/>
      <c r="B550" s="39"/>
      <c r="C550" s="7"/>
      <c r="D550" s="53"/>
      <c r="E550" s="7"/>
      <c r="F550" s="53"/>
      <c r="G550" s="16"/>
      <c r="H550" s="16"/>
      <c r="J550" s="39"/>
      <c r="K550" s="53"/>
      <c r="L550" s="90"/>
      <c r="M550" s="39"/>
      <c r="N550" s="321"/>
      <c r="O550" s="322"/>
      <c r="P550" s="82"/>
      <c r="Q550" s="82"/>
      <c r="R550" s="82"/>
      <c r="S550" s="16"/>
      <c r="T550" s="16"/>
      <c r="U550" s="39"/>
      <c r="V550" s="7"/>
      <c r="W550" s="7"/>
      <c r="X550" s="93"/>
      <c r="Y550" s="131"/>
      <c r="Z550" s="131"/>
      <c r="AA550" s="131"/>
      <c r="AB550" s="85"/>
      <c r="AC550" s="85"/>
      <c r="AD550" s="325"/>
      <c r="AE550" s="85"/>
      <c r="AF550" s="90"/>
      <c r="AG550" s="87"/>
      <c r="AH550" s="39"/>
      <c r="AI550" s="87"/>
      <c r="AJ550" s="81"/>
      <c r="AK550" s="90"/>
      <c r="AL550" s="81"/>
      <c r="AM550" s="7"/>
      <c r="AN550" s="82"/>
      <c r="AO550" s="82"/>
      <c r="AP550" s="82"/>
      <c r="AQ550" s="7"/>
      <c r="AR550" s="82"/>
      <c r="AS550" s="82"/>
      <c r="AT550" s="82"/>
      <c r="AU550" s="82"/>
      <c r="AV550" s="82"/>
      <c r="AW550" s="7"/>
      <c r="AX550" s="82"/>
      <c r="AY550" s="7"/>
      <c r="AZ550" s="7"/>
      <c r="BA550" s="7"/>
      <c r="BB550" s="7"/>
      <c r="BC550" s="7"/>
      <c r="BD550" s="7"/>
      <c r="BE550" s="7"/>
      <c r="BF550" s="7"/>
      <c r="BG550" s="7"/>
    </row>
    <row r="551">
      <c r="A551" s="39"/>
      <c r="B551" s="39"/>
      <c r="C551" s="7"/>
      <c r="D551" s="53"/>
      <c r="E551" s="7"/>
      <c r="F551" s="53"/>
      <c r="G551" s="16"/>
      <c r="H551" s="16"/>
      <c r="J551" s="39"/>
      <c r="K551" s="53"/>
      <c r="L551" s="90"/>
      <c r="M551" s="39"/>
      <c r="N551" s="327"/>
      <c r="O551" s="322"/>
      <c r="P551" s="82"/>
      <c r="Q551" s="82"/>
      <c r="R551" s="82"/>
      <c r="S551" s="16"/>
      <c r="T551" s="16"/>
      <c r="U551" s="39"/>
      <c r="V551" s="7"/>
      <c r="W551" s="7"/>
      <c r="X551" s="93"/>
      <c r="Y551" s="131"/>
      <c r="Z551" s="131"/>
      <c r="AA551" s="131"/>
      <c r="AB551" s="85"/>
      <c r="AC551" s="85"/>
      <c r="AD551" s="325"/>
      <c r="AE551" s="85"/>
      <c r="AF551" s="90"/>
      <c r="AG551" s="87"/>
      <c r="AH551" s="39"/>
      <c r="AI551" s="87"/>
      <c r="AJ551" s="81"/>
      <c r="AK551" s="90"/>
      <c r="AL551" s="81"/>
      <c r="AM551" s="82"/>
      <c r="AN551" s="82"/>
      <c r="AO551" s="82"/>
      <c r="AP551" s="82"/>
      <c r="AQ551" s="7"/>
      <c r="AR551" s="82"/>
      <c r="AS551" s="82"/>
      <c r="AT551" s="82"/>
      <c r="AU551" s="82"/>
      <c r="AV551" s="82"/>
      <c r="AW551" s="7"/>
      <c r="AX551" s="82"/>
      <c r="AY551" s="7"/>
      <c r="AZ551" s="7"/>
      <c r="BA551" s="7"/>
      <c r="BB551" s="7"/>
      <c r="BC551" s="7"/>
      <c r="BD551" s="7"/>
      <c r="BE551" s="7"/>
      <c r="BF551" s="7"/>
      <c r="BG551" s="7"/>
    </row>
    <row r="552">
      <c r="A552" s="39"/>
      <c r="B552" s="39"/>
      <c r="C552" s="7"/>
      <c r="D552" s="53"/>
      <c r="E552" s="7"/>
      <c r="F552" s="53"/>
      <c r="G552" s="16"/>
      <c r="H552" s="16"/>
      <c r="J552" s="39"/>
      <c r="K552" s="53"/>
      <c r="L552" s="90"/>
      <c r="M552" s="39"/>
      <c r="N552" s="321"/>
      <c r="O552" s="322"/>
      <c r="P552" s="82"/>
      <c r="Q552" s="82"/>
      <c r="R552" s="82"/>
      <c r="S552" s="16"/>
      <c r="T552" s="16"/>
      <c r="U552" s="39"/>
      <c r="V552" s="7"/>
      <c r="W552" s="7"/>
      <c r="X552" s="93"/>
      <c r="Y552" s="131"/>
      <c r="Z552" s="131"/>
      <c r="AA552" s="131"/>
      <c r="AB552" s="85"/>
      <c r="AC552" s="85"/>
      <c r="AD552" s="325"/>
      <c r="AE552" s="85"/>
      <c r="AF552" s="90"/>
      <c r="AG552" s="87"/>
      <c r="AH552" s="39"/>
      <c r="AI552" s="87"/>
      <c r="AJ552" s="81"/>
      <c r="AK552" s="90"/>
      <c r="AL552" s="81"/>
      <c r="AM552" s="82"/>
      <c r="AN552" s="82"/>
      <c r="AO552" s="82"/>
      <c r="AP552" s="82"/>
      <c r="AQ552" s="7"/>
      <c r="AR552" s="82"/>
      <c r="AS552" s="82"/>
      <c r="AT552" s="82"/>
      <c r="AU552" s="82"/>
      <c r="AV552" s="82"/>
      <c r="AW552" s="7"/>
      <c r="AX552" s="82"/>
      <c r="AY552" s="7"/>
      <c r="AZ552" s="7"/>
      <c r="BA552" s="7"/>
      <c r="BB552" s="7"/>
      <c r="BC552" s="7"/>
      <c r="BD552" s="7"/>
      <c r="BE552" s="7"/>
      <c r="BF552" s="7"/>
      <c r="BG552" s="7"/>
    </row>
    <row r="553">
      <c r="A553" s="39"/>
      <c r="B553" s="39"/>
      <c r="C553" s="7"/>
      <c r="D553" s="53"/>
      <c r="E553" s="7"/>
      <c r="F553" s="53"/>
      <c r="G553" s="16"/>
      <c r="H553" s="16"/>
      <c r="J553" s="39"/>
      <c r="K553" s="53"/>
      <c r="L553" s="90"/>
      <c r="M553" s="39"/>
      <c r="N553" s="327"/>
      <c r="O553" s="367"/>
      <c r="P553" s="7"/>
      <c r="Q553" s="7"/>
      <c r="R553" s="7"/>
      <c r="S553" s="16"/>
      <c r="T553" s="16"/>
      <c r="U553" s="39"/>
      <c r="V553" s="7"/>
      <c r="W553" s="7"/>
      <c r="X553" s="93"/>
      <c r="Y553" s="131"/>
      <c r="Z553" s="131"/>
      <c r="AA553" s="131"/>
      <c r="AB553" s="85"/>
      <c r="AC553" s="85"/>
      <c r="AD553" s="325"/>
      <c r="AE553" s="85"/>
      <c r="AF553" s="90"/>
      <c r="AG553" s="87"/>
      <c r="AH553" s="39"/>
      <c r="AI553" s="87"/>
      <c r="AJ553" s="81"/>
      <c r="AK553" s="90"/>
      <c r="AL553" s="81"/>
      <c r="AM553" s="82"/>
      <c r="AN553" s="82"/>
      <c r="AO553" s="82"/>
      <c r="AP553" s="82"/>
      <c r="AQ553" s="7"/>
      <c r="AR553" s="7"/>
      <c r="AS553" s="7"/>
      <c r="AT553" s="7"/>
      <c r="AU553" s="7"/>
      <c r="AV553" s="7"/>
      <c r="AW553" s="7"/>
      <c r="AX553" s="82"/>
      <c r="AY553" s="7"/>
      <c r="AZ553" s="7"/>
      <c r="BA553" s="7"/>
      <c r="BB553" s="7"/>
      <c r="BC553" s="7"/>
      <c r="BD553" s="7"/>
      <c r="BE553" s="7"/>
      <c r="BF553" s="7"/>
      <c r="BG553" s="7"/>
    </row>
    <row r="554">
      <c r="A554" s="39"/>
      <c r="B554" s="39"/>
      <c r="C554" s="7"/>
      <c r="D554" s="53"/>
      <c r="E554" s="7"/>
      <c r="F554" s="53"/>
      <c r="G554" s="16"/>
      <c r="H554" s="16"/>
      <c r="J554" s="39"/>
      <c r="K554" s="53"/>
      <c r="L554" s="90"/>
      <c r="M554" s="39"/>
      <c r="N554" s="321"/>
      <c r="O554" s="322"/>
      <c r="P554" s="82"/>
      <c r="Q554" s="82"/>
      <c r="R554" s="82"/>
      <c r="S554" s="16"/>
      <c r="T554" s="16"/>
      <c r="U554" s="39"/>
      <c r="V554" s="7"/>
      <c r="W554" s="7"/>
      <c r="X554" s="93"/>
      <c r="Y554" s="85"/>
      <c r="Z554" s="85"/>
      <c r="AA554" s="85"/>
      <c r="AB554" s="85"/>
      <c r="AC554" s="85"/>
      <c r="AD554" s="325"/>
      <c r="AE554" s="85"/>
      <c r="AF554" s="90"/>
      <c r="AG554" s="87"/>
      <c r="AH554" s="39"/>
      <c r="AI554" s="87"/>
      <c r="AJ554" s="81"/>
      <c r="AK554" s="90"/>
      <c r="AL554" s="81"/>
      <c r="AM554" s="7"/>
      <c r="AN554" s="82"/>
      <c r="AO554" s="82"/>
      <c r="AP554" s="82"/>
      <c r="AQ554" s="7"/>
      <c r="AR554" s="82"/>
      <c r="AS554" s="82"/>
      <c r="AT554" s="82"/>
      <c r="AU554" s="82"/>
      <c r="AV554" s="82"/>
      <c r="AW554" s="7"/>
      <c r="AX554" s="82"/>
      <c r="AY554" s="7"/>
      <c r="AZ554" s="7"/>
      <c r="BA554" s="7"/>
      <c r="BB554" s="7"/>
      <c r="BC554" s="7"/>
      <c r="BD554" s="7"/>
      <c r="BE554" s="7"/>
      <c r="BF554" s="7"/>
      <c r="BG554" s="7"/>
    </row>
    <row r="555">
      <c r="A555" s="39"/>
      <c r="B555" s="39"/>
      <c r="C555" s="7"/>
      <c r="D555" s="53"/>
      <c r="E555" s="7"/>
      <c r="F555" s="53"/>
      <c r="G555" s="16"/>
      <c r="H555" s="16"/>
      <c r="J555" s="39"/>
      <c r="K555" s="53"/>
      <c r="L555" s="90"/>
      <c r="M555" s="39"/>
      <c r="N555" s="321"/>
      <c r="O555" s="322"/>
      <c r="P555" s="7"/>
      <c r="Q555" s="7"/>
      <c r="R555" s="352"/>
      <c r="S555" s="16"/>
      <c r="T555" s="16"/>
      <c r="U555" s="39"/>
      <c r="V555" s="7"/>
      <c r="W555" s="7"/>
      <c r="X555" s="93"/>
      <c r="Y555" s="85"/>
      <c r="Z555" s="85"/>
      <c r="AA555" s="85"/>
      <c r="AB555" s="85"/>
      <c r="AC555" s="85"/>
      <c r="AD555" s="325"/>
      <c r="AE555" s="85"/>
      <c r="AF555" s="90"/>
      <c r="AG555" s="87"/>
      <c r="AH555" s="39"/>
      <c r="AI555" s="87"/>
      <c r="AJ555" s="81"/>
      <c r="AK555" s="90"/>
      <c r="AL555" s="81"/>
      <c r="AM555" s="7"/>
      <c r="AN555" s="82"/>
      <c r="AO555" s="82"/>
      <c r="AP555" s="82"/>
      <c r="AQ555" s="7"/>
      <c r="AR555" s="7"/>
      <c r="AS555" s="7"/>
      <c r="AT555" s="7"/>
      <c r="AU555" s="7"/>
      <c r="AV555" s="7"/>
      <c r="AW555" s="7"/>
      <c r="AX555" s="82"/>
      <c r="AY555" s="7"/>
      <c r="AZ555" s="7"/>
      <c r="BA555" s="7"/>
      <c r="BB555" s="7"/>
      <c r="BC555" s="7"/>
      <c r="BD555" s="7"/>
      <c r="BE555" s="7"/>
      <c r="BF555" s="7"/>
      <c r="BG555" s="7"/>
    </row>
    <row r="556">
      <c r="A556" s="39"/>
      <c r="B556" s="39"/>
      <c r="C556" s="7"/>
      <c r="D556" s="53"/>
      <c r="E556" s="7"/>
      <c r="F556" s="53"/>
      <c r="G556" s="16"/>
      <c r="H556" s="16"/>
      <c r="J556" s="39"/>
      <c r="K556" s="53"/>
      <c r="L556" s="90"/>
      <c r="M556" s="39"/>
      <c r="N556" s="327"/>
      <c r="O556" s="367"/>
      <c r="P556" s="82"/>
      <c r="Q556" s="82"/>
      <c r="R556" s="82"/>
      <c r="S556" s="16"/>
      <c r="T556" s="16"/>
      <c r="U556" s="39"/>
      <c r="V556" s="7"/>
      <c r="W556" s="7"/>
      <c r="X556" s="93"/>
      <c r="Y556" s="85"/>
      <c r="Z556" s="85"/>
      <c r="AA556" s="85"/>
      <c r="AB556" s="85"/>
      <c r="AC556" s="85"/>
      <c r="AD556" s="325"/>
      <c r="AE556" s="85"/>
      <c r="AF556" s="90"/>
      <c r="AG556" s="87"/>
      <c r="AH556" s="39"/>
      <c r="AI556" s="87"/>
      <c r="AJ556" s="81"/>
      <c r="AK556" s="90"/>
      <c r="AL556" s="81"/>
      <c r="AM556" s="82"/>
      <c r="AN556" s="82"/>
      <c r="AO556" s="82"/>
      <c r="AP556" s="82"/>
      <c r="AQ556" s="7"/>
      <c r="AR556" s="82"/>
      <c r="AS556" s="82"/>
      <c r="AT556" s="82"/>
      <c r="AU556" s="82"/>
      <c r="AV556" s="82"/>
      <c r="AW556" s="7"/>
      <c r="AX556" s="82"/>
      <c r="AY556" s="7"/>
      <c r="AZ556" s="7"/>
      <c r="BA556" s="7"/>
      <c r="BB556" s="7"/>
      <c r="BC556" s="7"/>
      <c r="BD556" s="7"/>
      <c r="BE556" s="7"/>
      <c r="BF556" s="7"/>
      <c r="BG556" s="7"/>
    </row>
    <row r="557">
      <c r="A557" s="39"/>
      <c r="B557" s="39"/>
      <c r="C557" s="7"/>
      <c r="D557" s="53"/>
      <c r="E557" s="7"/>
      <c r="F557" s="53"/>
      <c r="G557" s="16"/>
      <c r="H557" s="16"/>
      <c r="J557" s="39"/>
      <c r="K557" s="53"/>
      <c r="L557" s="90"/>
      <c r="M557" s="39"/>
      <c r="N557" s="327"/>
      <c r="O557" s="322"/>
      <c r="P557" s="82"/>
      <c r="Q557" s="82"/>
      <c r="R557" s="82"/>
      <c r="S557" s="16"/>
      <c r="T557" s="16"/>
      <c r="U557" s="39"/>
      <c r="V557" s="7"/>
      <c r="W557" s="7"/>
      <c r="X557" s="93"/>
      <c r="Y557" s="85"/>
      <c r="Z557" s="85"/>
      <c r="AA557" s="85"/>
      <c r="AB557" s="85"/>
      <c r="AC557" s="85"/>
      <c r="AD557" s="325"/>
      <c r="AE557" s="85"/>
      <c r="AF557" s="90"/>
      <c r="AG557" s="87"/>
      <c r="AH557" s="39"/>
      <c r="AI557" s="87"/>
      <c r="AJ557" s="81"/>
      <c r="AK557" s="90"/>
      <c r="AL557" s="81"/>
      <c r="AM557" s="7"/>
      <c r="AN557" s="82"/>
      <c r="AO557" s="82"/>
      <c r="AP557" s="82"/>
      <c r="AQ557" s="7"/>
      <c r="AR557" s="82"/>
      <c r="AS557" s="82"/>
      <c r="AT557" s="82"/>
      <c r="AU557" s="82"/>
      <c r="AV557" s="82"/>
      <c r="AW557" s="7"/>
      <c r="AX557" s="82"/>
      <c r="AY557" s="7"/>
      <c r="AZ557" s="7"/>
      <c r="BA557" s="7"/>
      <c r="BB557" s="7"/>
      <c r="BC557" s="7"/>
      <c r="BD557" s="7"/>
      <c r="BE557" s="7"/>
      <c r="BF557" s="7"/>
      <c r="BG557" s="7"/>
    </row>
    <row r="558">
      <c r="A558" s="39"/>
      <c r="B558" s="39"/>
      <c r="C558" s="7"/>
      <c r="D558" s="53"/>
      <c r="E558" s="7"/>
      <c r="F558" s="53"/>
      <c r="G558" s="16"/>
      <c r="H558" s="16"/>
      <c r="J558" s="39"/>
      <c r="K558" s="53"/>
      <c r="L558" s="90"/>
      <c r="M558" s="39"/>
      <c r="N558" s="327"/>
      <c r="O558" s="322"/>
      <c r="P558" s="82"/>
      <c r="Q558" s="82"/>
      <c r="R558" s="82"/>
      <c r="S558" s="16"/>
      <c r="T558" s="16"/>
      <c r="U558" s="39"/>
      <c r="V558" s="7"/>
      <c r="W558" s="7"/>
      <c r="X558" s="93"/>
      <c r="Y558" s="85"/>
      <c r="Z558" s="85"/>
      <c r="AA558" s="85"/>
      <c r="AB558" s="85"/>
      <c r="AC558" s="85"/>
      <c r="AD558" s="325"/>
      <c r="AE558" s="85"/>
      <c r="AF558" s="90"/>
      <c r="AG558" s="87"/>
      <c r="AH558" s="39"/>
      <c r="AI558" s="87"/>
      <c r="AJ558" s="81"/>
      <c r="AK558" s="90"/>
      <c r="AL558" s="81"/>
      <c r="AM558" s="7"/>
      <c r="AN558" s="82"/>
      <c r="AO558" s="82"/>
      <c r="AP558" s="82"/>
      <c r="AQ558" s="7"/>
      <c r="AR558" s="82"/>
      <c r="AS558" s="82"/>
      <c r="AT558" s="82"/>
      <c r="AU558" s="82"/>
      <c r="AV558" s="82"/>
      <c r="AW558" s="7"/>
      <c r="AX558" s="82"/>
      <c r="AY558" s="7"/>
      <c r="AZ558" s="7"/>
      <c r="BA558" s="7"/>
      <c r="BB558" s="7"/>
      <c r="BC558" s="7"/>
      <c r="BD558" s="7"/>
      <c r="BE558" s="7"/>
      <c r="BF558" s="7"/>
      <c r="BG558" s="7"/>
    </row>
    <row r="559">
      <c r="A559" s="39"/>
      <c r="B559" s="39"/>
      <c r="C559" s="7"/>
      <c r="D559" s="53"/>
      <c r="E559" s="7"/>
      <c r="F559" s="53"/>
      <c r="G559" s="16"/>
      <c r="H559" s="16"/>
      <c r="J559" s="39"/>
      <c r="K559" s="53"/>
      <c r="L559" s="90"/>
      <c r="M559" s="39"/>
      <c r="N559" s="327"/>
      <c r="O559" s="322"/>
      <c r="P559" s="82"/>
      <c r="Q559" s="82"/>
      <c r="R559" s="82"/>
      <c r="S559" s="16"/>
      <c r="T559" s="16"/>
      <c r="U559" s="39"/>
      <c r="V559" s="7"/>
      <c r="W559" s="7"/>
      <c r="X559" s="93"/>
      <c r="Y559" s="85"/>
      <c r="Z559" s="85"/>
      <c r="AA559" s="85"/>
      <c r="AB559" s="85"/>
      <c r="AC559" s="85"/>
      <c r="AD559" s="325"/>
      <c r="AE559" s="85"/>
      <c r="AF559" s="90"/>
      <c r="AG559" s="87"/>
      <c r="AH559" s="39"/>
      <c r="AI559" s="87"/>
      <c r="AJ559" s="81"/>
      <c r="AK559" s="90"/>
      <c r="AL559" s="81"/>
      <c r="AM559" s="82"/>
      <c r="AN559" s="82"/>
      <c r="AO559" s="82"/>
      <c r="AP559" s="82"/>
      <c r="AQ559" s="7"/>
      <c r="AR559" s="82"/>
      <c r="AS559" s="82"/>
      <c r="AT559" s="82"/>
      <c r="AU559" s="82"/>
      <c r="AV559" s="82"/>
      <c r="AW559" s="7"/>
      <c r="AX559" s="82"/>
      <c r="AY559" s="7"/>
      <c r="AZ559" s="7"/>
      <c r="BA559" s="7"/>
      <c r="BB559" s="7"/>
      <c r="BC559" s="7"/>
      <c r="BD559" s="7"/>
      <c r="BE559" s="7"/>
      <c r="BF559" s="7"/>
      <c r="BG559" s="7"/>
    </row>
    <row r="560">
      <c r="A560" s="39"/>
      <c r="B560" s="39"/>
      <c r="C560" s="7"/>
      <c r="D560" s="53"/>
      <c r="E560" s="7"/>
      <c r="F560" s="53"/>
      <c r="G560" s="16"/>
      <c r="H560" s="16"/>
      <c r="J560" s="39"/>
      <c r="K560" s="53"/>
      <c r="L560" s="90"/>
      <c r="M560" s="39"/>
      <c r="N560" s="327"/>
      <c r="O560" s="322"/>
      <c r="P560" s="82"/>
      <c r="Q560" s="82"/>
      <c r="R560" s="82"/>
      <c r="S560" s="16"/>
      <c r="T560" s="16"/>
      <c r="U560" s="39"/>
      <c r="V560" s="7"/>
      <c r="W560" s="7"/>
      <c r="X560" s="93"/>
      <c r="Y560" s="85"/>
      <c r="Z560" s="85"/>
      <c r="AA560" s="85"/>
      <c r="AB560" s="85"/>
      <c r="AC560" s="85"/>
      <c r="AD560" s="325"/>
      <c r="AE560" s="85"/>
      <c r="AF560" s="90"/>
      <c r="AG560" s="87"/>
      <c r="AH560" s="39"/>
      <c r="AI560" s="87"/>
      <c r="AJ560" s="81"/>
      <c r="AK560" s="90"/>
      <c r="AL560" s="81"/>
      <c r="AM560" s="82"/>
      <c r="AN560" s="82"/>
      <c r="AO560" s="82"/>
      <c r="AP560" s="82"/>
      <c r="AQ560" s="7"/>
      <c r="AR560" s="82"/>
      <c r="AS560" s="82"/>
      <c r="AT560" s="82"/>
      <c r="AU560" s="82"/>
      <c r="AV560" s="82"/>
      <c r="AW560" s="7"/>
      <c r="AX560" s="82"/>
      <c r="AY560" s="7"/>
      <c r="AZ560" s="7"/>
      <c r="BA560" s="7"/>
      <c r="BB560" s="7"/>
      <c r="BC560" s="7"/>
      <c r="BD560" s="7"/>
      <c r="BE560" s="7"/>
      <c r="BF560" s="7"/>
      <c r="BG560" s="7"/>
    </row>
    <row r="561">
      <c r="A561" s="39"/>
      <c r="B561" s="39"/>
      <c r="C561" s="7"/>
      <c r="D561" s="53"/>
      <c r="E561" s="7"/>
      <c r="F561" s="53"/>
      <c r="G561" s="16"/>
      <c r="H561" s="16"/>
      <c r="J561" s="39"/>
      <c r="K561" s="53"/>
      <c r="L561" s="90"/>
      <c r="M561" s="39"/>
      <c r="N561" s="327"/>
      <c r="O561" s="322"/>
      <c r="P561" s="7"/>
      <c r="Q561" s="7"/>
      <c r="R561" s="82"/>
      <c r="S561" s="16"/>
      <c r="T561" s="16"/>
      <c r="U561" s="39"/>
      <c r="V561" s="7"/>
      <c r="W561" s="7"/>
      <c r="X561" s="93"/>
      <c r="Y561" s="85"/>
      <c r="Z561" s="85"/>
      <c r="AA561" s="85"/>
      <c r="AB561" s="85"/>
      <c r="AC561" s="85"/>
      <c r="AD561" s="325"/>
      <c r="AE561" s="85"/>
      <c r="AF561" s="90"/>
      <c r="AG561" s="87"/>
      <c r="AH561" s="39"/>
      <c r="AI561" s="87"/>
      <c r="AJ561" s="81"/>
      <c r="AK561" s="90"/>
      <c r="AL561" s="81"/>
      <c r="AM561" s="82"/>
      <c r="AN561" s="82"/>
      <c r="AO561" s="82"/>
      <c r="AP561" s="82"/>
      <c r="AQ561" s="7"/>
      <c r="AR561" s="7"/>
      <c r="AS561" s="7"/>
      <c r="AT561" s="7"/>
      <c r="AU561" s="82"/>
      <c r="AV561" s="7"/>
      <c r="AW561" s="7"/>
      <c r="AX561" s="82"/>
      <c r="AY561" s="7"/>
      <c r="AZ561" s="7"/>
      <c r="BA561" s="7"/>
      <c r="BB561" s="7"/>
      <c r="BC561" s="7"/>
      <c r="BD561" s="7"/>
      <c r="BE561" s="7"/>
      <c r="BF561" s="7"/>
      <c r="BG561" s="7"/>
    </row>
    <row r="562">
      <c r="A562" s="39"/>
      <c r="B562" s="39"/>
      <c r="C562" s="7"/>
      <c r="D562" s="53"/>
      <c r="E562" s="7"/>
      <c r="F562" s="53"/>
      <c r="G562" s="16"/>
      <c r="H562" s="16"/>
      <c r="J562" s="39"/>
      <c r="K562" s="53"/>
      <c r="L562" s="90"/>
      <c r="M562" s="39"/>
      <c r="N562" s="321"/>
      <c r="O562" s="368"/>
      <c r="P562" s="7"/>
      <c r="Q562" s="7"/>
      <c r="R562" s="7"/>
      <c r="S562" s="16"/>
      <c r="T562" s="16"/>
      <c r="U562" s="39"/>
      <c r="V562" s="7"/>
      <c r="W562" s="7"/>
      <c r="X562" s="93"/>
      <c r="Y562" s="85"/>
      <c r="Z562" s="85"/>
      <c r="AA562" s="85"/>
      <c r="AB562" s="85"/>
      <c r="AC562" s="85"/>
      <c r="AD562" s="325"/>
      <c r="AE562" s="85"/>
      <c r="AF562" s="90"/>
      <c r="AG562" s="87"/>
      <c r="AH562" s="39"/>
      <c r="AI562" s="87"/>
      <c r="AJ562" s="81"/>
      <c r="AK562" s="90"/>
      <c r="AL562" s="81"/>
      <c r="AM562" s="82"/>
      <c r="AN562" s="82"/>
      <c r="AO562" s="82"/>
      <c r="AP562" s="82"/>
      <c r="AQ562" s="7"/>
      <c r="AR562" s="82"/>
      <c r="AS562" s="82"/>
      <c r="AT562" s="82"/>
      <c r="AU562" s="82"/>
      <c r="AV562" s="82"/>
      <c r="AW562" s="7"/>
      <c r="AX562" s="82"/>
      <c r="AY562" s="7"/>
      <c r="AZ562" s="7"/>
      <c r="BA562" s="7"/>
      <c r="BB562" s="7"/>
      <c r="BC562" s="7"/>
      <c r="BD562" s="7"/>
      <c r="BE562" s="7"/>
      <c r="BF562" s="7"/>
      <c r="BG562" s="7"/>
    </row>
    <row r="563">
      <c r="A563" s="39"/>
      <c r="B563" s="39"/>
      <c r="C563" s="7"/>
      <c r="D563" s="53"/>
      <c r="E563" s="7"/>
      <c r="F563" s="53"/>
      <c r="G563" s="16"/>
      <c r="H563" s="16"/>
      <c r="J563" s="39"/>
      <c r="K563" s="53"/>
      <c r="L563" s="90"/>
      <c r="M563" s="39"/>
      <c r="N563" s="321"/>
      <c r="O563" s="322"/>
      <c r="P563" s="82"/>
      <c r="Q563" s="82"/>
      <c r="R563" s="82"/>
      <c r="S563" s="16"/>
      <c r="T563" s="16"/>
      <c r="U563" s="39"/>
      <c r="V563" s="7"/>
      <c r="W563" s="7"/>
      <c r="X563" s="93"/>
      <c r="Y563" s="85"/>
      <c r="Z563" s="85"/>
      <c r="AA563" s="85"/>
      <c r="AB563" s="85"/>
      <c r="AC563" s="85"/>
      <c r="AD563" s="325"/>
      <c r="AE563" s="85"/>
      <c r="AF563" s="90"/>
      <c r="AG563" s="87"/>
      <c r="AH563" s="39"/>
      <c r="AI563" s="87"/>
      <c r="AJ563" s="81"/>
      <c r="AK563" s="90"/>
      <c r="AL563" s="81"/>
      <c r="AM563" s="82"/>
      <c r="AN563" s="82"/>
      <c r="AO563" s="82"/>
      <c r="AP563" s="82"/>
      <c r="AQ563" s="7"/>
      <c r="AR563" s="82"/>
      <c r="AS563" s="82"/>
      <c r="AT563" s="82"/>
      <c r="AU563" s="82"/>
      <c r="AV563" s="82"/>
      <c r="AW563" s="7"/>
      <c r="AX563" s="82"/>
      <c r="AY563" s="7"/>
      <c r="AZ563" s="7"/>
      <c r="BA563" s="7"/>
      <c r="BB563" s="7"/>
      <c r="BC563" s="7"/>
      <c r="BD563" s="7"/>
      <c r="BE563" s="7"/>
      <c r="BF563" s="7"/>
      <c r="BG563" s="7"/>
    </row>
    <row r="564">
      <c r="A564" s="39"/>
      <c r="B564" s="39"/>
      <c r="C564" s="7"/>
      <c r="D564" s="53"/>
      <c r="E564" s="7"/>
      <c r="F564" s="53"/>
      <c r="G564" s="16"/>
      <c r="H564" s="16"/>
      <c r="J564" s="39"/>
      <c r="K564" s="53"/>
      <c r="L564" s="90"/>
      <c r="M564" s="39"/>
      <c r="N564" s="321"/>
      <c r="O564" s="322"/>
      <c r="P564" s="82"/>
      <c r="Q564" s="82"/>
      <c r="R564" s="82"/>
      <c r="S564" s="16"/>
      <c r="T564" s="16"/>
      <c r="U564" s="39"/>
      <c r="V564" s="7"/>
      <c r="W564" s="7"/>
      <c r="X564" s="93"/>
      <c r="Y564" s="85"/>
      <c r="Z564" s="85"/>
      <c r="AA564" s="85"/>
      <c r="AB564" s="85"/>
      <c r="AC564" s="85"/>
      <c r="AD564" s="325"/>
      <c r="AE564" s="85"/>
      <c r="AF564" s="90"/>
      <c r="AG564" s="87"/>
      <c r="AH564" s="39"/>
      <c r="AI564" s="87"/>
      <c r="AJ564" s="81"/>
      <c r="AK564" s="90"/>
      <c r="AL564" s="81"/>
      <c r="AM564" s="82"/>
      <c r="AN564" s="82"/>
      <c r="AO564" s="82"/>
      <c r="AP564" s="82"/>
      <c r="AQ564" s="7"/>
      <c r="AR564" s="82"/>
      <c r="AS564" s="82"/>
      <c r="AT564" s="82"/>
      <c r="AU564" s="82"/>
      <c r="AV564" s="82"/>
      <c r="AW564" s="7"/>
      <c r="AX564" s="82"/>
      <c r="AY564" s="7"/>
      <c r="AZ564" s="7"/>
      <c r="BA564" s="7"/>
      <c r="BB564" s="7"/>
      <c r="BC564" s="7"/>
      <c r="BD564" s="7"/>
      <c r="BE564" s="7"/>
      <c r="BF564" s="7"/>
      <c r="BG564" s="7"/>
    </row>
    <row r="565">
      <c r="A565" s="39"/>
      <c r="B565" s="39"/>
      <c r="C565" s="7"/>
      <c r="D565" s="53"/>
      <c r="E565" s="7"/>
      <c r="F565" s="53"/>
      <c r="G565" s="16"/>
      <c r="H565" s="16"/>
      <c r="J565" s="39"/>
      <c r="K565" s="53"/>
      <c r="L565" s="90"/>
      <c r="M565" s="39"/>
      <c r="N565" s="321"/>
      <c r="O565" s="322"/>
      <c r="P565" s="82"/>
      <c r="Q565" s="82"/>
      <c r="R565" s="82"/>
      <c r="S565" s="16"/>
      <c r="T565" s="16"/>
      <c r="U565" s="39"/>
      <c r="V565" s="7"/>
      <c r="W565" s="7"/>
      <c r="X565" s="93"/>
      <c r="Y565" s="85"/>
      <c r="Z565" s="85"/>
      <c r="AA565" s="85"/>
      <c r="AB565" s="85"/>
      <c r="AC565" s="85"/>
      <c r="AD565" s="325"/>
      <c r="AE565" s="85"/>
      <c r="AF565" s="90"/>
      <c r="AG565" s="21"/>
      <c r="AH565" s="39"/>
      <c r="AI565" s="87"/>
      <c r="AJ565" s="81"/>
      <c r="AK565" s="90"/>
      <c r="AL565" s="81"/>
      <c r="AM565" s="82"/>
      <c r="AN565" s="82"/>
      <c r="AO565" s="82"/>
      <c r="AP565" s="82"/>
      <c r="AQ565" s="7"/>
      <c r="AR565" s="82"/>
      <c r="AS565" s="82"/>
      <c r="AT565" s="82"/>
      <c r="AU565" s="82"/>
      <c r="AV565" s="82"/>
      <c r="AW565" s="7"/>
      <c r="AX565" s="82"/>
      <c r="AY565" s="7"/>
      <c r="AZ565" s="7"/>
      <c r="BA565" s="7"/>
      <c r="BB565" s="7"/>
      <c r="BC565" s="7"/>
      <c r="BD565" s="7"/>
      <c r="BE565" s="7"/>
      <c r="BF565" s="7"/>
      <c r="BG565" s="7"/>
    </row>
    <row r="566">
      <c r="A566" s="39"/>
      <c r="B566" s="39"/>
      <c r="C566" s="7"/>
      <c r="D566" s="53"/>
      <c r="E566" s="7"/>
      <c r="F566" s="53"/>
      <c r="G566" s="16"/>
      <c r="H566" s="16"/>
      <c r="J566" s="39"/>
      <c r="K566" s="53"/>
      <c r="L566" s="90"/>
      <c r="M566" s="39"/>
      <c r="N566" s="321"/>
      <c r="O566" s="322"/>
      <c r="P566" s="82"/>
      <c r="Q566" s="82"/>
      <c r="R566" s="82"/>
      <c r="S566" s="16"/>
      <c r="T566" s="16"/>
      <c r="U566" s="39"/>
      <c r="V566" s="7"/>
      <c r="W566" s="7"/>
      <c r="X566" s="93"/>
      <c r="Y566" s="85"/>
      <c r="Z566" s="85"/>
      <c r="AA566" s="85"/>
      <c r="AB566" s="85"/>
      <c r="AC566" s="85"/>
      <c r="AD566" s="325"/>
      <c r="AE566" s="85"/>
      <c r="AF566" s="90"/>
      <c r="AG566" s="21"/>
      <c r="AH566" s="39"/>
      <c r="AI566" s="87"/>
      <c r="AJ566" s="81"/>
      <c r="AK566" s="90"/>
      <c r="AL566" s="81"/>
      <c r="AM566" s="82"/>
      <c r="AN566" s="82"/>
      <c r="AO566" s="82"/>
      <c r="AP566" s="82"/>
      <c r="AQ566" s="7"/>
      <c r="AR566" s="82"/>
      <c r="AS566" s="82"/>
      <c r="AT566" s="82"/>
      <c r="AU566" s="82"/>
      <c r="AV566" s="82"/>
      <c r="AW566" s="7"/>
      <c r="AX566" s="82"/>
      <c r="AY566" s="7"/>
      <c r="AZ566" s="7"/>
      <c r="BA566" s="7"/>
      <c r="BB566" s="7"/>
      <c r="BC566" s="7"/>
      <c r="BD566" s="7"/>
      <c r="BE566" s="7"/>
      <c r="BF566" s="7"/>
      <c r="BG566" s="7"/>
    </row>
    <row r="567">
      <c r="A567" s="39"/>
      <c r="B567" s="39"/>
      <c r="C567" s="7"/>
      <c r="D567" s="53"/>
      <c r="E567" s="7"/>
      <c r="F567" s="53"/>
      <c r="G567" s="16"/>
      <c r="H567" s="16"/>
      <c r="J567" s="39"/>
      <c r="K567" s="53"/>
      <c r="L567" s="90"/>
      <c r="M567" s="39"/>
      <c r="N567" s="327"/>
      <c r="O567" s="367"/>
      <c r="P567" s="82"/>
      <c r="Q567" s="82"/>
      <c r="R567" s="82"/>
      <c r="S567" s="16"/>
      <c r="T567" s="16"/>
      <c r="U567" s="39"/>
      <c r="V567" s="7"/>
      <c r="W567" s="7"/>
      <c r="X567" s="93"/>
      <c r="Y567" s="85"/>
      <c r="Z567" s="85"/>
      <c r="AA567" s="85"/>
      <c r="AB567" s="85"/>
      <c r="AC567" s="85"/>
      <c r="AD567" s="325"/>
      <c r="AE567" s="85"/>
      <c r="AF567" s="90"/>
      <c r="AG567" s="21"/>
      <c r="AH567" s="39"/>
      <c r="AI567" s="87"/>
      <c r="AJ567" s="81"/>
      <c r="AK567" s="90"/>
      <c r="AL567" s="81"/>
      <c r="AM567" s="82"/>
      <c r="AN567" s="82"/>
      <c r="AO567" s="82"/>
      <c r="AP567" s="82"/>
      <c r="AQ567" s="7"/>
      <c r="AR567" s="82"/>
      <c r="AS567" s="82"/>
      <c r="AT567" s="82"/>
      <c r="AU567" s="82"/>
      <c r="AV567" s="82"/>
      <c r="AW567" s="7"/>
      <c r="AX567" s="82"/>
      <c r="AY567" s="7"/>
      <c r="AZ567" s="7"/>
      <c r="BA567" s="7"/>
      <c r="BB567" s="7"/>
      <c r="BC567" s="7"/>
      <c r="BD567" s="7"/>
      <c r="BE567" s="7"/>
      <c r="BF567" s="7"/>
      <c r="BG567" s="7"/>
    </row>
    <row r="568">
      <c r="A568" s="39"/>
      <c r="B568" s="39"/>
      <c r="C568" s="7"/>
      <c r="D568" s="53"/>
      <c r="E568" s="7"/>
      <c r="F568" s="53"/>
      <c r="G568" s="16"/>
      <c r="H568" s="16"/>
      <c r="J568" s="39"/>
      <c r="K568" s="53"/>
      <c r="L568" s="90"/>
      <c r="M568" s="39"/>
      <c r="N568" s="321"/>
      <c r="O568" s="368"/>
      <c r="P568" s="7"/>
      <c r="Q568" s="7"/>
      <c r="R568" s="7"/>
      <c r="S568" s="16"/>
      <c r="T568" s="16"/>
      <c r="U568" s="39"/>
      <c r="V568" s="7"/>
      <c r="W568" s="7"/>
      <c r="X568" s="93"/>
      <c r="Y568" s="85"/>
      <c r="Z568" s="85"/>
      <c r="AA568" s="85"/>
      <c r="AB568" s="85"/>
      <c r="AC568" s="85"/>
      <c r="AD568" s="325"/>
      <c r="AE568" s="85"/>
      <c r="AF568" s="90"/>
      <c r="AG568" s="21"/>
      <c r="AH568" s="39"/>
      <c r="AI568" s="87"/>
      <c r="AJ568" s="81"/>
      <c r="AK568" s="90"/>
      <c r="AL568" s="81"/>
      <c r="AM568" s="82"/>
      <c r="AN568" s="82"/>
      <c r="AO568" s="82"/>
      <c r="AP568" s="82"/>
      <c r="AQ568" s="7"/>
      <c r="AR568" s="7"/>
      <c r="AS568" s="7"/>
      <c r="AT568" s="7"/>
      <c r="AU568" s="7"/>
      <c r="AV568" s="7"/>
      <c r="AW568" s="7"/>
      <c r="AX568" s="82"/>
      <c r="AY568" s="7"/>
      <c r="AZ568" s="7"/>
      <c r="BA568" s="7"/>
      <c r="BB568" s="7"/>
      <c r="BC568" s="7"/>
      <c r="BD568" s="7"/>
      <c r="BE568" s="7"/>
      <c r="BF568" s="7"/>
      <c r="BG568" s="7"/>
    </row>
    <row r="569">
      <c r="A569" s="39"/>
      <c r="B569" s="39"/>
      <c r="C569" s="7"/>
      <c r="D569" s="53"/>
      <c r="E569" s="7"/>
      <c r="F569" s="53"/>
      <c r="G569" s="16"/>
      <c r="H569" s="16"/>
      <c r="J569" s="39"/>
      <c r="K569" s="53"/>
      <c r="L569" s="90"/>
      <c r="M569" s="39"/>
      <c r="N569" s="327"/>
      <c r="O569" s="367"/>
      <c r="P569" s="82"/>
      <c r="Q569" s="82"/>
      <c r="R569" s="82"/>
      <c r="S569" s="16"/>
      <c r="T569" s="16"/>
      <c r="U569" s="39"/>
      <c r="V569" s="7"/>
      <c r="W569" s="7"/>
      <c r="X569" s="93"/>
      <c r="Y569" s="85"/>
      <c r="Z569" s="85"/>
      <c r="AA569" s="85"/>
      <c r="AB569" s="85"/>
      <c r="AC569" s="85"/>
      <c r="AD569" s="325"/>
      <c r="AE569" s="85"/>
      <c r="AF569" s="90"/>
      <c r="AG569" s="21"/>
      <c r="AH569" s="39"/>
      <c r="AI569" s="87"/>
      <c r="AJ569" s="81"/>
      <c r="AK569" s="90"/>
      <c r="AL569" s="81"/>
      <c r="AM569" s="82"/>
      <c r="AN569" s="82"/>
      <c r="AO569" s="82"/>
      <c r="AP569" s="82"/>
      <c r="AQ569" s="7"/>
      <c r="AR569" s="7"/>
      <c r="AS569" s="7"/>
      <c r="AT569" s="7"/>
      <c r="AU569" s="7"/>
      <c r="AV569" s="7"/>
      <c r="AW569" s="7"/>
      <c r="AX569" s="82"/>
      <c r="AY569" s="7"/>
      <c r="AZ569" s="7"/>
      <c r="BA569" s="7"/>
      <c r="BB569" s="7"/>
      <c r="BC569" s="7"/>
      <c r="BD569" s="7"/>
      <c r="BE569" s="7"/>
      <c r="BF569" s="7"/>
      <c r="BG569" s="7"/>
    </row>
    <row r="570">
      <c r="A570" s="39"/>
      <c r="B570" s="39"/>
      <c r="C570" s="7"/>
      <c r="D570" s="53"/>
      <c r="E570" s="7"/>
      <c r="F570" s="53"/>
      <c r="G570" s="16"/>
      <c r="H570" s="16"/>
      <c r="J570" s="39"/>
      <c r="K570" s="53"/>
      <c r="L570" s="90"/>
      <c r="M570" s="39"/>
      <c r="N570" s="327"/>
      <c r="O570" s="368"/>
      <c r="P570" s="7"/>
      <c r="Q570" s="7"/>
      <c r="R570" s="82"/>
      <c r="S570" s="16"/>
      <c r="T570" s="16"/>
      <c r="U570" s="39"/>
      <c r="V570" s="7"/>
      <c r="W570" s="7"/>
      <c r="X570" s="93"/>
      <c r="Y570" s="85"/>
      <c r="Z570" s="85"/>
      <c r="AA570" s="85"/>
      <c r="AB570" s="85"/>
      <c r="AC570" s="85"/>
      <c r="AD570" s="325"/>
      <c r="AE570" s="85"/>
      <c r="AF570" s="90"/>
      <c r="AG570" s="21"/>
      <c r="AH570" s="39"/>
      <c r="AI570" s="87"/>
      <c r="AJ570" s="81"/>
      <c r="AK570" s="90"/>
      <c r="AL570" s="81"/>
      <c r="AM570" s="82"/>
      <c r="AN570" s="82"/>
      <c r="AO570" s="82"/>
      <c r="AP570" s="82"/>
      <c r="AQ570" s="7"/>
      <c r="AR570" s="7"/>
      <c r="AS570" s="7"/>
      <c r="AT570" s="7"/>
      <c r="AU570" s="7"/>
      <c r="AV570" s="7"/>
      <c r="AW570" s="7"/>
      <c r="AX570" s="82"/>
      <c r="AY570" s="7"/>
      <c r="AZ570" s="7"/>
      <c r="BA570" s="7"/>
      <c r="BB570" s="7"/>
      <c r="BC570" s="7"/>
      <c r="BD570" s="7"/>
      <c r="BE570" s="7"/>
      <c r="BF570" s="7"/>
      <c r="BG570" s="7"/>
    </row>
    <row r="571">
      <c r="A571" s="39"/>
      <c r="B571" s="39"/>
      <c r="C571" s="7"/>
      <c r="D571" s="53"/>
      <c r="E571" s="7"/>
      <c r="F571" s="53"/>
      <c r="G571" s="16"/>
      <c r="H571" s="16"/>
      <c r="J571" s="39"/>
      <c r="K571" s="53"/>
      <c r="L571" s="90"/>
      <c r="M571" s="39"/>
      <c r="N571" s="327"/>
      <c r="O571" s="322"/>
      <c r="P571" s="82"/>
      <c r="Q571" s="82"/>
      <c r="R571" s="82"/>
      <c r="S571" s="16"/>
      <c r="T571" s="16"/>
      <c r="U571" s="39"/>
      <c r="V571" s="7"/>
      <c r="W571" s="7"/>
      <c r="X571" s="93"/>
      <c r="Y571" s="85"/>
      <c r="Z571" s="85"/>
      <c r="AA571" s="85"/>
      <c r="AB571" s="85"/>
      <c r="AC571" s="85"/>
      <c r="AD571" s="325"/>
      <c r="AE571" s="85"/>
      <c r="AF571" s="90"/>
      <c r="AG571" s="21"/>
      <c r="AH571" s="39"/>
      <c r="AI571" s="87"/>
      <c r="AJ571" s="81"/>
      <c r="AK571" s="90"/>
      <c r="AL571" s="81"/>
      <c r="AM571" s="82"/>
      <c r="AN571" s="82"/>
      <c r="AO571" s="82"/>
      <c r="AP571" s="82"/>
      <c r="AQ571" s="82"/>
      <c r="AR571" s="82"/>
      <c r="AS571" s="82"/>
      <c r="AT571" s="82"/>
      <c r="AU571" s="82"/>
      <c r="AV571" s="82"/>
      <c r="AW571" s="7"/>
      <c r="AX571" s="82"/>
      <c r="AY571" s="7"/>
      <c r="AZ571" s="7"/>
      <c r="BA571" s="7"/>
      <c r="BB571" s="7"/>
      <c r="BC571" s="7"/>
      <c r="BD571" s="7"/>
      <c r="BE571" s="7"/>
      <c r="BF571" s="7"/>
      <c r="BG571" s="7"/>
    </row>
    <row r="572">
      <c r="A572" s="39"/>
      <c r="B572" s="39"/>
      <c r="C572" s="7"/>
      <c r="D572" s="53"/>
      <c r="E572" s="7"/>
      <c r="F572" s="53"/>
      <c r="G572" s="16"/>
      <c r="H572" s="16"/>
      <c r="J572" s="39"/>
      <c r="K572" s="53"/>
      <c r="L572" s="90"/>
      <c r="M572" s="39"/>
      <c r="N572" s="321"/>
      <c r="O572" s="322"/>
      <c r="P572" s="82"/>
      <c r="Q572" s="82"/>
      <c r="R572" s="82"/>
      <c r="S572" s="16"/>
      <c r="T572" s="16"/>
      <c r="U572" s="39"/>
      <c r="V572" s="7"/>
      <c r="W572" s="7"/>
      <c r="X572" s="93"/>
      <c r="Y572" s="85"/>
      <c r="Z572" s="85"/>
      <c r="AA572" s="85"/>
      <c r="AB572" s="85"/>
      <c r="AC572" s="85"/>
      <c r="AD572" s="325"/>
      <c r="AE572" s="85"/>
      <c r="AF572" s="90"/>
      <c r="AG572" s="87"/>
      <c r="AH572" s="39"/>
      <c r="AI572" s="87"/>
      <c r="AJ572" s="81"/>
      <c r="AK572" s="90"/>
      <c r="AL572" s="81"/>
      <c r="AM572" s="352"/>
      <c r="AN572" s="82"/>
      <c r="AO572" s="82"/>
      <c r="AP572" s="82"/>
      <c r="AQ572" s="7"/>
      <c r="AR572" s="7"/>
      <c r="AS572" s="82"/>
      <c r="AT572" s="7"/>
      <c r="AU572" s="82"/>
      <c r="AV572" s="7"/>
      <c r="AW572" s="7"/>
      <c r="AX572" s="82"/>
      <c r="AY572" s="7"/>
      <c r="AZ572" s="7"/>
      <c r="BA572" s="7"/>
      <c r="BB572" s="7"/>
      <c r="BC572" s="7"/>
      <c r="BD572" s="7"/>
      <c r="BE572" s="7"/>
      <c r="BF572" s="7"/>
      <c r="BG572" s="7"/>
    </row>
    <row r="573">
      <c r="A573" s="39"/>
      <c r="B573" s="39"/>
      <c r="C573" s="7"/>
      <c r="D573" s="53"/>
      <c r="E573" s="7"/>
      <c r="F573" s="53"/>
      <c r="G573" s="16"/>
      <c r="H573" s="16"/>
      <c r="J573" s="39"/>
      <c r="K573" s="53"/>
      <c r="L573" s="90"/>
      <c r="M573" s="39"/>
      <c r="N573" s="327"/>
      <c r="O573" s="322"/>
      <c r="P573" s="82"/>
      <c r="Q573" s="82"/>
      <c r="R573" s="82"/>
      <c r="S573" s="16"/>
      <c r="T573" s="16"/>
      <c r="U573" s="39"/>
      <c r="V573" s="7"/>
      <c r="W573" s="7"/>
      <c r="X573" s="93"/>
      <c r="Y573" s="85"/>
      <c r="Z573" s="85"/>
      <c r="AA573" s="85"/>
      <c r="AB573" s="85"/>
      <c r="AC573" s="85"/>
      <c r="AD573" s="325"/>
      <c r="AE573" s="85"/>
      <c r="AF573" s="90"/>
      <c r="AG573" s="87"/>
      <c r="AH573" s="39"/>
      <c r="AI573" s="87"/>
      <c r="AJ573" s="81"/>
      <c r="AK573" s="90"/>
      <c r="AL573" s="81"/>
      <c r="AM573" s="82"/>
      <c r="AN573" s="82"/>
      <c r="AO573" s="82"/>
      <c r="AP573" s="82"/>
      <c r="AQ573" s="82"/>
      <c r="AR573" s="82"/>
      <c r="AS573" s="82"/>
      <c r="AT573" s="82"/>
      <c r="AU573" s="82"/>
      <c r="AV573" s="82"/>
      <c r="AW573" s="7"/>
      <c r="AX573" s="82"/>
      <c r="AY573" s="7"/>
      <c r="AZ573" s="7"/>
      <c r="BA573" s="7"/>
      <c r="BB573" s="7"/>
      <c r="BC573" s="7"/>
      <c r="BD573" s="7"/>
      <c r="BE573" s="7"/>
      <c r="BF573" s="7"/>
      <c r="BG573" s="7"/>
    </row>
    <row r="574">
      <c r="A574" s="39"/>
      <c r="B574" s="39"/>
      <c r="C574" s="7"/>
      <c r="D574" s="53"/>
      <c r="E574" s="7"/>
      <c r="F574" s="53"/>
      <c r="G574" s="16"/>
      <c r="H574" s="16"/>
      <c r="J574" s="39"/>
      <c r="K574" s="53"/>
      <c r="L574" s="90"/>
      <c r="M574" s="39"/>
      <c r="N574" s="327"/>
      <c r="O574" s="322"/>
      <c r="P574" s="82"/>
      <c r="Q574" s="82"/>
      <c r="R574" s="82"/>
      <c r="S574" s="16"/>
      <c r="T574" s="16"/>
      <c r="U574" s="39"/>
      <c r="V574" s="7"/>
      <c r="W574" s="7"/>
      <c r="X574" s="93"/>
      <c r="Y574" s="85"/>
      <c r="Z574" s="85"/>
      <c r="AA574" s="85"/>
      <c r="AB574" s="85"/>
      <c r="AC574" s="85"/>
      <c r="AD574" s="325"/>
      <c r="AE574" s="85"/>
      <c r="AF574" s="90"/>
      <c r="AG574" s="87"/>
      <c r="AH574" s="39"/>
      <c r="AI574" s="87"/>
      <c r="AJ574" s="81"/>
      <c r="AK574" s="90"/>
      <c r="AL574" s="81"/>
      <c r="AM574" s="82"/>
      <c r="AN574" s="82"/>
      <c r="AO574" s="82"/>
      <c r="AP574" s="82"/>
      <c r="AQ574" s="82"/>
      <c r="AR574" s="82"/>
      <c r="AS574" s="82"/>
      <c r="AT574" s="82"/>
      <c r="AU574" s="82"/>
      <c r="AV574" s="82"/>
      <c r="AW574" s="7"/>
      <c r="AX574" s="82"/>
      <c r="AY574" s="7"/>
      <c r="AZ574" s="7"/>
      <c r="BA574" s="7"/>
      <c r="BB574" s="7"/>
      <c r="BC574" s="7"/>
      <c r="BD574" s="7"/>
      <c r="BE574" s="7"/>
      <c r="BF574" s="7"/>
      <c r="BG574" s="7"/>
    </row>
    <row r="575">
      <c r="A575" s="39"/>
      <c r="B575" s="39"/>
      <c r="C575" s="7"/>
      <c r="D575" s="53"/>
      <c r="E575" s="7"/>
      <c r="F575" s="53"/>
      <c r="G575" s="16"/>
      <c r="H575" s="16"/>
      <c r="J575" s="39"/>
      <c r="K575" s="53"/>
      <c r="L575" s="90"/>
      <c r="M575" s="39"/>
      <c r="N575" s="327"/>
      <c r="O575" s="322"/>
      <c r="P575" s="82"/>
      <c r="Q575" s="82"/>
      <c r="R575" s="82"/>
      <c r="S575" s="16"/>
      <c r="T575" s="16"/>
      <c r="U575" s="39"/>
      <c r="V575" s="7"/>
      <c r="W575" s="7"/>
      <c r="X575" s="93"/>
      <c r="Y575" s="85"/>
      <c r="Z575" s="85"/>
      <c r="AA575" s="85"/>
      <c r="AB575" s="85"/>
      <c r="AC575" s="85"/>
      <c r="AD575" s="325"/>
      <c r="AE575" s="85"/>
      <c r="AF575" s="90"/>
      <c r="AG575" s="87"/>
      <c r="AH575" s="39"/>
      <c r="AI575" s="87"/>
      <c r="AJ575" s="81"/>
      <c r="AK575" s="90"/>
      <c r="AL575" s="81"/>
      <c r="AM575" s="82"/>
      <c r="AN575" s="82"/>
      <c r="AO575" s="82"/>
      <c r="AP575" s="82"/>
      <c r="AQ575" s="82"/>
      <c r="AR575" s="82"/>
      <c r="AS575" s="82"/>
      <c r="AT575" s="82"/>
      <c r="AU575" s="82"/>
      <c r="AV575" s="82"/>
      <c r="AW575" s="7"/>
      <c r="AX575" s="82"/>
      <c r="AY575" s="7"/>
      <c r="AZ575" s="7"/>
      <c r="BA575" s="7"/>
      <c r="BB575" s="7"/>
      <c r="BC575" s="7"/>
      <c r="BD575" s="7"/>
      <c r="BE575" s="7"/>
      <c r="BF575" s="7"/>
      <c r="BG575" s="7"/>
    </row>
    <row r="576">
      <c r="A576" s="39"/>
      <c r="B576" s="39"/>
      <c r="C576" s="7"/>
      <c r="D576" s="53"/>
      <c r="E576" s="7"/>
      <c r="F576" s="53"/>
      <c r="G576" s="16"/>
      <c r="H576" s="16"/>
      <c r="J576" s="39"/>
      <c r="K576" s="53"/>
      <c r="L576" s="90"/>
      <c r="M576" s="39"/>
      <c r="N576" s="327"/>
      <c r="O576" s="322"/>
      <c r="P576" s="82"/>
      <c r="Q576" s="82"/>
      <c r="R576" s="82"/>
      <c r="S576" s="16"/>
      <c r="T576" s="16"/>
      <c r="U576" s="39"/>
      <c r="V576" s="7"/>
      <c r="W576" s="7"/>
      <c r="X576" s="93"/>
      <c r="Y576" s="85"/>
      <c r="Z576" s="85"/>
      <c r="AA576" s="85"/>
      <c r="AB576" s="85"/>
      <c r="AC576" s="85"/>
      <c r="AD576" s="325"/>
      <c r="AE576" s="85"/>
      <c r="AF576" s="90"/>
      <c r="AG576" s="87"/>
      <c r="AH576" s="39"/>
      <c r="AI576" s="87"/>
      <c r="AJ576" s="81"/>
      <c r="AK576" s="90"/>
      <c r="AL576" s="81"/>
      <c r="AM576" s="82"/>
      <c r="AN576" s="82"/>
      <c r="AO576" s="82"/>
      <c r="AP576" s="82"/>
      <c r="AQ576" s="82"/>
      <c r="AR576" s="82"/>
      <c r="AS576" s="82"/>
      <c r="AT576" s="82"/>
      <c r="AU576" s="82"/>
      <c r="AV576" s="82"/>
      <c r="AW576" s="7"/>
      <c r="AX576" s="82"/>
      <c r="AY576" s="7"/>
      <c r="AZ576" s="7"/>
      <c r="BA576" s="7"/>
      <c r="BB576" s="7"/>
      <c r="BC576" s="7"/>
      <c r="BD576" s="7"/>
      <c r="BE576" s="7"/>
      <c r="BF576" s="7"/>
      <c r="BG576" s="7"/>
    </row>
    <row r="577">
      <c r="A577" s="39"/>
      <c r="B577" s="39"/>
      <c r="C577" s="7"/>
      <c r="D577" s="53"/>
      <c r="E577" s="7"/>
      <c r="F577" s="53"/>
      <c r="G577" s="16"/>
      <c r="H577" s="16"/>
      <c r="J577" s="39"/>
      <c r="K577" s="53"/>
      <c r="L577" s="90"/>
      <c r="M577" s="39"/>
      <c r="N577" s="327"/>
      <c r="O577" s="322"/>
      <c r="P577" s="82"/>
      <c r="Q577" s="82"/>
      <c r="R577" s="82"/>
      <c r="S577" s="16"/>
      <c r="T577" s="16"/>
      <c r="U577" s="39"/>
      <c r="V577" s="7"/>
      <c r="W577" s="7"/>
      <c r="X577" s="93"/>
      <c r="Y577" s="85"/>
      <c r="Z577" s="85"/>
      <c r="AA577" s="85"/>
      <c r="AB577" s="85"/>
      <c r="AC577" s="85"/>
      <c r="AD577" s="325"/>
      <c r="AE577" s="85"/>
      <c r="AF577" s="90"/>
      <c r="AG577" s="87"/>
      <c r="AH577" s="39"/>
      <c r="AI577" s="87"/>
      <c r="AJ577" s="81"/>
      <c r="AK577" s="90"/>
      <c r="AL577" s="81"/>
      <c r="AM577" s="39"/>
      <c r="AN577" s="82"/>
      <c r="AO577" s="82"/>
      <c r="AP577" s="82"/>
      <c r="AQ577" s="7"/>
      <c r="AR577" s="7"/>
      <c r="AS577" s="7"/>
      <c r="AT577" s="7"/>
      <c r="AU577" s="7"/>
      <c r="AV577" s="7"/>
      <c r="AW577" s="7"/>
      <c r="AX577" s="82"/>
      <c r="AY577" s="7"/>
      <c r="AZ577" s="7"/>
      <c r="BA577" s="7"/>
      <c r="BB577" s="7"/>
      <c r="BC577" s="7"/>
      <c r="BD577" s="7"/>
      <c r="BE577" s="7"/>
      <c r="BF577" s="7"/>
      <c r="BG577" s="7"/>
    </row>
    <row r="578">
      <c r="A578" s="39"/>
      <c r="B578" s="39"/>
      <c r="C578" s="7"/>
      <c r="D578" s="53"/>
      <c r="E578" s="7"/>
      <c r="F578" s="53"/>
      <c r="G578" s="16"/>
      <c r="H578" s="16"/>
      <c r="J578" s="39"/>
      <c r="K578" s="53"/>
      <c r="L578" s="90"/>
      <c r="M578" s="39"/>
      <c r="N578" s="327"/>
      <c r="O578" s="322"/>
      <c r="P578" s="82"/>
      <c r="Q578" s="82"/>
      <c r="R578" s="82"/>
      <c r="S578" s="16"/>
      <c r="T578" s="16"/>
      <c r="U578" s="39"/>
      <c r="V578" s="7"/>
      <c r="W578" s="7"/>
      <c r="X578" s="93"/>
      <c r="Y578" s="85"/>
      <c r="Z578" s="85"/>
      <c r="AA578" s="85"/>
      <c r="AB578" s="85"/>
      <c r="AC578" s="85"/>
      <c r="AD578" s="325"/>
      <c r="AE578" s="85"/>
      <c r="AF578" s="90"/>
      <c r="AG578" s="87"/>
      <c r="AH578" s="39"/>
      <c r="AI578" s="87"/>
      <c r="AJ578" s="81"/>
      <c r="AK578" s="90"/>
      <c r="AL578" s="81"/>
      <c r="AM578" s="39"/>
      <c r="AN578" s="82"/>
      <c r="AO578" s="82"/>
      <c r="AP578" s="82"/>
      <c r="AQ578" s="82"/>
      <c r="AR578" s="82"/>
      <c r="AS578" s="82"/>
      <c r="AT578" s="82"/>
      <c r="AU578" s="82"/>
      <c r="AV578" s="82"/>
      <c r="AW578" s="7"/>
      <c r="AX578" s="82"/>
      <c r="AY578" s="7"/>
      <c r="AZ578" s="7"/>
      <c r="BA578" s="7"/>
      <c r="BB578" s="7"/>
      <c r="BC578" s="7"/>
      <c r="BD578" s="7"/>
      <c r="BE578" s="7"/>
      <c r="BF578" s="7"/>
      <c r="BG578" s="7"/>
    </row>
    <row r="579">
      <c r="A579" s="39"/>
      <c r="B579" s="39"/>
      <c r="C579" s="7"/>
      <c r="D579" s="53"/>
      <c r="E579" s="7"/>
      <c r="F579" s="53"/>
      <c r="G579" s="16"/>
      <c r="H579" s="16"/>
      <c r="J579" s="39"/>
      <c r="K579" s="53"/>
      <c r="L579" s="90"/>
      <c r="M579" s="39"/>
      <c r="N579" s="327"/>
      <c r="O579" s="322"/>
      <c r="P579" s="82"/>
      <c r="Q579" s="82"/>
      <c r="R579" s="82"/>
      <c r="S579" s="16"/>
      <c r="T579" s="16"/>
      <c r="U579" s="39"/>
      <c r="V579" s="7"/>
      <c r="W579" s="7"/>
      <c r="X579" s="93"/>
      <c r="Y579" s="85"/>
      <c r="Z579" s="85"/>
      <c r="AA579" s="85"/>
      <c r="AB579" s="85"/>
      <c r="AC579" s="85"/>
      <c r="AD579" s="325"/>
      <c r="AE579" s="85"/>
      <c r="AF579" s="90"/>
      <c r="AG579" s="87"/>
      <c r="AH579" s="39"/>
      <c r="AI579" s="87"/>
      <c r="AJ579" s="81"/>
      <c r="AK579" s="90"/>
      <c r="AL579" s="81"/>
      <c r="AM579" s="39"/>
      <c r="AN579" s="82"/>
      <c r="AO579" s="82"/>
      <c r="AP579" s="82"/>
      <c r="AQ579" s="82"/>
      <c r="AR579" s="82"/>
      <c r="AS579" s="82"/>
      <c r="AT579" s="82"/>
      <c r="AU579" s="82"/>
      <c r="AV579" s="82"/>
      <c r="AW579" s="7"/>
      <c r="AX579" s="82"/>
      <c r="AY579" s="7"/>
      <c r="AZ579" s="7"/>
      <c r="BA579" s="7"/>
      <c r="BB579" s="7"/>
      <c r="BC579" s="7"/>
      <c r="BD579" s="7"/>
      <c r="BE579" s="7"/>
      <c r="BF579" s="7"/>
      <c r="BG579" s="7"/>
    </row>
    <row r="580">
      <c r="A580" s="39"/>
      <c r="B580" s="39"/>
      <c r="C580" s="7"/>
      <c r="D580" s="53"/>
      <c r="E580" s="7"/>
      <c r="F580" s="53"/>
      <c r="G580" s="16"/>
      <c r="H580" s="16"/>
      <c r="J580" s="39"/>
      <c r="K580" s="53"/>
      <c r="L580" s="90"/>
      <c r="M580" s="39"/>
      <c r="N580" s="327"/>
      <c r="O580" s="368"/>
      <c r="P580" s="82"/>
      <c r="Q580" s="82"/>
      <c r="R580" s="82"/>
      <c r="S580" s="16"/>
      <c r="T580" s="16"/>
      <c r="U580" s="39"/>
      <c r="V580" s="7"/>
      <c r="W580" s="7"/>
      <c r="X580" s="93"/>
      <c r="Y580" s="85"/>
      <c r="Z580" s="85"/>
      <c r="AA580" s="85"/>
      <c r="AB580" s="85"/>
      <c r="AC580" s="85"/>
      <c r="AD580" s="325"/>
      <c r="AE580" s="85"/>
      <c r="AF580" s="90"/>
      <c r="AG580" s="87"/>
      <c r="AH580" s="39"/>
      <c r="AI580" s="87"/>
      <c r="AJ580" s="81"/>
      <c r="AK580" s="90"/>
      <c r="AL580" s="81"/>
      <c r="AM580" s="39"/>
      <c r="AN580" s="82"/>
      <c r="AO580" s="82"/>
      <c r="AP580" s="82"/>
      <c r="AQ580" s="82"/>
      <c r="AR580" s="82"/>
      <c r="AS580" s="82"/>
      <c r="AT580" s="82"/>
      <c r="AU580" s="82"/>
      <c r="AV580" s="82"/>
      <c r="AW580" s="7"/>
      <c r="AX580" s="82"/>
      <c r="AY580" s="7"/>
      <c r="AZ580" s="7"/>
      <c r="BA580" s="7"/>
      <c r="BB580" s="7"/>
      <c r="BC580" s="7"/>
      <c r="BD580" s="7"/>
      <c r="BE580" s="7"/>
      <c r="BF580" s="7"/>
      <c r="BG580" s="7"/>
    </row>
    <row r="581">
      <c r="A581" s="39"/>
      <c r="B581" s="39"/>
      <c r="C581" s="7"/>
      <c r="D581" s="53"/>
      <c r="E581" s="7"/>
      <c r="F581" s="53"/>
      <c r="G581" s="16"/>
      <c r="H581" s="16"/>
      <c r="J581" s="39"/>
      <c r="K581" s="53"/>
      <c r="L581" s="90"/>
      <c r="M581" s="39"/>
      <c r="N581" s="327"/>
      <c r="O581" s="370"/>
      <c r="P581" s="82"/>
      <c r="Q581" s="82"/>
      <c r="R581" s="82"/>
      <c r="S581" s="16"/>
      <c r="T581" s="16"/>
      <c r="U581" s="39"/>
      <c r="V581" s="7"/>
      <c r="W581" s="7"/>
      <c r="X581" s="93"/>
      <c r="Y581" s="85"/>
      <c r="Z581" s="85"/>
      <c r="AA581" s="85"/>
      <c r="AB581" s="85"/>
      <c r="AC581" s="85"/>
      <c r="AD581" s="325"/>
      <c r="AE581" s="85"/>
      <c r="AF581" s="90"/>
      <c r="AG581" s="87"/>
      <c r="AH581" s="39"/>
      <c r="AI581" s="87"/>
      <c r="AJ581" s="81"/>
      <c r="AK581" s="90"/>
      <c r="AL581" s="81"/>
      <c r="AM581" s="39"/>
      <c r="AN581" s="82"/>
      <c r="AO581" s="82"/>
      <c r="AP581" s="82"/>
      <c r="AQ581" s="82"/>
      <c r="AR581" s="82"/>
      <c r="AS581" s="82"/>
      <c r="AT581" s="82"/>
      <c r="AU581" s="82"/>
      <c r="AV581" s="82"/>
      <c r="AW581" s="7"/>
      <c r="AX581" s="82"/>
      <c r="AY581" s="7"/>
      <c r="AZ581" s="7"/>
      <c r="BA581" s="7"/>
      <c r="BB581" s="7"/>
      <c r="BC581" s="7"/>
      <c r="BD581" s="7"/>
      <c r="BE581" s="7"/>
      <c r="BF581" s="7"/>
      <c r="BG581" s="7"/>
    </row>
    <row r="582">
      <c r="A582" s="39"/>
      <c r="B582" s="39"/>
      <c r="C582" s="7"/>
      <c r="D582" s="53"/>
      <c r="E582" s="7"/>
      <c r="F582" s="53"/>
      <c r="G582" s="16"/>
      <c r="H582" s="16"/>
      <c r="J582" s="39"/>
      <c r="K582" s="53"/>
      <c r="L582" s="90"/>
      <c r="M582" s="39"/>
      <c r="N582" s="327"/>
      <c r="O582" s="367"/>
      <c r="P582" s="82"/>
      <c r="Q582" s="82"/>
      <c r="R582" s="82"/>
      <c r="S582" s="16"/>
      <c r="T582" s="16"/>
      <c r="U582" s="39"/>
      <c r="V582" s="7"/>
      <c r="W582" s="7"/>
      <c r="X582" s="93"/>
      <c r="Y582" s="85"/>
      <c r="Z582" s="85"/>
      <c r="AA582" s="85"/>
      <c r="AB582" s="85"/>
      <c r="AC582" s="85"/>
      <c r="AD582" s="325"/>
      <c r="AE582" s="85"/>
      <c r="AF582" s="90"/>
      <c r="AG582" s="87"/>
      <c r="AH582" s="39"/>
      <c r="AI582" s="87"/>
      <c r="AJ582" s="81"/>
      <c r="AK582" s="90"/>
      <c r="AL582" s="81"/>
      <c r="AM582" s="39"/>
      <c r="AN582" s="82"/>
      <c r="AO582" s="82"/>
      <c r="AP582" s="82"/>
      <c r="AQ582" s="82"/>
      <c r="AR582" s="82"/>
      <c r="AS582" s="82"/>
      <c r="AT582" s="82"/>
      <c r="AU582" s="82"/>
      <c r="AV582" s="82"/>
      <c r="AW582" s="7"/>
      <c r="AX582" s="82"/>
      <c r="AY582" s="7"/>
      <c r="AZ582" s="7"/>
      <c r="BA582" s="7"/>
      <c r="BB582" s="7"/>
      <c r="BC582" s="7"/>
      <c r="BD582" s="7"/>
      <c r="BE582" s="7"/>
      <c r="BF582" s="7"/>
      <c r="BG582" s="7"/>
    </row>
    <row r="583">
      <c r="A583" s="39"/>
      <c r="B583" s="39"/>
      <c r="C583" s="7"/>
      <c r="D583" s="53"/>
      <c r="E583" s="7"/>
      <c r="F583" s="53"/>
      <c r="G583" s="16"/>
      <c r="H583" s="16"/>
      <c r="J583" s="39"/>
      <c r="K583" s="53"/>
      <c r="L583" s="90"/>
      <c r="M583" s="39"/>
      <c r="N583" s="327"/>
      <c r="O583" s="367"/>
      <c r="P583" s="82"/>
      <c r="Q583" s="82"/>
      <c r="R583" s="82"/>
      <c r="S583" s="16"/>
      <c r="T583" s="16"/>
      <c r="U583" s="39"/>
      <c r="V583" s="7"/>
      <c r="W583" s="7"/>
      <c r="X583" s="93"/>
      <c r="Y583" s="85"/>
      <c r="Z583" s="85"/>
      <c r="AA583" s="85"/>
      <c r="AB583" s="85"/>
      <c r="AC583" s="85"/>
      <c r="AD583" s="325"/>
      <c r="AE583" s="85"/>
      <c r="AF583" s="90"/>
      <c r="AG583" s="87"/>
      <c r="AH583" s="39"/>
      <c r="AI583" s="87"/>
      <c r="AJ583" s="81"/>
      <c r="AK583" s="90"/>
      <c r="AL583" s="81"/>
      <c r="AM583" s="39"/>
      <c r="AN583" s="82"/>
      <c r="AO583" s="82"/>
      <c r="AP583" s="82"/>
      <c r="AQ583" s="82"/>
      <c r="AR583" s="82"/>
      <c r="AS583" s="82"/>
      <c r="AT583" s="82"/>
      <c r="AU583" s="82"/>
      <c r="AV583" s="82"/>
      <c r="AW583" s="7"/>
      <c r="AX583" s="82"/>
      <c r="AY583" s="7"/>
      <c r="AZ583" s="7"/>
      <c r="BA583" s="7"/>
      <c r="BB583" s="7"/>
      <c r="BC583" s="7"/>
      <c r="BD583" s="7"/>
      <c r="BE583" s="7"/>
      <c r="BF583" s="7"/>
      <c r="BG583" s="7"/>
    </row>
    <row r="584">
      <c r="A584" s="39"/>
      <c r="B584" s="39"/>
      <c r="C584" s="7"/>
      <c r="D584" s="53"/>
      <c r="E584" s="7"/>
      <c r="F584" s="53"/>
      <c r="G584" s="16"/>
      <c r="H584" s="81"/>
      <c r="J584" s="39"/>
      <c r="K584" s="53"/>
      <c r="L584" s="90"/>
      <c r="M584" s="39"/>
      <c r="N584" s="327"/>
      <c r="O584" s="322"/>
      <c r="P584" s="82"/>
      <c r="Q584" s="82"/>
      <c r="R584" s="82"/>
      <c r="S584" s="16"/>
      <c r="T584" s="16"/>
      <c r="U584" s="39"/>
      <c r="V584" s="7"/>
      <c r="W584" s="7"/>
      <c r="X584" s="93"/>
      <c r="Y584" s="131"/>
      <c r="Z584" s="131"/>
      <c r="AA584" s="131"/>
      <c r="AB584" s="131"/>
      <c r="AC584" s="131"/>
      <c r="AD584" s="325"/>
      <c r="AE584" s="85"/>
      <c r="AF584" s="90"/>
      <c r="AG584" s="87"/>
      <c r="AH584" s="39"/>
      <c r="AI584" s="87"/>
      <c r="AJ584" s="81"/>
      <c r="AK584" s="90"/>
      <c r="AL584" s="81"/>
      <c r="AM584" s="39"/>
      <c r="AN584" s="82"/>
      <c r="AO584" s="82"/>
      <c r="AP584" s="82"/>
      <c r="AQ584" s="7"/>
      <c r="AR584" s="7"/>
      <c r="AS584" s="7"/>
      <c r="AT584" s="7"/>
      <c r="AU584" s="82"/>
      <c r="AV584" s="7"/>
      <c r="AW584" s="7"/>
      <c r="AX584" s="82"/>
      <c r="AY584" s="7"/>
      <c r="AZ584" s="7"/>
      <c r="BA584" s="7"/>
      <c r="BB584" s="7"/>
      <c r="BC584" s="7"/>
      <c r="BD584" s="7"/>
      <c r="BE584" s="7"/>
      <c r="BF584" s="7"/>
      <c r="BG584" s="7"/>
    </row>
    <row r="585">
      <c r="A585" s="39"/>
      <c r="B585" s="39"/>
      <c r="C585" s="7"/>
      <c r="D585" s="53"/>
      <c r="E585" s="7"/>
      <c r="F585" s="53"/>
      <c r="G585" s="16"/>
      <c r="H585" s="81"/>
      <c r="J585" s="39"/>
      <c r="K585" s="53"/>
      <c r="L585" s="90"/>
      <c r="M585" s="39"/>
      <c r="N585" s="327"/>
      <c r="O585" s="370"/>
      <c r="P585" s="82"/>
      <c r="Q585" s="82"/>
      <c r="R585" s="82"/>
      <c r="S585" s="16"/>
      <c r="T585" s="16"/>
      <c r="U585" s="39"/>
      <c r="V585" s="7"/>
      <c r="W585" s="7"/>
      <c r="X585" s="93"/>
      <c r="Y585" s="131"/>
      <c r="Z585" s="131"/>
      <c r="AA585" s="131"/>
      <c r="AB585" s="131"/>
      <c r="AC585" s="131"/>
      <c r="AD585" s="323"/>
      <c r="AE585" s="131"/>
      <c r="AF585" s="90"/>
      <c r="AG585" s="87"/>
      <c r="AH585" s="39"/>
      <c r="AI585" s="21"/>
      <c r="AJ585" s="16"/>
      <c r="AK585" s="90"/>
      <c r="AL585" s="16"/>
      <c r="AM585" s="39"/>
      <c r="AN585" s="82"/>
      <c r="AO585" s="82"/>
      <c r="AP585" s="82"/>
      <c r="AQ585" s="7"/>
      <c r="AR585" s="82"/>
      <c r="AS585" s="82"/>
      <c r="AT585" s="82"/>
      <c r="AU585" s="82"/>
      <c r="AV585" s="82"/>
      <c r="AW585" s="7"/>
      <c r="AX585" s="82"/>
      <c r="AY585" s="7"/>
      <c r="AZ585" s="7"/>
      <c r="BA585" s="7"/>
      <c r="BB585" s="7"/>
      <c r="BC585" s="7"/>
      <c r="BD585" s="7"/>
      <c r="BE585" s="7"/>
      <c r="BF585" s="7"/>
      <c r="BG585" s="7"/>
    </row>
    <row r="586">
      <c r="A586" s="39"/>
      <c r="B586" s="39"/>
      <c r="C586" s="7"/>
      <c r="D586" s="53"/>
      <c r="E586" s="7"/>
      <c r="F586" s="53"/>
      <c r="G586" s="16"/>
      <c r="H586" s="81"/>
      <c r="J586" s="39"/>
      <c r="K586" s="53"/>
      <c r="L586" s="90"/>
      <c r="M586" s="39"/>
      <c r="N586" s="327"/>
      <c r="O586" s="368"/>
      <c r="P586" s="82"/>
      <c r="Q586" s="82"/>
      <c r="R586" s="82"/>
      <c r="S586" s="16"/>
      <c r="T586" s="16"/>
      <c r="U586" s="39"/>
      <c r="V586" s="7"/>
      <c r="W586" s="7"/>
      <c r="X586" s="93"/>
      <c r="Y586" s="131"/>
      <c r="Z586" s="131"/>
      <c r="AA586" s="131"/>
      <c r="AB586" s="131"/>
      <c r="AC586" s="131"/>
      <c r="AD586" s="323"/>
      <c r="AE586" s="131"/>
      <c r="AF586" s="90"/>
      <c r="AG586" s="87"/>
      <c r="AH586" s="39"/>
      <c r="AI586" s="87"/>
      <c r="AJ586" s="81"/>
      <c r="AK586" s="90"/>
      <c r="AL586" s="81"/>
      <c r="AM586" s="39"/>
      <c r="AN586" s="82"/>
      <c r="AO586" s="82"/>
      <c r="AP586" s="82"/>
      <c r="AQ586" s="7"/>
      <c r="AR586" s="7"/>
      <c r="AS586" s="7"/>
      <c r="AT586" s="7"/>
      <c r="AU586" s="7"/>
      <c r="AV586" s="7"/>
      <c r="AW586" s="7"/>
      <c r="AX586" s="82"/>
      <c r="AY586" s="7"/>
      <c r="AZ586" s="7"/>
      <c r="BA586" s="7"/>
      <c r="BB586" s="7"/>
      <c r="BC586" s="7"/>
      <c r="BD586" s="7"/>
      <c r="BE586" s="7"/>
      <c r="BF586" s="7"/>
      <c r="BG586" s="7"/>
    </row>
    <row r="587">
      <c r="A587" s="39"/>
      <c r="B587" s="39"/>
      <c r="C587" s="7"/>
      <c r="D587" s="53"/>
      <c r="E587" s="7"/>
      <c r="F587" s="53"/>
      <c r="G587" s="16"/>
      <c r="H587" s="81"/>
      <c r="J587" s="39"/>
      <c r="K587" s="53"/>
      <c r="L587" s="90"/>
      <c r="M587" s="39"/>
      <c r="N587" s="327"/>
      <c r="O587" s="367"/>
      <c r="P587" s="82"/>
      <c r="Q587" s="82"/>
      <c r="R587" s="82"/>
      <c r="S587" s="16"/>
      <c r="T587" s="16"/>
      <c r="U587" s="39"/>
      <c r="V587" s="7"/>
      <c r="W587" s="7"/>
      <c r="X587" s="93"/>
      <c r="Y587" s="131"/>
      <c r="Z587" s="131"/>
      <c r="AA587" s="131"/>
      <c r="AB587" s="131"/>
      <c r="AC587" s="131"/>
      <c r="AD587" s="323"/>
      <c r="AE587" s="131"/>
      <c r="AF587" s="90"/>
      <c r="AG587" s="87"/>
      <c r="AH587" s="39"/>
      <c r="AI587" s="87"/>
      <c r="AJ587" s="81"/>
      <c r="AK587" s="90"/>
      <c r="AL587" s="81"/>
      <c r="AM587" s="39"/>
      <c r="AN587" s="82"/>
      <c r="AO587" s="82"/>
      <c r="AP587" s="82"/>
      <c r="AQ587" s="7"/>
      <c r="AR587" s="82"/>
      <c r="AS587" s="82"/>
      <c r="AT587" s="82"/>
      <c r="AU587" s="82"/>
      <c r="AV587" s="82"/>
      <c r="AW587" s="7"/>
      <c r="AX587" s="82"/>
      <c r="AY587" s="7"/>
      <c r="AZ587" s="7"/>
      <c r="BA587" s="7"/>
      <c r="BB587" s="7"/>
      <c r="BC587" s="7"/>
      <c r="BD587" s="7"/>
      <c r="BE587" s="7"/>
      <c r="BF587" s="7"/>
      <c r="BG587" s="7"/>
    </row>
    <row r="588">
      <c r="A588" s="39"/>
      <c r="B588" s="39"/>
      <c r="C588" s="7"/>
      <c r="D588" s="53"/>
      <c r="E588" s="7"/>
      <c r="F588" s="53"/>
      <c r="G588" s="16"/>
      <c r="H588" s="83"/>
      <c r="J588" s="39"/>
      <c r="K588" s="53"/>
      <c r="L588" s="90"/>
      <c r="M588" s="39"/>
      <c r="N588" s="327"/>
      <c r="O588" s="322"/>
      <c r="P588" s="82"/>
      <c r="Q588" s="82"/>
      <c r="R588" s="82"/>
      <c r="S588" s="16"/>
      <c r="T588" s="16"/>
      <c r="U588" s="39"/>
      <c r="V588" s="7"/>
      <c r="W588" s="7"/>
      <c r="X588" s="93"/>
      <c r="Y588" s="131"/>
      <c r="Z588" s="131"/>
      <c r="AA588" s="131"/>
      <c r="AB588" s="131"/>
      <c r="AC588" s="131"/>
      <c r="AD588" s="323"/>
      <c r="AE588" s="131"/>
      <c r="AF588" s="90"/>
      <c r="AG588" s="87"/>
      <c r="AH588" s="39"/>
      <c r="AI588" s="87"/>
      <c r="AJ588" s="81"/>
      <c r="AK588" s="90"/>
      <c r="AL588" s="81"/>
      <c r="AM588" s="39"/>
      <c r="AN588" s="82"/>
      <c r="AO588" s="82"/>
      <c r="AP588" s="82"/>
      <c r="AQ588" s="7"/>
      <c r="AR588" s="82"/>
      <c r="AS588" s="82"/>
      <c r="AT588" s="82"/>
      <c r="AU588" s="82"/>
      <c r="AV588" s="82"/>
      <c r="AW588" s="7"/>
      <c r="AX588" s="82"/>
      <c r="AY588" s="7"/>
      <c r="AZ588" s="7"/>
      <c r="BA588" s="7"/>
      <c r="BB588" s="7"/>
      <c r="BC588" s="7"/>
      <c r="BD588" s="7"/>
      <c r="BE588" s="7"/>
      <c r="BF588" s="7"/>
      <c r="BG588" s="7"/>
    </row>
    <row r="589">
      <c r="A589" s="39"/>
      <c r="B589" s="39"/>
      <c r="C589" s="7"/>
      <c r="D589" s="53"/>
      <c r="E589" s="7"/>
      <c r="F589" s="53"/>
      <c r="G589" s="16"/>
      <c r="H589" s="83"/>
      <c r="J589" s="39"/>
      <c r="K589" s="53"/>
      <c r="L589" s="90"/>
      <c r="M589" s="39"/>
      <c r="N589" s="327"/>
      <c r="O589" s="322"/>
      <c r="P589" s="82"/>
      <c r="Q589" s="82"/>
      <c r="R589" s="82"/>
      <c r="S589" s="16"/>
      <c r="T589" s="16"/>
      <c r="U589" s="39"/>
      <c r="V589" s="7"/>
      <c r="W589" s="7"/>
      <c r="X589" s="93"/>
      <c r="Y589" s="131"/>
      <c r="Z589" s="131"/>
      <c r="AA589" s="131"/>
      <c r="AB589" s="131"/>
      <c r="AC589" s="131"/>
      <c r="AD589" s="323"/>
      <c r="AE589" s="131"/>
      <c r="AF589" s="90"/>
      <c r="AG589" s="87"/>
      <c r="AH589" s="39"/>
      <c r="AI589" s="87"/>
      <c r="AJ589" s="81"/>
      <c r="AK589" s="90"/>
      <c r="AL589" s="81"/>
      <c r="AM589" s="39"/>
      <c r="AN589" s="82"/>
      <c r="AO589" s="82"/>
      <c r="AP589" s="82"/>
      <c r="AQ589" s="7"/>
      <c r="AR589" s="82"/>
      <c r="AS589" s="82"/>
      <c r="AT589" s="82"/>
      <c r="AU589" s="82"/>
      <c r="AV589" s="82"/>
      <c r="AW589" s="7"/>
      <c r="AX589" s="82"/>
      <c r="AY589" s="7"/>
      <c r="AZ589" s="7"/>
      <c r="BA589" s="7"/>
      <c r="BB589" s="7"/>
      <c r="BC589" s="7"/>
      <c r="BD589" s="7"/>
      <c r="BE589" s="7"/>
      <c r="BF589" s="7"/>
      <c r="BG589" s="7"/>
    </row>
    <row r="590">
      <c r="A590" s="39"/>
      <c r="B590" s="39"/>
      <c r="C590" s="7"/>
      <c r="D590" s="53"/>
      <c r="E590" s="7"/>
      <c r="F590" s="53"/>
      <c r="G590" s="16"/>
      <c r="H590" s="16"/>
      <c r="J590" s="39"/>
      <c r="K590" s="53"/>
      <c r="L590" s="90"/>
      <c r="M590" s="39"/>
      <c r="N590" s="327"/>
      <c r="O590" s="322"/>
      <c r="P590" s="82"/>
      <c r="Q590" s="82"/>
      <c r="R590" s="82"/>
      <c r="S590" s="16"/>
      <c r="T590" s="16"/>
      <c r="U590" s="39"/>
      <c r="V590" s="7"/>
      <c r="W590" s="7"/>
      <c r="X590" s="93"/>
      <c r="Y590" s="85"/>
      <c r="Z590" s="85"/>
      <c r="AA590" s="85"/>
      <c r="AB590" s="85"/>
      <c r="AC590" s="85"/>
      <c r="AD590" s="325"/>
      <c r="AE590" s="85"/>
      <c r="AF590" s="90"/>
      <c r="AG590" s="87"/>
      <c r="AH590" s="39"/>
      <c r="AI590" s="87"/>
      <c r="AJ590" s="81"/>
      <c r="AK590" s="90"/>
      <c r="AL590" s="81"/>
      <c r="AM590" s="39"/>
      <c r="AN590" s="82"/>
      <c r="AO590" s="82"/>
      <c r="AP590" s="82"/>
      <c r="AQ590" s="7"/>
      <c r="AR590" s="82"/>
      <c r="AS590" s="82"/>
      <c r="AT590" s="82"/>
      <c r="AU590" s="82"/>
      <c r="AV590" s="82"/>
      <c r="AW590" s="7"/>
      <c r="AX590" s="82"/>
      <c r="AY590" s="7"/>
      <c r="AZ590" s="7"/>
      <c r="BA590" s="7"/>
      <c r="BB590" s="7"/>
      <c r="BC590" s="7"/>
      <c r="BD590" s="7"/>
      <c r="BE590" s="7"/>
      <c r="BF590" s="7"/>
      <c r="BG590" s="7"/>
    </row>
    <row r="591">
      <c r="A591" s="39"/>
      <c r="B591" s="39"/>
      <c r="C591" s="7"/>
      <c r="D591" s="53"/>
      <c r="E591" s="7"/>
      <c r="F591" s="53"/>
      <c r="G591" s="16"/>
      <c r="H591" s="16"/>
      <c r="J591" s="39"/>
      <c r="K591" s="53"/>
      <c r="L591" s="90"/>
      <c r="M591" s="39"/>
      <c r="N591" s="327"/>
      <c r="O591" s="368"/>
      <c r="P591" s="82"/>
      <c r="Q591" s="82"/>
      <c r="R591" s="82"/>
      <c r="S591" s="16"/>
      <c r="T591" s="16"/>
      <c r="U591" s="39"/>
      <c r="V591" s="7"/>
      <c r="W591" s="7"/>
      <c r="X591" s="93"/>
      <c r="Y591" s="85"/>
      <c r="Z591" s="85"/>
      <c r="AA591" s="85"/>
      <c r="AB591" s="85"/>
      <c r="AC591" s="85"/>
      <c r="AD591" s="325"/>
      <c r="AE591" s="85"/>
      <c r="AF591" s="90"/>
      <c r="AG591" s="87"/>
      <c r="AH591" s="39"/>
      <c r="AI591" s="87"/>
      <c r="AJ591" s="81"/>
      <c r="AK591" s="90"/>
      <c r="AL591" s="81"/>
      <c r="AM591" s="39"/>
      <c r="AN591" s="82"/>
      <c r="AO591" s="82"/>
      <c r="AP591" s="82"/>
      <c r="AQ591" s="7"/>
      <c r="AR591" s="7"/>
      <c r="AS591" s="82"/>
      <c r="AT591" s="7"/>
      <c r="AU591" s="82"/>
      <c r="AV591" s="7"/>
      <c r="AW591" s="7"/>
      <c r="AX591" s="82"/>
      <c r="AY591" s="7"/>
      <c r="AZ591" s="7"/>
      <c r="BA591" s="7"/>
      <c r="BB591" s="7"/>
      <c r="BC591" s="7"/>
      <c r="BD591" s="7"/>
      <c r="BE591" s="7"/>
      <c r="BF591" s="7"/>
      <c r="BG591" s="7"/>
    </row>
    <row r="592">
      <c r="A592" s="39"/>
      <c r="B592" s="39"/>
      <c r="C592" s="7"/>
      <c r="D592" s="53"/>
      <c r="E592" s="7"/>
      <c r="F592" s="53"/>
      <c r="G592" s="16"/>
      <c r="H592" s="16"/>
      <c r="J592" s="39"/>
      <c r="K592" s="53"/>
      <c r="L592" s="90"/>
      <c r="M592" s="39"/>
      <c r="N592" s="327"/>
      <c r="O592" s="322"/>
      <c r="P592" s="82"/>
      <c r="Q592" s="82"/>
      <c r="R592" s="82"/>
      <c r="S592" s="16"/>
      <c r="T592" s="16"/>
      <c r="U592" s="39"/>
      <c r="V592" s="7"/>
      <c r="W592" s="7"/>
      <c r="X592" s="93"/>
      <c r="Y592" s="85"/>
      <c r="Z592" s="85"/>
      <c r="AA592" s="85"/>
      <c r="AB592" s="85"/>
      <c r="AC592" s="85"/>
      <c r="AD592" s="325"/>
      <c r="AE592" s="85"/>
      <c r="AF592" s="90"/>
      <c r="AG592" s="87"/>
      <c r="AH592" s="39"/>
      <c r="AI592" s="87"/>
      <c r="AJ592" s="81"/>
      <c r="AK592" s="90"/>
      <c r="AL592" s="81"/>
      <c r="AM592" s="16"/>
      <c r="AN592" s="82"/>
      <c r="AO592" s="82"/>
      <c r="AP592" s="82"/>
      <c r="AQ592" s="7"/>
      <c r="AR592" s="82"/>
      <c r="AS592" s="82"/>
      <c r="AT592" s="82"/>
      <c r="AU592" s="82"/>
      <c r="AV592" s="82"/>
      <c r="AW592" s="7"/>
      <c r="AX592" s="82"/>
      <c r="AY592" s="7"/>
      <c r="AZ592" s="7"/>
      <c r="BA592" s="7"/>
      <c r="BB592" s="7"/>
      <c r="BC592" s="7"/>
      <c r="BD592" s="7"/>
      <c r="BE592" s="7"/>
      <c r="BF592" s="7"/>
      <c r="BG592" s="7"/>
    </row>
    <row r="593">
      <c r="A593" s="39"/>
      <c r="B593" s="39"/>
      <c r="C593" s="7"/>
      <c r="D593" s="53"/>
      <c r="E593" s="7"/>
      <c r="F593" s="53"/>
      <c r="G593" s="16"/>
      <c r="H593" s="81"/>
      <c r="J593" s="39"/>
      <c r="K593" s="53"/>
      <c r="L593" s="90"/>
      <c r="M593" s="39"/>
      <c r="N593" s="327"/>
      <c r="O593" s="367"/>
      <c r="P593" s="7"/>
      <c r="Q593" s="7"/>
      <c r="R593" s="82"/>
      <c r="S593" s="16"/>
      <c r="T593" s="16"/>
      <c r="U593" s="39"/>
      <c r="V593" s="7"/>
      <c r="W593" s="7"/>
      <c r="X593" s="93"/>
      <c r="Y593" s="131"/>
      <c r="Z593" s="131"/>
      <c r="AA593" s="131"/>
      <c r="AB593" s="131"/>
      <c r="AC593" s="131"/>
      <c r="AD593" s="323"/>
      <c r="AE593" s="131"/>
      <c r="AF593" s="90"/>
      <c r="AG593" s="87"/>
      <c r="AH593" s="39"/>
      <c r="AI593" s="87"/>
      <c r="AJ593" s="81"/>
      <c r="AK593" s="90"/>
      <c r="AL593" s="81"/>
      <c r="AM593" s="39"/>
      <c r="AN593" s="82"/>
      <c r="AO593" s="82"/>
      <c r="AP593" s="82"/>
      <c r="AQ593" s="7"/>
      <c r="AR593" s="7"/>
      <c r="AS593" s="7"/>
      <c r="AT593" s="7"/>
      <c r="AU593" s="7"/>
      <c r="AV593" s="7"/>
      <c r="AW593" s="7"/>
      <c r="AX593" s="82"/>
      <c r="AY593" s="7"/>
      <c r="AZ593" s="7"/>
      <c r="BA593" s="7"/>
      <c r="BB593" s="7"/>
      <c r="BC593" s="7"/>
      <c r="BD593" s="7"/>
      <c r="BE593" s="7"/>
      <c r="BF593" s="7"/>
      <c r="BG593" s="7"/>
    </row>
    <row r="594">
      <c r="A594" s="39"/>
      <c r="B594" s="39"/>
      <c r="C594" s="7"/>
      <c r="D594" s="53"/>
      <c r="E594" s="7"/>
      <c r="F594" s="53"/>
      <c r="G594" s="16"/>
      <c r="H594" s="81"/>
      <c r="J594" s="39"/>
      <c r="K594" s="53"/>
      <c r="L594" s="90"/>
      <c r="M594" s="39"/>
      <c r="N594" s="327"/>
      <c r="O594" s="367"/>
      <c r="P594" s="82"/>
      <c r="Q594" s="82"/>
      <c r="R594" s="82"/>
      <c r="S594" s="16"/>
      <c r="T594" s="16"/>
      <c r="U594" s="39"/>
      <c r="V594" s="7"/>
      <c r="W594" s="7"/>
      <c r="X594" s="93"/>
      <c r="Y594" s="131"/>
      <c r="Z594" s="131"/>
      <c r="AA594" s="131"/>
      <c r="AB594" s="131"/>
      <c r="AC594" s="131"/>
      <c r="AD594" s="323"/>
      <c r="AE594" s="131"/>
      <c r="AF594" s="90"/>
      <c r="AG594" s="87"/>
      <c r="AH594" s="39"/>
      <c r="AI594" s="87"/>
      <c r="AJ594" s="81"/>
      <c r="AK594" s="90"/>
      <c r="AL594" s="81"/>
      <c r="AM594" s="39"/>
      <c r="AN594" s="82"/>
      <c r="AO594" s="82"/>
      <c r="AP594" s="82"/>
      <c r="AQ594" s="7"/>
      <c r="AR594" s="82"/>
      <c r="AS594" s="82"/>
      <c r="AT594" s="82"/>
      <c r="AU594" s="82"/>
      <c r="AV594" s="82"/>
      <c r="AW594" s="7"/>
      <c r="AX594" s="82"/>
      <c r="AY594" s="7"/>
      <c r="AZ594" s="7"/>
      <c r="BA594" s="7"/>
      <c r="BB594" s="7"/>
      <c r="BC594" s="7"/>
      <c r="BD594" s="7"/>
      <c r="BE594" s="7"/>
      <c r="BF594" s="7"/>
      <c r="BG594" s="7"/>
    </row>
    <row r="595">
      <c r="A595" s="39"/>
      <c r="B595" s="39"/>
      <c r="C595" s="7"/>
      <c r="D595" s="53"/>
      <c r="E595" s="7"/>
      <c r="F595" s="53"/>
      <c r="G595" s="16"/>
      <c r="H595" s="81"/>
      <c r="J595" s="39"/>
      <c r="K595" s="53"/>
      <c r="L595" s="90"/>
      <c r="M595" s="39"/>
      <c r="N595" s="327"/>
      <c r="O595" s="367"/>
      <c r="P595" s="82"/>
      <c r="Q595" s="82"/>
      <c r="R595" s="82"/>
      <c r="S595" s="16"/>
      <c r="T595" s="16"/>
      <c r="U595" s="39"/>
      <c r="V595" s="7"/>
      <c r="W595" s="7"/>
      <c r="X595" s="93"/>
      <c r="Y595" s="131"/>
      <c r="Z595" s="131"/>
      <c r="AA595" s="131"/>
      <c r="AB595" s="131"/>
      <c r="AC595" s="131"/>
      <c r="AD595" s="323"/>
      <c r="AE595" s="131"/>
      <c r="AF595" s="90"/>
      <c r="AG595" s="87"/>
      <c r="AH595" s="39"/>
      <c r="AI595" s="87"/>
      <c r="AJ595" s="81"/>
      <c r="AK595" s="90"/>
      <c r="AL595" s="81"/>
      <c r="AM595" s="39"/>
      <c r="AN595" s="82"/>
      <c r="AO595" s="82"/>
      <c r="AP595" s="82"/>
      <c r="AQ595" s="7"/>
      <c r="AR595" s="82"/>
      <c r="AS595" s="82"/>
      <c r="AT595" s="82"/>
      <c r="AU595" s="82"/>
      <c r="AV595" s="82"/>
      <c r="AW595" s="7"/>
      <c r="AX595" s="82"/>
      <c r="AY595" s="7"/>
      <c r="AZ595" s="7"/>
      <c r="BA595" s="7"/>
      <c r="BB595" s="7"/>
      <c r="BC595" s="7"/>
      <c r="BD595" s="7"/>
      <c r="BE595" s="7"/>
      <c r="BF595" s="7"/>
      <c r="BG595" s="7"/>
    </row>
    <row r="596">
      <c r="A596" s="39"/>
      <c r="B596" s="39"/>
      <c r="C596" s="7"/>
      <c r="D596" s="53"/>
      <c r="E596" s="7"/>
      <c r="F596" s="53"/>
      <c r="G596" s="16"/>
      <c r="H596" s="81"/>
      <c r="J596" s="39"/>
      <c r="K596" s="53"/>
      <c r="L596" s="90"/>
      <c r="M596" s="39"/>
      <c r="N596" s="327"/>
      <c r="O596" s="367"/>
      <c r="P596" s="82"/>
      <c r="Q596" s="82"/>
      <c r="R596" s="82"/>
      <c r="S596" s="16"/>
      <c r="T596" s="16"/>
      <c r="U596" s="39"/>
      <c r="V596" s="7"/>
      <c r="W596" s="7"/>
      <c r="X596" s="93"/>
      <c r="Y596" s="131"/>
      <c r="Z596" s="131"/>
      <c r="AA596" s="131"/>
      <c r="AB596" s="131"/>
      <c r="AC596" s="131"/>
      <c r="AD596" s="323"/>
      <c r="AE596" s="131"/>
      <c r="AF596" s="90"/>
      <c r="AG596" s="87"/>
      <c r="AH596" s="39"/>
      <c r="AI596" s="87"/>
      <c r="AJ596" s="81"/>
      <c r="AK596" s="90"/>
      <c r="AL596" s="81"/>
      <c r="AM596" s="39"/>
      <c r="AN596" s="82"/>
      <c r="AO596" s="82"/>
      <c r="AP596" s="82"/>
      <c r="AQ596" s="7"/>
      <c r="AR596" s="82"/>
      <c r="AS596" s="82"/>
      <c r="AT596" s="82"/>
      <c r="AU596" s="82"/>
      <c r="AV596" s="82"/>
      <c r="AW596" s="7"/>
      <c r="AX596" s="82"/>
      <c r="AY596" s="7"/>
      <c r="AZ596" s="7"/>
      <c r="BA596" s="7"/>
      <c r="BB596" s="7"/>
      <c r="BC596" s="7"/>
      <c r="BD596" s="7"/>
      <c r="BE596" s="7"/>
      <c r="BF596" s="7"/>
      <c r="BG596" s="7"/>
    </row>
    <row r="597">
      <c r="A597" s="39"/>
      <c r="B597" s="39"/>
      <c r="C597" s="7"/>
      <c r="D597" s="53"/>
      <c r="E597" s="7"/>
      <c r="F597" s="53"/>
      <c r="G597" s="16"/>
      <c r="H597" s="81"/>
      <c r="J597" s="39"/>
      <c r="K597" s="53"/>
      <c r="L597" s="90"/>
      <c r="M597" s="39"/>
      <c r="N597" s="327"/>
      <c r="O597" s="322"/>
      <c r="P597" s="82"/>
      <c r="Q597" s="82"/>
      <c r="R597" s="82"/>
      <c r="S597" s="16"/>
      <c r="T597" s="16"/>
      <c r="U597" s="39"/>
      <c r="V597" s="7"/>
      <c r="W597" s="7"/>
      <c r="X597" s="93"/>
      <c r="Y597" s="131"/>
      <c r="Z597" s="131"/>
      <c r="AA597" s="131"/>
      <c r="AB597" s="131"/>
      <c r="AC597" s="131"/>
      <c r="AD597" s="323"/>
      <c r="AE597" s="131"/>
      <c r="AF597" s="90"/>
      <c r="AG597" s="87"/>
      <c r="AH597" s="39"/>
      <c r="AI597" s="87"/>
      <c r="AJ597" s="81"/>
      <c r="AK597" s="90"/>
      <c r="AL597" s="81"/>
      <c r="AM597" s="39"/>
      <c r="AN597" s="82"/>
      <c r="AO597" s="82"/>
      <c r="AP597" s="82"/>
      <c r="AQ597" s="7"/>
      <c r="AR597" s="82"/>
      <c r="AS597" s="82"/>
      <c r="AT597" s="82"/>
      <c r="AU597" s="82"/>
      <c r="AV597" s="82"/>
      <c r="AW597" s="7"/>
      <c r="AX597" s="82"/>
      <c r="AY597" s="7"/>
      <c r="AZ597" s="7"/>
      <c r="BA597" s="7"/>
      <c r="BB597" s="7"/>
      <c r="BC597" s="7"/>
      <c r="BD597" s="7"/>
      <c r="BE597" s="7"/>
      <c r="BF597" s="7"/>
      <c r="BG597" s="7"/>
    </row>
    <row r="598">
      <c r="A598" s="39"/>
      <c r="B598" s="39"/>
      <c r="C598" s="7"/>
      <c r="D598" s="53"/>
      <c r="E598" s="7"/>
      <c r="F598" s="53"/>
      <c r="G598" s="16"/>
      <c r="H598" s="81"/>
      <c r="J598" s="39"/>
      <c r="K598" s="53"/>
      <c r="L598" s="90"/>
      <c r="M598" s="39"/>
      <c r="N598" s="327"/>
      <c r="O598" s="368"/>
      <c r="P598" s="7"/>
      <c r="Q598" s="7"/>
      <c r="R598" s="82"/>
      <c r="S598" s="16"/>
      <c r="T598" s="16"/>
      <c r="U598" s="39"/>
      <c r="V598" s="7"/>
      <c r="W598" s="7"/>
      <c r="X598" s="93"/>
      <c r="Y598" s="131"/>
      <c r="Z598" s="131"/>
      <c r="AA598" s="131"/>
      <c r="AB598" s="131"/>
      <c r="AC598" s="131"/>
      <c r="AD598" s="323"/>
      <c r="AE598" s="131"/>
      <c r="AF598" s="90"/>
      <c r="AG598" s="87"/>
      <c r="AH598" s="39"/>
      <c r="AI598" s="87"/>
      <c r="AJ598" s="81"/>
      <c r="AK598" s="90"/>
      <c r="AL598" s="81"/>
      <c r="AM598" s="39"/>
      <c r="AN598" s="82"/>
      <c r="AO598" s="82"/>
      <c r="AP598" s="82"/>
      <c r="AQ598" s="7"/>
      <c r="AR598" s="7"/>
      <c r="AS598" s="7"/>
      <c r="AT598" s="7"/>
      <c r="AU598" s="7"/>
      <c r="AV598" s="7"/>
      <c r="AW598" s="7"/>
      <c r="AX598" s="82"/>
      <c r="AY598" s="7"/>
      <c r="AZ598" s="7"/>
      <c r="BA598" s="7"/>
      <c r="BB598" s="7"/>
      <c r="BC598" s="7"/>
      <c r="BD598" s="7"/>
      <c r="BE598" s="7"/>
      <c r="BF598" s="7"/>
      <c r="BG598" s="7"/>
    </row>
    <row r="599">
      <c r="A599" s="39"/>
      <c r="B599" s="39"/>
      <c r="C599" s="7"/>
      <c r="D599" s="53"/>
      <c r="E599" s="7"/>
      <c r="F599" s="53"/>
      <c r="G599" s="16"/>
      <c r="H599" s="81"/>
      <c r="J599" s="39"/>
      <c r="K599" s="53"/>
      <c r="L599" s="90"/>
      <c r="M599" s="39"/>
      <c r="N599" s="327"/>
      <c r="O599" s="367"/>
      <c r="P599" s="82"/>
      <c r="Q599" s="82"/>
      <c r="R599" s="82"/>
      <c r="S599" s="16"/>
      <c r="T599" s="16"/>
      <c r="U599" s="39"/>
      <c r="V599" s="7"/>
      <c r="W599" s="7"/>
      <c r="X599" s="93"/>
      <c r="Y599" s="131"/>
      <c r="Z599" s="131"/>
      <c r="AA599" s="131"/>
      <c r="AB599" s="131"/>
      <c r="AC599" s="131"/>
      <c r="AD599" s="323"/>
      <c r="AE599" s="131"/>
      <c r="AF599" s="90"/>
      <c r="AG599" s="87"/>
      <c r="AH599" s="39"/>
      <c r="AI599" s="87"/>
      <c r="AJ599" s="81"/>
      <c r="AK599" s="90"/>
      <c r="AL599" s="81"/>
      <c r="AM599" s="39"/>
      <c r="AN599" s="82"/>
      <c r="AO599" s="82"/>
      <c r="AP599" s="82"/>
      <c r="AQ599" s="82"/>
      <c r="AR599" s="82"/>
      <c r="AS599" s="82"/>
      <c r="AT599" s="82"/>
      <c r="AU599" s="82"/>
      <c r="AV599" s="82"/>
      <c r="AW599" s="7"/>
      <c r="AX599" s="82"/>
      <c r="AY599" s="7"/>
      <c r="AZ599" s="7"/>
      <c r="BA599" s="7"/>
      <c r="BB599" s="7"/>
      <c r="BC599" s="7"/>
      <c r="BD599" s="7"/>
      <c r="BE599" s="7"/>
      <c r="BF599" s="7"/>
      <c r="BG599" s="7"/>
    </row>
    <row r="600">
      <c r="A600" s="39"/>
      <c r="B600" s="39"/>
      <c r="C600" s="7"/>
      <c r="D600" s="53"/>
      <c r="E600" s="7"/>
      <c r="F600" s="53"/>
      <c r="G600" s="16"/>
      <c r="H600" s="81"/>
      <c r="J600" s="39"/>
      <c r="K600" s="53"/>
      <c r="L600" s="90"/>
      <c r="M600" s="39"/>
      <c r="N600" s="327"/>
      <c r="O600" s="367"/>
      <c r="P600" s="82"/>
      <c r="Q600" s="82"/>
      <c r="R600" s="82"/>
      <c r="S600" s="16"/>
      <c r="T600" s="16"/>
      <c r="U600" s="39"/>
      <c r="V600" s="7"/>
      <c r="W600" s="7"/>
      <c r="X600" s="93"/>
      <c r="Y600" s="131"/>
      <c r="Z600" s="131"/>
      <c r="AA600" s="131"/>
      <c r="AB600" s="131"/>
      <c r="AC600" s="131"/>
      <c r="AD600" s="323"/>
      <c r="AE600" s="131"/>
      <c r="AF600" s="90"/>
      <c r="AG600" s="87"/>
      <c r="AH600" s="39"/>
      <c r="AI600" s="87"/>
      <c r="AJ600" s="81"/>
      <c r="AK600" s="90"/>
      <c r="AL600" s="81"/>
      <c r="AM600" s="39"/>
      <c r="AN600" s="82"/>
      <c r="AO600" s="82"/>
      <c r="AP600" s="82"/>
      <c r="AQ600" s="82"/>
      <c r="AR600" s="82"/>
      <c r="AS600" s="82"/>
      <c r="AT600" s="82"/>
      <c r="AU600" s="82"/>
      <c r="AV600" s="82"/>
      <c r="AW600" s="7"/>
      <c r="AX600" s="82"/>
      <c r="AY600" s="7"/>
      <c r="AZ600" s="7"/>
      <c r="BA600" s="7"/>
      <c r="BB600" s="7"/>
      <c r="BC600" s="7"/>
      <c r="BD600" s="7"/>
      <c r="BE600" s="7"/>
      <c r="BF600" s="7"/>
      <c r="BG600" s="7"/>
    </row>
    <row r="601">
      <c r="A601" s="39"/>
      <c r="B601" s="39"/>
      <c r="C601" s="7"/>
      <c r="D601" s="53"/>
      <c r="E601" s="7"/>
      <c r="F601" s="53"/>
      <c r="G601" s="16"/>
      <c r="H601" s="81"/>
      <c r="J601" s="39"/>
      <c r="K601" s="148"/>
      <c r="L601" s="90"/>
      <c r="M601" s="39"/>
      <c r="N601" s="327"/>
      <c r="O601" s="367"/>
      <c r="P601" s="82"/>
      <c r="Q601" s="82"/>
      <c r="R601" s="82"/>
      <c r="S601" s="16"/>
      <c r="T601" s="16"/>
      <c r="U601" s="39"/>
      <c r="V601" s="7"/>
      <c r="W601" s="7"/>
      <c r="X601" s="93"/>
      <c r="Y601" s="131"/>
      <c r="Z601" s="131"/>
      <c r="AA601" s="131"/>
      <c r="AB601" s="131"/>
      <c r="AC601" s="131"/>
      <c r="AD601" s="323"/>
      <c r="AE601" s="131"/>
      <c r="AF601" s="90"/>
      <c r="AG601" s="87"/>
      <c r="AH601" s="39"/>
      <c r="AI601" s="87"/>
      <c r="AJ601" s="81"/>
      <c r="AK601" s="90"/>
      <c r="AL601" s="81"/>
      <c r="AM601" s="39"/>
      <c r="AN601" s="82"/>
      <c r="AO601" s="82"/>
      <c r="AP601" s="82"/>
      <c r="AQ601" s="82"/>
      <c r="AR601" s="82"/>
      <c r="AS601" s="82"/>
      <c r="AT601" s="82"/>
      <c r="AU601" s="82"/>
      <c r="AV601" s="82"/>
      <c r="AW601" s="7"/>
      <c r="AX601" s="82"/>
      <c r="AY601" s="82"/>
      <c r="AZ601" s="7"/>
      <c r="BA601" s="7"/>
      <c r="BB601" s="7"/>
      <c r="BC601" s="7"/>
      <c r="BD601" s="7"/>
      <c r="BE601" s="7"/>
      <c r="BF601" s="7"/>
      <c r="BG601" s="7"/>
    </row>
    <row r="602">
      <c r="A602" s="39"/>
      <c r="B602" s="39"/>
      <c r="C602" s="7"/>
      <c r="D602" s="53"/>
      <c r="E602" s="7"/>
      <c r="F602" s="53"/>
      <c r="G602" s="16"/>
      <c r="H602" s="81"/>
      <c r="J602" s="39"/>
      <c r="K602" s="53"/>
      <c r="L602" s="90"/>
      <c r="M602" s="39"/>
      <c r="N602" s="327"/>
      <c r="O602" s="367"/>
      <c r="P602" s="82"/>
      <c r="Q602" s="82"/>
      <c r="R602" s="82"/>
      <c r="S602" s="16"/>
      <c r="T602" s="16"/>
      <c r="U602" s="39"/>
      <c r="V602" s="7"/>
      <c r="W602" s="7"/>
      <c r="X602" s="93"/>
      <c r="Y602" s="131"/>
      <c r="Z602" s="131"/>
      <c r="AA602" s="131"/>
      <c r="AB602" s="131"/>
      <c r="AC602" s="131"/>
      <c r="AD602" s="323"/>
      <c r="AE602" s="131"/>
      <c r="AF602" s="90"/>
      <c r="AG602" s="87"/>
      <c r="AH602" s="39"/>
      <c r="AI602" s="87"/>
      <c r="AJ602" s="81"/>
      <c r="AK602" s="90"/>
      <c r="AL602" s="81"/>
      <c r="AM602" s="39"/>
      <c r="AN602" s="82"/>
      <c r="AO602" s="82"/>
      <c r="AP602" s="82"/>
      <c r="AQ602" s="82"/>
      <c r="AR602" s="7"/>
      <c r="AS602" s="82"/>
      <c r="AT602" s="7"/>
      <c r="AU602" s="82"/>
      <c r="AV602" s="7"/>
      <c r="AW602" s="7"/>
      <c r="AX602" s="82"/>
      <c r="AY602" s="82"/>
      <c r="AZ602" s="7"/>
      <c r="BA602" s="7"/>
      <c r="BB602" s="7"/>
      <c r="BC602" s="7"/>
      <c r="BD602" s="7"/>
      <c r="BE602" s="7"/>
      <c r="BF602" s="7"/>
      <c r="BG602" s="7"/>
    </row>
    <row r="603">
      <c r="A603" s="39"/>
      <c r="B603" s="39"/>
      <c r="C603" s="7"/>
      <c r="D603" s="53"/>
      <c r="E603" s="7"/>
      <c r="F603" s="53"/>
      <c r="G603" s="16"/>
      <c r="H603" s="81"/>
      <c r="J603" s="39"/>
      <c r="K603" s="148"/>
      <c r="L603" s="90"/>
      <c r="M603" s="39"/>
      <c r="N603" s="327"/>
      <c r="O603" s="367"/>
      <c r="P603" s="82"/>
      <c r="Q603" s="82"/>
      <c r="R603" s="82"/>
      <c r="S603" s="16"/>
      <c r="T603" s="16"/>
      <c r="U603" s="39"/>
      <c r="V603" s="7"/>
      <c r="W603" s="7"/>
      <c r="X603" s="93"/>
      <c r="Y603" s="131"/>
      <c r="Z603" s="131"/>
      <c r="AA603" s="131"/>
      <c r="AB603" s="131"/>
      <c r="AC603" s="131"/>
      <c r="AD603" s="323"/>
      <c r="AE603" s="131"/>
      <c r="AF603" s="90"/>
      <c r="AG603" s="21"/>
      <c r="AH603" s="39"/>
      <c r="AI603" s="87"/>
      <c r="AJ603" s="81"/>
      <c r="AK603" s="90"/>
      <c r="AL603" s="81"/>
      <c r="AM603" s="39"/>
      <c r="AN603" s="82"/>
      <c r="AO603" s="82"/>
      <c r="AP603" s="82"/>
      <c r="AQ603" s="7"/>
      <c r="AR603" s="82"/>
      <c r="AS603" s="82"/>
      <c r="AT603" s="82"/>
      <c r="AU603" s="82"/>
      <c r="AV603" s="82"/>
      <c r="AW603" s="7"/>
      <c r="AX603" s="82"/>
      <c r="AY603" s="82"/>
      <c r="AZ603" s="7"/>
      <c r="BA603" s="7"/>
      <c r="BB603" s="7"/>
      <c r="BC603" s="7"/>
      <c r="BD603" s="7"/>
      <c r="BE603" s="7"/>
      <c r="BF603" s="7"/>
      <c r="BG603" s="7"/>
    </row>
    <row r="604">
      <c r="A604" s="39"/>
      <c r="B604" s="39"/>
      <c r="C604" s="7"/>
      <c r="D604" s="53"/>
      <c r="E604" s="7"/>
      <c r="F604" s="53"/>
      <c r="G604" s="16"/>
      <c r="H604" s="81"/>
      <c r="J604" s="39"/>
      <c r="K604" s="148"/>
      <c r="L604" s="90"/>
      <c r="M604" s="39"/>
      <c r="N604" s="327"/>
      <c r="O604" s="368"/>
      <c r="P604" s="82"/>
      <c r="Q604" s="82"/>
      <c r="R604" s="82"/>
      <c r="S604" s="16"/>
      <c r="T604" s="14"/>
      <c r="U604" s="39"/>
      <c r="V604" s="7"/>
      <c r="W604" s="7"/>
      <c r="X604" s="93"/>
      <c r="Y604" s="131"/>
      <c r="Z604" s="131"/>
      <c r="AA604" s="131"/>
      <c r="AB604" s="131"/>
      <c r="AC604" s="131"/>
      <c r="AD604" s="323"/>
      <c r="AE604" s="131"/>
      <c r="AF604" s="90"/>
      <c r="AG604" s="21"/>
      <c r="AH604" s="39"/>
      <c r="AI604" s="87"/>
      <c r="AJ604" s="81"/>
      <c r="AK604" s="90"/>
      <c r="AL604" s="81"/>
      <c r="AM604" s="39"/>
      <c r="AN604" s="82"/>
      <c r="AO604" s="82"/>
      <c r="AP604" s="82"/>
      <c r="AQ604" s="7"/>
      <c r="AR604" s="82"/>
      <c r="AS604" s="7"/>
      <c r="AT604" s="82"/>
      <c r="AU604" s="7"/>
      <c r="AV604" s="82"/>
      <c r="AW604" s="7"/>
      <c r="AX604" s="82"/>
      <c r="AY604" s="82"/>
      <c r="AZ604" s="7"/>
      <c r="BA604" s="7"/>
      <c r="BB604" s="7"/>
      <c r="BC604" s="7"/>
      <c r="BD604" s="7"/>
      <c r="BE604" s="7"/>
      <c r="BF604" s="7"/>
      <c r="BG604" s="7"/>
    </row>
    <row r="605">
      <c r="A605" s="39"/>
      <c r="B605" s="39"/>
      <c r="C605" s="7"/>
      <c r="D605" s="53"/>
      <c r="E605" s="7"/>
      <c r="F605" s="53"/>
      <c r="G605" s="16"/>
      <c r="H605" s="81"/>
      <c r="J605" s="39"/>
      <c r="K605" s="148"/>
      <c r="L605" s="90"/>
      <c r="M605" s="39"/>
      <c r="N605" s="327"/>
      <c r="O605" s="367"/>
      <c r="P605" s="82"/>
      <c r="Q605" s="82"/>
      <c r="R605" s="82"/>
      <c r="S605" s="16"/>
      <c r="T605" s="16"/>
      <c r="U605" s="39"/>
      <c r="V605" s="7"/>
      <c r="W605" s="7"/>
      <c r="X605" s="93"/>
      <c r="Y605" s="131"/>
      <c r="Z605" s="131"/>
      <c r="AA605" s="131"/>
      <c r="AB605" s="131"/>
      <c r="AC605" s="131"/>
      <c r="AD605" s="323"/>
      <c r="AE605" s="131"/>
      <c r="AF605" s="90"/>
      <c r="AG605" s="21"/>
      <c r="AH605" s="39"/>
      <c r="AI605" s="21"/>
      <c r="AJ605" s="16"/>
      <c r="AK605" s="90"/>
      <c r="AL605" s="16"/>
      <c r="AM605" s="39"/>
      <c r="AN605" s="82"/>
      <c r="AO605" s="82"/>
      <c r="AP605" s="82"/>
      <c r="AQ605" s="7"/>
      <c r="AR605" s="82"/>
      <c r="AS605" s="82"/>
      <c r="AT605" s="82"/>
      <c r="AU605" s="82"/>
      <c r="AV605" s="82"/>
      <c r="AW605" s="7"/>
      <c r="AX605" s="82"/>
      <c r="AY605" s="82"/>
      <c r="AZ605" s="7"/>
      <c r="BA605" s="7"/>
      <c r="BB605" s="7"/>
      <c r="BC605" s="7"/>
      <c r="BD605" s="7"/>
      <c r="BE605" s="7"/>
      <c r="BF605" s="7"/>
      <c r="BG605" s="7"/>
    </row>
    <row r="606">
      <c r="A606" s="39"/>
      <c r="B606" s="39"/>
      <c r="C606" s="7"/>
      <c r="D606" s="53"/>
      <c r="E606" s="7"/>
      <c r="F606" s="53"/>
      <c r="G606" s="16"/>
      <c r="H606" s="81"/>
      <c r="J606" s="39"/>
      <c r="K606" s="53"/>
      <c r="L606" s="90"/>
      <c r="M606" s="39"/>
      <c r="N606" s="327"/>
      <c r="O606" s="368"/>
      <c r="P606" s="7"/>
      <c r="Q606" s="7"/>
      <c r="R606" s="82"/>
      <c r="S606" s="16"/>
      <c r="T606" s="16"/>
      <c r="U606" s="39"/>
      <c r="V606" s="7"/>
      <c r="W606" s="7"/>
      <c r="X606" s="93"/>
      <c r="Y606" s="131"/>
      <c r="Z606" s="131"/>
      <c r="AA606" s="131"/>
      <c r="AB606" s="131"/>
      <c r="AC606" s="131"/>
      <c r="AD606" s="323"/>
      <c r="AE606" s="131"/>
      <c r="AF606" s="90"/>
      <c r="AG606" s="21"/>
      <c r="AH606" s="39"/>
      <c r="AI606" s="87"/>
      <c r="AJ606" s="81"/>
      <c r="AK606" s="90"/>
      <c r="AL606" s="81"/>
      <c r="AM606" s="39"/>
      <c r="AN606" s="82"/>
      <c r="AO606" s="82"/>
      <c r="AP606" s="82"/>
      <c r="AQ606" s="7"/>
      <c r="AR606" s="7"/>
      <c r="AS606" s="7"/>
      <c r="AT606" s="7"/>
      <c r="AU606" s="7"/>
      <c r="AV606" s="7"/>
      <c r="AW606" s="7"/>
      <c r="AX606" s="82"/>
      <c r="AY606" s="7"/>
      <c r="AZ606" s="7"/>
      <c r="BA606" s="7"/>
      <c r="BB606" s="7"/>
      <c r="BC606" s="7"/>
      <c r="BD606" s="7"/>
      <c r="BE606" s="7"/>
      <c r="BF606" s="7"/>
      <c r="BG606" s="7"/>
    </row>
    <row r="607">
      <c r="A607" s="39"/>
      <c r="B607" s="39"/>
      <c r="C607" s="7"/>
      <c r="D607" s="53"/>
      <c r="E607" s="7"/>
      <c r="F607" s="53"/>
      <c r="G607" s="16"/>
      <c r="H607" s="81"/>
      <c r="J607" s="39"/>
      <c r="K607" s="53"/>
      <c r="L607" s="90"/>
      <c r="M607" s="39"/>
      <c r="N607" s="327"/>
      <c r="O607" s="367"/>
      <c r="P607" s="82"/>
      <c r="Q607" s="82"/>
      <c r="R607" s="82"/>
      <c r="S607" s="16"/>
      <c r="T607" s="16"/>
      <c r="U607" s="39"/>
      <c r="V607" s="7"/>
      <c r="W607" s="7"/>
      <c r="X607" s="93"/>
      <c r="Y607" s="131"/>
      <c r="Z607" s="131"/>
      <c r="AA607" s="131"/>
      <c r="AB607" s="131"/>
      <c r="AC607" s="131"/>
      <c r="AD607" s="323"/>
      <c r="AE607" s="131"/>
      <c r="AF607" s="90"/>
      <c r="AG607" s="21"/>
      <c r="AH607" s="39"/>
      <c r="AI607" s="87"/>
      <c r="AJ607" s="81"/>
      <c r="AK607" s="90"/>
      <c r="AL607" s="81"/>
      <c r="AM607" s="39"/>
      <c r="AN607" s="82"/>
      <c r="AO607" s="82"/>
      <c r="AP607" s="82"/>
      <c r="AQ607" s="7"/>
      <c r="AR607" s="82"/>
      <c r="AS607" s="82"/>
      <c r="AT607" s="82"/>
      <c r="AU607" s="82"/>
      <c r="AV607" s="82"/>
      <c r="AW607" s="7"/>
      <c r="AX607" s="82"/>
      <c r="AY607" s="7"/>
      <c r="AZ607" s="7"/>
      <c r="BA607" s="7"/>
      <c r="BB607" s="7"/>
      <c r="BC607" s="7"/>
      <c r="BD607" s="7"/>
      <c r="BE607" s="7"/>
      <c r="BF607" s="7"/>
      <c r="BG607" s="7"/>
    </row>
    <row r="608">
      <c r="A608" s="39"/>
      <c r="B608" s="39"/>
      <c r="C608" s="7"/>
      <c r="D608" s="53"/>
      <c r="E608" s="7"/>
      <c r="F608" s="53"/>
      <c r="G608" s="16"/>
      <c r="H608" s="81"/>
      <c r="J608" s="39"/>
      <c r="K608" s="53"/>
      <c r="L608" s="90"/>
      <c r="M608" s="39"/>
      <c r="N608" s="327"/>
      <c r="O608" s="367"/>
      <c r="P608" s="82"/>
      <c r="Q608" s="82"/>
      <c r="R608" s="82"/>
      <c r="S608" s="16"/>
      <c r="T608" s="16"/>
      <c r="U608" s="39"/>
      <c r="V608" s="7"/>
      <c r="W608" s="7"/>
      <c r="X608" s="93"/>
      <c r="Y608" s="131"/>
      <c r="Z608" s="131"/>
      <c r="AA608" s="131"/>
      <c r="AB608" s="131"/>
      <c r="AC608" s="131"/>
      <c r="AD608" s="323"/>
      <c r="AE608" s="131"/>
      <c r="AF608" s="90"/>
      <c r="AG608" s="21"/>
      <c r="AH608" s="39"/>
      <c r="AI608" s="87"/>
      <c r="AJ608" s="81"/>
      <c r="AK608" s="90"/>
      <c r="AL608" s="81"/>
      <c r="AM608" s="39"/>
      <c r="AN608" s="82"/>
      <c r="AO608" s="82"/>
      <c r="AP608" s="82"/>
      <c r="AQ608" s="7"/>
      <c r="AR608" s="82"/>
      <c r="AS608" s="82"/>
      <c r="AT608" s="82"/>
      <c r="AU608" s="82"/>
      <c r="AV608" s="82"/>
      <c r="AW608" s="7"/>
      <c r="AX608" s="82"/>
      <c r="AY608" s="7"/>
      <c r="AZ608" s="7"/>
      <c r="BA608" s="7"/>
      <c r="BB608" s="7"/>
      <c r="BC608" s="7"/>
      <c r="BD608" s="7"/>
      <c r="BE608" s="7"/>
      <c r="BF608" s="7"/>
      <c r="BG608" s="7"/>
    </row>
    <row r="609">
      <c r="A609" s="39"/>
      <c r="B609" s="39"/>
      <c r="C609" s="7"/>
      <c r="D609" s="53"/>
      <c r="E609" s="7"/>
      <c r="F609" s="53"/>
      <c r="G609" s="16"/>
      <c r="H609" s="81"/>
      <c r="J609" s="39"/>
      <c r="K609" s="53"/>
      <c r="L609" s="90"/>
      <c r="M609" s="39"/>
      <c r="N609" s="327"/>
      <c r="O609" s="367"/>
      <c r="P609" s="82"/>
      <c r="Q609" s="82"/>
      <c r="R609" s="82"/>
      <c r="S609" s="16"/>
      <c r="T609" s="16"/>
      <c r="U609" s="39"/>
      <c r="V609" s="7"/>
      <c r="W609" s="7"/>
      <c r="X609" s="93"/>
      <c r="Y609" s="131"/>
      <c r="Z609" s="131"/>
      <c r="AA609" s="131"/>
      <c r="AB609" s="131"/>
      <c r="AC609" s="131"/>
      <c r="AD609" s="323"/>
      <c r="AE609" s="131"/>
      <c r="AF609" s="90"/>
      <c r="AG609" s="21"/>
      <c r="AH609" s="39"/>
      <c r="AI609" s="87"/>
      <c r="AJ609" s="81"/>
      <c r="AK609" s="90"/>
      <c r="AL609" s="81"/>
      <c r="AM609" s="39"/>
      <c r="AN609" s="82"/>
      <c r="AO609" s="82"/>
      <c r="AP609" s="82"/>
      <c r="AQ609" s="7"/>
      <c r="AR609" s="82"/>
      <c r="AS609" s="82"/>
      <c r="AT609" s="82"/>
      <c r="AU609" s="82"/>
      <c r="AV609" s="82"/>
      <c r="AW609" s="7"/>
      <c r="AX609" s="82"/>
      <c r="AY609" s="7"/>
      <c r="AZ609" s="7"/>
      <c r="BA609" s="7"/>
      <c r="BB609" s="7"/>
      <c r="BC609" s="7"/>
      <c r="BD609" s="7"/>
      <c r="BE609" s="7"/>
      <c r="BF609" s="7"/>
      <c r="BG609" s="7"/>
    </row>
    <row r="610">
      <c r="A610" s="39"/>
      <c r="B610" s="39"/>
      <c r="C610" s="7"/>
      <c r="D610" s="53"/>
      <c r="E610" s="7"/>
      <c r="F610" s="53"/>
      <c r="G610" s="16"/>
      <c r="H610" s="81"/>
      <c r="J610" s="39"/>
      <c r="K610" s="53"/>
      <c r="L610" s="90"/>
      <c r="M610" s="39"/>
      <c r="N610" s="327"/>
      <c r="O610" s="367"/>
      <c r="P610" s="82"/>
      <c r="Q610" s="82"/>
      <c r="R610" s="82"/>
      <c r="S610" s="16"/>
      <c r="T610" s="16"/>
      <c r="U610" s="39"/>
      <c r="V610" s="7"/>
      <c r="W610" s="7"/>
      <c r="X610" s="93"/>
      <c r="Y610" s="131"/>
      <c r="Z610" s="131"/>
      <c r="AA610" s="131"/>
      <c r="AB610" s="131"/>
      <c r="AC610" s="131"/>
      <c r="AD610" s="323"/>
      <c r="AE610" s="131"/>
      <c r="AF610" s="90"/>
      <c r="AG610" s="21"/>
      <c r="AH610" s="39"/>
      <c r="AI610" s="21"/>
      <c r="AJ610" s="16"/>
      <c r="AK610" s="90"/>
      <c r="AL610" s="16"/>
      <c r="AM610" s="39"/>
      <c r="AN610" s="82"/>
      <c r="AO610" s="82"/>
      <c r="AP610" s="82"/>
      <c r="AQ610" s="7"/>
      <c r="AR610" s="82"/>
      <c r="AS610" s="82"/>
      <c r="AT610" s="82"/>
      <c r="AU610" s="82"/>
      <c r="AV610" s="82"/>
      <c r="AW610" s="7"/>
      <c r="AX610" s="82"/>
      <c r="AY610" s="7"/>
      <c r="AZ610" s="7"/>
      <c r="BA610" s="7"/>
      <c r="BB610" s="7"/>
      <c r="BC610" s="7"/>
      <c r="BD610" s="7"/>
      <c r="BE610" s="7"/>
      <c r="BF610" s="7"/>
      <c r="BG610" s="7"/>
    </row>
    <row r="611">
      <c r="A611" s="39"/>
      <c r="B611" s="39"/>
      <c r="C611" s="7"/>
      <c r="D611" s="53"/>
      <c r="E611" s="7"/>
      <c r="F611" s="53"/>
      <c r="G611" s="16"/>
      <c r="H611" s="16"/>
      <c r="J611" s="39"/>
      <c r="K611" s="148"/>
      <c r="L611" s="90"/>
      <c r="M611" s="39"/>
      <c r="N611" s="327"/>
      <c r="O611" s="367"/>
      <c r="P611" s="82"/>
      <c r="Q611" s="82"/>
      <c r="R611" s="82"/>
      <c r="S611" s="16"/>
      <c r="T611" s="16"/>
      <c r="U611" s="39"/>
      <c r="V611" s="7"/>
      <c r="W611" s="7"/>
      <c r="X611" s="93"/>
      <c r="Y611" s="85"/>
      <c r="Z611" s="85"/>
      <c r="AA611" s="85"/>
      <c r="AB611" s="85"/>
      <c r="AC611" s="131"/>
      <c r="AD611" s="323"/>
      <c r="AE611" s="131"/>
      <c r="AF611" s="90"/>
      <c r="AG611" s="21"/>
      <c r="AH611" s="39"/>
      <c r="AI611" s="87"/>
      <c r="AJ611" s="81"/>
      <c r="AK611" s="90"/>
      <c r="AL611" s="81"/>
      <c r="AM611" s="39"/>
      <c r="AN611" s="82"/>
      <c r="AO611" s="82"/>
      <c r="AP611" s="82"/>
      <c r="AQ611" s="82"/>
      <c r="AR611" s="82"/>
      <c r="AS611" s="82"/>
      <c r="AT611" s="82"/>
      <c r="AU611" s="82"/>
      <c r="AV611" s="82"/>
      <c r="AW611" s="7"/>
      <c r="AX611" s="82"/>
      <c r="AY611" s="82"/>
      <c r="AZ611" s="7"/>
      <c r="BA611" s="7"/>
      <c r="BB611" s="7"/>
      <c r="BC611" s="7"/>
      <c r="BD611" s="7"/>
      <c r="BE611" s="7"/>
      <c r="BF611" s="7"/>
      <c r="BG611" s="7"/>
    </row>
    <row r="612">
      <c r="A612" s="39"/>
      <c r="B612" s="39"/>
      <c r="C612" s="7"/>
      <c r="D612" s="53"/>
      <c r="E612" s="7"/>
      <c r="F612" s="53"/>
      <c r="G612" s="16"/>
      <c r="H612" s="16"/>
      <c r="J612" s="39"/>
      <c r="K612" s="148"/>
      <c r="L612" s="90"/>
      <c r="M612" s="39"/>
      <c r="N612" s="327"/>
      <c r="O612" s="367"/>
      <c r="P612" s="82"/>
      <c r="Q612" s="82"/>
      <c r="R612" s="82"/>
      <c r="S612" s="16"/>
      <c r="T612" s="16"/>
      <c r="U612" s="39"/>
      <c r="V612" s="7"/>
      <c r="W612" s="7"/>
      <c r="X612" s="93"/>
      <c r="Y612" s="85"/>
      <c r="Z612" s="85"/>
      <c r="AA612" s="85"/>
      <c r="AB612" s="85"/>
      <c r="AC612" s="131"/>
      <c r="AD612" s="323"/>
      <c r="AE612" s="131"/>
      <c r="AF612" s="90"/>
      <c r="AG612" s="21"/>
      <c r="AH612" s="39"/>
      <c r="AI612" s="87"/>
      <c r="AJ612" s="81"/>
      <c r="AK612" s="90"/>
      <c r="AL612" s="81"/>
      <c r="AM612" s="39"/>
      <c r="AN612" s="82"/>
      <c r="AO612" s="82"/>
      <c r="AP612" s="82"/>
      <c r="AQ612" s="82"/>
      <c r="AR612" s="82"/>
      <c r="AS612" s="82"/>
      <c r="AT612" s="82"/>
      <c r="AU612" s="82"/>
      <c r="AV612" s="82"/>
      <c r="AW612" s="7"/>
      <c r="AX612" s="82"/>
      <c r="AY612" s="82"/>
      <c r="AZ612" s="7"/>
      <c r="BA612" s="7"/>
      <c r="BB612" s="7"/>
      <c r="BC612" s="7"/>
      <c r="BD612" s="7"/>
      <c r="BE612" s="7"/>
      <c r="BF612" s="7"/>
      <c r="BG612" s="7"/>
    </row>
    <row r="613">
      <c r="A613" s="39"/>
      <c r="B613" s="39"/>
      <c r="C613" s="7"/>
      <c r="D613" s="53"/>
      <c r="E613" s="7"/>
      <c r="F613" s="53"/>
      <c r="G613" s="16"/>
      <c r="H613" s="16"/>
      <c r="J613" s="39"/>
      <c r="K613" s="148"/>
      <c r="L613" s="90"/>
      <c r="M613" s="39"/>
      <c r="N613" s="327"/>
      <c r="O613" s="367"/>
      <c r="P613" s="82"/>
      <c r="Q613" s="82"/>
      <c r="R613" s="82"/>
      <c r="S613" s="16"/>
      <c r="T613" s="16"/>
      <c r="U613" s="39"/>
      <c r="V613" s="7"/>
      <c r="W613" s="7"/>
      <c r="X613" s="93"/>
      <c r="Y613" s="85"/>
      <c r="Z613" s="85"/>
      <c r="AA613" s="85"/>
      <c r="AB613" s="85"/>
      <c r="AC613" s="131"/>
      <c r="AD613" s="323"/>
      <c r="AE613" s="131"/>
      <c r="AF613" s="90"/>
      <c r="AG613" s="21"/>
      <c r="AH613" s="39"/>
      <c r="AI613" s="87"/>
      <c r="AJ613" s="81"/>
      <c r="AK613" s="90"/>
      <c r="AL613" s="81"/>
      <c r="AM613" s="39"/>
      <c r="AN613" s="82"/>
      <c r="AO613" s="82"/>
      <c r="AP613" s="82"/>
      <c r="AQ613" s="82"/>
      <c r="AR613" s="82"/>
      <c r="AS613" s="82"/>
      <c r="AT613" s="82"/>
      <c r="AU613" s="82"/>
      <c r="AV613" s="82"/>
      <c r="AW613" s="7"/>
      <c r="AX613" s="82"/>
      <c r="AY613" s="82"/>
      <c r="AZ613" s="7"/>
      <c r="BA613" s="7"/>
      <c r="BB613" s="7"/>
      <c r="BC613" s="7"/>
      <c r="BD613" s="7"/>
      <c r="BE613" s="7"/>
      <c r="BF613" s="7"/>
      <c r="BG613" s="7"/>
    </row>
    <row r="614">
      <c r="A614" s="39"/>
      <c r="B614" s="39"/>
      <c r="C614" s="7"/>
      <c r="D614" s="53"/>
      <c r="E614" s="7"/>
      <c r="F614" s="53"/>
      <c r="G614" s="16"/>
      <c r="H614" s="16"/>
      <c r="J614" s="39"/>
      <c r="K614" s="148"/>
      <c r="L614" s="90"/>
      <c r="M614" s="39"/>
      <c r="N614" s="327"/>
      <c r="O614" s="367"/>
      <c r="P614" s="82"/>
      <c r="Q614" s="82"/>
      <c r="R614" s="82"/>
      <c r="S614" s="16"/>
      <c r="T614" s="16"/>
      <c r="U614" s="39"/>
      <c r="V614" s="7"/>
      <c r="W614" s="7"/>
      <c r="X614" s="93"/>
      <c r="Y614" s="85"/>
      <c r="Z614" s="85"/>
      <c r="AA614" s="85"/>
      <c r="AB614" s="85"/>
      <c r="AC614" s="131"/>
      <c r="AD614" s="323"/>
      <c r="AE614" s="131"/>
      <c r="AF614" s="90"/>
      <c r="AG614" s="21"/>
      <c r="AH614" s="39"/>
      <c r="AI614" s="87"/>
      <c r="AJ614" s="81"/>
      <c r="AK614" s="90"/>
      <c r="AL614" s="81"/>
      <c r="AM614" s="39"/>
      <c r="AN614" s="82"/>
      <c r="AO614" s="82"/>
      <c r="AP614" s="82"/>
      <c r="AQ614" s="82"/>
      <c r="AR614" s="82"/>
      <c r="AS614" s="82"/>
      <c r="AT614" s="82"/>
      <c r="AU614" s="82"/>
      <c r="AV614" s="82"/>
      <c r="AW614" s="7"/>
      <c r="AX614" s="82"/>
      <c r="AY614" s="82"/>
      <c r="AZ614" s="7"/>
      <c r="BA614" s="7"/>
      <c r="BB614" s="7"/>
      <c r="BC614" s="7"/>
      <c r="BD614" s="7"/>
      <c r="BE614" s="7"/>
      <c r="BF614" s="7"/>
      <c r="BG614" s="7"/>
    </row>
    <row r="615">
      <c r="A615" s="39"/>
      <c r="B615" s="39"/>
      <c r="C615" s="7"/>
      <c r="D615" s="53"/>
      <c r="E615" s="7"/>
      <c r="F615" s="53"/>
      <c r="G615" s="16"/>
      <c r="H615" s="16"/>
      <c r="J615" s="39"/>
      <c r="K615" s="53"/>
      <c r="L615" s="90"/>
      <c r="M615" s="39"/>
      <c r="N615" s="327"/>
      <c r="O615" s="367"/>
      <c r="P615" s="82"/>
      <c r="Q615" s="82"/>
      <c r="R615" s="82"/>
      <c r="S615" s="16"/>
      <c r="T615" s="16"/>
      <c r="U615" s="39"/>
      <c r="V615" s="7"/>
      <c r="W615" s="7"/>
      <c r="X615" s="93"/>
      <c r="Y615" s="85"/>
      <c r="Z615" s="85"/>
      <c r="AA615" s="85"/>
      <c r="AB615" s="85"/>
      <c r="AC615" s="131"/>
      <c r="AD615" s="323"/>
      <c r="AE615" s="131"/>
      <c r="AF615" s="90"/>
      <c r="AG615" s="21"/>
      <c r="AH615" s="39"/>
      <c r="AI615" s="87"/>
      <c r="AJ615" s="81"/>
      <c r="AK615" s="90"/>
      <c r="AL615" s="81"/>
      <c r="AM615" s="39"/>
      <c r="AN615" s="82"/>
      <c r="AO615" s="82"/>
      <c r="AP615" s="82"/>
      <c r="AQ615" s="82"/>
      <c r="AR615" s="7"/>
      <c r="AS615" s="82"/>
      <c r="AT615" s="7"/>
      <c r="AU615" s="82"/>
      <c r="AV615" s="7"/>
      <c r="AW615" s="7"/>
      <c r="AX615" s="82"/>
      <c r="AY615" s="82"/>
      <c r="AZ615" s="7"/>
      <c r="BA615" s="7"/>
      <c r="BB615" s="7"/>
      <c r="BC615" s="7"/>
      <c r="BD615" s="7"/>
      <c r="BE615" s="7"/>
      <c r="BF615" s="7"/>
      <c r="BG615" s="7"/>
    </row>
    <row r="616">
      <c r="A616" s="39"/>
      <c r="B616" s="39"/>
      <c r="C616" s="7"/>
      <c r="D616" s="53"/>
      <c r="E616" s="7"/>
      <c r="F616" s="53"/>
      <c r="G616" s="16"/>
      <c r="H616" s="16"/>
      <c r="J616" s="39"/>
      <c r="K616" s="148"/>
      <c r="L616" s="90"/>
      <c r="M616" s="39"/>
      <c r="N616" s="327"/>
      <c r="O616" s="367"/>
      <c r="P616" s="82"/>
      <c r="Q616" s="82"/>
      <c r="R616" s="82"/>
      <c r="S616" s="16"/>
      <c r="T616" s="16"/>
      <c r="U616" s="39"/>
      <c r="V616" s="7"/>
      <c r="W616" s="7"/>
      <c r="X616" s="93"/>
      <c r="Y616" s="85"/>
      <c r="Z616" s="85"/>
      <c r="AA616" s="85"/>
      <c r="AB616" s="85"/>
      <c r="AC616" s="131"/>
      <c r="AD616" s="323"/>
      <c r="AE616" s="131"/>
      <c r="AF616" s="90"/>
      <c r="AG616" s="21"/>
      <c r="AH616" s="39"/>
      <c r="AI616" s="87"/>
      <c r="AJ616" s="81"/>
      <c r="AK616" s="90"/>
      <c r="AL616" s="81"/>
      <c r="AM616" s="39"/>
      <c r="AN616" s="82"/>
      <c r="AO616" s="82"/>
      <c r="AP616" s="82"/>
      <c r="AQ616" s="82"/>
      <c r="AR616" s="82"/>
      <c r="AS616" s="82"/>
      <c r="AT616" s="82"/>
      <c r="AU616" s="82"/>
      <c r="AV616" s="82"/>
      <c r="AW616" s="7"/>
      <c r="AX616" s="82"/>
      <c r="AY616" s="82"/>
      <c r="AZ616" s="7"/>
      <c r="BA616" s="7"/>
      <c r="BB616" s="7"/>
      <c r="BC616" s="7"/>
      <c r="BD616" s="7"/>
      <c r="BE616" s="7"/>
      <c r="BF616" s="7"/>
      <c r="BG616" s="7"/>
    </row>
    <row r="617">
      <c r="A617" s="39"/>
      <c r="B617" s="39"/>
      <c r="C617" s="7"/>
      <c r="D617" s="53"/>
      <c r="E617" s="7"/>
      <c r="F617" s="53"/>
      <c r="G617" s="16"/>
      <c r="H617" s="16"/>
      <c r="J617" s="39"/>
      <c r="K617" s="148"/>
      <c r="L617" s="90"/>
      <c r="M617" s="39"/>
      <c r="N617" s="327"/>
      <c r="O617" s="367"/>
      <c r="P617" s="82"/>
      <c r="Q617" s="82"/>
      <c r="R617" s="82"/>
      <c r="S617" s="16"/>
      <c r="T617" s="16"/>
      <c r="U617" s="39"/>
      <c r="V617" s="7"/>
      <c r="W617" s="7"/>
      <c r="X617" s="93"/>
      <c r="Y617" s="85"/>
      <c r="Z617" s="85"/>
      <c r="AA617" s="85"/>
      <c r="AB617" s="85"/>
      <c r="AC617" s="131"/>
      <c r="AD617" s="323"/>
      <c r="AE617" s="131"/>
      <c r="AF617" s="90"/>
      <c r="AG617" s="21"/>
      <c r="AH617" s="39"/>
      <c r="AI617" s="87"/>
      <c r="AJ617" s="81"/>
      <c r="AK617" s="90"/>
      <c r="AL617" s="81"/>
      <c r="AM617" s="39"/>
      <c r="AN617" s="82"/>
      <c r="AO617" s="82"/>
      <c r="AP617" s="82"/>
      <c r="AQ617" s="82"/>
      <c r="AR617" s="82"/>
      <c r="AS617" s="82"/>
      <c r="AT617" s="82"/>
      <c r="AU617" s="82"/>
      <c r="AV617" s="82"/>
      <c r="AW617" s="7"/>
      <c r="AX617" s="82"/>
      <c r="AY617" s="82"/>
      <c r="AZ617" s="7"/>
      <c r="BA617" s="7"/>
      <c r="BB617" s="7"/>
      <c r="BC617" s="7"/>
      <c r="BD617" s="7"/>
      <c r="BE617" s="7"/>
      <c r="BF617" s="7"/>
      <c r="BG617" s="7"/>
    </row>
    <row r="618">
      <c r="A618" s="39"/>
      <c r="B618" s="39"/>
      <c r="C618" s="7"/>
      <c r="D618" s="53"/>
      <c r="E618" s="7"/>
      <c r="F618" s="53"/>
      <c r="G618" s="16"/>
      <c r="H618" s="16"/>
      <c r="J618" s="39"/>
      <c r="K618" s="148"/>
      <c r="L618" s="90"/>
      <c r="M618" s="39"/>
      <c r="N618" s="327"/>
      <c r="O618" s="367"/>
      <c r="P618" s="82"/>
      <c r="Q618" s="82"/>
      <c r="R618" s="82"/>
      <c r="S618" s="16"/>
      <c r="T618" s="16"/>
      <c r="U618" s="39"/>
      <c r="V618" s="7"/>
      <c r="W618" s="7"/>
      <c r="X618" s="93"/>
      <c r="Y618" s="85"/>
      <c r="Z618" s="85"/>
      <c r="AA618" s="85"/>
      <c r="AB618" s="85"/>
      <c r="AC618" s="131"/>
      <c r="AD618" s="323"/>
      <c r="AE618" s="131"/>
      <c r="AF618" s="90"/>
      <c r="AG618" s="21"/>
      <c r="AH618" s="39"/>
      <c r="AI618" s="87"/>
      <c r="AJ618" s="81"/>
      <c r="AK618" s="90"/>
      <c r="AL618" s="81"/>
      <c r="AM618" s="39"/>
      <c r="AN618" s="82"/>
      <c r="AO618" s="82"/>
      <c r="AP618" s="82"/>
      <c r="AQ618" s="82"/>
      <c r="AR618" s="82"/>
      <c r="AS618" s="82"/>
      <c r="AT618" s="82"/>
      <c r="AU618" s="82"/>
      <c r="AV618" s="82"/>
      <c r="AW618" s="7"/>
      <c r="AX618" s="82"/>
      <c r="AY618" s="82"/>
      <c r="AZ618" s="7"/>
      <c r="BA618" s="7"/>
      <c r="BB618" s="7"/>
      <c r="BC618" s="7"/>
      <c r="BD618" s="7"/>
      <c r="BE618" s="7"/>
      <c r="BF618" s="7"/>
      <c r="BG618" s="7"/>
    </row>
    <row r="619">
      <c r="A619" s="39"/>
      <c r="B619" s="39"/>
      <c r="C619" s="7"/>
      <c r="D619" s="53"/>
      <c r="E619" s="7"/>
      <c r="F619" s="53"/>
      <c r="G619" s="16"/>
      <c r="H619" s="16"/>
      <c r="J619" s="39"/>
      <c r="K619" s="148"/>
      <c r="L619" s="90"/>
      <c r="M619" s="39"/>
      <c r="N619" s="327"/>
      <c r="O619" s="367"/>
      <c r="P619" s="82"/>
      <c r="Q619" s="82"/>
      <c r="R619" s="82"/>
      <c r="S619" s="16"/>
      <c r="T619" s="16"/>
      <c r="U619" s="39"/>
      <c r="V619" s="7"/>
      <c r="W619" s="7"/>
      <c r="X619" s="93"/>
      <c r="Y619" s="85"/>
      <c r="Z619" s="85"/>
      <c r="AA619" s="85"/>
      <c r="AB619" s="85"/>
      <c r="AC619" s="131"/>
      <c r="AD619" s="323"/>
      <c r="AE619" s="131"/>
      <c r="AF619" s="90"/>
      <c r="AG619" s="21"/>
      <c r="AH619" s="39"/>
      <c r="AI619" s="87"/>
      <c r="AJ619" s="81"/>
      <c r="AK619" s="90"/>
      <c r="AL619" s="81"/>
      <c r="AM619" s="39"/>
      <c r="AN619" s="82"/>
      <c r="AO619" s="82"/>
      <c r="AP619" s="82"/>
      <c r="AQ619" s="82"/>
      <c r="AR619" s="82"/>
      <c r="AS619" s="82"/>
      <c r="AT619" s="82"/>
      <c r="AU619" s="82"/>
      <c r="AV619" s="82"/>
      <c r="AW619" s="7"/>
      <c r="AX619" s="82"/>
      <c r="AY619" s="82"/>
      <c r="AZ619" s="7"/>
      <c r="BA619" s="7"/>
      <c r="BB619" s="7"/>
      <c r="BC619" s="7"/>
      <c r="BD619" s="7"/>
      <c r="BE619" s="7"/>
      <c r="BF619" s="7"/>
      <c r="BG619" s="7"/>
    </row>
    <row r="620">
      <c r="A620" s="39"/>
      <c r="B620" s="39"/>
      <c r="C620" s="7"/>
      <c r="D620" s="53"/>
      <c r="E620" s="7"/>
      <c r="F620" s="53"/>
      <c r="G620" s="16"/>
      <c r="H620" s="81"/>
      <c r="J620" s="39"/>
      <c r="K620" s="53"/>
      <c r="L620" s="90"/>
      <c r="M620" s="39"/>
      <c r="N620" s="327"/>
      <c r="O620" s="367"/>
      <c r="P620" s="82"/>
      <c r="Q620" s="82"/>
      <c r="R620" s="82"/>
      <c r="S620" s="16"/>
      <c r="T620" s="16"/>
      <c r="U620" s="39"/>
      <c r="V620" s="7"/>
      <c r="W620" s="7"/>
      <c r="X620" s="93"/>
      <c r="Y620" s="131"/>
      <c r="Z620" s="131"/>
      <c r="AA620" s="131"/>
      <c r="AB620" s="131"/>
      <c r="AC620" s="131"/>
      <c r="AD620" s="323"/>
      <c r="AE620" s="131"/>
      <c r="AF620" s="90"/>
      <c r="AG620" s="21"/>
      <c r="AH620" s="39"/>
      <c r="AI620" s="87"/>
      <c r="AJ620" s="81"/>
      <c r="AK620" s="90"/>
      <c r="AL620" s="81"/>
      <c r="AM620" s="39"/>
      <c r="AN620" s="82"/>
      <c r="AO620" s="82"/>
      <c r="AP620" s="82"/>
      <c r="AQ620" s="7"/>
      <c r="AR620" s="7"/>
      <c r="AS620" s="7"/>
      <c r="AT620" s="7"/>
      <c r="AU620" s="7"/>
      <c r="AV620" s="7"/>
      <c r="AW620" s="7"/>
      <c r="AX620" s="82"/>
      <c r="AY620" s="7"/>
      <c r="AZ620" s="7"/>
      <c r="BA620" s="7"/>
      <c r="BB620" s="7"/>
      <c r="BC620" s="7"/>
      <c r="BD620" s="7"/>
      <c r="BE620" s="7"/>
      <c r="BF620" s="7"/>
      <c r="BG620" s="7"/>
    </row>
    <row r="621">
      <c r="A621" s="39"/>
      <c r="B621" s="39"/>
      <c r="C621" s="7"/>
      <c r="D621" s="53"/>
      <c r="E621" s="7"/>
      <c r="F621" s="53"/>
      <c r="G621" s="16"/>
      <c r="H621" s="81"/>
      <c r="J621" s="39"/>
      <c r="K621" s="53"/>
      <c r="L621" s="90"/>
      <c r="M621" s="39"/>
      <c r="N621" s="327"/>
      <c r="O621" s="367"/>
      <c r="P621" s="82"/>
      <c r="Q621" s="82"/>
      <c r="R621" s="82"/>
      <c r="S621" s="16"/>
      <c r="T621" s="16"/>
      <c r="U621" s="39"/>
      <c r="V621" s="7"/>
      <c r="W621" s="7"/>
      <c r="X621" s="93"/>
      <c r="Y621" s="131"/>
      <c r="Z621" s="131"/>
      <c r="AA621" s="131"/>
      <c r="AB621" s="131"/>
      <c r="AC621" s="131"/>
      <c r="AD621" s="323"/>
      <c r="AE621" s="131"/>
      <c r="AF621" s="90"/>
      <c r="AG621" s="21"/>
      <c r="AH621" s="39"/>
      <c r="AI621" s="87"/>
      <c r="AJ621" s="81"/>
      <c r="AK621" s="90"/>
      <c r="AL621" s="81"/>
      <c r="AM621" s="39"/>
      <c r="AN621" s="82"/>
      <c r="AO621" s="82"/>
      <c r="AP621" s="82"/>
      <c r="AQ621" s="7"/>
      <c r="AR621" s="82"/>
      <c r="AS621" s="82"/>
      <c r="AT621" s="82"/>
      <c r="AU621" s="82"/>
      <c r="AV621" s="82"/>
      <c r="AW621" s="7"/>
      <c r="AX621" s="82"/>
      <c r="AY621" s="7"/>
      <c r="AZ621" s="7"/>
      <c r="BA621" s="7"/>
      <c r="BB621" s="7"/>
      <c r="BC621" s="7"/>
      <c r="BD621" s="7"/>
      <c r="BE621" s="7"/>
      <c r="BF621" s="7"/>
      <c r="BG621" s="7"/>
    </row>
    <row r="622">
      <c r="A622" s="39"/>
      <c r="B622" s="39"/>
      <c r="C622" s="7"/>
      <c r="D622" s="53"/>
      <c r="E622" s="7"/>
      <c r="F622" s="53"/>
      <c r="G622" s="16"/>
      <c r="H622" s="81"/>
      <c r="J622" s="39"/>
      <c r="K622" s="53"/>
      <c r="L622" s="90"/>
      <c r="M622" s="39"/>
      <c r="N622" s="327"/>
      <c r="O622" s="367"/>
      <c r="P622" s="82"/>
      <c r="Q622" s="82"/>
      <c r="R622" s="82"/>
      <c r="S622" s="16"/>
      <c r="T622" s="16"/>
      <c r="U622" s="39"/>
      <c r="V622" s="7"/>
      <c r="W622" s="7"/>
      <c r="X622" s="93"/>
      <c r="Y622" s="131"/>
      <c r="Z622" s="131"/>
      <c r="AA622" s="131"/>
      <c r="AB622" s="131"/>
      <c r="AC622" s="131"/>
      <c r="AD622" s="323"/>
      <c r="AE622" s="131"/>
      <c r="AF622" s="90"/>
      <c r="AG622" s="21"/>
      <c r="AH622" s="39"/>
      <c r="AI622" s="87"/>
      <c r="AJ622" s="81"/>
      <c r="AK622" s="90"/>
      <c r="AL622" s="81"/>
      <c r="AM622" s="39"/>
      <c r="AN622" s="82"/>
      <c r="AO622" s="82"/>
      <c r="AP622" s="82"/>
      <c r="AQ622" s="7"/>
      <c r="AR622" s="82"/>
      <c r="AS622" s="82"/>
      <c r="AT622" s="82"/>
      <c r="AU622" s="82"/>
      <c r="AV622" s="82"/>
      <c r="AW622" s="7"/>
      <c r="AX622" s="82"/>
      <c r="AY622" s="7"/>
      <c r="AZ622" s="7"/>
      <c r="BA622" s="7"/>
      <c r="BB622" s="7"/>
      <c r="BC622" s="7"/>
      <c r="BD622" s="7"/>
      <c r="BE622" s="7"/>
      <c r="BF622" s="7"/>
      <c r="BG622" s="7"/>
    </row>
    <row r="623">
      <c r="A623" s="39"/>
      <c r="B623" s="39"/>
      <c r="C623" s="7"/>
      <c r="D623" s="53"/>
      <c r="E623" s="7"/>
      <c r="F623" s="53"/>
      <c r="G623" s="16"/>
      <c r="H623" s="81"/>
      <c r="J623" s="39"/>
      <c r="K623" s="53"/>
      <c r="L623" s="90"/>
      <c r="M623" s="39"/>
      <c r="N623" s="327"/>
      <c r="O623" s="367"/>
      <c r="P623" s="82"/>
      <c r="Q623" s="82"/>
      <c r="R623" s="82"/>
      <c r="S623" s="16"/>
      <c r="T623" s="16"/>
      <c r="U623" s="39"/>
      <c r="V623" s="7"/>
      <c r="W623" s="7"/>
      <c r="X623" s="93"/>
      <c r="Y623" s="131"/>
      <c r="Z623" s="131"/>
      <c r="AA623" s="131"/>
      <c r="AB623" s="131"/>
      <c r="AC623" s="131"/>
      <c r="AD623" s="323"/>
      <c r="AE623" s="131"/>
      <c r="AF623" s="90"/>
      <c r="AG623" s="21"/>
      <c r="AH623" s="39"/>
      <c r="AI623" s="87"/>
      <c r="AJ623" s="81"/>
      <c r="AK623" s="90"/>
      <c r="AL623" s="81"/>
      <c r="AM623" s="39"/>
      <c r="AN623" s="82"/>
      <c r="AO623" s="82"/>
      <c r="AP623" s="82"/>
      <c r="AQ623" s="82"/>
      <c r="AR623" s="82"/>
      <c r="AS623" s="82"/>
      <c r="AT623" s="82"/>
      <c r="AU623" s="82"/>
      <c r="AV623" s="82"/>
      <c r="AW623" s="7"/>
      <c r="AX623" s="82"/>
      <c r="AY623" s="7"/>
      <c r="AZ623" s="7"/>
      <c r="BA623" s="7"/>
      <c r="BB623" s="7"/>
      <c r="BC623" s="7"/>
      <c r="BD623" s="7"/>
      <c r="BE623" s="7"/>
      <c r="BF623" s="7"/>
      <c r="BG623" s="7"/>
    </row>
    <row r="624">
      <c r="A624" s="39"/>
      <c r="B624" s="39"/>
      <c r="C624" s="7"/>
      <c r="D624" s="53"/>
      <c r="E624" s="7"/>
      <c r="F624" s="53"/>
      <c r="G624" s="16"/>
      <c r="H624" s="81"/>
      <c r="J624" s="39"/>
      <c r="K624" s="53"/>
      <c r="L624" s="90"/>
      <c r="M624" s="39"/>
      <c r="N624" s="327"/>
      <c r="O624" s="367"/>
      <c r="P624" s="82"/>
      <c r="Q624" s="82"/>
      <c r="R624" s="82"/>
      <c r="S624" s="16"/>
      <c r="T624" s="16"/>
      <c r="U624" s="39"/>
      <c r="V624" s="7"/>
      <c r="W624" s="7"/>
      <c r="X624" s="93"/>
      <c r="Y624" s="131"/>
      <c r="Z624" s="131"/>
      <c r="AA624" s="131"/>
      <c r="AB624" s="131"/>
      <c r="AC624" s="131"/>
      <c r="AD624" s="323"/>
      <c r="AE624" s="131"/>
      <c r="AF624" s="90"/>
      <c r="AG624" s="21"/>
      <c r="AH624" s="39"/>
      <c r="AI624" s="87"/>
      <c r="AJ624" s="81"/>
      <c r="AK624" s="90"/>
      <c r="AL624" s="81"/>
      <c r="AM624" s="39"/>
      <c r="AN624" s="82"/>
      <c r="AO624" s="82"/>
      <c r="AP624" s="82"/>
      <c r="AQ624" s="82"/>
      <c r="AR624" s="82"/>
      <c r="AS624" s="82"/>
      <c r="AT624" s="82"/>
      <c r="AU624" s="82"/>
      <c r="AV624" s="82"/>
      <c r="AW624" s="7"/>
      <c r="AX624" s="82"/>
      <c r="AY624" s="7"/>
      <c r="AZ624" s="7"/>
      <c r="BA624" s="7"/>
      <c r="BB624" s="7"/>
      <c r="BC624" s="7"/>
      <c r="BD624" s="7"/>
      <c r="BE624" s="7"/>
      <c r="BF624" s="7"/>
      <c r="BG624" s="7"/>
    </row>
    <row r="625">
      <c r="A625" s="39"/>
      <c r="B625" s="39"/>
      <c r="C625" s="7"/>
      <c r="D625" s="53"/>
      <c r="E625" s="7"/>
      <c r="F625" s="53"/>
      <c r="G625" s="16"/>
      <c r="H625" s="81"/>
      <c r="J625" s="39"/>
      <c r="K625" s="53"/>
      <c r="L625" s="90"/>
      <c r="M625" s="39"/>
      <c r="N625" s="327"/>
      <c r="O625" s="367"/>
      <c r="P625" s="82"/>
      <c r="Q625" s="82"/>
      <c r="R625" s="82"/>
      <c r="S625" s="16"/>
      <c r="T625" s="16"/>
      <c r="U625" s="39"/>
      <c r="V625" s="7"/>
      <c r="W625" s="7"/>
      <c r="X625" s="93"/>
      <c r="Y625" s="131"/>
      <c r="Z625" s="131"/>
      <c r="AA625" s="131"/>
      <c r="AB625" s="131"/>
      <c r="AC625" s="131"/>
      <c r="AD625" s="323"/>
      <c r="AE625" s="131"/>
      <c r="AF625" s="90"/>
      <c r="AG625" s="21"/>
      <c r="AH625" s="39"/>
      <c r="AI625" s="87"/>
      <c r="AJ625" s="81"/>
      <c r="AK625" s="90"/>
      <c r="AL625" s="81"/>
      <c r="AM625" s="31"/>
      <c r="AN625" s="82"/>
      <c r="AO625" s="82"/>
      <c r="AP625" s="82"/>
      <c r="AQ625" s="82"/>
      <c r="AR625" s="82"/>
      <c r="AS625" s="82"/>
      <c r="AT625" s="82"/>
      <c r="AU625" s="82"/>
      <c r="AV625" s="82"/>
      <c r="AW625" s="7"/>
      <c r="AX625" s="82"/>
      <c r="AY625" s="7"/>
      <c r="AZ625" s="7"/>
      <c r="BA625" s="7"/>
      <c r="BB625" s="7"/>
      <c r="BC625" s="7"/>
      <c r="BD625" s="7"/>
      <c r="BE625" s="7"/>
      <c r="BF625" s="7"/>
      <c r="BG625" s="7"/>
    </row>
    <row r="626">
      <c r="A626" s="39"/>
      <c r="B626" s="39"/>
      <c r="C626" s="7"/>
      <c r="D626" s="53"/>
      <c r="E626" s="7"/>
      <c r="F626" s="53"/>
      <c r="G626" s="16"/>
      <c r="H626" s="81"/>
      <c r="J626" s="39"/>
      <c r="K626" s="53"/>
      <c r="L626" s="90"/>
      <c r="M626" s="39"/>
      <c r="N626" s="327"/>
      <c r="O626" s="367"/>
      <c r="P626" s="82"/>
      <c r="Q626" s="82"/>
      <c r="R626" s="82"/>
      <c r="S626" s="16"/>
      <c r="T626" s="16"/>
      <c r="U626" s="39"/>
      <c r="V626" s="7"/>
      <c r="W626" s="7"/>
      <c r="X626" s="93"/>
      <c r="Y626" s="131"/>
      <c r="Z626" s="131"/>
      <c r="AA626" s="131"/>
      <c r="AB626" s="131"/>
      <c r="AC626" s="131"/>
      <c r="AD626" s="323"/>
      <c r="AE626" s="131"/>
      <c r="AF626" s="90"/>
      <c r="AG626" s="87"/>
      <c r="AH626" s="39"/>
      <c r="AI626" s="87"/>
      <c r="AJ626" s="81"/>
      <c r="AK626" s="90"/>
      <c r="AL626" s="81"/>
      <c r="AM626" s="39"/>
      <c r="AN626" s="82"/>
      <c r="AO626" s="82"/>
      <c r="AP626" s="82"/>
      <c r="AQ626" s="82"/>
      <c r="AR626" s="82"/>
      <c r="AS626" s="82"/>
      <c r="AT626" s="82"/>
      <c r="AU626" s="82"/>
      <c r="AV626" s="82"/>
      <c r="AW626" s="7"/>
      <c r="AX626" s="82"/>
      <c r="AY626" s="7"/>
      <c r="AZ626" s="7"/>
      <c r="BA626" s="7"/>
      <c r="BB626" s="7"/>
      <c r="BC626" s="7"/>
      <c r="BD626" s="7"/>
      <c r="BE626" s="7"/>
      <c r="BF626" s="7"/>
      <c r="BG626" s="7"/>
    </row>
    <row r="627">
      <c r="A627" s="39"/>
      <c r="B627" s="39"/>
      <c r="C627" s="7"/>
      <c r="D627" s="53"/>
      <c r="E627" s="7"/>
      <c r="F627" s="53"/>
      <c r="G627" s="16"/>
      <c r="H627" s="81"/>
      <c r="J627" s="39"/>
      <c r="K627" s="53"/>
      <c r="L627" s="90"/>
      <c r="M627" s="39"/>
      <c r="N627" s="327"/>
      <c r="O627" s="368"/>
      <c r="P627" s="82"/>
      <c r="Q627" s="82"/>
      <c r="R627" s="82"/>
      <c r="S627" s="16"/>
      <c r="T627" s="16"/>
      <c r="U627" s="39"/>
      <c r="V627" s="7"/>
      <c r="W627" s="7"/>
      <c r="X627" s="93"/>
      <c r="Y627" s="131"/>
      <c r="Z627" s="131"/>
      <c r="AA627" s="131"/>
      <c r="AB627" s="131"/>
      <c r="AC627" s="131"/>
      <c r="AD627" s="323"/>
      <c r="AE627" s="131"/>
      <c r="AF627" s="90"/>
      <c r="AG627" s="87"/>
      <c r="AH627" s="39"/>
      <c r="AI627" s="87"/>
      <c r="AJ627" s="81"/>
      <c r="AK627" s="90"/>
      <c r="AL627" s="81"/>
      <c r="AM627" s="39"/>
      <c r="AN627" s="82"/>
      <c r="AO627" s="82"/>
      <c r="AP627" s="82"/>
      <c r="AQ627" s="82"/>
      <c r="AR627" s="7"/>
      <c r="AS627" s="82"/>
      <c r="AT627" s="7"/>
      <c r="AU627" s="82"/>
      <c r="AV627" s="7"/>
      <c r="AW627" s="7"/>
      <c r="AX627" s="82"/>
      <c r="AY627" s="7"/>
      <c r="AZ627" s="7"/>
      <c r="BA627" s="7"/>
      <c r="BB627" s="7"/>
      <c r="BC627" s="7"/>
      <c r="BD627" s="7"/>
      <c r="BE627" s="7"/>
      <c r="BF627" s="7"/>
      <c r="BG627" s="7"/>
    </row>
    <row r="628">
      <c r="A628" s="39"/>
      <c r="B628" s="39"/>
      <c r="C628" s="7"/>
      <c r="D628" s="53"/>
      <c r="E628" s="7"/>
      <c r="F628" s="53"/>
      <c r="G628" s="16"/>
      <c r="H628" s="81"/>
      <c r="J628" s="39"/>
      <c r="K628" s="53"/>
      <c r="L628" s="90"/>
      <c r="M628" s="39"/>
      <c r="N628" s="327"/>
      <c r="O628" s="367"/>
      <c r="P628" s="82"/>
      <c r="Q628" s="82"/>
      <c r="R628" s="82"/>
      <c r="S628" s="16"/>
      <c r="T628" s="16"/>
      <c r="U628" s="39"/>
      <c r="V628" s="7"/>
      <c r="W628" s="7"/>
      <c r="X628" s="93"/>
      <c r="Y628" s="131"/>
      <c r="Z628" s="131"/>
      <c r="AA628" s="131"/>
      <c r="AB628" s="131"/>
      <c r="AC628" s="131"/>
      <c r="AD628" s="323"/>
      <c r="AE628" s="131"/>
      <c r="AF628" s="90"/>
      <c r="AG628" s="87"/>
      <c r="AH628" s="39"/>
      <c r="AI628" s="87"/>
      <c r="AJ628" s="81"/>
      <c r="AK628" s="90"/>
      <c r="AL628" s="81"/>
      <c r="AM628" s="39"/>
      <c r="AN628" s="82"/>
      <c r="AO628" s="82"/>
      <c r="AP628" s="82"/>
      <c r="AQ628" s="82"/>
      <c r="AR628" s="82"/>
      <c r="AS628" s="82"/>
      <c r="AT628" s="82"/>
      <c r="AU628" s="82"/>
      <c r="AV628" s="82"/>
      <c r="AW628" s="7"/>
      <c r="AX628" s="82"/>
      <c r="AY628" s="7"/>
      <c r="AZ628" s="7"/>
      <c r="BA628" s="7"/>
      <c r="BB628" s="7"/>
      <c r="BC628" s="7"/>
      <c r="BD628" s="7"/>
      <c r="BE628" s="7"/>
      <c r="BF628" s="7"/>
      <c r="BG628" s="7"/>
    </row>
    <row r="629">
      <c r="A629" s="39"/>
      <c r="B629" s="39"/>
      <c r="C629" s="7"/>
      <c r="D629" s="53"/>
      <c r="E629" s="7"/>
      <c r="F629" s="53"/>
      <c r="G629" s="16"/>
      <c r="H629" s="16"/>
      <c r="J629" s="39"/>
      <c r="K629" s="53"/>
      <c r="L629" s="90"/>
      <c r="M629" s="39"/>
      <c r="N629" s="327"/>
      <c r="O629" s="322"/>
      <c r="P629" s="82"/>
      <c r="Q629" s="82"/>
      <c r="R629" s="82"/>
      <c r="S629" s="16"/>
      <c r="T629" s="16"/>
      <c r="U629" s="39"/>
      <c r="V629" s="7"/>
      <c r="W629" s="7"/>
      <c r="X629" s="93"/>
      <c r="Y629" s="131"/>
      <c r="Z629" s="131"/>
      <c r="AA629" s="131"/>
      <c r="AB629" s="131"/>
      <c r="AC629" s="85"/>
      <c r="AD629" s="325"/>
      <c r="AE629" s="85"/>
      <c r="AF629" s="90"/>
      <c r="AG629" s="87"/>
      <c r="AH629" s="39"/>
      <c r="AI629" s="21"/>
      <c r="AJ629" s="16"/>
      <c r="AK629" s="90"/>
      <c r="AL629" s="16"/>
      <c r="AM629" s="39"/>
      <c r="AN629" s="82"/>
      <c r="AO629" s="82"/>
      <c r="AP629" s="82"/>
      <c r="AQ629" s="7"/>
      <c r="AR629" s="7"/>
      <c r="AS629" s="7"/>
      <c r="AT629" s="7"/>
      <c r="AU629" s="7"/>
      <c r="AV629" s="7"/>
      <c r="AW629" s="7"/>
      <c r="AX629" s="82"/>
      <c r="AY629" s="7"/>
      <c r="AZ629" s="7"/>
      <c r="BA629" s="7"/>
      <c r="BB629" s="7"/>
      <c r="BC629" s="7"/>
      <c r="BD629" s="7"/>
      <c r="BE629" s="7"/>
      <c r="BF629" s="7"/>
      <c r="BG629" s="7"/>
    </row>
    <row r="630">
      <c r="A630" s="39"/>
      <c r="B630" s="39"/>
      <c r="C630" s="7"/>
      <c r="D630" s="53"/>
      <c r="E630" s="7"/>
      <c r="F630" s="53"/>
      <c r="G630" s="16"/>
      <c r="H630" s="16"/>
      <c r="J630" s="39"/>
      <c r="K630" s="53"/>
      <c r="L630" s="90"/>
      <c r="M630" s="39"/>
      <c r="N630" s="327"/>
      <c r="O630" s="322"/>
      <c r="P630" s="82"/>
      <c r="Q630" s="82"/>
      <c r="R630" s="82"/>
      <c r="S630" s="16"/>
      <c r="T630" s="16"/>
      <c r="U630" s="39"/>
      <c r="V630" s="7"/>
      <c r="W630" s="7"/>
      <c r="X630" s="93"/>
      <c r="Y630" s="131"/>
      <c r="Z630" s="131"/>
      <c r="AA630" s="131"/>
      <c r="AB630" s="131"/>
      <c r="AC630" s="85"/>
      <c r="AD630" s="325"/>
      <c r="AE630" s="85"/>
      <c r="AF630" s="90"/>
      <c r="AG630" s="87"/>
      <c r="AH630" s="39"/>
      <c r="AI630" s="87"/>
      <c r="AJ630" s="81"/>
      <c r="AK630" s="90"/>
      <c r="AL630" s="81"/>
      <c r="AM630" s="39"/>
      <c r="AN630" s="82"/>
      <c r="AO630" s="82"/>
      <c r="AP630" s="82"/>
      <c r="AQ630" s="7"/>
      <c r="AR630" s="7"/>
      <c r="AS630" s="7"/>
      <c r="AT630" s="7"/>
      <c r="AU630" s="7"/>
      <c r="AV630" s="7"/>
      <c r="AW630" s="7"/>
      <c r="AX630" s="82"/>
      <c r="AY630" s="7"/>
      <c r="AZ630" s="7"/>
      <c r="BA630" s="7"/>
      <c r="BB630" s="7"/>
      <c r="BC630" s="7"/>
      <c r="BD630" s="7"/>
      <c r="BE630" s="7"/>
      <c r="BF630" s="7"/>
      <c r="BG630" s="7"/>
    </row>
    <row r="631">
      <c r="A631" s="39"/>
      <c r="B631" s="39"/>
      <c r="C631" s="7"/>
      <c r="D631" s="53"/>
      <c r="E631" s="7"/>
      <c r="F631" s="53"/>
      <c r="G631" s="16"/>
      <c r="H631" s="16"/>
      <c r="J631" s="39"/>
      <c r="K631" s="53"/>
      <c r="L631" s="90"/>
      <c r="M631" s="39"/>
      <c r="N631" s="327"/>
      <c r="O631" s="368"/>
      <c r="P631" s="82"/>
      <c r="Q631" s="82"/>
      <c r="R631" s="82"/>
      <c r="S631" s="16"/>
      <c r="T631" s="16"/>
      <c r="U631" s="39"/>
      <c r="V631" s="7"/>
      <c r="W631" s="7"/>
      <c r="X631" s="93"/>
      <c r="Y631" s="131"/>
      <c r="Z631" s="131"/>
      <c r="AA631" s="131"/>
      <c r="AB631" s="131"/>
      <c r="AC631" s="85"/>
      <c r="AD631" s="325"/>
      <c r="AE631" s="85"/>
      <c r="AF631" s="90"/>
      <c r="AG631" s="87"/>
      <c r="AH631" s="39"/>
      <c r="AI631" s="87"/>
      <c r="AJ631" s="81"/>
      <c r="AK631" s="90"/>
      <c r="AL631" s="81"/>
      <c r="AM631" s="39"/>
      <c r="AN631" s="82"/>
      <c r="AO631" s="82"/>
      <c r="AP631" s="82"/>
      <c r="AQ631" s="7"/>
      <c r="AR631" s="7"/>
      <c r="AS631" s="7"/>
      <c r="AT631" s="7"/>
      <c r="AU631" s="7"/>
      <c r="AV631" s="7"/>
      <c r="AW631" s="7"/>
      <c r="AX631" s="82"/>
      <c r="AY631" s="7"/>
      <c r="AZ631" s="7"/>
      <c r="BA631" s="7"/>
      <c r="BB631" s="7"/>
      <c r="BC631" s="7"/>
      <c r="BD631" s="7"/>
      <c r="BE631" s="7"/>
      <c r="BF631" s="7"/>
      <c r="BG631" s="7"/>
    </row>
    <row r="632">
      <c r="A632" s="39"/>
      <c r="B632" s="39"/>
      <c r="C632" s="7"/>
      <c r="D632" s="53"/>
      <c r="E632" s="7"/>
      <c r="F632" s="53"/>
      <c r="G632" s="16"/>
      <c r="H632" s="16"/>
      <c r="J632" s="39"/>
      <c r="K632" s="53"/>
      <c r="L632" s="90"/>
      <c r="M632" s="39"/>
      <c r="N632" s="327"/>
      <c r="O632" s="322"/>
      <c r="P632" s="82"/>
      <c r="Q632" s="82"/>
      <c r="R632" s="82"/>
      <c r="S632" s="16"/>
      <c r="T632" s="16"/>
      <c r="U632" s="39"/>
      <c r="V632" s="7"/>
      <c r="W632" s="7"/>
      <c r="X632" s="93"/>
      <c r="Y632" s="131"/>
      <c r="Z632" s="131"/>
      <c r="AA632" s="131"/>
      <c r="AB632" s="131"/>
      <c r="AC632" s="85"/>
      <c r="AD632" s="325"/>
      <c r="AE632" s="85"/>
      <c r="AF632" s="90"/>
      <c r="AG632" s="21"/>
      <c r="AH632" s="39"/>
      <c r="AI632" s="87"/>
      <c r="AJ632" s="81"/>
      <c r="AK632" s="90"/>
      <c r="AL632" s="81"/>
      <c r="AM632" s="39"/>
      <c r="AN632" s="82"/>
      <c r="AO632" s="82"/>
      <c r="AP632" s="82"/>
      <c r="AQ632" s="82"/>
      <c r="AR632" s="82"/>
      <c r="AS632" s="82"/>
      <c r="AT632" s="82"/>
      <c r="AU632" s="82"/>
      <c r="AV632" s="82"/>
      <c r="AW632" s="7"/>
      <c r="AX632" s="82"/>
      <c r="AY632" s="7"/>
      <c r="AZ632" s="7"/>
      <c r="BA632" s="7"/>
      <c r="BB632" s="7"/>
      <c r="BC632" s="7"/>
      <c r="BD632" s="7"/>
      <c r="BE632" s="7"/>
      <c r="BF632" s="7"/>
      <c r="BG632" s="7"/>
    </row>
    <row r="633">
      <c r="A633" s="39"/>
      <c r="B633" s="39"/>
      <c r="C633" s="7"/>
      <c r="D633" s="53"/>
      <c r="E633" s="7"/>
      <c r="F633" s="53"/>
      <c r="G633" s="16"/>
      <c r="H633" s="16"/>
      <c r="J633" s="39"/>
      <c r="K633" s="53"/>
      <c r="L633" s="90"/>
      <c r="M633" s="39"/>
      <c r="N633" s="321"/>
      <c r="O633" s="322"/>
      <c r="P633" s="82"/>
      <c r="Q633" s="82"/>
      <c r="R633" s="82"/>
      <c r="S633" s="16"/>
      <c r="T633" s="16"/>
      <c r="U633" s="39"/>
      <c r="V633" s="7"/>
      <c r="W633" s="7"/>
      <c r="X633" s="93"/>
      <c r="Y633" s="131"/>
      <c r="Z633" s="131"/>
      <c r="AA633" s="131"/>
      <c r="AB633" s="85"/>
      <c r="AC633" s="85"/>
      <c r="AD633" s="325"/>
      <c r="AE633" s="85"/>
      <c r="AF633" s="90"/>
      <c r="AG633" s="21"/>
      <c r="AH633" s="39"/>
      <c r="AI633" s="87"/>
      <c r="AJ633" s="81"/>
      <c r="AK633" s="90"/>
      <c r="AL633" s="81"/>
      <c r="AM633" s="39"/>
      <c r="AN633" s="82"/>
      <c r="AO633" s="82"/>
      <c r="AP633" s="82"/>
      <c r="AQ633" s="82"/>
      <c r="AR633" s="82"/>
      <c r="AS633" s="82"/>
      <c r="AT633" s="82"/>
      <c r="AU633" s="82"/>
      <c r="AV633" s="82"/>
      <c r="AW633" s="7"/>
      <c r="AX633" s="82"/>
      <c r="AY633" s="7"/>
      <c r="AZ633" s="7"/>
      <c r="BA633" s="7"/>
      <c r="BB633" s="7"/>
      <c r="BC633" s="7"/>
      <c r="BD633" s="7"/>
      <c r="BE633" s="7"/>
      <c r="BF633" s="7"/>
      <c r="BG633" s="7"/>
    </row>
    <row r="634">
      <c r="A634" s="39"/>
      <c r="B634" s="39"/>
      <c r="C634" s="7"/>
      <c r="D634" s="53"/>
      <c r="E634" s="7"/>
      <c r="F634" s="53"/>
      <c r="G634" s="16"/>
      <c r="H634" s="16"/>
      <c r="J634" s="39"/>
      <c r="K634" s="53"/>
      <c r="L634" s="90"/>
      <c r="M634" s="39"/>
      <c r="N634" s="327"/>
      <c r="O634" s="322"/>
      <c r="P634" s="82"/>
      <c r="Q634" s="82"/>
      <c r="R634" s="82"/>
      <c r="S634" s="16"/>
      <c r="T634" s="16"/>
      <c r="U634" s="39"/>
      <c r="V634" s="7"/>
      <c r="W634" s="7"/>
      <c r="X634" s="93"/>
      <c r="Y634" s="131"/>
      <c r="Z634" s="131"/>
      <c r="AA634" s="131"/>
      <c r="AB634" s="85"/>
      <c r="AC634" s="85"/>
      <c r="AD634" s="325"/>
      <c r="AE634" s="85"/>
      <c r="AF634" s="90"/>
      <c r="AG634" s="21"/>
      <c r="AH634" s="39"/>
      <c r="AI634" s="87"/>
      <c r="AJ634" s="81"/>
      <c r="AK634" s="90"/>
      <c r="AL634" s="81"/>
      <c r="AM634" s="39"/>
      <c r="AN634" s="82"/>
      <c r="AO634" s="82"/>
      <c r="AP634" s="82"/>
      <c r="AQ634" s="82"/>
      <c r="AR634" s="82"/>
      <c r="AS634" s="82"/>
      <c r="AT634" s="82"/>
      <c r="AU634" s="82"/>
      <c r="AV634" s="82"/>
      <c r="AW634" s="7"/>
      <c r="AX634" s="82"/>
      <c r="AY634" s="7"/>
      <c r="AZ634" s="7"/>
      <c r="BA634" s="7"/>
      <c r="BB634" s="7"/>
      <c r="BC634" s="7"/>
      <c r="BD634" s="7"/>
      <c r="BE634" s="7"/>
      <c r="BF634" s="7"/>
      <c r="BG634" s="7"/>
    </row>
    <row r="635">
      <c r="A635" s="39"/>
      <c r="B635" s="39"/>
      <c r="C635" s="7"/>
      <c r="D635" s="53"/>
      <c r="E635" s="7"/>
      <c r="F635" s="53"/>
      <c r="G635" s="16"/>
      <c r="H635" s="16"/>
      <c r="J635" s="39"/>
      <c r="K635" s="53"/>
      <c r="L635" s="90"/>
      <c r="M635" s="39"/>
      <c r="N635" s="327"/>
      <c r="O635" s="322"/>
      <c r="P635" s="82"/>
      <c r="Q635" s="82"/>
      <c r="R635" s="82"/>
      <c r="S635" s="16"/>
      <c r="T635" s="16"/>
      <c r="U635" s="39"/>
      <c r="V635" s="7"/>
      <c r="W635" s="7"/>
      <c r="X635" s="93"/>
      <c r="Y635" s="131"/>
      <c r="Z635" s="131"/>
      <c r="AA635" s="131"/>
      <c r="AB635" s="85"/>
      <c r="AC635" s="85"/>
      <c r="AD635" s="325"/>
      <c r="AE635" s="85"/>
      <c r="AF635" s="90"/>
      <c r="AG635" s="87"/>
      <c r="AH635" s="39"/>
      <c r="AI635" s="87"/>
      <c r="AJ635" s="81"/>
      <c r="AK635" s="90"/>
      <c r="AL635" s="81"/>
      <c r="AM635" s="39"/>
      <c r="AN635" s="82"/>
      <c r="AO635" s="82"/>
      <c r="AP635" s="82"/>
      <c r="AQ635" s="82"/>
      <c r="AR635" s="82"/>
      <c r="AS635" s="82"/>
      <c r="AT635" s="82"/>
      <c r="AU635" s="82"/>
      <c r="AV635" s="82"/>
      <c r="AW635" s="7"/>
      <c r="AX635" s="82"/>
      <c r="AY635" s="7"/>
      <c r="AZ635" s="7"/>
      <c r="BA635" s="7"/>
      <c r="BB635" s="7"/>
      <c r="BC635" s="7"/>
      <c r="BD635" s="7"/>
      <c r="BE635" s="7"/>
      <c r="BF635" s="7"/>
      <c r="BG635" s="7"/>
    </row>
    <row r="636">
      <c r="A636" s="39"/>
      <c r="B636" s="39"/>
      <c r="C636" s="7"/>
      <c r="D636" s="53"/>
      <c r="E636" s="7"/>
      <c r="F636" s="53"/>
      <c r="G636" s="16"/>
      <c r="H636" s="16"/>
      <c r="J636" s="39"/>
      <c r="K636" s="53"/>
      <c r="L636" s="90"/>
      <c r="M636" s="39"/>
      <c r="N636" s="327"/>
      <c r="O636" s="322"/>
      <c r="P636" s="82"/>
      <c r="Q636" s="82"/>
      <c r="R636" s="82"/>
      <c r="S636" s="16"/>
      <c r="T636" s="16"/>
      <c r="U636" s="39"/>
      <c r="V636" s="7"/>
      <c r="W636" s="7"/>
      <c r="X636" s="93"/>
      <c r="Y636" s="131"/>
      <c r="Z636" s="131"/>
      <c r="AA636" s="131"/>
      <c r="AB636" s="85"/>
      <c r="AC636" s="85"/>
      <c r="AD636" s="325"/>
      <c r="AE636" s="85"/>
      <c r="AF636" s="90"/>
      <c r="AG636" s="87"/>
      <c r="AH636" s="39"/>
      <c r="AI636" s="87"/>
      <c r="AJ636" s="81"/>
      <c r="AK636" s="90"/>
      <c r="AL636" s="81"/>
      <c r="AM636" s="39"/>
      <c r="AN636" s="82"/>
      <c r="AO636" s="82"/>
      <c r="AP636" s="82"/>
      <c r="AQ636" s="82"/>
      <c r="AR636" s="82"/>
      <c r="AS636" s="82"/>
      <c r="AT636" s="82"/>
      <c r="AU636" s="82"/>
      <c r="AV636" s="82"/>
      <c r="AW636" s="7"/>
      <c r="AX636" s="82"/>
      <c r="AY636" s="7"/>
      <c r="AZ636" s="7"/>
      <c r="BA636" s="7"/>
      <c r="BB636" s="7"/>
      <c r="BC636" s="7"/>
      <c r="BD636" s="7"/>
      <c r="BE636" s="7"/>
      <c r="BF636" s="7"/>
      <c r="BG636" s="7"/>
    </row>
    <row r="637">
      <c r="A637" s="39"/>
      <c r="B637" s="39"/>
      <c r="C637" s="7"/>
      <c r="D637" s="53"/>
      <c r="E637" s="7"/>
      <c r="F637" s="53"/>
      <c r="G637" s="16"/>
      <c r="H637" s="16"/>
      <c r="J637" s="39"/>
      <c r="K637" s="53"/>
      <c r="L637" s="90"/>
      <c r="M637" s="39"/>
      <c r="N637" s="327"/>
      <c r="O637" s="322"/>
      <c r="P637" s="82"/>
      <c r="Q637" s="82"/>
      <c r="R637" s="82"/>
      <c r="S637" s="16"/>
      <c r="T637" s="16"/>
      <c r="U637" s="39"/>
      <c r="V637" s="7"/>
      <c r="W637" s="7"/>
      <c r="X637" s="93"/>
      <c r="Y637" s="131"/>
      <c r="Z637" s="131"/>
      <c r="AA637" s="131"/>
      <c r="AB637" s="85"/>
      <c r="AC637" s="85"/>
      <c r="AD637" s="325"/>
      <c r="AE637" s="85"/>
      <c r="AF637" s="90"/>
      <c r="AG637" s="87"/>
      <c r="AH637" s="39"/>
      <c r="AI637" s="87"/>
      <c r="AJ637" s="81"/>
      <c r="AK637" s="90"/>
      <c r="AL637" s="81"/>
      <c r="AM637" s="39"/>
      <c r="AN637" s="82"/>
      <c r="AO637" s="82"/>
      <c r="AP637" s="82"/>
      <c r="AQ637" s="82"/>
      <c r="AR637" s="82"/>
      <c r="AS637" s="82"/>
      <c r="AT637" s="82"/>
      <c r="AU637" s="82"/>
      <c r="AV637" s="82"/>
      <c r="AW637" s="7"/>
      <c r="AX637" s="82"/>
      <c r="AY637" s="7"/>
      <c r="AZ637" s="7"/>
      <c r="BA637" s="7"/>
      <c r="BB637" s="7"/>
      <c r="BC637" s="7"/>
      <c r="BD637" s="7"/>
      <c r="BE637" s="7"/>
      <c r="BF637" s="7"/>
      <c r="BG637" s="7"/>
    </row>
    <row r="638">
      <c r="A638" s="39"/>
      <c r="B638" s="39"/>
      <c r="C638" s="7"/>
      <c r="D638" s="53"/>
      <c r="E638" s="7"/>
      <c r="F638" s="53"/>
      <c r="G638" s="16"/>
      <c r="H638" s="16"/>
      <c r="J638" s="39"/>
      <c r="K638" s="53"/>
      <c r="L638" s="90"/>
      <c r="M638" s="39"/>
      <c r="N638" s="327"/>
      <c r="O638" s="322"/>
      <c r="P638" s="82"/>
      <c r="Q638" s="82"/>
      <c r="R638" s="82"/>
      <c r="S638" s="16"/>
      <c r="T638" s="16"/>
      <c r="U638" s="39"/>
      <c r="V638" s="7"/>
      <c r="W638" s="7"/>
      <c r="X638" s="93"/>
      <c r="Y638" s="131"/>
      <c r="Z638" s="131"/>
      <c r="AA638" s="131"/>
      <c r="AB638" s="85"/>
      <c r="AC638" s="85"/>
      <c r="AD638" s="325"/>
      <c r="AE638" s="85"/>
      <c r="AF638" s="90"/>
      <c r="AG638" s="87"/>
      <c r="AH638" s="39"/>
      <c r="AI638" s="87"/>
      <c r="AJ638" s="81"/>
      <c r="AK638" s="90"/>
      <c r="AL638" s="81"/>
      <c r="AM638" s="39"/>
      <c r="AN638" s="82"/>
      <c r="AO638" s="82"/>
      <c r="AP638" s="82"/>
      <c r="AQ638" s="82"/>
      <c r="AR638" s="82"/>
      <c r="AS638" s="82"/>
      <c r="AT638" s="82"/>
      <c r="AU638" s="82"/>
      <c r="AV638" s="82"/>
      <c r="AW638" s="7"/>
      <c r="AX638" s="82"/>
      <c r="AY638" s="7"/>
      <c r="AZ638" s="7"/>
      <c r="BA638" s="7"/>
      <c r="BB638" s="7"/>
      <c r="BC638" s="7"/>
      <c r="BD638" s="7"/>
      <c r="BE638" s="7"/>
      <c r="BF638" s="7"/>
      <c r="BG638" s="7"/>
    </row>
    <row r="639">
      <c r="A639" s="39"/>
      <c r="B639" s="39"/>
      <c r="C639" s="7"/>
      <c r="D639" s="53"/>
      <c r="E639" s="7"/>
      <c r="F639" s="53"/>
      <c r="G639" s="16"/>
      <c r="H639" s="16"/>
      <c r="J639" s="39"/>
      <c r="K639" s="53"/>
      <c r="L639" s="90"/>
      <c r="M639" s="39"/>
      <c r="N639" s="327"/>
      <c r="O639" s="322"/>
      <c r="P639" s="82"/>
      <c r="Q639" s="82"/>
      <c r="R639" s="82"/>
      <c r="S639" s="16"/>
      <c r="T639" s="16"/>
      <c r="U639" s="39"/>
      <c r="V639" s="7"/>
      <c r="W639" s="7"/>
      <c r="X639" s="93"/>
      <c r="Y639" s="131"/>
      <c r="Z639" s="131"/>
      <c r="AA639" s="131"/>
      <c r="AB639" s="85"/>
      <c r="AC639" s="85"/>
      <c r="AD639" s="325"/>
      <c r="AE639" s="85"/>
      <c r="AF639" s="90"/>
      <c r="AG639" s="87"/>
      <c r="AH639" s="39"/>
      <c r="AI639" s="87"/>
      <c r="AJ639" s="81"/>
      <c r="AK639" s="90"/>
      <c r="AL639" s="81"/>
      <c r="AM639" s="39"/>
      <c r="AN639" s="82"/>
      <c r="AO639" s="82"/>
      <c r="AP639" s="82"/>
      <c r="AQ639" s="82"/>
      <c r="AR639" s="82"/>
      <c r="AS639" s="82"/>
      <c r="AT639" s="82"/>
      <c r="AU639" s="82"/>
      <c r="AV639" s="82"/>
      <c r="AW639" s="7"/>
      <c r="AX639" s="82"/>
      <c r="AY639" s="7"/>
      <c r="AZ639" s="7"/>
      <c r="BA639" s="7"/>
      <c r="BB639" s="7"/>
      <c r="BC639" s="7"/>
      <c r="BD639" s="7"/>
      <c r="BE639" s="7"/>
      <c r="BF639" s="7"/>
      <c r="BG639" s="7"/>
    </row>
    <row r="640">
      <c r="A640" s="39"/>
      <c r="B640" s="39"/>
      <c r="C640" s="7"/>
      <c r="D640" s="53"/>
      <c r="E640" s="7"/>
      <c r="F640" s="53"/>
      <c r="G640" s="16"/>
      <c r="H640" s="16"/>
      <c r="J640" s="39"/>
      <c r="K640" s="53"/>
      <c r="L640" s="90"/>
      <c r="M640" s="39"/>
      <c r="N640" s="327"/>
      <c r="O640" s="322"/>
      <c r="P640" s="82"/>
      <c r="Q640" s="82"/>
      <c r="R640" s="82"/>
      <c r="S640" s="16"/>
      <c r="T640" s="16"/>
      <c r="U640" s="39"/>
      <c r="V640" s="7"/>
      <c r="W640" s="7"/>
      <c r="X640" s="93"/>
      <c r="Y640" s="131"/>
      <c r="Z640" s="131"/>
      <c r="AA640" s="131"/>
      <c r="AB640" s="85"/>
      <c r="AC640" s="85"/>
      <c r="AD640" s="325"/>
      <c r="AE640" s="85"/>
      <c r="AF640" s="90"/>
      <c r="AG640" s="87"/>
      <c r="AH640" s="39"/>
      <c r="AI640" s="87"/>
      <c r="AJ640" s="81"/>
      <c r="AK640" s="90"/>
      <c r="AL640" s="81"/>
      <c r="AM640" s="39"/>
      <c r="AN640" s="82"/>
      <c r="AO640" s="82"/>
      <c r="AP640" s="82"/>
      <c r="AQ640" s="82"/>
      <c r="AR640" s="82"/>
      <c r="AS640" s="82"/>
      <c r="AT640" s="82"/>
      <c r="AU640" s="82"/>
      <c r="AV640" s="82"/>
      <c r="AW640" s="7"/>
      <c r="AX640" s="82"/>
      <c r="AY640" s="7"/>
      <c r="AZ640" s="7"/>
      <c r="BA640" s="7"/>
      <c r="BB640" s="7"/>
      <c r="BC640" s="7"/>
      <c r="BD640" s="7"/>
      <c r="BE640" s="7"/>
      <c r="BF640" s="7"/>
      <c r="BG640" s="7"/>
    </row>
    <row r="641">
      <c r="A641" s="39"/>
      <c r="B641" s="39"/>
      <c r="C641" s="7"/>
      <c r="D641" s="53"/>
      <c r="E641" s="7"/>
      <c r="F641" s="53"/>
      <c r="G641" s="16"/>
      <c r="H641" s="81"/>
      <c r="J641" s="39"/>
      <c r="K641" s="53"/>
      <c r="L641" s="90"/>
      <c r="M641" s="39"/>
      <c r="N641" s="327"/>
      <c r="O641" s="367"/>
      <c r="P641" s="82"/>
      <c r="Q641" s="82"/>
      <c r="R641" s="82"/>
      <c r="S641" s="81"/>
      <c r="T641" s="16"/>
      <c r="U641" s="39"/>
      <c r="V641" s="7"/>
      <c r="W641" s="7"/>
      <c r="X641" s="93"/>
      <c r="Y641" s="131"/>
      <c r="Z641" s="131"/>
      <c r="AA641" s="131"/>
      <c r="AB641" s="131"/>
      <c r="AC641" s="131"/>
      <c r="AD641" s="325"/>
      <c r="AE641" s="85"/>
      <c r="AF641" s="90"/>
      <c r="AG641" s="87"/>
      <c r="AH641" s="39"/>
      <c r="AI641" s="87"/>
      <c r="AJ641" s="81"/>
      <c r="AK641" s="90"/>
      <c r="AL641" s="81"/>
      <c r="AM641" s="39"/>
      <c r="AN641" s="82"/>
      <c r="AO641" s="82"/>
      <c r="AP641" s="82"/>
      <c r="AQ641" s="7"/>
      <c r="AR641" s="7"/>
      <c r="AS641" s="7"/>
      <c r="AT641" s="7"/>
      <c r="AU641" s="7"/>
      <c r="AV641" s="7"/>
      <c r="AW641" s="7"/>
      <c r="AX641" s="82"/>
      <c r="AY641" s="7"/>
      <c r="AZ641" s="7"/>
      <c r="BA641" s="7"/>
      <c r="BB641" s="7"/>
      <c r="BC641" s="7"/>
      <c r="BD641" s="7"/>
      <c r="BE641" s="7"/>
      <c r="BF641" s="7"/>
      <c r="BG641" s="7"/>
    </row>
    <row r="642">
      <c r="A642" s="39"/>
      <c r="B642" s="39"/>
      <c r="C642" s="7"/>
      <c r="D642" s="53"/>
      <c r="E642" s="7"/>
      <c r="F642" s="53"/>
      <c r="G642" s="16"/>
      <c r="H642" s="81"/>
      <c r="J642" s="39"/>
      <c r="K642" s="53"/>
      <c r="L642" s="90"/>
      <c r="M642" s="39"/>
      <c r="N642" s="327"/>
      <c r="O642" s="367"/>
      <c r="P642" s="82"/>
      <c r="Q642" s="82"/>
      <c r="R642" s="82"/>
      <c r="S642" s="81"/>
      <c r="T642" s="39"/>
      <c r="U642" s="39"/>
      <c r="V642" s="7"/>
      <c r="W642" s="7"/>
      <c r="X642" s="93"/>
      <c r="Y642" s="131"/>
      <c r="Z642" s="131"/>
      <c r="AA642" s="131"/>
      <c r="AB642" s="131"/>
      <c r="AC642" s="131"/>
      <c r="AD642" s="323"/>
      <c r="AE642" s="131"/>
      <c r="AF642" s="90"/>
      <c r="AG642" s="87"/>
      <c r="AH642" s="39"/>
      <c r="AI642" s="87"/>
      <c r="AJ642" s="81"/>
      <c r="AK642" s="90"/>
      <c r="AL642" s="81"/>
      <c r="AM642" s="39"/>
      <c r="AN642" s="82"/>
      <c r="AO642" s="82"/>
      <c r="AP642" s="82"/>
      <c r="AQ642" s="7"/>
      <c r="AR642" s="7"/>
      <c r="AS642" s="82"/>
      <c r="AT642" s="7"/>
      <c r="AU642" s="82"/>
      <c r="AV642" s="7"/>
      <c r="AW642" s="7"/>
      <c r="AX642" s="82"/>
      <c r="AY642" s="7"/>
      <c r="AZ642" s="7"/>
      <c r="BA642" s="7"/>
      <c r="BB642" s="7"/>
      <c r="BC642" s="7"/>
      <c r="BD642" s="7"/>
      <c r="BE642" s="7"/>
      <c r="BF642" s="7"/>
      <c r="BG642" s="7"/>
    </row>
    <row r="643">
      <c r="A643" s="39"/>
      <c r="B643" s="39"/>
      <c r="C643" s="7"/>
      <c r="D643" s="53"/>
      <c r="E643" s="7"/>
      <c r="F643" s="53"/>
      <c r="G643" s="16"/>
      <c r="H643" s="81"/>
      <c r="J643" s="39"/>
      <c r="K643" s="53"/>
      <c r="L643" s="90"/>
      <c r="M643" s="39"/>
      <c r="N643" s="327"/>
      <c r="O643" s="367"/>
      <c r="P643" s="82"/>
      <c r="Q643" s="82"/>
      <c r="R643" s="82"/>
      <c r="S643" s="81"/>
      <c r="T643" s="16"/>
      <c r="U643" s="39"/>
      <c r="V643" s="7"/>
      <c r="W643" s="7"/>
      <c r="X643" s="93"/>
      <c r="Y643" s="131"/>
      <c r="Z643" s="131"/>
      <c r="AA643" s="131"/>
      <c r="AB643" s="131"/>
      <c r="AC643" s="131"/>
      <c r="AD643" s="323"/>
      <c r="AE643" s="131"/>
      <c r="AF643" s="90"/>
      <c r="AG643" s="87"/>
      <c r="AH643" s="39"/>
      <c r="AI643" s="87"/>
      <c r="AJ643" s="81"/>
      <c r="AK643" s="90"/>
      <c r="AL643" s="81"/>
      <c r="AM643" s="39"/>
      <c r="AN643" s="82"/>
      <c r="AO643" s="82"/>
      <c r="AP643" s="82"/>
      <c r="AQ643" s="82"/>
      <c r="AR643" s="82"/>
      <c r="AS643" s="82"/>
      <c r="AT643" s="82"/>
      <c r="AU643" s="82"/>
      <c r="AV643" s="82"/>
      <c r="AW643" s="7"/>
      <c r="AX643" s="82"/>
      <c r="AY643" s="7"/>
      <c r="AZ643" s="7"/>
      <c r="BA643" s="7"/>
      <c r="BB643" s="7"/>
      <c r="BC643" s="7"/>
      <c r="BD643" s="7"/>
      <c r="BE643" s="7"/>
      <c r="BF643" s="7"/>
      <c r="BG643" s="7"/>
    </row>
    <row r="644">
      <c r="A644" s="39"/>
      <c r="B644" s="39"/>
      <c r="C644" s="7"/>
      <c r="D644" s="53"/>
      <c r="E644" s="7"/>
      <c r="F644" s="53"/>
      <c r="G644" s="16"/>
      <c r="H644" s="81"/>
      <c r="J644" s="39"/>
      <c r="K644" s="53"/>
      <c r="L644" s="90"/>
      <c r="M644" s="39"/>
      <c r="N644" s="327"/>
      <c r="O644" s="367"/>
      <c r="P644" s="82"/>
      <c r="Q644" s="82"/>
      <c r="R644" s="82"/>
      <c r="S644" s="81"/>
      <c r="T644" s="16"/>
      <c r="U644" s="39"/>
      <c r="V644" s="7"/>
      <c r="W644" s="7"/>
      <c r="X644" s="93"/>
      <c r="Y644" s="131"/>
      <c r="Z644" s="131"/>
      <c r="AA644" s="131"/>
      <c r="AB644" s="131"/>
      <c r="AC644" s="131"/>
      <c r="AD644" s="323"/>
      <c r="AE644" s="131"/>
      <c r="AF644" s="90"/>
      <c r="AG644" s="87"/>
      <c r="AH644" s="39"/>
      <c r="AI644" s="87"/>
      <c r="AJ644" s="81"/>
      <c r="AK644" s="90"/>
      <c r="AL644" s="81"/>
      <c r="AM644" s="39"/>
      <c r="AN644" s="82"/>
      <c r="AO644" s="82"/>
      <c r="AP644" s="82"/>
      <c r="AQ644" s="82"/>
      <c r="AR644" s="7"/>
      <c r="AS644" s="82"/>
      <c r="AT644" s="7"/>
      <c r="AU644" s="152"/>
      <c r="AV644" s="7"/>
      <c r="AW644" s="7"/>
      <c r="AX644" s="82"/>
      <c r="AY644" s="7"/>
      <c r="AZ644" s="7"/>
      <c r="BA644" s="7"/>
      <c r="BB644" s="7"/>
      <c r="BC644" s="7"/>
      <c r="BD644" s="7"/>
      <c r="BE644" s="7"/>
      <c r="BF644" s="7"/>
      <c r="BG644" s="7"/>
    </row>
    <row r="645">
      <c r="A645" s="39"/>
      <c r="B645" s="39"/>
      <c r="C645" s="7"/>
      <c r="D645" s="53"/>
      <c r="E645" s="7"/>
      <c r="F645" s="53"/>
      <c r="G645" s="16"/>
      <c r="H645" s="81"/>
      <c r="J645" s="39"/>
      <c r="K645" s="53"/>
      <c r="L645" s="90"/>
      <c r="M645" s="39"/>
      <c r="N645" s="327"/>
      <c r="O645" s="367"/>
      <c r="P645" s="82"/>
      <c r="Q645" s="82"/>
      <c r="R645" s="82"/>
      <c r="S645" s="81"/>
      <c r="T645" s="39"/>
      <c r="U645" s="39"/>
      <c r="V645" s="7"/>
      <c r="W645" s="7"/>
      <c r="X645" s="93"/>
      <c r="Y645" s="131"/>
      <c r="Z645" s="131"/>
      <c r="AA645" s="131"/>
      <c r="AB645" s="131"/>
      <c r="AC645" s="131"/>
      <c r="AD645" s="323"/>
      <c r="AE645" s="131"/>
      <c r="AF645" s="90"/>
      <c r="AG645" s="87"/>
      <c r="AH645" s="39"/>
      <c r="AI645" s="87"/>
      <c r="AJ645" s="81"/>
      <c r="AK645" s="90"/>
      <c r="AL645" s="81"/>
      <c r="AM645" s="39"/>
      <c r="AN645" s="82"/>
      <c r="AO645" s="82"/>
      <c r="AP645" s="82"/>
      <c r="AQ645" s="82"/>
      <c r="AR645" s="7"/>
      <c r="AS645" s="82"/>
      <c r="AT645" s="7"/>
      <c r="AU645" s="82"/>
      <c r="AV645" s="7"/>
      <c r="AW645" s="7"/>
      <c r="AX645" s="82"/>
      <c r="AY645" s="7"/>
      <c r="AZ645" s="7"/>
      <c r="BA645" s="7"/>
      <c r="BB645" s="7"/>
      <c r="BC645" s="7"/>
      <c r="BD645" s="7"/>
      <c r="BE645" s="7"/>
      <c r="BF645" s="7"/>
      <c r="BG645" s="7"/>
    </row>
    <row r="646">
      <c r="A646" s="39"/>
      <c r="B646" s="39"/>
      <c r="C646" s="7"/>
      <c r="D646" s="53"/>
      <c r="E646" s="7"/>
      <c r="F646" s="53"/>
      <c r="G646" s="16"/>
      <c r="H646" s="81"/>
      <c r="J646" s="39"/>
      <c r="K646" s="53"/>
      <c r="L646" s="90"/>
      <c r="M646" s="39"/>
      <c r="N646" s="327"/>
      <c r="O646" s="367"/>
      <c r="P646" s="82"/>
      <c r="Q646" s="82"/>
      <c r="R646" s="82"/>
      <c r="S646" s="81"/>
      <c r="T646" s="16"/>
      <c r="U646" s="39"/>
      <c r="V646" s="7"/>
      <c r="W646" s="7"/>
      <c r="X646" s="93"/>
      <c r="Y646" s="131"/>
      <c r="Z646" s="131"/>
      <c r="AA646" s="131"/>
      <c r="AB646" s="131"/>
      <c r="AC646" s="131"/>
      <c r="AD646" s="323"/>
      <c r="AE646" s="131"/>
      <c r="AF646" s="90"/>
      <c r="AG646" s="87"/>
      <c r="AH646" s="39"/>
      <c r="AI646" s="87"/>
      <c r="AJ646" s="81"/>
      <c r="AK646" s="90"/>
      <c r="AL646" s="81"/>
      <c r="AM646" s="39"/>
      <c r="AN646" s="82"/>
      <c r="AO646" s="82"/>
      <c r="AP646" s="82"/>
      <c r="AQ646" s="7"/>
      <c r="AR646" s="82"/>
      <c r="AS646" s="82"/>
      <c r="AT646" s="82"/>
      <c r="AU646" s="82"/>
      <c r="AV646" s="82"/>
      <c r="AW646" s="7"/>
      <c r="AX646" s="82"/>
      <c r="AY646" s="7"/>
      <c r="AZ646" s="7"/>
      <c r="BA646" s="7"/>
      <c r="BB646" s="7"/>
      <c r="BC646" s="7"/>
      <c r="BD646" s="7"/>
      <c r="BE646" s="7"/>
      <c r="BF646" s="7"/>
      <c r="BG646" s="7"/>
    </row>
    <row r="647">
      <c r="A647" s="39"/>
      <c r="B647" s="39"/>
      <c r="C647" s="7"/>
      <c r="D647" s="53"/>
      <c r="E647" s="7"/>
      <c r="F647" s="53"/>
      <c r="G647" s="16"/>
      <c r="H647" s="81"/>
      <c r="J647" s="39"/>
      <c r="K647" s="53"/>
      <c r="L647" s="90"/>
      <c r="M647" s="39"/>
      <c r="N647" s="327"/>
      <c r="O647" s="367"/>
      <c r="P647" s="82"/>
      <c r="Q647" s="82"/>
      <c r="R647" s="82"/>
      <c r="S647" s="81"/>
      <c r="T647" s="16"/>
      <c r="U647" s="39"/>
      <c r="V647" s="7"/>
      <c r="W647" s="7"/>
      <c r="X647" s="93"/>
      <c r="Y647" s="131"/>
      <c r="Z647" s="131"/>
      <c r="AA647" s="131"/>
      <c r="AB647" s="131"/>
      <c r="AC647" s="131"/>
      <c r="AD647" s="323"/>
      <c r="AE647" s="131"/>
      <c r="AF647" s="90"/>
      <c r="AG647" s="87"/>
      <c r="AH647" s="39"/>
      <c r="AI647" s="87"/>
      <c r="AJ647" s="81"/>
      <c r="AK647" s="90"/>
      <c r="AL647" s="81"/>
      <c r="AM647" s="39"/>
      <c r="AN647" s="82"/>
      <c r="AO647" s="82"/>
      <c r="AP647" s="82"/>
      <c r="AQ647" s="7"/>
      <c r="AR647" s="7"/>
      <c r="AS647" s="82"/>
      <c r="AT647" s="7"/>
      <c r="AU647" s="82"/>
      <c r="AV647" s="7"/>
      <c r="AW647" s="7"/>
      <c r="AX647" s="82"/>
      <c r="AY647" s="7"/>
      <c r="AZ647" s="7"/>
      <c r="BA647" s="7"/>
      <c r="BB647" s="7"/>
      <c r="BC647" s="7"/>
      <c r="BD647" s="7"/>
      <c r="BE647" s="7"/>
      <c r="BF647" s="7"/>
      <c r="BG647" s="7"/>
    </row>
    <row r="648">
      <c r="A648" s="39"/>
      <c r="B648" s="39"/>
      <c r="C648" s="7"/>
      <c r="D648" s="53"/>
      <c r="E648" s="7"/>
      <c r="F648" s="53"/>
      <c r="G648" s="16"/>
      <c r="H648" s="81"/>
      <c r="J648" s="39"/>
      <c r="K648" s="53"/>
      <c r="L648" s="90"/>
      <c r="M648" s="39"/>
      <c r="N648" s="327"/>
      <c r="O648" s="367"/>
      <c r="P648" s="82"/>
      <c r="Q648" s="82"/>
      <c r="R648" s="82"/>
      <c r="S648" s="81"/>
      <c r="T648" s="16"/>
      <c r="U648" s="39"/>
      <c r="V648" s="7"/>
      <c r="W648" s="7"/>
      <c r="X648" s="93"/>
      <c r="Y648" s="131"/>
      <c r="Z648" s="131"/>
      <c r="AA648" s="131"/>
      <c r="AB648" s="131"/>
      <c r="AC648" s="131"/>
      <c r="AD648" s="323"/>
      <c r="AE648" s="131"/>
      <c r="AF648" s="90"/>
      <c r="AG648" s="87"/>
      <c r="AH648" s="39"/>
      <c r="AI648" s="87"/>
      <c r="AJ648" s="81"/>
      <c r="AK648" s="90"/>
      <c r="AL648" s="81"/>
      <c r="AM648" s="39"/>
      <c r="AN648" s="82"/>
      <c r="AO648" s="82"/>
      <c r="AP648" s="82"/>
      <c r="AQ648" s="122"/>
      <c r="AR648" s="82"/>
      <c r="AS648" s="82"/>
      <c r="AT648" s="82"/>
      <c r="AU648" s="82"/>
      <c r="AV648" s="82"/>
      <c r="AW648" s="7"/>
      <c r="AX648" s="82"/>
      <c r="AY648" s="7"/>
      <c r="AZ648" s="7"/>
      <c r="BA648" s="7"/>
      <c r="BB648" s="7"/>
      <c r="BC648" s="7"/>
      <c r="BD648" s="7"/>
      <c r="BE648" s="7"/>
      <c r="BF648" s="7"/>
      <c r="BG648" s="7"/>
    </row>
    <row r="649">
      <c r="A649" s="39"/>
      <c r="B649" s="39"/>
      <c r="C649" s="7"/>
      <c r="D649" s="53"/>
      <c r="E649" s="7"/>
      <c r="F649" s="53"/>
      <c r="G649" s="16"/>
      <c r="H649" s="81"/>
      <c r="J649" s="39"/>
      <c r="K649" s="53"/>
      <c r="L649" s="90"/>
      <c r="M649" s="39"/>
      <c r="N649" s="327"/>
      <c r="O649" s="367"/>
      <c r="P649" s="82"/>
      <c r="Q649" s="82"/>
      <c r="R649" s="82"/>
      <c r="S649" s="81"/>
      <c r="T649" s="16"/>
      <c r="U649" s="39"/>
      <c r="V649" s="7"/>
      <c r="W649" s="7"/>
      <c r="X649" s="93"/>
      <c r="Y649" s="131"/>
      <c r="Z649" s="131"/>
      <c r="AA649" s="131"/>
      <c r="AB649" s="131"/>
      <c r="AC649" s="131"/>
      <c r="AD649" s="323"/>
      <c r="AE649" s="131"/>
      <c r="AF649" s="90"/>
      <c r="AG649" s="87"/>
      <c r="AH649" s="39"/>
      <c r="AI649" s="87"/>
      <c r="AJ649" s="81"/>
      <c r="AK649" s="90"/>
      <c r="AL649" s="81"/>
      <c r="AM649" s="39"/>
      <c r="AN649" s="82"/>
      <c r="AO649" s="82"/>
      <c r="AP649" s="82"/>
      <c r="AQ649" s="7"/>
      <c r="AR649" s="82"/>
      <c r="AS649" s="82"/>
      <c r="AT649" s="82"/>
      <c r="AU649" s="82"/>
      <c r="AV649" s="82"/>
      <c r="AW649" s="7"/>
      <c r="AX649" s="82"/>
      <c r="AY649" s="7"/>
      <c r="AZ649" s="7"/>
      <c r="BA649" s="7"/>
      <c r="BB649" s="7"/>
      <c r="BC649" s="7"/>
      <c r="BD649" s="7"/>
      <c r="BE649" s="7"/>
      <c r="BF649" s="7"/>
      <c r="BG649" s="7"/>
    </row>
    <row r="650">
      <c r="A650" s="39"/>
      <c r="B650" s="39"/>
      <c r="C650" s="7"/>
      <c r="D650" s="53"/>
      <c r="E650" s="7"/>
      <c r="F650" s="53"/>
      <c r="G650" s="16"/>
      <c r="H650" s="81"/>
      <c r="J650" s="39"/>
      <c r="K650" s="53"/>
      <c r="L650" s="90"/>
      <c r="M650" s="39"/>
      <c r="N650" s="327"/>
      <c r="O650" s="367"/>
      <c r="P650" s="82"/>
      <c r="Q650" s="82"/>
      <c r="R650" s="82"/>
      <c r="S650" s="81"/>
      <c r="T650" s="16"/>
      <c r="U650" s="39"/>
      <c r="V650" s="7"/>
      <c r="W650" s="7"/>
      <c r="X650" s="93"/>
      <c r="Y650" s="131"/>
      <c r="Z650" s="131"/>
      <c r="AA650" s="131"/>
      <c r="AB650" s="131"/>
      <c r="AC650" s="131"/>
      <c r="AD650" s="323"/>
      <c r="AE650" s="131"/>
      <c r="AF650" s="90"/>
      <c r="AG650" s="87"/>
      <c r="AH650" s="39"/>
      <c r="AI650" s="87"/>
      <c r="AJ650" s="81"/>
      <c r="AK650" s="90"/>
      <c r="AL650" s="81"/>
      <c r="AM650" s="39"/>
      <c r="AN650" s="82"/>
      <c r="AO650" s="82"/>
      <c r="AP650" s="82"/>
      <c r="AQ650" s="122"/>
      <c r="AR650" s="82"/>
      <c r="AS650" s="82"/>
      <c r="AT650" s="82"/>
      <c r="AU650" s="82"/>
      <c r="AV650" s="82"/>
      <c r="AW650" s="7"/>
      <c r="AX650" s="82"/>
      <c r="AY650" s="7"/>
      <c r="AZ650" s="7"/>
      <c r="BA650" s="7"/>
      <c r="BB650" s="7"/>
      <c r="BC650" s="7"/>
      <c r="BD650" s="7"/>
      <c r="BE650" s="7"/>
      <c r="BF650" s="7"/>
      <c r="BG650" s="7"/>
    </row>
    <row r="651">
      <c r="A651" s="39"/>
      <c r="B651" s="39"/>
      <c r="C651" s="7"/>
      <c r="D651" s="53"/>
      <c r="E651" s="7"/>
      <c r="F651" s="53"/>
      <c r="G651" s="16"/>
      <c r="H651" s="81"/>
      <c r="J651" s="39"/>
      <c r="K651" s="53"/>
      <c r="L651" s="90"/>
      <c r="M651" s="39"/>
      <c r="N651" s="327"/>
      <c r="O651" s="367"/>
      <c r="P651" s="82"/>
      <c r="Q651" s="82"/>
      <c r="R651" s="82"/>
      <c r="S651" s="81"/>
      <c r="T651" s="16"/>
      <c r="U651" s="39"/>
      <c r="V651" s="7"/>
      <c r="W651" s="7"/>
      <c r="X651" s="93"/>
      <c r="Y651" s="131"/>
      <c r="Z651" s="131"/>
      <c r="AA651" s="131"/>
      <c r="AB651" s="131"/>
      <c r="AC651" s="131"/>
      <c r="AD651" s="323"/>
      <c r="AE651" s="131"/>
      <c r="AF651" s="90"/>
      <c r="AG651" s="87"/>
      <c r="AH651" s="39"/>
      <c r="AI651" s="87"/>
      <c r="AJ651" s="81"/>
      <c r="AK651" s="90"/>
      <c r="AL651" s="81"/>
      <c r="AM651" s="39"/>
      <c r="AN651" s="82"/>
      <c r="AO651" s="82"/>
      <c r="AP651" s="82"/>
      <c r="AQ651" s="122"/>
      <c r="AR651" s="82"/>
      <c r="AS651" s="82"/>
      <c r="AT651" s="82"/>
      <c r="AU651" s="82"/>
      <c r="AV651" s="82"/>
      <c r="AW651" s="7"/>
      <c r="AX651" s="82"/>
      <c r="AY651" s="7"/>
      <c r="AZ651" s="7"/>
      <c r="BA651" s="7"/>
      <c r="BB651" s="7"/>
      <c r="BC651" s="7"/>
      <c r="BD651" s="7"/>
      <c r="BE651" s="7"/>
      <c r="BF651" s="7"/>
      <c r="BG651" s="7"/>
    </row>
    <row r="652">
      <c r="A652" s="39"/>
      <c r="B652" s="39"/>
      <c r="C652" s="7"/>
      <c r="D652" s="53"/>
      <c r="E652" s="7"/>
      <c r="F652" s="53"/>
      <c r="G652" s="16"/>
      <c r="H652" s="81"/>
      <c r="J652" s="39"/>
      <c r="K652" s="53"/>
      <c r="L652" s="90"/>
      <c r="M652" s="39"/>
      <c r="N652" s="327"/>
      <c r="O652" s="367"/>
      <c r="P652" s="82"/>
      <c r="Q652" s="82"/>
      <c r="R652" s="82"/>
      <c r="S652" s="81"/>
      <c r="T652" s="16"/>
      <c r="U652" s="39"/>
      <c r="V652" s="7"/>
      <c r="W652" s="7"/>
      <c r="X652" s="93"/>
      <c r="Y652" s="131"/>
      <c r="Z652" s="131"/>
      <c r="AA652" s="131"/>
      <c r="AB652" s="131"/>
      <c r="AC652" s="131"/>
      <c r="AD652" s="323"/>
      <c r="AE652" s="131"/>
      <c r="AF652" s="90"/>
      <c r="AG652" s="87"/>
      <c r="AH652" s="39"/>
      <c r="AI652" s="87"/>
      <c r="AJ652" s="81"/>
      <c r="AK652" s="90"/>
      <c r="AL652" s="81"/>
      <c r="AM652" s="39"/>
      <c r="AN652" s="82"/>
      <c r="AO652" s="82"/>
      <c r="AP652" s="82"/>
      <c r="AQ652" s="122"/>
      <c r="AR652" s="82"/>
      <c r="AS652" s="82"/>
      <c r="AT652" s="82"/>
      <c r="AU652" s="82"/>
      <c r="AV652" s="82"/>
      <c r="AW652" s="7"/>
      <c r="AX652" s="82"/>
      <c r="AY652" s="7"/>
      <c r="AZ652" s="7"/>
      <c r="BA652" s="7"/>
      <c r="BB652" s="7"/>
      <c r="BC652" s="7"/>
      <c r="BD652" s="7"/>
      <c r="BE652" s="7"/>
      <c r="BF652" s="7"/>
      <c r="BG652" s="7"/>
    </row>
    <row r="653">
      <c r="A653" s="39"/>
      <c r="B653" s="39"/>
      <c r="C653" s="7"/>
      <c r="D653" s="53"/>
      <c r="E653" s="7"/>
      <c r="F653" s="53"/>
      <c r="G653" s="16"/>
      <c r="H653" s="81"/>
      <c r="J653" s="39"/>
      <c r="K653" s="53"/>
      <c r="L653" s="90"/>
      <c r="M653" s="39"/>
      <c r="N653" s="327"/>
      <c r="O653" s="367"/>
      <c r="P653" s="82"/>
      <c r="Q653" s="82"/>
      <c r="R653" s="82"/>
      <c r="S653" s="81"/>
      <c r="T653" s="81"/>
      <c r="U653" s="39"/>
      <c r="V653" s="7"/>
      <c r="W653" s="7"/>
      <c r="X653" s="93"/>
      <c r="Y653" s="131"/>
      <c r="Z653" s="131"/>
      <c r="AA653" s="131"/>
      <c r="AB653" s="131"/>
      <c r="AC653" s="131"/>
      <c r="AD653" s="323"/>
      <c r="AE653" s="131"/>
      <c r="AF653" s="90"/>
      <c r="AG653" s="21"/>
      <c r="AH653" s="39"/>
      <c r="AI653" s="87"/>
      <c r="AJ653" s="81"/>
      <c r="AK653" s="90"/>
      <c r="AL653" s="81"/>
      <c r="AM653" s="39"/>
      <c r="AN653" s="82"/>
      <c r="AO653" s="82"/>
      <c r="AP653" s="82"/>
      <c r="AQ653" s="7"/>
      <c r="AR653" s="7"/>
      <c r="AS653" s="7"/>
      <c r="AT653" s="7"/>
      <c r="AU653" s="7"/>
      <c r="AV653" s="7"/>
      <c r="AW653" s="7"/>
      <c r="AX653" s="82"/>
      <c r="AY653" s="7"/>
      <c r="AZ653" s="7"/>
      <c r="BA653" s="7"/>
      <c r="BB653" s="7"/>
      <c r="BC653" s="7"/>
      <c r="BD653" s="7"/>
      <c r="BE653" s="7"/>
      <c r="BF653" s="7"/>
      <c r="BG653" s="7"/>
    </row>
    <row r="654">
      <c r="A654" s="39"/>
      <c r="B654" s="39"/>
      <c r="C654" s="7"/>
      <c r="D654" s="53"/>
      <c r="E654" s="7"/>
      <c r="F654" s="53"/>
      <c r="G654" s="16"/>
      <c r="H654" s="81"/>
      <c r="J654" s="39"/>
      <c r="K654" s="53"/>
      <c r="L654" s="90"/>
      <c r="M654" s="39"/>
      <c r="N654" s="327"/>
      <c r="O654" s="367"/>
      <c r="P654" s="82"/>
      <c r="Q654" s="82"/>
      <c r="R654" s="82"/>
      <c r="S654" s="81"/>
      <c r="T654" s="39"/>
      <c r="U654" s="39"/>
      <c r="V654" s="7"/>
      <c r="W654" s="7"/>
      <c r="X654" s="93"/>
      <c r="Y654" s="131"/>
      <c r="Z654" s="131"/>
      <c r="AA654" s="131"/>
      <c r="AB654" s="131"/>
      <c r="AC654" s="131"/>
      <c r="AD654" s="323"/>
      <c r="AE654" s="131"/>
      <c r="AF654" s="90"/>
      <c r="AG654" s="21"/>
      <c r="AH654" s="39"/>
      <c r="AI654" s="87"/>
      <c r="AJ654" s="81"/>
      <c r="AK654" s="90"/>
      <c r="AL654" s="81"/>
      <c r="AM654" s="39"/>
      <c r="AN654" s="82"/>
      <c r="AO654" s="82"/>
      <c r="AP654" s="82"/>
      <c r="AQ654" s="7"/>
      <c r="AR654" s="7"/>
      <c r="AS654" s="82"/>
      <c r="AT654" s="7"/>
      <c r="AU654" s="82"/>
      <c r="AV654" s="7"/>
      <c r="AW654" s="7"/>
      <c r="AX654" s="82"/>
      <c r="AY654" s="7"/>
      <c r="AZ654" s="7"/>
      <c r="BA654" s="7"/>
      <c r="BB654" s="7"/>
      <c r="BC654" s="7"/>
      <c r="BD654" s="7"/>
      <c r="BE654" s="7"/>
      <c r="BF654" s="7"/>
      <c r="BG654" s="7"/>
    </row>
    <row r="655">
      <c r="A655" s="39"/>
      <c r="B655" s="39"/>
      <c r="C655" s="7"/>
      <c r="D655" s="53"/>
      <c r="E655" s="7"/>
      <c r="F655" s="53"/>
      <c r="G655" s="16"/>
      <c r="H655" s="81"/>
      <c r="J655" s="39"/>
      <c r="K655" s="53"/>
      <c r="L655" s="90"/>
      <c r="M655" s="39"/>
      <c r="N655" s="327"/>
      <c r="O655" s="367"/>
      <c r="P655" s="82"/>
      <c r="Q655" s="82"/>
      <c r="R655" s="82"/>
      <c r="S655" s="81"/>
      <c r="T655" s="16"/>
      <c r="U655" s="39"/>
      <c r="V655" s="7"/>
      <c r="W655" s="7"/>
      <c r="X655" s="93"/>
      <c r="Y655" s="131"/>
      <c r="Z655" s="131"/>
      <c r="AA655" s="131"/>
      <c r="AB655" s="131"/>
      <c r="AC655" s="131"/>
      <c r="AD655" s="323"/>
      <c r="AE655" s="131"/>
      <c r="AF655" s="90"/>
      <c r="AG655" s="21"/>
      <c r="AH655" s="39"/>
      <c r="AI655" s="87"/>
      <c r="AJ655" s="81"/>
      <c r="AK655" s="90"/>
      <c r="AL655" s="81"/>
      <c r="AM655" s="39"/>
      <c r="AN655" s="82"/>
      <c r="AO655" s="82"/>
      <c r="AP655" s="82"/>
      <c r="AQ655" s="7"/>
      <c r="AR655" s="82"/>
      <c r="AS655" s="82"/>
      <c r="AT655" s="82"/>
      <c r="AU655" s="82"/>
      <c r="AV655" s="82"/>
      <c r="AW655" s="7"/>
      <c r="AX655" s="82"/>
      <c r="AY655" s="7"/>
      <c r="AZ655" s="7"/>
      <c r="BA655" s="7"/>
      <c r="BB655" s="7"/>
      <c r="BC655" s="7"/>
      <c r="BD655" s="7"/>
      <c r="BE655" s="7"/>
      <c r="BF655" s="7"/>
      <c r="BG655" s="7"/>
    </row>
    <row r="656">
      <c r="A656" s="39"/>
      <c r="B656" s="39"/>
      <c r="C656" s="7"/>
      <c r="D656" s="53"/>
      <c r="E656" s="7"/>
      <c r="F656" s="53"/>
      <c r="G656" s="16"/>
      <c r="H656" s="81"/>
      <c r="J656" s="39"/>
      <c r="K656" s="53"/>
      <c r="L656" s="90"/>
      <c r="M656" s="39"/>
      <c r="N656" s="327"/>
      <c r="O656" s="367"/>
      <c r="P656" s="82"/>
      <c r="Q656" s="82"/>
      <c r="R656" s="82"/>
      <c r="S656" s="81"/>
      <c r="T656" s="81"/>
      <c r="U656" s="39"/>
      <c r="V656" s="7"/>
      <c r="W656" s="7"/>
      <c r="X656" s="93"/>
      <c r="Y656" s="131"/>
      <c r="Z656" s="131"/>
      <c r="AA656" s="131"/>
      <c r="AB656" s="131"/>
      <c r="AC656" s="131"/>
      <c r="AD656" s="323"/>
      <c r="AE656" s="131"/>
      <c r="AF656" s="90"/>
      <c r="AG656" s="21"/>
      <c r="AH656" s="39"/>
      <c r="AI656" s="87"/>
      <c r="AJ656" s="81"/>
      <c r="AK656" s="90"/>
      <c r="AL656" s="81"/>
      <c r="AM656" s="39"/>
      <c r="AN656" s="82"/>
      <c r="AO656" s="82"/>
      <c r="AP656" s="82"/>
      <c r="AQ656" s="82"/>
      <c r="AR656" s="7"/>
      <c r="AS656" s="82"/>
      <c r="AT656" s="7"/>
      <c r="AU656" s="152"/>
      <c r="AV656" s="7"/>
      <c r="AW656" s="7"/>
      <c r="AX656" s="82"/>
      <c r="AY656" s="7"/>
      <c r="AZ656" s="7"/>
      <c r="BA656" s="7"/>
      <c r="BB656" s="7"/>
      <c r="BC656" s="7"/>
      <c r="BD656" s="7"/>
      <c r="BE656" s="7"/>
      <c r="BF656" s="7"/>
      <c r="BG656" s="7"/>
    </row>
    <row r="657">
      <c r="A657" s="39"/>
      <c r="B657" s="39"/>
      <c r="C657" s="7"/>
      <c r="D657" s="53"/>
      <c r="E657" s="7"/>
      <c r="F657" s="53"/>
      <c r="G657" s="16"/>
      <c r="H657" s="81"/>
      <c r="J657" s="39"/>
      <c r="K657" s="53"/>
      <c r="L657" s="90"/>
      <c r="M657" s="39"/>
      <c r="N657" s="327"/>
      <c r="O657" s="367"/>
      <c r="P657" s="82"/>
      <c r="Q657" s="82"/>
      <c r="R657" s="82"/>
      <c r="S657" s="81"/>
      <c r="T657" s="39"/>
      <c r="U657" s="39"/>
      <c r="V657" s="7"/>
      <c r="W657" s="7"/>
      <c r="X657" s="93"/>
      <c r="Y657" s="131"/>
      <c r="Z657" s="131"/>
      <c r="AA657" s="131"/>
      <c r="AB657" s="131"/>
      <c r="AC657" s="131"/>
      <c r="AD657" s="323"/>
      <c r="AE657" s="131"/>
      <c r="AF657" s="90"/>
      <c r="AG657" s="21"/>
      <c r="AH657" s="39"/>
      <c r="AI657" s="87"/>
      <c r="AJ657" s="81"/>
      <c r="AK657" s="90"/>
      <c r="AL657" s="81"/>
      <c r="AM657" s="39"/>
      <c r="AN657" s="82"/>
      <c r="AO657" s="82"/>
      <c r="AP657" s="82"/>
      <c r="AQ657" s="82"/>
      <c r="AR657" s="7"/>
      <c r="AS657" s="82"/>
      <c r="AT657" s="7"/>
      <c r="AU657" s="82"/>
      <c r="AV657" s="7"/>
      <c r="AW657" s="7"/>
      <c r="AX657" s="82"/>
      <c r="AY657" s="7"/>
      <c r="AZ657" s="7"/>
      <c r="BA657" s="7"/>
      <c r="BB657" s="7"/>
      <c r="BC657" s="7"/>
      <c r="BD657" s="7"/>
      <c r="BE657" s="7"/>
      <c r="BF657" s="7"/>
      <c r="BG657" s="7"/>
    </row>
    <row r="658">
      <c r="A658" s="39"/>
      <c r="B658" s="39"/>
      <c r="C658" s="7"/>
      <c r="D658" s="53"/>
      <c r="E658" s="7"/>
      <c r="F658" s="53"/>
      <c r="G658" s="16"/>
      <c r="H658" s="81"/>
      <c r="J658" s="39"/>
      <c r="K658" s="53"/>
      <c r="L658" s="90"/>
      <c r="M658" s="39"/>
      <c r="N658" s="327"/>
      <c r="O658" s="367"/>
      <c r="P658" s="82"/>
      <c r="Q658" s="82"/>
      <c r="R658" s="82"/>
      <c r="S658" s="81"/>
      <c r="T658" s="16"/>
      <c r="U658" s="39"/>
      <c r="V658" s="7"/>
      <c r="W658" s="7"/>
      <c r="X658" s="93"/>
      <c r="Y658" s="131"/>
      <c r="Z658" s="131"/>
      <c r="AA658" s="131"/>
      <c r="AB658" s="131"/>
      <c r="AC658" s="131"/>
      <c r="AD658" s="323"/>
      <c r="AE658" s="131"/>
      <c r="AF658" s="90"/>
      <c r="AG658" s="21"/>
      <c r="AH658" s="39"/>
      <c r="AI658" s="87"/>
      <c r="AJ658" s="81"/>
      <c r="AK658" s="90"/>
      <c r="AL658" s="81"/>
      <c r="AM658" s="39"/>
      <c r="AN658" s="82"/>
      <c r="AO658" s="82"/>
      <c r="AP658" s="82"/>
      <c r="AQ658" s="7"/>
      <c r="AR658" s="82"/>
      <c r="AS658" s="82"/>
      <c r="AT658" s="82"/>
      <c r="AU658" s="82"/>
      <c r="AV658" s="82"/>
      <c r="AW658" s="7"/>
      <c r="AX658" s="82"/>
      <c r="AY658" s="7"/>
      <c r="AZ658" s="7"/>
      <c r="BA658" s="7"/>
      <c r="BB658" s="7"/>
      <c r="BC658" s="7"/>
      <c r="BD658" s="7"/>
      <c r="BE658" s="7"/>
      <c r="BF658" s="7"/>
      <c r="BG658" s="7"/>
    </row>
    <row r="659">
      <c r="A659" s="39"/>
      <c r="B659" s="39"/>
      <c r="C659" s="7"/>
      <c r="D659" s="53"/>
      <c r="E659" s="7"/>
      <c r="F659" s="53"/>
      <c r="G659" s="16"/>
      <c r="H659" s="81"/>
      <c r="J659" s="39"/>
      <c r="K659" s="53"/>
      <c r="L659" s="90"/>
      <c r="M659" s="39"/>
      <c r="N659" s="327"/>
      <c r="O659" s="367"/>
      <c r="P659" s="82"/>
      <c r="Q659" s="82"/>
      <c r="R659" s="82"/>
      <c r="S659" s="81"/>
      <c r="T659" s="81"/>
      <c r="U659" s="39"/>
      <c r="V659" s="7"/>
      <c r="W659" s="7"/>
      <c r="X659" s="93"/>
      <c r="Y659" s="131"/>
      <c r="Z659" s="131"/>
      <c r="AA659" s="131"/>
      <c r="AB659" s="131"/>
      <c r="AC659" s="131"/>
      <c r="AD659" s="323"/>
      <c r="AE659" s="131"/>
      <c r="AF659" s="90"/>
      <c r="AG659" s="21"/>
      <c r="AH659" s="39"/>
      <c r="AI659" s="87"/>
      <c r="AJ659" s="81"/>
      <c r="AK659" s="90"/>
      <c r="AL659" s="81"/>
      <c r="AM659" s="39"/>
      <c r="AN659" s="82"/>
      <c r="AO659" s="82"/>
      <c r="AP659" s="82"/>
      <c r="AQ659" s="7"/>
      <c r="AR659" s="7"/>
      <c r="AS659" s="82"/>
      <c r="AT659" s="7"/>
      <c r="AU659" s="82"/>
      <c r="AV659" s="7"/>
      <c r="AW659" s="7"/>
      <c r="AX659" s="82"/>
      <c r="AY659" s="7"/>
      <c r="AZ659" s="7"/>
      <c r="BA659" s="7"/>
      <c r="BB659" s="7"/>
      <c r="BC659" s="7"/>
      <c r="BD659" s="7"/>
      <c r="BE659" s="7"/>
      <c r="BF659" s="7"/>
      <c r="BG659" s="7"/>
    </row>
    <row r="660">
      <c r="A660" s="39"/>
      <c r="B660" s="39"/>
      <c r="C660" s="7"/>
      <c r="D660" s="53"/>
      <c r="E660" s="7"/>
      <c r="F660" s="53"/>
      <c r="G660" s="16"/>
      <c r="H660" s="81"/>
      <c r="J660" s="39"/>
      <c r="K660" s="53"/>
      <c r="L660" s="90"/>
      <c r="M660" s="39"/>
      <c r="N660" s="327"/>
      <c r="O660" s="367"/>
      <c r="P660" s="82"/>
      <c r="Q660" s="82"/>
      <c r="R660" s="82"/>
      <c r="S660" s="81"/>
      <c r="T660" s="16"/>
      <c r="U660" s="39"/>
      <c r="V660" s="7"/>
      <c r="W660" s="7"/>
      <c r="X660" s="93"/>
      <c r="Y660" s="131"/>
      <c r="Z660" s="131"/>
      <c r="AA660" s="131"/>
      <c r="AB660" s="131"/>
      <c r="AC660" s="131"/>
      <c r="AD660" s="323"/>
      <c r="AE660" s="131"/>
      <c r="AF660" s="90"/>
      <c r="AG660" s="21"/>
      <c r="AH660" s="39"/>
      <c r="AI660" s="87"/>
      <c r="AJ660" s="81"/>
      <c r="AK660" s="90"/>
      <c r="AL660" s="81"/>
      <c r="AM660" s="39"/>
      <c r="AN660" s="82"/>
      <c r="AO660" s="82"/>
      <c r="AP660" s="82"/>
      <c r="AQ660" s="122"/>
      <c r="AR660" s="82"/>
      <c r="AS660" s="82"/>
      <c r="AT660" s="82"/>
      <c r="AU660" s="82"/>
      <c r="AV660" s="82"/>
      <c r="AW660" s="7"/>
      <c r="AX660" s="82"/>
      <c r="AY660" s="7"/>
      <c r="AZ660" s="7"/>
      <c r="BA660" s="7"/>
      <c r="BB660" s="7"/>
      <c r="BC660" s="7"/>
      <c r="BD660" s="7"/>
      <c r="BE660" s="7"/>
      <c r="BF660" s="7"/>
      <c r="BG660" s="7"/>
    </row>
    <row r="661">
      <c r="A661" s="39"/>
      <c r="B661" s="39"/>
      <c r="C661" s="7"/>
      <c r="D661" s="53"/>
      <c r="E661" s="7"/>
      <c r="F661" s="53"/>
      <c r="G661" s="16"/>
      <c r="H661" s="81"/>
      <c r="J661" s="39"/>
      <c r="K661" s="53"/>
      <c r="L661" s="90"/>
      <c r="M661" s="39"/>
      <c r="N661" s="327"/>
      <c r="O661" s="367"/>
      <c r="P661" s="82"/>
      <c r="Q661" s="82"/>
      <c r="R661" s="82"/>
      <c r="S661" s="81"/>
      <c r="T661" s="16"/>
      <c r="U661" s="39"/>
      <c r="V661" s="7"/>
      <c r="W661" s="7"/>
      <c r="X661" s="93"/>
      <c r="Y661" s="131"/>
      <c r="Z661" s="131"/>
      <c r="AA661" s="131"/>
      <c r="AB661" s="131"/>
      <c r="AC661" s="131"/>
      <c r="AD661" s="323"/>
      <c r="AE661" s="131"/>
      <c r="AF661" s="90"/>
      <c r="AG661" s="21"/>
      <c r="AH661" s="39"/>
      <c r="AI661" s="87"/>
      <c r="AJ661" s="81"/>
      <c r="AK661" s="90"/>
      <c r="AL661" s="81"/>
      <c r="AM661" s="39"/>
      <c r="AN661" s="82"/>
      <c r="AO661" s="82"/>
      <c r="AP661" s="82"/>
      <c r="AQ661" s="7"/>
      <c r="AR661" s="82"/>
      <c r="AS661" s="82"/>
      <c r="AT661" s="82"/>
      <c r="AU661" s="82"/>
      <c r="AV661" s="82"/>
      <c r="AW661" s="7"/>
      <c r="AX661" s="82"/>
      <c r="AY661" s="7"/>
      <c r="AZ661" s="7"/>
      <c r="BA661" s="7"/>
      <c r="BB661" s="7"/>
      <c r="BC661" s="7"/>
      <c r="BD661" s="7"/>
      <c r="BE661" s="7"/>
      <c r="BF661" s="7"/>
      <c r="BG661" s="7"/>
    </row>
    <row r="662">
      <c r="A662" s="39"/>
      <c r="B662" s="39"/>
      <c r="C662" s="7"/>
      <c r="D662" s="53"/>
      <c r="E662" s="7"/>
      <c r="F662" s="53"/>
      <c r="G662" s="16"/>
      <c r="H662" s="81"/>
      <c r="J662" s="39"/>
      <c r="K662" s="53"/>
      <c r="L662" s="90"/>
      <c r="M662" s="39"/>
      <c r="N662" s="327"/>
      <c r="O662" s="367"/>
      <c r="P662" s="82"/>
      <c r="Q662" s="82"/>
      <c r="R662" s="82"/>
      <c r="S662" s="81"/>
      <c r="T662" s="16"/>
      <c r="U662" s="39"/>
      <c r="V662" s="7"/>
      <c r="W662" s="7"/>
      <c r="X662" s="93"/>
      <c r="Y662" s="131"/>
      <c r="Z662" s="131"/>
      <c r="AA662" s="131"/>
      <c r="AB662" s="131"/>
      <c r="AC662" s="131"/>
      <c r="AD662" s="323"/>
      <c r="AE662" s="131"/>
      <c r="AF662" s="90"/>
      <c r="AG662" s="87"/>
      <c r="AH662" s="39"/>
      <c r="AI662" s="87"/>
      <c r="AJ662" s="81"/>
      <c r="AK662" s="90"/>
      <c r="AL662" s="81"/>
      <c r="AM662" s="39"/>
      <c r="AN662" s="82"/>
      <c r="AO662" s="82"/>
      <c r="AP662" s="82"/>
      <c r="AQ662" s="122"/>
      <c r="AR662" s="82"/>
      <c r="AS662" s="82"/>
      <c r="AT662" s="82"/>
      <c r="AU662" s="82"/>
      <c r="AV662" s="82"/>
      <c r="AW662" s="7"/>
      <c r="AX662" s="82"/>
      <c r="AY662" s="7"/>
      <c r="AZ662" s="7"/>
      <c r="BA662" s="7"/>
      <c r="BB662" s="7"/>
      <c r="BC662" s="7"/>
      <c r="BD662" s="7"/>
      <c r="BE662" s="7"/>
      <c r="BF662" s="7"/>
      <c r="BG662" s="7"/>
    </row>
    <row r="663">
      <c r="A663" s="39"/>
      <c r="B663" s="39"/>
      <c r="C663" s="7"/>
      <c r="D663" s="53"/>
      <c r="E663" s="7"/>
      <c r="F663" s="53"/>
      <c r="G663" s="16"/>
      <c r="H663" s="81"/>
      <c r="J663" s="39"/>
      <c r="K663" s="53"/>
      <c r="L663" s="90"/>
      <c r="M663" s="39"/>
      <c r="N663" s="327"/>
      <c r="O663" s="367"/>
      <c r="P663" s="82"/>
      <c r="Q663" s="82"/>
      <c r="R663" s="82"/>
      <c r="S663" s="81"/>
      <c r="T663" s="16"/>
      <c r="U663" s="39"/>
      <c r="V663" s="7"/>
      <c r="W663" s="7"/>
      <c r="X663" s="93"/>
      <c r="Y663" s="131"/>
      <c r="Z663" s="131"/>
      <c r="AA663" s="131"/>
      <c r="AB663" s="131"/>
      <c r="AC663" s="131"/>
      <c r="AD663" s="323"/>
      <c r="AE663" s="131"/>
      <c r="AF663" s="90"/>
      <c r="AG663" s="87"/>
      <c r="AH663" s="39"/>
      <c r="AI663" s="87"/>
      <c r="AJ663" s="81"/>
      <c r="AK663" s="90"/>
      <c r="AL663" s="81"/>
      <c r="AM663" s="39"/>
      <c r="AN663" s="82"/>
      <c r="AO663" s="82"/>
      <c r="AP663" s="82"/>
      <c r="AQ663" s="122"/>
      <c r="AR663" s="82"/>
      <c r="AS663" s="82"/>
      <c r="AT663" s="82"/>
      <c r="AU663" s="82"/>
      <c r="AV663" s="82"/>
      <c r="AW663" s="7"/>
      <c r="AX663" s="82"/>
      <c r="AY663" s="7"/>
      <c r="AZ663" s="7"/>
      <c r="BA663" s="7"/>
      <c r="BB663" s="7"/>
      <c r="BC663" s="7"/>
      <c r="BD663" s="7"/>
      <c r="BE663" s="7"/>
      <c r="BF663" s="7"/>
      <c r="BG663" s="7"/>
    </row>
    <row r="664">
      <c r="A664" s="39"/>
      <c r="B664" s="39"/>
      <c r="C664" s="7"/>
      <c r="D664" s="53"/>
      <c r="E664" s="7"/>
      <c r="F664" s="53"/>
      <c r="G664" s="16"/>
      <c r="H664" s="81"/>
      <c r="J664" s="39"/>
      <c r="K664" s="53"/>
      <c r="L664" s="90"/>
      <c r="M664" s="39"/>
      <c r="N664" s="327"/>
      <c r="O664" s="367"/>
      <c r="P664" s="82"/>
      <c r="Q664" s="82"/>
      <c r="R664" s="82"/>
      <c r="S664" s="81"/>
      <c r="T664" s="16"/>
      <c r="U664" s="39"/>
      <c r="V664" s="7"/>
      <c r="W664" s="7"/>
      <c r="X664" s="93"/>
      <c r="Y664" s="131"/>
      <c r="Z664" s="131"/>
      <c r="AA664" s="131"/>
      <c r="AB664" s="131"/>
      <c r="AC664" s="131"/>
      <c r="AD664" s="323"/>
      <c r="AE664" s="131"/>
      <c r="AF664" s="90"/>
      <c r="AG664" s="87"/>
      <c r="AH664" s="39"/>
      <c r="AI664" s="87"/>
      <c r="AJ664" s="81"/>
      <c r="AK664" s="90"/>
      <c r="AL664" s="81"/>
      <c r="AM664" s="39"/>
      <c r="AN664" s="82"/>
      <c r="AO664" s="82"/>
      <c r="AP664" s="82"/>
      <c r="AQ664" s="122"/>
      <c r="AR664" s="82"/>
      <c r="AS664" s="82"/>
      <c r="AT664" s="82"/>
      <c r="AU664" s="82"/>
      <c r="AV664" s="82"/>
      <c r="AW664" s="7"/>
      <c r="AX664" s="82"/>
      <c r="AY664" s="7"/>
      <c r="AZ664" s="7"/>
      <c r="BA664" s="7"/>
      <c r="BB664" s="7"/>
      <c r="BC664" s="7"/>
      <c r="BD664" s="7"/>
      <c r="BE664" s="7"/>
      <c r="BF664" s="7"/>
      <c r="BG664" s="7"/>
    </row>
    <row r="665">
      <c r="A665" s="39"/>
      <c r="B665" s="39"/>
      <c r="C665" s="7"/>
      <c r="D665" s="53"/>
      <c r="E665" s="7"/>
      <c r="F665" s="53"/>
      <c r="G665" s="16"/>
      <c r="H665" s="81"/>
      <c r="J665" s="39"/>
      <c r="K665" s="53"/>
      <c r="L665" s="90"/>
      <c r="M665" s="39"/>
      <c r="N665" s="321"/>
      <c r="O665" s="367"/>
      <c r="P665" s="7"/>
      <c r="Q665" s="7"/>
      <c r="R665" s="82"/>
      <c r="S665" s="81"/>
      <c r="T665" s="81"/>
      <c r="U665" s="39"/>
      <c r="V665" s="7"/>
      <c r="W665" s="7"/>
      <c r="X665" s="93"/>
      <c r="Y665" s="131"/>
      <c r="Z665" s="131"/>
      <c r="AA665" s="131"/>
      <c r="AB665" s="131"/>
      <c r="AC665" s="131"/>
      <c r="AD665" s="323"/>
      <c r="AE665" s="131"/>
      <c r="AF665" s="90"/>
      <c r="AG665" s="87"/>
      <c r="AH665" s="39"/>
      <c r="AI665" s="87"/>
      <c r="AJ665" s="81"/>
      <c r="AK665" s="90"/>
      <c r="AL665" s="81"/>
      <c r="AM665" s="39"/>
      <c r="AN665" s="82"/>
      <c r="AO665" s="82"/>
      <c r="AP665" s="82"/>
      <c r="AQ665" s="7"/>
      <c r="AR665" s="7"/>
      <c r="AS665" s="82"/>
      <c r="AT665" s="7"/>
      <c r="AU665" s="82"/>
      <c r="AV665" s="7"/>
      <c r="AW665" s="7"/>
      <c r="AX665" s="82"/>
      <c r="AY665" s="7"/>
      <c r="AZ665" s="7"/>
      <c r="BA665" s="7"/>
      <c r="BB665" s="7"/>
      <c r="BC665" s="7"/>
      <c r="BD665" s="7"/>
      <c r="BE665" s="7"/>
      <c r="BF665" s="7"/>
      <c r="BG665" s="7"/>
    </row>
    <row r="666">
      <c r="A666" s="39"/>
      <c r="B666" s="39"/>
      <c r="C666" s="7"/>
      <c r="D666" s="53"/>
      <c r="E666" s="7"/>
      <c r="F666" s="53"/>
      <c r="G666" s="16"/>
      <c r="H666" s="81"/>
      <c r="J666" s="39"/>
      <c r="K666" s="53"/>
      <c r="L666" s="90"/>
      <c r="M666" s="39"/>
      <c r="N666" s="327"/>
      <c r="O666" s="367"/>
      <c r="P666" s="82"/>
      <c r="Q666" s="82"/>
      <c r="R666" s="82"/>
      <c r="S666" s="81"/>
      <c r="T666" s="81"/>
      <c r="U666" s="39"/>
      <c r="V666" s="7"/>
      <c r="W666" s="7"/>
      <c r="X666" s="93"/>
      <c r="Y666" s="131"/>
      <c r="Z666" s="131"/>
      <c r="AA666" s="131"/>
      <c r="AB666" s="131"/>
      <c r="AC666" s="131"/>
      <c r="AD666" s="323"/>
      <c r="AE666" s="131"/>
      <c r="AF666" s="90"/>
      <c r="AG666" s="87"/>
      <c r="AH666" s="39"/>
      <c r="AI666" s="87"/>
      <c r="AJ666" s="81"/>
      <c r="AK666" s="90"/>
      <c r="AL666" s="81"/>
      <c r="AM666" s="39"/>
      <c r="AN666" s="82"/>
      <c r="AO666" s="82"/>
      <c r="AP666" s="82"/>
      <c r="AQ666" s="7"/>
      <c r="AR666" s="82"/>
      <c r="AS666" s="82"/>
      <c r="AT666" s="82"/>
      <c r="AU666" s="82"/>
      <c r="AV666" s="82"/>
      <c r="AW666" s="7"/>
      <c r="AX666" s="82"/>
      <c r="AY666" s="7"/>
      <c r="AZ666" s="7"/>
      <c r="BA666" s="7"/>
      <c r="BB666" s="7"/>
      <c r="BC666" s="7"/>
      <c r="BD666" s="7"/>
      <c r="BE666" s="7"/>
      <c r="BF666" s="7"/>
      <c r="BG666" s="7"/>
    </row>
    <row r="667">
      <c r="A667" s="39"/>
      <c r="B667" s="39"/>
      <c r="C667" s="7"/>
      <c r="D667" s="53"/>
      <c r="E667" s="7"/>
      <c r="F667" s="53"/>
      <c r="G667" s="16"/>
      <c r="H667" s="81"/>
      <c r="J667" s="39"/>
      <c r="K667" s="53"/>
      <c r="L667" s="90"/>
      <c r="M667" s="39"/>
      <c r="N667" s="327"/>
      <c r="O667" s="367"/>
      <c r="P667" s="82"/>
      <c r="Q667" s="82"/>
      <c r="R667" s="82"/>
      <c r="S667" s="81"/>
      <c r="T667" s="81"/>
      <c r="U667" s="39"/>
      <c r="V667" s="7"/>
      <c r="W667" s="7"/>
      <c r="X667" s="93"/>
      <c r="Y667" s="131"/>
      <c r="Z667" s="131"/>
      <c r="AA667" s="131"/>
      <c r="AB667" s="131"/>
      <c r="AC667" s="131"/>
      <c r="AD667" s="323"/>
      <c r="AE667" s="131"/>
      <c r="AF667" s="90"/>
      <c r="AG667" s="87"/>
      <c r="AH667" s="39"/>
      <c r="AI667" s="87"/>
      <c r="AJ667" s="81"/>
      <c r="AK667" s="90"/>
      <c r="AL667" s="81"/>
      <c r="AM667" s="39"/>
      <c r="AN667" s="82"/>
      <c r="AO667" s="82"/>
      <c r="AP667" s="82"/>
      <c r="AQ667" s="7"/>
      <c r="AR667" s="82"/>
      <c r="AS667" s="82"/>
      <c r="AT667" s="82"/>
      <c r="AU667" s="82"/>
      <c r="AV667" s="82"/>
      <c r="AW667" s="7"/>
      <c r="AX667" s="82"/>
      <c r="AY667" s="7"/>
      <c r="AZ667" s="7"/>
      <c r="BA667" s="7"/>
      <c r="BB667" s="7"/>
      <c r="BC667" s="7"/>
      <c r="BD667" s="7"/>
      <c r="BE667" s="7"/>
      <c r="BF667" s="7"/>
      <c r="BG667" s="7"/>
    </row>
    <row r="668">
      <c r="A668" s="39"/>
      <c r="B668" s="39"/>
      <c r="C668" s="7"/>
      <c r="D668" s="53"/>
      <c r="E668" s="7"/>
      <c r="F668" s="53"/>
      <c r="G668" s="16"/>
      <c r="H668" s="81"/>
      <c r="J668" s="39"/>
      <c r="K668" s="53"/>
      <c r="L668" s="90"/>
      <c r="M668" s="39"/>
      <c r="N668" s="327"/>
      <c r="O668" s="367"/>
      <c r="P668" s="82"/>
      <c r="Q668" s="82"/>
      <c r="R668" s="82"/>
      <c r="S668" s="81"/>
      <c r="T668" s="81"/>
      <c r="U668" s="39"/>
      <c r="V668" s="7"/>
      <c r="W668" s="7"/>
      <c r="X668" s="93"/>
      <c r="Y668" s="131"/>
      <c r="Z668" s="131"/>
      <c r="AA668" s="131"/>
      <c r="AB668" s="131"/>
      <c r="AC668" s="131"/>
      <c r="AD668" s="323"/>
      <c r="AE668" s="131"/>
      <c r="AF668" s="90"/>
      <c r="AG668" s="87"/>
      <c r="AH668" s="39"/>
      <c r="AI668" s="87"/>
      <c r="AJ668" s="81"/>
      <c r="AK668" s="90"/>
      <c r="AL668" s="81"/>
      <c r="AM668" s="39"/>
      <c r="AN668" s="82"/>
      <c r="AO668" s="82"/>
      <c r="AP668" s="82"/>
      <c r="AQ668" s="7"/>
      <c r="AR668" s="82"/>
      <c r="AS668" s="82"/>
      <c r="AT668" s="82"/>
      <c r="AU668" s="82"/>
      <c r="AV668" s="82"/>
      <c r="AW668" s="7"/>
      <c r="AX668" s="82"/>
      <c r="AY668" s="7"/>
      <c r="AZ668" s="7"/>
      <c r="BA668" s="7"/>
      <c r="BB668" s="7"/>
      <c r="BC668" s="7"/>
      <c r="BD668" s="7"/>
      <c r="BE668" s="7"/>
      <c r="BF668" s="7"/>
      <c r="BG668" s="7"/>
    </row>
    <row r="669">
      <c r="A669" s="39"/>
      <c r="B669" s="39"/>
      <c r="C669" s="7"/>
      <c r="D669" s="53"/>
      <c r="E669" s="7"/>
      <c r="F669" s="53"/>
      <c r="G669" s="16"/>
      <c r="H669" s="81"/>
      <c r="J669" s="39"/>
      <c r="K669" s="53"/>
      <c r="L669" s="90"/>
      <c r="M669" s="39"/>
      <c r="N669" s="327"/>
      <c r="O669" s="367"/>
      <c r="P669" s="82"/>
      <c r="Q669" s="82"/>
      <c r="R669" s="82"/>
      <c r="S669" s="81"/>
      <c r="T669" s="81"/>
      <c r="U669" s="39"/>
      <c r="V669" s="7"/>
      <c r="W669" s="7"/>
      <c r="X669" s="93"/>
      <c r="Y669" s="131"/>
      <c r="Z669" s="131"/>
      <c r="AA669" s="131"/>
      <c r="AB669" s="131"/>
      <c r="AC669" s="131"/>
      <c r="AD669" s="323"/>
      <c r="AE669" s="131"/>
      <c r="AF669" s="90"/>
      <c r="AG669" s="87"/>
      <c r="AH669" s="39"/>
      <c r="AI669" s="87"/>
      <c r="AJ669" s="81"/>
      <c r="AK669" s="90"/>
      <c r="AL669" s="81"/>
      <c r="AM669" s="39"/>
      <c r="AN669" s="82"/>
      <c r="AO669" s="82"/>
      <c r="AP669" s="82"/>
      <c r="AQ669" s="7"/>
      <c r="AR669" s="82"/>
      <c r="AS669" s="82"/>
      <c r="AT669" s="82"/>
      <c r="AU669" s="82"/>
      <c r="AV669" s="82"/>
      <c r="AW669" s="7"/>
      <c r="AX669" s="82"/>
      <c r="AY669" s="7"/>
      <c r="AZ669" s="7"/>
      <c r="BA669" s="7"/>
      <c r="BB669" s="7"/>
      <c r="BC669" s="7"/>
      <c r="BD669" s="7"/>
      <c r="BE669" s="7"/>
      <c r="BF669" s="7"/>
      <c r="BG669" s="7"/>
    </row>
    <row r="670">
      <c r="A670" s="39"/>
      <c r="B670" s="39"/>
      <c r="C670" s="7"/>
      <c r="D670" s="53"/>
      <c r="E670" s="7"/>
      <c r="F670" s="53"/>
      <c r="G670" s="16"/>
      <c r="H670" s="81"/>
      <c r="J670" s="39"/>
      <c r="K670" s="53"/>
      <c r="L670" s="90"/>
      <c r="M670" s="39"/>
      <c r="N670" s="327"/>
      <c r="O670" s="367"/>
      <c r="P670" s="82"/>
      <c r="Q670" s="82"/>
      <c r="R670" s="82"/>
      <c r="S670" s="81"/>
      <c r="T670" s="81"/>
      <c r="U670" s="39"/>
      <c r="V670" s="7"/>
      <c r="W670" s="7"/>
      <c r="X670" s="93"/>
      <c r="Y670" s="131"/>
      <c r="Z670" s="131"/>
      <c r="AA670" s="131"/>
      <c r="AB670" s="131"/>
      <c r="AC670" s="131"/>
      <c r="AD670" s="323"/>
      <c r="AE670" s="131"/>
      <c r="AF670" s="90"/>
      <c r="AG670" s="87"/>
      <c r="AH670" s="39"/>
      <c r="AI670" s="87"/>
      <c r="AJ670" s="81"/>
      <c r="AK670" s="90"/>
      <c r="AL670" s="81"/>
      <c r="AM670" s="39"/>
      <c r="AN670" s="82"/>
      <c r="AO670" s="82"/>
      <c r="AP670" s="82"/>
      <c r="AQ670" s="7"/>
      <c r="AR670" s="82"/>
      <c r="AS670" s="82"/>
      <c r="AT670" s="82"/>
      <c r="AU670" s="82"/>
      <c r="AV670" s="82"/>
      <c r="AW670" s="7"/>
      <c r="AX670" s="82"/>
      <c r="AY670" s="7"/>
      <c r="AZ670" s="7"/>
      <c r="BA670" s="7"/>
      <c r="BB670" s="7"/>
      <c r="BC670" s="7"/>
      <c r="BD670" s="7"/>
      <c r="BE670" s="7"/>
      <c r="BF670" s="7"/>
      <c r="BG670" s="7"/>
    </row>
    <row r="671">
      <c r="A671" s="39"/>
      <c r="B671" s="39"/>
      <c r="C671" s="7"/>
      <c r="D671" s="53"/>
      <c r="E671" s="7"/>
      <c r="F671" s="53"/>
      <c r="G671" s="16"/>
      <c r="H671" s="81"/>
      <c r="J671" s="39"/>
      <c r="K671" s="53"/>
      <c r="L671" s="90"/>
      <c r="M671" s="39"/>
      <c r="N671" s="327"/>
      <c r="O671" s="367"/>
      <c r="P671" s="82"/>
      <c r="Q671" s="82"/>
      <c r="R671" s="82"/>
      <c r="S671" s="81"/>
      <c r="T671" s="81"/>
      <c r="U671" s="39"/>
      <c r="V671" s="7"/>
      <c r="W671" s="7"/>
      <c r="X671" s="93"/>
      <c r="Y671" s="131"/>
      <c r="Z671" s="131"/>
      <c r="AA671" s="131"/>
      <c r="AB671" s="131"/>
      <c r="AC671" s="131"/>
      <c r="AD671" s="323"/>
      <c r="AE671" s="131"/>
      <c r="AF671" s="90"/>
      <c r="AG671" s="87"/>
      <c r="AH671" s="39"/>
      <c r="AI671" s="87"/>
      <c r="AJ671" s="81"/>
      <c r="AK671" s="90"/>
      <c r="AL671" s="81"/>
      <c r="AM671" s="39"/>
      <c r="AN671" s="82"/>
      <c r="AO671" s="82"/>
      <c r="AP671" s="82"/>
      <c r="AQ671" s="7"/>
      <c r="AR671" s="82"/>
      <c r="AS671" s="82"/>
      <c r="AT671" s="82"/>
      <c r="AU671" s="82"/>
      <c r="AV671" s="82"/>
      <c r="AW671" s="7"/>
      <c r="AX671" s="82"/>
      <c r="AY671" s="7"/>
      <c r="AZ671" s="7"/>
      <c r="BA671" s="7"/>
      <c r="BB671" s="7"/>
      <c r="BC671" s="7"/>
      <c r="BD671" s="7"/>
      <c r="BE671" s="7"/>
      <c r="BF671" s="7"/>
      <c r="BG671" s="7"/>
    </row>
    <row r="672">
      <c r="A672" s="39"/>
      <c r="B672" s="39"/>
      <c r="C672" s="7"/>
      <c r="D672" s="53"/>
      <c r="E672" s="7"/>
      <c r="F672" s="53"/>
      <c r="G672" s="16"/>
      <c r="H672" s="81"/>
      <c r="J672" s="39"/>
      <c r="K672" s="53"/>
      <c r="L672" s="90"/>
      <c r="M672" s="39"/>
      <c r="N672" s="327"/>
      <c r="O672" s="367"/>
      <c r="P672" s="82"/>
      <c r="Q672" s="82"/>
      <c r="R672" s="82"/>
      <c r="S672" s="81"/>
      <c r="T672" s="81"/>
      <c r="U672" s="39"/>
      <c r="V672" s="7"/>
      <c r="W672" s="7"/>
      <c r="X672" s="93"/>
      <c r="Y672" s="131"/>
      <c r="Z672" s="131"/>
      <c r="AA672" s="131"/>
      <c r="AB672" s="131"/>
      <c r="AC672" s="131"/>
      <c r="AD672" s="323"/>
      <c r="AE672" s="131"/>
      <c r="AF672" s="90"/>
      <c r="AG672" s="87"/>
      <c r="AH672" s="39"/>
      <c r="AI672" s="87"/>
      <c r="AJ672" s="81"/>
      <c r="AK672" s="90"/>
      <c r="AL672" s="81"/>
      <c r="AM672" s="39"/>
      <c r="AN672" s="82"/>
      <c r="AO672" s="82"/>
      <c r="AP672" s="82"/>
      <c r="AQ672" s="7"/>
      <c r="AR672" s="82"/>
      <c r="AS672" s="82"/>
      <c r="AT672" s="82"/>
      <c r="AU672" s="82"/>
      <c r="AV672" s="82"/>
      <c r="AW672" s="7"/>
      <c r="AX672" s="82"/>
      <c r="AY672" s="7"/>
      <c r="AZ672" s="7"/>
      <c r="BA672" s="7"/>
      <c r="BB672" s="7"/>
      <c r="BC672" s="7"/>
      <c r="BD672" s="7"/>
      <c r="BE672" s="7"/>
      <c r="BF672" s="7"/>
      <c r="BG672" s="7"/>
    </row>
    <row r="673">
      <c r="A673" s="39"/>
      <c r="B673" s="39"/>
      <c r="C673" s="7"/>
      <c r="D673" s="53"/>
      <c r="E673" s="7"/>
      <c r="F673" s="53"/>
      <c r="G673" s="16"/>
      <c r="H673" s="81"/>
      <c r="J673" s="39"/>
      <c r="K673" s="53"/>
      <c r="L673" s="90"/>
      <c r="M673" s="39"/>
      <c r="N673" s="327"/>
      <c r="O673" s="367"/>
      <c r="P673" s="82"/>
      <c r="Q673" s="82"/>
      <c r="R673" s="82"/>
      <c r="S673" s="81"/>
      <c r="T673" s="81"/>
      <c r="U673" s="39"/>
      <c r="V673" s="7"/>
      <c r="W673" s="7"/>
      <c r="X673" s="93"/>
      <c r="Y673" s="131"/>
      <c r="Z673" s="131"/>
      <c r="AA673" s="131"/>
      <c r="AB673" s="131"/>
      <c r="AC673" s="131"/>
      <c r="AD673" s="323"/>
      <c r="AE673" s="131"/>
      <c r="AF673" s="90"/>
      <c r="AG673" s="87"/>
      <c r="AH673" s="39"/>
      <c r="AI673" s="87"/>
      <c r="AJ673" s="81"/>
      <c r="AK673" s="90"/>
      <c r="AL673" s="81"/>
      <c r="AM673" s="39"/>
      <c r="AN673" s="82"/>
      <c r="AO673" s="82"/>
      <c r="AP673" s="82"/>
      <c r="AQ673" s="7"/>
      <c r="AR673" s="82"/>
      <c r="AS673" s="82"/>
      <c r="AT673" s="82"/>
      <c r="AU673" s="82"/>
      <c r="AV673" s="82"/>
      <c r="AW673" s="7"/>
      <c r="AX673" s="82"/>
      <c r="AY673" s="7"/>
      <c r="AZ673" s="7"/>
      <c r="BA673" s="7"/>
      <c r="BB673" s="7"/>
      <c r="BC673" s="7"/>
      <c r="BD673" s="7"/>
      <c r="BE673" s="7"/>
      <c r="BF673" s="7"/>
      <c r="BG673" s="7"/>
    </row>
    <row r="674">
      <c r="A674" s="39"/>
      <c r="B674" s="39"/>
      <c r="C674" s="7"/>
      <c r="D674" s="53"/>
      <c r="E674" s="7"/>
      <c r="F674" s="53"/>
      <c r="G674" s="16"/>
      <c r="H674" s="81"/>
      <c r="J674" s="39"/>
      <c r="K674" s="53"/>
      <c r="L674" s="90"/>
      <c r="M674" s="39"/>
      <c r="N674" s="327"/>
      <c r="O674" s="367"/>
      <c r="P674" s="82"/>
      <c r="Q674" s="82"/>
      <c r="R674" s="82"/>
      <c r="S674" s="81"/>
      <c r="T674" s="81"/>
      <c r="U674" s="39"/>
      <c r="V674" s="7"/>
      <c r="W674" s="7"/>
      <c r="X674" s="93"/>
      <c r="Y674" s="131"/>
      <c r="Z674" s="131"/>
      <c r="AA674" s="131"/>
      <c r="AB674" s="131"/>
      <c r="AC674" s="131"/>
      <c r="AD674" s="323"/>
      <c r="AE674" s="131"/>
      <c r="AF674" s="90"/>
      <c r="AG674" s="87"/>
      <c r="AH674" s="39"/>
      <c r="AI674" s="87"/>
      <c r="AJ674" s="81"/>
      <c r="AK674" s="90"/>
      <c r="AL674" s="81"/>
      <c r="AM674" s="39"/>
      <c r="AN674" s="82"/>
      <c r="AO674" s="82"/>
      <c r="AP674" s="82"/>
      <c r="AQ674" s="7"/>
      <c r="AR674" s="82"/>
      <c r="AS674" s="82"/>
      <c r="AT674" s="82"/>
      <c r="AU674" s="82"/>
      <c r="AV674" s="82"/>
      <c r="AW674" s="7"/>
      <c r="AX674" s="82"/>
      <c r="AY674" s="7"/>
      <c r="AZ674" s="7"/>
      <c r="BA674" s="7"/>
      <c r="BB674" s="7"/>
      <c r="BC674" s="7"/>
      <c r="BD674" s="7"/>
      <c r="BE674" s="7"/>
      <c r="BF674" s="7"/>
      <c r="BG674" s="7"/>
    </row>
    <row r="675">
      <c r="A675" s="39"/>
      <c r="B675" s="39"/>
      <c r="C675" s="7"/>
      <c r="D675" s="53"/>
      <c r="E675" s="7"/>
      <c r="F675" s="53"/>
      <c r="G675" s="16"/>
      <c r="H675" s="81"/>
      <c r="J675" s="39"/>
      <c r="K675" s="53"/>
      <c r="L675" s="90"/>
      <c r="M675" s="39"/>
      <c r="N675" s="327"/>
      <c r="O675" s="368"/>
      <c r="P675" s="82"/>
      <c r="Q675" s="82"/>
      <c r="R675" s="82"/>
      <c r="S675" s="81"/>
      <c r="T675" s="39"/>
      <c r="U675" s="39"/>
      <c r="V675" s="7"/>
      <c r="W675" s="7"/>
      <c r="X675" s="93"/>
      <c r="Y675" s="131"/>
      <c r="Z675" s="131"/>
      <c r="AA675" s="131"/>
      <c r="AB675" s="131"/>
      <c r="AC675" s="131"/>
      <c r="AD675" s="323"/>
      <c r="AE675" s="131"/>
      <c r="AF675" s="90"/>
      <c r="AG675" s="87"/>
      <c r="AH675" s="39"/>
      <c r="AI675" s="87"/>
      <c r="AJ675" s="81"/>
      <c r="AK675" s="90"/>
      <c r="AL675" s="81"/>
      <c r="AM675" s="39"/>
      <c r="AN675" s="82"/>
      <c r="AO675" s="82"/>
      <c r="AP675" s="82"/>
      <c r="AQ675" s="7"/>
      <c r="AR675" s="82"/>
      <c r="AS675" s="82"/>
      <c r="AT675" s="82"/>
      <c r="AU675" s="82"/>
      <c r="AV675" s="82"/>
      <c r="AW675" s="7"/>
      <c r="AX675" s="82"/>
      <c r="AY675" s="7"/>
      <c r="AZ675" s="7"/>
      <c r="BA675" s="7"/>
      <c r="BB675" s="7"/>
      <c r="BC675" s="7"/>
      <c r="BD675" s="7"/>
      <c r="BE675" s="7"/>
      <c r="BF675" s="7"/>
      <c r="BG675" s="7"/>
    </row>
    <row r="676">
      <c r="A676" s="39"/>
      <c r="B676" s="39"/>
      <c r="C676" s="7"/>
      <c r="D676" s="53"/>
      <c r="E676" s="7"/>
      <c r="F676" s="53"/>
      <c r="G676" s="16"/>
      <c r="H676" s="81"/>
      <c r="J676" s="39"/>
      <c r="K676" s="53"/>
      <c r="L676" s="90"/>
      <c r="M676" s="39"/>
      <c r="N676" s="327"/>
      <c r="O676" s="368"/>
      <c r="P676" s="7"/>
      <c r="Q676" s="7"/>
      <c r="R676" s="82"/>
      <c r="S676" s="83"/>
      <c r="T676" s="39"/>
      <c r="U676" s="39"/>
      <c r="V676" s="7"/>
      <c r="W676" s="7"/>
      <c r="X676" s="93"/>
      <c r="Y676" s="131"/>
      <c r="Z676" s="131"/>
      <c r="AA676" s="131"/>
      <c r="AB676" s="131"/>
      <c r="AC676" s="131"/>
      <c r="AD676" s="323"/>
      <c r="AE676" s="131"/>
      <c r="AF676" s="90"/>
      <c r="AG676" s="87"/>
      <c r="AH676" s="39"/>
      <c r="AI676" s="87"/>
      <c r="AJ676" s="81"/>
      <c r="AK676" s="90"/>
      <c r="AL676" s="81"/>
      <c r="AM676" s="39"/>
      <c r="AN676" s="82"/>
      <c r="AO676" s="82"/>
      <c r="AP676" s="82"/>
      <c r="AQ676" s="7"/>
      <c r="AR676" s="7"/>
      <c r="AS676" s="7"/>
      <c r="AT676" s="7"/>
      <c r="AU676" s="7"/>
      <c r="AV676" s="7"/>
      <c r="AW676" s="7"/>
      <c r="AX676" s="82"/>
      <c r="AY676" s="7"/>
      <c r="AZ676" s="7"/>
      <c r="BA676" s="7"/>
      <c r="BB676" s="7"/>
      <c r="BC676" s="7"/>
      <c r="BD676" s="7"/>
      <c r="BE676" s="7"/>
      <c r="BF676" s="7"/>
      <c r="BG676" s="7"/>
    </row>
    <row r="677">
      <c r="A677" s="39"/>
      <c r="B677" s="39"/>
      <c r="C677" s="7"/>
      <c r="D677" s="53"/>
      <c r="E677" s="7"/>
      <c r="F677" s="53"/>
      <c r="G677" s="16"/>
      <c r="H677" s="81"/>
      <c r="J677" s="39"/>
      <c r="K677" s="53"/>
      <c r="L677" s="90"/>
      <c r="M677" s="39"/>
      <c r="N677" s="327"/>
      <c r="O677" s="367"/>
      <c r="P677" s="82"/>
      <c r="Q677" s="82"/>
      <c r="R677" s="82"/>
      <c r="S677" s="83"/>
      <c r="T677" s="81"/>
      <c r="U677" s="39"/>
      <c r="V677" s="7"/>
      <c r="W677" s="7"/>
      <c r="X677" s="93"/>
      <c r="Y677" s="131"/>
      <c r="Z677" s="131"/>
      <c r="AA677" s="131"/>
      <c r="AB677" s="131"/>
      <c r="AC677" s="131"/>
      <c r="AD677" s="323"/>
      <c r="AE677" s="131"/>
      <c r="AF677" s="90"/>
      <c r="AG677" s="87"/>
      <c r="AH677" s="39"/>
      <c r="AI677" s="87"/>
      <c r="AJ677" s="81"/>
      <c r="AK677" s="90"/>
      <c r="AL677" s="81"/>
      <c r="AM677" s="39"/>
      <c r="AN677" s="82"/>
      <c r="AO677" s="82"/>
      <c r="AP677" s="82"/>
      <c r="AQ677" s="7"/>
      <c r="AR677" s="82"/>
      <c r="AS677" s="82"/>
      <c r="AT677" s="82"/>
      <c r="AU677" s="82"/>
      <c r="AV677" s="82"/>
      <c r="AW677" s="7"/>
      <c r="AX677" s="82"/>
      <c r="AY677" s="7"/>
      <c r="AZ677" s="7"/>
      <c r="BA677" s="7"/>
      <c r="BB677" s="7"/>
      <c r="BC677" s="7"/>
      <c r="BD677" s="7"/>
      <c r="BE677" s="7"/>
      <c r="BF677" s="7"/>
      <c r="BG677" s="7"/>
    </row>
    <row r="678">
      <c r="A678" s="39"/>
      <c r="B678" s="39"/>
      <c r="C678" s="7"/>
      <c r="D678" s="53"/>
      <c r="E678" s="7"/>
      <c r="F678" s="53"/>
      <c r="G678" s="16"/>
      <c r="H678" s="81"/>
      <c r="J678" s="39"/>
      <c r="K678" s="53"/>
      <c r="L678" s="90"/>
      <c r="M678" s="373"/>
      <c r="N678" s="327"/>
      <c r="O678" s="367"/>
      <c r="P678" s="82"/>
      <c r="Q678" s="82"/>
      <c r="R678" s="82"/>
      <c r="S678" s="81"/>
      <c r="T678" s="81"/>
      <c r="U678" s="39"/>
      <c r="V678" s="7"/>
      <c r="W678" s="7"/>
      <c r="X678" s="93"/>
      <c r="Y678" s="131"/>
      <c r="Z678" s="131"/>
      <c r="AA678" s="131"/>
      <c r="AB678" s="131"/>
      <c r="AC678" s="131"/>
      <c r="AD678" s="323"/>
      <c r="AE678" s="131"/>
      <c r="AF678" s="90"/>
      <c r="AG678" s="87"/>
      <c r="AH678" s="39"/>
      <c r="AI678" s="87"/>
      <c r="AJ678" s="81"/>
      <c r="AK678" s="90"/>
      <c r="AL678" s="81"/>
      <c r="AM678" s="39"/>
      <c r="AN678" s="82"/>
      <c r="AO678" s="82"/>
      <c r="AP678" s="82"/>
      <c r="AQ678" s="7"/>
      <c r="AR678" s="7"/>
      <c r="AS678" s="82"/>
      <c r="AT678" s="7"/>
      <c r="AU678" s="82"/>
      <c r="AV678" s="7"/>
      <c r="AW678" s="7"/>
      <c r="AX678" s="82"/>
      <c r="AY678" s="7"/>
      <c r="AZ678" s="7"/>
      <c r="BA678" s="7"/>
      <c r="BB678" s="7"/>
      <c r="BC678" s="7"/>
      <c r="BD678" s="7"/>
      <c r="BE678" s="7"/>
      <c r="BF678" s="7"/>
      <c r="BG678" s="7"/>
    </row>
    <row r="679">
      <c r="A679" s="39"/>
      <c r="B679" s="39"/>
      <c r="C679" s="7"/>
      <c r="D679" s="53"/>
      <c r="E679" s="7"/>
      <c r="F679" s="53"/>
      <c r="G679" s="16"/>
      <c r="H679" s="81"/>
      <c r="J679" s="39"/>
      <c r="K679" s="53"/>
      <c r="L679" s="90"/>
      <c r="M679" s="373"/>
      <c r="N679" s="327"/>
      <c r="O679" s="367"/>
      <c r="P679" s="82"/>
      <c r="Q679" s="82"/>
      <c r="R679" s="82"/>
      <c r="S679" s="81"/>
      <c r="T679" s="81"/>
      <c r="U679" s="39"/>
      <c r="V679" s="7"/>
      <c r="W679" s="7"/>
      <c r="X679" s="93"/>
      <c r="Y679" s="131"/>
      <c r="Z679" s="131"/>
      <c r="AA679" s="131"/>
      <c r="AB679" s="131"/>
      <c r="AC679" s="131"/>
      <c r="AD679" s="323"/>
      <c r="AE679" s="131"/>
      <c r="AF679" s="90"/>
      <c r="AG679" s="87"/>
      <c r="AH679" s="39"/>
      <c r="AI679" s="87"/>
      <c r="AJ679" s="81"/>
      <c r="AK679" s="90"/>
      <c r="AL679" s="81"/>
      <c r="AM679" s="39"/>
      <c r="AN679" s="82"/>
      <c r="AO679" s="82"/>
      <c r="AP679" s="82"/>
      <c r="AQ679" s="7"/>
      <c r="AR679" s="82"/>
      <c r="AS679" s="82"/>
      <c r="AT679" s="82"/>
      <c r="AU679" s="82"/>
      <c r="AV679" s="82"/>
      <c r="AW679" s="7"/>
      <c r="AX679" s="82"/>
      <c r="AY679" s="7"/>
      <c r="AZ679" s="7"/>
      <c r="BA679" s="7"/>
      <c r="BB679" s="7"/>
      <c r="BC679" s="7"/>
      <c r="BD679" s="7"/>
      <c r="BE679" s="7"/>
      <c r="BF679" s="7"/>
      <c r="BG679" s="7"/>
    </row>
    <row r="680">
      <c r="A680" s="39"/>
      <c r="B680" s="39"/>
      <c r="C680" s="7"/>
      <c r="D680" s="53"/>
      <c r="E680" s="7"/>
      <c r="F680" s="53"/>
      <c r="G680" s="16"/>
      <c r="H680" s="81"/>
      <c r="J680" s="39"/>
      <c r="K680" s="53"/>
      <c r="L680" s="90"/>
      <c r="M680" s="373"/>
      <c r="N680" s="327"/>
      <c r="O680" s="367"/>
      <c r="P680" s="82"/>
      <c r="Q680" s="82"/>
      <c r="R680" s="82"/>
      <c r="S680" s="81"/>
      <c r="T680" s="39"/>
      <c r="U680" s="39"/>
      <c r="V680" s="7"/>
      <c r="W680" s="7"/>
      <c r="X680" s="93"/>
      <c r="Y680" s="131"/>
      <c r="Z680" s="131"/>
      <c r="AA680" s="131"/>
      <c r="AB680" s="131"/>
      <c r="AC680" s="131"/>
      <c r="AD680" s="323"/>
      <c r="AE680" s="131"/>
      <c r="AF680" s="90"/>
      <c r="AG680" s="87"/>
      <c r="AH680" s="39"/>
      <c r="AI680" s="87"/>
      <c r="AJ680" s="81"/>
      <c r="AK680" s="90"/>
      <c r="AL680" s="81"/>
      <c r="AM680" s="39"/>
      <c r="AN680" s="82"/>
      <c r="AO680" s="82"/>
      <c r="AP680" s="82"/>
      <c r="AQ680" s="7"/>
      <c r="AR680" s="82"/>
      <c r="AS680" s="82"/>
      <c r="AT680" s="82"/>
      <c r="AU680" s="82"/>
      <c r="AV680" s="82"/>
      <c r="AW680" s="7"/>
      <c r="AX680" s="82"/>
      <c r="AY680" s="7"/>
      <c r="AZ680" s="7"/>
      <c r="BA680" s="7"/>
      <c r="BB680" s="7"/>
      <c r="BC680" s="7"/>
      <c r="BD680" s="7"/>
      <c r="BE680" s="7"/>
      <c r="BF680" s="7"/>
      <c r="BG680" s="7"/>
    </row>
    <row r="681">
      <c r="A681" s="39"/>
      <c r="B681" s="39"/>
      <c r="C681" s="7"/>
      <c r="D681" s="53"/>
      <c r="E681" s="7"/>
      <c r="F681" s="53"/>
      <c r="G681" s="16"/>
      <c r="H681" s="81"/>
      <c r="J681" s="39"/>
      <c r="K681" s="53"/>
      <c r="L681" s="90"/>
      <c r="M681" s="373"/>
      <c r="N681" s="327"/>
      <c r="O681" s="368"/>
      <c r="P681" s="82"/>
      <c r="Q681" s="82"/>
      <c r="R681" s="82"/>
      <c r="S681" s="81"/>
      <c r="T681" s="39"/>
      <c r="U681" s="39"/>
      <c r="V681" s="7"/>
      <c r="W681" s="7"/>
      <c r="X681" s="93"/>
      <c r="Y681" s="131"/>
      <c r="Z681" s="131"/>
      <c r="AA681" s="131"/>
      <c r="AB681" s="131"/>
      <c r="AC681" s="131"/>
      <c r="AD681" s="323"/>
      <c r="AE681" s="131"/>
      <c r="AF681" s="90"/>
      <c r="AG681" s="87"/>
      <c r="AH681" s="39"/>
      <c r="AI681" s="87"/>
      <c r="AJ681" s="81"/>
      <c r="AK681" s="90"/>
      <c r="AL681" s="81"/>
      <c r="AM681" s="39"/>
      <c r="AN681" s="82"/>
      <c r="AO681" s="82"/>
      <c r="AP681" s="82"/>
      <c r="AQ681" s="7"/>
      <c r="AR681" s="7"/>
      <c r="AS681" s="7"/>
      <c r="AT681" s="7"/>
      <c r="AU681" s="7"/>
      <c r="AV681" s="7"/>
      <c r="AW681" s="7"/>
      <c r="AX681" s="82"/>
      <c r="AY681" s="7"/>
      <c r="AZ681" s="7"/>
      <c r="BA681" s="7"/>
      <c r="BB681" s="7"/>
      <c r="BC681" s="7"/>
      <c r="BD681" s="7"/>
      <c r="BE681" s="7"/>
      <c r="BF681" s="7"/>
      <c r="BG681" s="7"/>
    </row>
    <row r="682">
      <c r="A682" s="39"/>
      <c r="B682" s="39"/>
      <c r="C682" s="7"/>
      <c r="D682" s="53"/>
      <c r="E682" s="7"/>
      <c r="F682" s="53"/>
      <c r="G682" s="16"/>
      <c r="H682" s="81"/>
      <c r="J682" s="39"/>
      <c r="K682" s="53"/>
      <c r="L682" s="90"/>
      <c r="M682" s="373"/>
      <c r="N682" s="327"/>
      <c r="O682" s="367"/>
      <c r="P682" s="82"/>
      <c r="Q682" s="82"/>
      <c r="R682" s="82"/>
      <c r="S682" s="81"/>
      <c r="T682" s="81"/>
      <c r="U682" s="39"/>
      <c r="V682" s="7"/>
      <c r="W682" s="7"/>
      <c r="X682" s="93"/>
      <c r="Y682" s="131"/>
      <c r="Z682" s="131"/>
      <c r="AA682" s="131"/>
      <c r="AB682" s="131"/>
      <c r="AC682" s="131"/>
      <c r="AD682" s="323"/>
      <c r="AE682" s="131"/>
      <c r="AF682" s="90"/>
      <c r="AG682" s="87"/>
      <c r="AH682" s="39"/>
      <c r="AI682" s="87"/>
      <c r="AJ682" s="81"/>
      <c r="AK682" s="90"/>
      <c r="AL682" s="81"/>
      <c r="AM682" s="39"/>
      <c r="AN682" s="82"/>
      <c r="AO682" s="82"/>
      <c r="AP682" s="82"/>
      <c r="AQ682" s="7"/>
      <c r="AR682" s="82"/>
      <c r="AS682" s="82"/>
      <c r="AT682" s="82"/>
      <c r="AU682" s="82"/>
      <c r="AV682" s="82"/>
      <c r="AW682" s="7"/>
      <c r="AX682" s="82"/>
      <c r="AY682" s="7"/>
      <c r="AZ682" s="7"/>
      <c r="BA682" s="7"/>
      <c r="BB682" s="7"/>
      <c r="BC682" s="7"/>
      <c r="BD682" s="7"/>
      <c r="BE682" s="7"/>
      <c r="BF682" s="7"/>
      <c r="BG682" s="7"/>
    </row>
    <row r="683">
      <c r="A683" s="39"/>
      <c r="B683" s="39"/>
      <c r="C683" s="7"/>
      <c r="D683" s="53"/>
      <c r="E683" s="7"/>
      <c r="F683" s="53"/>
      <c r="G683" s="16"/>
      <c r="H683" s="81"/>
      <c r="J683" s="39"/>
      <c r="K683" s="53"/>
      <c r="L683" s="90"/>
      <c r="M683" s="373"/>
      <c r="N683" s="327"/>
      <c r="O683" s="367"/>
      <c r="P683" s="82"/>
      <c r="Q683" s="82"/>
      <c r="R683" s="82"/>
      <c r="S683" s="81"/>
      <c r="T683" s="81"/>
      <c r="U683" s="39"/>
      <c r="V683" s="7"/>
      <c r="W683" s="7"/>
      <c r="X683" s="93"/>
      <c r="Y683" s="131"/>
      <c r="Z683" s="131"/>
      <c r="AA683" s="131"/>
      <c r="AB683" s="131"/>
      <c r="AC683" s="131"/>
      <c r="AD683" s="323"/>
      <c r="AE683" s="131"/>
      <c r="AF683" s="90"/>
      <c r="AG683" s="87"/>
      <c r="AH683" s="39"/>
      <c r="AI683" s="87"/>
      <c r="AJ683" s="81"/>
      <c r="AK683" s="90"/>
      <c r="AL683" s="81"/>
      <c r="AM683" s="39"/>
      <c r="AN683" s="82"/>
      <c r="AO683" s="82"/>
      <c r="AP683" s="82"/>
      <c r="AQ683" s="7"/>
      <c r="AR683" s="82"/>
      <c r="AS683" s="82"/>
      <c r="AT683" s="82"/>
      <c r="AU683" s="82"/>
      <c r="AV683" s="82"/>
      <c r="AW683" s="7"/>
      <c r="AX683" s="82"/>
      <c r="AY683" s="7"/>
      <c r="AZ683" s="7"/>
      <c r="BA683" s="7"/>
      <c r="BB683" s="7"/>
      <c r="BC683" s="7"/>
      <c r="BD683" s="7"/>
      <c r="BE683" s="7"/>
      <c r="BF683" s="7"/>
      <c r="BG683" s="7"/>
    </row>
    <row r="684">
      <c r="A684" s="39"/>
      <c r="B684" s="39"/>
      <c r="C684" s="7"/>
      <c r="D684" s="53"/>
      <c r="E684" s="7"/>
      <c r="F684" s="53"/>
      <c r="G684" s="16"/>
      <c r="H684" s="16"/>
      <c r="J684" s="39"/>
      <c r="K684" s="53"/>
      <c r="L684" s="90"/>
      <c r="M684" s="39"/>
      <c r="N684" s="327"/>
      <c r="O684" s="367"/>
      <c r="P684" s="82"/>
      <c r="Q684" s="82"/>
      <c r="R684" s="82"/>
      <c r="S684" s="16"/>
      <c r="T684" s="16"/>
      <c r="U684" s="39"/>
      <c r="V684" s="7"/>
      <c r="W684" s="7"/>
      <c r="X684" s="93"/>
      <c r="Y684" s="131"/>
      <c r="Z684" s="131"/>
      <c r="AA684" s="131"/>
      <c r="AB684" s="131"/>
      <c r="AC684" s="131"/>
      <c r="AD684" s="323"/>
      <c r="AE684" s="131"/>
      <c r="AF684" s="90"/>
      <c r="AG684" s="87"/>
      <c r="AH684" s="39"/>
      <c r="AI684" s="87"/>
      <c r="AJ684" s="81"/>
      <c r="AK684" s="90"/>
      <c r="AL684" s="81"/>
      <c r="AM684" s="39"/>
      <c r="AN684" s="82"/>
      <c r="AO684" s="82"/>
      <c r="AP684" s="82"/>
      <c r="AQ684" s="7"/>
      <c r="AR684" s="7"/>
      <c r="AS684" s="7"/>
      <c r="AT684" s="7"/>
      <c r="AU684" s="7"/>
      <c r="AV684" s="7"/>
      <c r="AW684" s="7"/>
      <c r="AX684" s="82"/>
      <c r="AY684" s="7"/>
      <c r="AZ684" s="7"/>
      <c r="BA684" s="7"/>
      <c r="BB684" s="7"/>
      <c r="BC684" s="7"/>
      <c r="BD684" s="7"/>
      <c r="BE684" s="7"/>
      <c r="BF684" s="7"/>
      <c r="BG684" s="7"/>
    </row>
    <row r="685">
      <c r="A685" s="39"/>
      <c r="B685" s="39"/>
      <c r="C685" s="7"/>
      <c r="D685" s="53"/>
      <c r="E685" s="7"/>
      <c r="F685" s="53"/>
      <c r="G685" s="16"/>
      <c r="H685" s="16"/>
      <c r="J685" s="39"/>
      <c r="K685" s="53"/>
      <c r="L685" s="90"/>
      <c r="M685" s="39"/>
      <c r="N685" s="327"/>
      <c r="O685" s="367"/>
      <c r="P685" s="82"/>
      <c r="Q685" s="82"/>
      <c r="R685" s="82"/>
      <c r="S685" s="16"/>
      <c r="T685" s="16"/>
      <c r="U685" s="39"/>
      <c r="V685" s="7"/>
      <c r="W685" s="7"/>
      <c r="X685" s="93"/>
      <c r="Y685" s="131"/>
      <c r="Z685" s="131"/>
      <c r="AA685" s="131"/>
      <c r="AB685" s="131"/>
      <c r="AC685" s="131"/>
      <c r="AD685" s="323"/>
      <c r="AE685" s="131"/>
      <c r="AF685" s="90"/>
      <c r="AG685" s="87"/>
      <c r="AH685" s="39"/>
      <c r="AI685" s="87"/>
      <c r="AJ685" s="81"/>
      <c r="AK685" s="90"/>
      <c r="AL685" s="81"/>
      <c r="AM685" s="39"/>
      <c r="AN685" s="82"/>
      <c r="AO685" s="82"/>
      <c r="AP685" s="82"/>
      <c r="AQ685" s="7"/>
      <c r="AR685" s="7"/>
      <c r="AS685" s="7"/>
      <c r="AT685" s="7"/>
      <c r="AU685" s="7"/>
      <c r="AV685" s="7"/>
      <c r="AW685" s="7"/>
      <c r="AX685" s="82"/>
      <c r="AY685" s="7"/>
      <c r="AZ685" s="7"/>
      <c r="BA685" s="7"/>
      <c r="BB685" s="7"/>
      <c r="BC685" s="7"/>
      <c r="BD685" s="7"/>
      <c r="BE685" s="7"/>
      <c r="BF685" s="7"/>
      <c r="BG685" s="7"/>
    </row>
    <row r="686">
      <c r="A686" s="39"/>
      <c r="B686" s="39"/>
      <c r="C686" s="7"/>
      <c r="D686" s="53"/>
      <c r="E686" s="7"/>
      <c r="F686" s="53"/>
      <c r="G686" s="16"/>
      <c r="H686" s="16"/>
      <c r="J686" s="39"/>
      <c r="K686" s="53"/>
      <c r="L686" s="90"/>
      <c r="M686" s="39"/>
      <c r="N686" s="327"/>
      <c r="O686" s="322"/>
      <c r="P686" s="82"/>
      <c r="Q686" s="82"/>
      <c r="R686" s="82"/>
      <c r="S686" s="16"/>
      <c r="T686" s="16"/>
      <c r="U686" s="39"/>
      <c r="V686" s="7"/>
      <c r="W686" s="7"/>
      <c r="X686" s="93"/>
      <c r="Y686" s="131"/>
      <c r="Z686" s="131"/>
      <c r="AA686" s="131"/>
      <c r="AB686" s="131"/>
      <c r="AC686" s="131"/>
      <c r="AD686" s="323"/>
      <c r="AE686" s="131"/>
      <c r="AF686" s="90"/>
      <c r="AG686" s="87"/>
      <c r="AH686" s="39"/>
      <c r="AI686" s="87"/>
      <c r="AJ686" s="81"/>
      <c r="AK686" s="90"/>
      <c r="AL686" s="81"/>
      <c r="AM686" s="39"/>
      <c r="AN686" s="82"/>
      <c r="AO686" s="82"/>
      <c r="AP686" s="82"/>
      <c r="AQ686" s="7"/>
      <c r="AR686" s="7"/>
      <c r="AS686" s="7"/>
      <c r="AT686" s="7"/>
      <c r="AU686" s="7"/>
      <c r="AV686" s="7"/>
      <c r="AW686" s="7"/>
      <c r="AX686" s="82"/>
      <c r="AY686" s="7"/>
      <c r="AZ686" s="7"/>
      <c r="BA686" s="7"/>
      <c r="BB686" s="7"/>
      <c r="BC686" s="7"/>
      <c r="BD686" s="7"/>
      <c r="BE686" s="7"/>
      <c r="BF686" s="7"/>
      <c r="BG686" s="7"/>
    </row>
    <row r="687">
      <c r="A687" s="39"/>
      <c r="B687" s="39"/>
      <c r="C687" s="7"/>
      <c r="D687" s="53"/>
      <c r="E687" s="7"/>
      <c r="F687" s="53"/>
      <c r="G687" s="16"/>
      <c r="H687" s="16"/>
      <c r="J687" s="39"/>
      <c r="K687" s="53"/>
      <c r="L687" s="90"/>
      <c r="M687" s="39"/>
      <c r="N687" s="327"/>
      <c r="O687" s="322"/>
      <c r="P687" s="82"/>
      <c r="Q687" s="82"/>
      <c r="R687" s="82"/>
      <c r="S687" s="16"/>
      <c r="T687" s="16"/>
      <c r="U687" s="39"/>
      <c r="V687" s="7"/>
      <c r="W687" s="7"/>
      <c r="X687" s="93"/>
      <c r="Y687" s="131"/>
      <c r="Z687" s="131"/>
      <c r="AA687" s="131"/>
      <c r="AB687" s="131"/>
      <c r="AC687" s="131"/>
      <c r="AD687" s="323"/>
      <c r="AE687" s="131"/>
      <c r="AF687" s="90"/>
      <c r="AG687" s="87"/>
      <c r="AH687" s="39"/>
      <c r="AI687" s="87"/>
      <c r="AJ687" s="81"/>
      <c r="AK687" s="90"/>
      <c r="AL687" s="81"/>
      <c r="AM687" s="16"/>
      <c r="AN687" s="82"/>
      <c r="AO687" s="82"/>
      <c r="AP687" s="82"/>
      <c r="AQ687" s="7"/>
      <c r="AR687" s="7"/>
      <c r="AS687" s="7"/>
      <c r="AT687" s="7"/>
      <c r="AU687" s="7"/>
      <c r="AV687" s="7"/>
      <c r="AW687" s="7"/>
      <c r="AX687" s="82"/>
      <c r="AY687" s="7"/>
      <c r="AZ687" s="7"/>
      <c r="BA687" s="7"/>
      <c r="BB687" s="7"/>
      <c r="BC687" s="7"/>
      <c r="BD687" s="7"/>
      <c r="BE687" s="7"/>
      <c r="BF687" s="7"/>
      <c r="BG687" s="7"/>
    </row>
    <row r="688">
      <c r="A688" s="39"/>
      <c r="B688" s="39"/>
      <c r="C688" s="7"/>
      <c r="D688" s="53"/>
      <c r="E688" s="7"/>
      <c r="F688" s="53"/>
      <c r="G688" s="16"/>
      <c r="H688" s="16"/>
      <c r="J688" s="39"/>
      <c r="K688" s="53"/>
      <c r="L688" s="90"/>
      <c r="M688" s="39"/>
      <c r="N688" s="327"/>
      <c r="O688" s="322"/>
      <c r="P688" s="82"/>
      <c r="Q688" s="82"/>
      <c r="R688" s="82"/>
      <c r="S688" s="16"/>
      <c r="T688" s="16"/>
      <c r="U688" s="39"/>
      <c r="V688" s="7"/>
      <c r="W688" s="7"/>
      <c r="X688" s="93"/>
      <c r="Y688" s="131"/>
      <c r="Z688" s="131"/>
      <c r="AA688" s="131"/>
      <c r="AB688" s="131"/>
      <c r="AC688" s="131"/>
      <c r="AD688" s="323"/>
      <c r="AE688" s="131"/>
      <c r="AF688" s="90"/>
      <c r="AG688" s="87"/>
      <c r="AH688" s="39"/>
      <c r="AI688" s="87"/>
      <c r="AJ688" s="81"/>
      <c r="AK688" s="90"/>
      <c r="AL688" s="81"/>
      <c r="AM688" s="39"/>
      <c r="AN688" s="82"/>
      <c r="AO688" s="82"/>
      <c r="AP688" s="82"/>
      <c r="AQ688" s="7"/>
      <c r="AR688" s="7"/>
      <c r="AS688" s="7"/>
      <c r="AT688" s="7"/>
      <c r="AU688" s="7"/>
      <c r="AV688" s="7"/>
      <c r="AW688" s="7"/>
      <c r="AX688" s="82"/>
      <c r="AY688" s="7"/>
      <c r="AZ688" s="7"/>
      <c r="BA688" s="7"/>
      <c r="BB688" s="7"/>
      <c r="BC688" s="7"/>
      <c r="BD688" s="7"/>
      <c r="BE688" s="7"/>
      <c r="BF688" s="7"/>
      <c r="BG688" s="7"/>
    </row>
    <row r="689">
      <c r="A689" s="39"/>
      <c r="B689" s="39"/>
      <c r="C689" s="7"/>
      <c r="D689" s="53"/>
      <c r="E689" s="7"/>
      <c r="F689" s="53"/>
      <c r="G689" s="16"/>
      <c r="H689" s="16"/>
      <c r="J689" s="39"/>
      <c r="K689" s="53"/>
      <c r="L689" s="90"/>
      <c r="M689" s="39"/>
      <c r="N689" s="327"/>
      <c r="O689" s="368"/>
      <c r="P689" s="82"/>
      <c r="Q689" s="82"/>
      <c r="R689" s="82"/>
      <c r="S689" s="16"/>
      <c r="T689" s="16"/>
      <c r="U689" s="39"/>
      <c r="V689" s="7"/>
      <c r="W689" s="7"/>
      <c r="X689" s="93"/>
      <c r="Y689" s="131"/>
      <c r="Z689" s="131"/>
      <c r="AA689" s="131"/>
      <c r="AB689" s="131"/>
      <c r="AC689" s="131"/>
      <c r="AD689" s="323"/>
      <c r="AE689" s="131"/>
      <c r="AF689" s="90"/>
      <c r="AG689" s="87"/>
      <c r="AH689" s="39"/>
      <c r="AI689" s="87"/>
      <c r="AJ689" s="81"/>
      <c r="AK689" s="90"/>
      <c r="AL689" s="81"/>
      <c r="AM689" s="39"/>
      <c r="AN689" s="82"/>
      <c r="AO689" s="82"/>
      <c r="AP689" s="82"/>
      <c r="AQ689" s="7"/>
      <c r="AR689" s="7"/>
      <c r="AS689" s="7"/>
      <c r="AT689" s="7"/>
      <c r="AU689" s="7"/>
      <c r="AV689" s="7"/>
      <c r="AW689" s="7"/>
      <c r="AX689" s="82"/>
      <c r="AY689" s="7"/>
      <c r="AZ689" s="7"/>
      <c r="BA689" s="7"/>
      <c r="BB689" s="7"/>
      <c r="BC689" s="7"/>
      <c r="BD689" s="7"/>
      <c r="BE689" s="7"/>
      <c r="BF689" s="7"/>
      <c r="BG689" s="7"/>
    </row>
    <row r="690">
      <c r="A690" s="39"/>
      <c r="B690" s="39"/>
      <c r="C690" s="7"/>
      <c r="D690" s="53"/>
      <c r="E690" s="7"/>
      <c r="F690" s="53"/>
      <c r="G690" s="16"/>
      <c r="H690" s="16"/>
      <c r="J690" s="39"/>
      <c r="K690" s="53"/>
      <c r="L690" s="90"/>
      <c r="M690" s="39"/>
      <c r="N690" s="327"/>
      <c r="O690" s="322"/>
      <c r="P690" s="82"/>
      <c r="Q690" s="82"/>
      <c r="R690" s="82"/>
      <c r="S690" s="16"/>
      <c r="T690" s="16"/>
      <c r="U690" s="39"/>
      <c r="V690" s="7"/>
      <c r="W690" s="7"/>
      <c r="X690" s="93"/>
      <c r="Y690" s="85"/>
      <c r="Z690" s="85"/>
      <c r="AA690" s="85"/>
      <c r="AB690" s="131"/>
      <c r="AC690" s="131"/>
      <c r="AD690" s="323"/>
      <c r="AE690" s="131"/>
      <c r="AF690" s="90"/>
      <c r="AG690" s="87"/>
      <c r="AH690" s="39"/>
      <c r="AI690" s="87"/>
      <c r="AJ690" s="81"/>
      <c r="AK690" s="90"/>
      <c r="AL690" s="81"/>
      <c r="AM690" s="39"/>
      <c r="AN690" s="82"/>
      <c r="AO690" s="82"/>
      <c r="AP690" s="82"/>
      <c r="AQ690" s="82"/>
      <c r="AR690" s="82"/>
      <c r="AS690" s="82"/>
      <c r="AT690" s="82"/>
      <c r="AU690" s="82"/>
      <c r="AV690" s="82"/>
      <c r="AW690" s="7"/>
      <c r="AX690" s="82"/>
      <c r="AY690" s="7"/>
      <c r="AZ690" s="7"/>
      <c r="BA690" s="7"/>
      <c r="BB690" s="7"/>
      <c r="BC690" s="7"/>
      <c r="BD690" s="7"/>
      <c r="BE690" s="7"/>
      <c r="BF690" s="7"/>
      <c r="BG690" s="7"/>
    </row>
    <row r="691">
      <c r="A691" s="39"/>
      <c r="B691" s="39"/>
      <c r="C691" s="7"/>
      <c r="D691" s="53"/>
      <c r="E691" s="7"/>
      <c r="F691" s="53"/>
      <c r="G691" s="16"/>
      <c r="H691" s="16"/>
      <c r="J691" s="39"/>
      <c r="K691" s="53"/>
      <c r="L691" s="90"/>
      <c r="M691" s="39"/>
      <c r="N691" s="327"/>
      <c r="O691" s="367"/>
      <c r="P691" s="82"/>
      <c r="Q691" s="82"/>
      <c r="R691" s="82"/>
      <c r="S691" s="16"/>
      <c r="T691" s="16"/>
      <c r="U691" s="39"/>
      <c r="V691" s="7"/>
      <c r="W691" s="7"/>
      <c r="X691" s="93"/>
      <c r="Y691" s="85"/>
      <c r="Z691" s="85"/>
      <c r="AA691" s="85"/>
      <c r="AB691" s="85"/>
      <c r="AC691" s="131"/>
      <c r="AD691" s="323"/>
      <c r="AE691" s="131"/>
      <c r="AF691" s="90"/>
      <c r="AG691" s="87"/>
      <c r="AH691" s="39"/>
      <c r="AI691" s="87"/>
      <c r="AJ691" s="81"/>
      <c r="AK691" s="90"/>
      <c r="AL691" s="81"/>
      <c r="AM691" s="39"/>
      <c r="AN691" s="82"/>
      <c r="AO691" s="82"/>
      <c r="AP691" s="82"/>
      <c r="AQ691" s="82"/>
      <c r="AR691" s="82"/>
      <c r="AS691" s="82"/>
      <c r="AT691" s="82"/>
      <c r="AU691" s="82"/>
      <c r="AV691" s="82"/>
      <c r="AW691" s="7"/>
      <c r="AX691" s="82"/>
      <c r="AY691" s="7"/>
      <c r="AZ691" s="7"/>
      <c r="BA691" s="7"/>
      <c r="BB691" s="7"/>
      <c r="BC691" s="7"/>
      <c r="BD691" s="7"/>
      <c r="BE691" s="7"/>
      <c r="BF691" s="7"/>
      <c r="BG691" s="7"/>
    </row>
    <row r="692">
      <c r="A692" s="39"/>
      <c r="B692" s="39"/>
      <c r="C692" s="7"/>
      <c r="D692" s="53"/>
      <c r="E692" s="7"/>
      <c r="F692" s="53"/>
      <c r="G692" s="16"/>
      <c r="H692" s="16"/>
      <c r="J692" s="39"/>
      <c r="K692" s="53"/>
      <c r="L692" s="90"/>
      <c r="M692" s="39"/>
      <c r="N692" s="327"/>
      <c r="O692" s="322"/>
      <c r="P692" s="82"/>
      <c r="Q692" s="82"/>
      <c r="R692" s="82"/>
      <c r="S692" s="16"/>
      <c r="T692" s="16"/>
      <c r="U692" s="39"/>
      <c r="V692" s="7"/>
      <c r="W692" s="7"/>
      <c r="X692" s="93"/>
      <c r="Y692" s="85"/>
      <c r="Z692" s="85"/>
      <c r="AA692" s="85"/>
      <c r="AB692" s="85"/>
      <c r="AC692" s="131"/>
      <c r="AD692" s="323"/>
      <c r="AE692" s="131"/>
      <c r="AF692" s="90"/>
      <c r="AG692" s="87"/>
      <c r="AH692" s="39"/>
      <c r="AI692" s="87"/>
      <c r="AJ692" s="81"/>
      <c r="AK692" s="90"/>
      <c r="AL692" s="81"/>
      <c r="AM692" s="39"/>
      <c r="AN692" s="82"/>
      <c r="AO692" s="82"/>
      <c r="AP692" s="82"/>
      <c r="AQ692" s="82"/>
      <c r="AR692" s="82"/>
      <c r="AS692" s="82"/>
      <c r="AT692" s="82"/>
      <c r="AU692" s="82"/>
      <c r="AV692" s="82"/>
      <c r="AW692" s="7"/>
      <c r="AX692" s="82"/>
      <c r="AY692" s="7"/>
      <c r="AZ692" s="7"/>
      <c r="BA692" s="7"/>
      <c r="BB692" s="7"/>
      <c r="BC692" s="7"/>
      <c r="BD692" s="7"/>
      <c r="BE692" s="7"/>
      <c r="BF692" s="7"/>
      <c r="BG692" s="7"/>
    </row>
    <row r="693">
      <c r="A693" s="39"/>
      <c r="B693" s="39"/>
      <c r="C693" s="7"/>
      <c r="D693" s="53"/>
      <c r="E693" s="7"/>
      <c r="F693" s="53"/>
      <c r="G693" s="16"/>
      <c r="H693" s="16"/>
      <c r="J693" s="39"/>
      <c r="K693" s="53"/>
      <c r="L693" s="90"/>
      <c r="M693" s="39"/>
      <c r="N693" s="327"/>
      <c r="O693" s="367"/>
      <c r="P693" s="82"/>
      <c r="Q693" s="82"/>
      <c r="R693" s="82"/>
      <c r="S693" s="16"/>
      <c r="T693" s="16"/>
      <c r="U693" s="39"/>
      <c r="V693" s="7"/>
      <c r="W693" s="7"/>
      <c r="X693" s="93"/>
      <c r="Y693" s="85"/>
      <c r="Z693" s="85"/>
      <c r="AA693" s="85"/>
      <c r="AB693" s="85"/>
      <c r="AC693" s="131"/>
      <c r="AD693" s="323"/>
      <c r="AE693" s="131"/>
      <c r="AF693" s="90"/>
      <c r="AG693" s="87"/>
      <c r="AH693" s="39"/>
      <c r="AI693" s="87"/>
      <c r="AJ693" s="81"/>
      <c r="AK693" s="90"/>
      <c r="AL693" s="81"/>
      <c r="AM693" s="39"/>
      <c r="AN693" s="82"/>
      <c r="AO693" s="82"/>
      <c r="AP693" s="82"/>
      <c r="AQ693" s="82"/>
      <c r="AR693" s="82"/>
      <c r="AS693" s="82"/>
      <c r="AT693" s="82"/>
      <c r="AU693" s="82"/>
      <c r="AV693" s="82"/>
      <c r="AW693" s="7"/>
      <c r="AX693" s="82"/>
      <c r="AY693" s="7"/>
      <c r="AZ693" s="7"/>
      <c r="BA693" s="7"/>
      <c r="BB693" s="7"/>
      <c r="BC693" s="7"/>
      <c r="BD693" s="7"/>
      <c r="BE693" s="7"/>
      <c r="BF693" s="7"/>
      <c r="BG693" s="7"/>
    </row>
    <row r="694">
      <c r="A694" s="39"/>
      <c r="B694" s="39"/>
      <c r="C694" s="7"/>
      <c r="D694" s="53"/>
      <c r="E694" s="7"/>
      <c r="F694" s="53"/>
      <c r="G694" s="16"/>
      <c r="H694" s="16"/>
      <c r="J694" s="39"/>
      <c r="K694" s="53"/>
      <c r="L694" s="90"/>
      <c r="M694" s="39"/>
      <c r="N694" s="327"/>
      <c r="O694" s="367"/>
      <c r="P694" s="82"/>
      <c r="Q694" s="82"/>
      <c r="R694" s="82"/>
      <c r="S694" s="16"/>
      <c r="T694" s="16"/>
      <c r="U694" s="39"/>
      <c r="V694" s="7"/>
      <c r="W694" s="7"/>
      <c r="X694" s="93"/>
      <c r="Y694" s="85"/>
      <c r="Z694" s="85"/>
      <c r="AA694" s="85"/>
      <c r="AB694" s="85"/>
      <c r="AC694" s="131"/>
      <c r="AD694" s="323"/>
      <c r="AE694" s="131"/>
      <c r="AF694" s="90"/>
      <c r="AG694" s="87"/>
      <c r="AH694" s="39"/>
      <c r="AI694" s="87"/>
      <c r="AJ694" s="81"/>
      <c r="AK694" s="90"/>
      <c r="AL694" s="81"/>
      <c r="AM694" s="39"/>
      <c r="AN694" s="82"/>
      <c r="AO694" s="82"/>
      <c r="AP694" s="82"/>
      <c r="AQ694" s="82"/>
      <c r="AR694" s="82"/>
      <c r="AS694" s="82"/>
      <c r="AT694" s="82"/>
      <c r="AU694" s="82"/>
      <c r="AV694" s="82"/>
      <c r="AW694" s="7"/>
      <c r="AX694" s="82"/>
      <c r="AY694" s="7"/>
      <c r="AZ694" s="7"/>
      <c r="BA694" s="7"/>
      <c r="BB694" s="7"/>
      <c r="BC694" s="7"/>
      <c r="BD694" s="7"/>
      <c r="BE694" s="7"/>
      <c r="BF694" s="7"/>
      <c r="BG694" s="7"/>
    </row>
    <row r="695">
      <c r="A695" s="39"/>
      <c r="B695" s="39"/>
      <c r="C695" s="7"/>
      <c r="D695" s="53"/>
      <c r="E695" s="7"/>
      <c r="F695" s="53"/>
      <c r="G695" s="16"/>
      <c r="H695" s="16"/>
      <c r="J695" s="39"/>
      <c r="K695" s="53"/>
      <c r="L695" s="90"/>
      <c r="M695" s="39"/>
      <c r="N695" s="327"/>
      <c r="O695" s="367"/>
      <c r="P695" s="82"/>
      <c r="Q695" s="82"/>
      <c r="R695" s="82"/>
      <c r="S695" s="16"/>
      <c r="T695" s="16"/>
      <c r="U695" s="39"/>
      <c r="V695" s="7"/>
      <c r="W695" s="7"/>
      <c r="X695" s="93"/>
      <c r="Y695" s="85"/>
      <c r="Z695" s="85"/>
      <c r="AA695" s="85"/>
      <c r="AB695" s="85"/>
      <c r="AC695" s="131"/>
      <c r="AD695" s="323"/>
      <c r="AE695" s="131"/>
      <c r="AF695" s="90"/>
      <c r="AG695" s="87"/>
      <c r="AH695" s="39"/>
      <c r="AI695" s="87"/>
      <c r="AJ695" s="81"/>
      <c r="AK695" s="90"/>
      <c r="AL695" s="81"/>
      <c r="AM695" s="39"/>
      <c r="AN695" s="82"/>
      <c r="AO695" s="82"/>
      <c r="AP695" s="82"/>
      <c r="AQ695" s="82"/>
      <c r="AR695" s="82"/>
      <c r="AS695" s="82"/>
      <c r="AT695" s="82"/>
      <c r="AU695" s="82"/>
      <c r="AV695" s="82"/>
      <c r="AW695" s="7"/>
      <c r="AX695" s="82"/>
      <c r="AY695" s="7"/>
      <c r="AZ695" s="7"/>
      <c r="BA695" s="7"/>
      <c r="BB695" s="7"/>
      <c r="BC695" s="7"/>
      <c r="BD695" s="7"/>
      <c r="BE695" s="7"/>
      <c r="BF695" s="7"/>
      <c r="BG695" s="7"/>
    </row>
    <row r="696">
      <c r="A696" s="39"/>
      <c r="B696" s="39"/>
      <c r="C696" s="7"/>
      <c r="D696" s="53"/>
      <c r="E696" s="7"/>
      <c r="F696" s="53"/>
      <c r="G696" s="16"/>
      <c r="H696" s="16"/>
      <c r="J696" s="39"/>
      <c r="K696" s="53"/>
      <c r="L696" s="90"/>
      <c r="M696" s="39"/>
      <c r="N696" s="327"/>
      <c r="O696" s="367"/>
      <c r="P696" s="82"/>
      <c r="Q696" s="82"/>
      <c r="R696" s="82"/>
      <c r="S696" s="16"/>
      <c r="T696" s="16"/>
      <c r="U696" s="39"/>
      <c r="V696" s="7"/>
      <c r="W696" s="7"/>
      <c r="X696" s="93"/>
      <c r="Y696" s="85"/>
      <c r="Z696" s="85"/>
      <c r="AA696" s="85"/>
      <c r="AB696" s="85"/>
      <c r="AC696" s="131"/>
      <c r="AD696" s="323"/>
      <c r="AE696" s="131"/>
      <c r="AF696" s="90"/>
      <c r="AG696" s="87"/>
      <c r="AH696" s="39"/>
      <c r="AI696" s="87"/>
      <c r="AJ696" s="81"/>
      <c r="AK696" s="90"/>
      <c r="AL696" s="81"/>
      <c r="AM696" s="39"/>
      <c r="AN696" s="82"/>
      <c r="AO696" s="82"/>
      <c r="AP696" s="82"/>
      <c r="AQ696" s="82"/>
      <c r="AR696" s="82"/>
      <c r="AS696" s="82"/>
      <c r="AT696" s="82"/>
      <c r="AU696" s="82"/>
      <c r="AV696" s="82"/>
      <c r="AW696" s="7"/>
      <c r="AX696" s="82"/>
      <c r="AY696" s="7"/>
      <c r="AZ696" s="7"/>
      <c r="BA696" s="7"/>
      <c r="BB696" s="7"/>
      <c r="BC696" s="7"/>
      <c r="BD696" s="7"/>
      <c r="BE696" s="7"/>
      <c r="BF696" s="7"/>
      <c r="BG696" s="7"/>
    </row>
    <row r="697">
      <c r="A697" s="39"/>
      <c r="B697" s="39"/>
      <c r="C697" s="7"/>
      <c r="D697" s="53"/>
      <c r="E697" s="7"/>
      <c r="F697" s="53"/>
      <c r="G697" s="16"/>
      <c r="H697" s="16"/>
      <c r="J697" s="39"/>
      <c r="K697" s="53"/>
      <c r="L697" s="90"/>
      <c r="M697" s="39"/>
      <c r="N697" s="327"/>
      <c r="O697" s="367"/>
      <c r="P697" s="82"/>
      <c r="Q697" s="82"/>
      <c r="R697" s="82"/>
      <c r="S697" s="16"/>
      <c r="T697" s="16"/>
      <c r="U697" s="39"/>
      <c r="V697" s="7"/>
      <c r="W697" s="7"/>
      <c r="X697" s="93"/>
      <c r="Y697" s="85"/>
      <c r="Z697" s="85"/>
      <c r="AA697" s="85"/>
      <c r="AB697" s="85"/>
      <c r="AC697" s="131"/>
      <c r="AD697" s="323"/>
      <c r="AE697" s="131"/>
      <c r="AF697" s="90"/>
      <c r="AG697" s="87"/>
      <c r="AH697" s="39"/>
      <c r="AI697" s="87"/>
      <c r="AJ697" s="81"/>
      <c r="AK697" s="90"/>
      <c r="AL697" s="81"/>
      <c r="AM697" s="39"/>
      <c r="AN697" s="82"/>
      <c r="AO697" s="82"/>
      <c r="AP697" s="82"/>
      <c r="AQ697" s="82"/>
      <c r="AR697" s="82"/>
      <c r="AS697" s="82"/>
      <c r="AT697" s="82"/>
      <c r="AU697" s="82"/>
      <c r="AV697" s="82"/>
      <c r="AW697" s="7"/>
      <c r="AX697" s="82"/>
      <c r="AY697" s="7"/>
      <c r="AZ697" s="7"/>
      <c r="BA697" s="7"/>
      <c r="BB697" s="7"/>
      <c r="BC697" s="7"/>
      <c r="BD697" s="7"/>
      <c r="BE697" s="7"/>
      <c r="BF697" s="7"/>
      <c r="BG697" s="7"/>
    </row>
    <row r="698">
      <c r="A698" s="39"/>
      <c r="B698" s="39"/>
      <c r="C698" s="7"/>
      <c r="D698" s="53"/>
      <c r="E698" s="7"/>
      <c r="F698" s="53"/>
      <c r="G698" s="16"/>
      <c r="H698" s="16"/>
      <c r="J698" s="39"/>
      <c r="K698" s="53"/>
      <c r="L698" s="90"/>
      <c r="M698" s="39"/>
      <c r="N698" s="327"/>
      <c r="O698" s="367"/>
      <c r="P698" s="82"/>
      <c r="Q698" s="82"/>
      <c r="R698" s="82"/>
      <c r="S698" s="16"/>
      <c r="T698" s="16"/>
      <c r="U698" s="39"/>
      <c r="V698" s="7"/>
      <c r="W698" s="7"/>
      <c r="X698" s="93"/>
      <c r="Y698" s="85"/>
      <c r="Z698" s="85"/>
      <c r="AA698" s="85"/>
      <c r="AB698" s="85"/>
      <c r="AC698" s="131"/>
      <c r="AD698" s="323"/>
      <c r="AE698" s="131"/>
      <c r="AF698" s="90"/>
      <c r="AG698" s="87"/>
      <c r="AH698" s="39"/>
      <c r="AI698" s="87"/>
      <c r="AJ698" s="81"/>
      <c r="AK698" s="90"/>
      <c r="AL698" s="81"/>
      <c r="AM698" s="39"/>
      <c r="AN698" s="82"/>
      <c r="AO698" s="82"/>
      <c r="AP698" s="82"/>
      <c r="AQ698" s="82"/>
      <c r="AR698" s="82"/>
      <c r="AS698" s="82"/>
      <c r="AT698" s="82"/>
      <c r="AU698" s="82"/>
      <c r="AV698" s="82"/>
      <c r="AW698" s="7"/>
      <c r="AX698" s="82"/>
      <c r="AY698" s="7"/>
      <c r="AZ698" s="7"/>
      <c r="BA698" s="7"/>
      <c r="BB698" s="7"/>
      <c r="BC698" s="7"/>
      <c r="BD698" s="7"/>
      <c r="BE698" s="7"/>
      <c r="BF698" s="7"/>
      <c r="BG698" s="7"/>
    </row>
    <row r="699">
      <c r="A699" s="39"/>
      <c r="B699" s="39"/>
      <c r="C699" s="7"/>
      <c r="D699" s="53"/>
      <c r="E699" s="7"/>
      <c r="F699" s="53"/>
      <c r="G699" s="16"/>
      <c r="H699" s="81"/>
      <c r="J699" s="39"/>
      <c r="K699" s="53"/>
      <c r="L699" s="90"/>
      <c r="M699" s="39"/>
      <c r="N699" s="321"/>
      <c r="O699" s="367"/>
      <c r="P699" s="82"/>
      <c r="Q699" s="82"/>
      <c r="R699" s="82"/>
      <c r="S699" s="81"/>
      <c r="T699" s="83"/>
      <c r="U699" s="39"/>
      <c r="V699" s="7"/>
      <c r="W699" s="7"/>
      <c r="X699" s="93"/>
      <c r="Y699" s="85"/>
      <c r="Z699" s="85"/>
      <c r="AA699" s="85"/>
      <c r="AB699" s="131"/>
      <c r="AC699" s="131"/>
      <c r="AD699" s="323"/>
      <c r="AE699" s="131"/>
      <c r="AF699" s="90"/>
      <c r="AG699" s="87"/>
      <c r="AH699" s="39"/>
      <c r="AI699" s="87"/>
      <c r="AJ699" s="81"/>
      <c r="AK699" s="90"/>
      <c r="AL699" s="81"/>
      <c r="AM699" s="39"/>
      <c r="AN699" s="82"/>
      <c r="AO699" s="82"/>
      <c r="AP699" s="82"/>
      <c r="AQ699" s="7"/>
      <c r="AR699" s="7"/>
      <c r="AS699" s="7"/>
      <c r="AT699" s="7"/>
      <c r="AU699" s="7"/>
      <c r="AV699" s="7"/>
      <c r="AW699" s="7"/>
      <c r="AX699" s="82"/>
      <c r="AY699" s="7"/>
      <c r="AZ699" s="7"/>
      <c r="BA699" s="7"/>
      <c r="BB699" s="7"/>
      <c r="BC699" s="7"/>
      <c r="BD699" s="7"/>
      <c r="BE699" s="7"/>
      <c r="BF699" s="7"/>
      <c r="BG699" s="7"/>
    </row>
    <row r="700">
      <c r="A700" s="39"/>
      <c r="B700" s="39"/>
      <c r="C700" s="7"/>
      <c r="D700" s="53"/>
      <c r="E700" s="7"/>
      <c r="F700" s="53"/>
      <c r="G700" s="16"/>
      <c r="H700" s="81"/>
      <c r="J700" s="39"/>
      <c r="K700" s="53"/>
      <c r="L700" s="90"/>
      <c r="M700" s="39"/>
      <c r="N700" s="327"/>
      <c r="O700" s="367"/>
      <c r="P700" s="82"/>
      <c r="Q700" s="82"/>
      <c r="R700" s="82"/>
      <c r="S700" s="81"/>
      <c r="T700" s="83"/>
      <c r="U700" s="39"/>
      <c r="V700" s="7"/>
      <c r="W700" s="7"/>
      <c r="X700" s="93"/>
      <c r="Y700" s="131"/>
      <c r="Z700" s="131"/>
      <c r="AA700" s="131"/>
      <c r="AB700" s="131"/>
      <c r="AC700" s="131"/>
      <c r="AD700" s="323"/>
      <c r="AE700" s="131"/>
      <c r="AF700" s="90"/>
      <c r="AG700" s="87"/>
      <c r="AH700" s="39"/>
      <c r="AI700" s="87"/>
      <c r="AJ700" s="81"/>
      <c r="AK700" s="90"/>
      <c r="AL700" s="81"/>
      <c r="AM700" s="39"/>
      <c r="AN700" s="82"/>
      <c r="AO700" s="82"/>
      <c r="AP700" s="82"/>
      <c r="AQ700" s="7"/>
      <c r="AR700" s="7"/>
      <c r="AS700" s="7"/>
      <c r="AT700" s="7"/>
      <c r="AU700" s="7"/>
      <c r="AV700" s="7"/>
      <c r="AW700" s="7"/>
      <c r="AX700" s="82"/>
      <c r="AY700" s="7"/>
      <c r="AZ700" s="7"/>
      <c r="BA700" s="7"/>
      <c r="BB700" s="7"/>
      <c r="BC700" s="7"/>
      <c r="BD700" s="7"/>
      <c r="BE700" s="7"/>
      <c r="BF700" s="7"/>
      <c r="BG700" s="7"/>
    </row>
    <row r="701">
      <c r="A701" s="39"/>
      <c r="B701" s="39"/>
      <c r="C701" s="7"/>
      <c r="D701" s="53"/>
      <c r="E701" s="7"/>
      <c r="F701" s="53"/>
      <c r="G701" s="16"/>
      <c r="H701" s="16"/>
      <c r="J701" s="16"/>
      <c r="K701" s="53"/>
      <c r="L701" s="90"/>
      <c r="M701" s="39"/>
      <c r="N701" s="327"/>
      <c r="O701" s="368"/>
      <c r="P701" s="82"/>
      <c r="Q701" s="82"/>
      <c r="R701" s="82"/>
      <c r="S701" s="16"/>
      <c r="T701" s="16"/>
      <c r="U701" s="39"/>
      <c r="V701" s="7"/>
      <c r="W701" s="7"/>
      <c r="X701" s="93"/>
      <c r="Y701" s="85"/>
      <c r="Z701" s="85"/>
      <c r="AA701" s="85"/>
      <c r="AB701" s="85"/>
      <c r="AC701" s="85"/>
      <c r="AD701" s="325"/>
      <c r="AE701" s="85"/>
      <c r="AF701" s="90"/>
      <c r="AG701" s="87"/>
      <c r="AH701" s="39"/>
      <c r="AI701" s="87"/>
      <c r="AJ701" s="81"/>
      <c r="AK701" s="21"/>
      <c r="AL701" s="81"/>
      <c r="AM701" s="39"/>
      <c r="AN701" s="82"/>
      <c r="AO701" s="82"/>
      <c r="AP701" s="82"/>
      <c r="AQ701" s="82"/>
      <c r="AR701" s="7"/>
      <c r="AS701" s="82"/>
      <c r="AT701" s="7"/>
      <c r="AU701" s="82"/>
      <c r="AV701" s="7"/>
      <c r="AW701" s="7"/>
      <c r="AX701" s="82"/>
      <c r="AY701" s="7"/>
      <c r="AZ701" s="7"/>
      <c r="BA701" s="7"/>
      <c r="BB701" s="7"/>
      <c r="BC701" s="7"/>
      <c r="BD701" s="7"/>
      <c r="BE701" s="7"/>
      <c r="BF701" s="7"/>
      <c r="BG701" s="7"/>
    </row>
    <row r="702">
      <c r="A702" s="39"/>
      <c r="B702" s="39"/>
      <c r="C702" s="7"/>
      <c r="D702" s="53"/>
      <c r="E702" s="7"/>
      <c r="F702" s="53"/>
      <c r="G702" s="16"/>
      <c r="H702" s="81"/>
      <c r="J702" s="39"/>
      <c r="K702" s="148"/>
      <c r="L702" s="90"/>
      <c r="M702" s="39"/>
      <c r="N702" s="327"/>
      <c r="O702" s="367"/>
      <c r="P702" s="82"/>
      <c r="Q702" s="82"/>
      <c r="R702" s="82"/>
      <c r="S702" s="16"/>
      <c r="T702" s="16"/>
      <c r="U702" s="39"/>
      <c r="V702" s="7"/>
      <c r="W702" s="7"/>
      <c r="X702" s="93"/>
      <c r="Y702" s="131"/>
      <c r="Z702" s="131"/>
      <c r="AA702" s="131"/>
      <c r="AB702" s="131"/>
      <c r="AC702" s="131"/>
      <c r="AD702" s="323"/>
      <c r="AE702" s="131"/>
      <c r="AF702" s="90"/>
      <c r="AG702" s="87"/>
      <c r="AH702" s="39"/>
      <c r="AI702" s="87"/>
      <c r="AJ702" s="81"/>
      <c r="AK702" s="90"/>
      <c r="AL702" s="81"/>
      <c r="AM702" s="39"/>
      <c r="AN702" s="82"/>
      <c r="AO702" s="82"/>
      <c r="AP702" s="82"/>
      <c r="AQ702" s="82"/>
      <c r="AR702" s="82"/>
      <c r="AS702" s="82"/>
      <c r="AT702" s="82"/>
      <c r="AU702" s="82"/>
      <c r="AV702" s="82"/>
      <c r="AW702" s="7"/>
      <c r="AX702" s="82"/>
      <c r="AY702" s="82"/>
      <c r="AZ702" s="7"/>
      <c r="BA702" s="7"/>
      <c r="BB702" s="7"/>
      <c r="BC702" s="7"/>
      <c r="BD702" s="7"/>
      <c r="BE702" s="7"/>
      <c r="BF702" s="7"/>
      <c r="BG702" s="7"/>
    </row>
    <row r="703">
      <c r="A703" s="39"/>
      <c r="B703" s="39"/>
      <c r="C703" s="7"/>
      <c r="D703" s="53"/>
      <c r="E703" s="7"/>
      <c r="F703" s="53"/>
      <c r="G703" s="16"/>
      <c r="H703" s="81"/>
      <c r="J703" s="39"/>
      <c r="K703" s="148"/>
      <c r="L703" s="90"/>
      <c r="M703" s="39"/>
      <c r="N703" s="327"/>
      <c r="O703" s="367"/>
      <c r="P703" s="82"/>
      <c r="Q703" s="82"/>
      <c r="R703" s="82"/>
      <c r="S703" s="16"/>
      <c r="T703" s="16"/>
      <c r="U703" s="39"/>
      <c r="V703" s="7"/>
      <c r="W703" s="7"/>
      <c r="X703" s="93"/>
      <c r="Y703" s="131"/>
      <c r="Z703" s="131"/>
      <c r="AA703" s="131"/>
      <c r="AB703" s="131"/>
      <c r="AC703" s="131"/>
      <c r="AD703" s="323"/>
      <c r="AE703" s="131"/>
      <c r="AF703" s="90"/>
      <c r="AG703" s="87"/>
      <c r="AH703" s="39"/>
      <c r="AI703" s="87"/>
      <c r="AJ703" s="81"/>
      <c r="AK703" s="90"/>
      <c r="AL703" s="81"/>
      <c r="AM703" s="39"/>
      <c r="AN703" s="82"/>
      <c r="AO703" s="82"/>
      <c r="AP703" s="82"/>
      <c r="AQ703" s="82"/>
      <c r="AR703" s="82"/>
      <c r="AS703" s="82"/>
      <c r="AT703" s="82"/>
      <c r="AU703" s="82"/>
      <c r="AV703" s="82"/>
      <c r="AW703" s="7"/>
      <c r="AX703" s="82"/>
      <c r="AY703" s="82"/>
      <c r="AZ703" s="7"/>
      <c r="BA703" s="7"/>
      <c r="BB703" s="7"/>
      <c r="BC703" s="7"/>
      <c r="BD703" s="7"/>
      <c r="BE703" s="7"/>
      <c r="BF703" s="7"/>
      <c r="BG703" s="7"/>
    </row>
    <row r="704">
      <c r="A704" s="39"/>
      <c r="B704" s="39"/>
      <c r="C704" s="7"/>
      <c r="D704" s="53"/>
      <c r="E704" s="7"/>
      <c r="F704" s="53"/>
      <c r="G704" s="16"/>
      <c r="H704" s="81"/>
      <c r="J704" s="39"/>
      <c r="K704" s="148"/>
      <c r="L704" s="90"/>
      <c r="M704" s="39"/>
      <c r="N704" s="327"/>
      <c r="O704" s="367"/>
      <c r="P704" s="82"/>
      <c r="Q704" s="82"/>
      <c r="R704" s="82"/>
      <c r="S704" s="16"/>
      <c r="T704" s="16"/>
      <c r="U704" s="39"/>
      <c r="V704" s="7"/>
      <c r="W704" s="7"/>
      <c r="X704" s="93"/>
      <c r="Y704" s="131"/>
      <c r="Z704" s="131"/>
      <c r="AA704" s="131"/>
      <c r="AB704" s="131"/>
      <c r="AC704" s="131"/>
      <c r="AD704" s="323"/>
      <c r="AE704" s="131"/>
      <c r="AF704" s="90"/>
      <c r="AG704" s="87"/>
      <c r="AH704" s="39"/>
      <c r="AI704" s="87"/>
      <c r="AJ704" s="81"/>
      <c r="AK704" s="90"/>
      <c r="AL704" s="81"/>
      <c r="AM704" s="39"/>
      <c r="AN704" s="82"/>
      <c r="AO704" s="82"/>
      <c r="AP704" s="82"/>
      <c r="AQ704" s="82"/>
      <c r="AR704" s="82"/>
      <c r="AS704" s="82"/>
      <c r="AT704" s="82"/>
      <c r="AU704" s="82"/>
      <c r="AV704" s="82"/>
      <c r="AW704" s="7"/>
      <c r="AX704" s="82"/>
      <c r="AY704" s="82"/>
      <c r="AZ704" s="7"/>
      <c r="BA704" s="7"/>
      <c r="BB704" s="7"/>
      <c r="BC704" s="7"/>
      <c r="BD704" s="7"/>
      <c r="BE704" s="7"/>
      <c r="BF704" s="7"/>
      <c r="BG704" s="7"/>
    </row>
    <row r="705">
      <c r="A705" s="39"/>
      <c r="B705" s="39"/>
      <c r="C705" s="7"/>
      <c r="D705" s="53"/>
      <c r="E705" s="7"/>
      <c r="F705" s="53"/>
      <c r="G705" s="16"/>
      <c r="H705" s="81"/>
      <c r="J705" s="39"/>
      <c r="K705" s="148"/>
      <c r="L705" s="90"/>
      <c r="M705" s="39"/>
      <c r="N705" s="327"/>
      <c r="O705" s="367"/>
      <c r="P705" s="82"/>
      <c r="Q705" s="82"/>
      <c r="R705" s="82"/>
      <c r="S705" s="16"/>
      <c r="T705" s="16"/>
      <c r="U705" s="39"/>
      <c r="V705" s="7"/>
      <c r="W705" s="7"/>
      <c r="X705" s="93"/>
      <c r="Y705" s="131"/>
      <c r="Z705" s="131"/>
      <c r="AA705" s="131"/>
      <c r="AB705" s="131"/>
      <c r="AC705" s="131"/>
      <c r="AD705" s="323"/>
      <c r="AE705" s="131"/>
      <c r="AF705" s="90"/>
      <c r="AG705" s="87"/>
      <c r="AH705" s="39"/>
      <c r="AI705" s="87"/>
      <c r="AJ705" s="81"/>
      <c r="AK705" s="90"/>
      <c r="AL705" s="81"/>
      <c r="AM705" s="39"/>
      <c r="AN705" s="82"/>
      <c r="AO705" s="82"/>
      <c r="AP705" s="82"/>
      <c r="AQ705" s="82"/>
      <c r="AR705" s="82"/>
      <c r="AS705" s="82"/>
      <c r="AT705" s="82"/>
      <c r="AU705" s="82"/>
      <c r="AV705" s="82"/>
      <c r="AW705" s="7"/>
      <c r="AX705" s="82"/>
      <c r="AY705" s="82"/>
      <c r="AZ705" s="7"/>
      <c r="BA705" s="7"/>
      <c r="BB705" s="7"/>
      <c r="BC705" s="7"/>
      <c r="BD705" s="7"/>
      <c r="BE705" s="7"/>
      <c r="BF705" s="7"/>
      <c r="BG705" s="7"/>
    </row>
    <row r="706">
      <c r="A706" s="39"/>
      <c r="B706" s="39"/>
      <c r="C706" s="7"/>
      <c r="D706" s="53"/>
      <c r="E706" s="7"/>
      <c r="F706" s="53"/>
      <c r="G706" s="16"/>
      <c r="H706" s="81"/>
      <c r="J706" s="39"/>
      <c r="K706" s="148"/>
      <c r="L706" s="90"/>
      <c r="M706" s="39"/>
      <c r="N706" s="327"/>
      <c r="O706" s="367"/>
      <c r="P706" s="82"/>
      <c r="Q706" s="82"/>
      <c r="R706" s="82"/>
      <c r="S706" s="16"/>
      <c r="T706" s="16"/>
      <c r="U706" s="39"/>
      <c r="V706" s="7"/>
      <c r="W706" s="7"/>
      <c r="X706" s="93"/>
      <c r="Y706" s="131"/>
      <c r="Z706" s="131"/>
      <c r="AA706" s="131"/>
      <c r="AB706" s="131"/>
      <c r="AC706" s="131"/>
      <c r="AD706" s="323"/>
      <c r="AE706" s="131"/>
      <c r="AF706" s="90"/>
      <c r="AG706" s="87"/>
      <c r="AH706" s="39"/>
      <c r="AI706" s="87"/>
      <c r="AJ706" s="81"/>
      <c r="AK706" s="90"/>
      <c r="AL706" s="81"/>
      <c r="AM706" s="39"/>
      <c r="AN706" s="82"/>
      <c r="AO706" s="82"/>
      <c r="AP706" s="82"/>
      <c r="AQ706" s="82"/>
      <c r="AR706" s="82"/>
      <c r="AS706" s="82"/>
      <c r="AT706" s="82"/>
      <c r="AU706" s="82"/>
      <c r="AV706" s="82"/>
      <c r="AW706" s="7"/>
      <c r="AX706" s="82"/>
      <c r="AY706" s="82"/>
      <c r="AZ706" s="7"/>
      <c r="BA706" s="7"/>
      <c r="BB706" s="7"/>
      <c r="BC706" s="7"/>
      <c r="BD706" s="7"/>
      <c r="BE706" s="7"/>
      <c r="BF706" s="7"/>
      <c r="BG706" s="7"/>
    </row>
    <row r="707">
      <c r="A707" s="39"/>
      <c r="B707" s="39"/>
      <c r="C707" s="7"/>
      <c r="D707" s="53"/>
      <c r="E707" s="7"/>
      <c r="F707" s="53"/>
      <c r="G707" s="16"/>
      <c r="H707" s="81"/>
      <c r="J707" s="39"/>
      <c r="K707" s="148"/>
      <c r="L707" s="90"/>
      <c r="M707" s="39"/>
      <c r="N707" s="327"/>
      <c r="O707" s="367"/>
      <c r="P707" s="82"/>
      <c r="Q707" s="82"/>
      <c r="R707" s="82"/>
      <c r="S707" s="16"/>
      <c r="T707" s="16"/>
      <c r="U707" s="39"/>
      <c r="V707" s="7"/>
      <c r="W707" s="7"/>
      <c r="X707" s="93"/>
      <c r="Y707" s="131"/>
      <c r="Z707" s="131"/>
      <c r="AA707" s="131"/>
      <c r="AB707" s="131"/>
      <c r="AC707" s="131"/>
      <c r="AD707" s="323"/>
      <c r="AE707" s="131"/>
      <c r="AF707" s="90"/>
      <c r="AG707" s="87"/>
      <c r="AH707" s="39"/>
      <c r="AI707" s="87"/>
      <c r="AJ707" s="81"/>
      <c r="AK707" s="90"/>
      <c r="AL707" s="81"/>
      <c r="AM707" s="39"/>
      <c r="AN707" s="82"/>
      <c r="AO707" s="82"/>
      <c r="AP707" s="82"/>
      <c r="AQ707" s="82"/>
      <c r="AR707" s="82"/>
      <c r="AS707" s="82"/>
      <c r="AT707" s="82"/>
      <c r="AU707" s="82"/>
      <c r="AV707" s="82"/>
      <c r="AW707" s="7"/>
      <c r="AX707" s="82"/>
      <c r="AY707" s="82"/>
      <c r="AZ707" s="7"/>
      <c r="BA707" s="7"/>
      <c r="BB707" s="7"/>
      <c r="BC707" s="7"/>
      <c r="BD707" s="7"/>
      <c r="BE707" s="7"/>
      <c r="BF707" s="7"/>
      <c r="BG707" s="7"/>
    </row>
    <row r="708">
      <c r="A708" s="39"/>
      <c r="B708" s="39"/>
      <c r="C708" s="7"/>
      <c r="D708" s="53"/>
      <c r="E708" s="7"/>
      <c r="F708" s="53"/>
      <c r="G708" s="16"/>
      <c r="H708" s="81"/>
      <c r="J708" s="39"/>
      <c r="K708" s="148"/>
      <c r="L708" s="90"/>
      <c r="M708" s="39"/>
      <c r="N708" s="327"/>
      <c r="O708" s="367"/>
      <c r="P708" s="82"/>
      <c r="Q708" s="82"/>
      <c r="R708" s="82"/>
      <c r="S708" s="16"/>
      <c r="T708" s="16"/>
      <c r="U708" s="39"/>
      <c r="V708" s="7"/>
      <c r="W708" s="7"/>
      <c r="X708" s="93"/>
      <c r="Y708" s="131"/>
      <c r="Z708" s="131"/>
      <c r="AA708" s="131"/>
      <c r="AB708" s="131"/>
      <c r="AC708" s="131"/>
      <c r="AD708" s="323"/>
      <c r="AE708" s="131"/>
      <c r="AF708" s="90"/>
      <c r="AG708" s="87"/>
      <c r="AH708" s="39"/>
      <c r="AI708" s="87"/>
      <c r="AJ708" s="81"/>
      <c r="AK708" s="90"/>
      <c r="AL708" s="81"/>
      <c r="AM708" s="39"/>
      <c r="AN708" s="82"/>
      <c r="AO708" s="82"/>
      <c r="AP708" s="82"/>
      <c r="AQ708" s="82"/>
      <c r="AR708" s="82"/>
      <c r="AS708" s="82"/>
      <c r="AT708" s="82"/>
      <c r="AU708" s="82"/>
      <c r="AV708" s="82"/>
      <c r="AW708" s="7"/>
      <c r="AX708" s="82"/>
      <c r="AY708" s="82"/>
      <c r="AZ708" s="7"/>
      <c r="BA708" s="7"/>
      <c r="BB708" s="7"/>
      <c r="BC708" s="7"/>
      <c r="BD708" s="7"/>
      <c r="BE708" s="7"/>
      <c r="BF708" s="7"/>
      <c r="BG708" s="7"/>
    </row>
    <row r="709">
      <c r="A709" s="39"/>
      <c r="B709" s="39"/>
      <c r="C709" s="7"/>
      <c r="D709" s="53"/>
      <c r="E709" s="7"/>
      <c r="F709" s="53"/>
      <c r="G709" s="16"/>
      <c r="H709" s="81"/>
      <c r="J709" s="39"/>
      <c r="K709" s="148"/>
      <c r="L709" s="90"/>
      <c r="M709" s="39"/>
      <c r="N709" s="327"/>
      <c r="O709" s="367"/>
      <c r="P709" s="82"/>
      <c r="Q709" s="82"/>
      <c r="R709" s="82"/>
      <c r="S709" s="16"/>
      <c r="T709" s="16"/>
      <c r="U709" s="39"/>
      <c r="V709" s="7"/>
      <c r="W709" s="7"/>
      <c r="X709" s="93"/>
      <c r="Y709" s="131"/>
      <c r="Z709" s="131"/>
      <c r="AA709" s="131"/>
      <c r="AB709" s="131"/>
      <c r="AC709" s="131"/>
      <c r="AD709" s="323"/>
      <c r="AE709" s="131"/>
      <c r="AF709" s="90"/>
      <c r="AG709" s="87"/>
      <c r="AH709" s="39"/>
      <c r="AI709" s="87"/>
      <c r="AJ709" s="81"/>
      <c r="AK709" s="90"/>
      <c r="AL709" s="81"/>
      <c r="AM709" s="39"/>
      <c r="AN709" s="82"/>
      <c r="AO709" s="82"/>
      <c r="AP709" s="82"/>
      <c r="AQ709" s="82"/>
      <c r="AR709" s="82"/>
      <c r="AS709" s="82"/>
      <c r="AT709" s="82"/>
      <c r="AU709" s="82"/>
      <c r="AV709" s="82"/>
      <c r="AW709" s="7"/>
      <c r="AX709" s="82"/>
      <c r="AY709" s="82"/>
      <c r="AZ709" s="7"/>
      <c r="BA709" s="7"/>
      <c r="BB709" s="7"/>
      <c r="BC709" s="7"/>
      <c r="BD709" s="7"/>
      <c r="BE709" s="7"/>
      <c r="BF709" s="7"/>
      <c r="BG709" s="7"/>
    </row>
    <row r="710">
      <c r="A710" s="39"/>
      <c r="B710" s="39"/>
      <c r="C710" s="7"/>
      <c r="D710" s="53"/>
      <c r="E710" s="7"/>
      <c r="F710" s="53"/>
      <c r="G710" s="16"/>
      <c r="H710" s="16"/>
      <c r="J710" s="16"/>
      <c r="K710" s="53"/>
      <c r="L710" s="90"/>
      <c r="M710" s="39"/>
      <c r="N710" s="321"/>
      <c r="O710" s="368"/>
      <c r="P710" s="82"/>
      <c r="Q710" s="82"/>
      <c r="R710" s="82"/>
      <c r="S710" s="16"/>
      <c r="T710" s="16"/>
      <c r="U710" s="16"/>
      <c r="V710" s="7"/>
      <c r="W710" s="7"/>
      <c r="X710" s="93"/>
      <c r="Y710" s="85"/>
      <c r="Z710" s="85"/>
      <c r="AA710" s="85"/>
      <c r="AB710" s="85"/>
      <c r="AC710" s="85"/>
      <c r="AD710" s="325"/>
      <c r="AE710" s="85"/>
      <c r="AF710" s="90"/>
      <c r="AG710" s="87"/>
      <c r="AH710" s="39"/>
      <c r="AI710" s="87"/>
      <c r="AJ710" s="81"/>
      <c r="AK710" s="21"/>
      <c r="AL710" s="81"/>
      <c r="AM710" s="39"/>
      <c r="AN710" s="82"/>
      <c r="AO710" s="82"/>
      <c r="AP710" s="82"/>
      <c r="AQ710" s="7"/>
      <c r="AR710" s="7"/>
      <c r="AS710" s="7"/>
      <c r="AT710" s="7"/>
      <c r="AU710" s="7"/>
      <c r="AV710" s="7"/>
      <c r="AW710" s="7"/>
      <c r="AX710" s="82"/>
      <c r="AY710" s="7"/>
      <c r="AZ710" s="7"/>
      <c r="BA710" s="7"/>
      <c r="BB710" s="7"/>
      <c r="BC710" s="7"/>
      <c r="BD710" s="7"/>
      <c r="BE710" s="7"/>
      <c r="BF710" s="7"/>
      <c r="BG710" s="7"/>
    </row>
    <row r="711">
      <c r="A711" s="39"/>
      <c r="B711" s="39"/>
      <c r="C711" s="7"/>
      <c r="D711" s="53"/>
      <c r="E711" s="7"/>
      <c r="F711" s="53"/>
      <c r="G711" s="16"/>
      <c r="H711" s="16"/>
      <c r="J711" s="39"/>
      <c r="K711" s="53"/>
      <c r="L711" s="90"/>
      <c r="M711" s="39"/>
      <c r="N711" s="327"/>
      <c r="O711" s="368"/>
      <c r="P711" s="82"/>
      <c r="Q711" s="82"/>
      <c r="R711" s="82"/>
      <c r="S711" s="16"/>
      <c r="T711" s="16"/>
      <c r="U711" s="39"/>
      <c r="V711" s="7"/>
      <c r="W711" s="7"/>
      <c r="X711" s="93"/>
      <c r="Y711" s="85"/>
      <c r="Z711" s="85"/>
      <c r="AA711" s="85"/>
      <c r="AB711" s="85"/>
      <c r="AC711" s="85"/>
      <c r="AD711" s="325"/>
      <c r="AE711" s="85"/>
      <c r="AF711" s="90"/>
      <c r="AG711" s="87"/>
      <c r="AH711" s="39"/>
      <c r="AI711" s="87"/>
      <c r="AJ711" s="81"/>
      <c r="AK711" s="90"/>
      <c r="AL711" s="81"/>
      <c r="AM711" s="39"/>
      <c r="AN711" s="82"/>
      <c r="AO711" s="82"/>
      <c r="AP711" s="82"/>
      <c r="AQ711" s="7"/>
      <c r="AR711" s="7"/>
      <c r="AS711" s="7"/>
      <c r="AT711" s="7"/>
      <c r="AU711" s="7"/>
      <c r="AV711" s="7"/>
      <c r="AW711" s="7"/>
      <c r="AX711" s="82"/>
      <c r="AY711" s="7"/>
      <c r="AZ711" s="7"/>
      <c r="BA711" s="7"/>
      <c r="BB711" s="7"/>
      <c r="BC711" s="7"/>
      <c r="BD711" s="7"/>
      <c r="BE711" s="7"/>
      <c r="BF711" s="7"/>
      <c r="BG711" s="7"/>
    </row>
    <row r="712">
      <c r="A712" s="39"/>
      <c r="B712" s="39"/>
      <c r="C712" s="7"/>
      <c r="D712" s="53"/>
      <c r="E712" s="7"/>
      <c r="F712" s="53"/>
      <c r="G712" s="16"/>
      <c r="H712" s="81"/>
      <c r="J712" s="39"/>
      <c r="K712" s="53"/>
      <c r="L712" s="90"/>
      <c r="M712" s="39"/>
      <c r="N712" s="321"/>
      <c r="O712" s="322"/>
      <c r="P712" s="82"/>
      <c r="Q712" s="82"/>
      <c r="R712" s="82"/>
      <c r="S712" s="81"/>
      <c r="T712" s="16"/>
      <c r="U712" s="39"/>
      <c r="V712" s="7"/>
      <c r="W712" s="7"/>
      <c r="X712" s="93"/>
      <c r="Y712" s="131"/>
      <c r="Z712" s="131"/>
      <c r="AA712" s="131"/>
      <c r="AB712" s="131"/>
      <c r="AC712" s="131"/>
      <c r="AD712" s="323"/>
      <c r="AE712" s="131"/>
      <c r="AF712" s="90"/>
      <c r="AG712" s="87"/>
      <c r="AH712" s="39"/>
      <c r="AI712" s="87"/>
      <c r="AJ712" s="81"/>
      <c r="AK712" s="90"/>
      <c r="AL712" s="81"/>
      <c r="AM712" s="16"/>
      <c r="AN712" s="82"/>
      <c r="AO712" s="82"/>
      <c r="AP712" s="82"/>
      <c r="AQ712" s="7"/>
      <c r="AR712" s="7"/>
      <c r="AS712" s="7"/>
      <c r="AT712" s="7"/>
      <c r="AU712" s="7"/>
      <c r="AV712" s="7"/>
      <c r="AW712" s="7"/>
      <c r="AX712" s="82"/>
      <c r="AY712" s="7"/>
      <c r="AZ712" s="7"/>
      <c r="BA712" s="7"/>
      <c r="BB712" s="7"/>
      <c r="BC712" s="7"/>
      <c r="BD712" s="7"/>
      <c r="BE712" s="7"/>
      <c r="BF712" s="7"/>
      <c r="BG712" s="7"/>
    </row>
    <row r="713">
      <c r="A713" s="39"/>
      <c r="B713" s="39"/>
      <c r="C713" s="7"/>
      <c r="D713" s="53"/>
      <c r="E713" s="7"/>
      <c r="F713" s="53"/>
      <c r="G713" s="16"/>
      <c r="H713" s="81"/>
      <c r="J713" s="39"/>
      <c r="K713" s="53"/>
      <c r="L713" s="90"/>
      <c r="M713" s="164"/>
      <c r="N713" s="321"/>
      <c r="O713" s="322"/>
      <c r="P713" s="82"/>
      <c r="Q713" s="82"/>
      <c r="R713" s="82"/>
      <c r="S713" s="81"/>
      <c r="T713" s="16"/>
      <c r="U713" s="39"/>
      <c r="V713" s="7"/>
      <c r="W713" s="7"/>
      <c r="X713" s="93"/>
      <c r="Y713" s="131"/>
      <c r="Z713" s="131"/>
      <c r="AA713" s="131"/>
      <c r="AB713" s="131"/>
      <c r="AC713" s="131"/>
      <c r="AD713" s="323"/>
      <c r="AE713" s="131"/>
      <c r="AF713" s="90"/>
      <c r="AG713" s="87"/>
      <c r="AH713" s="39"/>
      <c r="AI713" s="87"/>
      <c r="AJ713" s="81"/>
      <c r="AK713" s="90"/>
      <c r="AL713" s="81"/>
      <c r="AM713" s="16"/>
      <c r="AN713" s="82"/>
      <c r="AO713" s="82"/>
      <c r="AP713" s="82"/>
      <c r="AQ713" s="7"/>
      <c r="AR713" s="82"/>
      <c r="AS713" s="82"/>
      <c r="AT713" s="82"/>
      <c r="AU713" s="82"/>
      <c r="AV713" s="82"/>
      <c r="AW713" s="7"/>
      <c r="AX713" s="82"/>
      <c r="AY713" s="7"/>
      <c r="AZ713" s="7"/>
      <c r="BA713" s="7"/>
      <c r="BB713" s="7"/>
      <c r="BC713" s="7"/>
      <c r="BD713" s="7"/>
      <c r="BE713" s="7"/>
      <c r="BF713" s="7"/>
      <c r="BG713" s="7"/>
    </row>
    <row r="714">
      <c r="A714" s="39"/>
      <c r="B714" s="39"/>
      <c r="C714" s="7"/>
      <c r="D714" s="53"/>
      <c r="E714" s="7"/>
      <c r="F714" s="53"/>
      <c r="G714" s="16"/>
      <c r="H714" s="81"/>
      <c r="J714" s="39"/>
      <c r="K714" s="53"/>
      <c r="L714" s="90"/>
      <c r="M714" s="39"/>
      <c r="N714" s="321"/>
      <c r="O714" s="322"/>
      <c r="P714" s="82"/>
      <c r="Q714" s="82"/>
      <c r="R714" s="82"/>
      <c r="S714" s="81"/>
      <c r="T714" s="16"/>
      <c r="U714" s="39"/>
      <c r="V714" s="7"/>
      <c r="W714" s="7"/>
      <c r="X714" s="93"/>
      <c r="Y714" s="131"/>
      <c r="Z714" s="131"/>
      <c r="AA714" s="131"/>
      <c r="AB714" s="131"/>
      <c r="AC714" s="131"/>
      <c r="AD714" s="323"/>
      <c r="AE714" s="131"/>
      <c r="AF714" s="90"/>
      <c r="AG714" s="87"/>
      <c r="AH714" s="39"/>
      <c r="AI714" s="87"/>
      <c r="AJ714" s="81"/>
      <c r="AK714" s="90"/>
      <c r="AL714" s="81"/>
      <c r="AM714" s="16"/>
      <c r="AN714" s="82"/>
      <c r="AO714" s="82"/>
      <c r="AP714" s="82"/>
      <c r="AQ714" s="7"/>
      <c r="AR714" s="82"/>
      <c r="AS714" s="82"/>
      <c r="AT714" s="82"/>
      <c r="AU714" s="82"/>
      <c r="AV714" s="82"/>
      <c r="AW714" s="7"/>
      <c r="AX714" s="82"/>
      <c r="AY714" s="7"/>
      <c r="AZ714" s="7"/>
      <c r="BA714" s="7"/>
      <c r="BB714" s="7"/>
      <c r="BC714" s="7"/>
      <c r="BD714" s="7"/>
      <c r="BE714" s="7"/>
      <c r="BF714" s="7"/>
      <c r="BG714" s="7"/>
    </row>
    <row r="715">
      <c r="A715" s="39"/>
      <c r="B715" s="39"/>
      <c r="C715" s="7"/>
      <c r="D715" s="53"/>
      <c r="E715" s="7"/>
      <c r="F715" s="53"/>
      <c r="G715" s="16"/>
      <c r="H715" s="81"/>
      <c r="J715" s="39"/>
      <c r="K715" s="53"/>
      <c r="L715" s="90"/>
      <c r="M715" s="39"/>
      <c r="N715" s="321"/>
      <c r="O715" s="322"/>
      <c r="P715" s="82"/>
      <c r="Q715" s="82"/>
      <c r="R715" s="82"/>
      <c r="S715" s="81"/>
      <c r="T715" s="16"/>
      <c r="U715" s="39"/>
      <c r="V715" s="7"/>
      <c r="W715" s="7"/>
      <c r="X715" s="93"/>
      <c r="Y715" s="131"/>
      <c r="Z715" s="131"/>
      <c r="AA715" s="131"/>
      <c r="AB715" s="131"/>
      <c r="AC715" s="131"/>
      <c r="AD715" s="323"/>
      <c r="AE715" s="131"/>
      <c r="AF715" s="90"/>
      <c r="AG715" s="87"/>
      <c r="AH715" s="39"/>
      <c r="AI715" s="87"/>
      <c r="AJ715" s="81"/>
      <c r="AK715" s="90"/>
      <c r="AL715" s="81"/>
      <c r="AM715" s="6"/>
      <c r="AN715" s="82"/>
      <c r="AO715" s="82"/>
      <c r="AP715" s="82"/>
      <c r="AQ715" s="7"/>
      <c r="AR715" s="82"/>
      <c r="AS715" s="82"/>
      <c r="AT715" s="82"/>
      <c r="AU715" s="82"/>
      <c r="AV715" s="82"/>
      <c r="AW715" s="7"/>
      <c r="AX715" s="82"/>
      <c r="AY715" s="7"/>
      <c r="AZ715" s="7"/>
      <c r="BA715" s="7"/>
      <c r="BB715" s="7"/>
      <c r="BC715" s="7"/>
      <c r="BD715" s="7"/>
      <c r="BE715" s="7"/>
      <c r="BF715" s="7"/>
      <c r="BG715" s="7"/>
    </row>
    <row r="716">
      <c r="A716" s="39"/>
      <c r="B716" s="39"/>
      <c r="C716" s="7"/>
      <c r="D716" s="53"/>
      <c r="E716" s="7"/>
      <c r="F716" s="53"/>
      <c r="G716" s="16"/>
      <c r="H716" s="81"/>
      <c r="J716" s="39"/>
      <c r="K716" s="53"/>
      <c r="L716" s="90"/>
      <c r="M716" s="39"/>
      <c r="N716" s="321"/>
      <c r="O716" s="322"/>
      <c r="P716" s="82"/>
      <c r="Q716" s="82"/>
      <c r="R716" s="82"/>
      <c r="S716" s="81"/>
      <c r="T716" s="16"/>
      <c r="U716" s="39"/>
      <c r="V716" s="7"/>
      <c r="W716" s="7"/>
      <c r="X716" s="93"/>
      <c r="Y716" s="131"/>
      <c r="Z716" s="131"/>
      <c r="AA716" s="131"/>
      <c r="AB716" s="131"/>
      <c r="AC716" s="131"/>
      <c r="AD716" s="323"/>
      <c r="AE716" s="131"/>
      <c r="AF716" s="90"/>
      <c r="AG716" s="87"/>
      <c r="AH716" s="39"/>
      <c r="AI716" s="87"/>
      <c r="AJ716" s="81"/>
      <c r="AK716" s="90"/>
      <c r="AL716" s="81"/>
      <c r="AM716" s="16"/>
      <c r="AN716" s="82"/>
      <c r="AO716" s="82"/>
      <c r="AP716" s="82"/>
      <c r="AQ716" s="7"/>
      <c r="AR716" s="82"/>
      <c r="AS716" s="82"/>
      <c r="AT716" s="82"/>
      <c r="AU716" s="82"/>
      <c r="AV716" s="82"/>
      <c r="AW716" s="7"/>
      <c r="AX716" s="82"/>
      <c r="AY716" s="7"/>
      <c r="AZ716" s="7"/>
      <c r="BA716" s="7"/>
      <c r="BB716" s="7"/>
      <c r="BC716" s="7"/>
      <c r="BD716" s="7"/>
      <c r="BE716" s="7"/>
      <c r="BF716" s="7"/>
      <c r="BG716" s="7"/>
    </row>
    <row r="717">
      <c r="A717" s="39"/>
      <c r="B717" s="39"/>
      <c r="C717" s="7"/>
      <c r="D717" s="53"/>
      <c r="E717" s="7"/>
      <c r="F717" s="53"/>
      <c r="G717" s="16"/>
      <c r="H717" s="81"/>
      <c r="J717" s="39"/>
      <c r="K717" s="53"/>
      <c r="L717" s="90"/>
      <c r="M717" s="39"/>
      <c r="N717" s="321"/>
      <c r="O717" s="322"/>
      <c r="P717" s="82"/>
      <c r="Q717" s="82"/>
      <c r="R717" s="82"/>
      <c r="S717" s="81"/>
      <c r="T717" s="16"/>
      <c r="U717" s="39"/>
      <c r="V717" s="7"/>
      <c r="W717" s="7"/>
      <c r="X717" s="93"/>
      <c r="Y717" s="131"/>
      <c r="Z717" s="131"/>
      <c r="AA717" s="131"/>
      <c r="AB717" s="131"/>
      <c r="AC717" s="131"/>
      <c r="AD717" s="323"/>
      <c r="AE717" s="131"/>
      <c r="AF717" s="90"/>
      <c r="AG717" s="21"/>
      <c r="AH717" s="39"/>
      <c r="AI717" s="87"/>
      <c r="AJ717" s="81"/>
      <c r="AK717" s="90"/>
      <c r="AL717" s="81"/>
      <c r="AM717" s="16"/>
      <c r="AN717" s="82"/>
      <c r="AO717" s="82"/>
      <c r="AP717" s="82"/>
      <c r="AQ717" s="7"/>
      <c r="AR717" s="82"/>
      <c r="AS717" s="82"/>
      <c r="AT717" s="82"/>
      <c r="AU717" s="82"/>
      <c r="AV717" s="82"/>
      <c r="AW717" s="7"/>
      <c r="AX717" s="82"/>
      <c r="AY717" s="7"/>
      <c r="AZ717" s="7"/>
      <c r="BA717" s="7"/>
      <c r="BB717" s="7"/>
      <c r="BC717" s="7"/>
      <c r="BD717" s="7"/>
      <c r="BE717" s="7"/>
      <c r="BF717" s="7"/>
      <c r="BG717" s="7"/>
    </row>
    <row r="718">
      <c r="A718" s="39"/>
      <c r="B718" s="39"/>
      <c r="C718" s="7"/>
      <c r="D718" s="53"/>
      <c r="E718" s="7"/>
      <c r="F718" s="53"/>
      <c r="G718" s="16"/>
      <c r="H718" s="16"/>
      <c r="J718" s="39"/>
      <c r="K718" s="53"/>
      <c r="L718" s="90"/>
      <c r="M718" s="39"/>
      <c r="N718" s="327"/>
      <c r="O718" s="367"/>
      <c r="P718" s="82"/>
      <c r="Q718" s="82"/>
      <c r="R718" s="82"/>
      <c r="S718" s="16"/>
      <c r="T718" s="16"/>
      <c r="U718" s="39"/>
      <c r="V718" s="7"/>
      <c r="W718" s="7"/>
      <c r="X718" s="93"/>
      <c r="Y718" s="131"/>
      <c r="Z718" s="131"/>
      <c r="AA718" s="131"/>
      <c r="AB718" s="131"/>
      <c r="AC718" s="131"/>
      <c r="AD718" s="323"/>
      <c r="AE718" s="131"/>
      <c r="AF718" s="90"/>
      <c r="AG718" s="87"/>
      <c r="AH718" s="39"/>
      <c r="AI718" s="87"/>
      <c r="AJ718" s="81"/>
      <c r="AK718" s="90"/>
      <c r="AL718" s="81"/>
      <c r="AM718" s="39"/>
      <c r="AN718" s="82"/>
      <c r="AO718" s="82"/>
      <c r="AP718" s="82"/>
      <c r="AQ718" s="7"/>
      <c r="AR718" s="7"/>
      <c r="AS718" s="7"/>
      <c r="AT718" s="7"/>
      <c r="AU718" s="7"/>
      <c r="AV718" s="7"/>
      <c r="AW718" s="7"/>
      <c r="AX718" s="82"/>
      <c r="AY718" s="7"/>
      <c r="AZ718" s="7"/>
      <c r="BA718" s="7"/>
      <c r="BB718" s="7"/>
      <c r="BC718" s="7"/>
      <c r="BD718" s="7"/>
      <c r="BE718" s="7"/>
      <c r="BF718" s="7"/>
      <c r="BG718" s="7"/>
    </row>
    <row r="719">
      <c r="A719" s="39"/>
      <c r="B719" s="39"/>
      <c r="C719" s="7"/>
      <c r="D719" s="53"/>
      <c r="E719" s="7"/>
      <c r="F719" s="53"/>
      <c r="G719" s="16"/>
      <c r="H719" s="16"/>
      <c r="J719" s="39"/>
      <c r="K719" s="53"/>
      <c r="L719" s="90"/>
      <c r="M719" s="39"/>
      <c r="N719" s="327"/>
      <c r="O719" s="367"/>
      <c r="P719" s="82"/>
      <c r="Q719" s="82"/>
      <c r="R719" s="82"/>
      <c r="S719" s="16"/>
      <c r="T719" s="16"/>
      <c r="U719" s="39"/>
      <c r="V719" s="7"/>
      <c r="W719" s="7"/>
      <c r="X719" s="93"/>
      <c r="Y719" s="131"/>
      <c r="Z719" s="131"/>
      <c r="AA719" s="131"/>
      <c r="AB719" s="131"/>
      <c r="AC719" s="131"/>
      <c r="AD719" s="323"/>
      <c r="AE719" s="131"/>
      <c r="AF719" s="90"/>
      <c r="AG719" s="21"/>
      <c r="AH719" s="39"/>
      <c r="AI719" s="87"/>
      <c r="AJ719" s="81"/>
      <c r="AK719" s="90"/>
      <c r="AL719" s="81"/>
      <c r="AM719" s="39"/>
      <c r="AN719" s="82"/>
      <c r="AO719" s="82"/>
      <c r="AP719" s="82"/>
      <c r="AQ719" s="7"/>
      <c r="AR719" s="7"/>
      <c r="AS719" s="7"/>
      <c r="AT719" s="7"/>
      <c r="AU719" s="7"/>
      <c r="AV719" s="7"/>
      <c r="AW719" s="7"/>
      <c r="AX719" s="82"/>
      <c r="AY719" s="7"/>
      <c r="AZ719" s="7"/>
      <c r="BA719" s="7"/>
      <c r="BB719" s="7"/>
      <c r="BC719" s="7"/>
      <c r="BD719" s="7"/>
      <c r="BE719" s="7"/>
      <c r="BF719" s="7"/>
      <c r="BG719" s="7"/>
    </row>
    <row r="720">
      <c r="A720" s="39"/>
      <c r="B720" s="39"/>
      <c r="C720" s="7"/>
      <c r="D720" s="53"/>
      <c r="E720" s="7"/>
      <c r="F720" s="53"/>
      <c r="G720" s="16"/>
      <c r="H720" s="16"/>
      <c r="J720" s="39"/>
      <c r="K720" s="53"/>
      <c r="L720" s="90"/>
      <c r="M720" s="39"/>
      <c r="N720" s="327"/>
      <c r="O720" s="367"/>
      <c r="P720" s="82"/>
      <c r="Q720" s="82"/>
      <c r="R720" s="82"/>
      <c r="S720" s="16"/>
      <c r="T720" s="16"/>
      <c r="U720" s="39"/>
      <c r="V720" s="7"/>
      <c r="W720" s="7"/>
      <c r="X720" s="93"/>
      <c r="Y720" s="131"/>
      <c r="Z720" s="131"/>
      <c r="AA720" s="131"/>
      <c r="AB720" s="131"/>
      <c r="AC720" s="131"/>
      <c r="AD720" s="323"/>
      <c r="AE720" s="131"/>
      <c r="AF720" s="90"/>
      <c r="AG720" s="87"/>
      <c r="AH720" s="39"/>
      <c r="AI720" s="87"/>
      <c r="AJ720" s="81"/>
      <c r="AK720" s="90"/>
      <c r="AL720" s="81"/>
      <c r="AM720" s="39"/>
      <c r="AN720" s="82"/>
      <c r="AO720" s="82"/>
      <c r="AP720" s="82"/>
      <c r="AQ720" s="82"/>
      <c r="AR720" s="82"/>
      <c r="AS720" s="82"/>
      <c r="AT720" s="82"/>
      <c r="AU720" s="82"/>
      <c r="AV720" s="82"/>
      <c r="AW720" s="7"/>
      <c r="AX720" s="82"/>
      <c r="AY720" s="7"/>
      <c r="AZ720" s="7"/>
      <c r="BA720" s="7"/>
      <c r="BB720" s="7"/>
      <c r="BC720" s="7"/>
      <c r="BD720" s="7"/>
      <c r="BE720" s="7"/>
      <c r="BF720" s="7"/>
      <c r="BG720" s="7"/>
    </row>
    <row r="721">
      <c r="A721" s="39"/>
      <c r="B721" s="39"/>
      <c r="C721" s="7"/>
      <c r="D721" s="53"/>
      <c r="E721" s="7"/>
      <c r="F721" s="53"/>
      <c r="G721" s="16"/>
      <c r="H721" s="16"/>
      <c r="J721" s="39"/>
      <c r="K721" s="53"/>
      <c r="L721" s="90"/>
      <c r="M721" s="39"/>
      <c r="N721" s="327"/>
      <c r="O721" s="367"/>
      <c r="P721" s="82"/>
      <c r="Q721" s="82"/>
      <c r="R721" s="82"/>
      <c r="S721" s="16"/>
      <c r="T721" s="16"/>
      <c r="U721" s="39"/>
      <c r="V721" s="7"/>
      <c r="W721" s="7"/>
      <c r="X721" s="93"/>
      <c r="Y721" s="131"/>
      <c r="Z721" s="131"/>
      <c r="AA721" s="131"/>
      <c r="AB721" s="131"/>
      <c r="AC721" s="131"/>
      <c r="AD721" s="323"/>
      <c r="AE721" s="131"/>
      <c r="AF721" s="90"/>
      <c r="AG721" s="87"/>
      <c r="AH721" s="39"/>
      <c r="AI721" s="87"/>
      <c r="AJ721" s="81"/>
      <c r="AK721" s="90"/>
      <c r="AL721" s="81"/>
      <c r="AM721" s="39"/>
      <c r="AN721" s="82"/>
      <c r="AO721" s="82"/>
      <c r="AP721" s="82"/>
      <c r="AQ721" s="82"/>
      <c r="AR721" s="82"/>
      <c r="AS721" s="82"/>
      <c r="AT721" s="82"/>
      <c r="AU721" s="82"/>
      <c r="AV721" s="82"/>
      <c r="AW721" s="7"/>
      <c r="AX721" s="82"/>
      <c r="AY721" s="7"/>
      <c r="AZ721" s="7"/>
      <c r="BA721" s="7"/>
      <c r="BB721" s="7"/>
      <c r="BC721" s="7"/>
      <c r="BD721" s="7"/>
      <c r="BE721" s="7"/>
      <c r="BF721" s="7"/>
      <c r="BG721" s="7"/>
    </row>
    <row r="722">
      <c r="A722" s="39"/>
      <c r="B722" s="39"/>
      <c r="C722" s="7"/>
      <c r="D722" s="53"/>
      <c r="E722" s="7"/>
      <c r="F722" s="53"/>
      <c r="G722" s="16"/>
      <c r="H722" s="16"/>
      <c r="J722" s="39"/>
      <c r="K722" s="53"/>
      <c r="L722" s="90"/>
      <c r="M722" s="39"/>
      <c r="N722" s="327"/>
      <c r="O722" s="367"/>
      <c r="P722" s="82"/>
      <c r="Q722" s="82"/>
      <c r="R722" s="82"/>
      <c r="S722" s="16"/>
      <c r="T722" s="16"/>
      <c r="U722" s="39"/>
      <c r="V722" s="7"/>
      <c r="W722" s="7"/>
      <c r="X722" s="93"/>
      <c r="Y722" s="131"/>
      <c r="Z722" s="131"/>
      <c r="AA722" s="131"/>
      <c r="AB722" s="131"/>
      <c r="AC722" s="131"/>
      <c r="AD722" s="323"/>
      <c r="AE722" s="131"/>
      <c r="AF722" s="90"/>
      <c r="AG722" s="87"/>
      <c r="AH722" s="39"/>
      <c r="AI722" s="87"/>
      <c r="AJ722" s="81"/>
      <c r="AK722" s="90"/>
      <c r="AL722" s="81"/>
      <c r="AM722" s="39"/>
      <c r="AN722" s="82"/>
      <c r="AO722" s="82"/>
      <c r="AP722" s="82"/>
      <c r="AQ722" s="82"/>
      <c r="AR722" s="82"/>
      <c r="AS722" s="82"/>
      <c r="AT722" s="82"/>
      <c r="AU722" s="82"/>
      <c r="AV722" s="82"/>
      <c r="AW722" s="7"/>
      <c r="AX722" s="82"/>
      <c r="AY722" s="7"/>
      <c r="AZ722" s="7"/>
      <c r="BA722" s="7"/>
      <c r="BB722" s="7"/>
      <c r="BC722" s="7"/>
      <c r="BD722" s="7"/>
      <c r="BE722" s="7"/>
      <c r="BF722" s="7"/>
      <c r="BG722" s="7"/>
    </row>
    <row r="723">
      <c r="A723" s="39"/>
      <c r="B723" s="39"/>
      <c r="C723" s="7"/>
      <c r="D723" s="53"/>
      <c r="E723" s="7"/>
      <c r="F723" s="53"/>
      <c r="G723" s="16"/>
      <c r="H723" s="16"/>
      <c r="J723" s="39"/>
      <c r="K723" s="53"/>
      <c r="L723" s="90"/>
      <c r="M723" s="39"/>
      <c r="N723" s="327"/>
      <c r="O723" s="367"/>
      <c r="P723" s="82"/>
      <c r="Q723" s="82"/>
      <c r="R723" s="82"/>
      <c r="S723" s="16"/>
      <c r="T723" s="16"/>
      <c r="U723" s="39"/>
      <c r="V723" s="7"/>
      <c r="W723" s="7"/>
      <c r="X723" s="93"/>
      <c r="Y723" s="131"/>
      <c r="Z723" s="131"/>
      <c r="AA723" s="131"/>
      <c r="AB723" s="131"/>
      <c r="AC723" s="131"/>
      <c r="AD723" s="323"/>
      <c r="AE723" s="131"/>
      <c r="AF723" s="90"/>
      <c r="AG723" s="87"/>
      <c r="AH723" s="39"/>
      <c r="AI723" s="87"/>
      <c r="AJ723" s="81"/>
      <c r="AK723" s="90"/>
      <c r="AL723" s="81"/>
      <c r="AM723" s="39"/>
      <c r="AN723" s="82"/>
      <c r="AO723" s="82"/>
      <c r="AP723" s="82"/>
      <c r="AQ723" s="7"/>
      <c r="AR723" s="7"/>
      <c r="AS723" s="7"/>
      <c r="AT723" s="7"/>
      <c r="AU723" s="7"/>
      <c r="AV723" s="7"/>
      <c r="AW723" s="7"/>
      <c r="AX723" s="82"/>
      <c r="AY723" s="7"/>
      <c r="AZ723" s="7"/>
      <c r="BA723" s="7"/>
      <c r="BB723" s="7"/>
      <c r="BC723" s="7"/>
      <c r="BD723" s="7"/>
      <c r="BE723" s="7"/>
      <c r="BF723" s="7"/>
      <c r="BG723" s="7"/>
    </row>
    <row r="724">
      <c r="A724" s="39"/>
      <c r="B724" s="39"/>
      <c r="C724" s="7"/>
      <c r="D724" s="53"/>
      <c r="E724" s="7"/>
      <c r="F724" s="53"/>
      <c r="G724" s="16"/>
      <c r="H724" s="16"/>
      <c r="J724" s="39"/>
      <c r="K724" s="53"/>
      <c r="L724" s="90"/>
      <c r="M724" s="39"/>
      <c r="N724" s="327"/>
      <c r="O724" s="367"/>
      <c r="P724" s="82"/>
      <c r="Q724" s="82"/>
      <c r="R724" s="82"/>
      <c r="S724" s="16"/>
      <c r="T724" s="16"/>
      <c r="U724" s="39"/>
      <c r="V724" s="7"/>
      <c r="W724" s="7"/>
      <c r="X724" s="93"/>
      <c r="Y724" s="131"/>
      <c r="Z724" s="131"/>
      <c r="AA724" s="131"/>
      <c r="AB724" s="131"/>
      <c r="AC724" s="131"/>
      <c r="AD724" s="323"/>
      <c r="AE724" s="131"/>
      <c r="AF724" s="90"/>
      <c r="AG724" s="87"/>
      <c r="AH724" s="39"/>
      <c r="AI724" s="87"/>
      <c r="AJ724" s="81"/>
      <c r="AK724" s="90"/>
      <c r="AL724" s="81"/>
      <c r="AM724" s="39"/>
      <c r="AN724" s="82"/>
      <c r="AO724" s="82"/>
      <c r="AP724" s="82"/>
      <c r="AQ724" s="7"/>
      <c r="AR724" s="7"/>
      <c r="AS724" s="7"/>
      <c r="AT724" s="7"/>
      <c r="AU724" s="7"/>
      <c r="AV724" s="7"/>
      <c r="AW724" s="7"/>
      <c r="AX724" s="82"/>
      <c r="AY724" s="7"/>
      <c r="AZ724" s="7"/>
      <c r="BA724" s="7"/>
      <c r="BB724" s="7"/>
      <c r="BC724" s="7"/>
      <c r="BD724" s="7"/>
      <c r="BE724" s="7"/>
      <c r="BF724" s="7"/>
      <c r="BG724" s="7"/>
    </row>
    <row r="725">
      <c r="A725" s="39"/>
      <c r="B725" s="39"/>
      <c r="C725" s="7"/>
      <c r="D725" s="53"/>
      <c r="E725" s="7"/>
      <c r="F725" s="53"/>
      <c r="G725" s="16"/>
      <c r="H725" s="16"/>
      <c r="J725" s="39"/>
      <c r="K725" s="53"/>
      <c r="L725" s="90"/>
      <c r="M725" s="39"/>
      <c r="N725" s="327"/>
      <c r="O725" s="367"/>
      <c r="P725" s="82"/>
      <c r="Q725" s="82"/>
      <c r="R725" s="82"/>
      <c r="S725" s="16"/>
      <c r="T725" s="16"/>
      <c r="U725" s="39"/>
      <c r="V725" s="7"/>
      <c r="W725" s="7"/>
      <c r="X725" s="93"/>
      <c r="Y725" s="131"/>
      <c r="Z725" s="131"/>
      <c r="AA725" s="131"/>
      <c r="AB725" s="131"/>
      <c r="AC725" s="131"/>
      <c r="AD725" s="323"/>
      <c r="AE725" s="131"/>
      <c r="AF725" s="90"/>
      <c r="AG725" s="87"/>
      <c r="AH725" s="39"/>
      <c r="AI725" s="87"/>
      <c r="AJ725" s="81"/>
      <c r="AK725" s="90"/>
      <c r="AL725" s="81"/>
      <c r="AM725" s="39"/>
      <c r="AN725" s="82"/>
      <c r="AO725" s="82"/>
      <c r="AP725" s="82"/>
      <c r="AQ725" s="82"/>
      <c r="AR725" s="82"/>
      <c r="AS725" s="82"/>
      <c r="AT725" s="82"/>
      <c r="AU725" s="82"/>
      <c r="AV725" s="82"/>
      <c r="AW725" s="7"/>
      <c r="AX725" s="82"/>
      <c r="AY725" s="7"/>
      <c r="AZ725" s="7"/>
      <c r="BA725" s="7"/>
      <c r="BB725" s="7"/>
      <c r="BC725" s="7"/>
      <c r="BD725" s="7"/>
      <c r="BE725" s="7"/>
      <c r="BF725" s="7"/>
      <c r="BG725" s="7"/>
    </row>
    <row r="726">
      <c r="A726" s="39"/>
      <c r="B726" s="39"/>
      <c r="C726" s="7"/>
      <c r="D726" s="53"/>
      <c r="E726" s="7"/>
      <c r="F726" s="53"/>
      <c r="G726" s="16"/>
      <c r="H726" s="16"/>
      <c r="J726" s="39"/>
      <c r="K726" s="53"/>
      <c r="L726" s="90"/>
      <c r="M726" s="39"/>
      <c r="N726" s="327"/>
      <c r="O726" s="367"/>
      <c r="P726" s="82"/>
      <c r="Q726" s="82"/>
      <c r="R726" s="82"/>
      <c r="S726" s="16"/>
      <c r="T726" s="16"/>
      <c r="U726" s="39"/>
      <c r="V726" s="7"/>
      <c r="W726" s="7"/>
      <c r="X726" s="93"/>
      <c r="Y726" s="131"/>
      <c r="Z726" s="131"/>
      <c r="AA726" s="131"/>
      <c r="AB726" s="131"/>
      <c r="AC726" s="131"/>
      <c r="AD726" s="323"/>
      <c r="AE726" s="131"/>
      <c r="AF726" s="90"/>
      <c r="AG726" s="87"/>
      <c r="AH726" s="39"/>
      <c r="AI726" s="87"/>
      <c r="AJ726" s="81"/>
      <c r="AK726" s="90"/>
      <c r="AL726" s="81"/>
      <c r="AM726" s="39"/>
      <c r="AN726" s="82"/>
      <c r="AO726" s="82"/>
      <c r="AP726" s="82"/>
      <c r="AQ726" s="82"/>
      <c r="AR726" s="82"/>
      <c r="AS726" s="82"/>
      <c r="AT726" s="82"/>
      <c r="AU726" s="82"/>
      <c r="AV726" s="82"/>
      <c r="AW726" s="7"/>
      <c r="AX726" s="82"/>
      <c r="AY726" s="7"/>
      <c r="AZ726" s="7"/>
      <c r="BA726" s="7"/>
      <c r="BB726" s="7"/>
      <c r="BC726" s="7"/>
      <c r="BD726" s="7"/>
      <c r="BE726" s="7"/>
      <c r="BF726" s="7"/>
      <c r="BG726" s="7"/>
    </row>
    <row r="727">
      <c r="A727" s="39"/>
      <c r="B727" s="39"/>
      <c r="C727" s="7"/>
      <c r="D727" s="53"/>
      <c r="E727" s="7"/>
      <c r="F727" s="53"/>
      <c r="G727" s="16"/>
      <c r="H727" s="16"/>
      <c r="J727" s="39"/>
      <c r="K727" s="53"/>
      <c r="L727" s="90"/>
      <c r="M727" s="39"/>
      <c r="N727" s="327"/>
      <c r="O727" s="367"/>
      <c r="P727" s="82"/>
      <c r="Q727" s="82"/>
      <c r="R727" s="82"/>
      <c r="S727" s="16"/>
      <c r="T727" s="16"/>
      <c r="U727" s="39"/>
      <c r="V727" s="7"/>
      <c r="W727" s="7"/>
      <c r="X727" s="93"/>
      <c r="Y727" s="131"/>
      <c r="Z727" s="131"/>
      <c r="AA727" s="131"/>
      <c r="AB727" s="131"/>
      <c r="AC727" s="131"/>
      <c r="AD727" s="323"/>
      <c r="AE727" s="131"/>
      <c r="AF727" s="90"/>
      <c r="AG727" s="87"/>
      <c r="AH727" s="39"/>
      <c r="AI727" s="87"/>
      <c r="AJ727" s="81"/>
      <c r="AK727" s="90"/>
      <c r="AL727" s="81"/>
      <c r="AM727" s="39"/>
      <c r="AN727" s="82"/>
      <c r="AO727" s="82"/>
      <c r="AP727" s="82"/>
      <c r="AQ727" s="7"/>
      <c r="AR727" s="7"/>
      <c r="AS727" s="7"/>
      <c r="AT727" s="7"/>
      <c r="AU727" s="7"/>
      <c r="AV727" s="7"/>
      <c r="AW727" s="7"/>
      <c r="AX727" s="82"/>
      <c r="AY727" s="7"/>
      <c r="AZ727" s="7"/>
      <c r="BA727" s="7"/>
      <c r="BB727" s="7"/>
      <c r="BC727" s="7"/>
      <c r="BD727" s="7"/>
      <c r="BE727" s="7"/>
      <c r="BF727" s="7"/>
      <c r="BG727" s="7"/>
    </row>
    <row r="728">
      <c r="A728" s="39"/>
      <c r="B728" s="39"/>
      <c r="C728" s="7"/>
      <c r="D728" s="53"/>
      <c r="E728" s="7"/>
      <c r="F728" s="53"/>
      <c r="G728" s="16"/>
      <c r="H728" s="16"/>
      <c r="J728" s="39"/>
      <c r="K728" s="53"/>
      <c r="L728" s="90"/>
      <c r="M728" s="39"/>
      <c r="N728" s="321"/>
      <c r="O728" s="322"/>
      <c r="P728" s="82"/>
      <c r="Q728" s="82"/>
      <c r="R728" s="82"/>
      <c r="S728" s="16"/>
      <c r="T728" s="16"/>
      <c r="U728" s="39"/>
      <c r="V728" s="7"/>
      <c r="W728" s="7"/>
      <c r="X728" s="93"/>
      <c r="Y728" s="85"/>
      <c r="Z728" s="85"/>
      <c r="AA728" s="85"/>
      <c r="AB728" s="85"/>
      <c r="AC728" s="85"/>
      <c r="AD728" s="325"/>
      <c r="AE728" s="85"/>
      <c r="AF728" s="90"/>
      <c r="AG728" s="21"/>
      <c r="AH728" s="39"/>
      <c r="AI728" s="87"/>
      <c r="AJ728" s="81"/>
      <c r="AK728" s="90"/>
      <c r="AL728" s="81"/>
      <c r="AM728" s="39"/>
      <c r="AN728" s="82"/>
      <c r="AO728" s="82"/>
      <c r="AP728" s="82"/>
      <c r="AQ728" s="82"/>
      <c r="AR728" s="7"/>
      <c r="AS728" s="82"/>
      <c r="AT728" s="7"/>
      <c r="AU728" s="82"/>
      <c r="AV728" s="7"/>
      <c r="AW728" s="7"/>
      <c r="AX728" s="82"/>
      <c r="AY728" s="7"/>
      <c r="AZ728" s="7"/>
      <c r="BA728" s="7"/>
      <c r="BB728" s="7"/>
      <c r="BC728" s="7"/>
      <c r="BD728" s="7"/>
      <c r="BE728" s="7"/>
      <c r="BF728" s="7"/>
      <c r="BG728" s="7"/>
    </row>
    <row r="729">
      <c r="A729" s="39"/>
      <c r="B729" s="39"/>
      <c r="C729" s="7"/>
      <c r="D729" s="53"/>
      <c r="E729" s="7"/>
      <c r="F729" s="53"/>
      <c r="G729" s="16"/>
      <c r="H729" s="16"/>
      <c r="J729" s="39"/>
      <c r="K729" s="53"/>
      <c r="L729" s="90"/>
      <c r="M729" s="39"/>
      <c r="N729" s="327"/>
      <c r="O729" s="368"/>
      <c r="P729" s="82"/>
      <c r="Q729" s="82"/>
      <c r="R729" s="82"/>
      <c r="S729" s="16"/>
      <c r="T729" s="16"/>
      <c r="U729" s="39"/>
      <c r="V729" s="7"/>
      <c r="W729" s="7"/>
      <c r="X729" s="93"/>
      <c r="Y729" s="85"/>
      <c r="Z729" s="85"/>
      <c r="AA729" s="85"/>
      <c r="AB729" s="85"/>
      <c r="AC729" s="85"/>
      <c r="AD729" s="325"/>
      <c r="AE729" s="85"/>
      <c r="AF729" s="90"/>
      <c r="AG729" s="21"/>
      <c r="AH729" s="39"/>
      <c r="AI729" s="87"/>
      <c r="AJ729" s="81"/>
      <c r="AK729" s="90"/>
      <c r="AL729" s="81"/>
      <c r="AM729" s="39"/>
      <c r="AN729" s="82"/>
      <c r="AO729" s="82"/>
      <c r="AP729" s="82"/>
      <c r="AQ729" s="82"/>
      <c r="AR729" s="82"/>
      <c r="AS729" s="82"/>
      <c r="AT729" s="82"/>
      <c r="AU729" s="82"/>
      <c r="AV729" s="82"/>
      <c r="AW729" s="7"/>
      <c r="AX729" s="82"/>
      <c r="AY729" s="7"/>
      <c r="AZ729" s="7"/>
      <c r="BA729" s="7"/>
      <c r="BB729" s="7"/>
      <c r="BC729" s="7"/>
      <c r="BD729" s="7"/>
      <c r="BE729" s="7"/>
      <c r="BF729" s="7"/>
      <c r="BG729" s="7"/>
    </row>
    <row r="730">
      <c r="A730" s="39"/>
      <c r="B730" s="39"/>
      <c r="C730" s="7"/>
      <c r="D730" s="53"/>
      <c r="E730" s="7"/>
      <c r="F730" s="53"/>
      <c r="G730" s="16"/>
      <c r="H730" s="16"/>
      <c r="J730" s="39"/>
      <c r="K730" s="53"/>
      <c r="L730" s="90"/>
      <c r="M730" s="39"/>
      <c r="N730" s="327"/>
      <c r="O730" s="322"/>
      <c r="P730" s="82"/>
      <c r="Q730" s="82"/>
      <c r="R730" s="82"/>
      <c r="S730" s="16"/>
      <c r="T730" s="16"/>
      <c r="U730" s="39"/>
      <c r="V730" s="7"/>
      <c r="W730" s="7"/>
      <c r="X730" s="93"/>
      <c r="Y730" s="85"/>
      <c r="Z730" s="85"/>
      <c r="AA730" s="85"/>
      <c r="AB730" s="85"/>
      <c r="AC730" s="85"/>
      <c r="AD730" s="325"/>
      <c r="AE730" s="85"/>
      <c r="AF730" s="90"/>
      <c r="AG730" s="87"/>
      <c r="AH730" s="39"/>
      <c r="AI730" s="87"/>
      <c r="AJ730" s="81"/>
      <c r="AK730" s="90"/>
      <c r="AL730" s="81"/>
      <c r="AM730" s="39"/>
      <c r="AN730" s="82"/>
      <c r="AO730" s="82"/>
      <c r="AP730" s="82"/>
      <c r="AQ730" s="7"/>
      <c r="AR730" s="82"/>
      <c r="AS730" s="82"/>
      <c r="AT730" s="82"/>
      <c r="AU730" s="82"/>
      <c r="AV730" s="7"/>
      <c r="AW730" s="7"/>
      <c r="AX730" s="82"/>
      <c r="AY730" s="7"/>
      <c r="AZ730" s="7"/>
      <c r="BA730" s="7"/>
      <c r="BB730" s="7"/>
      <c r="BC730" s="7"/>
      <c r="BD730" s="7"/>
      <c r="BE730" s="7"/>
      <c r="BF730" s="7"/>
      <c r="BG730" s="7"/>
    </row>
    <row r="731">
      <c r="A731" s="39"/>
      <c r="B731" s="39"/>
      <c r="C731" s="7"/>
      <c r="D731" s="53"/>
      <c r="E731" s="7"/>
      <c r="F731" s="53"/>
      <c r="G731" s="16"/>
      <c r="H731" s="16"/>
      <c r="J731" s="39"/>
      <c r="K731" s="53"/>
      <c r="L731" s="90"/>
      <c r="M731" s="39"/>
      <c r="N731" s="327"/>
      <c r="O731" s="322"/>
      <c r="P731" s="82"/>
      <c r="Q731" s="82"/>
      <c r="R731" s="82"/>
      <c r="S731" s="16"/>
      <c r="T731" s="16"/>
      <c r="U731" s="39"/>
      <c r="V731" s="7"/>
      <c r="W731" s="7"/>
      <c r="X731" s="93"/>
      <c r="Y731" s="85"/>
      <c r="Z731" s="85"/>
      <c r="AA731" s="85"/>
      <c r="AB731" s="85"/>
      <c r="AC731" s="85"/>
      <c r="AD731" s="325"/>
      <c r="AE731" s="85"/>
      <c r="AF731" s="90"/>
      <c r="AG731" s="87"/>
      <c r="AH731" s="39"/>
      <c r="AI731" s="87"/>
      <c r="AJ731" s="81"/>
      <c r="AK731" s="90"/>
      <c r="AL731" s="81"/>
      <c r="AM731" s="39"/>
      <c r="AN731" s="82"/>
      <c r="AO731" s="82"/>
      <c r="AP731" s="82"/>
      <c r="AQ731" s="7"/>
      <c r="AR731" s="82"/>
      <c r="AS731" s="82"/>
      <c r="AT731" s="82"/>
      <c r="AU731" s="82"/>
      <c r="AV731" s="82"/>
      <c r="AW731" s="7"/>
      <c r="AX731" s="82"/>
      <c r="AY731" s="7"/>
      <c r="AZ731" s="7"/>
      <c r="BA731" s="7"/>
      <c r="BB731" s="7"/>
      <c r="BC731" s="7"/>
      <c r="BD731" s="7"/>
      <c r="BE731" s="7"/>
      <c r="BF731" s="7"/>
      <c r="BG731" s="7"/>
    </row>
    <row r="732">
      <c r="A732" s="39"/>
      <c r="B732" s="39"/>
      <c r="C732" s="7"/>
      <c r="D732" s="53"/>
      <c r="E732" s="7"/>
      <c r="F732" s="53"/>
      <c r="G732" s="16"/>
      <c r="H732" s="16"/>
      <c r="J732" s="39"/>
      <c r="K732" s="53"/>
      <c r="L732" s="90"/>
      <c r="M732" s="39"/>
      <c r="N732" s="327"/>
      <c r="O732" s="368"/>
      <c r="P732" s="82"/>
      <c r="Q732" s="82"/>
      <c r="R732" s="82"/>
      <c r="S732" s="16"/>
      <c r="T732" s="16"/>
      <c r="U732" s="39"/>
      <c r="V732" s="7"/>
      <c r="W732" s="7"/>
      <c r="X732" s="93"/>
      <c r="Y732" s="85"/>
      <c r="Z732" s="85"/>
      <c r="AA732" s="85"/>
      <c r="AB732" s="85"/>
      <c r="AC732" s="85"/>
      <c r="AD732" s="325"/>
      <c r="AE732" s="85"/>
      <c r="AF732" s="90"/>
      <c r="AG732" s="87"/>
      <c r="AH732" s="39"/>
      <c r="AI732" s="87"/>
      <c r="AJ732" s="81"/>
      <c r="AK732" s="90"/>
      <c r="AL732" s="81"/>
      <c r="AM732" s="39"/>
      <c r="AN732" s="82"/>
      <c r="AO732" s="82"/>
      <c r="AP732" s="82"/>
      <c r="AQ732" s="7"/>
      <c r="AR732" s="7"/>
      <c r="AS732" s="7"/>
      <c r="AT732" s="7"/>
      <c r="AU732" s="7"/>
      <c r="AV732" s="7"/>
      <c r="AW732" s="7"/>
      <c r="AX732" s="82"/>
      <c r="AY732" s="7"/>
      <c r="AZ732" s="7"/>
      <c r="BA732" s="7"/>
      <c r="BB732" s="7"/>
      <c r="BC732" s="7"/>
      <c r="BD732" s="7"/>
      <c r="BE732" s="7"/>
      <c r="BF732" s="7"/>
      <c r="BG732" s="7"/>
    </row>
    <row r="733">
      <c r="A733" s="39"/>
      <c r="B733" s="39"/>
      <c r="C733" s="7"/>
      <c r="D733" s="53"/>
      <c r="E733" s="7"/>
      <c r="F733" s="53"/>
      <c r="G733" s="16"/>
      <c r="H733" s="16"/>
      <c r="J733" s="39"/>
      <c r="K733" s="53"/>
      <c r="L733" s="90"/>
      <c r="M733" s="39"/>
      <c r="N733" s="327"/>
      <c r="O733" s="367"/>
      <c r="P733" s="82"/>
      <c r="Q733" s="82"/>
      <c r="R733" s="82"/>
      <c r="S733" s="16"/>
      <c r="T733" s="16"/>
      <c r="U733" s="39"/>
      <c r="V733" s="7"/>
      <c r="W733" s="7"/>
      <c r="X733" s="93"/>
      <c r="Y733" s="85"/>
      <c r="Z733" s="85"/>
      <c r="AA733" s="85"/>
      <c r="AB733" s="85"/>
      <c r="AC733" s="85"/>
      <c r="AD733" s="325"/>
      <c r="AE733" s="85"/>
      <c r="AF733" s="90"/>
      <c r="AG733" s="87"/>
      <c r="AH733" s="39"/>
      <c r="AI733" s="87"/>
      <c r="AJ733" s="81"/>
      <c r="AK733" s="90"/>
      <c r="AL733" s="81"/>
      <c r="AM733" s="39"/>
      <c r="AN733" s="82"/>
      <c r="AO733" s="82"/>
      <c r="AP733" s="82"/>
      <c r="AQ733" s="7"/>
      <c r="AR733" s="82"/>
      <c r="AS733" s="82"/>
      <c r="AT733" s="82"/>
      <c r="AU733" s="82"/>
      <c r="AV733" s="82"/>
      <c r="AW733" s="7"/>
      <c r="AX733" s="82"/>
      <c r="AY733" s="7"/>
      <c r="AZ733" s="7"/>
      <c r="BA733" s="7"/>
      <c r="BB733" s="7"/>
      <c r="BC733" s="7"/>
      <c r="BD733" s="7"/>
      <c r="BE733" s="7"/>
      <c r="BF733" s="7"/>
      <c r="BG733" s="7"/>
    </row>
    <row r="734">
      <c r="A734" s="39"/>
      <c r="B734" s="39"/>
      <c r="C734" s="7"/>
      <c r="D734" s="53"/>
      <c r="E734" s="7"/>
      <c r="F734" s="53"/>
      <c r="G734" s="16"/>
      <c r="H734" s="16"/>
      <c r="J734" s="39"/>
      <c r="K734" s="53"/>
      <c r="L734" s="90"/>
      <c r="M734" s="39"/>
      <c r="N734" s="327"/>
      <c r="O734" s="367"/>
      <c r="P734" s="82"/>
      <c r="Q734" s="82"/>
      <c r="R734" s="82"/>
      <c r="S734" s="16"/>
      <c r="T734" s="16"/>
      <c r="U734" s="39"/>
      <c r="V734" s="7"/>
      <c r="W734" s="7"/>
      <c r="X734" s="93"/>
      <c r="Y734" s="85"/>
      <c r="Z734" s="85"/>
      <c r="AA734" s="85"/>
      <c r="AB734" s="85"/>
      <c r="AC734" s="85"/>
      <c r="AD734" s="325"/>
      <c r="AE734" s="85"/>
      <c r="AF734" s="90"/>
      <c r="AG734" s="87"/>
      <c r="AH734" s="39"/>
      <c r="AI734" s="87"/>
      <c r="AJ734" s="81"/>
      <c r="AK734" s="90"/>
      <c r="AL734" s="81"/>
      <c r="AM734" s="39"/>
      <c r="AN734" s="82"/>
      <c r="AO734" s="82"/>
      <c r="AP734" s="82"/>
      <c r="AQ734" s="7"/>
      <c r="AR734" s="82"/>
      <c r="AS734" s="82"/>
      <c r="AT734" s="82"/>
      <c r="AU734" s="82"/>
      <c r="AV734" s="82"/>
      <c r="AW734" s="7"/>
      <c r="AX734" s="82"/>
      <c r="AY734" s="7"/>
      <c r="AZ734" s="7"/>
      <c r="BA734" s="7"/>
      <c r="BB734" s="7"/>
      <c r="BC734" s="7"/>
      <c r="BD734" s="7"/>
      <c r="BE734" s="7"/>
      <c r="BF734" s="7"/>
      <c r="BG734" s="7"/>
    </row>
    <row r="735">
      <c r="A735" s="39"/>
      <c r="B735" s="39"/>
      <c r="C735" s="7"/>
      <c r="D735" s="53"/>
      <c r="E735" s="7"/>
      <c r="F735" s="53"/>
      <c r="G735" s="16"/>
      <c r="H735" s="16"/>
      <c r="J735" s="39"/>
      <c r="K735" s="53"/>
      <c r="L735" s="90"/>
      <c r="M735" s="39"/>
      <c r="N735" s="327"/>
      <c r="O735" s="367"/>
      <c r="P735" s="82"/>
      <c r="Q735" s="82"/>
      <c r="R735" s="82"/>
      <c r="S735" s="16"/>
      <c r="T735" s="16"/>
      <c r="U735" s="39"/>
      <c r="V735" s="7"/>
      <c r="W735" s="7"/>
      <c r="X735" s="93"/>
      <c r="Y735" s="85"/>
      <c r="Z735" s="85"/>
      <c r="AA735" s="85"/>
      <c r="AB735" s="85"/>
      <c r="AC735" s="85"/>
      <c r="AD735" s="325"/>
      <c r="AE735" s="85"/>
      <c r="AF735" s="90"/>
      <c r="AG735" s="87"/>
      <c r="AH735" s="39"/>
      <c r="AI735" s="87"/>
      <c r="AJ735" s="81"/>
      <c r="AK735" s="90"/>
      <c r="AL735" s="81"/>
      <c r="AM735" s="39"/>
      <c r="AN735" s="82"/>
      <c r="AO735" s="82"/>
      <c r="AP735" s="82"/>
      <c r="AQ735" s="7"/>
      <c r="AR735" s="82"/>
      <c r="AS735" s="82"/>
      <c r="AT735" s="82"/>
      <c r="AU735" s="82"/>
      <c r="AV735" s="82"/>
      <c r="AW735" s="7"/>
      <c r="AX735" s="82"/>
      <c r="AY735" s="7"/>
      <c r="AZ735" s="7"/>
      <c r="BA735" s="7"/>
      <c r="BB735" s="7"/>
      <c r="BC735" s="7"/>
      <c r="BD735" s="7"/>
      <c r="BE735" s="7"/>
      <c r="BF735" s="7"/>
      <c r="BG735" s="7"/>
    </row>
    <row r="736">
      <c r="A736" s="39"/>
      <c r="B736" s="39"/>
      <c r="C736" s="7"/>
      <c r="D736" s="53"/>
      <c r="E736" s="7"/>
      <c r="F736" s="53"/>
      <c r="G736" s="16"/>
      <c r="H736" s="16"/>
      <c r="J736" s="39"/>
      <c r="K736" s="53"/>
      <c r="L736" s="90"/>
      <c r="M736" s="39"/>
      <c r="N736" s="327"/>
      <c r="O736" s="367"/>
      <c r="P736" s="82"/>
      <c r="Q736" s="82"/>
      <c r="R736" s="82"/>
      <c r="S736" s="16"/>
      <c r="T736" s="16"/>
      <c r="U736" s="39"/>
      <c r="V736" s="7"/>
      <c r="W736" s="7"/>
      <c r="X736" s="93"/>
      <c r="Y736" s="85"/>
      <c r="Z736" s="85"/>
      <c r="AA736" s="85"/>
      <c r="AB736" s="85"/>
      <c r="AC736" s="85"/>
      <c r="AD736" s="325"/>
      <c r="AE736" s="85"/>
      <c r="AF736" s="90"/>
      <c r="AG736" s="87"/>
      <c r="AH736" s="39"/>
      <c r="AI736" s="87"/>
      <c r="AJ736" s="81"/>
      <c r="AK736" s="90"/>
      <c r="AL736" s="81"/>
      <c r="AM736" s="39"/>
      <c r="AN736" s="82"/>
      <c r="AO736" s="82"/>
      <c r="AP736" s="82"/>
      <c r="AQ736" s="82"/>
      <c r="AR736" s="82"/>
      <c r="AS736" s="82"/>
      <c r="AT736" s="82"/>
      <c r="AU736" s="82"/>
      <c r="AV736" s="82"/>
      <c r="AW736" s="7"/>
      <c r="AX736" s="82"/>
      <c r="AY736" s="7"/>
      <c r="AZ736" s="7"/>
      <c r="BA736" s="7"/>
      <c r="BB736" s="7"/>
      <c r="BC736" s="7"/>
      <c r="BD736" s="7"/>
      <c r="BE736" s="7"/>
      <c r="BF736" s="7"/>
      <c r="BG736" s="7"/>
    </row>
    <row r="737">
      <c r="A737" s="39"/>
      <c r="B737" s="39"/>
      <c r="C737" s="7"/>
      <c r="D737" s="53"/>
      <c r="E737" s="7"/>
      <c r="F737" s="53"/>
      <c r="G737" s="16"/>
      <c r="H737" s="16"/>
      <c r="J737" s="16"/>
      <c r="K737" s="53"/>
      <c r="L737" s="90"/>
      <c r="M737" s="16"/>
      <c r="N737" s="321"/>
      <c r="O737" s="367"/>
      <c r="P737" s="82"/>
      <c r="Q737" s="82"/>
      <c r="R737" s="82"/>
      <c r="S737" s="16"/>
      <c r="T737" s="16"/>
      <c r="U737" s="16"/>
      <c r="V737" s="7"/>
      <c r="W737" s="7"/>
      <c r="X737" s="93"/>
      <c r="Y737" s="85"/>
      <c r="Z737" s="85"/>
      <c r="AA737" s="85"/>
      <c r="AB737" s="85"/>
      <c r="AC737" s="85"/>
      <c r="AD737" s="325"/>
      <c r="AE737" s="85"/>
      <c r="AF737" s="90"/>
      <c r="AG737" s="87"/>
      <c r="AH737" s="39"/>
      <c r="AI737" s="84"/>
      <c r="AJ737" s="83"/>
      <c r="AK737" s="21"/>
      <c r="AL737" s="83"/>
      <c r="AM737" s="39"/>
      <c r="AN737" s="82"/>
      <c r="AO737" s="82"/>
      <c r="AP737" s="82"/>
      <c r="AQ737" s="7"/>
      <c r="AR737" s="7"/>
      <c r="AS737" s="82"/>
      <c r="AT737" s="7"/>
      <c r="AU737" s="82"/>
      <c r="AV737" s="7"/>
      <c r="AW737" s="7"/>
      <c r="AX737" s="82"/>
      <c r="AY737" s="7"/>
      <c r="AZ737" s="7"/>
      <c r="BA737" s="7"/>
      <c r="BB737" s="7"/>
      <c r="BC737" s="7"/>
      <c r="BD737" s="7"/>
      <c r="BE737" s="7"/>
      <c r="BF737" s="7"/>
      <c r="BG737" s="7"/>
    </row>
    <row r="738">
      <c r="A738" s="39"/>
      <c r="B738" s="39"/>
      <c r="C738" s="7"/>
      <c r="D738" s="53"/>
      <c r="E738" s="7"/>
      <c r="F738" s="53"/>
      <c r="G738" s="16"/>
      <c r="H738" s="16"/>
      <c r="J738" s="39"/>
      <c r="K738" s="53"/>
      <c r="L738" s="90"/>
      <c r="M738" s="39"/>
      <c r="N738" s="327"/>
      <c r="O738" s="367"/>
      <c r="P738" s="82"/>
      <c r="Q738" s="82"/>
      <c r="R738" s="82"/>
      <c r="S738" s="16"/>
      <c r="T738" s="16"/>
      <c r="U738" s="39"/>
      <c r="V738" s="7"/>
      <c r="W738" s="7"/>
      <c r="X738" s="93"/>
      <c r="Y738" s="85"/>
      <c r="Z738" s="85"/>
      <c r="AA738" s="85"/>
      <c r="AB738" s="85"/>
      <c r="AC738" s="85"/>
      <c r="AD738" s="325"/>
      <c r="AE738" s="85"/>
      <c r="AF738" s="90"/>
      <c r="AG738" s="87"/>
      <c r="AH738" s="39"/>
      <c r="AI738" s="87"/>
      <c r="AJ738" s="81"/>
      <c r="AK738" s="90"/>
      <c r="AL738" s="81"/>
      <c r="AM738" s="39"/>
      <c r="AN738" s="82"/>
      <c r="AO738" s="82"/>
      <c r="AP738" s="82"/>
      <c r="AQ738" s="7"/>
      <c r="AR738" s="82"/>
      <c r="AS738" s="82"/>
      <c r="AT738" s="82"/>
      <c r="AU738" s="82"/>
      <c r="AV738" s="82"/>
      <c r="AW738" s="7"/>
      <c r="AX738" s="82"/>
      <c r="AY738" s="7"/>
      <c r="AZ738" s="7"/>
      <c r="BA738" s="7"/>
      <c r="BB738" s="7"/>
      <c r="BC738" s="7"/>
      <c r="BD738" s="7"/>
      <c r="BE738" s="7"/>
      <c r="BF738" s="7"/>
      <c r="BG738" s="7"/>
    </row>
    <row r="739">
      <c r="A739" s="39"/>
      <c r="B739" s="39"/>
      <c r="C739" s="7"/>
      <c r="D739" s="53"/>
      <c r="E739" s="7"/>
      <c r="F739" s="53"/>
      <c r="G739" s="16"/>
      <c r="H739" s="16"/>
      <c r="J739" s="39"/>
      <c r="K739" s="53"/>
      <c r="L739" s="90"/>
      <c r="M739" s="39"/>
      <c r="N739" s="327"/>
      <c r="O739" s="322"/>
      <c r="P739" s="82"/>
      <c r="Q739" s="82"/>
      <c r="R739" s="82"/>
      <c r="S739" s="16"/>
      <c r="T739" s="16"/>
      <c r="U739" s="39"/>
      <c r="V739" s="7"/>
      <c r="W739" s="7"/>
      <c r="X739" s="93"/>
      <c r="Y739" s="85"/>
      <c r="Z739" s="85"/>
      <c r="AA739" s="85"/>
      <c r="AB739" s="85"/>
      <c r="AC739" s="85"/>
      <c r="AD739" s="325"/>
      <c r="AE739" s="85"/>
      <c r="AF739" s="90"/>
      <c r="AG739" s="87"/>
      <c r="AH739" s="39"/>
      <c r="AI739" s="87"/>
      <c r="AJ739" s="81"/>
      <c r="AK739" s="90"/>
      <c r="AL739" s="81"/>
      <c r="AM739" s="39"/>
      <c r="AN739" s="82"/>
      <c r="AO739" s="82"/>
      <c r="AP739" s="82"/>
      <c r="AQ739" s="7"/>
      <c r="AR739" s="7"/>
      <c r="AS739" s="82"/>
      <c r="AT739" s="7"/>
      <c r="AU739" s="82"/>
      <c r="AV739" s="7"/>
      <c r="AW739" s="7"/>
      <c r="AX739" s="82"/>
      <c r="AY739" s="7"/>
      <c r="AZ739" s="7"/>
      <c r="BA739" s="7"/>
      <c r="BB739" s="7"/>
      <c r="BC739" s="7"/>
      <c r="BD739" s="7"/>
      <c r="BE739" s="7"/>
      <c r="BF739" s="7"/>
      <c r="BG739" s="7"/>
    </row>
    <row r="740">
      <c r="A740" s="39"/>
      <c r="B740" s="39"/>
      <c r="C740" s="7"/>
      <c r="D740" s="53"/>
      <c r="E740" s="7"/>
      <c r="F740" s="53"/>
      <c r="G740" s="16"/>
      <c r="H740" s="16"/>
      <c r="J740" s="39"/>
      <c r="K740" s="53"/>
      <c r="L740" s="90"/>
      <c r="M740" s="39"/>
      <c r="N740" s="327"/>
      <c r="O740" s="367"/>
      <c r="P740" s="82"/>
      <c r="Q740" s="82"/>
      <c r="R740" s="82"/>
      <c r="S740" s="16"/>
      <c r="T740" s="16"/>
      <c r="U740" s="39"/>
      <c r="V740" s="7"/>
      <c r="W740" s="7"/>
      <c r="X740" s="93"/>
      <c r="Y740" s="85"/>
      <c r="Z740" s="85"/>
      <c r="AA740" s="85"/>
      <c r="AB740" s="85"/>
      <c r="AC740" s="85"/>
      <c r="AD740" s="325"/>
      <c r="AE740" s="85"/>
      <c r="AF740" s="90"/>
      <c r="AG740" s="87"/>
      <c r="AH740" s="39"/>
      <c r="AI740" s="87"/>
      <c r="AJ740" s="81"/>
      <c r="AK740" s="90"/>
      <c r="AL740" s="81"/>
      <c r="AM740" s="39"/>
      <c r="AN740" s="82"/>
      <c r="AO740" s="82"/>
      <c r="AP740" s="82"/>
      <c r="AQ740" s="7"/>
      <c r="AR740" s="7"/>
      <c r="AS740" s="7"/>
      <c r="AT740" s="7"/>
      <c r="AU740" s="7"/>
      <c r="AV740" s="7"/>
      <c r="AW740" s="7"/>
      <c r="AX740" s="82"/>
      <c r="AY740" s="7"/>
      <c r="AZ740" s="7"/>
      <c r="BA740" s="7"/>
      <c r="BB740" s="7"/>
      <c r="BC740" s="7"/>
      <c r="BD740" s="7"/>
      <c r="BE740" s="7"/>
      <c r="BF740" s="7"/>
      <c r="BG740" s="7"/>
    </row>
    <row r="741">
      <c r="A741" s="39"/>
      <c r="B741" s="39"/>
      <c r="C741" s="7"/>
      <c r="D741" s="53"/>
      <c r="E741" s="7"/>
      <c r="F741" s="53"/>
      <c r="G741" s="16"/>
      <c r="H741" s="16"/>
      <c r="J741" s="39"/>
      <c r="K741" s="53"/>
      <c r="L741" s="90"/>
      <c r="M741" s="39"/>
      <c r="N741" s="327"/>
      <c r="O741" s="367"/>
      <c r="P741" s="82"/>
      <c r="Q741" s="82"/>
      <c r="R741" s="82"/>
      <c r="S741" s="16"/>
      <c r="T741" s="16"/>
      <c r="U741" s="39"/>
      <c r="V741" s="7"/>
      <c r="W741" s="7"/>
      <c r="X741" s="93"/>
      <c r="Y741" s="85"/>
      <c r="Z741" s="85"/>
      <c r="AA741" s="85"/>
      <c r="AB741" s="85"/>
      <c r="AC741" s="85"/>
      <c r="AD741" s="325"/>
      <c r="AE741" s="85"/>
      <c r="AF741" s="90"/>
      <c r="AG741" s="87"/>
      <c r="AH741" s="39"/>
      <c r="AI741" s="87"/>
      <c r="AJ741" s="81"/>
      <c r="AK741" s="90"/>
      <c r="AL741" s="81"/>
      <c r="AM741" s="39"/>
      <c r="AN741" s="82"/>
      <c r="AO741" s="82"/>
      <c r="AP741" s="82"/>
      <c r="AQ741" s="7"/>
      <c r="AR741" s="82"/>
      <c r="AS741" s="82"/>
      <c r="AT741" s="82"/>
      <c r="AU741" s="82"/>
      <c r="AV741" s="82"/>
      <c r="AW741" s="7"/>
      <c r="AX741" s="82"/>
      <c r="AY741" s="7"/>
      <c r="AZ741" s="7"/>
      <c r="BA741" s="7"/>
      <c r="BB741" s="7"/>
      <c r="BC741" s="7"/>
      <c r="BD741" s="7"/>
      <c r="BE741" s="7"/>
      <c r="BF741" s="7"/>
      <c r="BG741" s="7"/>
    </row>
    <row r="742">
      <c r="A742" s="39"/>
      <c r="B742" s="39"/>
      <c r="C742" s="7"/>
      <c r="D742" s="53"/>
      <c r="E742" s="7"/>
      <c r="F742" s="53"/>
      <c r="G742" s="16"/>
      <c r="H742" s="16"/>
      <c r="J742" s="39"/>
      <c r="K742" s="53"/>
      <c r="L742" s="90"/>
      <c r="M742" s="39"/>
      <c r="N742" s="327"/>
      <c r="O742" s="322"/>
      <c r="P742" s="82"/>
      <c r="Q742" s="82"/>
      <c r="R742" s="82"/>
      <c r="S742" s="16"/>
      <c r="T742" s="16"/>
      <c r="U742" s="39"/>
      <c r="V742" s="7"/>
      <c r="W742" s="7"/>
      <c r="X742" s="93"/>
      <c r="Y742" s="85"/>
      <c r="Z742" s="85"/>
      <c r="AA742" s="85"/>
      <c r="AB742" s="85"/>
      <c r="AC742" s="85"/>
      <c r="AD742" s="325"/>
      <c r="AE742" s="85"/>
      <c r="AF742" s="90"/>
      <c r="AG742" s="87"/>
      <c r="AH742" s="39"/>
      <c r="AI742" s="87"/>
      <c r="AJ742" s="81"/>
      <c r="AK742" s="90"/>
      <c r="AL742" s="81"/>
      <c r="AM742" s="39"/>
      <c r="AN742" s="82"/>
      <c r="AO742" s="82"/>
      <c r="AP742" s="82"/>
      <c r="AQ742" s="7"/>
      <c r="AR742" s="82"/>
      <c r="AS742" s="82"/>
      <c r="AT742" s="82"/>
      <c r="AU742" s="82"/>
      <c r="AV742" s="82"/>
      <c r="AW742" s="7"/>
      <c r="AX742" s="82"/>
      <c r="AY742" s="7"/>
      <c r="AZ742" s="7"/>
      <c r="BA742" s="7"/>
      <c r="BB742" s="7"/>
      <c r="BC742" s="7"/>
      <c r="BD742" s="7"/>
      <c r="BE742" s="7"/>
      <c r="BF742" s="7"/>
      <c r="BG742" s="7"/>
    </row>
    <row r="743">
      <c r="A743" s="39"/>
      <c r="B743" s="39"/>
      <c r="C743" s="7"/>
      <c r="D743" s="53"/>
      <c r="E743" s="7"/>
      <c r="F743" s="53"/>
      <c r="G743" s="16"/>
      <c r="H743" s="16"/>
      <c r="J743" s="39"/>
      <c r="K743" s="53"/>
      <c r="L743" s="90"/>
      <c r="M743" s="39"/>
      <c r="N743" s="327"/>
      <c r="O743" s="322"/>
      <c r="P743" s="82"/>
      <c r="Q743" s="82"/>
      <c r="R743" s="82"/>
      <c r="S743" s="16"/>
      <c r="T743" s="16"/>
      <c r="U743" s="39"/>
      <c r="V743" s="7"/>
      <c r="W743" s="7"/>
      <c r="X743" s="93"/>
      <c r="Y743" s="85"/>
      <c r="Z743" s="85"/>
      <c r="AA743" s="85"/>
      <c r="AB743" s="85"/>
      <c r="AC743" s="85"/>
      <c r="AD743" s="325"/>
      <c r="AE743" s="85"/>
      <c r="AF743" s="90"/>
      <c r="AG743" s="87"/>
      <c r="AH743" s="39"/>
      <c r="AI743" s="87"/>
      <c r="AJ743" s="81"/>
      <c r="AK743" s="90"/>
      <c r="AL743" s="81"/>
      <c r="AM743" s="39"/>
      <c r="AN743" s="82"/>
      <c r="AO743" s="82"/>
      <c r="AP743" s="82"/>
      <c r="AQ743" s="7"/>
      <c r="AR743" s="82"/>
      <c r="AS743" s="82"/>
      <c r="AT743" s="82"/>
      <c r="AU743" s="82"/>
      <c r="AV743" s="82"/>
      <c r="AW743" s="7"/>
      <c r="AX743" s="82"/>
      <c r="AY743" s="7"/>
      <c r="AZ743" s="7"/>
      <c r="BA743" s="7"/>
      <c r="BB743" s="7"/>
      <c r="BC743" s="7"/>
      <c r="BD743" s="7"/>
      <c r="BE743" s="7"/>
      <c r="BF743" s="7"/>
      <c r="BG743" s="7"/>
    </row>
    <row r="744">
      <c r="A744" s="39"/>
      <c r="B744" s="39"/>
      <c r="C744" s="7"/>
      <c r="D744" s="53"/>
      <c r="E744" s="7"/>
      <c r="F744" s="53"/>
      <c r="G744" s="16"/>
      <c r="H744" s="16"/>
      <c r="J744" s="39"/>
      <c r="K744" s="53"/>
      <c r="L744" s="90"/>
      <c r="M744" s="39"/>
      <c r="N744" s="327"/>
      <c r="O744" s="322"/>
      <c r="P744" s="82"/>
      <c r="Q744" s="82"/>
      <c r="R744" s="82"/>
      <c r="S744" s="16"/>
      <c r="T744" s="16"/>
      <c r="U744" s="39"/>
      <c r="V744" s="7"/>
      <c r="W744" s="7"/>
      <c r="X744" s="93"/>
      <c r="Y744" s="85"/>
      <c r="Z744" s="85"/>
      <c r="AA744" s="85"/>
      <c r="AB744" s="85"/>
      <c r="AC744" s="85"/>
      <c r="AD744" s="325"/>
      <c r="AE744" s="85"/>
      <c r="AF744" s="90"/>
      <c r="AG744" s="87"/>
      <c r="AH744" s="39"/>
      <c r="AI744" s="87"/>
      <c r="AJ744" s="81"/>
      <c r="AK744" s="90"/>
      <c r="AL744" s="81"/>
      <c r="AM744" s="39"/>
      <c r="AN744" s="82"/>
      <c r="AO744" s="82"/>
      <c r="AP744" s="82"/>
      <c r="AQ744" s="7"/>
      <c r="AR744" s="82"/>
      <c r="AS744" s="82"/>
      <c r="AT744" s="82"/>
      <c r="AU744" s="82"/>
      <c r="AV744" s="82"/>
      <c r="AW744" s="7"/>
      <c r="AX744" s="82"/>
      <c r="AY744" s="7"/>
      <c r="AZ744" s="7"/>
      <c r="BA744" s="7"/>
      <c r="BB744" s="7"/>
      <c r="BC744" s="7"/>
      <c r="BD744" s="7"/>
      <c r="BE744" s="7"/>
      <c r="BF744" s="7"/>
      <c r="BG744" s="7"/>
    </row>
    <row r="745">
      <c r="A745" s="39"/>
      <c r="B745" s="39"/>
      <c r="C745" s="7"/>
      <c r="D745" s="53"/>
      <c r="E745" s="7"/>
      <c r="F745" s="53"/>
      <c r="G745" s="16"/>
      <c r="H745" s="16"/>
      <c r="J745" s="39"/>
      <c r="K745" s="53"/>
      <c r="L745" s="90"/>
      <c r="M745" s="39"/>
      <c r="N745" s="327"/>
      <c r="O745" s="368"/>
      <c r="P745" s="82"/>
      <c r="Q745" s="82"/>
      <c r="R745" s="82"/>
      <c r="S745" s="16"/>
      <c r="T745" s="16"/>
      <c r="U745" s="39"/>
      <c r="V745" s="7"/>
      <c r="W745" s="7"/>
      <c r="X745" s="93"/>
      <c r="Y745" s="85"/>
      <c r="Z745" s="85"/>
      <c r="AA745" s="85"/>
      <c r="AB745" s="85"/>
      <c r="AC745" s="85"/>
      <c r="AD745" s="325"/>
      <c r="AE745" s="85"/>
      <c r="AF745" s="90"/>
      <c r="AG745" s="87"/>
      <c r="AH745" s="39"/>
      <c r="AI745" s="87"/>
      <c r="AJ745" s="81"/>
      <c r="AK745" s="90"/>
      <c r="AL745" s="81"/>
      <c r="AM745" s="39"/>
      <c r="AN745" s="82"/>
      <c r="AO745" s="82"/>
      <c r="AP745" s="82"/>
      <c r="AQ745" s="7"/>
      <c r="AR745" s="7"/>
      <c r="AS745" s="7"/>
      <c r="AT745" s="7"/>
      <c r="AU745" s="7"/>
      <c r="AV745" s="7"/>
      <c r="AW745" s="7"/>
      <c r="AX745" s="82"/>
      <c r="AY745" s="7"/>
      <c r="AZ745" s="7"/>
      <c r="BA745" s="7"/>
      <c r="BB745" s="7"/>
      <c r="BC745" s="7"/>
      <c r="BD745" s="7"/>
      <c r="BE745" s="7"/>
      <c r="BF745" s="7"/>
      <c r="BG745" s="7"/>
    </row>
    <row r="746">
      <c r="A746" s="39"/>
      <c r="B746" s="39"/>
      <c r="C746" s="7"/>
      <c r="D746" s="53"/>
      <c r="E746" s="7"/>
      <c r="F746" s="53"/>
      <c r="G746" s="16"/>
      <c r="H746" s="16"/>
      <c r="J746" s="39"/>
      <c r="K746" s="53"/>
      <c r="L746" s="90"/>
      <c r="M746" s="39"/>
      <c r="N746" s="327"/>
      <c r="O746" s="322"/>
      <c r="P746" s="82"/>
      <c r="Q746" s="82"/>
      <c r="R746" s="82"/>
      <c r="S746" s="16"/>
      <c r="T746" s="16"/>
      <c r="U746" s="39"/>
      <c r="V746" s="7"/>
      <c r="W746" s="7"/>
      <c r="X746" s="93"/>
      <c r="Y746" s="85"/>
      <c r="Z746" s="85"/>
      <c r="AA746" s="85"/>
      <c r="AB746" s="85"/>
      <c r="AC746" s="85"/>
      <c r="AD746" s="325"/>
      <c r="AE746" s="85"/>
      <c r="AF746" s="90"/>
      <c r="AG746" s="21"/>
      <c r="AH746" s="39"/>
      <c r="AI746" s="87"/>
      <c r="AJ746" s="81"/>
      <c r="AK746" s="90"/>
      <c r="AL746" s="81"/>
      <c r="AM746" s="39"/>
      <c r="AN746" s="82"/>
      <c r="AO746" s="82"/>
      <c r="AP746" s="82"/>
      <c r="AQ746" s="7"/>
      <c r="AR746" s="82"/>
      <c r="AS746" s="82"/>
      <c r="AT746" s="82"/>
      <c r="AU746" s="82"/>
      <c r="AV746" s="82"/>
      <c r="AW746" s="7"/>
      <c r="AX746" s="82"/>
      <c r="AY746" s="7"/>
      <c r="AZ746" s="7"/>
      <c r="BA746" s="7"/>
      <c r="BB746" s="7"/>
      <c r="BC746" s="7"/>
      <c r="BD746" s="7"/>
      <c r="BE746" s="7"/>
      <c r="BF746" s="7"/>
      <c r="BG746" s="7"/>
    </row>
    <row r="747">
      <c r="A747" s="39"/>
      <c r="B747" s="39"/>
      <c r="C747" s="7"/>
      <c r="D747" s="53"/>
      <c r="E747" s="7"/>
      <c r="F747" s="53"/>
      <c r="G747" s="16"/>
      <c r="H747" s="16"/>
      <c r="J747" s="39"/>
      <c r="K747" s="53"/>
      <c r="L747" s="90"/>
      <c r="M747" s="39"/>
      <c r="N747" s="327"/>
      <c r="O747" s="322"/>
      <c r="P747" s="82"/>
      <c r="Q747" s="82"/>
      <c r="R747" s="82"/>
      <c r="S747" s="16"/>
      <c r="T747" s="16"/>
      <c r="U747" s="39"/>
      <c r="V747" s="7"/>
      <c r="W747" s="7"/>
      <c r="X747" s="93"/>
      <c r="Y747" s="85"/>
      <c r="Z747" s="85"/>
      <c r="AA747" s="85"/>
      <c r="AB747" s="85"/>
      <c r="AC747" s="85"/>
      <c r="AD747" s="325"/>
      <c r="AE747" s="85"/>
      <c r="AF747" s="90"/>
      <c r="AG747" s="21"/>
      <c r="AH747" s="39"/>
      <c r="AI747" s="87"/>
      <c r="AJ747" s="81"/>
      <c r="AK747" s="90"/>
      <c r="AL747" s="81"/>
      <c r="AM747" s="39"/>
      <c r="AN747" s="82"/>
      <c r="AO747" s="82"/>
      <c r="AP747" s="82"/>
      <c r="AQ747" s="7"/>
      <c r="AR747" s="82"/>
      <c r="AS747" s="82"/>
      <c r="AT747" s="82"/>
      <c r="AU747" s="82"/>
      <c r="AV747" s="82"/>
      <c r="AW747" s="7"/>
      <c r="AX747" s="82"/>
      <c r="AY747" s="7"/>
      <c r="AZ747" s="7"/>
      <c r="BA747" s="7"/>
      <c r="BB747" s="7"/>
      <c r="BC747" s="7"/>
      <c r="BD747" s="7"/>
      <c r="BE747" s="7"/>
      <c r="BF747" s="7"/>
      <c r="BG747" s="7"/>
    </row>
    <row r="748">
      <c r="A748" s="39"/>
      <c r="B748" s="39"/>
      <c r="C748" s="7"/>
      <c r="D748" s="53"/>
      <c r="E748" s="7"/>
      <c r="F748" s="53"/>
      <c r="G748" s="16"/>
      <c r="H748" s="81"/>
      <c r="J748" s="39"/>
      <c r="K748" s="53"/>
      <c r="L748" s="90"/>
      <c r="M748" s="39"/>
      <c r="N748" s="327"/>
      <c r="O748" s="322"/>
      <c r="P748" s="82"/>
      <c r="Q748" s="82"/>
      <c r="R748" s="82"/>
      <c r="S748" s="16"/>
      <c r="T748" s="16"/>
      <c r="U748" s="39"/>
      <c r="V748" s="7"/>
      <c r="W748" s="7"/>
      <c r="X748" s="93"/>
      <c r="Y748" s="131"/>
      <c r="Z748" s="131"/>
      <c r="AA748" s="131"/>
      <c r="AB748" s="131"/>
      <c r="AC748" s="131"/>
      <c r="AD748" s="323"/>
      <c r="AE748" s="131"/>
      <c r="AF748" s="90"/>
      <c r="AG748" s="21"/>
      <c r="AH748" s="39"/>
      <c r="AI748" s="87"/>
      <c r="AJ748" s="81"/>
      <c r="AK748" s="90"/>
      <c r="AL748" s="81"/>
      <c r="AM748" s="39"/>
      <c r="AN748" s="82"/>
      <c r="AO748" s="82"/>
      <c r="AP748" s="82"/>
      <c r="AQ748" s="82"/>
      <c r="AR748" s="82"/>
      <c r="AS748" s="82"/>
      <c r="AT748" s="82"/>
      <c r="AU748" s="82"/>
      <c r="AV748" s="82"/>
      <c r="AW748" s="7"/>
      <c r="AX748" s="82"/>
      <c r="AY748" s="7"/>
      <c r="AZ748" s="7"/>
      <c r="BA748" s="7"/>
      <c r="BB748" s="7"/>
      <c r="BC748" s="7"/>
      <c r="BD748" s="7"/>
      <c r="BE748" s="7"/>
      <c r="BF748" s="7"/>
      <c r="BG748" s="7"/>
    </row>
    <row r="749">
      <c r="A749" s="39"/>
      <c r="B749" s="39"/>
      <c r="C749" s="7"/>
      <c r="D749" s="53"/>
      <c r="E749" s="7"/>
      <c r="F749" s="53"/>
      <c r="G749" s="16"/>
      <c r="H749" s="81"/>
      <c r="J749" s="39"/>
      <c r="K749" s="53"/>
      <c r="L749" s="90"/>
      <c r="M749" s="39"/>
      <c r="N749" s="327"/>
      <c r="O749" s="322"/>
      <c r="P749" s="82"/>
      <c r="Q749" s="82"/>
      <c r="R749" s="82"/>
      <c r="S749" s="16"/>
      <c r="T749" s="16"/>
      <c r="U749" s="39"/>
      <c r="V749" s="7"/>
      <c r="W749" s="7"/>
      <c r="X749" s="93"/>
      <c r="Y749" s="131"/>
      <c r="Z749" s="131"/>
      <c r="AA749" s="131"/>
      <c r="AB749" s="131"/>
      <c r="AC749" s="131"/>
      <c r="AD749" s="323"/>
      <c r="AE749" s="131"/>
      <c r="AF749" s="90"/>
      <c r="AG749" s="21"/>
      <c r="AH749" s="39"/>
      <c r="AI749" s="87"/>
      <c r="AJ749" s="81"/>
      <c r="AK749" s="90"/>
      <c r="AL749" s="81"/>
      <c r="AM749" s="16"/>
      <c r="AN749" s="82"/>
      <c r="AO749" s="82"/>
      <c r="AP749" s="82"/>
      <c r="AQ749" s="7"/>
      <c r="AR749" s="6"/>
      <c r="AS749" s="82"/>
      <c r="AT749" s="7"/>
      <c r="AU749" s="82"/>
      <c r="AV749" s="7"/>
      <c r="AW749" s="7"/>
      <c r="AX749" s="82"/>
      <c r="AY749" s="7"/>
      <c r="AZ749" s="7"/>
      <c r="BA749" s="7"/>
      <c r="BB749" s="7"/>
      <c r="BC749" s="7"/>
      <c r="BD749" s="7"/>
      <c r="BE749" s="7"/>
      <c r="BF749" s="7"/>
      <c r="BG749" s="7"/>
    </row>
    <row r="750">
      <c r="A750" s="39"/>
      <c r="B750" s="39"/>
      <c r="C750" s="7"/>
      <c r="D750" s="53"/>
      <c r="E750" s="7"/>
      <c r="F750" s="53"/>
      <c r="G750" s="16"/>
      <c r="H750" s="81"/>
      <c r="J750" s="39"/>
      <c r="K750" s="53"/>
      <c r="L750" s="90"/>
      <c r="M750" s="39"/>
      <c r="N750" s="327"/>
      <c r="O750" s="322"/>
      <c r="P750" s="82"/>
      <c r="Q750" s="82"/>
      <c r="R750" s="82"/>
      <c r="S750" s="16"/>
      <c r="T750" s="16"/>
      <c r="U750" s="39"/>
      <c r="V750" s="7"/>
      <c r="W750" s="7"/>
      <c r="X750" s="93"/>
      <c r="Y750" s="131"/>
      <c r="Z750" s="131"/>
      <c r="AA750" s="131"/>
      <c r="AB750" s="131"/>
      <c r="AC750" s="131"/>
      <c r="AD750" s="323"/>
      <c r="AE750" s="131"/>
      <c r="AF750" s="90"/>
      <c r="AG750" s="21"/>
      <c r="AH750" s="39"/>
      <c r="AI750" s="87"/>
      <c r="AJ750" s="81"/>
      <c r="AK750" s="90"/>
      <c r="AL750" s="81"/>
      <c r="AM750" s="16"/>
      <c r="AN750" s="82"/>
      <c r="AO750" s="82"/>
      <c r="AP750" s="82"/>
      <c r="AQ750" s="7"/>
      <c r="AR750" s="13"/>
      <c r="AS750" s="82"/>
      <c r="AT750" s="82"/>
      <c r="AU750" s="82"/>
      <c r="AV750" s="82"/>
      <c r="AW750" s="7"/>
      <c r="AX750" s="82"/>
      <c r="AY750" s="7"/>
      <c r="AZ750" s="7"/>
      <c r="BA750" s="7"/>
      <c r="BB750" s="7"/>
      <c r="BC750" s="7"/>
      <c r="BD750" s="7"/>
      <c r="BE750" s="7"/>
      <c r="BF750" s="7"/>
      <c r="BG750" s="7"/>
    </row>
    <row r="751">
      <c r="A751" s="39"/>
      <c r="B751" s="39"/>
      <c r="C751" s="7"/>
      <c r="D751" s="53"/>
      <c r="E751" s="7"/>
      <c r="F751" s="53"/>
      <c r="G751" s="16"/>
      <c r="H751" s="81"/>
      <c r="J751" s="39"/>
      <c r="K751" s="53"/>
      <c r="L751" s="90"/>
      <c r="M751" s="39"/>
      <c r="N751" s="327"/>
      <c r="O751" s="322"/>
      <c r="P751" s="82"/>
      <c r="Q751" s="82"/>
      <c r="R751" s="82"/>
      <c r="S751" s="16"/>
      <c r="T751" s="16"/>
      <c r="U751" s="39"/>
      <c r="V751" s="7"/>
      <c r="W751" s="7"/>
      <c r="X751" s="93"/>
      <c r="Y751" s="131"/>
      <c r="Z751" s="131"/>
      <c r="AA751" s="131"/>
      <c r="AB751" s="131"/>
      <c r="AC751" s="131"/>
      <c r="AD751" s="323"/>
      <c r="AE751" s="131"/>
      <c r="AF751" s="90"/>
      <c r="AG751" s="21"/>
      <c r="AH751" s="39"/>
      <c r="AI751" s="87"/>
      <c r="AJ751" s="81"/>
      <c r="AK751" s="90"/>
      <c r="AL751" s="81"/>
      <c r="AM751" s="16"/>
      <c r="AN751" s="82"/>
      <c r="AO751" s="82"/>
      <c r="AP751" s="82"/>
      <c r="AQ751" s="82"/>
      <c r="AR751" s="13"/>
      <c r="AS751" s="82"/>
      <c r="AT751" s="82"/>
      <c r="AU751" s="82"/>
      <c r="AV751" s="82"/>
      <c r="AW751" s="7"/>
      <c r="AX751" s="82"/>
      <c r="AY751" s="7"/>
      <c r="AZ751" s="7"/>
      <c r="BA751" s="7"/>
      <c r="BB751" s="7"/>
      <c r="BC751" s="7"/>
      <c r="BD751" s="7"/>
      <c r="BE751" s="7"/>
      <c r="BF751" s="7"/>
      <c r="BG751" s="7"/>
    </row>
    <row r="752">
      <c r="A752" s="39"/>
      <c r="B752" s="39"/>
      <c r="C752" s="7"/>
      <c r="D752" s="53"/>
      <c r="E752" s="7"/>
      <c r="F752" s="53"/>
      <c r="G752" s="16"/>
      <c r="H752" s="81"/>
      <c r="J752" s="39"/>
      <c r="K752" s="53"/>
      <c r="L752" s="90"/>
      <c r="M752" s="39"/>
      <c r="N752" s="327"/>
      <c r="O752" s="322"/>
      <c r="P752" s="82"/>
      <c r="Q752" s="82"/>
      <c r="R752" s="82"/>
      <c r="S752" s="16"/>
      <c r="T752" s="16"/>
      <c r="U752" s="39"/>
      <c r="V752" s="7"/>
      <c r="W752" s="7"/>
      <c r="X752" s="93"/>
      <c r="Y752" s="131"/>
      <c r="Z752" s="131"/>
      <c r="AA752" s="131"/>
      <c r="AB752" s="131"/>
      <c r="AC752" s="131"/>
      <c r="AD752" s="323"/>
      <c r="AE752" s="131"/>
      <c r="AF752" s="90"/>
      <c r="AG752" s="21"/>
      <c r="AH752" s="39"/>
      <c r="AI752" s="87"/>
      <c r="AJ752" s="81"/>
      <c r="AK752" s="90"/>
      <c r="AL752" s="81"/>
      <c r="AM752" s="39"/>
      <c r="AN752" s="82"/>
      <c r="AO752" s="82"/>
      <c r="AP752" s="82"/>
      <c r="AQ752" s="82"/>
      <c r="AR752" s="13"/>
      <c r="AS752" s="82"/>
      <c r="AT752" s="82"/>
      <c r="AU752" s="82"/>
      <c r="AV752" s="82"/>
      <c r="AW752" s="7"/>
      <c r="AX752" s="82"/>
      <c r="AY752" s="7"/>
      <c r="AZ752" s="7"/>
      <c r="BA752" s="7"/>
      <c r="BB752" s="7"/>
      <c r="BC752" s="7"/>
      <c r="BD752" s="7"/>
      <c r="BE752" s="7"/>
      <c r="BF752" s="7"/>
      <c r="BG752" s="7"/>
    </row>
    <row r="753">
      <c r="A753" s="39"/>
      <c r="B753" s="39"/>
      <c r="C753" s="7"/>
      <c r="D753" s="53"/>
      <c r="E753" s="7"/>
      <c r="F753" s="53"/>
      <c r="G753" s="16"/>
      <c r="H753" s="81"/>
      <c r="J753" s="39"/>
      <c r="K753" s="53"/>
      <c r="L753" s="90"/>
      <c r="M753" s="39"/>
      <c r="N753" s="321"/>
      <c r="O753" s="368"/>
      <c r="P753" s="82"/>
      <c r="Q753" s="82"/>
      <c r="R753" s="82"/>
      <c r="S753" s="16"/>
      <c r="T753" s="16"/>
      <c r="U753" s="39"/>
      <c r="V753" s="7"/>
      <c r="W753" s="7"/>
      <c r="X753" s="93"/>
      <c r="Y753" s="131"/>
      <c r="Z753" s="131"/>
      <c r="AA753" s="131"/>
      <c r="AB753" s="131"/>
      <c r="AC753" s="131"/>
      <c r="AD753" s="323"/>
      <c r="AE753" s="131"/>
      <c r="AF753" s="90"/>
      <c r="AG753" s="21"/>
      <c r="AH753" s="39"/>
      <c r="AI753" s="87"/>
      <c r="AJ753" s="81"/>
      <c r="AK753" s="90"/>
      <c r="AL753" s="81"/>
      <c r="AM753" s="39"/>
      <c r="AN753" s="82"/>
      <c r="AO753" s="82"/>
      <c r="AP753" s="82"/>
      <c r="AQ753" s="7"/>
      <c r="AR753" s="6"/>
      <c r="AS753" s="82"/>
      <c r="AT753" s="7"/>
      <c r="AU753" s="82"/>
      <c r="AV753" s="7"/>
      <c r="AW753" s="7"/>
      <c r="AX753" s="82"/>
      <c r="AY753" s="7"/>
      <c r="AZ753" s="7"/>
      <c r="BA753" s="7"/>
      <c r="BB753" s="7"/>
      <c r="BC753" s="7"/>
      <c r="BD753" s="7"/>
      <c r="BE753" s="7"/>
      <c r="BF753" s="7"/>
      <c r="BG753" s="7"/>
    </row>
    <row r="754">
      <c r="A754" s="39"/>
      <c r="B754" s="39"/>
      <c r="C754" s="7"/>
      <c r="D754" s="53"/>
      <c r="E754" s="7"/>
      <c r="F754" s="53"/>
      <c r="G754" s="16"/>
      <c r="H754" s="81"/>
      <c r="J754" s="39"/>
      <c r="K754" s="53"/>
      <c r="L754" s="90"/>
      <c r="M754" s="39"/>
      <c r="N754" s="327"/>
      <c r="O754" s="368"/>
      <c r="P754" s="7"/>
      <c r="Q754" s="7"/>
      <c r="R754" s="7"/>
      <c r="S754" s="16"/>
      <c r="T754" s="16"/>
      <c r="U754" s="39"/>
      <c r="V754" s="7"/>
      <c r="W754" s="7"/>
      <c r="X754" s="93"/>
      <c r="Y754" s="131"/>
      <c r="Z754" s="131"/>
      <c r="AA754" s="131"/>
      <c r="AB754" s="131"/>
      <c r="AC754" s="131"/>
      <c r="AD754" s="323"/>
      <c r="AE754" s="131"/>
      <c r="AF754" s="90"/>
      <c r="AG754" s="21"/>
      <c r="AH754" s="39"/>
      <c r="AI754" s="87"/>
      <c r="AJ754" s="81"/>
      <c r="AK754" s="90"/>
      <c r="AL754" s="81"/>
      <c r="AM754" s="39"/>
      <c r="AN754" s="82"/>
      <c r="AO754" s="82"/>
      <c r="AP754" s="82"/>
      <c r="AQ754" s="7"/>
      <c r="AR754" s="6"/>
      <c r="AS754" s="7"/>
      <c r="AT754" s="7"/>
      <c r="AU754" s="7"/>
      <c r="AV754" s="7"/>
      <c r="AW754" s="7"/>
      <c r="AX754" s="82"/>
      <c r="AY754" s="7"/>
      <c r="AZ754" s="7"/>
      <c r="BA754" s="7"/>
      <c r="BB754" s="7"/>
      <c r="BC754" s="7"/>
      <c r="BD754" s="7"/>
      <c r="BE754" s="7"/>
      <c r="BF754" s="7"/>
      <c r="BG754" s="7"/>
    </row>
    <row r="755">
      <c r="A755" s="39"/>
      <c r="B755" s="39"/>
      <c r="C755" s="7"/>
      <c r="D755" s="53"/>
      <c r="E755" s="7"/>
      <c r="F755" s="53"/>
      <c r="G755" s="16"/>
      <c r="H755" s="81"/>
      <c r="J755" s="39"/>
      <c r="K755" s="53"/>
      <c r="L755" s="90"/>
      <c r="M755" s="39"/>
      <c r="N755" s="327"/>
      <c r="O755" s="367"/>
      <c r="P755" s="7"/>
      <c r="Q755" s="7"/>
      <c r="R755" s="7"/>
      <c r="S755" s="81"/>
      <c r="T755" s="81"/>
      <c r="U755" s="39"/>
      <c r="V755" s="7"/>
      <c r="W755" s="7"/>
      <c r="X755" s="93"/>
      <c r="Y755" s="131"/>
      <c r="Z755" s="131"/>
      <c r="AA755" s="131"/>
      <c r="AB755" s="131"/>
      <c r="AC755" s="131"/>
      <c r="AD755" s="323"/>
      <c r="AE755" s="131"/>
      <c r="AF755" s="90"/>
      <c r="AG755" s="21"/>
      <c r="AH755" s="39"/>
      <c r="AI755" s="87"/>
      <c r="AJ755" s="81"/>
      <c r="AK755" s="90"/>
      <c r="AL755" s="81"/>
      <c r="AM755" s="39"/>
      <c r="AN755" s="82"/>
      <c r="AO755" s="82"/>
      <c r="AP755" s="82"/>
      <c r="AQ755" s="7"/>
      <c r="AR755" s="6"/>
      <c r="AS755" s="7"/>
      <c r="AT755" s="7"/>
      <c r="AU755" s="7"/>
      <c r="AV755" s="7"/>
      <c r="AW755" s="7"/>
      <c r="AX755" s="82"/>
      <c r="AY755" s="7"/>
      <c r="AZ755" s="7"/>
      <c r="BA755" s="7"/>
      <c r="BB755" s="7"/>
      <c r="BC755" s="7"/>
      <c r="BD755" s="7"/>
      <c r="BE755" s="7"/>
      <c r="BF755" s="7"/>
      <c r="BG755" s="7"/>
    </row>
    <row r="756">
      <c r="A756" s="39"/>
      <c r="B756" s="39"/>
      <c r="C756" s="7"/>
      <c r="D756" s="53"/>
      <c r="E756" s="7"/>
      <c r="F756" s="53"/>
      <c r="G756" s="16"/>
      <c r="H756" s="81"/>
      <c r="J756" s="39"/>
      <c r="K756" s="53"/>
      <c r="L756" s="90"/>
      <c r="M756" s="39"/>
      <c r="N756" s="327"/>
      <c r="O756" s="367"/>
      <c r="P756" s="82"/>
      <c r="Q756" s="82"/>
      <c r="R756" s="82"/>
      <c r="S756" s="81"/>
      <c r="T756" s="81"/>
      <c r="U756" s="39"/>
      <c r="V756" s="7"/>
      <c r="W756" s="7"/>
      <c r="X756" s="93"/>
      <c r="Y756" s="131"/>
      <c r="Z756" s="131"/>
      <c r="AA756" s="131"/>
      <c r="AB756" s="131"/>
      <c r="AC756" s="131"/>
      <c r="AD756" s="323"/>
      <c r="AE756" s="131"/>
      <c r="AF756" s="90"/>
      <c r="AG756" s="21"/>
      <c r="AH756" s="39"/>
      <c r="AI756" s="87"/>
      <c r="AJ756" s="81"/>
      <c r="AK756" s="90"/>
      <c r="AL756" s="81"/>
      <c r="AM756" s="39"/>
      <c r="AN756" s="82"/>
      <c r="AO756" s="82"/>
      <c r="AP756" s="82"/>
      <c r="AQ756" s="7"/>
      <c r="AR756" s="13"/>
      <c r="AS756" s="82"/>
      <c r="AT756" s="82"/>
      <c r="AU756" s="82"/>
      <c r="AV756" s="82"/>
      <c r="AW756" s="7"/>
      <c r="AX756" s="82"/>
      <c r="AY756" s="7"/>
      <c r="AZ756" s="7"/>
      <c r="BA756" s="7"/>
      <c r="BB756" s="7"/>
      <c r="BC756" s="7"/>
      <c r="BD756" s="7"/>
      <c r="BE756" s="7"/>
      <c r="BF756" s="7"/>
      <c r="BG756" s="7"/>
    </row>
    <row r="757">
      <c r="A757" s="39"/>
      <c r="B757" s="39"/>
      <c r="C757" s="7"/>
      <c r="D757" s="53"/>
      <c r="E757" s="7"/>
      <c r="F757" s="53"/>
      <c r="G757" s="16"/>
      <c r="H757" s="81"/>
      <c r="J757" s="39"/>
      <c r="K757" s="53"/>
      <c r="L757" s="90"/>
      <c r="M757" s="39"/>
      <c r="N757" s="327"/>
      <c r="O757" s="367"/>
      <c r="P757" s="82"/>
      <c r="Q757" s="82"/>
      <c r="R757" s="82"/>
      <c r="S757" s="81"/>
      <c r="T757" s="81"/>
      <c r="U757" s="39"/>
      <c r="V757" s="7"/>
      <c r="W757" s="7"/>
      <c r="X757" s="93"/>
      <c r="Y757" s="131"/>
      <c r="Z757" s="131"/>
      <c r="AA757" s="131"/>
      <c r="AB757" s="131"/>
      <c r="AC757" s="131"/>
      <c r="AD757" s="323"/>
      <c r="AE757" s="131"/>
      <c r="AF757" s="90"/>
      <c r="AG757" s="21"/>
      <c r="AH757" s="39"/>
      <c r="AI757" s="87"/>
      <c r="AJ757" s="81"/>
      <c r="AK757" s="90"/>
      <c r="AL757" s="81"/>
      <c r="AM757" s="39"/>
      <c r="AN757" s="82"/>
      <c r="AO757" s="82"/>
      <c r="AP757" s="82"/>
      <c r="AQ757" s="7"/>
      <c r="AR757" s="13"/>
      <c r="AS757" s="82"/>
      <c r="AT757" s="82"/>
      <c r="AU757" s="82"/>
      <c r="AV757" s="82"/>
      <c r="AW757" s="7"/>
      <c r="AX757" s="82"/>
      <c r="AY757" s="7"/>
      <c r="AZ757" s="7"/>
      <c r="BA757" s="7"/>
      <c r="BB757" s="7"/>
      <c r="BC757" s="7"/>
      <c r="BD757" s="7"/>
      <c r="BE757" s="7"/>
      <c r="BF757" s="7"/>
      <c r="BG757" s="7"/>
    </row>
    <row r="758">
      <c r="A758" s="39"/>
      <c r="B758" s="39"/>
      <c r="C758" s="7"/>
      <c r="D758" s="53"/>
      <c r="E758" s="7"/>
      <c r="F758" s="53"/>
      <c r="G758" s="16"/>
      <c r="H758" s="81"/>
      <c r="J758" s="39"/>
      <c r="K758" s="53"/>
      <c r="L758" s="90"/>
      <c r="M758" s="39"/>
      <c r="N758" s="327"/>
      <c r="O758" s="367"/>
      <c r="P758" s="82"/>
      <c r="Q758" s="82"/>
      <c r="R758" s="82"/>
      <c r="S758" s="81"/>
      <c r="T758" s="81"/>
      <c r="U758" s="39"/>
      <c r="V758" s="7"/>
      <c r="W758" s="7"/>
      <c r="X758" s="93"/>
      <c r="Y758" s="131"/>
      <c r="Z758" s="131"/>
      <c r="AA758" s="131"/>
      <c r="AB758" s="131"/>
      <c r="AC758" s="131"/>
      <c r="AD758" s="323"/>
      <c r="AE758" s="131"/>
      <c r="AF758" s="90"/>
      <c r="AG758" s="21"/>
      <c r="AH758" s="39"/>
      <c r="AI758" s="87"/>
      <c r="AJ758" s="81"/>
      <c r="AK758" s="90"/>
      <c r="AL758" s="81"/>
      <c r="AM758" s="39"/>
      <c r="AN758" s="82"/>
      <c r="AO758" s="82"/>
      <c r="AP758" s="82"/>
      <c r="AQ758" s="7"/>
      <c r="AR758" s="13"/>
      <c r="AS758" s="82"/>
      <c r="AT758" s="82"/>
      <c r="AU758" s="82"/>
      <c r="AV758" s="82"/>
      <c r="AW758" s="7"/>
      <c r="AX758" s="82"/>
      <c r="AY758" s="7"/>
      <c r="AZ758" s="7"/>
      <c r="BA758" s="7"/>
      <c r="BB758" s="7"/>
      <c r="BC758" s="7"/>
      <c r="BD758" s="7"/>
      <c r="BE758" s="7"/>
      <c r="BF758" s="7"/>
      <c r="BG758" s="7"/>
    </row>
    <row r="759">
      <c r="A759" s="39"/>
      <c r="B759" s="39"/>
      <c r="C759" s="7"/>
      <c r="D759" s="53"/>
      <c r="E759" s="7"/>
      <c r="F759" s="53"/>
      <c r="G759" s="16"/>
      <c r="H759" s="81"/>
      <c r="J759" s="39"/>
      <c r="K759" s="53"/>
      <c r="L759" s="90"/>
      <c r="M759" s="39"/>
      <c r="N759" s="327"/>
      <c r="O759" s="367"/>
      <c r="P759" s="82"/>
      <c r="Q759" s="82"/>
      <c r="R759" s="82"/>
      <c r="S759" s="81"/>
      <c r="T759" s="81"/>
      <c r="U759" s="39"/>
      <c r="V759" s="7"/>
      <c r="W759" s="7"/>
      <c r="X759" s="93"/>
      <c r="Y759" s="131"/>
      <c r="Z759" s="131"/>
      <c r="AA759" s="131"/>
      <c r="AB759" s="131"/>
      <c r="AC759" s="131"/>
      <c r="AD759" s="323"/>
      <c r="AE759" s="131"/>
      <c r="AF759" s="90"/>
      <c r="AG759" s="21"/>
      <c r="AH759" s="39"/>
      <c r="AI759" s="87"/>
      <c r="AJ759" s="81"/>
      <c r="AK759" s="90"/>
      <c r="AL759" s="81"/>
      <c r="AM759" s="39"/>
      <c r="AN759" s="82"/>
      <c r="AO759" s="82"/>
      <c r="AP759" s="82"/>
      <c r="AQ759" s="7"/>
      <c r="AR759" s="13"/>
      <c r="AS759" s="82"/>
      <c r="AT759" s="82"/>
      <c r="AU759" s="82"/>
      <c r="AV759" s="82"/>
      <c r="AW759" s="7"/>
      <c r="AX759" s="82"/>
      <c r="AY759" s="7"/>
      <c r="AZ759" s="7"/>
      <c r="BA759" s="7"/>
      <c r="BB759" s="7"/>
      <c r="BC759" s="7"/>
      <c r="BD759" s="7"/>
      <c r="BE759" s="7"/>
      <c r="BF759" s="7"/>
      <c r="BG759" s="7"/>
    </row>
    <row r="760">
      <c r="A760" s="39"/>
      <c r="B760" s="39"/>
      <c r="C760" s="7"/>
      <c r="D760" s="53"/>
      <c r="E760" s="7"/>
      <c r="F760" s="53"/>
      <c r="G760" s="16"/>
      <c r="H760" s="81"/>
      <c r="J760" s="39"/>
      <c r="K760" s="53"/>
      <c r="L760" s="90"/>
      <c r="M760" s="39"/>
      <c r="N760" s="327"/>
      <c r="O760" s="367"/>
      <c r="P760" s="82"/>
      <c r="Q760" s="82"/>
      <c r="R760" s="82"/>
      <c r="S760" s="81"/>
      <c r="T760" s="81"/>
      <c r="U760" s="39"/>
      <c r="V760" s="7"/>
      <c r="W760" s="7"/>
      <c r="X760" s="93"/>
      <c r="Y760" s="131"/>
      <c r="Z760" s="131"/>
      <c r="AA760" s="131"/>
      <c r="AB760" s="131"/>
      <c r="AC760" s="131"/>
      <c r="AD760" s="323"/>
      <c r="AE760" s="131"/>
      <c r="AF760" s="90"/>
      <c r="AG760" s="21"/>
      <c r="AH760" s="39"/>
      <c r="AI760" s="87"/>
      <c r="AJ760" s="81"/>
      <c r="AK760" s="90"/>
      <c r="AL760" s="81"/>
      <c r="AM760" s="39"/>
      <c r="AN760" s="82"/>
      <c r="AO760" s="82"/>
      <c r="AP760" s="82"/>
      <c r="AQ760" s="7"/>
      <c r="AR760" s="13"/>
      <c r="AS760" s="82"/>
      <c r="AT760" s="82"/>
      <c r="AU760" s="82"/>
      <c r="AV760" s="82"/>
      <c r="AW760" s="7"/>
      <c r="AX760" s="82"/>
      <c r="AY760" s="7"/>
      <c r="AZ760" s="7"/>
      <c r="BA760" s="7"/>
      <c r="BB760" s="7"/>
      <c r="BC760" s="7"/>
      <c r="BD760" s="7"/>
      <c r="BE760" s="7"/>
      <c r="BF760" s="7"/>
      <c r="BG760" s="7"/>
    </row>
    <row r="761">
      <c r="A761" s="39"/>
      <c r="B761" s="39"/>
      <c r="C761" s="7"/>
      <c r="D761" s="53"/>
      <c r="E761" s="7"/>
      <c r="F761" s="53"/>
      <c r="G761" s="16"/>
      <c r="H761" s="81"/>
      <c r="J761" s="39"/>
      <c r="K761" s="53"/>
      <c r="L761" s="90"/>
      <c r="M761" s="39"/>
      <c r="N761" s="327"/>
      <c r="O761" s="322"/>
      <c r="P761" s="82"/>
      <c r="Q761" s="82"/>
      <c r="R761" s="82"/>
      <c r="S761" s="81"/>
      <c r="T761" s="81"/>
      <c r="U761" s="39"/>
      <c r="V761" s="7"/>
      <c r="W761" s="7"/>
      <c r="X761" s="93"/>
      <c r="Y761" s="131"/>
      <c r="Z761" s="131"/>
      <c r="AA761" s="131"/>
      <c r="AB761" s="131"/>
      <c r="AC761" s="131"/>
      <c r="AD761" s="323"/>
      <c r="AE761" s="131"/>
      <c r="AF761" s="90"/>
      <c r="AG761" s="21"/>
      <c r="AH761" s="39"/>
      <c r="AI761" s="87"/>
      <c r="AJ761" s="81"/>
      <c r="AK761" s="90"/>
      <c r="AL761" s="81"/>
      <c r="AM761" s="39"/>
      <c r="AN761" s="82"/>
      <c r="AO761" s="82"/>
      <c r="AP761" s="82"/>
      <c r="AQ761" s="7"/>
      <c r="AR761" s="13"/>
      <c r="AS761" s="82"/>
      <c r="AT761" s="82"/>
      <c r="AU761" s="82"/>
      <c r="AV761" s="82"/>
      <c r="AW761" s="7"/>
      <c r="AX761" s="82"/>
      <c r="AY761" s="7"/>
      <c r="AZ761" s="7"/>
      <c r="BA761" s="7"/>
      <c r="BB761" s="7"/>
      <c r="BC761" s="7"/>
      <c r="BD761" s="7"/>
      <c r="BE761" s="7"/>
      <c r="BF761" s="7"/>
      <c r="BG761" s="7"/>
    </row>
    <row r="762">
      <c r="A762" s="39"/>
      <c r="B762" s="39"/>
      <c r="C762" s="7"/>
      <c r="D762" s="53"/>
      <c r="E762" s="7"/>
      <c r="F762" s="53"/>
      <c r="G762" s="16"/>
      <c r="H762" s="81"/>
      <c r="J762" s="39"/>
      <c r="K762" s="53"/>
      <c r="L762" s="90"/>
      <c r="M762" s="39"/>
      <c r="N762" s="327"/>
      <c r="O762" s="368"/>
      <c r="P762" s="82"/>
      <c r="Q762" s="82"/>
      <c r="R762" s="82"/>
      <c r="S762" s="81"/>
      <c r="T762" s="81"/>
      <c r="U762" s="39"/>
      <c r="V762" s="7"/>
      <c r="W762" s="7"/>
      <c r="X762" s="93"/>
      <c r="Y762" s="131"/>
      <c r="Z762" s="131"/>
      <c r="AA762" s="131"/>
      <c r="AB762" s="131"/>
      <c r="AC762" s="131"/>
      <c r="AD762" s="323"/>
      <c r="AE762" s="131"/>
      <c r="AF762" s="90"/>
      <c r="AG762" s="21"/>
      <c r="AH762" s="39"/>
      <c r="AI762" s="87"/>
      <c r="AJ762" s="81"/>
      <c r="AK762" s="90"/>
      <c r="AL762" s="81"/>
      <c r="AM762" s="39"/>
      <c r="AN762" s="82"/>
      <c r="AO762" s="82"/>
      <c r="AP762" s="82"/>
      <c r="AQ762" s="7"/>
      <c r="AR762" s="13"/>
      <c r="AS762" s="82"/>
      <c r="AT762" s="82"/>
      <c r="AU762" s="82"/>
      <c r="AV762" s="82"/>
      <c r="AW762" s="7"/>
      <c r="AX762" s="82"/>
      <c r="AY762" s="7"/>
      <c r="AZ762" s="7"/>
      <c r="BA762" s="7"/>
      <c r="BB762" s="7"/>
      <c r="BC762" s="7"/>
      <c r="BD762" s="7"/>
      <c r="BE762" s="7"/>
      <c r="BF762" s="7"/>
      <c r="BG762" s="7"/>
    </row>
    <row r="763">
      <c r="A763" s="39"/>
      <c r="B763" s="39"/>
      <c r="C763" s="7"/>
      <c r="D763" s="53"/>
      <c r="E763" s="7"/>
      <c r="F763" s="53"/>
      <c r="G763" s="16"/>
      <c r="H763" s="81"/>
      <c r="J763" s="39"/>
      <c r="K763" s="53"/>
      <c r="L763" s="90"/>
      <c r="M763" s="39"/>
      <c r="N763" s="327"/>
      <c r="O763" s="367"/>
      <c r="P763" s="82"/>
      <c r="Q763" s="82"/>
      <c r="R763" s="82"/>
      <c r="S763" s="81"/>
      <c r="T763" s="81"/>
      <c r="U763" s="39"/>
      <c r="V763" s="7"/>
      <c r="W763" s="7"/>
      <c r="X763" s="93"/>
      <c r="Y763" s="131"/>
      <c r="Z763" s="131"/>
      <c r="AA763" s="131"/>
      <c r="AB763" s="131"/>
      <c r="AC763" s="131"/>
      <c r="AD763" s="323"/>
      <c r="AE763" s="131"/>
      <c r="AF763" s="90"/>
      <c r="AG763" s="21"/>
      <c r="AH763" s="39"/>
      <c r="AI763" s="87"/>
      <c r="AJ763" s="81"/>
      <c r="AK763" s="90"/>
      <c r="AL763" s="81"/>
      <c r="AM763" s="39"/>
      <c r="AN763" s="82"/>
      <c r="AO763" s="82"/>
      <c r="AP763" s="82"/>
      <c r="AQ763" s="7"/>
      <c r="AR763" s="13"/>
      <c r="AS763" s="82"/>
      <c r="AT763" s="82"/>
      <c r="AU763" s="82"/>
      <c r="AV763" s="82"/>
      <c r="AW763" s="7"/>
      <c r="AX763" s="82"/>
      <c r="AY763" s="7"/>
      <c r="AZ763" s="7"/>
      <c r="BA763" s="7"/>
      <c r="BB763" s="7"/>
      <c r="BC763" s="7"/>
      <c r="BD763" s="7"/>
      <c r="BE763" s="7"/>
      <c r="BF763" s="7"/>
      <c r="BG763" s="7"/>
    </row>
    <row r="764">
      <c r="A764" s="39"/>
      <c r="B764" s="39"/>
      <c r="C764" s="7"/>
      <c r="D764" s="53"/>
      <c r="E764" s="7"/>
      <c r="F764" s="53"/>
      <c r="G764" s="16"/>
      <c r="H764" s="81"/>
      <c r="J764" s="39"/>
      <c r="K764" s="53"/>
      <c r="L764" s="90"/>
      <c r="M764" s="39"/>
      <c r="N764" s="327"/>
      <c r="O764" s="367"/>
      <c r="P764" s="82"/>
      <c r="Q764" s="82"/>
      <c r="R764" s="82"/>
      <c r="S764" s="81"/>
      <c r="T764" s="81"/>
      <c r="U764" s="39"/>
      <c r="V764" s="7"/>
      <c r="W764" s="7"/>
      <c r="X764" s="93"/>
      <c r="Y764" s="131"/>
      <c r="Z764" s="131"/>
      <c r="AA764" s="131"/>
      <c r="AB764" s="131"/>
      <c r="AC764" s="131"/>
      <c r="AD764" s="323"/>
      <c r="AE764" s="131"/>
      <c r="AF764" s="90"/>
      <c r="AG764" s="21"/>
      <c r="AH764" s="39"/>
      <c r="AI764" s="87"/>
      <c r="AJ764" s="81"/>
      <c r="AK764" s="90"/>
      <c r="AL764" s="81"/>
      <c r="AM764" s="39"/>
      <c r="AN764" s="82"/>
      <c r="AO764" s="82"/>
      <c r="AP764" s="82"/>
      <c r="AQ764" s="7"/>
      <c r="AR764" s="13"/>
      <c r="AS764" s="82"/>
      <c r="AT764" s="82"/>
      <c r="AU764" s="82"/>
      <c r="AV764" s="82"/>
      <c r="AW764" s="7"/>
      <c r="AX764" s="82"/>
      <c r="AY764" s="7"/>
      <c r="AZ764" s="7"/>
      <c r="BA764" s="7"/>
      <c r="BB764" s="7"/>
      <c r="BC764" s="7"/>
      <c r="BD764" s="7"/>
      <c r="BE764" s="7"/>
      <c r="BF764" s="7"/>
      <c r="BG764" s="7"/>
    </row>
    <row r="765">
      <c r="A765" s="39"/>
      <c r="B765" s="39"/>
      <c r="C765" s="7"/>
      <c r="D765" s="53"/>
      <c r="E765" s="7"/>
      <c r="F765" s="53"/>
      <c r="G765" s="16"/>
      <c r="H765" s="81"/>
      <c r="J765" s="39"/>
      <c r="K765" s="53"/>
      <c r="L765" s="90"/>
      <c r="M765" s="39"/>
      <c r="N765" s="327"/>
      <c r="O765" s="368"/>
      <c r="P765" s="7"/>
      <c r="Q765" s="7"/>
      <c r="R765" s="7"/>
      <c r="S765" s="81"/>
      <c r="T765" s="81"/>
      <c r="U765" s="39"/>
      <c r="V765" s="7"/>
      <c r="W765" s="7"/>
      <c r="X765" s="93"/>
      <c r="Y765" s="131"/>
      <c r="Z765" s="131"/>
      <c r="AA765" s="131"/>
      <c r="AB765" s="131"/>
      <c r="AC765" s="131"/>
      <c r="AD765" s="323"/>
      <c r="AE765" s="131"/>
      <c r="AF765" s="90"/>
      <c r="AG765" s="21"/>
      <c r="AH765" s="39"/>
      <c r="AI765" s="87"/>
      <c r="AJ765" s="81"/>
      <c r="AK765" s="90"/>
      <c r="AL765" s="81"/>
      <c r="AM765" s="39"/>
      <c r="AN765" s="82"/>
      <c r="AO765" s="82"/>
      <c r="AP765" s="82"/>
      <c r="AQ765" s="7"/>
      <c r="AR765" s="6"/>
      <c r="AS765" s="82"/>
      <c r="AT765" s="7"/>
      <c r="AU765" s="82"/>
      <c r="AV765" s="7"/>
      <c r="AW765" s="7"/>
      <c r="AX765" s="82"/>
      <c r="AY765" s="7"/>
      <c r="AZ765" s="7"/>
      <c r="BA765" s="7"/>
      <c r="BB765" s="7"/>
      <c r="BC765" s="7"/>
      <c r="BD765" s="7"/>
      <c r="BE765" s="7"/>
      <c r="BF765" s="7"/>
      <c r="BG765" s="7"/>
    </row>
    <row r="766">
      <c r="A766" s="39"/>
      <c r="B766" s="39"/>
      <c r="C766" s="7"/>
      <c r="D766" s="53"/>
      <c r="E766" s="7"/>
      <c r="F766" s="53"/>
      <c r="G766" s="16"/>
      <c r="H766" s="81"/>
      <c r="J766" s="39"/>
      <c r="K766" s="53"/>
      <c r="L766" s="90"/>
      <c r="M766" s="39"/>
      <c r="N766" s="327"/>
      <c r="O766" s="367"/>
      <c r="P766" s="7"/>
      <c r="Q766" s="7"/>
      <c r="R766" s="82"/>
      <c r="S766" s="81"/>
      <c r="T766" s="81"/>
      <c r="U766" s="39"/>
      <c r="V766" s="7"/>
      <c r="W766" s="7"/>
      <c r="X766" s="93"/>
      <c r="Y766" s="131"/>
      <c r="Z766" s="131"/>
      <c r="AA766" s="131"/>
      <c r="AB766" s="131"/>
      <c r="AC766" s="131"/>
      <c r="AD766" s="323"/>
      <c r="AE766" s="131"/>
      <c r="AF766" s="90"/>
      <c r="AG766" s="84"/>
      <c r="AH766" s="39"/>
      <c r="AI766" s="87"/>
      <c r="AJ766" s="81"/>
      <c r="AK766" s="90"/>
      <c r="AL766" s="81"/>
      <c r="AM766" s="31"/>
      <c r="AN766" s="82"/>
      <c r="AO766" s="82"/>
      <c r="AP766" s="82"/>
      <c r="AQ766" s="7"/>
      <c r="AR766" s="6"/>
      <c r="AS766" s="82"/>
      <c r="AT766" s="7"/>
      <c r="AU766" s="82"/>
      <c r="AV766" s="7"/>
      <c r="AW766" s="7"/>
      <c r="AX766" s="82"/>
      <c r="AY766" s="7"/>
      <c r="AZ766" s="7"/>
      <c r="BA766" s="7"/>
      <c r="BB766" s="7"/>
      <c r="BC766" s="7"/>
      <c r="BD766" s="7"/>
      <c r="BE766" s="7"/>
      <c r="BF766" s="7"/>
      <c r="BG766" s="7"/>
    </row>
    <row r="767">
      <c r="A767" s="39"/>
      <c r="B767" s="39"/>
      <c r="C767" s="7"/>
      <c r="D767" s="53"/>
      <c r="E767" s="7"/>
      <c r="F767" s="53"/>
      <c r="G767" s="16"/>
      <c r="H767" s="81"/>
      <c r="J767" s="39"/>
      <c r="K767" s="53"/>
      <c r="L767" s="90"/>
      <c r="M767" s="39"/>
      <c r="N767" s="327"/>
      <c r="O767" s="367"/>
      <c r="P767" s="82"/>
      <c r="Q767" s="82"/>
      <c r="R767" s="82"/>
      <c r="S767" s="81"/>
      <c r="T767" s="39"/>
      <c r="U767" s="39"/>
      <c r="V767" s="7"/>
      <c r="W767" s="7"/>
      <c r="X767" s="93"/>
      <c r="Y767" s="131"/>
      <c r="Z767" s="131"/>
      <c r="AA767" s="131"/>
      <c r="AB767" s="131"/>
      <c r="AC767" s="131"/>
      <c r="AD767" s="323"/>
      <c r="AE767" s="131"/>
      <c r="AF767" s="90"/>
      <c r="AG767" s="87"/>
      <c r="AH767" s="39"/>
      <c r="AI767" s="87"/>
      <c r="AJ767" s="81"/>
      <c r="AK767" s="90"/>
      <c r="AL767" s="81"/>
      <c r="AM767" s="31"/>
      <c r="AN767" s="82"/>
      <c r="AO767" s="82"/>
      <c r="AP767" s="82"/>
      <c r="AQ767" s="7"/>
      <c r="AR767" s="6"/>
      <c r="AS767" s="82"/>
      <c r="AT767" s="7"/>
      <c r="AU767" s="82"/>
      <c r="AV767" s="7"/>
      <c r="AW767" s="7"/>
      <c r="AX767" s="82"/>
      <c r="AY767" s="7"/>
      <c r="AZ767" s="7"/>
      <c r="BA767" s="7"/>
      <c r="BB767" s="7"/>
      <c r="BC767" s="7"/>
      <c r="BD767" s="7"/>
      <c r="BE767" s="7"/>
      <c r="BF767" s="7"/>
      <c r="BG767" s="7"/>
    </row>
    <row r="768">
      <c r="A768" s="39"/>
      <c r="B768" s="39"/>
      <c r="C768" s="7"/>
      <c r="D768" s="53"/>
      <c r="E768" s="7"/>
      <c r="F768" s="53"/>
      <c r="G768" s="16"/>
      <c r="H768" s="81"/>
      <c r="J768" s="39"/>
      <c r="K768" s="53"/>
      <c r="L768" s="90"/>
      <c r="M768" s="39"/>
      <c r="N768" s="327"/>
      <c r="O768" s="367"/>
      <c r="P768" s="82"/>
      <c r="Q768" s="82"/>
      <c r="R768" s="82"/>
      <c r="S768" s="81"/>
      <c r="T768" s="39"/>
      <c r="U768" s="39"/>
      <c r="V768" s="7"/>
      <c r="W768" s="7"/>
      <c r="X768" s="93"/>
      <c r="Y768" s="131"/>
      <c r="Z768" s="131"/>
      <c r="AA768" s="131"/>
      <c r="AB768" s="131"/>
      <c r="AC768" s="131"/>
      <c r="AD768" s="323"/>
      <c r="AE768" s="131"/>
      <c r="AF768" s="90"/>
      <c r="AG768" s="87"/>
      <c r="AH768" s="39"/>
      <c r="AI768" s="87"/>
      <c r="AJ768" s="81"/>
      <c r="AK768" s="90"/>
      <c r="AL768" s="81"/>
      <c r="AM768" s="31"/>
      <c r="AN768" s="82"/>
      <c r="AO768" s="82"/>
      <c r="AP768" s="82"/>
      <c r="AQ768" s="7"/>
      <c r="AR768" s="13"/>
      <c r="AS768" s="82"/>
      <c r="AT768" s="82"/>
      <c r="AU768" s="82"/>
      <c r="AV768" s="82"/>
      <c r="AW768" s="7"/>
      <c r="AX768" s="82"/>
      <c r="AY768" s="7"/>
      <c r="AZ768" s="7"/>
      <c r="BA768" s="7"/>
      <c r="BB768" s="7"/>
      <c r="BC768" s="7"/>
      <c r="BD768" s="7"/>
      <c r="BE768" s="7"/>
      <c r="BF768" s="7"/>
      <c r="BG768" s="7"/>
    </row>
    <row r="769">
      <c r="A769" s="39"/>
      <c r="B769" s="39"/>
      <c r="C769" s="7"/>
      <c r="D769" s="53"/>
      <c r="E769" s="7"/>
      <c r="F769" s="53"/>
      <c r="G769" s="16"/>
      <c r="H769" s="81"/>
      <c r="J769" s="39"/>
      <c r="K769" s="53"/>
      <c r="L769" s="90"/>
      <c r="M769" s="39"/>
      <c r="N769" s="327"/>
      <c r="O769" s="367"/>
      <c r="P769" s="7"/>
      <c r="Q769" s="7"/>
      <c r="R769" s="82"/>
      <c r="S769" s="81"/>
      <c r="T769" s="39"/>
      <c r="U769" s="39"/>
      <c r="V769" s="7"/>
      <c r="W769" s="7"/>
      <c r="X769" s="93"/>
      <c r="Y769" s="131"/>
      <c r="Z769" s="131"/>
      <c r="AA769" s="131"/>
      <c r="AB769" s="131"/>
      <c r="AC769" s="131"/>
      <c r="AD769" s="323"/>
      <c r="AE769" s="131"/>
      <c r="AF769" s="90"/>
      <c r="AG769" s="87"/>
      <c r="AH769" s="39"/>
      <c r="AI769" s="87"/>
      <c r="AJ769" s="81"/>
      <c r="AK769" s="90"/>
      <c r="AL769" s="81"/>
      <c r="AM769" s="31"/>
      <c r="AN769" s="82"/>
      <c r="AO769" s="82"/>
      <c r="AP769" s="82"/>
      <c r="AQ769" s="7"/>
      <c r="AR769" s="6"/>
      <c r="AS769" s="7"/>
      <c r="AT769" s="82"/>
      <c r="AU769" s="7"/>
      <c r="AV769" s="82"/>
      <c r="AW769" s="7"/>
      <c r="AX769" s="82"/>
      <c r="AY769" s="7"/>
      <c r="AZ769" s="7"/>
      <c r="BA769" s="7"/>
      <c r="BB769" s="7"/>
      <c r="BC769" s="7"/>
      <c r="BD769" s="7"/>
      <c r="BE769" s="7"/>
      <c r="BF769" s="7"/>
      <c r="BG769" s="7"/>
    </row>
    <row r="770">
      <c r="A770" s="39"/>
      <c r="B770" s="39"/>
      <c r="C770" s="7"/>
      <c r="D770" s="53"/>
      <c r="E770" s="7"/>
      <c r="F770" s="53"/>
      <c r="G770" s="16"/>
      <c r="H770" s="81"/>
      <c r="J770" s="39"/>
      <c r="K770" s="53"/>
      <c r="L770" s="90"/>
      <c r="M770" s="39"/>
      <c r="N770" s="327"/>
      <c r="O770" s="367"/>
      <c r="P770" s="82"/>
      <c r="Q770" s="82"/>
      <c r="R770" s="82"/>
      <c r="S770" s="81"/>
      <c r="T770" s="81"/>
      <c r="U770" s="39"/>
      <c r="V770" s="7"/>
      <c r="W770" s="7"/>
      <c r="X770" s="93"/>
      <c r="Y770" s="131"/>
      <c r="Z770" s="131"/>
      <c r="AA770" s="131"/>
      <c r="AB770" s="131"/>
      <c r="AC770" s="131"/>
      <c r="AD770" s="323"/>
      <c r="AE770" s="131"/>
      <c r="AF770" s="90"/>
      <c r="AG770" s="84"/>
      <c r="AH770" s="39"/>
      <c r="AI770" s="87"/>
      <c r="AJ770" s="81"/>
      <c r="AK770" s="90"/>
      <c r="AL770" s="81"/>
      <c r="AM770" s="31"/>
      <c r="AN770" s="82"/>
      <c r="AO770" s="82"/>
      <c r="AP770" s="82"/>
      <c r="AQ770" s="7"/>
      <c r="AR770" s="13"/>
      <c r="AS770" s="82"/>
      <c r="AT770" s="82"/>
      <c r="AU770" s="82"/>
      <c r="AV770" s="82"/>
      <c r="AW770" s="7"/>
      <c r="AX770" s="82"/>
      <c r="AY770" s="7"/>
      <c r="AZ770" s="7"/>
      <c r="BA770" s="7"/>
      <c r="BB770" s="7"/>
      <c r="BC770" s="7"/>
      <c r="BD770" s="7"/>
      <c r="BE770" s="7"/>
      <c r="BF770" s="7"/>
      <c r="BG770" s="7"/>
    </row>
    <row r="771">
      <c r="A771" s="39"/>
      <c r="B771" s="39"/>
      <c r="C771" s="7"/>
      <c r="D771" s="53"/>
      <c r="E771" s="7"/>
      <c r="F771" s="53"/>
      <c r="G771" s="16"/>
      <c r="H771" s="81"/>
      <c r="J771" s="39"/>
      <c r="K771" s="53"/>
      <c r="L771" s="90"/>
      <c r="M771" s="39"/>
      <c r="N771" s="327"/>
      <c r="O771" s="367"/>
      <c r="P771" s="82"/>
      <c r="Q771" s="82"/>
      <c r="R771" s="82"/>
      <c r="S771" s="81"/>
      <c r="T771" s="81"/>
      <c r="U771" s="39"/>
      <c r="V771" s="7"/>
      <c r="W771" s="7"/>
      <c r="X771" s="93"/>
      <c r="Y771" s="131"/>
      <c r="Z771" s="131"/>
      <c r="AA771" s="131"/>
      <c r="AB771" s="131"/>
      <c r="AC771" s="131"/>
      <c r="AD771" s="323"/>
      <c r="AE771" s="131"/>
      <c r="AF771" s="90"/>
      <c r="AG771" s="87"/>
      <c r="AH771" s="39"/>
      <c r="AI771" s="87"/>
      <c r="AJ771" s="81"/>
      <c r="AK771" s="90"/>
      <c r="AL771" s="81"/>
      <c r="AM771" s="39"/>
      <c r="AN771" s="82"/>
      <c r="AO771" s="82"/>
      <c r="AP771" s="82"/>
      <c r="AQ771" s="7"/>
      <c r="AR771" s="13"/>
      <c r="AS771" s="82"/>
      <c r="AT771" s="82"/>
      <c r="AU771" s="82"/>
      <c r="AV771" s="82"/>
      <c r="AW771" s="7"/>
      <c r="AX771" s="82"/>
      <c r="AY771" s="7"/>
      <c r="AZ771" s="7"/>
      <c r="BA771" s="7"/>
      <c r="BB771" s="7"/>
      <c r="BC771" s="7"/>
      <c r="BD771" s="7"/>
      <c r="BE771" s="7"/>
      <c r="BF771" s="7"/>
      <c r="BG771" s="7"/>
    </row>
    <row r="772">
      <c r="A772" s="39"/>
      <c r="B772" s="39"/>
      <c r="C772" s="7"/>
      <c r="D772" s="53"/>
      <c r="E772" s="7"/>
      <c r="F772" s="53"/>
      <c r="G772" s="16"/>
      <c r="H772" s="81"/>
      <c r="J772" s="39"/>
      <c r="K772" s="53"/>
      <c r="L772" s="90"/>
      <c r="M772" s="39"/>
      <c r="N772" s="327"/>
      <c r="O772" s="367"/>
      <c r="P772" s="82"/>
      <c r="Q772" s="82"/>
      <c r="R772" s="82"/>
      <c r="S772" s="81"/>
      <c r="T772" s="81"/>
      <c r="U772" s="39"/>
      <c r="V772" s="7"/>
      <c r="W772" s="7"/>
      <c r="X772" s="93"/>
      <c r="Y772" s="131"/>
      <c r="Z772" s="131"/>
      <c r="AA772" s="131"/>
      <c r="AB772" s="131"/>
      <c r="AC772" s="131"/>
      <c r="AD772" s="323"/>
      <c r="AE772" s="131"/>
      <c r="AF772" s="90"/>
      <c r="AG772" s="87"/>
      <c r="AH772" s="39"/>
      <c r="AI772" s="87"/>
      <c r="AJ772" s="81"/>
      <c r="AK772" s="90"/>
      <c r="AL772" s="81"/>
      <c r="AM772" s="39"/>
      <c r="AN772" s="82"/>
      <c r="AO772" s="82"/>
      <c r="AP772" s="82"/>
      <c r="AQ772" s="7"/>
      <c r="AR772" s="13"/>
      <c r="AS772" s="82"/>
      <c r="AT772" s="82"/>
      <c r="AU772" s="82"/>
      <c r="AV772" s="82"/>
      <c r="AW772" s="7"/>
      <c r="AX772" s="82"/>
      <c r="AY772" s="7"/>
      <c r="AZ772" s="7"/>
      <c r="BA772" s="7"/>
      <c r="BB772" s="7"/>
      <c r="BC772" s="7"/>
      <c r="BD772" s="7"/>
      <c r="BE772" s="7"/>
      <c r="BF772" s="7"/>
      <c r="BG772" s="7"/>
    </row>
    <row r="773">
      <c r="A773" s="39"/>
      <c r="B773" s="39"/>
      <c r="C773" s="7"/>
      <c r="D773" s="53"/>
      <c r="E773" s="7"/>
      <c r="F773" s="53"/>
      <c r="G773" s="16"/>
      <c r="H773" s="81"/>
      <c r="J773" s="39"/>
      <c r="K773" s="53"/>
      <c r="L773" s="90"/>
      <c r="M773" s="39"/>
      <c r="N773" s="327"/>
      <c r="O773" s="367"/>
      <c r="P773" s="82"/>
      <c r="Q773" s="82"/>
      <c r="R773" s="82"/>
      <c r="S773" s="81"/>
      <c r="T773" s="81"/>
      <c r="U773" s="39"/>
      <c r="V773" s="7"/>
      <c r="W773" s="7"/>
      <c r="X773" s="93"/>
      <c r="Y773" s="131"/>
      <c r="Z773" s="131"/>
      <c r="AA773" s="131"/>
      <c r="AB773" s="131"/>
      <c r="AC773" s="131"/>
      <c r="AD773" s="323"/>
      <c r="AE773" s="131"/>
      <c r="AF773" s="90"/>
      <c r="AG773" s="87"/>
      <c r="AH773" s="39"/>
      <c r="AI773" s="87"/>
      <c r="AJ773" s="81"/>
      <c r="AK773" s="90"/>
      <c r="AL773" s="81"/>
      <c r="AM773" s="39"/>
      <c r="AN773" s="82"/>
      <c r="AO773" s="82"/>
      <c r="AP773" s="82"/>
      <c r="AQ773" s="7"/>
      <c r="AR773" s="13"/>
      <c r="AS773" s="82"/>
      <c r="AT773" s="82"/>
      <c r="AU773" s="82"/>
      <c r="AV773" s="82"/>
      <c r="AW773" s="7"/>
      <c r="AX773" s="82"/>
      <c r="AY773" s="7"/>
      <c r="AZ773" s="7"/>
      <c r="BA773" s="7"/>
      <c r="BB773" s="7"/>
      <c r="BC773" s="7"/>
      <c r="BD773" s="7"/>
      <c r="BE773" s="7"/>
      <c r="BF773" s="7"/>
      <c r="BG773" s="7"/>
    </row>
    <row r="774">
      <c r="A774" s="39"/>
      <c r="B774" s="39"/>
      <c r="C774" s="7"/>
      <c r="D774" s="53"/>
      <c r="E774" s="7"/>
      <c r="F774" s="53"/>
      <c r="G774" s="16"/>
      <c r="H774" s="81"/>
      <c r="J774" s="39"/>
      <c r="K774" s="53"/>
      <c r="L774" s="90"/>
      <c r="M774" s="39"/>
      <c r="N774" s="327"/>
      <c r="O774" s="367"/>
      <c r="P774" s="82"/>
      <c r="Q774" s="82"/>
      <c r="R774" s="82"/>
      <c r="S774" s="81"/>
      <c r="T774" s="16"/>
      <c r="U774" s="39"/>
      <c r="V774" s="7"/>
      <c r="W774" s="7"/>
      <c r="X774" s="93"/>
      <c r="Y774" s="131"/>
      <c r="Z774" s="131"/>
      <c r="AA774" s="131"/>
      <c r="AB774" s="131"/>
      <c r="AC774" s="131"/>
      <c r="AD774" s="323"/>
      <c r="AE774" s="131"/>
      <c r="AF774" s="90"/>
      <c r="AG774" s="87"/>
      <c r="AH774" s="39"/>
      <c r="AI774" s="87"/>
      <c r="AJ774" s="81"/>
      <c r="AK774" s="90"/>
      <c r="AL774" s="81"/>
      <c r="AM774" s="39"/>
      <c r="AN774" s="82"/>
      <c r="AO774" s="82"/>
      <c r="AP774" s="82"/>
      <c r="AQ774" s="7"/>
      <c r="AR774" s="6"/>
      <c r="AS774" s="7"/>
      <c r="AT774" s="7"/>
      <c r="AU774" s="82"/>
      <c r="AV774" s="7"/>
      <c r="AW774" s="7"/>
      <c r="AX774" s="82"/>
      <c r="AY774" s="7"/>
      <c r="AZ774" s="7"/>
      <c r="BA774" s="7"/>
      <c r="BB774" s="7"/>
      <c r="BC774" s="7"/>
      <c r="BD774" s="7"/>
      <c r="BE774" s="7"/>
      <c r="BF774" s="7"/>
      <c r="BG774" s="7"/>
    </row>
    <row r="775">
      <c r="A775" s="39"/>
      <c r="B775" s="39"/>
      <c r="C775" s="7"/>
      <c r="D775" s="53"/>
      <c r="E775" s="7"/>
      <c r="F775" s="53"/>
      <c r="G775" s="16"/>
      <c r="H775" s="81"/>
      <c r="J775" s="39"/>
      <c r="K775" s="53"/>
      <c r="L775" s="90"/>
      <c r="M775" s="39"/>
      <c r="N775" s="327"/>
      <c r="O775" s="368"/>
      <c r="P775" s="82"/>
      <c r="Q775" s="82"/>
      <c r="R775" s="82"/>
      <c r="S775" s="81"/>
      <c r="T775" s="16"/>
      <c r="U775" s="39"/>
      <c r="V775" s="7"/>
      <c r="W775" s="7"/>
      <c r="X775" s="93"/>
      <c r="Y775" s="131"/>
      <c r="Z775" s="131"/>
      <c r="AA775" s="131"/>
      <c r="AB775" s="131"/>
      <c r="AC775" s="131"/>
      <c r="AD775" s="323"/>
      <c r="AE775" s="131"/>
      <c r="AF775" s="90"/>
      <c r="AG775" s="87"/>
      <c r="AH775" s="39"/>
      <c r="AI775" s="87"/>
      <c r="AJ775" s="81"/>
      <c r="AK775" s="90"/>
      <c r="AL775" s="81"/>
      <c r="AM775" s="39"/>
      <c r="AN775" s="82"/>
      <c r="AO775" s="82"/>
      <c r="AP775" s="82"/>
      <c r="AQ775" s="7"/>
      <c r="AR775" s="6"/>
      <c r="AS775" s="7"/>
      <c r="AT775" s="7"/>
      <c r="AU775" s="7"/>
      <c r="AV775" s="7"/>
      <c r="AW775" s="7"/>
      <c r="AX775" s="82"/>
      <c r="AY775" s="7"/>
      <c r="AZ775" s="7"/>
      <c r="BA775" s="7"/>
      <c r="BB775" s="7"/>
      <c r="BC775" s="7"/>
      <c r="BD775" s="7"/>
      <c r="BE775" s="7"/>
      <c r="BF775" s="7"/>
      <c r="BG775" s="7"/>
    </row>
    <row r="776">
      <c r="A776" s="39"/>
      <c r="B776" s="39"/>
      <c r="C776" s="7"/>
      <c r="D776" s="53"/>
      <c r="E776" s="7"/>
      <c r="F776" s="53"/>
      <c r="G776" s="16"/>
      <c r="H776" s="81"/>
      <c r="J776" s="39"/>
      <c r="K776" s="53"/>
      <c r="L776" s="90"/>
      <c r="M776" s="39"/>
      <c r="N776" s="327"/>
      <c r="O776" s="367"/>
      <c r="P776" s="82"/>
      <c r="Q776" s="82"/>
      <c r="R776" s="82"/>
      <c r="S776" s="81"/>
      <c r="T776" s="16"/>
      <c r="U776" s="39"/>
      <c r="V776" s="7"/>
      <c r="W776" s="7"/>
      <c r="X776" s="93"/>
      <c r="Y776" s="131"/>
      <c r="Z776" s="131"/>
      <c r="AA776" s="131"/>
      <c r="AB776" s="131"/>
      <c r="AC776" s="131"/>
      <c r="AD776" s="323"/>
      <c r="AE776" s="131"/>
      <c r="AF776" s="90"/>
      <c r="AG776" s="87"/>
      <c r="AH776" s="39"/>
      <c r="AI776" s="87"/>
      <c r="AJ776" s="81"/>
      <c r="AK776" s="90"/>
      <c r="AL776" s="81"/>
      <c r="AM776" s="39"/>
      <c r="AN776" s="82"/>
      <c r="AO776" s="82"/>
      <c r="AP776" s="82"/>
      <c r="AQ776" s="7"/>
      <c r="AR776" s="13"/>
      <c r="AS776" s="82"/>
      <c r="AT776" s="82"/>
      <c r="AU776" s="82"/>
      <c r="AV776" s="82"/>
      <c r="AW776" s="7"/>
      <c r="AX776" s="82"/>
      <c r="AY776" s="7"/>
      <c r="AZ776" s="7"/>
      <c r="BA776" s="7"/>
      <c r="BB776" s="7"/>
      <c r="BC776" s="7"/>
      <c r="BD776" s="7"/>
      <c r="BE776" s="7"/>
      <c r="BF776" s="7"/>
      <c r="BG776" s="7"/>
    </row>
    <row r="777">
      <c r="A777" s="39"/>
      <c r="B777" s="39"/>
      <c r="C777" s="7"/>
      <c r="D777" s="53"/>
      <c r="E777" s="7"/>
      <c r="F777" s="53"/>
      <c r="G777" s="16"/>
      <c r="H777" s="81"/>
      <c r="J777" s="39"/>
      <c r="K777" s="53"/>
      <c r="L777" s="90"/>
      <c r="M777" s="39"/>
      <c r="N777" s="327"/>
      <c r="O777" s="367"/>
      <c r="P777" s="82"/>
      <c r="Q777" s="82"/>
      <c r="R777" s="82"/>
      <c r="S777" s="81"/>
      <c r="T777" s="16"/>
      <c r="U777" s="39"/>
      <c r="V777" s="7"/>
      <c r="W777" s="7"/>
      <c r="X777" s="93"/>
      <c r="Y777" s="131"/>
      <c r="Z777" s="131"/>
      <c r="AA777" s="131"/>
      <c r="AB777" s="131"/>
      <c r="AC777" s="131"/>
      <c r="AD777" s="323"/>
      <c r="AE777" s="131"/>
      <c r="AF777" s="90"/>
      <c r="AG777" s="87"/>
      <c r="AH777" s="39"/>
      <c r="AI777" s="87"/>
      <c r="AJ777" s="81"/>
      <c r="AK777" s="90"/>
      <c r="AL777" s="81"/>
      <c r="AM777" s="39"/>
      <c r="AN777" s="82"/>
      <c r="AO777" s="82"/>
      <c r="AP777" s="82"/>
      <c r="AQ777" s="7"/>
      <c r="AR777" s="13"/>
      <c r="AS777" s="82"/>
      <c r="AT777" s="82"/>
      <c r="AU777" s="82"/>
      <c r="AV777" s="82"/>
      <c r="AW777" s="7"/>
      <c r="AX777" s="82"/>
      <c r="AY777" s="7"/>
      <c r="AZ777" s="7"/>
      <c r="BA777" s="7"/>
      <c r="BB777" s="7"/>
      <c r="BC777" s="7"/>
      <c r="BD777" s="7"/>
      <c r="BE777" s="7"/>
      <c r="BF777" s="7"/>
      <c r="BG777" s="7"/>
    </row>
    <row r="778">
      <c r="A778" s="39"/>
      <c r="B778" s="39"/>
      <c r="C778" s="7"/>
      <c r="D778" s="53"/>
      <c r="E778" s="7"/>
      <c r="F778" s="53"/>
      <c r="G778" s="16"/>
      <c r="H778" s="81"/>
      <c r="J778" s="39"/>
      <c r="K778" s="53"/>
      <c r="L778" s="90"/>
      <c r="M778" s="39"/>
      <c r="N778" s="327"/>
      <c r="O778" s="367"/>
      <c r="P778" s="82"/>
      <c r="Q778" s="82"/>
      <c r="R778" s="82"/>
      <c r="S778" s="81"/>
      <c r="T778" s="16"/>
      <c r="U778" s="39"/>
      <c r="V778" s="7"/>
      <c r="W778" s="7"/>
      <c r="X778" s="93"/>
      <c r="Y778" s="131"/>
      <c r="Z778" s="131"/>
      <c r="AA778" s="131"/>
      <c r="AB778" s="131"/>
      <c r="AC778" s="131"/>
      <c r="AD778" s="323"/>
      <c r="AE778" s="131"/>
      <c r="AF778" s="90"/>
      <c r="AG778" s="87"/>
      <c r="AH778" s="39"/>
      <c r="AI778" s="87"/>
      <c r="AJ778" s="81"/>
      <c r="AK778" s="90"/>
      <c r="AL778" s="81"/>
      <c r="AM778" s="39"/>
      <c r="AN778" s="82"/>
      <c r="AO778" s="82"/>
      <c r="AP778" s="82"/>
      <c r="AQ778" s="7"/>
      <c r="AR778" s="13"/>
      <c r="AS778" s="82"/>
      <c r="AT778" s="82"/>
      <c r="AU778" s="82"/>
      <c r="AV778" s="82"/>
      <c r="AW778" s="7"/>
      <c r="AX778" s="82"/>
      <c r="AY778" s="7"/>
      <c r="AZ778" s="7"/>
      <c r="BA778" s="7"/>
      <c r="BB778" s="7"/>
      <c r="BC778" s="7"/>
      <c r="BD778" s="7"/>
      <c r="BE778" s="7"/>
      <c r="BF778" s="7"/>
      <c r="BG778" s="7"/>
    </row>
    <row r="779">
      <c r="A779" s="39"/>
      <c r="B779" s="39"/>
      <c r="C779" s="7"/>
      <c r="D779" s="53"/>
      <c r="E779" s="7"/>
      <c r="F779" s="53"/>
      <c r="G779" s="16"/>
      <c r="H779" s="81"/>
      <c r="J779" s="39"/>
      <c r="K779" s="53"/>
      <c r="L779" s="90"/>
      <c r="M779" s="39"/>
      <c r="N779" s="327"/>
      <c r="O779" s="367"/>
      <c r="P779" s="82"/>
      <c r="Q779" s="82"/>
      <c r="R779" s="82"/>
      <c r="S779" s="81"/>
      <c r="T779" s="16"/>
      <c r="U779" s="39"/>
      <c r="V779" s="7"/>
      <c r="W779" s="7"/>
      <c r="X779" s="93"/>
      <c r="Y779" s="131"/>
      <c r="Z779" s="131"/>
      <c r="AA779" s="131"/>
      <c r="AB779" s="131"/>
      <c r="AC779" s="131"/>
      <c r="AD779" s="323"/>
      <c r="AE779" s="131"/>
      <c r="AF779" s="90"/>
      <c r="AG779" s="87"/>
      <c r="AH779" s="39"/>
      <c r="AI779" s="87"/>
      <c r="AJ779" s="81"/>
      <c r="AK779" s="90"/>
      <c r="AL779" s="81"/>
      <c r="AM779" s="39"/>
      <c r="AN779" s="82"/>
      <c r="AO779" s="82"/>
      <c r="AP779" s="82"/>
      <c r="AQ779" s="7"/>
      <c r="AR779" s="13"/>
      <c r="AS779" s="82"/>
      <c r="AT779" s="82"/>
      <c r="AU779" s="82"/>
      <c r="AV779" s="82"/>
      <c r="AW779" s="7"/>
      <c r="AX779" s="82"/>
      <c r="AY779" s="7"/>
      <c r="AZ779" s="7"/>
      <c r="BA779" s="7"/>
      <c r="BB779" s="7"/>
      <c r="BC779" s="7"/>
      <c r="BD779" s="7"/>
      <c r="BE779" s="7"/>
      <c r="BF779" s="7"/>
      <c r="BG779" s="7"/>
    </row>
    <row r="780">
      <c r="A780" s="39"/>
      <c r="B780" s="39"/>
      <c r="C780" s="7"/>
      <c r="D780" s="53"/>
      <c r="E780" s="7"/>
      <c r="F780" s="53"/>
      <c r="G780" s="16"/>
      <c r="H780" s="81"/>
      <c r="J780" s="39"/>
      <c r="K780" s="53"/>
      <c r="L780" s="90"/>
      <c r="M780" s="39"/>
      <c r="N780" s="327"/>
      <c r="O780" s="367"/>
      <c r="P780" s="82"/>
      <c r="Q780" s="82"/>
      <c r="R780" s="82"/>
      <c r="S780" s="81"/>
      <c r="T780" s="16"/>
      <c r="U780" s="39"/>
      <c r="V780" s="7"/>
      <c r="W780" s="7"/>
      <c r="X780" s="93"/>
      <c r="Y780" s="131"/>
      <c r="Z780" s="131"/>
      <c r="AA780" s="131"/>
      <c r="AB780" s="131"/>
      <c r="AC780" s="131"/>
      <c r="AD780" s="323"/>
      <c r="AE780" s="131"/>
      <c r="AF780" s="90"/>
      <c r="AG780" s="87"/>
      <c r="AH780" s="39"/>
      <c r="AI780" s="87"/>
      <c r="AJ780" s="81"/>
      <c r="AK780" s="90"/>
      <c r="AL780" s="81"/>
      <c r="AM780" s="39"/>
      <c r="AN780" s="82"/>
      <c r="AO780" s="82"/>
      <c r="AP780" s="82"/>
      <c r="AQ780" s="7"/>
      <c r="AR780" s="13"/>
      <c r="AS780" s="82"/>
      <c r="AT780" s="82"/>
      <c r="AU780" s="82"/>
      <c r="AV780" s="82"/>
      <c r="AW780" s="7"/>
      <c r="AX780" s="82"/>
      <c r="AY780" s="7"/>
      <c r="AZ780" s="7"/>
      <c r="BA780" s="7"/>
      <c r="BB780" s="7"/>
      <c r="BC780" s="7"/>
      <c r="BD780" s="7"/>
      <c r="BE780" s="7"/>
      <c r="BF780" s="7"/>
      <c r="BG780" s="7"/>
    </row>
    <row r="781">
      <c r="A781" s="39"/>
      <c r="B781" s="39"/>
      <c r="C781" s="7"/>
      <c r="D781" s="53"/>
      <c r="E781" s="7"/>
      <c r="F781" s="53"/>
      <c r="G781" s="16"/>
      <c r="H781" s="81"/>
      <c r="J781" s="39"/>
      <c r="K781" s="53"/>
      <c r="L781" s="90"/>
      <c r="M781" s="39"/>
      <c r="N781" s="327"/>
      <c r="O781" s="367"/>
      <c r="P781" s="82"/>
      <c r="Q781" s="82"/>
      <c r="R781" s="82"/>
      <c r="S781" s="81"/>
      <c r="T781" s="16"/>
      <c r="U781" s="39"/>
      <c r="V781" s="7"/>
      <c r="W781" s="7"/>
      <c r="X781" s="93"/>
      <c r="Y781" s="131"/>
      <c r="Z781" s="131"/>
      <c r="AA781" s="131"/>
      <c r="AB781" s="131"/>
      <c r="AC781" s="131"/>
      <c r="AD781" s="323"/>
      <c r="AE781" s="131"/>
      <c r="AF781" s="90"/>
      <c r="AG781" s="87"/>
      <c r="AH781" s="39"/>
      <c r="AI781" s="87"/>
      <c r="AJ781" s="81"/>
      <c r="AK781" s="90"/>
      <c r="AL781" s="81"/>
      <c r="AM781" s="39"/>
      <c r="AN781" s="82"/>
      <c r="AO781" s="82"/>
      <c r="AP781" s="82"/>
      <c r="AQ781" s="7"/>
      <c r="AR781" s="13"/>
      <c r="AS781" s="82"/>
      <c r="AT781" s="82"/>
      <c r="AU781" s="82"/>
      <c r="AV781" s="82"/>
      <c r="AW781" s="7"/>
      <c r="AX781" s="82"/>
      <c r="AY781" s="7"/>
      <c r="AZ781" s="7"/>
      <c r="BA781" s="7"/>
      <c r="BB781" s="7"/>
      <c r="BC781" s="7"/>
      <c r="BD781" s="7"/>
      <c r="BE781" s="7"/>
      <c r="BF781" s="7"/>
      <c r="BG781" s="7"/>
    </row>
    <row r="782">
      <c r="A782" s="39"/>
      <c r="B782" s="39"/>
      <c r="C782" s="7"/>
      <c r="D782" s="53"/>
      <c r="E782" s="7"/>
      <c r="F782" s="53"/>
      <c r="G782" s="16"/>
      <c r="H782" s="81"/>
      <c r="J782" s="39"/>
      <c r="K782" s="53"/>
      <c r="L782" s="90"/>
      <c r="M782" s="39"/>
      <c r="N782" s="327"/>
      <c r="O782" s="368"/>
      <c r="P782" s="82"/>
      <c r="Q782" s="82"/>
      <c r="R782" s="82"/>
      <c r="S782" s="81"/>
      <c r="T782" s="16"/>
      <c r="U782" s="39"/>
      <c r="V782" s="7"/>
      <c r="W782" s="7"/>
      <c r="X782" s="93"/>
      <c r="Y782" s="131"/>
      <c r="Z782" s="131"/>
      <c r="AA782" s="131"/>
      <c r="AB782" s="131"/>
      <c r="AC782" s="131"/>
      <c r="AD782" s="323"/>
      <c r="AE782" s="131"/>
      <c r="AF782" s="90"/>
      <c r="AG782" s="87"/>
      <c r="AH782" s="39"/>
      <c r="AI782" s="87"/>
      <c r="AJ782" s="81"/>
      <c r="AK782" s="90"/>
      <c r="AL782" s="81"/>
      <c r="AM782" s="39"/>
      <c r="AN782" s="82"/>
      <c r="AO782" s="82"/>
      <c r="AP782" s="82"/>
      <c r="AQ782" s="7"/>
      <c r="AR782" s="13"/>
      <c r="AS782" s="82"/>
      <c r="AT782" s="82"/>
      <c r="AU782" s="82"/>
      <c r="AV782" s="82"/>
      <c r="AW782" s="7"/>
      <c r="AX782" s="82"/>
      <c r="AY782" s="7"/>
      <c r="AZ782" s="7"/>
      <c r="BA782" s="7"/>
      <c r="BB782" s="7"/>
      <c r="BC782" s="7"/>
      <c r="BD782" s="7"/>
      <c r="BE782" s="7"/>
      <c r="BF782" s="7"/>
      <c r="BG782" s="7"/>
    </row>
    <row r="783">
      <c r="A783" s="39"/>
      <c r="B783" s="39"/>
      <c r="C783" s="7"/>
      <c r="D783" s="53"/>
      <c r="E783" s="7"/>
      <c r="F783" s="53"/>
      <c r="G783" s="16"/>
      <c r="H783" s="81"/>
      <c r="J783" s="39"/>
      <c r="K783" s="53"/>
      <c r="L783" s="90"/>
      <c r="M783" s="39"/>
      <c r="N783" s="327"/>
      <c r="O783" s="367"/>
      <c r="P783" s="82"/>
      <c r="Q783" s="82"/>
      <c r="R783" s="82"/>
      <c r="S783" s="81"/>
      <c r="T783" s="16"/>
      <c r="U783" s="39"/>
      <c r="V783" s="7"/>
      <c r="W783" s="7"/>
      <c r="X783" s="93"/>
      <c r="Y783" s="131"/>
      <c r="Z783" s="131"/>
      <c r="AA783" s="131"/>
      <c r="AB783" s="131"/>
      <c r="AC783" s="131"/>
      <c r="AD783" s="323"/>
      <c r="AE783" s="131"/>
      <c r="AF783" s="90"/>
      <c r="AG783" s="87"/>
      <c r="AH783" s="39"/>
      <c r="AI783" s="87"/>
      <c r="AJ783" s="81"/>
      <c r="AK783" s="90"/>
      <c r="AL783" s="81"/>
      <c r="AM783" s="39"/>
      <c r="AN783" s="82"/>
      <c r="AO783" s="82"/>
      <c r="AP783" s="82"/>
      <c r="AQ783" s="7"/>
      <c r="AR783" s="13"/>
      <c r="AS783" s="82"/>
      <c r="AT783" s="82"/>
      <c r="AU783" s="82"/>
      <c r="AV783" s="82"/>
      <c r="AW783" s="7"/>
      <c r="AX783" s="82"/>
      <c r="AY783" s="7"/>
      <c r="AZ783" s="7"/>
      <c r="BA783" s="7"/>
      <c r="BB783" s="7"/>
      <c r="BC783" s="7"/>
      <c r="BD783" s="7"/>
      <c r="BE783" s="7"/>
      <c r="BF783" s="7"/>
      <c r="BG783" s="7"/>
    </row>
    <row r="784">
      <c r="A784" s="39"/>
      <c r="B784" s="39"/>
      <c r="C784" s="7"/>
      <c r="D784" s="53"/>
      <c r="E784" s="7"/>
      <c r="F784" s="53"/>
      <c r="G784" s="16"/>
      <c r="H784" s="16"/>
      <c r="J784" s="39"/>
      <c r="K784" s="53"/>
      <c r="L784" s="90"/>
      <c r="M784" s="39"/>
      <c r="N784" s="327"/>
      <c r="O784" s="367"/>
      <c r="P784" s="82"/>
      <c r="Q784" s="82"/>
      <c r="R784" s="82"/>
      <c r="S784" s="16"/>
      <c r="T784" s="16"/>
      <c r="U784" s="39"/>
      <c r="V784" s="7"/>
      <c r="W784" s="7"/>
      <c r="X784" s="93"/>
      <c r="Y784" s="131"/>
      <c r="Z784" s="131"/>
      <c r="AA784" s="131"/>
      <c r="AB784" s="85"/>
      <c r="AC784" s="85"/>
      <c r="AD784" s="325"/>
      <c r="AE784" s="85"/>
      <c r="AF784" s="90"/>
      <c r="AG784" s="87"/>
      <c r="AH784" s="39"/>
      <c r="AI784" s="87"/>
      <c r="AJ784" s="81"/>
      <c r="AK784" s="90"/>
      <c r="AL784" s="81"/>
      <c r="AM784" s="39"/>
      <c r="AN784" s="82"/>
      <c r="AO784" s="82"/>
      <c r="AP784" s="82"/>
      <c r="AQ784" s="7"/>
      <c r="AR784" s="13"/>
      <c r="AS784" s="82"/>
      <c r="AT784" s="82"/>
      <c r="AU784" s="82"/>
      <c r="AV784" s="82"/>
      <c r="AW784" s="7"/>
      <c r="AX784" s="82"/>
      <c r="AY784" s="7"/>
      <c r="AZ784" s="7"/>
      <c r="BA784" s="7"/>
      <c r="BB784" s="7"/>
      <c r="BC784" s="7"/>
      <c r="BD784" s="7"/>
      <c r="BE784" s="7"/>
      <c r="BF784" s="7"/>
      <c r="BG784" s="7"/>
    </row>
    <row r="785">
      <c r="A785" s="39"/>
      <c r="B785" s="39"/>
      <c r="C785" s="7"/>
      <c r="D785" s="53"/>
      <c r="E785" s="7"/>
      <c r="F785" s="53"/>
      <c r="G785" s="16"/>
      <c r="H785" s="16"/>
      <c r="J785" s="39"/>
      <c r="K785" s="53"/>
      <c r="L785" s="90"/>
      <c r="M785" s="39"/>
      <c r="N785" s="327"/>
      <c r="O785" s="322"/>
      <c r="P785" s="82"/>
      <c r="Q785" s="82"/>
      <c r="R785" s="82"/>
      <c r="S785" s="16"/>
      <c r="T785" s="16"/>
      <c r="U785" s="39"/>
      <c r="V785" s="7"/>
      <c r="W785" s="7"/>
      <c r="X785" s="93"/>
      <c r="Y785" s="131"/>
      <c r="Z785" s="131"/>
      <c r="AA785" s="131"/>
      <c r="AB785" s="85"/>
      <c r="AC785" s="85"/>
      <c r="AD785" s="325"/>
      <c r="AE785" s="85"/>
      <c r="AF785" s="90"/>
      <c r="AG785" s="87"/>
      <c r="AH785" s="39"/>
      <c r="AI785" s="87"/>
      <c r="AJ785" s="81"/>
      <c r="AK785" s="90"/>
      <c r="AL785" s="81"/>
      <c r="AM785" s="39"/>
      <c r="AN785" s="82"/>
      <c r="AO785" s="82"/>
      <c r="AP785" s="82"/>
      <c r="AQ785" s="7"/>
      <c r="AR785" s="13"/>
      <c r="AS785" s="82"/>
      <c r="AT785" s="82"/>
      <c r="AU785" s="82"/>
      <c r="AV785" s="82"/>
      <c r="AW785" s="7"/>
      <c r="AX785" s="82"/>
      <c r="AY785" s="7"/>
      <c r="AZ785" s="7"/>
      <c r="BA785" s="7"/>
      <c r="BB785" s="7"/>
      <c r="BC785" s="7"/>
      <c r="BD785" s="7"/>
      <c r="BE785" s="7"/>
      <c r="BF785" s="7"/>
      <c r="BG785" s="7"/>
    </row>
    <row r="786">
      <c r="A786" s="39"/>
      <c r="B786" s="39"/>
      <c r="C786" s="7"/>
      <c r="D786" s="53"/>
      <c r="E786" s="7"/>
      <c r="F786" s="53"/>
      <c r="G786" s="16"/>
      <c r="H786" s="16"/>
      <c r="J786" s="39"/>
      <c r="K786" s="53"/>
      <c r="L786" s="90"/>
      <c r="M786" s="39"/>
      <c r="N786" s="327"/>
      <c r="O786" s="322"/>
      <c r="P786" s="82"/>
      <c r="Q786" s="82"/>
      <c r="R786" s="82"/>
      <c r="S786" s="16"/>
      <c r="T786" s="16"/>
      <c r="U786" s="39"/>
      <c r="V786" s="7"/>
      <c r="W786" s="7"/>
      <c r="X786" s="93"/>
      <c r="Y786" s="131"/>
      <c r="Z786" s="131"/>
      <c r="AA786" s="131"/>
      <c r="AB786" s="85"/>
      <c r="AC786" s="85"/>
      <c r="AD786" s="325"/>
      <c r="AE786" s="85"/>
      <c r="AF786" s="90"/>
      <c r="AG786" s="87"/>
      <c r="AH786" s="39"/>
      <c r="AI786" s="87"/>
      <c r="AJ786" s="81"/>
      <c r="AK786" s="90"/>
      <c r="AL786" s="81"/>
      <c r="AM786" s="39"/>
      <c r="AN786" s="82"/>
      <c r="AO786" s="82"/>
      <c r="AP786" s="82"/>
      <c r="AQ786" s="7"/>
      <c r="AR786" s="13"/>
      <c r="AS786" s="82"/>
      <c r="AT786" s="82"/>
      <c r="AU786" s="82"/>
      <c r="AV786" s="82"/>
      <c r="AW786" s="7"/>
      <c r="AX786" s="82"/>
      <c r="AY786" s="7"/>
      <c r="AZ786" s="7"/>
      <c r="BA786" s="7"/>
      <c r="BB786" s="7"/>
      <c r="BC786" s="7"/>
      <c r="BD786" s="7"/>
      <c r="BE786" s="7"/>
      <c r="BF786" s="7"/>
      <c r="BG786" s="7"/>
    </row>
    <row r="787">
      <c r="A787" s="39"/>
      <c r="B787" s="39"/>
      <c r="C787" s="7"/>
      <c r="D787" s="53"/>
      <c r="E787" s="7"/>
      <c r="F787" s="53"/>
      <c r="G787" s="16"/>
      <c r="H787" s="16"/>
      <c r="J787" s="39"/>
      <c r="K787" s="53"/>
      <c r="L787" s="90"/>
      <c r="M787" s="39"/>
      <c r="N787" s="327"/>
      <c r="O787" s="322"/>
      <c r="P787" s="82"/>
      <c r="Q787" s="82"/>
      <c r="R787" s="82"/>
      <c r="S787" s="16"/>
      <c r="T787" s="16"/>
      <c r="U787" s="39"/>
      <c r="V787" s="7"/>
      <c r="W787" s="7"/>
      <c r="X787" s="93"/>
      <c r="Y787" s="131"/>
      <c r="Z787" s="131"/>
      <c r="AA787" s="131"/>
      <c r="AB787" s="85"/>
      <c r="AC787" s="85"/>
      <c r="AD787" s="325"/>
      <c r="AE787" s="85"/>
      <c r="AF787" s="90"/>
      <c r="AG787" s="87"/>
      <c r="AH787" s="39"/>
      <c r="AI787" s="87"/>
      <c r="AJ787" s="81"/>
      <c r="AK787" s="90"/>
      <c r="AL787" s="81"/>
      <c r="AM787" s="39"/>
      <c r="AN787" s="82"/>
      <c r="AO787" s="82"/>
      <c r="AP787" s="82"/>
      <c r="AQ787" s="7"/>
      <c r="AR787" s="13"/>
      <c r="AS787" s="82"/>
      <c r="AT787" s="82"/>
      <c r="AU787" s="82"/>
      <c r="AV787" s="82"/>
      <c r="AW787" s="7"/>
      <c r="AX787" s="82"/>
      <c r="AY787" s="7"/>
      <c r="AZ787" s="7"/>
      <c r="BA787" s="7"/>
      <c r="BB787" s="7"/>
      <c r="BC787" s="7"/>
      <c r="BD787" s="7"/>
      <c r="BE787" s="7"/>
      <c r="BF787" s="7"/>
      <c r="BG787" s="7"/>
    </row>
    <row r="788">
      <c r="A788" s="39"/>
      <c r="B788" s="39"/>
      <c r="C788" s="7"/>
      <c r="D788" s="53"/>
      <c r="E788" s="7"/>
      <c r="F788" s="53"/>
      <c r="G788" s="16"/>
      <c r="H788" s="16"/>
      <c r="J788" s="39"/>
      <c r="K788" s="53"/>
      <c r="L788" s="90"/>
      <c r="M788" s="39"/>
      <c r="N788" s="327"/>
      <c r="O788" s="367"/>
      <c r="P788" s="82"/>
      <c r="Q788" s="82"/>
      <c r="R788" s="82"/>
      <c r="S788" s="16"/>
      <c r="T788" s="16"/>
      <c r="U788" s="39"/>
      <c r="V788" s="7"/>
      <c r="W788" s="7"/>
      <c r="X788" s="93"/>
      <c r="Y788" s="131"/>
      <c r="Z788" s="131"/>
      <c r="AA788" s="131"/>
      <c r="AB788" s="85"/>
      <c r="AC788" s="85"/>
      <c r="AD788" s="325"/>
      <c r="AE788" s="85"/>
      <c r="AF788" s="90"/>
      <c r="AG788" s="87"/>
      <c r="AH788" s="39"/>
      <c r="AI788" s="87"/>
      <c r="AJ788" s="81"/>
      <c r="AK788" s="90"/>
      <c r="AL788" s="81"/>
      <c r="AM788" s="39"/>
      <c r="AN788" s="82"/>
      <c r="AO788" s="82"/>
      <c r="AP788" s="82"/>
      <c r="AQ788" s="7"/>
      <c r="AR788" s="13"/>
      <c r="AS788" s="82"/>
      <c r="AT788" s="82"/>
      <c r="AU788" s="82"/>
      <c r="AV788" s="82"/>
      <c r="AW788" s="7"/>
      <c r="AX788" s="82"/>
      <c r="AY788" s="7"/>
      <c r="AZ788" s="7"/>
      <c r="BA788" s="7"/>
      <c r="BB788" s="7"/>
      <c r="BC788" s="7"/>
      <c r="BD788" s="7"/>
      <c r="BE788" s="7"/>
      <c r="BF788" s="7"/>
      <c r="BG788" s="7"/>
    </row>
    <row r="789">
      <c r="A789" s="39"/>
      <c r="B789" s="39"/>
      <c r="C789" s="7"/>
      <c r="D789" s="53"/>
      <c r="E789" s="7"/>
      <c r="F789" s="53"/>
      <c r="G789" s="16"/>
      <c r="H789" s="16"/>
      <c r="J789" s="39"/>
      <c r="K789" s="53"/>
      <c r="L789" s="90"/>
      <c r="M789" s="39"/>
      <c r="N789" s="327"/>
      <c r="O789" s="367"/>
      <c r="P789" s="82"/>
      <c r="Q789" s="82"/>
      <c r="R789" s="82"/>
      <c r="S789" s="16"/>
      <c r="T789" s="16"/>
      <c r="U789" s="39"/>
      <c r="V789" s="7"/>
      <c r="W789" s="7"/>
      <c r="X789" s="93"/>
      <c r="Y789" s="131"/>
      <c r="Z789" s="131"/>
      <c r="AA789" s="131"/>
      <c r="AB789" s="85"/>
      <c r="AC789" s="85"/>
      <c r="AD789" s="325"/>
      <c r="AE789" s="85"/>
      <c r="AF789" s="90"/>
      <c r="AG789" s="87"/>
      <c r="AH789" s="39"/>
      <c r="AI789" s="87"/>
      <c r="AJ789" s="81"/>
      <c r="AK789" s="90"/>
      <c r="AL789" s="81"/>
      <c r="AM789" s="39"/>
      <c r="AN789" s="82"/>
      <c r="AO789" s="82"/>
      <c r="AP789" s="82"/>
      <c r="AQ789" s="82"/>
      <c r="AR789" s="7"/>
      <c r="AS789" s="82"/>
      <c r="AT789" s="7"/>
      <c r="AU789" s="82"/>
      <c r="AV789" s="7"/>
      <c r="AW789" s="7"/>
      <c r="AX789" s="82"/>
      <c r="AY789" s="7"/>
      <c r="AZ789" s="7"/>
      <c r="BA789" s="7"/>
      <c r="BB789" s="7"/>
      <c r="BC789" s="7"/>
      <c r="BD789" s="7"/>
      <c r="BE789" s="7"/>
      <c r="BF789" s="7"/>
      <c r="BG789" s="7"/>
    </row>
    <row r="790">
      <c r="A790" s="39"/>
      <c r="B790" s="39"/>
      <c r="C790" s="7"/>
      <c r="D790" s="53"/>
      <c r="E790" s="7"/>
      <c r="F790" s="53"/>
      <c r="G790" s="16"/>
      <c r="H790" s="16"/>
      <c r="J790" s="39"/>
      <c r="K790" s="53"/>
      <c r="L790" s="90"/>
      <c r="M790" s="39"/>
      <c r="N790" s="327"/>
      <c r="O790" s="367"/>
      <c r="P790" s="82"/>
      <c r="Q790" s="82"/>
      <c r="R790" s="82"/>
      <c r="S790" s="16"/>
      <c r="T790" s="16"/>
      <c r="U790" s="39"/>
      <c r="V790" s="7"/>
      <c r="W790" s="7"/>
      <c r="X790" s="93"/>
      <c r="Y790" s="131"/>
      <c r="Z790" s="131"/>
      <c r="AA790" s="131"/>
      <c r="AB790" s="85"/>
      <c r="AC790" s="85"/>
      <c r="AD790" s="325"/>
      <c r="AE790" s="85"/>
      <c r="AF790" s="90"/>
      <c r="AG790" s="84"/>
      <c r="AH790" s="39"/>
      <c r="AI790" s="87"/>
      <c r="AJ790" s="81"/>
      <c r="AK790" s="90"/>
      <c r="AL790" s="81"/>
      <c r="AM790" s="39"/>
      <c r="AN790" s="82"/>
      <c r="AO790" s="82"/>
      <c r="AP790" s="82"/>
      <c r="AQ790" s="82"/>
      <c r="AR790" s="82"/>
      <c r="AS790" s="82"/>
      <c r="AT790" s="82"/>
      <c r="AU790" s="82"/>
      <c r="AV790" s="82"/>
      <c r="AW790" s="7"/>
      <c r="AX790" s="82"/>
      <c r="AY790" s="7"/>
      <c r="AZ790" s="7"/>
      <c r="BA790" s="7"/>
      <c r="BB790" s="7"/>
      <c r="BC790" s="7"/>
      <c r="BD790" s="7"/>
      <c r="BE790" s="7"/>
      <c r="BF790" s="7"/>
      <c r="BG790" s="7"/>
    </row>
    <row r="791">
      <c r="A791" s="39"/>
      <c r="B791" s="39"/>
      <c r="C791" s="7"/>
      <c r="D791" s="53"/>
      <c r="E791" s="7"/>
      <c r="F791" s="53"/>
      <c r="G791" s="16"/>
      <c r="H791" s="16"/>
      <c r="J791" s="39"/>
      <c r="K791" s="53"/>
      <c r="L791" s="90"/>
      <c r="M791" s="16"/>
      <c r="N791" s="327"/>
      <c r="O791" s="367"/>
      <c r="P791" s="82"/>
      <c r="Q791" s="82"/>
      <c r="R791" s="82"/>
      <c r="S791" s="16"/>
      <c r="T791" s="16"/>
      <c r="U791" s="39"/>
      <c r="V791" s="7"/>
      <c r="W791" s="7"/>
      <c r="X791" s="93"/>
      <c r="Y791" s="131"/>
      <c r="Z791" s="131"/>
      <c r="AA791" s="131"/>
      <c r="AB791" s="85"/>
      <c r="AC791" s="85"/>
      <c r="AD791" s="325"/>
      <c r="AE791" s="85"/>
      <c r="AF791" s="90"/>
      <c r="AG791" s="87"/>
      <c r="AH791" s="39"/>
      <c r="AI791" s="87"/>
      <c r="AJ791" s="81"/>
      <c r="AK791" s="90"/>
      <c r="AL791" s="81"/>
      <c r="AM791" s="39"/>
      <c r="AN791" s="82"/>
      <c r="AO791" s="82"/>
      <c r="AP791" s="82"/>
      <c r="AQ791" s="82"/>
      <c r="AR791" s="82"/>
      <c r="AS791" s="82"/>
      <c r="AT791" s="82"/>
      <c r="AU791" s="82"/>
      <c r="AV791" s="82"/>
      <c r="AW791" s="7"/>
      <c r="AX791" s="82"/>
      <c r="AY791" s="7"/>
      <c r="AZ791" s="7"/>
      <c r="BA791" s="7"/>
      <c r="BB791" s="7"/>
      <c r="BC791" s="7"/>
      <c r="BD791" s="7"/>
      <c r="BE791" s="7"/>
      <c r="BF791" s="7"/>
      <c r="BG791" s="7"/>
    </row>
    <row r="792">
      <c r="A792" s="39"/>
      <c r="B792" s="39"/>
      <c r="C792" s="7"/>
      <c r="D792" s="53"/>
      <c r="E792" s="7"/>
      <c r="F792" s="53"/>
      <c r="G792" s="16"/>
      <c r="H792" s="16"/>
      <c r="J792" s="39"/>
      <c r="K792" s="53"/>
      <c r="L792" s="90"/>
      <c r="M792" s="39"/>
      <c r="N792" s="327"/>
      <c r="O792" s="367"/>
      <c r="P792" s="82"/>
      <c r="Q792" s="82"/>
      <c r="R792" s="82"/>
      <c r="S792" s="16"/>
      <c r="T792" s="16"/>
      <c r="U792" s="39"/>
      <c r="V792" s="7"/>
      <c r="W792" s="7"/>
      <c r="X792" s="93"/>
      <c r="Y792" s="131"/>
      <c r="Z792" s="131"/>
      <c r="AA792" s="131"/>
      <c r="AB792" s="85"/>
      <c r="AC792" s="85"/>
      <c r="AD792" s="325"/>
      <c r="AE792" s="85"/>
      <c r="AF792" s="90"/>
      <c r="AG792" s="87"/>
      <c r="AH792" s="39"/>
      <c r="AI792" s="87"/>
      <c r="AJ792" s="81"/>
      <c r="AK792" s="90"/>
      <c r="AL792" s="81"/>
      <c r="AM792" s="39"/>
      <c r="AN792" s="82"/>
      <c r="AO792" s="82"/>
      <c r="AP792" s="82"/>
      <c r="AQ792" s="82"/>
      <c r="AR792" s="82"/>
      <c r="AS792" s="82"/>
      <c r="AT792" s="82"/>
      <c r="AU792" s="82"/>
      <c r="AV792" s="82"/>
      <c r="AW792" s="7"/>
      <c r="AX792" s="82"/>
      <c r="AY792" s="7"/>
      <c r="AZ792" s="7"/>
      <c r="BA792" s="7"/>
      <c r="BB792" s="7"/>
      <c r="BC792" s="7"/>
      <c r="BD792" s="7"/>
      <c r="BE792" s="7"/>
      <c r="BF792" s="7"/>
      <c r="BG792" s="7"/>
    </row>
    <row r="793">
      <c r="A793" s="39"/>
      <c r="B793" s="39"/>
      <c r="C793" s="7"/>
      <c r="D793" s="53"/>
      <c r="E793" s="7"/>
      <c r="F793" s="53"/>
      <c r="G793" s="16"/>
      <c r="H793" s="16"/>
      <c r="J793" s="39"/>
      <c r="K793" s="53"/>
      <c r="L793" s="90"/>
      <c r="M793" s="39"/>
      <c r="N793" s="327"/>
      <c r="O793" s="367"/>
      <c r="P793" s="82"/>
      <c r="Q793" s="82"/>
      <c r="R793" s="82"/>
      <c r="S793" s="16"/>
      <c r="T793" s="16"/>
      <c r="U793" s="39"/>
      <c r="V793" s="7"/>
      <c r="W793" s="7"/>
      <c r="X793" s="93"/>
      <c r="Y793" s="131"/>
      <c r="Z793" s="131"/>
      <c r="AA793" s="131"/>
      <c r="AB793" s="85"/>
      <c r="AC793" s="85"/>
      <c r="AD793" s="325"/>
      <c r="AE793" s="85"/>
      <c r="AF793" s="90"/>
      <c r="AG793" s="87"/>
      <c r="AH793" s="39"/>
      <c r="AI793" s="87"/>
      <c r="AJ793" s="81"/>
      <c r="AK793" s="90"/>
      <c r="AL793" s="81"/>
      <c r="AM793" s="39"/>
      <c r="AN793" s="82"/>
      <c r="AO793" s="82"/>
      <c r="AP793" s="82"/>
      <c r="AQ793" s="82"/>
      <c r="AR793" s="82"/>
      <c r="AS793" s="82"/>
      <c r="AT793" s="82"/>
      <c r="AU793" s="82"/>
      <c r="AV793" s="82"/>
      <c r="AW793" s="7"/>
      <c r="AX793" s="82"/>
      <c r="AY793" s="7"/>
      <c r="AZ793" s="7"/>
      <c r="BA793" s="7"/>
      <c r="BB793" s="7"/>
      <c r="BC793" s="7"/>
      <c r="BD793" s="7"/>
      <c r="BE793" s="7"/>
      <c r="BF793" s="7"/>
      <c r="BG793" s="7"/>
    </row>
    <row r="794">
      <c r="A794" s="39"/>
      <c r="B794" s="39"/>
      <c r="C794" s="7"/>
      <c r="D794" s="53"/>
      <c r="E794" s="7"/>
      <c r="F794" s="53"/>
      <c r="G794" s="16"/>
      <c r="H794" s="16"/>
      <c r="J794" s="39"/>
      <c r="K794" s="53"/>
      <c r="L794" s="90"/>
      <c r="M794" s="39"/>
      <c r="N794" s="327"/>
      <c r="O794" s="368"/>
      <c r="P794" s="82"/>
      <c r="Q794" s="82"/>
      <c r="R794" s="82"/>
      <c r="S794" s="16"/>
      <c r="T794" s="16"/>
      <c r="U794" s="39"/>
      <c r="V794" s="7"/>
      <c r="W794" s="7"/>
      <c r="X794" s="93"/>
      <c r="Y794" s="131"/>
      <c r="Z794" s="131"/>
      <c r="AA794" s="131"/>
      <c r="AB794" s="85"/>
      <c r="AC794" s="85"/>
      <c r="AD794" s="325"/>
      <c r="AE794" s="85"/>
      <c r="AF794" s="90"/>
      <c r="AG794" s="87"/>
      <c r="AH794" s="39"/>
      <c r="AI794" s="87"/>
      <c r="AJ794" s="81"/>
      <c r="AK794" s="90"/>
      <c r="AL794" s="81"/>
      <c r="AM794" s="39"/>
      <c r="AN794" s="82"/>
      <c r="AO794" s="82"/>
      <c r="AP794" s="82"/>
      <c r="AQ794" s="82"/>
      <c r="AR794" s="82"/>
      <c r="AS794" s="82"/>
      <c r="AT794" s="82"/>
      <c r="AU794" s="82"/>
      <c r="AV794" s="82"/>
      <c r="AW794" s="7"/>
      <c r="AX794" s="82"/>
      <c r="AY794" s="7"/>
      <c r="AZ794" s="7"/>
      <c r="BA794" s="7"/>
      <c r="BB794" s="7"/>
      <c r="BC794" s="7"/>
      <c r="BD794" s="7"/>
      <c r="BE794" s="7"/>
      <c r="BF794" s="7"/>
      <c r="BG794" s="7"/>
    </row>
    <row r="795">
      <c r="A795" s="39"/>
      <c r="B795" s="39"/>
      <c r="C795" s="7"/>
      <c r="D795" s="53"/>
      <c r="E795" s="7"/>
      <c r="F795" s="53"/>
      <c r="G795" s="16"/>
      <c r="H795" s="16"/>
      <c r="J795" s="39"/>
      <c r="K795" s="53"/>
      <c r="L795" s="90"/>
      <c r="M795" s="39"/>
      <c r="N795" s="327"/>
      <c r="O795" s="367"/>
      <c r="P795" s="82"/>
      <c r="Q795" s="82"/>
      <c r="R795" s="82"/>
      <c r="S795" s="16"/>
      <c r="T795" s="16"/>
      <c r="U795" s="39"/>
      <c r="V795" s="7"/>
      <c r="W795" s="7"/>
      <c r="X795" s="93"/>
      <c r="Y795" s="131"/>
      <c r="Z795" s="131"/>
      <c r="AA795" s="131"/>
      <c r="AB795" s="85"/>
      <c r="AC795" s="85"/>
      <c r="AD795" s="325"/>
      <c r="AE795" s="85"/>
      <c r="AF795" s="90"/>
      <c r="AG795" s="87"/>
      <c r="AH795" s="39"/>
      <c r="AI795" s="87"/>
      <c r="AJ795" s="81"/>
      <c r="AK795" s="90"/>
      <c r="AL795" s="81"/>
      <c r="AM795" s="39"/>
      <c r="AN795" s="82"/>
      <c r="AO795" s="82"/>
      <c r="AP795" s="82"/>
      <c r="AQ795" s="82"/>
      <c r="AR795" s="82"/>
      <c r="AS795" s="82"/>
      <c r="AT795" s="82"/>
      <c r="AU795" s="82"/>
      <c r="AV795" s="82"/>
      <c r="AW795" s="7"/>
      <c r="AX795" s="82"/>
      <c r="AY795" s="7"/>
      <c r="AZ795" s="7"/>
      <c r="BA795" s="7"/>
      <c r="BB795" s="7"/>
      <c r="BC795" s="7"/>
      <c r="BD795" s="7"/>
      <c r="BE795" s="7"/>
      <c r="BF795" s="7"/>
      <c r="BG795" s="7"/>
    </row>
    <row r="796">
      <c r="A796" s="39"/>
      <c r="B796" s="39"/>
      <c r="C796" s="7"/>
      <c r="D796" s="53"/>
      <c r="E796" s="7"/>
      <c r="F796" s="53"/>
      <c r="G796" s="16"/>
      <c r="H796" s="16"/>
      <c r="J796" s="39"/>
      <c r="K796" s="53"/>
      <c r="L796" s="90"/>
      <c r="M796" s="39"/>
      <c r="N796" s="327"/>
      <c r="O796" s="367"/>
      <c r="P796" s="82"/>
      <c r="Q796" s="82"/>
      <c r="R796" s="82"/>
      <c r="S796" s="16"/>
      <c r="T796" s="16"/>
      <c r="U796" s="39"/>
      <c r="V796" s="7"/>
      <c r="W796" s="7"/>
      <c r="X796" s="93"/>
      <c r="Y796" s="131"/>
      <c r="Z796" s="131"/>
      <c r="AA796" s="131"/>
      <c r="AB796" s="85"/>
      <c r="AC796" s="85"/>
      <c r="AD796" s="325"/>
      <c r="AE796" s="85"/>
      <c r="AF796" s="90"/>
      <c r="AG796" s="87"/>
      <c r="AH796" s="39"/>
      <c r="AI796" s="87"/>
      <c r="AJ796" s="81"/>
      <c r="AK796" s="90"/>
      <c r="AL796" s="81"/>
      <c r="AM796" s="39"/>
      <c r="AN796" s="82"/>
      <c r="AO796" s="82"/>
      <c r="AP796" s="82"/>
      <c r="AQ796" s="82"/>
      <c r="AR796" s="82"/>
      <c r="AS796" s="82"/>
      <c r="AT796" s="82"/>
      <c r="AU796" s="82"/>
      <c r="AV796" s="82"/>
      <c r="AW796" s="7"/>
      <c r="AX796" s="82"/>
      <c r="AY796" s="7"/>
      <c r="AZ796" s="7"/>
      <c r="BA796" s="7"/>
      <c r="BB796" s="7"/>
      <c r="BC796" s="7"/>
      <c r="BD796" s="7"/>
      <c r="BE796" s="7"/>
      <c r="BF796" s="7"/>
      <c r="BG796" s="7"/>
    </row>
    <row r="797">
      <c r="A797" s="39"/>
      <c r="B797" s="39"/>
      <c r="C797" s="7"/>
      <c r="D797" s="53"/>
      <c r="E797" s="7"/>
      <c r="F797" s="53"/>
      <c r="G797" s="16"/>
      <c r="H797" s="16"/>
      <c r="J797" s="16"/>
      <c r="K797" s="53"/>
      <c r="L797" s="90"/>
      <c r="M797" s="39"/>
      <c r="N797" s="327"/>
      <c r="O797" s="322"/>
      <c r="P797" s="7"/>
      <c r="Q797" s="7"/>
      <c r="R797" s="82"/>
      <c r="S797" s="16"/>
      <c r="T797" s="16"/>
      <c r="U797" s="16"/>
      <c r="V797" s="7"/>
      <c r="W797" s="7"/>
      <c r="X797" s="93"/>
      <c r="Y797" s="131"/>
      <c r="Z797" s="131"/>
      <c r="AA797" s="131"/>
      <c r="AB797" s="85"/>
      <c r="AC797" s="85"/>
      <c r="AD797" s="325"/>
      <c r="AE797" s="85"/>
      <c r="AF797" s="90"/>
      <c r="AG797" s="87"/>
      <c r="AH797" s="39"/>
      <c r="AI797" s="87"/>
      <c r="AJ797" s="81"/>
      <c r="AK797" s="21"/>
      <c r="AL797" s="81"/>
      <c r="AM797" s="39"/>
      <c r="AN797" s="82"/>
      <c r="AO797" s="82"/>
      <c r="AP797" s="82"/>
      <c r="AQ797" s="7"/>
      <c r="AR797" s="6"/>
      <c r="AS797" s="82"/>
      <c r="AT797" s="7"/>
      <c r="AU797" s="82"/>
      <c r="AV797" s="7"/>
      <c r="AW797" s="7"/>
      <c r="AX797" s="82"/>
      <c r="AY797" s="7"/>
      <c r="AZ797" s="7"/>
      <c r="BA797" s="7"/>
      <c r="BB797" s="7"/>
      <c r="BC797" s="7"/>
      <c r="BD797" s="7"/>
      <c r="BE797" s="7"/>
      <c r="BF797" s="7"/>
      <c r="BG797" s="7"/>
    </row>
    <row r="798">
      <c r="A798" s="39"/>
      <c r="B798" s="39"/>
      <c r="C798" s="7"/>
      <c r="D798" s="53"/>
      <c r="E798" s="7"/>
      <c r="F798" s="53"/>
      <c r="G798" s="16"/>
      <c r="H798" s="16"/>
      <c r="J798" s="16"/>
      <c r="K798" s="53"/>
      <c r="L798" s="90"/>
      <c r="M798" s="39"/>
      <c r="N798" s="327"/>
      <c r="O798" s="322"/>
      <c r="P798" s="82"/>
      <c r="Q798" s="82"/>
      <c r="R798" s="82"/>
      <c r="S798" s="16"/>
      <c r="T798" s="16"/>
      <c r="U798" s="16"/>
      <c r="V798" s="7"/>
      <c r="W798" s="7"/>
      <c r="X798" s="93"/>
      <c r="Y798" s="131"/>
      <c r="Z798" s="131"/>
      <c r="AA798" s="131"/>
      <c r="AB798" s="85"/>
      <c r="AC798" s="85"/>
      <c r="AD798" s="325"/>
      <c r="AE798" s="85"/>
      <c r="AF798" s="90"/>
      <c r="AG798" s="87"/>
      <c r="AH798" s="39"/>
      <c r="AI798" s="21"/>
      <c r="AJ798" s="16"/>
      <c r="AK798" s="21"/>
      <c r="AL798" s="16"/>
      <c r="AM798" s="39"/>
      <c r="AN798" s="82"/>
      <c r="AO798" s="82"/>
      <c r="AP798" s="82"/>
      <c r="AQ798" s="7"/>
      <c r="AR798" s="6"/>
      <c r="AS798" s="82"/>
      <c r="AT798" s="7"/>
      <c r="AU798" s="82"/>
      <c r="AV798" s="7"/>
      <c r="AW798" s="7"/>
      <c r="AX798" s="82"/>
      <c r="AY798" s="7"/>
      <c r="AZ798" s="7"/>
      <c r="BA798" s="7"/>
      <c r="BB798" s="7"/>
      <c r="BC798" s="7"/>
      <c r="BD798" s="7"/>
      <c r="BE798" s="7"/>
      <c r="BF798" s="7"/>
      <c r="BG798" s="7"/>
    </row>
    <row r="799">
      <c r="A799" s="39"/>
      <c r="B799" s="39"/>
      <c r="C799" s="7"/>
      <c r="D799" s="53"/>
      <c r="E799" s="7"/>
      <c r="F799" s="53"/>
      <c r="G799" s="16"/>
      <c r="H799" s="16"/>
      <c r="J799" s="16"/>
      <c r="K799" s="53"/>
      <c r="L799" s="90"/>
      <c r="M799" s="39"/>
      <c r="N799" s="327"/>
      <c r="O799" s="368"/>
      <c r="P799" s="7"/>
      <c r="Q799" s="7"/>
      <c r="R799" s="7"/>
      <c r="S799" s="16"/>
      <c r="T799" s="16"/>
      <c r="U799" s="16"/>
      <c r="V799" s="7"/>
      <c r="W799" s="7"/>
      <c r="X799" s="93"/>
      <c r="Y799" s="131"/>
      <c r="Z799" s="131"/>
      <c r="AA799" s="131"/>
      <c r="AB799" s="85"/>
      <c r="AC799" s="85"/>
      <c r="AD799" s="325"/>
      <c r="AE799" s="85"/>
      <c r="AF799" s="90"/>
      <c r="AG799" s="87"/>
      <c r="AH799" s="39"/>
      <c r="AI799" s="21"/>
      <c r="AJ799" s="16"/>
      <c r="AK799" s="21"/>
      <c r="AL799" s="16"/>
      <c r="AM799" s="39"/>
      <c r="AN799" s="82"/>
      <c r="AO799" s="82"/>
      <c r="AP799" s="82"/>
      <c r="AQ799" s="7"/>
      <c r="AR799" s="6"/>
      <c r="AS799" s="7"/>
      <c r="AT799" s="7"/>
      <c r="AU799" s="7"/>
      <c r="AV799" s="82"/>
      <c r="AW799" s="7"/>
      <c r="AX799" s="82"/>
      <c r="AY799" s="7"/>
      <c r="AZ799" s="7"/>
      <c r="BA799" s="7"/>
      <c r="BB799" s="7"/>
      <c r="BC799" s="7"/>
      <c r="BD799" s="7"/>
      <c r="BE799" s="7"/>
      <c r="BF799" s="7"/>
      <c r="BG799" s="7"/>
    </row>
    <row r="800">
      <c r="A800" s="39"/>
      <c r="B800" s="39"/>
      <c r="C800" s="7"/>
      <c r="D800" s="53"/>
      <c r="E800" s="7"/>
      <c r="F800" s="53"/>
      <c r="G800" s="16"/>
      <c r="H800" s="16"/>
      <c r="J800" s="16"/>
      <c r="K800" s="53"/>
      <c r="L800" s="90"/>
      <c r="M800" s="39"/>
      <c r="N800" s="327"/>
      <c r="O800" s="322"/>
      <c r="P800" s="82"/>
      <c r="Q800" s="82"/>
      <c r="R800" s="82"/>
      <c r="S800" s="16"/>
      <c r="T800" s="16"/>
      <c r="U800" s="16"/>
      <c r="V800" s="7"/>
      <c r="W800" s="7"/>
      <c r="X800" s="93"/>
      <c r="Y800" s="131"/>
      <c r="Z800" s="131"/>
      <c r="AA800" s="131"/>
      <c r="AB800" s="85"/>
      <c r="AC800" s="85"/>
      <c r="AD800" s="325"/>
      <c r="AE800" s="85"/>
      <c r="AF800" s="90"/>
      <c r="AG800" s="87"/>
      <c r="AH800" s="39"/>
      <c r="AI800" s="21"/>
      <c r="AJ800" s="16"/>
      <c r="AK800" s="21"/>
      <c r="AL800" s="16"/>
      <c r="AM800" s="39"/>
      <c r="AN800" s="82"/>
      <c r="AO800" s="82"/>
      <c r="AP800" s="82"/>
      <c r="AQ800" s="7"/>
      <c r="AR800" s="13"/>
      <c r="AS800" s="82"/>
      <c r="AT800" s="82"/>
      <c r="AU800" s="82"/>
      <c r="AV800" s="82"/>
      <c r="AW800" s="7"/>
      <c r="AX800" s="82"/>
      <c r="AY800" s="7"/>
      <c r="AZ800" s="7"/>
      <c r="BA800" s="7"/>
      <c r="BB800" s="7"/>
      <c r="BC800" s="7"/>
      <c r="BD800" s="7"/>
      <c r="BE800" s="7"/>
      <c r="BF800" s="7"/>
      <c r="BG800" s="7"/>
    </row>
    <row r="801">
      <c r="A801" s="39"/>
      <c r="B801" s="39"/>
      <c r="C801" s="7"/>
      <c r="D801" s="53"/>
      <c r="E801" s="7"/>
      <c r="F801" s="53"/>
      <c r="G801" s="16"/>
      <c r="H801" s="16"/>
      <c r="J801" s="16"/>
      <c r="K801" s="53"/>
      <c r="L801" s="90"/>
      <c r="M801" s="39"/>
      <c r="N801" s="327"/>
      <c r="O801" s="322"/>
      <c r="P801" s="82"/>
      <c r="Q801" s="82"/>
      <c r="R801" s="82"/>
      <c r="S801" s="16"/>
      <c r="T801" s="16"/>
      <c r="U801" s="16"/>
      <c r="V801" s="7"/>
      <c r="W801" s="7"/>
      <c r="X801" s="93"/>
      <c r="Y801" s="131"/>
      <c r="Z801" s="131"/>
      <c r="AA801" s="131"/>
      <c r="AB801" s="85"/>
      <c r="AC801" s="85"/>
      <c r="AD801" s="325"/>
      <c r="AE801" s="85"/>
      <c r="AF801" s="90"/>
      <c r="AG801" s="87"/>
      <c r="AH801" s="39"/>
      <c r="AI801" s="21"/>
      <c r="AJ801" s="16"/>
      <c r="AK801" s="21"/>
      <c r="AL801" s="16"/>
      <c r="AM801" s="39"/>
      <c r="AN801" s="82"/>
      <c r="AO801" s="82"/>
      <c r="AP801" s="82"/>
      <c r="AQ801" s="7"/>
      <c r="AR801" s="13"/>
      <c r="AS801" s="82"/>
      <c r="AT801" s="82"/>
      <c r="AU801" s="82"/>
      <c r="AV801" s="82"/>
      <c r="AW801" s="7"/>
      <c r="AX801" s="82"/>
      <c r="AY801" s="7"/>
      <c r="AZ801" s="7"/>
      <c r="BA801" s="7"/>
      <c r="BB801" s="7"/>
      <c r="BC801" s="7"/>
      <c r="BD801" s="7"/>
      <c r="BE801" s="7"/>
      <c r="BF801" s="7"/>
      <c r="BG801" s="7"/>
    </row>
    <row r="802">
      <c r="A802" s="16"/>
      <c r="B802" s="16"/>
      <c r="C802" s="7"/>
      <c r="D802" s="53"/>
      <c r="E802" s="7"/>
      <c r="F802" s="53"/>
      <c r="G802" s="16"/>
      <c r="H802" s="16"/>
      <c r="J802" s="39"/>
      <c r="K802" s="53"/>
      <c r="L802" s="90"/>
      <c r="M802" s="39"/>
      <c r="N802" s="327"/>
      <c r="O802" s="322"/>
      <c r="P802" s="82"/>
      <c r="Q802" s="82"/>
      <c r="R802" s="82"/>
      <c r="S802" s="16"/>
      <c r="T802" s="16"/>
      <c r="U802" s="39"/>
      <c r="V802" s="7"/>
      <c r="W802" s="7"/>
      <c r="X802" s="93"/>
      <c r="Y802" s="131"/>
      <c r="Z802" s="131"/>
      <c r="AA802" s="131"/>
      <c r="AB802" s="85"/>
      <c r="AC802" s="85"/>
      <c r="AD802" s="325"/>
      <c r="AE802" s="85"/>
      <c r="AF802" s="90"/>
      <c r="AG802" s="87"/>
      <c r="AH802" s="39"/>
      <c r="AI802" s="87"/>
      <c r="AJ802" s="81"/>
      <c r="AK802" s="90"/>
      <c r="AL802" s="81"/>
      <c r="AM802" s="39"/>
      <c r="AN802" s="82"/>
      <c r="AO802" s="82"/>
      <c r="AP802" s="82"/>
      <c r="AQ802" s="7"/>
      <c r="AR802" s="6"/>
      <c r="AS802" s="82"/>
      <c r="AT802" s="82"/>
      <c r="AU802" s="82"/>
      <c r="AV802" s="82"/>
      <c r="AW802" s="7"/>
      <c r="AX802" s="82"/>
      <c r="AY802" s="7"/>
      <c r="AZ802" s="7"/>
      <c r="BA802" s="7"/>
      <c r="BB802" s="7"/>
      <c r="BC802" s="7"/>
      <c r="BD802" s="7"/>
      <c r="BE802" s="7"/>
      <c r="BF802" s="7"/>
      <c r="BG802" s="7"/>
    </row>
    <row r="803">
      <c r="A803" s="16"/>
      <c r="B803" s="16"/>
      <c r="C803" s="7"/>
      <c r="D803" s="53"/>
      <c r="E803" s="7"/>
      <c r="F803" s="53"/>
      <c r="G803" s="16"/>
      <c r="H803" s="16"/>
      <c r="J803" s="39"/>
      <c r="K803" s="53"/>
      <c r="L803" s="90"/>
      <c r="M803" s="39"/>
      <c r="N803" s="327"/>
      <c r="O803" s="368"/>
      <c r="P803" s="7"/>
      <c r="Q803" s="7"/>
      <c r="R803" s="7"/>
      <c r="S803" s="16"/>
      <c r="T803" s="16"/>
      <c r="U803" s="39"/>
      <c r="V803" s="7"/>
      <c r="W803" s="7"/>
      <c r="X803" s="93"/>
      <c r="Y803" s="131"/>
      <c r="Z803" s="131"/>
      <c r="AA803" s="131"/>
      <c r="AB803" s="85"/>
      <c r="AC803" s="85"/>
      <c r="AD803" s="325"/>
      <c r="AE803" s="85"/>
      <c r="AF803" s="90"/>
      <c r="AG803" s="87"/>
      <c r="AH803" s="39"/>
      <c r="AI803" s="87"/>
      <c r="AJ803" s="81"/>
      <c r="AK803" s="90"/>
      <c r="AL803" s="81"/>
      <c r="AM803" s="39"/>
      <c r="AN803" s="82"/>
      <c r="AO803" s="82"/>
      <c r="AP803" s="82"/>
      <c r="AQ803" s="7"/>
      <c r="AR803" s="6"/>
      <c r="AS803" s="82"/>
      <c r="AT803" s="7"/>
      <c r="AU803" s="82"/>
      <c r="AV803" s="7"/>
      <c r="AW803" s="7"/>
      <c r="AX803" s="82"/>
      <c r="AY803" s="7"/>
      <c r="AZ803" s="7"/>
      <c r="BA803" s="7"/>
      <c r="BB803" s="7"/>
      <c r="BC803" s="7"/>
      <c r="BD803" s="7"/>
      <c r="BE803" s="7"/>
      <c r="BF803" s="7"/>
      <c r="BG803" s="7"/>
    </row>
    <row r="804">
      <c r="A804" s="39"/>
      <c r="B804" s="39"/>
      <c r="C804" s="7"/>
      <c r="D804" s="53"/>
      <c r="E804" s="7"/>
      <c r="F804" s="53"/>
      <c r="G804" s="16"/>
      <c r="H804" s="16"/>
      <c r="J804" s="39"/>
      <c r="K804" s="53"/>
      <c r="L804" s="90"/>
      <c r="M804" s="39"/>
      <c r="N804" s="327"/>
      <c r="O804" s="322"/>
      <c r="P804" s="82"/>
      <c r="Q804" s="82"/>
      <c r="R804" s="82"/>
      <c r="S804" s="16"/>
      <c r="T804" s="16"/>
      <c r="U804" s="39"/>
      <c r="V804" s="7"/>
      <c r="W804" s="7"/>
      <c r="X804" s="93"/>
      <c r="Y804" s="131"/>
      <c r="Z804" s="131"/>
      <c r="AA804" s="131"/>
      <c r="AB804" s="85"/>
      <c r="AC804" s="85"/>
      <c r="AD804" s="325"/>
      <c r="AE804" s="85"/>
      <c r="AF804" s="90"/>
      <c r="AG804" s="87"/>
      <c r="AH804" s="39"/>
      <c r="AI804" s="87"/>
      <c r="AJ804" s="81"/>
      <c r="AK804" s="90"/>
      <c r="AL804" s="81"/>
      <c r="AM804" s="39"/>
      <c r="AN804" s="82"/>
      <c r="AO804" s="82"/>
      <c r="AP804" s="82"/>
      <c r="AQ804" s="82"/>
      <c r="AR804" s="82"/>
      <c r="AS804" s="82"/>
      <c r="AT804" s="82"/>
      <c r="AU804" s="82"/>
      <c r="AV804" s="82"/>
      <c r="AW804" s="7"/>
      <c r="AX804" s="82"/>
      <c r="AY804" s="7"/>
      <c r="AZ804" s="7"/>
      <c r="BA804" s="7"/>
      <c r="BB804" s="7"/>
      <c r="BC804" s="7"/>
      <c r="BD804" s="7"/>
      <c r="BE804" s="7"/>
      <c r="BF804" s="7"/>
      <c r="BG804" s="7"/>
    </row>
    <row r="805">
      <c r="A805" s="39"/>
      <c r="B805" s="39"/>
      <c r="C805" s="7"/>
      <c r="D805" s="53"/>
      <c r="E805" s="7"/>
      <c r="F805" s="53"/>
      <c r="G805" s="16"/>
      <c r="H805" s="16"/>
      <c r="J805" s="39"/>
      <c r="K805" s="53"/>
      <c r="L805" s="90"/>
      <c r="M805" s="39"/>
      <c r="N805" s="327"/>
      <c r="O805" s="322"/>
      <c r="P805" s="82"/>
      <c r="Q805" s="82"/>
      <c r="R805" s="82"/>
      <c r="S805" s="16"/>
      <c r="T805" s="16"/>
      <c r="U805" s="39"/>
      <c r="V805" s="7"/>
      <c r="W805" s="7"/>
      <c r="X805" s="93"/>
      <c r="Y805" s="131"/>
      <c r="Z805" s="131"/>
      <c r="AA805" s="131"/>
      <c r="AB805" s="85"/>
      <c r="AC805" s="85"/>
      <c r="AD805" s="325"/>
      <c r="AE805" s="85"/>
      <c r="AF805" s="90"/>
      <c r="AG805" s="87"/>
      <c r="AH805" s="39"/>
      <c r="AI805" s="87"/>
      <c r="AJ805" s="81"/>
      <c r="AK805" s="90"/>
      <c r="AL805" s="81"/>
      <c r="AM805" s="39"/>
      <c r="AN805" s="82"/>
      <c r="AO805" s="82"/>
      <c r="AP805" s="82"/>
      <c r="AQ805" s="82"/>
      <c r="AR805" s="82"/>
      <c r="AS805" s="82"/>
      <c r="AT805" s="82"/>
      <c r="AU805" s="82"/>
      <c r="AV805" s="82"/>
      <c r="AW805" s="7"/>
      <c r="AX805" s="82"/>
      <c r="AY805" s="7"/>
      <c r="AZ805" s="7"/>
      <c r="BA805" s="7"/>
      <c r="BB805" s="7"/>
      <c r="BC805" s="7"/>
      <c r="BD805" s="7"/>
      <c r="BE805" s="7"/>
      <c r="BF805" s="7"/>
      <c r="BG805" s="7"/>
    </row>
    <row r="806">
      <c r="A806" s="39"/>
      <c r="B806" s="39"/>
      <c r="C806" s="7"/>
      <c r="D806" s="53"/>
      <c r="E806" s="7"/>
      <c r="F806" s="53"/>
      <c r="G806" s="16"/>
      <c r="H806" s="16"/>
      <c r="J806" s="39"/>
      <c r="K806" s="53"/>
      <c r="L806" s="90"/>
      <c r="M806" s="39"/>
      <c r="N806" s="327"/>
      <c r="O806" s="367"/>
      <c r="P806" s="82"/>
      <c r="Q806" s="82"/>
      <c r="R806" s="82"/>
      <c r="S806" s="16"/>
      <c r="T806" s="16"/>
      <c r="U806" s="39"/>
      <c r="V806" s="7"/>
      <c r="W806" s="7"/>
      <c r="X806" s="93"/>
      <c r="Y806" s="131"/>
      <c r="Z806" s="131"/>
      <c r="AA806" s="131"/>
      <c r="AB806" s="85"/>
      <c r="AC806" s="85"/>
      <c r="AD806" s="325"/>
      <c r="AE806" s="85"/>
      <c r="AF806" s="90"/>
      <c r="AG806" s="87"/>
      <c r="AH806" s="39"/>
      <c r="AI806" s="87"/>
      <c r="AJ806" s="81"/>
      <c r="AK806" s="90"/>
      <c r="AL806" s="81"/>
      <c r="AM806" s="39"/>
      <c r="AN806" s="82"/>
      <c r="AO806" s="82"/>
      <c r="AP806" s="82"/>
      <c r="AQ806" s="82"/>
      <c r="AR806" s="82"/>
      <c r="AS806" s="82"/>
      <c r="AT806" s="82"/>
      <c r="AU806" s="82"/>
      <c r="AV806" s="82"/>
      <c r="AW806" s="7"/>
      <c r="AX806" s="82"/>
      <c r="AY806" s="7"/>
      <c r="AZ806" s="7"/>
      <c r="BA806" s="7"/>
      <c r="BB806" s="7"/>
      <c r="BC806" s="7"/>
      <c r="BD806" s="7"/>
      <c r="BE806" s="7"/>
      <c r="BF806" s="7"/>
      <c r="BG806" s="7"/>
    </row>
    <row r="807">
      <c r="A807" s="39"/>
      <c r="B807" s="39"/>
      <c r="C807" s="7"/>
      <c r="D807" s="53"/>
      <c r="E807" s="7"/>
      <c r="F807" s="53"/>
      <c r="G807" s="16"/>
      <c r="H807" s="16"/>
      <c r="J807" s="39"/>
      <c r="K807" s="53"/>
      <c r="L807" s="90"/>
      <c r="M807" s="39"/>
      <c r="N807" s="327"/>
      <c r="O807" s="367"/>
      <c r="P807" s="82"/>
      <c r="Q807" s="82"/>
      <c r="R807" s="82"/>
      <c r="S807" s="16"/>
      <c r="T807" s="16"/>
      <c r="U807" s="39"/>
      <c r="V807" s="7"/>
      <c r="W807" s="7"/>
      <c r="X807" s="93"/>
      <c r="Y807" s="131"/>
      <c r="Z807" s="131"/>
      <c r="AA807" s="131"/>
      <c r="AB807" s="85"/>
      <c r="AC807" s="85"/>
      <c r="AD807" s="325"/>
      <c r="AE807" s="85"/>
      <c r="AF807" s="90"/>
      <c r="AG807" s="87"/>
      <c r="AH807" s="39"/>
      <c r="AI807" s="87"/>
      <c r="AJ807" s="81"/>
      <c r="AK807" s="90"/>
      <c r="AL807" s="81"/>
      <c r="AM807" s="39"/>
      <c r="AN807" s="82"/>
      <c r="AO807" s="82"/>
      <c r="AP807" s="82"/>
      <c r="AQ807" s="82"/>
      <c r="AR807" s="82"/>
      <c r="AS807" s="82"/>
      <c r="AT807" s="82"/>
      <c r="AU807" s="82"/>
      <c r="AV807" s="82"/>
      <c r="AW807" s="7"/>
      <c r="AX807" s="82"/>
      <c r="AY807" s="7"/>
      <c r="AZ807" s="7"/>
      <c r="BA807" s="7"/>
      <c r="BB807" s="7"/>
      <c r="BC807" s="7"/>
      <c r="BD807" s="7"/>
      <c r="BE807" s="7"/>
      <c r="BF807" s="7"/>
      <c r="BG807" s="7"/>
    </row>
    <row r="808">
      <c r="A808" s="39"/>
      <c r="B808" s="39"/>
      <c r="C808" s="7"/>
      <c r="D808" s="53"/>
      <c r="E808" s="7"/>
      <c r="F808" s="53"/>
      <c r="G808" s="16"/>
      <c r="H808" s="16"/>
      <c r="J808" s="39"/>
      <c r="K808" s="53"/>
      <c r="L808" s="90"/>
      <c r="M808" s="39"/>
      <c r="N808" s="327"/>
      <c r="O808" s="322"/>
      <c r="P808" s="82"/>
      <c r="Q808" s="82"/>
      <c r="R808" s="82"/>
      <c r="S808" s="16"/>
      <c r="T808" s="16"/>
      <c r="U808" s="39"/>
      <c r="V808" s="7"/>
      <c r="W808" s="7"/>
      <c r="X808" s="93"/>
      <c r="Y808" s="131"/>
      <c r="Z808" s="131"/>
      <c r="AA808" s="131"/>
      <c r="AB808" s="85"/>
      <c r="AC808" s="85"/>
      <c r="AD808" s="325"/>
      <c r="AE808" s="85"/>
      <c r="AF808" s="90"/>
      <c r="AG808" s="87"/>
      <c r="AH808" s="39"/>
      <c r="AI808" s="87"/>
      <c r="AJ808" s="81"/>
      <c r="AK808" s="90"/>
      <c r="AL808" s="81"/>
      <c r="AM808" s="39"/>
      <c r="AN808" s="82"/>
      <c r="AO808" s="82"/>
      <c r="AP808" s="82"/>
      <c r="AQ808" s="82"/>
      <c r="AR808" s="82"/>
      <c r="AS808" s="82"/>
      <c r="AT808" s="82"/>
      <c r="AU808" s="82"/>
      <c r="AV808" s="82"/>
      <c r="AW808" s="7"/>
      <c r="AX808" s="82"/>
      <c r="AY808" s="7"/>
      <c r="AZ808" s="7"/>
      <c r="BA808" s="7"/>
      <c r="BB808" s="7"/>
      <c r="BC808" s="7"/>
      <c r="BD808" s="7"/>
      <c r="BE808" s="7"/>
      <c r="BF808" s="7"/>
      <c r="BG808" s="7"/>
    </row>
    <row r="809">
      <c r="A809" s="39"/>
      <c r="B809" s="39"/>
      <c r="C809" s="7"/>
      <c r="D809" s="53"/>
      <c r="E809" s="7"/>
      <c r="F809" s="53"/>
      <c r="G809" s="16"/>
      <c r="H809" s="16"/>
      <c r="J809" s="39"/>
      <c r="K809" s="53"/>
      <c r="L809" s="90"/>
      <c r="M809" s="39"/>
      <c r="N809" s="327"/>
      <c r="O809" s="322"/>
      <c r="P809" s="82"/>
      <c r="Q809" s="82"/>
      <c r="R809" s="82"/>
      <c r="S809" s="16"/>
      <c r="T809" s="16"/>
      <c r="U809" s="39"/>
      <c r="V809" s="7"/>
      <c r="W809" s="7"/>
      <c r="X809" s="93"/>
      <c r="Y809" s="131"/>
      <c r="Z809" s="131"/>
      <c r="AA809" s="131"/>
      <c r="AB809" s="85"/>
      <c r="AC809" s="85"/>
      <c r="AD809" s="325"/>
      <c r="AE809" s="85"/>
      <c r="AF809" s="90"/>
      <c r="AG809" s="87"/>
      <c r="AH809" s="39"/>
      <c r="AI809" s="87"/>
      <c r="AJ809" s="81"/>
      <c r="AK809" s="90"/>
      <c r="AL809" s="81"/>
      <c r="AM809" s="39"/>
      <c r="AN809" s="82"/>
      <c r="AO809" s="82"/>
      <c r="AP809" s="82"/>
      <c r="AQ809" s="82"/>
      <c r="AR809" s="82"/>
      <c r="AS809" s="82"/>
      <c r="AT809" s="82"/>
      <c r="AU809" s="82"/>
      <c r="AV809" s="82"/>
      <c r="AW809" s="7"/>
      <c r="AX809" s="82"/>
      <c r="AY809" s="7"/>
      <c r="AZ809" s="7"/>
      <c r="BA809" s="7"/>
      <c r="BB809" s="7"/>
      <c r="BC809" s="7"/>
      <c r="BD809" s="7"/>
      <c r="BE809" s="7"/>
      <c r="BF809" s="7"/>
      <c r="BG809" s="7"/>
    </row>
    <row r="810">
      <c r="A810" s="39"/>
      <c r="B810" s="39"/>
      <c r="C810" s="7"/>
      <c r="D810" s="53"/>
      <c r="E810" s="7"/>
      <c r="F810" s="53"/>
      <c r="G810" s="16"/>
      <c r="H810" s="16"/>
      <c r="J810" s="39"/>
      <c r="K810" s="53"/>
      <c r="L810" s="90"/>
      <c r="M810" s="39"/>
      <c r="N810" s="327"/>
      <c r="O810" s="367"/>
      <c r="P810" s="82"/>
      <c r="Q810" s="82"/>
      <c r="R810" s="82"/>
      <c r="S810" s="16"/>
      <c r="T810" s="16"/>
      <c r="U810" s="39"/>
      <c r="V810" s="7"/>
      <c r="W810" s="7"/>
      <c r="X810" s="93"/>
      <c r="Y810" s="131"/>
      <c r="Z810" s="131"/>
      <c r="AA810" s="131"/>
      <c r="AB810" s="85"/>
      <c r="AC810" s="85"/>
      <c r="AD810" s="325"/>
      <c r="AE810" s="85"/>
      <c r="AF810" s="90"/>
      <c r="AG810" s="87"/>
      <c r="AH810" s="39"/>
      <c r="AI810" s="87"/>
      <c r="AJ810" s="81"/>
      <c r="AK810" s="90"/>
      <c r="AL810" s="81"/>
      <c r="AM810" s="39"/>
      <c r="AN810" s="82"/>
      <c r="AO810" s="82"/>
      <c r="AP810" s="82"/>
      <c r="AQ810" s="82"/>
      <c r="AR810" s="82"/>
      <c r="AS810" s="82"/>
      <c r="AT810" s="82"/>
      <c r="AU810" s="82"/>
      <c r="AV810" s="82"/>
      <c r="AW810" s="7"/>
      <c r="AX810" s="82"/>
      <c r="AY810" s="7"/>
      <c r="AZ810" s="7"/>
      <c r="BA810" s="7"/>
      <c r="BB810" s="7"/>
      <c r="BC810" s="7"/>
      <c r="BD810" s="7"/>
      <c r="BE810" s="7"/>
      <c r="BF810" s="7"/>
      <c r="BG810" s="7"/>
    </row>
    <row r="811">
      <c r="A811" s="39"/>
      <c r="B811" s="39"/>
      <c r="C811" s="7"/>
      <c r="D811" s="53"/>
      <c r="E811" s="7"/>
      <c r="F811" s="53"/>
      <c r="G811" s="16"/>
      <c r="H811" s="16"/>
      <c r="J811" s="39"/>
      <c r="K811" s="53"/>
      <c r="L811" s="90"/>
      <c r="M811" s="39"/>
      <c r="N811" s="327"/>
      <c r="O811" s="367"/>
      <c r="P811" s="82"/>
      <c r="Q811" s="82"/>
      <c r="R811" s="82"/>
      <c r="S811" s="16"/>
      <c r="T811" s="16"/>
      <c r="U811" s="39"/>
      <c r="V811" s="7"/>
      <c r="W811" s="7"/>
      <c r="X811" s="93"/>
      <c r="Y811" s="131"/>
      <c r="Z811" s="131"/>
      <c r="AA811" s="131"/>
      <c r="AB811" s="85"/>
      <c r="AC811" s="85"/>
      <c r="AD811" s="325"/>
      <c r="AE811" s="85"/>
      <c r="AF811" s="90"/>
      <c r="AG811" s="87"/>
      <c r="AH811" s="39"/>
      <c r="AI811" s="87"/>
      <c r="AJ811" s="81"/>
      <c r="AK811" s="90"/>
      <c r="AL811" s="81"/>
      <c r="AM811" s="39"/>
      <c r="AN811" s="82"/>
      <c r="AO811" s="82"/>
      <c r="AP811" s="82"/>
      <c r="AQ811" s="82"/>
      <c r="AR811" s="82"/>
      <c r="AS811" s="82"/>
      <c r="AT811" s="82"/>
      <c r="AU811" s="82"/>
      <c r="AV811" s="82"/>
      <c r="AW811" s="7"/>
      <c r="AX811" s="82"/>
      <c r="AY811" s="7"/>
      <c r="AZ811" s="7"/>
      <c r="BA811" s="7"/>
      <c r="BB811" s="7"/>
      <c r="BC811" s="7"/>
      <c r="BD811" s="7"/>
      <c r="BE811" s="7"/>
      <c r="BF811" s="7"/>
      <c r="BG811" s="7"/>
    </row>
    <row r="812">
      <c r="A812" s="39"/>
      <c r="B812" s="39"/>
      <c r="C812" s="7"/>
      <c r="D812" s="53"/>
      <c r="E812" s="7"/>
      <c r="F812" s="53"/>
      <c r="G812" s="16"/>
      <c r="H812" s="16"/>
      <c r="J812" s="39"/>
      <c r="K812" s="53"/>
      <c r="L812" s="90"/>
      <c r="M812" s="39"/>
      <c r="N812" s="327"/>
      <c r="O812" s="367"/>
      <c r="P812" s="82"/>
      <c r="Q812" s="82"/>
      <c r="R812" s="82"/>
      <c r="S812" s="16"/>
      <c r="T812" s="16"/>
      <c r="U812" s="39"/>
      <c r="V812" s="7"/>
      <c r="W812" s="7"/>
      <c r="X812" s="93"/>
      <c r="Y812" s="131"/>
      <c r="Z812" s="131"/>
      <c r="AA812" s="131"/>
      <c r="AB812" s="85"/>
      <c r="AC812" s="85"/>
      <c r="AD812" s="325"/>
      <c r="AE812" s="85"/>
      <c r="AF812" s="90"/>
      <c r="AG812" s="87"/>
      <c r="AH812" s="39"/>
      <c r="AI812" s="87"/>
      <c r="AJ812" s="81"/>
      <c r="AK812" s="90"/>
      <c r="AL812" s="81"/>
      <c r="AM812" s="39"/>
      <c r="AN812" s="82"/>
      <c r="AO812" s="82"/>
      <c r="AP812" s="82"/>
      <c r="AQ812" s="82"/>
      <c r="AR812" s="82"/>
      <c r="AS812" s="82"/>
      <c r="AT812" s="82"/>
      <c r="AU812" s="82"/>
      <c r="AV812" s="82"/>
      <c r="AW812" s="7"/>
      <c r="AX812" s="82"/>
      <c r="AY812" s="7"/>
      <c r="AZ812" s="7"/>
      <c r="BA812" s="7"/>
      <c r="BB812" s="7"/>
      <c r="BC812" s="7"/>
      <c r="BD812" s="7"/>
      <c r="BE812" s="7"/>
      <c r="BF812" s="7"/>
      <c r="BG812" s="7"/>
    </row>
    <row r="813">
      <c r="A813" s="39"/>
      <c r="B813" s="39"/>
      <c r="C813" s="7"/>
      <c r="D813" s="53"/>
      <c r="E813" s="7"/>
      <c r="F813" s="53"/>
      <c r="G813" s="16"/>
      <c r="H813" s="16"/>
      <c r="J813" s="39"/>
      <c r="K813" s="53"/>
      <c r="L813" s="90"/>
      <c r="M813" s="39"/>
      <c r="N813" s="327"/>
      <c r="O813" s="367"/>
      <c r="P813" s="82"/>
      <c r="Q813" s="82"/>
      <c r="R813" s="82"/>
      <c r="S813" s="16"/>
      <c r="T813" s="16"/>
      <c r="U813" s="39"/>
      <c r="V813" s="7"/>
      <c r="W813" s="7"/>
      <c r="X813" s="93"/>
      <c r="Y813" s="131"/>
      <c r="Z813" s="131"/>
      <c r="AA813" s="131"/>
      <c r="AB813" s="85"/>
      <c r="AC813" s="85"/>
      <c r="AD813" s="325"/>
      <c r="AE813" s="85"/>
      <c r="AF813" s="90"/>
      <c r="AG813" s="87"/>
      <c r="AH813" s="39"/>
      <c r="AI813" s="87"/>
      <c r="AJ813" s="81"/>
      <c r="AK813" s="90"/>
      <c r="AL813" s="81"/>
      <c r="AM813" s="39"/>
      <c r="AN813" s="82"/>
      <c r="AO813" s="82"/>
      <c r="AP813" s="82"/>
      <c r="AQ813" s="82"/>
      <c r="AR813" s="82"/>
      <c r="AS813" s="82"/>
      <c r="AT813" s="82"/>
      <c r="AU813" s="82"/>
      <c r="AV813" s="82"/>
      <c r="AW813" s="7"/>
      <c r="AX813" s="82"/>
      <c r="AY813" s="7"/>
      <c r="AZ813" s="7"/>
      <c r="BA813" s="7"/>
      <c r="BB813" s="7"/>
      <c r="BC813" s="7"/>
      <c r="BD813" s="7"/>
      <c r="BE813" s="7"/>
      <c r="BF813" s="7"/>
      <c r="BG813" s="7"/>
    </row>
    <row r="814">
      <c r="A814" s="39"/>
      <c r="B814" s="39"/>
      <c r="C814" s="7"/>
      <c r="D814" s="53"/>
      <c r="E814" s="7"/>
      <c r="F814" s="53"/>
      <c r="G814" s="16"/>
      <c r="H814" s="16"/>
      <c r="J814" s="16"/>
      <c r="K814" s="53"/>
      <c r="L814" s="90"/>
      <c r="M814" s="39"/>
      <c r="N814" s="327"/>
      <c r="O814" s="374"/>
      <c r="P814" s="7"/>
      <c r="Q814" s="7"/>
      <c r="R814" s="7"/>
      <c r="S814" s="16"/>
      <c r="T814" s="16"/>
      <c r="U814" s="39"/>
      <c r="V814" s="7"/>
      <c r="W814" s="7"/>
      <c r="X814" s="93"/>
      <c r="Y814" s="131"/>
      <c r="Z814" s="131"/>
      <c r="AA814" s="131"/>
      <c r="AB814" s="85"/>
      <c r="AC814" s="85"/>
      <c r="AD814" s="325"/>
      <c r="AE814" s="85"/>
      <c r="AF814" s="90"/>
      <c r="AG814" s="87"/>
      <c r="AH814" s="39"/>
      <c r="AI814" s="87"/>
      <c r="AJ814" s="81"/>
      <c r="AK814" s="21"/>
      <c r="AL814" s="81"/>
      <c r="AM814" s="39"/>
      <c r="AN814" s="82"/>
      <c r="AO814" s="82"/>
      <c r="AP814" s="82"/>
      <c r="AQ814" s="82"/>
      <c r="AR814" s="7"/>
      <c r="AS814" s="82"/>
      <c r="AT814" s="7"/>
      <c r="AU814" s="82"/>
      <c r="AV814" s="7"/>
      <c r="AW814" s="7"/>
      <c r="AX814" s="82"/>
      <c r="AY814" s="7"/>
      <c r="AZ814" s="7"/>
      <c r="BA814" s="7"/>
      <c r="BB814" s="7"/>
      <c r="BC814" s="7"/>
      <c r="BD814" s="7"/>
      <c r="BE814" s="7"/>
      <c r="BF814" s="7"/>
      <c r="BG814" s="7"/>
    </row>
    <row r="815">
      <c r="A815" s="39"/>
      <c r="B815" s="39"/>
      <c r="C815" s="7"/>
      <c r="D815" s="53"/>
      <c r="E815" s="7"/>
      <c r="F815" s="53"/>
      <c r="G815" s="16"/>
      <c r="H815" s="16"/>
      <c r="J815" s="39"/>
      <c r="K815" s="53"/>
      <c r="L815" s="90"/>
      <c r="M815" s="39"/>
      <c r="N815" s="321"/>
      <c r="O815" s="322"/>
      <c r="P815" s="82"/>
      <c r="Q815" s="82"/>
      <c r="R815" s="82"/>
      <c r="S815" s="16"/>
      <c r="T815" s="16"/>
      <c r="U815" s="39"/>
      <c r="V815" s="7"/>
      <c r="W815" s="7"/>
      <c r="X815" s="93"/>
      <c r="Y815" s="131"/>
      <c r="Z815" s="131"/>
      <c r="AA815" s="131"/>
      <c r="AB815" s="85"/>
      <c r="AC815" s="85"/>
      <c r="AD815" s="325"/>
      <c r="AE815" s="85"/>
      <c r="AF815" s="90"/>
      <c r="AG815" s="87"/>
      <c r="AH815" s="39"/>
      <c r="AI815" s="87"/>
      <c r="AJ815" s="81"/>
      <c r="AK815" s="90"/>
      <c r="AL815" s="81"/>
      <c r="AM815" s="39"/>
      <c r="AN815" s="82"/>
      <c r="AO815" s="82"/>
      <c r="AP815" s="82"/>
      <c r="AQ815" s="82"/>
      <c r="AR815" s="82"/>
      <c r="AS815" s="82"/>
      <c r="AT815" s="82"/>
      <c r="AU815" s="82"/>
      <c r="AV815" s="82"/>
      <c r="AW815" s="7"/>
      <c r="AX815" s="82"/>
      <c r="AY815" s="7"/>
      <c r="AZ815" s="7"/>
      <c r="BA815" s="7"/>
      <c r="BB815" s="7"/>
      <c r="BC815" s="7"/>
      <c r="BD815" s="7"/>
      <c r="BE815" s="7"/>
      <c r="BF815" s="7"/>
      <c r="BG815" s="7"/>
    </row>
    <row r="816">
      <c r="A816" s="39"/>
      <c r="B816" s="39"/>
      <c r="C816" s="7"/>
      <c r="D816" s="53"/>
      <c r="E816" s="7"/>
      <c r="F816" s="53"/>
      <c r="G816" s="16"/>
      <c r="H816" s="16"/>
      <c r="J816" s="39"/>
      <c r="K816" s="53"/>
      <c r="L816" s="90"/>
      <c r="M816" s="39"/>
      <c r="N816" s="327"/>
      <c r="O816" s="322"/>
      <c r="P816" s="82"/>
      <c r="Q816" s="82"/>
      <c r="R816" s="82"/>
      <c r="S816" s="16"/>
      <c r="T816" s="16"/>
      <c r="U816" s="39"/>
      <c r="V816" s="7"/>
      <c r="W816" s="7"/>
      <c r="X816" s="93"/>
      <c r="Y816" s="131"/>
      <c r="Z816" s="131"/>
      <c r="AA816" s="131"/>
      <c r="AB816" s="85"/>
      <c r="AC816" s="85"/>
      <c r="AD816" s="325"/>
      <c r="AE816" s="85"/>
      <c r="AF816" s="90"/>
      <c r="AG816" s="87"/>
      <c r="AH816" s="39"/>
      <c r="AI816" s="87"/>
      <c r="AJ816" s="81"/>
      <c r="AK816" s="90"/>
      <c r="AL816" s="81"/>
      <c r="AM816" s="39"/>
      <c r="AN816" s="82"/>
      <c r="AO816" s="82"/>
      <c r="AP816" s="82"/>
      <c r="AQ816" s="82"/>
      <c r="AR816" s="82"/>
      <c r="AS816" s="82"/>
      <c r="AT816" s="82"/>
      <c r="AU816" s="82"/>
      <c r="AV816" s="82"/>
      <c r="AW816" s="7"/>
      <c r="AX816" s="82"/>
      <c r="AY816" s="7"/>
      <c r="AZ816" s="7"/>
      <c r="BA816" s="7"/>
      <c r="BB816" s="7"/>
      <c r="BC816" s="7"/>
      <c r="BD816" s="7"/>
      <c r="BE816" s="7"/>
      <c r="BF816" s="7"/>
      <c r="BG816" s="7"/>
    </row>
    <row r="817">
      <c r="A817" s="39"/>
      <c r="B817" s="39"/>
      <c r="C817" s="7"/>
      <c r="D817" s="53"/>
      <c r="E817" s="7"/>
      <c r="F817" s="53"/>
      <c r="G817" s="16"/>
      <c r="H817" s="81"/>
      <c r="J817" s="39"/>
      <c r="K817" s="53"/>
      <c r="L817" s="90"/>
      <c r="M817" s="39"/>
      <c r="N817" s="327"/>
      <c r="O817" s="367"/>
      <c r="P817" s="82"/>
      <c r="Q817" s="82"/>
      <c r="R817" s="82"/>
      <c r="S817" s="16"/>
      <c r="T817" s="16"/>
      <c r="U817" s="39"/>
      <c r="V817" s="7"/>
      <c r="W817" s="7"/>
      <c r="X817" s="93"/>
      <c r="Y817" s="131"/>
      <c r="Z817" s="131"/>
      <c r="AA817" s="131"/>
      <c r="AB817" s="131"/>
      <c r="AC817" s="131"/>
      <c r="AD817" s="323"/>
      <c r="AE817" s="131"/>
      <c r="AF817" s="90"/>
      <c r="AG817" s="87"/>
      <c r="AH817" s="39"/>
      <c r="AI817" s="87"/>
      <c r="AJ817" s="81"/>
      <c r="AK817" s="90"/>
      <c r="AL817" s="81"/>
      <c r="AM817" s="39"/>
      <c r="AN817" s="82"/>
      <c r="AO817" s="82"/>
      <c r="AP817" s="82"/>
      <c r="AQ817" s="7"/>
      <c r="AR817" s="6"/>
      <c r="AS817" s="82"/>
      <c r="AT817" s="7"/>
      <c r="AU817" s="82"/>
      <c r="AV817" s="7"/>
      <c r="AW817" s="7"/>
      <c r="AX817" s="82"/>
      <c r="AY817" s="7"/>
      <c r="AZ817" s="7"/>
      <c r="BA817" s="7"/>
      <c r="BB817" s="7"/>
      <c r="BC817" s="7"/>
      <c r="BD817" s="7"/>
      <c r="BE817" s="7"/>
      <c r="BF817" s="7"/>
      <c r="BG817" s="7"/>
    </row>
    <row r="818">
      <c r="A818" s="39"/>
      <c r="B818" s="39"/>
      <c r="C818" s="7"/>
      <c r="D818" s="53"/>
      <c r="E818" s="7"/>
      <c r="F818" s="53"/>
      <c r="G818" s="16"/>
      <c r="H818" s="81"/>
      <c r="J818" s="39"/>
      <c r="K818" s="53"/>
      <c r="L818" s="90"/>
      <c r="M818" s="39"/>
      <c r="N818" s="327"/>
      <c r="O818" s="367"/>
      <c r="P818" s="82"/>
      <c r="Q818" s="82"/>
      <c r="R818" s="82"/>
      <c r="S818" s="16"/>
      <c r="T818" s="16"/>
      <c r="U818" s="39"/>
      <c r="V818" s="7"/>
      <c r="W818" s="7"/>
      <c r="X818" s="93"/>
      <c r="Y818" s="131"/>
      <c r="Z818" s="131"/>
      <c r="AA818" s="131"/>
      <c r="AB818" s="131"/>
      <c r="AC818" s="131"/>
      <c r="AD818" s="323"/>
      <c r="AE818" s="131"/>
      <c r="AF818" s="90"/>
      <c r="AG818" s="87"/>
      <c r="AH818" s="39"/>
      <c r="AI818" s="87"/>
      <c r="AJ818" s="81"/>
      <c r="AK818" s="90"/>
      <c r="AL818" s="81"/>
      <c r="AM818" s="39"/>
      <c r="AN818" s="82"/>
      <c r="AO818" s="82"/>
      <c r="AP818" s="82"/>
      <c r="AQ818" s="7"/>
      <c r="AR818" s="13"/>
      <c r="AS818" s="82"/>
      <c r="AT818" s="82"/>
      <c r="AU818" s="82"/>
      <c r="AV818" s="82"/>
      <c r="AW818" s="7"/>
      <c r="AX818" s="82"/>
      <c r="AY818" s="7"/>
      <c r="AZ818" s="7"/>
      <c r="BA818" s="7"/>
      <c r="BB818" s="7"/>
      <c r="BC818" s="7"/>
      <c r="BD818" s="7"/>
      <c r="BE818" s="7"/>
      <c r="BF818" s="7"/>
      <c r="BG818" s="7"/>
    </row>
    <row r="819">
      <c r="A819" s="39"/>
      <c r="B819" s="39"/>
      <c r="C819" s="7"/>
      <c r="D819" s="53"/>
      <c r="E819" s="7"/>
      <c r="F819" s="53"/>
      <c r="G819" s="16"/>
      <c r="H819" s="81"/>
      <c r="J819" s="39"/>
      <c r="K819" s="53"/>
      <c r="L819" s="90"/>
      <c r="M819" s="39"/>
      <c r="N819" s="327"/>
      <c r="O819" s="367"/>
      <c r="P819" s="82"/>
      <c r="Q819" s="82"/>
      <c r="R819" s="82"/>
      <c r="S819" s="16"/>
      <c r="T819" s="16"/>
      <c r="U819" s="39"/>
      <c r="V819" s="7"/>
      <c r="W819" s="7"/>
      <c r="X819" s="93"/>
      <c r="Y819" s="131"/>
      <c r="Z819" s="131"/>
      <c r="AA819" s="131"/>
      <c r="AB819" s="131"/>
      <c r="AC819" s="131"/>
      <c r="AD819" s="323"/>
      <c r="AE819" s="131"/>
      <c r="AF819" s="90"/>
      <c r="AG819" s="87"/>
      <c r="AH819" s="39"/>
      <c r="AI819" s="87"/>
      <c r="AJ819" s="81"/>
      <c r="AK819" s="90"/>
      <c r="AL819" s="81"/>
      <c r="AM819" s="39"/>
      <c r="AN819" s="82"/>
      <c r="AO819" s="82"/>
      <c r="AP819" s="82"/>
      <c r="AQ819" s="7"/>
      <c r="AR819" s="13"/>
      <c r="AS819" s="82"/>
      <c r="AT819" s="82"/>
      <c r="AU819" s="82"/>
      <c r="AV819" s="82"/>
      <c r="AW819" s="7"/>
      <c r="AX819" s="82"/>
      <c r="AY819" s="7"/>
      <c r="AZ819" s="7"/>
      <c r="BA819" s="7"/>
      <c r="BB819" s="7"/>
      <c r="BC819" s="7"/>
      <c r="BD819" s="7"/>
      <c r="BE819" s="7"/>
      <c r="BF819" s="7"/>
      <c r="BG819" s="7"/>
    </row>
    <row r="820">
      <c r="A820" s="39"/>
      <c r="B820" s="39"/>
      <c r="C820" s="7"/>
      <c r="D820" s="53"/>
      <c r="E820" s="7"/>
      <c r="F820" s="53"/>
      <c r="G820" s="16"/>
      <c r="H820" s="81"/>
      <c r="J820" s="39"/>
      <c r="K820" s="53"/>
      <c r="L820" s="90"/>
      <c r="M820" s="39"/>
      <c r="N820" s="327"/>
      <c r="O820" s="367"/>
      <c r="P820" s="82"/>
      <c r="Q820" s="82"/>
      <c r="R820" s="82"/>
      <c r="S820" s="16"/>
      <c r="T820" s="16"/>
      <c r="U820" s="39"/>
      <c r="V820" s="7"/>
      <c r="W820" s="7"/>
      <c r="X820" s="93"/>
      <c r="Y820" s="131"/>
      <c r="Z820" s="131"/>
      <c r="AA820" s="131"/>
      <c r="AB820" s="131"/>
      <c r="AC820" s="131"/>
      <c r="AD820" s="323"/>
      <c r="AE820" s="131"/>
      <c r="AF820" s="90"/>
      <c r="AG820" s="87"/>
      <c r="AH820" s="39"/>
      <c r="AI820" s="87"/>
      <c r="AJ820" s="81"/>
      <c r="AK820" s="90"/>
      <c r="AL820" s="81"/>
      <c r="AM820" s="39"/>
      <c r="AN820" s="82"/>
      <c r="AO820" s="82"/>
      <c r="AP820" s="82"/>
      <c r="AQ820" s="7"/>
      <c r="AR820" s="13"/>
      <c r="AS820" s="82"/>
      <c r="AT820" s="82"/>
      <c r="AU820" s="82"/>
      <c r="AV820" s="82"/>
      <c r="AW820" s="7"/>
      <c r="AX820" s="82"/>
      <c r="AY820" s="7"/>
      <c r="AZ820" s="7"/>
      <c r="BA820" s="7"/>
      <c r="BB820" s="7"/>
      <c r="BC820" s="7"/>
      <c r="BD820" s="7"/>
      <c r="BE820" s="7"/>
      <c r="BF820" s="7"/>
      <c r="BG820" s="7"/>
    </row>
    <row r="821">
      <c r="A821" s="39"/>
      <c r="B821" s="39"/>
      <c r="C821" s="7"/>
      <c r="D821" s="53"/>
      <c r="E821" s="7"/>
      <c r="F821" s="53"/>
      <c r="G821" s="16"/>
      <c r="H821" s="81"/>
      <c r="J821" s="39"/>
      <c r="K821" s="53"/>
      <c r="L821" s="90"/>
      <c r="M821" s="39"/>
      <c r="N821" s="327"/>
      <c r="O821" s="367"/>
      <c r="P821" s="82"/>
      <c r="Q821" s="82"/>
      <c r="R821" s="82"/>
      <c r="S821" s="16"/>
      <c r="T821" s="16"/>
      <c r="U821" s="39"/>
      <c r="V821" s="7"/>
      <c r="W821" s="7"/>
      <c r="X821" s="93"/>
      <c r="Y821" s="131"/>
      <c r="Z821" s="131"/>
      <c r="AA821" s="131"/>
      <c r="AB821" s="131"/>
      <c r="AC821" s="131"/>
      <c r="AD821" s="323"/>
      <c r="AE821" s="131"/>
      <c r="AF821" s="90"/>
      <c r="AG821" s="87"/>
      <c r="AH821" s="39"/>
      <c r="AI821" s="87"/>
      <c r="AJ821" s="81"/>
      <c r="AK821" s="90"/>
      <c r="AL821" s="81"/>
      <c r="AM821" s="39"/>
      <c r="AN821" s="82"/>
      <c r="AO821" s="82"/>
      <c r="AP821" s="82"/>
      <c r="AQ821" s="7"/>
      <c r="AR821" s="13"/>
      <c r="AS821" s="82"/>
      <c r="AT821" s="82"/>
      <c r="AU821" s="82"/>
      <c r="AV821" s="82"/>
      <c r="AW821" s="7"/>
      <c r="AX821" s="82"/>
      <c r="AY821" s="7"/>
      <c r="AZ821" s="7"/>
      <c r="BA821" s="7"/>
      <c r="BB821" s="7"/>
      <c r="BC821" s="7"/>
      <c r="BD821" s="7"/>
      <c r="BE821" s="7"/>
      <c r="BF821" s="7"/>
      <c r="BG821" s="7"/>
    </row>
    <row r="822">
      <c r="A822" s="39"/>
      <c r="B822" s="39"/>
      <c r="C822" s="7"/>
      <c r="D822" s="53"/>
      <c r="E822" s="7"/>
      <c r="F822" s="53"/>
      <c r="G822" s="16"/>
      <c r="H822" s="81"/>
      <c r="J822" s="39"/>
      <c r="K822" s="53"/>
      <c r="L822" s="90"/>
      <c r="M822" s="39"/>
      <c r="N822" s="327"/>
      <c r="O822" s="367"/>
      <c r="P822" s="82"/>
      <c r="Q822" s="82"/>
      <c r="R822" s="82"/>
      <c r="S822" s="16"/>
      <c r="T822" s="16"/>
      <c r="U822" s="39"/>
      <c r="V822" s="7"/>
      <c r="W822" s="7"/>
      <c r="X822" s="93"/>
      <c r="Y822" s="131"/>
      <c r="Z822" s="131"/>
      <c r="AA822" s="131"/>
      <c r="AB822" s="131"/>
      <c r="AC822" s="131"/>
      <c r="AD822" s="323"/>
      <c r="AE822" s="131"/>
      <c r="AF822" s="90"/>
      <c r="AG822" s="87"/>
      <c r="AH822" s="39"/>
      <c r="AI822" s="87"/>
      <c r="AJ822" s="81"/>
      <c r="AK822" s="90"/>
      <c r="AL822" s="81"/>
      <c r="AM822" s="39"/>
      <c r="AN822" s="82"/>
      <c r="AO822" s="82"/>
      <c r="AP822" s="82"/>
      <c r="AQ822" s="7"/>
      <c r="AR822" s="13"/>
      <c r="AS822" s="82"/>
      <c r="AT822" s="82"/>
      <c r="AU822" s="82"/>
      <c r="AV822" s="82"/>
      <c r="AW822" s="7"/>
      <c r="AX822" s="82"/>
      <c r="AY822" s="7"/>
      <c r="AZ822" s="7"/>
      <c r="BA822" s="7"/>
      <c r="BB822" s="7"/>
      <c r="BC822" s="7"/>
      <c r="BD822" s="7"/>
      <c r="BE822" s="7"/>
      <c r="BF822" s="7"/>
      <c r="BG822" s="7"/>
    </row>
    <row r="823">
      <c r="A823" s="39"/>
      <c r="B823" s="39"/>
      <c r="C823" s="7"/>
      <c r="D823" s="53"/>
      <c r="E823" s="7"/>
      <c r="F823" s="53"/>
      <c r="G823" s="16"/>
      <c r="H823" s="81"/>
      <c r="J823" s="39"/>
      <c r="K823" s="53"/>
      <c r="L823" s="90"/>
      <c r="M823" s="39"/>
      <c r="N823" s="321"/>
      <c r="O823" s="368"/>
      <c r="P823" s="82"/>
      <c r="Q823" s="82"/>
      <c r="R823" s="82"/>
      <c r="S823" s="16"/>
      <c r="T823" s="16"/>
      <c r="U823" s="39"/>
      <c r="V823" s="7"/>
      <c r="W823" s="7"/>
      <c r="X823" s="93"/>
      <c r="Y823" s="131"/>
      <c r="Z823" s="131"/>
      <c r="AA823" s="131"/>
      <c r="AB823" s="131"/>
      <c r="AC823" s="131"/>
      <c r="AD823" s="323"/>
      <c r="AE823" s="131"/>
      <c r="AF823" s="90"/>
      <c r="AG823" s="87"/>
      <c r="AH823" s="39"/>
      <c r="AI823" s="87"/>
      <c r="AJ823" s="81"/>
      <c r="AK823" s="90"/>
      <c r="AL823" s="81"/>
      <c r="AM823" s="39"/>
      <c r="AN823" s="82"/>
      <c r="AO823" s="82"/>
      <c r="AP823" s="82"/>
      <c r="AQ823" s="82"/>
      <c r="AR823" s="13"/>
      <c r="AS823" s="82"/>
      <c r="AT823" s="82"/>
      <c r="AU823" s="82"/>
      <c r="AV823" s="82"/>
      <c r="AW823" s="7"/>
      <c r="AX823" s="82"/>
      <c r="AY823" s="7"/>
      <c r="AZ823" s="7"/>
      <c r="BA823" s="7"/>
      <c r="BB823" s="7"/>
      <c r="BC823" s="7"/>
      <c r="BD823" s="7"/>
      <c r="BE823" s="7"/>
      <c r="BF823" s="7"/>
      <c r="BG823" s="7"/>
    </row>
    <row r="824">
      <c r="A824" s="39"/>
      <c r="B824" s="39"/>
      <c r="C824" s="7"/>
      <c r="D824" s="53"/>
      <c r="E824" s="7"/>
      <c r="F824" s="53"/>
      <c r="G824" s="16"/>
      <c r="H824" s="16"/>
      <c r="J824" s="39"/>
      <c r="K824" s="53"/>
      <c r="L824" s="90"/>
      <c r="M824" s="39"/>
      <c r="N824" s="327"/>
      <c r="O824" s="322"/>
      <c r="P824" s="82"/>
      <c r="Q824" s="82"/>
      <c r="R824" s="82"/>
      <c r="S824" s="16"/>
      <c r="T824" s="16"/>
      <c r="U824" s="39"/>
      <c r="V824" s="7"/>
      <c r="W824" s="7"/>
      <c r="X824" s="93"/>
      <c r="Y824" s="131"/>
      <c r="Z824" s="131"/>
      <c r="AA824" s="131"/>
      <c r="AB824" s="85"/>
      <c r="AC824" s="85"/>
      <c r="AD824" s="325"/>
      <c r="AE824" s="85"/>
      <c r="AF824" s="90"/>
      <c r="AG824" s="87"/>
      <c r="AH824" s="39"/>
      <c r="AI824" s="87"/>
      <c r="AJ824" s="81"/>
      <c r="AK824" s="90"/>
      <c r="AL824" s="81"/>
      <c r="AM824" s="39"/>
      <c r="AN824" s="82"/>
      <c r="AO824" s="82"/>
      <c r="AP824" s="82"/>
      <c r="AQ824" s="82"/>
      <c r="AR824" s="13"/>
      <c r="AS824" s="82"/>
      <c r="AT824" s="82"/>
      <c r="AU824" s="82"/>
      <c r="AV824" s="82"/>
      <c r="AW824" s="7"/>
      <c r="AX824" s="82"/>
      <c r="AY824" s="7"/>
      <c r="AZ824" s="7"/>
      <c r="BA824" s="7"/>
      <c r="BB824" s="7"/>
      <c r="BC824" s="7"/>
      <c r="BD824" s="7"/>
      <c r="BE824" s="7"/>
      <c r="BF824" s="7"/>
      <c r="BG824" s="7"/>
    </row>
    <row r="825">
      <c r="A825" s="39"/>
      <c r="B825" s="39"/>
      <c r="C825" s="7"/>
      <c r="D825" s="53"/>
      <c r="E825" s="7"/>
      <c r="F825" s="53"/>
      <c r="G825" s="16"/>
      <c r="H825" s="16"/>
      <c r="J825" s="39"/>
      <c r="K825" s="53"/>
      <c r="L825" s="90"/>
      <c r="M825" s="39"/>
      <c r="N825" s="327"/>
      <c r="O825" s="367"/>
      <c r="P825" s="82"/>
      <c r="Q825" s="82"/>
      <c r="R825" s="82"/>
      <c r="S825" s="16"/>
      <c r="T825" s="16"/>
      <c r="U825" s="39"/>
      <c r="V825" s="7"/>
      <c r="W825" s="7"/>
      <c r="X825" s="93"/>
      <c r="Y825" s="131"/>
      <c r="Z825" s="131"/>
      <c r="AA825" s="131"/>
      <c r="AB825" s="85"/>
      <c r="AC825" s="85"/>
      <c r="AD825" s="325"/>
      <c r="AE825" s="85"/>
      <c r="AF825" s="90"/>
      <c r="AG825" s="87"/>
      <c r="AH825" s="39"/>
      <c r="AI825" s="87"/>
      <c r="AJ825" s="81"/>
      <c r="AK825" s="90"/>
      <c r="AL825" s="81"/>
      <c r="AM825" s="39"/>
      <c r="AN825" s="82"/>
      <c r="AO825" s="82"/>
      <c r="AP825" s="82"/>
      <c r="AQ825" s="7"/>
      <c r="AR825" s="13"/>
      <c r="AS825" s="82"/>
      <c r="AT825" s="82"/>
      <c r="AU825" s="82"/>
      <c r="AV825" s="82"/>
      <c r="AW825" s="7"/>
      <c r="AX825" s="82"/>
      <c r="AY825" s="7"/>
      <c r="AZ825" s="7"/>
      <c r="BA825" s="7"/>
      <c r="BB825" s="7"/>
      <c r="BC825" s="7"/>
      <c r="BD825" s="7"/>
      <c r="BE825" s="7"/>
      <c r="BF825" s="7"/>
      <c r="BG825" s="7"/>
    </row>
    <row r="826">
      <c r="A826" s="39"/>
      <c r="B826" s="39"/>
      <c r="C826" s="7"/>
      <c r="D826" s="53"/>
      <c r="E826" s="7"/>
      <c r="F826" s="53"/>
      <c r="G826" s="16"/>
      <c r="H826" s="16"/>
      <c r="J826" s="39"/>
      <c r="K826" s="53"/>
      <c r="L826" s="90"/>
      <c r="M826" s="39"/>
      <c r="N826" s="327"/>
      <c r="O826" s="322"/>
      <c r="P826" s="82"/>
      <c r="Q826" s="82"/>
      <c r="R826" s="82"/>
      <c r="S826" s="16"/>
      <c r="T826" s="16"/>
      <c r="U826" s="39"/>
      <c r="V826" s="7"/>
      <c r="W826" s="7"/>
      <c r="X826" s="93"/>
      <c r="Y826" s="131"/>
      <c r="Z826" s="131"/>
      <c r="AA826" s="131"/>
      <c r="AB826" s="85"/>
      <c r="AC826" s="85"/>
      <c r="AD826" s="325"/>
      <c r="AE826" s="85"/>
      <c r="AF826" s="90"/>
      <c r="AG826" s="87"/>
      <c r="AH826" s="39"/>
      <c r="AI826" s="87"/>
      <c r="AJ826" s="81"/>
      <c r="AK826" s="90"/>
      <c r="AL826" s="81"/>
      <c r="AM826" s="39"/>
      <c r="AN826" s="82"/>
      <c r="AO826" s="82"/>
      <c r="AP826" s="82"/>
      <c r="AQ826" s="7"/>
      <c r="AR826" s="13"/>
      <c r="AS826" s="82"/>
      <c r="AT826" s="82"/>
      <c r="AU826" s="82"/>
      <c r="AV826" s="82"/>
      <c r="AW826" s="7"/>
      <c r="AX826" s="82"/>
      <c r="AY826" s="7"/>
      <c r="AZ826" s="7"/>
      <c r="BA826" s="7"/>
      <c r="BB826" s="7"/>
      <c r="BC826" s="7"/>
      <c r="BD826" s="7"/>
      <c r="BE826" s="7"/>
      <c r="BF826" s="7"/>
      <c r="BG826" s="7"/>
    </row>
    <row r="827">
      <c r="A827" s="39"/>
      <c r="B827" s="39"/>
      <c r="C827" s="7"/>
      <c r="D827" s="53"/>
      <c r="E827" s="7"/>
      <c r="F827" s="53"/>
      <c r="G827" s="16"/>
      <c r="H827" s="16"/>
      <c r="J827" s="39"/>
      <c r="K827" s="53"/>
      <c r="L827" s="90"/>
      <c r="M827" s="39"/>
      <c r="N827" s="327"/>
      <c r="O827" s="367"/>
      <c r="P827" s="82"/>
      <c r="Q827" s="82"/>
      <c r="R827" s="82"/>
      <c r="S827" s="16"/>
      <c r="T827" s="16"/>
      <c r="U827" s="39"/>
      <c r="V827" s="7"/>
      <c r="W827" s="7"/>
      <c r="X827" s="93"/>
      <c r="Y827" s="131"/>
      <c r="Z827" s="131"/>
      <c r="AA827" s="131"/>
      <c r="AB827" s="85"/>
      <c r="AC827" s="85"/>
      <c r="AD827" s="325"/>
      <c r="AE827" s="85"/>
      <c r="AF827" s="90"/>
      <c r="AG827" s="87"/>
      <c r="AH827" s="39"/>
      <c r="AI827" s="87"/>
      <c r="AJ827" s="81"/>
      <c r="AK827" s="90"/>
      <c r="AL827" s="81"/>
      <c r="AM827" s="39"/>
      <c r="AN827" s="82"/>
      <c r="AO827" s="82"/>
      <c r="AP827" s="82"/>
      <c r="AQ827" s="82"/>
      <c r="AR827" s="7"/>
      <c r="AS827" s="82"/>
      <c r="AT827" s="7"/>
      <c r="AU827" s="82"/>
      <c r="AV827" s="7"/>
      <c r="AW827" s="7"/>
      <c r="AX827" s="82"/>
      <c r="AY827" s="7"/>
      <c r="AZ827" s="7"/>
      <c r="BA827" s="7"/>
      <c r="BB827" s="7"/>
      <c r="BC827" s="7"/>
      <c r="BD827" s="7"/>
      <c r="BE827" s="7"/>
      <c r="BF827" s="7"/>
      <c r="BG827" s="7"/>
    </row>
    <row r="828">
      <c r="A828" s="39"/>
      <c r="B828" s="39"/>
      <c r="C828" s="7"/>
      <c r="D828" s="53"/>
      <c r="E828" s="7"/>
      <c r="F828" s="53"/>
      <c r="G828" s="16"/>
      <c r="H828" s="16"/>
      <c r="J828" s="39"/>
      <c r="K828" s="53"/>
      <c r="L828" s="90"/>
      <c r="M828" s="39"/>
      <c r="N828" s="327"/>
      <c r="O828" s="367"/>
      <c r="P828" s="82"/>
      <c r="Q828" s="82"/>
      <c r="R828" s="82"/>
      <c r="S828" s="16"/>
      <c r="T828" s="16"/>
      <c r="U828" s="39"/>
      <c r="V828" s="7"/>
      <c r="W828" s="7"/>
      <c r="X828" s="93"/>
      <c r="Y828" s="131"/>
      <c r="Z828" s="131"/>
      <c r="AA828" s="131"/>
      <c r="AB828" s="85"/>
      <c r="AC828" s="85"/>
      <c r="AD828" s="325"/>
      <c r="AE828" s="85"/>
      <c r="AF828" s="90"/>
      <c r="AG828" s="87"/>
      <c r="AH828" s="39"/>
      <c r="AI828" s="87"/>
      <c r="AJ828" s="81"/>
      <c r="AK828" s="90"/>
      <c r="AL828" s="81"/>
      <c r="AM828" s="39"/>
      <c r="AN828" s="82"/>
      <c r="AO828" s="82"/>
      <c r="AP828" s="82"/>
      <c r="AQ828" s="82"/>
      <c r="AR828" s="82"/>
      <c r="AS828" s="82"/>
      <c r="AT828" s="82"/>
      <c r="AU828" s="82"/>
      <c r="AV828" s="82"/>
      <c r="AW828" s="7"/>
      <c r="AX828" s="82"/>
      <c r="AY828" s="7"/>
      <c r="AZ828" s="7"/>
      <c r="BA828" s="7"/>
      <c r="BB828" s="7"/>
      <c r="BC828" s="7"/>
      <c r="BD828" s="7"/>
      <c r="BE828" s="7"/>
      <c r="BF828" s="7"/>
      <c r="BG828" s="7"/>
    </row>
    <row r="829">
      <c r="A829" s="39"/>
      <c r="B829" s="39"/>
      <c r="C829" s="7"/>
      <c r="D829" s="53"/>
      <c r="E829" s="7"/>
      <c r="F829" s="53"/>
      <c r="G829" s="16"/>
      <c r="H829" s="16"/>
      <c r="J829" s="39"/>
      <c r="K829" s="53"/>
      <c r="L829" s="90"/>
      <c r="M829" s="39"/>
      <c r="N829" s="327"/>
      <c r="O829" s="367"/>
      <c r="P829" s="82"/>
      <c r="Q829" s="82"/>
      <c r="R829" s="82"/>
      <c r="S829" s="16"/>
      <c r="T829" s="16"/>
      <c r="U829" s="39"/>
      <c r="V829" s="7"/>
      <c r="W829" s="7"/>
      <c r="X829" s="93"/>
      <c r="Y829" s="131"/>
      <c r="Z829" s="131"/>
      <c r="AA829" s="131"/>
      <c r="AB829" s="85"/>
      <c r="AC829" s="85"/>
      <c r="AD829" s="325"/>
      <c r="AE829" s="85"/>
      <c r="AF829" s="90"/>
      <c r="AG829" s="87"/>
      <c r="AH829" s="39"/>
      <c r="AI829" s="87"/>
      <c r="AJ829" s="81"/>
      <c r="AK829" s="90"/>
      <c r="AL829" s="81"/>
      <c r="AM829" s="39"/>
      <c r="AN829" s="82"/>
      <c r="AO829" s="82"/>
      <c r="AP829" s="82"/>
      <c r="AQ829" s="82"/>
      <c r="AR829" s="82"/>
      <c r="AS829" s="82"/>
      <c r="AT829" s="82"/>
      <c r="AU829" s="82"/>
      <c r="AV829" s="82"/>
      <c r="AW829" s="7"/>
      <c r="AX829" s="82"/>
      <c r="AY829" s="7"/>
      <c r="AZ829" s="7"/>
      <c r="BA829" s="7"/>
      <c r="BB829" s="7"/>
      <c r="BC829" s="7"/>
      <c r="BD829" s="7"/>
      <c r="BE829" s="7"/>
      <c r="BF829" s="7"/>
      <c r="BG829" s="7"/>
    </row>
    <row r="830">
      <c r="A830" s="39"/>
      <c r="B830" s="39"/>
      <c r="C830" s="7"/>
      <c r="D830" s="53"/>
      <c r="E830" s="7"/>
      <c r="F830" s="53"/>
      <c r="G830" s="16"/>
      <c r="H830" s="81"/>
      <c r="J830" s="39"/>
      <c r="K830" s="53"/>
      <c r="L830" s="90"/>
      <c r="M830" s="39"/>
      <c r="N830" s="327"/>
      <c r="O830" s="368"/>
      <c r="P830" s="82"/>
      <c r="Q830" s="82"/>
      <c r="R830" s="82"/>
      <c r="S830" s="16"/>
      <c r="T830" s="16"/>
      <c r="U830" s="39"/>
      <c r="V830" s="7"/>
      <c r="W830" s="7"/>
      <c r="X830" s="93"/>
      <c r="Y830" s="131"/>
      <c r="Z830" s="131"/>
      <c r="AA830" s="131"/>
      <c r="AB830" s="131"/>
      <c r="AC830" s="131"/>
      <c r="AD830" s="323"/>
      <c r="AE830" s="131"/>
      <c r="AF830" s="90"/>
      <c r="AG830" s="87"/>
      <c r="AH830" s="39"/>
      <c r="AI830" s="87"/>
      <c r="AJ830" s="81"/>
      <c r="AK830" s="90"/>
      <c r="AL830" s="81"/>
      <c r="AM830" s="39"/>
      <c r="AN830" s="82"/>
      <c r="AO830" s="82"/>
      <c r="AP830" s="82"/>
      <c r="AQ830" s="7"/>
      <c r="AR830" s="13"/>
      <c r="AS830" s="82"/>
      <c r="AT830" s="82"/>
      <c r="AU830" s="82"/>
      <c r="AV830" s="82"/>
      <c r="AW830" s="7"/>
      <c r="AX830" s="82"/>
      <c r="AY830" s="7"/>
      <c r="AZ830" s="7"/>
      <c r="BA830" s="7"/>
      <c r="BB830" s="7"/>
      <c r="BC830" s="7"/>
      <c r="BD830" s="7"/>
      <c r="BE830" s="7"/>
      <c r="BF830" s="7"/>
      <c r="BG830" s="7"/>
    </row>
    <row r="831">
      <c r="A831" s="39"/>
      <c r="B831" s="39"/>
      <c r="C831" s="7"/>
      <c r="D831" s="53"/>
      <c r="E831" s="7"/>
      <c r="F831" s="53"/>
      <c r="G831" s="16"/>
      <c r="H831" s="81"/>
      <c r="J831" s="39"/>
      <c r="K831" s="53"/>
      <c r="L831" s="90"/>
      <c r="M831" s="39"/>
      <c r="N831" s="327"/>
      <c r="O831" s="322"/>
      <c r="P831" s="82"/>
      <c r="Q831" s="82"/>
      <c r="R831" s="82"/>
      <c r="S831" s="16"/>
      <c r="T831" s="16"/>
      <c r="U831" s="39"/>
      <c r="V831" s="7"/>
      <c r="W831" s="7"/>
      <c r="X831" s="93"/>
      <c r="Y831" s="131"/>
      <c r="Z831" s="131"/>
      <c r="AA831" s="131"/>
      <c r="AB831" s="131"/>
      <c r="AC831" s="131"/>
      <c r="AD831" s="323"/>
      <c r="AE831" s="131"/>
      <c r="AF831" s="90"/>
      <c r="AG831" s="87"/>
      <c r="AH831" s="39"/>
      <c r="AI831" s="87"/>
      <c r="AJ831" s="81"/>
      <c r="AK831" s="90"/>
      <c r="AL831" s="81"/>
      <c r="AM831" s="39"/>
      <c r="AN831" s="82"/>
      <c r="AO831" s="82"/>
      <c r="AP831" s="82"/>
      <c r="AQ831" s="7"/>
      <c r="AR831" s="13"/>
      <c r="AS831" s="82"/>
      <c r="AT831" s="82"/>
      <c r="AU831" s="82"/>
      <c r="AV831" s="82"/>
      <c r="AW831" s="7"/>
      <c r="AX831" s="82"/>
      <c r="AY831" s="7"/>
      <c r="AZ831" s="7"/>
      <c r="BA831" s="7"/>
      <c r="BB831" s="7"/>
      <c r="BC831" s="7"/>
      <c r="BD831" s="7"/>
      <c r="BE831" s="7"/>
      <c r="BF831" s="7"/>
      <c r="BG831" s="7"/>
    </row>
    <row r="832">
      <c r="A832" s="39"/>
      <c r="B832" s="39"/>
      <c r="C832" s="7"/>
      <c r="D832" s="53"/>
      <c r="E832" s="7"/>
      <c r="F832" s="53"/>
      <c r="G832" s="16"/>
      <c r="H832" s="81"/>
      <c r="J832" s="39"/>
      <c r="K832" s="53"/>
      <c r="L832" s="90"/>
      <c r="M832" s="39"/>
      <c r="N832" s="327"/>
      <c r="O832" s="322"/>
      <c r="P832" s="82"/>
      <c r="Q832" s="82"/>
      <c r="R832" s="82"/>
      <c r="S832" s="16"/>
      <c r="T832" s="16"/>
      <c r="U832" s="39"/>
      <c r="V832" s="7"/>
      <c r="W832" s="7"/>
      <c r="X832" s="93"/>
      <c r="Y832" s="131"/>
      <c r="Z832" s="131"/>
      <c r="AA832" s="131"/>
      <c r="AB832" s="131"/>
      <c r="AC832" s="131"/>
      <c r="AD832" s="323"/>
      <c r="AE832" s="131"/>
      <c r="AF832" s="90"/>
      <c r="AG832" s="87"/>
      <c r="AH832" s="39"/>
      <c r="AI832" s="87"/>
      <c r="AJ832" s="81"/>
      <c r="AK832" s="90"/>
      <c r="AL832" s="81"/>
      <c r="AM832" s="39"/>
      <c r="AN832" s="82"/>
      <c r="AO832" s="82"/>
      <c r="AP832" s="82"/>
      <c r="AQ832" s="7"/>
      <c r="AR832" s="13"/>
      <c r="AS832" s="82"/>
      <c r="AT832" s="82"/>
      <c r="AU832" s="82"/>
      <c r="AV832" s="82"/>
      <c r="AW832" s="7"/>
      <c r="AX832" s="82"/>
      <c r="AY832" s="7"/>
      <c r="AZ832" s="7"/>
      <c r="BA832" s="7"/>
      <c r="BB832" s="7"/>
      <c r="BC832" s="7"/>
      <c r="BD832" s="7"/>
      <c r="BE832" s="7"/>
      <c r="BF832" s="7"/>
      <c r="BG832" s="7"/>
    </row>
    <row r="833">
      <c r="A833" s="39"/>
      <c r="B833" s="39"/>
      <c r="C833" s="7"/>
      <c r="D833" s="53"/>
      <c r="E833" s="7"/>
      <c r="F833" s="53"/>
      <c r="G833" s="16"/>
      <c r="H833" s="81"/>
      <c r="J833" s="39"/>
      <c r="K833" s="53"/>
      <c r="L833" s="90"/>
      <c r="M833" s="39"/>
      <c r="N833" s="327"/>
      <c r="O833" s="322"/>
      <c r="P833" s="82"/>
      <c r="Q833" s="82"/>
      <c r="R833" s="82"/>
      <c r="S833" s="16"/>
      <c r="T833" s="16"/>
      <c r="U833" s="39"/>
      <c r="V833" s="7"/>
      <c r="W833" s="7"/>
      <c r="X833" s="93"/>
      <c r="Y833" s="131"/>
      <c r="Z833" s="131"/>
      <c r="AA833" s="131"/>
      <c r="AB833" s="131"/>
      <c r="AC833" s="131"/>
      <c r="AD833" s="323"/>
      <c r="AE833" s="131"/>
      <c r="AF833" s="90"/>
      <c r="AG833" s="87"/>
      <c r="AH833" s="39"/>
      <c r="AI833" s="87"/>
      <c r="AJ833" s="81"/>
      <c r="AK833" s="90"/>
      <c r="AL833" s="81"/>
      <c r="AM833" s="39"/>
      <c r="AN833" s="82"/>
      <c r="AO833" s="82"/>
      <c r="AP833" s="82"/>
      <c r="AQ833" s="7"/>
      <c r="AR833" s="13"/>
      <c r="AS833" s="82"/>
      <c r="AT833" s="82"/>
      <c r="AU833" s="82"/>
      <c r="AV833" s="82"/>
      <c r="AW833" s="7"/>
      <c r="AX833" s="82"/>
      <c r="AY833" s="7"/>
      <c r="AZ833" s="7"/>
      <c r="BA833" s="7"/>
      <c r="BB833" s="7"/>
      <c r="BC833" s="7"/>
      <c r="BD833" s="7"/>
      <c r="BE833" s="7"/>
      <c r="BF833" s="7"/>
      <c r="BG833" s="7"/>
    </row>
    <row r="834">
      <c r="A834" s="39"/>
      <c r="B834" s="39"/>
      <c r="C834" s="7"/>
      <c r="D834" s="53"/>
      <c r="E834" s="7"/>
      <c r="F834" s="53"/>
      <c r="G834" s="16"/>
      <c r="H834" s="81"/>
      <c r="J834" s="39"/>
      <c r="K834" s="53"/>
      <c r="L834" s="90"/>
      <c r="M834" s="39"/>
      <c r="N834" s="327"/>
      <c r="O834" s="322"/>
      <c r="P834" s="82"/>
      <c r="Q834" s="82"/>
      <c r="R834" s="82"/>
      <c r="S834" s="16"/>
      <c r="T834" s="16"/>
      <c r="U834" s="39"/>
      <c r="V834" s="7"/>
      <c r="W834" s="7"/>
      <c r="X834" s="93"/>
      <c r="Y834" s="131"/>
      <c r="Z834" s="131"/>
      <c r="AA834" s="131"/>
      <c r="AB834" s="131"/>
      <c r="AC834" s="131"/>
      <c r="AD834" s="323"/>
      <c r="AE834" s="131"/>
      <c r="AF834" s="90"/>
      <c r="AG834" s="87"/>
      <c r="AH834" s="39"/>
      <c r="AI834" s="87"/>
      <c r="AJ834" s="81"/>
      <c r="AK834" s="90"/>
      <c r="AL834" s="81"/>
      <c r="AM834" s="39"/>
      <c r="AN834" s="82"/>
      <c r="AO834" s="82"/>
      <c r="AP834" s="82"/>
      <c r="AQ834" s="82"/>
      <c r="AR834" s="82"/>
      <c r="AS834" s="82"/>
      <c r="AT834" s="82"/>
      <c r="AU834" s="82"/>
      <c r="AV834" s="82"/>
      <c r="AW834" s="7"/>
      <c r="AX834" s="82"/>
      <c r="AY834" s="7"/>
      <c r="AZ834" s="7"/>
      <c r="BA834" s="7"/>
      <c r="BB834" s="7"/>
      <c r="BC834" s="7"/>
      <c r="BD834" s="7"/>
      <c r="BE834" s="7"/>
      <c r="BF834" s="7"/>
      <c r="BG834" s="7"/>
    </row>
    <row r="835">
      <c r="A835" s="39"/>
      <c r="B835" s="39"/>
      <c r="C835" s="7"/>
      <c r="D835" s="53"/>
      <c r="E835" s="7"/>
      <c r="F835" s="53"/>
      <c r="G835" s="16"/>
      <c r="H835" s="81"/>
      <c r="J835" s="39"/>
      <c r="K835" s="53"/>
      <c r="L835" s="90"/>
      <c r="M835" s="39"/>
      <c r="N835" s="327"/>
      <c r="O835" s="322"/>
      <c r="P835" s="82"/>
      <c r="Q835" s="82"/>
      <c r="R835" s="82"/>
      <c r="S835" s="16"/>
      <c r="T835" s="16"/>
      <c r="U835" s="39"/>
      <c r="V835" s="7"/>
      <c r="W835" s="7"/>
      <c r="X835" s="93"/>
      <c r="Y835" s="131"/>
      <c r="Z835" s="131"/>
      <c r="AA835" s="131"/>
      <c r="AB835" s="131"/>
      <c r="AC835" s="131"/>
      <c r="AD835" s="323"/>
      <c r="AE835" s="131"/>
      <c r="AF835" s="90"/>
      <c r="AG835" s="87"/>
      <c r="AH835" s="39"/>
      <c r="AI835" s="87"/>
      <c r="AJ835" s="81"/>
      <c r="AK835" s="90"/>
      <c r="AL835" s="81"/>
      <c r="AM835" s="39"/>
      <c r="AN835" s="82"/>
      <c r="AO835" s="82"/>
      <c r="AP835" s="82"/>
      <c r="AQ835" s="7"/>
      <c r="AR835" s="82"/>
      <c r="AS835" s="82"/>
      <c r="AT835" s="82"/>
      <c r="AU835" s="82"/>
      <c r="AV835" s="82"/>
      <c r="AW835" s="7"/>
      <c r="AX835" s="82"/>
      <c r="AY835" s="7"/>
      <c r="AZ835" s="7"/>
      <c r="BA835" s="7"/>
      <c r="BB835" s="7"/>
      <c r="BC835" s="7"/>
      <c r="BD835" s="7"/>
      <c r="BE835" s="7"/>
      <c r="BF835" s="7"/>
      <c r="BG835" s="7"/>
    </row>
    <row r="836">
      <c r="A836" s="39"/>
      <c r="B836" s="39"/>
      <c r="C836" s="7"/>
      <c r="D836" s="53"/>
      <c r="E836" s="7"/>
      <c r="F836" s="53"/>
      <c r="G836" s="16"/>
      <c r="H836" s="81"/>
      <c r="J836" s="39"/>
      <c r="K836" s="53"/>
      <c r="L836" s="90"/>
      <c r="M836" s="39"/>
      <c r="N836" s="327"/>
      <c r="O836" s="322"/>
      <c r="P836" s="82"/>
      <c r="Q836" s="82"/>
      <c r="R836" s="82"/>
      <c r="S836" s="16"/>
      <c r="T836" s="16"/>
      <c r="U836" s="39"/>
      <c r="V836" s="7"/>
      <c r="W836" s="7"/>
      <c r="X836" s="93"/>
      <c r="Y836" s="131"/>
      <c r="Z836" s="131"/>
      <c r="AA836" s="131"/>
      <c r="AB836" s="131"/>
      <c r="AC836" s="131"/>
      <c r="AD836" s="323"/>
      <c r="AE836" s="131"/>
      <c r="AF836" s="90"/>
      <c r="AG836" s="87"/>
      <c r="AH836" s="39"/>
      <c r="AI836" s="87"/>
      <c r="AJ836" s="81"/>
      <c r="AK836" s="90"/>
      <c r="AL836" s="81"/>
      <c r="AM836" s="39"/>
      <c r="AN836" s="82"/>
      <c r="AO836" s="82"/>
      <c r="AP836" s="82"/>
      <c r="AQ836" s="82"/>
      <c r="AR836" s="82"/>
      <c r="AS836" s="82"/>
      <c r="AT836" s="82"/>
      <c r="AU836" s="82"/>
      <c r="AV836" s="82"/>
      <c r="AW836" s="7"/>
      <c r="AX836" s="82"/>
      <c r="AY836" s="7"/>
      <c r="AZ836" s="7"/>
      <c r="BA836" s="7"/>
      <c r="BB836" s="7"/>
      <c r="BC836" s="7"/>
      <c r="BD836" s="7"/>
      <c r="BE836" s="7"/>
      <c r="BF836" s="7"/>
      <c r="BG836" s="7"/>
    </row>
    <row r="837">
      <c r="A837" s="39"/>
      <c r="B837" s="39"/>
      <c r="C837" s="7"/>
      <c r="D837" s="53"/>
      <c r="E837" s="7"/>
      <c r="F837" s="53"/>
      <c r="G837" s="16"/>
      <c r="H837" s="81"/>
      <c r="J837" s="39"/>
      <c r="K837" s="53"/>
      <c r="L837" s="90"/>
      <c r="M837" s="39"/>
      <c r="N837" s="327"/>
      <c r="O837" s="322"/>
      <c r="P837" s="82"/>
      <c r="Q837" s="82"/>
      <c r="R837" s="82"/>
      <c r="S837" s="16"/>
      <c r="T837" s="16"/>
      <c r="U837" s="39"/>
      <c r="V837" s="7"/>
      <c r="W837" s="7"/>
      <c r="X837" s="93"/>
      <c r="Y837" s="131"/>
      <c r="Z837" s="131"/>
      <c r="AA837" s="131"/>
      <c r="AB837" s="131"/>
      <c r="AC837" s="131"/>
      <c r="AD837" s="323"/>
      <c r="AE837" s="131"/>
      <c r="AF837" s="90"/>
      <c r="AG837" s="87"/>
      <c r="AH837" s="39"/>
      <c r="AI837" s="87"/>
      <c r="AJ837" s="81"/>
      <c r="AK837" s="90"/>
      <c r="AL837" s="81"/>
      <c r="AM837" s="39"/>
      <c r="AN837" s="82"/>
      <c r="AO837" s="82"/>
      <c r="AP837" s="82"/>
      <c r="AQ837" s="7"/>
      <c r="AR837" s="13"/>
      <c r="AS837" s="82"/>
      <c r="AT837" s="82"/>
      <c r="AU837" s="82"/>
      <c r="AV837" s="82"/>
      <c r="AW837" s="7"/>
      <c r="AX837" s="82"/>
      <c r="AY837" s="7"/>
      <c r="AZ837" s="7"/>
      <c r="BA837" s="7"/>
      <c r="BB837" s="7"/>
      <c r="BC837" s="7"/>
      <c r="BD837" s="7"/>
      <c r="BE837" s="7"/>
      <c r="BF837" s="7"/>
      <c r="BG837" s="7"/>
    </row>
    <row r="838">
      <c r="A838" s="39"/>
      <c r="B838" s="39"/>
      <c r="C838" s="7"/>
      <c r="D838" s="53"/>
      <c r="E838" s="7"/>
      <c r="F838" s="53"/>
      <c r="G838" s="16"/>
      <c r="H838" s="81"/>
      <c r="J838" s="39"/>
      <c r="K838" s="53"/>
      <c r="L838" s="90"/>
      <c r="M838" s="39"/>
      <c r="N838" s="327"/>
      <c r="O838" s="322"/>
      <c r="P838" s="82"/>
      <c r="Q838" s="82"/>
      <c r="R838" s="82"/>
      <c r="S838" s="16"/>
      <c r="T838" s="16"/>
      <c r="U838" s="39"/>
      <c r="V838" s="7"/>
      <c r="W838" s="7"/>
      <c r="X838" s="93"/>
      <c r="Y838" s="131"/>
      <c r="Z838" s="131"/>
      <c r="AA838" s="131"/>
      <c r="AB838" s="131"/>
      <c r="AC838" s="131"/>
      <c r="AD838" s="323"/>
      <c r="AE838" s="131"/>
      <c r="AF838" s="90"/>
      <c r="AG838" s="87"/>
      <c r="AH838" s="39"/>
      <c r="AI838" s="87"/>
      <c r="AJ838" s="81"/>
      <c r="AK838" s="90"/>
      <c r="AL838" s="81"/>
      <c r="AM838" s="39"/>
      <c r="AN838" s="82"/>
      <c r="AO838" s="82"/>
      <c r="AP838" s="82"/>
      <c r="AQ838" s="7"/>
      <c r="AR838" s="13"/>
      <c r="AS838" s="82"/>
      <c r="AT838" s="82"/>
      <c r="AU838" s="82"/>
      <c r="AV838" s="82"/>
      <c r="AW838" s="7"/>
      <c r="AX838" s="82"/>
      <c r="AY838" s="7"/>
      <c r="AZ838" s="7"/>
      <c r="BA838" s="7"/>
      <c r="BB838" s="7"/>
      <c r="BC838" s="7"/>
      <c r="BD838" s="7"/>
      <c r="BE838" s="7"/>
      <c r="BF838" s="7"/>
      <c r="BG838" s="7"/>
    </row>
    <row r="839">
      <c r="A839" s="39"/>
      <c r="B839" s="39"/>
      <c r="C839" s="7"/>
      <c r="D839" s="53"/>
      <c r="E839" s="7"/>
      <c r="F839" s="53"/>
      <c r="G839" s="16"/>
      <c r="H839" s="81"/>
      <c r="J839" s="39"/>
      <c r="K839" s="53"/>
      <c r="L839" s="90"/>
      <c r="M839" s="39"/>
      <c r="N839" s="327"/>
      <c r="O839" s="322"/>
      <c r="P839" s="82"/>
      <c r="Q839" s="82"/>
      <c r="R839" s="82"/>
      <c r="S839" s="16"/>
      <c r="T839" s="16"/>
      <c r="U839" s="39"/>
      <c r="V839" s="7"/>
      <c r="W839" s="7"/>
      <c r="X839" s="93"/>
      <c r="Y839" s="131"/>
      <c r="Z839" s="131"/>
      <c r="AA839" s="131"/>
      <c r="AB839" s="131"/>
      <c r="AC839" s="131"/>
      <c r="AD839" s="323"/>
      <c r="AE839" s="131"/>
      <c r="AF839" s="90"/>
      <c r="AG839" s="87"/>
      <c r="AH839" s="39"/>
      <c r="AI839" s="87"/>
      <c r="AJ839" s="81"/>
      <c r="AK839" s="90"/>
      <c r="AL839" s="81"/>
      <c r="AM839" s="39"/>
      <c r="AN839" s="82"/>
      <c r="AO839" s="82"/>
      <c r="AP839" s="82"/>
      <c r="AQ839" s="7"/>
      <c r="AR839" s="13"/>
      <c r="AS839" s="82"/>
      <c r="AT839" s="82"/>
      <c r="AU839" s="82"/>
      <c r="AV839" s="82"/>
      <c r="AW839" s="7"/>
      <c r="AX839" s="82"/>
      <c r="AY839" s="7"/>
      <c r="AZ839" s="7"/>
      <c r="BA839" s="7"/>
      <c r="BB839" s="7"/>
      <c r="BC839" s="7"/>
      <c r="BD839" s="7"/>
      <c r="BE839" s="7"/>
      <c r="BF839" s="7"/>
      <c r="BG839" s="7"/>
    </row>
    <row r="840">
      <c r="A840" s="39"/>
      <c r="B840" s="39"/>
      <c r="C840" s="7"/>
      <c r="D840" s="53"/>
      <c r="E840" s="7"/>
      <c r="F840" s="53"/>
      <c r="G840" s="16"/>
      <c r="H840" s="81"/>
      <c r="J840" s="39"/>
      <c r="K840" s="53"/>
      <c r="L840" s="90"/>
      <c r="M840" s="39"/>
      <c r="N840" s="327"/>
      <c r="O840" s="322"/>
      <c r="P840" s="82"/>
      <c r="Q840" s="82"/>
      <c r="R840" s="82"/>
      <c r="S840" s="16"/>
      <c r="T840" s="16"/>
      <c r="U840" s="39"/>
      <c r="V840" s="7"/>
      <c r="W840" s="7"/>
      <c r="X840" s="93"/>
      <c r="Y840" s="131"/>
      <c r="Z840" s="131"/>
      <c r="AA840" s="131"/>
      <c r="AB840" s="131"/>
      <c r="AC840" s="131"/>
      <c r="AD840" s="323"/>
      <c r="AE840" s="131"/>
      <c r="AF840" s="90"/>
      <c r="AG840" s="87"/>
      <c r="AH840" s="39"/>
      <c r="AI840" s="87"/>
      <c r="AJ840" s="81"/>
      <c r="AK840" s="90"/>
      <c r="AL840" s="81"/>
      <c r="AM840" s="39"/>
      <c r="AN840" s="82"/>
      <c r="AO840" s="82"/>
      <c r="AP840" s="82"/>
      <c r="AQ840" s="7"/>
      <c r="AR840" s="13"/>
      <c r="AS840" s="82"/>
      <c r="AT840" s="82"/>
      <c r="AU840" s="82"/>
      <c r="AV840" s="82"/>
      <c r="AW840" s="7"/>
      <c r="AX840" s="82"/>
      <c r="AY840" s="7"/>
      <c r="AZ840" s="7"/>
      <c r="BA840" s="7"/>
      <c r="BB840" s="7"/>
      <c r="BC840" s="7"/>
      <c r="BD840" s="7"/>
      <c r="BE840" s="7"/>
      <c r="BF840" s="7"/>
      <c r="BG840" s="7"/>
    </row>
    <row r="841">
      <c r="A841" s="39"/>
      <c r="B841" s="39"/>
      <c r="C841" s="7"/>
      <c r="D841" s="53"/>
      <c r="E841" s="7"/>
      <c r="F841" s="53"/>
      <c r="G841" s="16"/>
      <c r="H841" s="81"/>
      <c r="J841" s="39"/>
      <c r="K841" s="53"/>
      <c r="L841" s="90"/>
      <c r="M841" s="39"/>
      <c r="N841" s="327"/>
      <c r="O841" s="322"/>
      <c r="P841" s="82"/>
      <c r="Q841" s="82"/>
      <c r="R841" s="82"/>
      <c r="S841" s="16"/>
      <c r="T841" s="16"/>
      <c r="U841" s="39"/>
      <c r="V841" s="7"/>
      <c r="W841" s="7"/>
      <c r="X841" s="93"/>
      <c r="Y841" s="131"/>
      <c r="Z841" s="131"/>
      <c r="AA841" s="131"/>
      <c r="AB841" s="131"/>
      <c r="AC841" s="131"/>
      <c r="AD841" s="323"/>
      <c r="AE841" s="131"/>
      <c r="AF841" s="90"/>
      <c r="AG841" s="87"/>
      <c r="AH841" s="39"/>
      <c r="AI841" s="87"/>
      <c r="AJ841" s="81"/>
      <c r="AK841" s="90"/>
      <c r="AL841" s="81"/>
      <c r="AM841" s="39"/>
      <c r="AN841" s="82"/>
      <c r="AO841" s="82"/>
      <c r="AP841" s="82"/>
      <c r="AQ841" s="7"/>
      <c r="AR841" s="13"/>
      <c r="AS841" s="82"/>
      <c r="AT841" s="82"/>
      <c r="AU841" s="82"/>
      <c r="AV841" s="82"/>
      <c r="AW841" s="7"/>
      <c r="AX841" s="82"/>
      <c r="AY841" s="7"/>
      <c r="AZ841" s="7"/>
      <c r="BA841" s="7"/>
      <c r="BB841" s="7"/>
      <c r="BC841" s="7"/>
      <c r="BD841" s="7"/>
      <c r="BE841" s="7"/>
      <c r="BF841" s="7"/>
      <c r="BG841" s="7"/>
    </row>
    <row r="842">
      <c r="A842" s="39"/>
      <c r="B842" s="39"/>
      <c r="C842" s="7"/>
      <c r="D842" s="53"/>
      <c r="E842" s="7"/>
      <c r="F842" s="53"/>
      <c r="G842" s="16"/>
      <c r="H842" s="81"/>
      <c r="J842" s="39"/>
      <c r="K842" s="53"/>
      <c r="L842" s="90"/>
      <c r="M842" s="39"/>
      <c r="N842" s="327"/>
      <c r="O842" s="322"/>
      <c r="P842" s="82"/>
      <c r="Q842" s="82"/>
      <c r="R842" s="82"/>
      <c r="S842" s="16"/>
      <c r="T842" s="16"/>
      <c r="U842" s="39"/>
      <c r="V842" s="7"/>
      <c r="W842" s="7"/>
      <c r="X842" s="93"/>
      <c r="Y842" s="131"/>
      <c r="Z842" s="131"/>
      <c r="AA842" s="131"/>
      <c r="AB842" s="131"/>
      <c r="AC842" s="131"/>
      <c r="AD842" s="323"/>
      <c r="AE842" s="131"/>
      <c r="AF842" s="90"/>
      <c r="AG842" s="87"/>
      <c r="AH842" s="39"/>
      <c r="AI842" s="87"/>
      <c r="AJ842" s="81"/>
      <c r="AK842" s="90"/>
      <c r="AL842" s="81"/>
      <c r="AM842" s="39"/>
      <c r="AN842" s="82"/>
      <c r="AO842" s="82"/>
      <c r="AP842" s="82"/>
      <c r="AQ842" s="7"/>
      <c r="AR842" s="13"/>
      <c r="AS842" s="82"/>
      <c r="AT842" s="82"/>
      <c r="AU842" s="82"/>
      <c r="AV842" s="82"/>
      <c r="AW842" s="7"/>
      <c r="AX842" s="82"/>
      <c r="AY842" s="7"/>
      <c r="AZ842" s="7"/>
      <c r="BA842" s="7"/>
      <c r="BB842" s="7"/>
      <c r="BC842" s="7"/>
      <c r="BD842" s="7"/>
      <c r="BE842" s="7"/>
      <c r="BF842" s="7"/>
      <c r="BG842" s="7"/>
    </row>
    <row r="843">
      <c r="A843" s="39"/>
      <c r="B843" s="39"/>
      <c r="C843" s="7"/>
      <c r="D843" s="53"/>
      <c r="E843" s="7"/>
      <c r="F843" s="53"/>
      <c r="G843" s="16"/>
      <c r="H843" s="81"/>
      <c r="J843" s="39"/>
      <c r="K843" s="53"/>
      <c r="L843" s="90"/>
      <c r="M843" s="39"/>
      <c r="N843" s="327"/>
      <c r="O843" s="367"/>
      <c r="P843" s="82"/>
      <c r="Q843" s="82"/>
      <c r="R843" s="82"/>
      <c r="S843" s="16"/>
      <c r="T843" s="16"/>
      <c r="U843" s="39"/>
      <c r="V843" s="7"/>
      <c r="W843" s="7"/>
      <c r="X843" s="93"/>
      <c r="Y843" s="131"/>
      <c r="Z843" s="131"/>
      <c r="AA843" s="131"/>
      <c r="AB843" s="131"/>
      <c r="AC843" s="131"/>
      <c r="AD843" s="323"/>
      <c r="AE843" s="131"/>
      <c r="AF843" s="90"/>
      <c r="AG843" s="87"/>
      <c r="AH843" s="39"/>
      <c r="AI843" s="87"/>
      <c r="AJ843" s="81"/>
      <c r="AK843" s="90"/>
      <c r="AL843" s="81"/>
      <c r="AM843" s="39"/>
      <c r="AN843" s="82"/>
      <c r="AO843" s="82"/>
      <c r="AP843" s="82"/>
      <c r="AQ843" s="7"/>
      <c r="AR843" s="13"/>
      <c r="AS843" s="82"/>
      <c r="AT843" s="82"/>
      <c r="AU843" s="82"/>
      <c r="AV843" s="82"/>
      <c r="AW843" s="7"/>
      <c r="AX843" s="82"/>
      <c r="AY843" s="7"/>
      <c r="AZ843" s="7"/>
      <c r="BA843" s="7"/>
      <c r="BB843" s="7"/>
      <c r="BC843" s="7"/>
      <c r="BD843" s="7"/>
      <c r="BE843" s="7"/>
      <c r="BF843" s="7"/>
      <c r="BG843" s="7"/>
    </row>
    <row r="844">
      <c r="A844" s="39"/>
      <c r="B844" s="39"/>
      <c r="C844" s="7"/>
      <c r="D844" s="53"/>
      <c r="E844" s="7"/>
      <c r="F844" s="53"/>
      <c r="G844" s="16"/>
      <c r="H844" s="81"/>
      <c r="J844" s="39"/>
      <c r="K844" s="53"/>
      <c r="L844" s="90"/>
      <c r="M844" s="39"/>
      <c r="N844" s="327"/>
      <c r="O844" s="322"/>
      <c r="P844" s="82"/>
      <c r="Q844" s="82"/>
      <c r="R844" s="82"/>
      <c r="S844" s="16"/>
      <c r="T844" s="16"/>
      <c r="U844" s="39"/>
      <c r="V844" s="7"/>
      <c r="W844" s="7"/>
      <c r="X844" s="93"/>
      <c r="Y844" s="131"/>
      <c r="Z844" s="131"/>
      <c r="AA844" s="131"/>
      <c r="AB844" s="131"/>
      <c r="AC844" s="131"/>
      <c r="AD844" s="323"/>
      <c r="AE844" s="131"/>
      <c r="AF844" s="90"/>
      <c r="AG844" s="87"/>
      <c r="AH844" s="39"/>
      <c r="AI844" s="87"/>
      <c r="AJ844" s="81"/>
      <c r="AK844" s="90"/>
      <c r="AL844" s="81"/>
      <c r="AM844" s="39"/>
      <c r="AN844" s="82"/>
      <c r="AO844" s="82"/>
      <c r="AP844" s="82"/>
      <c r="AQ844" s="7"/>
      <c r="AR844" s="13"/>
      <c r="AS844" s="82"/>
      <c r="AT844" s="82"/>
      <c r="AU844" s="82"/>
      <c r="AV844" s="82"/>
      <c r="AW844" s="7"/>
      <c r="AX844" s="82"/>
      <c r="AY844" s="7"/>
      <c r="AZ844" s="7"/>
      <c r="BA844" s="7"/>
      <c r="BB844" s="7"/>
      <c r="BC844" s="7"/>
      <c r="BD844" s="7"/>
      <c r="BE844" s="7"/>
      <c r="BF844" s="7"/>
      <c r="BG844" s="7"/>
    </row>
    <row r="845">
      <c r="A845" s="39"/>
      <c r="B845" s="39"/>
      <c r="C845" s="7"/>
      <c r="D845" s="53"/>
      <c r="E845" s="7"/>
      <c r="F845" s="53"/>
      <c r="G845" s="16"/>
      <c r="H845" s="81"/>
      <c r="J845" s="39"/>
      <c r="K845" s="53"/>
      <c r="L845" s="90"/>
      <c r="M845" s="39"/>
      <c r="N845" s="327"/>
      <c r="O845" s="368"/>
      <c r="P845" s="82"/>
      <c r="Q845" s="82"/>
      <c r="R845" s="82"/>
      <c r="S845" s="16"/>
      <c r="T845" s="16"/>
      <c r="U845" s="39"/>
      <c r="V845" s="7"/>
      <c r="W845" s="7"/>
      <c r="X845" s="93"/>
      <c r="Y845" s="131"/>
      <c r="Z845" s="131"/>
      <c r="AA845" s="131"/>
      <c r="AB845" s="131"/>
      <c r="AC845" s="131"/>
      <c r="AD845" s="323"/>
      <c r="AE845" s="131"/>
      <c r="AF845" s="90"/>
      <c r="AG845" s="87"/>
      <c r="AH845" s="39"/>
      <c r="AI845" s="87"/>
      <c r="AJ845" s="81"/>
      <c r="AK845" s="90"/>
      <c r="AL845" s="81"/>
      <c r="AM845" s="39"/>
      <c r="AN845" s="82"/>
      <c r="AO845" s="82"/>
      <c r="AP845" s="82"/>
      <c r="AQ845" s="7"/>
      <c r="AR845" s="13"/>
      <c r="AS845" s="82"/>
      <c r="AT845" s="82"/>
      <c r="AU845" s="82"/>
      <c r="AV845" s="82"/>
      <c r="AW845" s="7"/>
      <c r="AX845" s="82"/>
      <c r="AY845" s="7"/>
      <c r="AZ845" s="7"/>
      <c r="BA845" s="7"/>
      <c r="BB845" s="7"/>
      <c r="BC845" s="7"/>
      <c r="BD845" s="7"/>
      <c r="BE845" s="7"/>
      <c r="BF845" s="7"/>
      <c r="BG845" s="7"/>
    </row>
    <row r="846">
      <c r="A846" s="39"/>
      <c r="B846" s="39"/>
      <c r="C846" s="7"/>
      <c r="D846" s="53"/>
      <c r="E846" s="7"/>
      <c r="F846" s="53"/>
      <c r="G846" s="16"/>
      <c r="H846" s="81"/>
      <c r="J846" s="39"/>
      <c r="K846" s="53"/>
      <c r="L846" s="90"/>
      <c r="M846" s="39"/>
      <c r="N846" s="327"/>
      <c r="O846" s="322"/>
      <c r="P846" s="82"/>
      <c r="Q846" s="82"/>
      <c r="R846" s="82"/>
      <c r="S846" s="16"/>
      <c r="T846" s="16"/>
      <c r="U846" s="39"/>
      <c r="V846" s="7"/>
      <c r="W846" s="7"/>
      <c r="X846" s="93"/>
      <c r="Y846" s="131"/>
      <c r="Z846" s="131"/>
      <c r="AA846" s="131"/>
      <c r="AB846" s="131"/>
      <c r="AC846" s="131"/>
      <c r="AD846" s="323"/>
      <c r="AE846" s="131"/>
      <c r="AF846" s="90"/>
      <c r="AG846" s="87"/>
      <c r="AH846" s="39"/>
      <c r="AI846" s="87"/>
      <c r="AJ846" s="81"/>
      <c r="AK846" s="90"/>
      <c r="AL846" s="81"/>
      <c r="AM846" s="39"/>
      <c r="AN846" s="82"/>
      <c r="AO846" s="82"/>
      <c r="AP846" s="82"/>
      <c r="AQ846" s="7"/>
      <c r="AR846" s="13"/>
      <c r="AS846" s="82"/>
      <c r="AT846" s="82"/>
      <c r="AU846" s="82"/>
      <c r="AV846" s="82"/>
      <c r="AW846" s="7"/>
      <c r="AX846" s="82"/>
      <c r="AY846" s="7"/>
      <c r="AZ846" s="7"/>
      <c r="BA846" s="7"/>
      <c r="BB846" s="7"/>
      <c r="BC846" s="7"/>
      <c r="BD846" s="7"/>
      <c r="BE846" s="7"/>
      <c r="BF846" s="7"/>
      <c r="BG846" s="7"/>
    </row>
    <row r="847">
      <c r="A847" s="39"/>
      <c r="B847" s="39"/>
      <c r="C847" s="7"/>
      <c r="D847" s="53"/>
      <c r="E847" s="7"/>
      <c r="F847" s="53"/>
      <c r="G847" s="16"/>
      <c r="H847" s="81"/>
      <c r="J847" s="39"/>
      <c r="K847" s="53"/>
      <c r="L847" s="90"/>
      <c r="M847" s="39"/>
      <c r="N847" s="327"/>
      <c r="O847" s="367"/>
      <c r="P847" s="82"/>
      <c r="Q847" s="82"/>
      <c r="R847" s="82"/>
      <c r="S847" s="16"/>
      <c r="T847" s="16"/>
      <c r="U847" s="39"/>
      <c r="V847" s="7"/>
      <c r="W847" s="7"/>
      <c r="X847" s="93"/>
      <c r="Y847" s="131"/>
      <c r="Z847" s="131"/>
      <c r="AA847" s="131"/>
      <c r="AB847" s="131"/>
      <c r="AC847" s="131"/>
      <c r="AD847" s="323"/>
      <c r="AE847" s="131"/>
      <c r="AF847" s="90"/>
      <c r="AG847" s="87"/>
      <c r="AH847" s="39"/>
      <c r="AI847" s="87"/>
      <c r="AJ847" s="81"/>
      <c r="AK847" s="90"/>
      <c r="AL847" s="81"/>
      <c r="AM847" s="39"/>
      <c r="AN847" s="82"/>
      <c r="AO847" s="82"/>
      <c r="AP847" s="82"/>
      <c r="AQ847" s="82"/>
      <c r="AR847" s="82"/>
      <c r="AS847" s="82"/>
      <c r="AT847" s="82"/>
      <c r="AU847" s="82"/>
      <c r="AV847" s="82"/>
      <c r="AW847" s="7"/>
      <c r="AX847" s="82"/>
      <c r="AY847" s="7"/>
      <c r="AZ847" s="7"/>
      <c r="BA847" s="7"/>
      <c r="BB847" s="7"/>
      <c r="BC847" s="7"/>
      <c r="BD847" s="7"/>
      <c r="BE847" s="7"/>
      <c r="BF847" s="7"/>
      <c r="BG847" s="7"/>
    </row>
    <row r="848">
      <c r="A848" s="39"/>
      <c r="B848" s="39"/>
      <c r="C848" s="7"/>
      <c r="D848" s="53"/>
      <c r="E848" s="7"/>
      <c r="F848" s="53"/>
      <c r="G848" s="16"/>
      <c r="H848" s="81"/>
      <c r="J848" s="39"/>
      <c r="K848" s="53"/>
      <c r="L848" s="90"/>
      <c r="M848" s="39"/>
      <c r="N848" s="327"/>
      <c r="O848" s="322"/>
      <c r="P848" s="82"/>
      <c r="Q848" s="82"/>
      <c r="R848" s="82"/>
      <c r="S848" s="16"/>
      <c r="T848" s="16"/>
      <c r="U848" s="39"/>
      <c r="V848" s="7"/>
      <c r="W848" s="7"/>
      <c r="X848" s="93"/>
      <c r="Y848" s="131"/>
      <c r="Z848" s="131"/>
      <c r="AA848" s="131"/>
      <c r="AB848" s="131"/>
      <c r="AC848" s="131"/>
      <c r="AD848" s="323"/>
      <c r="AE848" s="131"/>
      <c r="AF848" s="90"/>
      <c r="AG848" s="87"/>
      <c r="AH848" s="39"/>
      <c r="AI848" s="87"/>
      <c r="AJ848" s="81"/>
      <c r="AK848" s="90"/>
      <c r="AL848" s="81"/>
      <c r="AM848" s="39"/>
      <c r="AN848" s="82"/>
      <c r="AO848" s="82"/>
      <c r="AP848" s="82"/>
      <c r="AQ848" s="7"/>
      <c r="AR848" s="82"/>
      <c r="AS848" s="82"/>
      <c r="AT848" s="82"/>
      <c r="AU848" s="82"/>
      <c r="AV848" s="82"/>
      <c r="AW848" s="7"/>
      <c r="AX848" s="82"/>
      <c r="AY848" s="7"/>
      <c r="AZ848" s="7"/>
      <c r="BA848" s="7"/>
      <c r="BB848" s="7"/>
      <c r="BC848" s="7"/>
      <c r="BD848" s="7"/>
      <c r="BE848" s="7"/>
      <c r="BF848" s="7"/>
      <c r="BG848" s="7"/>
    </row>
    <row r="849">
      <c r="A849" s="39"/>
      <c r="B849" s="39"/>
      <c r="C849" s="7"/>
      <c r="D849" s="53"/>
      <c r="E849" s="7"/>
      <c r="F849" s="53"/>
      <c r="G849" s="16"/>
      <c r="H849" s="81"/>
      <c r="J849" s="39"/>
      <c r="K849" s="53"/>
      <c r="L849" s="90"/>
      <c r="M849" s="39"/>
      <c r="N849" s="327"/>
      <c r="O849" s="322"/>
      <c r="P849" s="82"/>
      <c r="Q849" s="82"/>
      <c r="R849" s="82"/>
      <c r="S849" s="16"/>
      <c r="T849" s="16"/>
      <c r="U849" s="39"/>
      <c r="V849" s="7"/>
      <c r="W849" s="7"/>
      <c r="X849" s="93"/>
      <c r="Y849" s="131"/>
      <c r="Z849" s="131"/>
      <c r="AA849" s="131"/>
      <c r="AB849" s="131"/>
      <c r="AC849" s="131"/>
      <c r="AD849" s="323"/>
      <c r="AE849" s="131"/>
      <c r="AF849" s="90"/>
      <c r="AG849" s="87"/>
      <c r="AH849" s="39"/>
      <c r="AI849" s="87"/>
      <c r="AJ849" s="81"/>
      <c r="AK849" s="90"/>
      <c r="AL849" s="81"/>
      <c r="AM849" s="39"/>
      <c r="AN849" s="82"/>
      <c r="AO849" s="82"/>
      <c r="AP849" s="82"/>
      <c r="AQ849" s="7"/>
      <c r="AR849" s="82"/>
      <c r="AS849" s="82"/>
      <c r="AT849" s="82"/>
      <c r="AU849" s="82"/>
      <c r="AV849" s="82"/>
      <c r="AW849" s="7"/>
      <c r="AX849" s="82"/>
      <c r="AY849" s="7"/>
      <c r="AZ849" s="7"/>
      <c r="BA849" s="7"/>
      <c r="BB849" s="7"/>
      <c r="BC849" s="7"/>
      <c r="BD849" s="7"/>
      <c r="BE849" s="7"/>
      <c r="BF849" s="7"/>
      <c r="BG849" s="7"/>
    </row>
    <row r="850">
      <c r="A850" s="69"/>
      <c r="B850" s="69"/>
      <c r="C850" s="7"/>
      <c r="D850" s="41"/>
      <c r="E850" s="6"/>
      <c r="F850" s="41"/>
      <c r="G850" s="35"/>
      <c r="H850" s="35"/>
      <c r="J850" s="69"/>
      <c r="K850" s="99"/>
      <c r="L850" s="90"/>
      <c r="M850" s="69"/>
      <c r="N850" s="375"/>
      <c r="O850" s="376"/>
      <c r="P850" s="13"/>
      <c r="Q850" s="13"/>
      <c r="R850" s="13"/>
      <c r="S850" s="35"/>
      <c r="T850" s="35"/>
      <c r="U850" s="69"/>
      <c r="V850" s="6"/>
      <c r="W850" s="6"/>
      <c r="X850" s="181"/>
      <c r="Y850" s="150"/>
      <c r="Z850" s="150"/>
      <c r="AA850" s="150"/>
      <c r="AB850" s="102"/>
      <c r="AC850" s="102"/>
      <c r="AD850" s="342"/>
      <c r="AE850" s="102"/>
      <c r="AF850" s="110"/>
      <c r="AG850" s="87"/>
      <c r="AH850" s="69"/>
      <c r="AI850" s="105"/>
      <c r="AJ850" s="98"/>
      <c r="AK850" s="110"/>
      <c r="AL850" s="98"/>
      <c r="AM850" s="69"/>
      <c r="AN850" s="13"/>
      <c r="AO850" s="13"/>
      <c r="AP850" s="13"/>
      <c r="AQ850" s="6"/>
      <c r="AR850" s="6"/>
      <c r="AS850" s="13"/>
      <c r="AT850" s="6"/>
      <c r="AU850" s="13"/>
      <c r="AV850" s="6"/>
      <c r="AW850" s="6"/>
      <c r="AX850" s="13"/>
      <c r="AY850" s="13"/>
      <c r="AZ850" s="6"/>
      <c r="BA850" s="6"/>
      <c r="BB850" s="6"/>
      <c r="BC850" s="6"/>
      <c r="BD850" s="6"/>
      <c r="BE850" s="6"/>
      <c r="BF850" s="6"/>
      <c r="BG850" s="6"/>
    </row>
    <row r="851">
      <c r="A851" s="69"/>
      <c r="B851" s="69"/>
      <c r="C851" s="7"/>
      <c r="D851" s="41"/>
      <c r="E851" s="6"/>
      <c r="F851" s="41"/>
      <c r="G851" s="35"/>
      <c r="H851" s="35"/>
      <c r="J851" s="69"/>
      <c r="K851" s="99"/>
      <c r="L851" s="90"/>
      <c r="M851" s="69"/>
      <c r="N851" s="375"/>
      <c r="O851" s="377"/>
      <c r="P851" s="13"/>
      <c r="Q851" s="13"/>
      <c r="R851" s="13"/>
      <c r="S851" s="35"/>
      <c r="T851" s="35"/>
      <c r="U851" s="69"/>
      <c r="V851" s="6"/>
      <c r="W851" s="6"/>
      <c r="X851" s="181"/>
      <c r="Y851" s="150"/>
      <c r="Z851" s="150"/>
      <c r="AA851" s="150"/>
      <c r="AB851" s="102"/>
      <c r="AC851" s="102"/>
      <c r="AD851" s="342"/>
      <c r="AE851" s="102"/>
      <c r="AF851" s="110"/>
      <c r="AG851" s="87"/>
      <c r="AH851" s="69"/>
      <c r="AI851" s="105"/>
      <c r="AJ851" s="98"/>
      <c r="AK851" s="110"/>
      <c r="AL851" s="98"/>
      <c r="AM851" s="69"/>
      <c r="AN851" s="13"/>
      <c r="AO851" s="13"/>
      <c r="AP851" s="13"/>
      <c r="AQ851" s="13"/>
      <c r="AR851" s="13"/>
      <c r="AS851" s="13"/>
      <c r="AT851" s="13"/>
      <c r="AU851" s="13"/>
      <c r="AV851" s="13"/>
      <c r="AW851" s="6"/>
      <c r="AX851" s="13"/>
      <c r="AY851" s="13"/>
      <c r="AZ851" s="6"/>
      <c r="BA851" s="6"/>
      <c r="BB851" s="6"/>
      <c r="BC851" s="6"/>
      <c r="BD851" s="6"/>
      <c r="BE851" s="6"/>
      <c r="BF851" s="6"/>
      <c r="BG851" s="6"/>
    </row>
    <row r="852">
      <c r="A852" s="69"/>
      <c r="B852" s="69"/>
      <c r="C852" s="7"/>
      <c r="D852" s="41"/>
      <c r="E852" s="6"/>
      <c r="F852" s="41"/>
      <c r="G852" s="35"/>
      <c r="H852" s="35"/>
      <c r="J852" s="69"/>
      <c r="K852" s="99"/>
      <c r="L852" s="90"/>
      <c r="M852" s="69"/>
      <c r="N852" s="375"/>
      <c r="O852" s="377"/>
      <c r="P852" s="13"/>
      <c r="Q852" s="13"/>
      <c r="R852" s="13"/>
      <c r="S852" s="35"/>
      <c r="T852" s="35"/>
      <c r="U852" s="69"/>
      <c r="V852" s="6"/>
      <c r="W852" s="6"/>
      <c r="X852" s="181"/>
      <c r="Y852" s="150"/>
      <c r="Z852" s="150"/>
      <c r="AA852" s="150"/>
      <c r="AB852" s="102"/>
      <c r="AC852" s="102"/>
      <c r="AD852" s="342"/>
      <c r="AE852" s="102"/>
      <c r="AF852" s="110"/>
      <c r="AG852" s="87"/>
      <c r="AH852" s="69"/>
      <c r="AI852" s="105"/>
      <c r="AJ852" s="98"/>
      <c r="AK852" s="110"/>
      <c r="AL852" s="98"/>
      <c r="AM852" s="69"/>
      <c r="AN852" s="13"/>
      <c r="AO852" s="13"/>
      <c r="AP852" s="13"/>
      <c r="AQ852" s="6"/>
      <c r="AR852" s="13"/>
      <c r="AS852" s="13"/>
      <c r="AT852" s="13"/>
      <c r="AU852" s="13"/>
      <c r="AV852" s="13"/>
      <c r="AW852" s="6"/>
      <c r="AX852" s="13"/>
      <c r="AY852" s="13"/>
      <c r="AZ852" s="6"/>
      <c r="BA852" s="6"/>
      <c r="BB852" s="6"/>
      <c r="BC852" s="6"/>
      <c r="BD852" s="6"/>
      <c r="BE852" s="6"/>
      <c r="BF852" s="6"/>
      <c r="BG852" s="6"/>
    </row>
    <row r="853">
      <c r="A853" s="69"/>
      <c r="B853" s="69"/>
      <c r="C853" s="7"/>
      <c r="D853" s="41"/>
      <c r="E853" s="6"/>
      <c r="F853" s="41"/>
      <c r="G853" s="35"/>
      <c r="H853" s="35"/>
      <c r="J853" s="69"/>
      <c r="K853" s="99"/>
      <c r="L853" s="90"/>
      <c r="M853" s="182"/>
      <c r="N853" s="375"/>
      <c r="O853" s="377"/>
      <c r="P853" s="13"/>
      <c r="Q853" s="13"/>
      <c r="R853" s="13"/>
      <c r="S853" s="35"/>
      <c r="T853" s="35"/>
      <c r="U853" s="69"/>
      <c r="V853" s="6"/>
      <c r="W853" s="6"/>
      <c r="X853" s="181"/>
      <c r="Y853" s="150"/>
      <c r="Z853" s="150"/>
      <c r="AA853" s="150"/>
      <c r="AB853" s="102"/>
      <c r="AC853" s="102"/>
      <c r="AD853" s="342"/>
      <c r="AE853" s="102"/>
      <c r="AF853" s="110"/>
      <c r="AG853" s="87"/>
      <c r="AH853" s="69"/>
      <c r="AI853" s="105"/>
      <c r="AJ853" s="98"/>
      <c r="AK853" s="110"/>
      <c r="AL853" s="98"/>
      <c r="AM853" s="69"/>
      <c r="AN853" s="13"/>
      <c r="AO853" s="13"/>
      <c r="AP853" s="13"/>
      <c r="AQ853" s="6"/>
      <c r="AR853" s="13"/>
      <c r="AS853" s="13"/>
      <c r="AT853" s="13"/>
      <c r="AU853" s="13"/>
      <c r="AV853" s="13"/>
      <c r="AW853" s="6"/>
      <c r="AX853" s="13"/>
      <c r="AY853" s="13"/>
      <c r="AZ853" s="6"/>
      <c r="BA853" s="6"/>
      <c r="BB853" s="6"/>
      <c r="BC853" s="6"/>
      <c r="BD853" s="6"/>
      <c r="BE853" s="6"/>
      <c r="BF853" s="6"/>
      <c r="BG853" s="6"/>
    </row>
    <row r="854">
      <c r="A854" s="69"/>
      <c r="B854" s="69"/>
      <c r="C854" s="7"/>
      <c r="D854" s="41"/>
      <c r="E854" s="6"/>
      <c r="F854" s="41"/>
      <c r="G854" s="35"/>
      <c r="H854" s="35"/>
      <c r="J854" s="69"/>
      <c r="K854" s="99"/>
      <c r="L854" s="90"/>
      <c r="M854" s="69"/>
      <c r="N854" s="375"/>
      <c r="O854" s="377"/>
      <c r="P854" s="13"/>
      <c r="Q854" s="13"/>
      <c r="R854" s="13"/>
      <c r="S854" s="35"/>
      <c r="T854" s="35"/>
      <c r="U854" s="69"/>
      <c r="V854" s="6"/>
      <c r="W854" s="6"/>
      <c r="X854" s="181"/>
      <c r="Y854" s="150"/>
      <c r="Z854" s="150"/>
      <c r="AA854" s="150"/>
      <c r="AB854" s="102"/>
      <c r="AC854" s="102"/>
      <c r="AD854" s="342"/>
      <c r="AE854" s="102"/>
      <c r="AF854" s="110"/>
      <c r="AG854" s="105"/>
      <c r="AH854" s="69"/>
      <c r="AI854" s="105"/>
      <c r="AJ854" s="98"/>
      <c r="AK854" s="110"/>
      <c r="AL854" s="98"/>
      <c r="AM854" s="69"/>
      <c r="AN854" s="13"/>
      <c r="AO854" s="13"/>
      <c r="AP854" s="13"/>
      <c r="AQ854" s="6"/>
      <c r="AR854" s="13"/>
      <c r="AS854" s="13"/>
      <c r="AT854" s="13"/>
      <c r="AU854" s="13"/>
      <c r="AV854" s="13"/>
      <c r="AW854" s="6"/>
      <c r="AX854" s="13"/>
      <c r="AY854" s="13"/>
      <c r="AZ854" s="6"/>
      <c r="BA854" s="6"/>
      <c r="BB854" s="6"/>
      <c r="BC854" s="6"/>
      <c r="BD854" s="6"/>
      <c r="BE854" s="6"/>
      <c r="BF854" s="6"/>
      <c r="BG854" s="6"/>
    </row>
    <row r="855">
      <c r="A855" s="69"/>
      <c r="B855" s="69"/>
      <c r="C855" s="7"/>
      <c r="D855" s="41"/>
      <c r="E855" s="6"/>
      <c r="F855" s="41"/>
      <c r="G855" s="35"/>
      <c r="H855" s="35"/>
      <c r="J855" s="69"/>
      <c r="K855" s="99"/>
      <c r="L855" s="90"/>
      <c r="M855" s="69"/>
      <c r="N855" s="375"/>
      <c r="O855" s="377"/>
      <c r="P855" s="13"/>
      <c r="Q855" s="13"/>
      <c r="R855" s="13"/>
      <c r="S855" s="35"/>
      <c r="T855" s="35"/>
      <c r="U855" s="69"/>
      <c r="V855" s="6"/>
      <c r="W855" s="6"/>
      <c r="X855" s="181"/>
      <c r="Y855" s="150"/>
      <c r="Z855" s="150"/>
      <c r="AA855" s="150"/>
      <c r="AB855" s="102"/>
      <c r="AC855" s="102"/>
      <c r="AD855" s="342"/>
      <c r="AE855" s="102"/>
      <c r="AF855" s="110"/>
      <c r="AG855" s="105"/>
      <c r="AH855" s="69"/>
      <c r="AI855" s="105"/>
      <c r="AJ855" s="98"/>
      <c r="AK855" s="110"/>
      <c r="AL855" s="98"/>
      <c r="AM855" s="69"/>
      <c r="AN855" s="13"/>
      <c r="AO855" s="13"/>
      <c r="AP855" s="13"/>
      <c r="AQ855" s="6"/>
      <c r="AR855" s="13"/>
      <c r="AS855" s="13"/>
      <c r="AT855" s="13"/>
      <c r="AU855" s="13"/>
      <c r="AV855" s="13"/>
      <c r="AW855" s="6"/>
      <c r="AX855" s="13"/>
      <c r="AY855" s="13"/>
      <c r="AZ855" s="6"/>
      <c r="BA855" s="6"/>
      <c r="BB855" s="6"/>
      <c r="BC855" s="6"/>
      <c r="BD855" s="6"/>
      <c r="BE855" s="6"/>
      <c r="BF855" s="6"/>
      <c r="BG855" s="6"/>
    </row>
    <row r="856">
      <c r="A856" s="69"/>
      <c r="B856" s="69"/>
      <c r="C856" s="7"/>
      <c r="D856" s="41"/>
      <c r="E856" s="6"/>
      <c r="F856" s="41"/>
      <c r="G856" s="35"/>
      <c r="H856" s="35"/>
      <c r="J856" s="69"/>
      <c r="K856" s="99"/>
      <c r="L856" s="90"/>
      <c r="M856" s="69"/>
      <c r="N856" s="375"/>
      <c r="O856" s="377"/>
      <c r="P856" s="13"/>
      <c r="Q856" s="13"/>
      <c r="R856" s="13"/>
      <c r="S856" s="35"/>
      <c r="T856" s="35"/>
      <c r="U856" s="69"/>
      <c r="V856" s="6"/>
      <c r="W856" s="6"/>
      <c r="X856" s="181"/>
      <c r="Y856" s="150"/>
      <c r="Z856" s="150"/>
      <c r="AA856" s="150"/>
      <c r="AB856" s="102"/>
      <c r="AC856" s="102"/>
      <c r="AD856" s="342"/>
      <c r="AE856" s="102"/>
      <c r="AF856" s="110"/>
      <c r="AG856" s="105"/>
      <c r="AH856" s="69"/>
      <c r="AI856" s="105"/>
      <c r="AJ856" s="98"/>
      <c r="AK856" s="110"/>
      <c r="AL856" s="98"/>
      <c r="AM856" s="69"/>
      <c r="AN856" s="13"/>
      <c r="AO856" s="13"/>
      <c r="AP856" s="13"/>
      <c r="AQ856" s="6"/>
      <c r="AR856" s="13"/>
      <c r="AS856" s="13"/>
      <c r="AT856" s="13"/>
      <c r="AU856" s="13"/>
      <c r="AV856" s="13"/>
      <c r="AW856" s="6"/>
      <c r="AX856" s="13"/>
      <c r="AY856" s="13"/>
      <c r="AZ856" s="6"/>
      <c r="BA856" s="6"/>
      <c r="BB856" s="6"/>
      <c r="BC856" s="6"/>
      <c r="BD856" s="6"/>
      <c r="BE856" s="6"/>
      <c r="BF856" s="6"/>
      <c r="BG856" s="6"/>
    </row>
    <row r="857">
      <c r="A857" s="69"/>
      <c r="B857" s="69"/>
      <c r="C857" s="7"/>
      <c r="D857" s="41"/>
      <c r="E857" s="6"/>
      <c r="F857" s="41"/>
      <c r="G857" s="35"/>
      <c r="H857" s="35"/>
      <c r="J857" s="69"/>
      <c r="K857" s="99"/>
      <c r="L857" s="90"/>
      <c r="M857" s="69"/>
      <c r="N857" s="375"/>
      <c r="O857" s="378"/>
      <c r="P857" s="13"/>
      <c r="Q857" s="13"/>
      <c r="R857" s="13"/>
      <c r="S857" s="35"/>
      <c r="T857" s="35"/>
      <c r="U857" s="69"/>
      <c r="V857" s="6"/>
      <c r="W857" s="6"/>
      <c r="X857" s="181"/>
      <c r="Y857" s="150"/>
      <c r="Z857" s="150"/>
      <c r="AA857" s="150"/>
      <c r="AB857" s="102"/>
      <c r="AC857" s="102"/>
      <c r="AD857" s="342"/>
      <c r="AE857" s="102"/>
      <c r="AF857" s="110"/>
      <c r="AG857" s="105"/>
      <c r="AH857" s="69"/>
      <c r="AI857" s="105"/>
      <c r="AJ857" s="98"/>
      <c r="AK857" s="110"/>
      <c r="AL857" s="98"/>
      <c r="AM857" s="69"/>
      <c r="AN857" s="13"/>
      <c r="AO857" s="13"/>
      <c r="AP857" s="13"/>
      <c r="AQ857" s="122"/>
      <c r="AR857" s="13"/>
      <c r="AS857" s="13"/>
      <c r="AT857" s="13"/>
      <c r="AU857" s="13"/>
      <c r="AV857" s="13"/>
      <c r="AW857" s="6"/>
      <c r="AX857" s="13"/>
      <c r="AY857" s="13"/>
      <c r="AZ857" s="6"/>
      <c r="BA857" s="6"/>
      <c r="BB857" s="6"/>
      <c r="BC857" s="6"/>
      <c r="BD857" s="6"/>
      <c r="BE857" s="6"/>
      <c r="BF857" s="6"/>
      <c r="BG857" s="6"/>
    </row>
    <row r="858">
      <c r="A858" s="69"/>
      <c r="B858" s="69"/>
      <c r="C858" s="7"/>
      <c r="D858" s="99"/>
      <c r="E858" s="13"/>
      <c r="F858" s="99"/>
      <c r="G858" s="35"/>
      <c r="H858" s="35"/>
      <c r="J858" s="69"/>
      <c r="K858" s="99"/>
      <c r="L858" s="90"/>
      <c r="M858" s="69"/>
      <c r="N858" s="375"/>
      <c r="O858" s="378"/>
      <c r="P858" s="13"/>
      <c r="Q858" s="13"/>
      <c r="R858" s="13"/>
      <c r="S858" s="35"/>
      <c r="T858" s="35"/>
      <c r="U858" s="69"/>
      <c r="V858" s="13"/>
      <c r="W858" s="13"/>
      <c r="X858" s="379"/>
      <c r="Y858" s="150"/>
      <c r="Z858" s="150"/>
      <c r="AA858" s="150"/>
      <c r="AB858" s="102"/>
      <c r="AC858" s="102"/>
      <c r="AD858" s="342"/>
      <c r="AE858" s="102"/>
      <c r="AF858" s="110"/>
      <c r="AG858" s="105"/>
      <c r="AH858" s="69"/>
      <c r="AI858" s="105"/>
      <c r="AJ858" s="98"/>
      <c r="AK858" s="110"/>
      <c r="AL858" s="98"/>
      <c r="AM858" s="69"/>
      <c r="AN858" s="13"/>
      <c r="AO858" s="13"/>
      <c r="AP858" s="13"/>
      <c r="AQ858" s="6"/>
      <c r="AR858" s="6"/>
      <c r="AS858" s="13"/>
      <c r="AT858" s="6"/>
      <c r="AU858" s="13"/>
      <c r="AV858" s="6"/>
      <c r="AW858" s="6"/>
      <c r="AX858" s="13"/>
      <c r="AY858" s="13"/>
      <c r="AZ858" s="13"/>
      <c r="BA858" s="13"/>
      <c r="BB858" s="13"/>
      <c r="BC858" s="13"/>
      <c r="BD858" s="13"/>
      <c r="BE858" s="13"/>
      <c r="BF858" s="13"/>
      <c r="BG858" s="13"/>
    </row>
    <row r="859">
      <c r="A859" s="69"/>
      <c r="B859" s="69"/>
      <c r="C859" s="7"/>
      <c r="D859" s="99"/>
      <c r="E859" s="13"/>
      <c r="F859" s="99"/>
      <c r="G859" s="35"/>
      <c r="H859" s="35"/>
      <c r="J859" s="69"/>
      <c r="K859" s="99"/>
      <c r="L859" s="90"/>
      <c r="M859" s="69"/>
      <c r="N859" s="375"/>
      <c r="O859" s="378"/>
      <c r="P859" s="13"/>
      <c r="Q859" s="13"/>
      <c r="R859" s="13"/>
      <c r="S859" s="35"/>
      <c r="T859" s="35"/>
      <c r="U859" s="69"/>
      <c r="V859" s="13"/>
      <c r="W859" s="13"/>
      <c r="X859" s="379"/>
      <c r="Y859" s="150"/>
      <c r="Z859" s="150"/>
      <c r="AA859" s="150"/>
      <c r="AB859" s="102"/>
      <c r="AC859" s="102"/>
      <c r="AD859" s="342"/>
      <c r="AE859" s="102"/>
      <c r="AF859" s="110"/>
      <c r="AG859" s="105"/>
      <c r="AH859" s="69"/>
      <c r="AI859" s="105"/>
      <c r="AJ859" s="98"/>
      <c r="AK859" s="110"/>
      <c r="AL859" s="98"/>
      <c r="AM859" s="69"/>
      <c r="AN859" s="13"/>
      <c r="AO859" s="13"/>
      <c r="AP859" s="13"/>
      <c r="AQ859" s="6"/>
      <c r="AR859" s="6"/>
      <c r="AS859" s="13"/>
      <c r="AT859" s="6"/>
      <c r="AU859" s="13"/>
      <c r="AV859" s="6"/>
      <c r="AW859" s="6"/>
      <c r="AX859" s="13"/>
      <c r="AY859" s="13"/>
      <c r="AZ859" s="13"/>
      <c r="BA859" s="13"/>
      <c r="BB859" s="13"/>
      <c r="BC859" s="13"/>
      <c r="BD859" s="13"/>
      <c r="BE859" s="13"/>
      <c r="BF859" s="13"/>
      <c r="BG859" s="13"/>
    </row>
    <row r="860">
      <c r="A860" s="69"/>
      <c r="B860" s="69"/>
      <c r="C860" s="7"/>
      <c r="D860" s="99"/>
      <c r="E860" s="13"/>
      <c r="F860" s="99"/>
      <c r="G860" s="35"/>
      <c r="H860" s="35"/>
      <c r="J860" s="69"/>
      <c r="K860" s="99"/>
      <c r="L860" s="90"/>
      <c r="M860" s="69"/>
      <c r="N860" s="375"/>
      <c r="O860" s="378"/>
      <c r="P860" s="13"/>
      <c r="Q860" s="13"/>
      <c r="R860" s="13"/>
      <c r="S860" s="35"/>
      <c r="T860" s="35"/>
      <c r="U860" s="69"/>
      <c r="V860" s="13"/>
      <c r="W860" s="13"/>
      <c r="X860" s="379"/>
      <c r="Y860" s="150"/>
      <c r="Z860" s="150"/>
      <c r="AA860" s="150"/>
      <c r="AB860" s="102"/>
      <c r="AC860" s="102"/>
      <c r="AD860" s="342"/>
      <c r="AE860" s="102"/>
      <c r="AF860" s="110"/>
      <c r="AG860" s="105"/>
      <c r="AH860" s="69"/>
      <c r="AI860" s="105"/>
      <c r="AJ860" s="98"/>
      <c r="AK860" s="110"/>
      <c r="AL860" s="98"/>
      <c r="AM860" s="69"/>
      <c r="AN860" s="13"/>
      <c r="AO860" s="13"/>
      <c r="AP860" s="13"/>
      <c r="AQ860" s="6"/>
      <c r="AR860" s="13"/>
      <c r="AS860" s="13"/>
      <c r="AT860" s="13"/>
      <c r="AU860" s="13"/>
      <c r="AV860" s="13"/>
      <c r="AW860" s="6"/>
      <c r="AX860" s="13"/>
      <c r="AY860" s="13"/>
      <c r="AZ860" s="13"/>
      <c r="BA860" s="13"/>
      <c r="BB860" s="13"/>
      <c r="BC860" s="13"/>
      <c r="BD860" s="13"/>
      <c r="BE860" s="13"/>
      <c r="BF860" s="13"/>
      <c r="BG860" s="13"/>
    </row>
    <row r="861">
      <c r="A861" s="69"/>
      <c r="B861" s="69"/>
      <c r="C861" s="7"/>
      <c r="D861" s="41"/>
      <c r="E861" s="6"/>
      <c r="F861" s="41"/>
      <c r="G861" s="35"/>
      <c r="H861" s="35"/>
      <c r="J861" s="69"/>
      <c r="K861" s="99"/>
      <c r="L861" s="90"/>
      <c r="M861" s="69"/>
      <c r="N861" s="375"/>
      <c r="O861" s="377"/>
      <c r="P861" s="13"/>
      <c r="Q861" s="13"/>
      <c r="R861" s="13"/>
      <c r="S861" s="35"/>
      <c r="T861" s="35"/>
      <c r="U861" s="69"/>
      <c r="V861" s="6"/>
      <c r="W861" s="6"/>
      <c r="X861" s="181"/>
      <c r="Y861" s="150"/>
      <c r="Z861" s="150"/>
      <c r="AA861" s="150"/>
      <c r="AB861" s="102"/>
      <c r="AC861" s="102"/>
      <c r="AD861" s="342"/>
      <c r="AE861" s="102"/>
      <c r="AF861" s="110"/>
      <c r="AG861" s="105"/>
      <c r="AH861" s="69"/>
      <c r="AI861" s="105"/>
      <c r="AJ861" s="98"/>
      <c r="AK861" s="110"/>
      <c r="AL861" s="98"/>
      <c r="AM861" s="128"/>
      <c r="AN861" s="13"/>
      <c r="AO861" s="13"/>
      <c r="AP861" s="13"/>
      <c r="AQ861" s="122"/>
      <c r="AR861" s="13"/>
      <c r="AS861" s="13"/>
      <c r="AT861" s="13"/>
      <c r="AU861" s="13"/>
      <c r="AV861" s="13"/>
      <c r="AW861" s="6"/>
      <c r="AX861" s="13"/>
      <c r="AY861" s="13"/>
      <c r="AZ861" s="6"/>
      <c r="BA861" s="6"/>
      <c r="BB861" s="6"/>
      <c r="BC861" s="6"/>
      <c r="BD861" s="6"/>
      <c r="BE861" s="6"/>
      <c r="BF861" s="6"/>
      <c r="BG861" s="6"/>
    </row>
    <row r="862">
      <c r="A862" s="69"/>
      <c r="B862" s="69"/>
      <c r="C862" s="7"/>
      <c r="D862" s="41"/>
      <c r="E862" s="6"/>
      <c r="F862" s="41"/>
      <c r="G862" s="35"/>
      <c r="H862" s="98"/>
      <c r="J862" s="69"/>
      <c r="K862" s="99"/>
      <c r="L862" s="90"/>
      <c r="M862" s="69"/>
      <c r="N862" s="375"/>
      <c r="O862" s="377"/>
      <c r="P862" s="13"/>
      <c r="Q862" s="13"/>
      <c r="R862" s="13"/>
      <c r="S862" s="35"/>
      <c r="T862" s="35"/>
      <c r="U862" s="69"/>
      <c r="V862" s="6"/>
      <c r="W862" s="6"/>
      <c r="X862" s="181"/>
      <c r="Y862" s="102"/>
      <c r="Z862" s="102"/>
      <c r="AA862" s="102"/>
      <c r="AB862" s="102"/>
      <c r="AC862" s="102"/>
      <c r="AD862" s="342"/>
      <c r="AE862" s="102"/>
      <c r="AF862" s="110"/>
      <c r="AG862" s="105"/>
      <c r="AH862" s="69"/>
      <c r="AI862" s="105"/>
      <c r="AJ862" s="98"/>
      <c r="AK862" s="110"/>
      <c r="AL862" s="98"/>
      <c r="AM862" s="128"/>
      <c r="AN862" s="13"/>
      <c r="AO862" s="13"/>
      <c r="AP862" s="13"/>
      <c r="AQ862" s="6"/>
      <c r="AR862" s="13"/>
      <c r="AS862" s="13"/>
      <c r="AT862" s="13"/>
      <c r="AU862" s="13"/>
      <c r="AV862" s="13"/>
      <c r="AW862" s="6"/>
      <c r="AX862" s="13"/>
      <c r="AY862" s="13"/>
      <c r="AZ862" s="6"/>
      <c r="BA862" s="6"/>
      <c r="BB862" s="6"/>
      <c r="BC862" s="6"/>
      <c r="BD862" s="6"/>
      <c r="BE862" s="6"/>
      <c r="BF862" s="6"/>
      <c r="BG862" s="6"/>
    </row>
    <row r="863">
      <c r="A863" s="69"/>
      <c r="B863" s="69"/>
      <c r="C863" s="7"/>
      <c r="D863" s="41"/>
      <c r="E863" s="6"/>
      <c r="F863" s="41"/>
      <c r="G863" s="35"/>
      <c r="H863" s="35"/>
      <c r="J863" s="69"/>
      <c r="K863" s="99"/>
      <c r="L863" s="90"/>
      <c r="M863" s="69"/>
      <c r="N863" s="375"/>
      <c r="O863" s="378"/>
      <c r="P863" s="13"/>
      <c r="Q863" s="13"/>
      <c r="R863" s="13"/>
      <c r="S863" s="35"/>
      <c r="T863" s="35"/>
      <c r="U863" s="69"/>
      <c r="V863" s="6"/>
      <c r="W863" s="6"/>
      <c r="X863" s="181"/>
      <c r="Y863" s="102"/>
      <c r="Z863" s="102"/>
      <c r="AA863" s="102"/>
      <c r="AB863" s="102"/>
      <c r="AC863" s="102"/>
      <c r="AD863" s="342"/>
      <c r="AE863" s="102"/>
      <c r="AF863" s="110"/>
      <c r="AG863" s="105"/>
      <c r="AH863" s="69"/>
      <c r="AI863" s="105"/>
      <c r="AJ863" s="98"/>
      <c r="AK863" s="110"/>
      <c r="AL863" s="98"/>
      <c r="AM863" s="69"/>
      <c r="AN863" s="13"/>
      <c r="AO863" s="13"/>
      <c r="AP863" s="13"/>
      <c r="AQ863" s="122"/>
      <c r="AR863" s="13"/>
      <c r="AS863" s="13"/>
      <c r="AT863" s="13"/>
      <c r="AU863" s="13"/>
      <c r="AV863" s="13"/>
      <c r="AW863" s="6"/>
      <c r="AX863" s="13"/>
      <c r="AY863" s="13"/>
      <c r="AZ863" s="6"/>
      <c r="BA863" s="6"/>
      <c r="BB863" s="6"/>
      <c r="BC863" s="6"/>
      <c r="BD863" s="6"/>
      <c r="BE863" s="6"/>
      <c r="BF863" s="6"/>
      <c r="BG863" s="6"/>
    </row>
    <row r="864">
      <c r="A864" s="69"/>
      <c r="B864" s="69"/>
      <c r="C864" s="7"/>
      <c r="D864" s="41"/>
      <c r="E864" s="6"/>
      <c r="F864" s="41"/>
      <c r="G864" s="35"/>
      <c r="H864" s="35"/>
      <c r="J864" s="69"/>
      <c r="K864" s="99"/>
      <c r="L864" s="90"/>
      <c r="M864" s="69"/>
      <c r="N864" s="375"/>
      <c r="O864" s="377"/>
      <c r="P864" s="13"/>
      <c r="Q864" s="13"/>
      <c r="R864" s="13"/>
      <c r="S864" s="35"/>
      <c r="T864" s="35"/>
      <c r="U864" s="69"/>
      <c r="V864" s="6"/>
      <c r="W864" s="6"/>
      <c r="X864" s="181"/>
      <c r="Y864" s="102"/>
      <c r="Z864" s="102"/>
      <c r="AA864" s="102"/>
      <c r="AB864" s="102"/>
      <c r="AC864" s="102"/>
      <c r="AD864" s="342"/>
      <c r="AE864" s="102"/>
      <c r="AF864" s="110"/>
      <c r="AG864" s="105"/>
      <c r="AH864" s="69"/>
      <c r="AI864" s="105"/>
      <c r="AJ864" s="98"/>
      <c r="AK864" s="110"/>
      <c r="AL864" s="98"/>
      <c r="AM864" s="69"/>
      <c r="AN864" s="13"/>
      <c r="AO864" s="13"/>
      <c r="AP864" s="13"/>
      <c r="AQ864" s="122"/>
      <c r="AR864" s="13"/>
      <c r="AS864" s="13"/>
      <c r="AT864" s="13"/>
      <c r="AU864" s="13"/>
      <c r="AV864" s="13"/>
      <c r="AW864" s="6"/>
      <c r="AX864" s="13"/>
      <c r="AY864" s="13"/>
      <c r="AZ864" s="6"/>
      <c r="BA864" s="6"/>
      <c r="BB864" s="6"/>
      <c r="BC864" s="6"/>
      <c r="BD864" s="6"/>
      <c r="BE864" s="6"/>
      <c r="BF864" s="6"/>
      <c r="BG864" s="6"/>
    </row>
    <row r="865">
      <c r="A865" s="69"/>
      <c r="B865" s="69"/>
      <c r="C865" s="7"/>
      <c r="D865" s="41"/>
      <c r="E865" s="6"/>
      <c r="F865" s="41"/>
      <c r="G865" s="35"/>
      <c r="H865" s="35"/>
      <c r="J865" s="69"/>
      <c r="K865" s="99"/>
      <c r="L865" s="90"/>
      <c r="M865" s="69"/>
      <c r="N865" s="375"/>
      <c r="O865" s="377"/>
      <c r="P865" s="13"/>
      <c r="Q865" s="13"/>
      <c r="R865" s="13"/>
      <c r="S865" s="35"/>
      <c r="T865" s="35"/>
      <c r="U865" s="69"/>
      <c r="V865" s="6"/>
      <c r="W865" s="6"/>
      <c r="X865" s="181"/>
      <c r="Y865" s="102"/>
      <c r="Z865" s="102"/>
      <c r="AA865" s="102"/>
      <c r="AB865" s="102"/>
      <c r="AC865" s="102"/>
      <c r="AD865" s="342"/>
      <c r="AE865" s="102"/>
      <c r="AF865" s="110"/>
      <c r="AG865" s="104"/>
      <c r="AH865" s="69"/>
      <c r="AI865" s="105"/>
      <c r="AJ865" s="98"/>
      <c r="AK865" s="110"/>
      <c r="AL865" s="98"/>
      <c r="AM865" s="69"/>
      <c r="AN865" s="13"/>
      <c r="AO865" s="13"/>
      <c r="AP865" s="13"/>
      <c r="AQ865" s="122"/>
      <c r="AR865" s="13"/>
      <c r="AS865" s="13"/>
      <c r="AT865" s="13"/>
      <c r="AU865" s="13"/>
      <c r="AV865" s="13"/>
      <c r="AW865" s="6"/>
      <c r="AX865" s="13"/>
      <c r="AY865" s="13"/>
      <c r="AZ865" s="6"/>
      <c r="BA865" s="6"/>
      <c r="BB865" s="6"/>
      <c r="BC865" s="6"/>
      <c r="BD865" s="6"/>
      <c r="BE865" s="6"/>
      <c r="BF865" s="6"/>
      <c r="BG865" s="6"/>
    </row>
    <row r="866">
      <c r="A866" s="69"/>
      <c r="B866" s="69"/>
      <c r="C866" s="7"/>
      <c r="D866" s="41"/>
      <c r="E866" s="6"/>
      <c r="F866" s="41"/>
      <c r="G866" s="35"/>
      <c r="H866" s="35"/>
      <c r="J866" s="69"/>
      <c r="K866" s="99"/>
      <c r="L866" s="90"/>
      <c r="M866" s="69"/>
      <c r="N866" s="375"/>
      <c r="O866" s="378"/>
      <c r="P866" s="13"/>
      <c r="Q866" s="13"/>
      <c r="R866" s="13"/>
      <c r="S866" s="35"/>
      <c r="T866" s="35"/>
      <c r="U866" s="69"/>
      <c r="V866" s="6"/>
      <c r="W866" s="6"/>
      <c r="X866" s="181"/>
      <c r="Y866" s="102"/>
      <c r="Z866" s="102"/>
      <c r="AA866" s="102"/>
      <c r="AB866" s="102"/>
      <c r="AC866" s="102"/>
      <c r="AD866" s="342"/>
      <c r="AE866" s="102"/>
      <c r="AF866" s="110"/>
      <c r="AG866" s="104"/>
      <c r="AH866" s="69"/>
      <c r="AI866" s="105"/>
      <c r="AJ866" s="98"/>
      <c r="AK866" s="110"/>
      <c r="AL866" s="98"/>
      <c r="AM866" s="69"/>
      <c r="AN866" s="13"/>
      <c r="AO866" s="13"/>
      <c r="AP866" s="13"/>
      <c r="AQ866" s="6"/>
      <c r="AR866" s="13"/>
      <c r="AS866" s="13"/>
      <c r="AT866" s="13"/>
      <c r="AU866" s="13"/>
      <c r="AV866" s="13"/>
      <c r="AW866" s="6"/>
      <c r="AX866" s="13"/>
      <c r="AY866" s="13"/>
      <c r="AZ866" s="6"/>
      <c r="BA866" s="6"/>
      <c r="BB866" s="6"/>
      <c r="BC866" s="6"/>
      <c r="BD866" s="6"/>
      <c r="BE866" s="6"/>
      <c r="BF866" s="6"/>
      <c r="BG866" s="6"/>
    </row>
    <row r="867">
      <c r="A867" s="69"/>
      <c r="B867" s="69"/>
      <c r="C867" s="7"/>
      <c r="D867" s="41"/>
      <c r="E867" s="6"/>
      <c r="F867" s="41"/>
      <c r="G867" s="35"/>
      <c r="H867" s="35"/>
      <c r="J867" s="69"/>
      <c r="K867" s="99"/>
      <c r="L867" s="90"/>
      <c r="M867" s="69"/>
      <c r="N867" s="375"/>
      <c r="O867" s="377"/>
      <c r="P867" s="13"/>
      <c r="Q867" s="13"/>
      <c r="R867" s="13"/>
      <c r="S867" s="35"/>
      <c r="T867" s="35"/>
      <c r="U867" s="69"/>
      <c r="V867" s="6"/>
      <c r="W867" s="6"/>
      <c r="X867" s="181"/>
      <c r="Y867" s="102"/>
      <c r="Z867" s="102"/>
      <c r="AA867" s="102"/>
      <c r="AB867" s="102"/>
      <c r="AC867" s="102"/>
      <c r="AD867" s="342"/>
      <c r="AE867" s="102"/>
      <c r="AF867" s="110"/>
      <c r="AG867" s="104"/>
      <c r="AH867" s="69"/>
      <c r="AI867" s="105"/>
      <c r="AJ867" s="98"/>
      <c r="AK867" s="110"/>
      <c r="AL867" s="98"/>
      <c r="AM867" s="69"/>
      <c r="AN867" s="13"/>
      <c r="AO867" s="13"/>
      <c r="AP867" s="13"/>
      <c r="AQ867" s="6"/>
      <c r="AR867" s="13"/>
      <c r="AS867" s="13"/>
      <c r="AT867" s="13"/>
      <c r="AU867" s="13"/>
      <c r="AV867" s="13"/>
      <c r="AW867" s="6"/>
      <c r="AX867" s="13"/>
      <c r="AY867" s="13"/>
      <c r="AZ867" s="6"/>
      <c r="BA867" s="6"/>
      <c r="BB867" s="6"/>
      <c r="BC867" s="6"/>
      <c r="BD867" s="6"/>
      <c r="BE867" s="6"/>
      <c r="BF867" s="6"/>
      <c r="BG867" s="6"/>
    </row>
    <row r="868">
      <c r="A868" s="69"/>
      <c r="B868" s="69"/>
      <c r="C868" s="7"/>
      <c r="D868" s="41"/>
      <c r="E868" s="6"/>
      <c r="F868" s="41"/>
      <c r="G868" s="35"/>
      <c r="H868" s="35"/>
      <c r="J868" s="69"/>
      <c r="K868" s="99"/>
      <c r="L868" s="90"/>
      <c r="M868" s="69"/>
      <c r="N868" s="375"/>
      <c r="O868" s="377"/>
      <c r="P868" s="13"/>
      <c r="Q868" s="13"/>
      <c r="R868" s="13"/>
      <c r="S868" s="35"/>
      <c r="T868" s="35"/>
      <c r="U868" s="69"/>
      <c r="V868" s="6"/>
      <c r="W868" s="6"/>
      <c r="X868" s="181"/>
      <c r="Y868" s="102"/>
      <c r="Z868" s="102"/>
      <c r="AA868" s="102"/>
      <c r="AB868" s="102"/>
      <c r="AC868" s="102"/>
      <c r="AD868" s="342"/>
      <c r="AE868" s="102"/>
      <c r="AF868" s="110"/>
      <c r="AG868" s="104"/>
      <c r="AH868" s="69"/>
      <c r="AI868" s="105"/>
      <c r="AJ868" s="98"/>
      <c r="AK868" s="110"/>
      <c r="AL868" s="98"/>
      <c r="AM868" s="69"/>
      <c r="AN868" s="13"/>
      <c r="AO868" s="13"/>
      <c r="AP868" s="13"/>
      <c r="AQ868" s="6"/>
      <c r="AR868" s="13"/>
      <c r="AS868" s="13"/>
      <c r="AT868" s="13"/>
      <c r="AU868" s="13"/>
      <c r="AV868" s="13"/>
      <c r="AW868" s="6"/>
      <c r="AX868" s="13"/>
      <c r="AY868" s="13"/>
      <c r="AZ868" s="6"/>
      <c r="BA868" s="6"/>
      <c r="BB868" s="6"/>
      <c r="BC868" s="6"/>
      <c r="BD868" s="6"/>
      <c r="BE868" s="6"/>
      <c r="BF868" s="6"/>
      <c r="BG868" s="6"/>
    </row>
    <row r="869">
      <c r="A869" s="69"/>
      <c r="B869" s="69"/>
      <c r="C869" s="7"/>
      <c r="D869" s="41"/>
      <c r="E869" s="6"/>
      <c r="F869" s="41"/>
      <c r="G869" s="35"/>
      <c r="H869" s="35"/>
      <c r="J869" s="69"/>
      <c r="K869" s="99"/>
      <c r="L869" s="90"/>
      <c r="M869" s="69"/>
      <c r="N869" s="375"/>
      <c r="O869" s="377"/>
      <c r="P869" s="13"/>
      <c r="Q869" s="13"/>
      <c r="R869" s="13"/>
      <c r="S869" s="35"/>
      <c r="T869" s="35"/>
      <c r="U869" s="69"/>
      <c r="V869" s="6"/>
      <c r="W869" s="6"/>
      <c r="X869" s="181"/>
      <c r="Y869" s="102"/>
      <c r="Z869" s="102"/>
      <c r="AA869" s="102"/>
      <c r="AB869" s="102"/>
      <c r="AC869" s="102"/>
      <c r="AD869" s="342"/>
      <c r="AE869" s="102"/>
      <c r="AF869" s="110"/>
      <c r="AG869" s="104"/>
      <c r="AH869" s="69"/>
      <c r="AI869" s="105"/>
      <c r="AJ869" s="98"/>
      <c r="AK869" s="110"/>
      <c r="AL869" s="98"/>
      <c r="AM869" s="69"/>
      <c r="AN869" s="13"/>
      <c r="AO869" s="13"/>
      <c r="AP869" s="13"/>
      <c r="AQ869" s="6"/>
      <c r="AR869" s="13"/>
      <c r="AS869" s="13"/>
      <c r="AT869" s="13"/>
      <c r="AU869" s="13"/>
      <c r="AV869" s="13"/>
      <c r="AW869" s="6"/>
      <c r="AX869" s="13"/>
      <c r="AY869" s="13"/>
      <c r="AZ869" s="6"/>
      <c r="BA869" s="6"/>
      <c r="BB869" s="6"/>
      <c r="BC869" s="6"/>
      <c r="BD869" s="6"/>
      <c r="BE869" s="6"/>
      <c r="BF869" s="6"/>
      <c r="BG869" s="6"/>
    </row>
    <row r="870">
      <c r="A870" s="69"/>
      <c r="B870" s="69"/>
      <c r="C870" s="7"/>
      <c r="D870" s="41"/>
      <c r="E870" s="6"/>
      <c r="F870" s="41"/>
      <c r="G870" s="35"/>
      <c r="H870" s="35"/>
      <c r="J870" s="69"/>
      <c r="K870" s="99"/>
      <c r="L870" s="90"/>
      <c r="M870" s="69"/>
      <c r="N870" s="375"/>
      <c r="O870" s="378"/>
      <c r="P870" s="13"/>
      <c r="Q870" s="13"/>
      <c r="R870" s="13"/>
      <c r="S870" s="35"/>
      <c r="T870" s="35"/>
      <c r="U870" s="69"/>
      <c r="V870" s="6"/>
      <c r="W870" s="6"/>
      <c r="X870" s="181"/>
      <c r="Y870" s="102"/>
      <c r="Z870" s="102"/>
      <c r="AA870" s="102"/>
      <c r="AB870" s="102"/>
      <c r="AC870" s="102"/>
      <c r="AD870" s="342"/>
      <c r="AE870" s="102"/>
      <c r="AF870" s="110"/>
      <c r="AG870" s="104"/>
      <c r="AH870" s="69"/>
      <c r="AI870" s="105"/>
      <c r="AJ870" s="98"/>
      <c r="AK870" s="110"/>
      <c r="AL870" s="98"/>
      <c r="AM870" s="69"/>
      <c r="AN870" s="13"/>
      <c r="AO870" s="13"/>
      <c r="AP870" s="13"/>
      <c r="AQ870" s="6"/>
      <c r="AR870" s="13"/>
      <c r="AS870" s="13"/>
      <c r="AT870" s="13"/>
      <c r="AU870" s="13"/>
      <c r="AV870" s="13"/>
      <c r="AW870" s="6"/>
      <c r="AX870" s="13"/>
      <c r="AY870" s="13"/>
      <c r="AZ870" s="6"/>
      <c r="BA870" s="6"/>
      <c r="BB870" s="6"/>
      <c r="BC870" s="6"/>
      <c r="BD870" s="6"/>
      <c r="BE870" s="6"/>
      <c r="BF870" s="6"/>
      <c r="BG870" s="6"/>
    </row>
    <row r="871">
      <c r="A871" s="69"/>
      <c r="B871" s="69"/>
      <c r="C871" s="7"/>
      <c r="D871" s="41"/>
      <c r="E871" s="6"/>
      <c r="F871" s="41"/>
      <c r="G871" s="35"/>
      <c r="H871" s="35"/>
      <c r="J871" s="69"/>
      <c r="K871" s="99"/>
      <c r="L871" s="90"/>
      <c r="M871" s="69"/>
      <c r="N871" s="375"/>
      <c r="O871" s="378"/>
      <c r="P871" s="13"/>
      <c r="Q871" s="13"/>
      <c r="R871" s="13"/>
      <c r="S871" s="35"/>
      <c r="T871" s="35"/>
      <c r="U871" s="69"/>
      <c r="V871" s="6"/>
      <c r="W871" s="6"/>
      <c r="X871" s="181"/>
      <c r="Y871" s="102"/>
      <c r="Z871" s="102"/>
      <c r="AA871" s="102"/>
      <c r="AB871" s="102"/>
      <c r="AC871" s="102"/>
      <c r="AD871" s="342"/>
      <c r="AE871" s="102"/>
      <c r="AF871" s="110"/>
      <c r="AG871" s="104"/>
      <c r="AH871" s="69"/>
      <c r="AI871" s="105"/>
      <c r="AJ871" s="98"/>
      <c r="AK871" s="110"/>
      <c r="AL871" s="98"/>
      <c r="AM871" s="69"/>
      <c r="AN871" s="13"/>
      <c r="AO871" s="13"/>
      <c r="AP871" s="13"/>
      <c r="AQ871" s="6"/>
      <c r="AR871" s="13"/>
      <c r="AS871" s="13"/>
      <c r="AT871" s="13"/>
      <c r="AU871" s="13"/>
      <c r="AV871" s="13"/>
      <c r="AW871" s="6"/>
      <c r="AX871" s="13"/>
      <c r="AY871" s="13"/>
      <c r="AZ871" s="6"/>
      <c r="BA871" s="6"/>
      <c r="BB871" s="6"/>
      <c r="BC871" s="6"/>
      <c r="BD871" s="6"/>
      <c r="BE871" s="6"/>
      <c r="BF871" s="6"/>
      <c r="BG871" s="6"/>
    </row>
    <row r="872">
      <c r="A872" s="69"/>
      <c r="B872" s="69"/>
      <c r="C872" s="7"/>
      <c r="D872" s="41"/>
      <c r="E872" s="6"/>
      <c r="F872" s="41"/>
      <c r="G872" s="35"/>
      <c r="H872" s="35"/>
      <c r="J872" s="69"/>
      <c r="K872" s="99"/>
      <c r="L872" s="90"/>
      <c r="M872" s="69"/>
      <c r="N872" s="375"/>
      <c r="O872" s="378"/>
      <c r="P872" s="13"/>
      <c r="Q872" s="13"/>
      <c r="R872" s="13"/>
      <c r="S872" s="35"/>
      <c r="T872" s="35"/>
      <c r="U872" s="69"/>
      <c r="V872" s="6"/>
      <c r="W872" s="6"/>
      <c r="X872" s="181"/>
      <c r="Y872" s="102"/>
      <c r="Z872" s="102"/>
      <c r="AA872" s="102"/>
      <c r="AB872" s="102"/>
      <c r="AC872" s="102"/>
      <c r="AD872" s="342"/>
      <c r="AE872" s="102"/>
      <c r="AF872" s="110"/>
      <c r="AG872" s="104"/>
      <c r="AH872" s="69"/>
      <c r="AI872" s="105"/>
      <c r="AJ872" s="98"/>
      <c r="AK872" s="110"/>
      <c r="AL872" s="98"/>
      <c r="AM872" s="69"/>
      <c r="AN872" s="13"/>
      <c r="AO872" s="13"/>
      <c r="AP872" s="13"/>
      <c r="AQ872" s="6"/>
      <c r="AR872" s="13"/>
      <c r="AS872" s="13"/>
      <c r="AT872" s="13"/>
      <c r="AU872" s="13"/>
      <c r="AV872" s="13"/>
      <c r="AW872" s="6"/>
      <c r="AX872" s="13"/>
      <c r="AY872" s="13"/>
      <c r="AZ872" s="6"/>
      <c r="BA872" s="6"/>
      <c r="BB872" s="6"/>
      <c r="BC872" s="6"/>
      <c r="BD872" s="6"/>
      <c r="BE872" s="6"/>
      <c r="BF872" s="6"/>
      <c r="BG872" s="6"/>
    </row>
    <row r="873">
      <c r="A873" s="69"/>
      <c r="B873" s="69"/>
      <c r="C873" s="7"/>
      <c r="D873" s="41"/>
      <c r="E873" s="6"/>
      <c r="F873" s="41"/>
      <c r="G873" s="35"/>
      <c r="H873" s="35"/>
      <c r="J873" s="69"/>
      <c r="K873" s="99"/>
      <c r="L873" s="90"/>
      <c r="M873" s="69"/>
      <c r="N873" s="375"/>
      <c r="O873" s="378"/>
      <c r="P873" s="13"/>
      <c r="Q873" s="13"/>
      <c r="R873" s="13"/>
      <c r="S873" s="35"/>
      <c r="T873" s="35"/>
      <c r="U873" s="69"/>
      <c r="V873" s="6"/>
      <c r="W873" s="6"/>
      <c r="X873" s="181"/>
      <c r="Y873" s="102"/>
      <c r="Z873" s="102"/>
      <c r="AA873" s="102"/>
      <c r="AB873" s="102"/>
      <c r="AC873" s="102"/>
      <c r="AD873" s="342"/>
      <c r="AE873" s="102"/>
      <c r="AF873" s="110"/>
      <c r="AG873" s="104"/>
      <c r="AH873" s="69"/>
      <c r="AI873" s="105"/>
      <c r="AJ873" s="98"/>
      <c r="AK873" s="110"/>
      <c r="AL873" s="98"/>
      <c r="AM873" s="69"/>
      <c r="AN873" s="13"/>
      <c r="AO873" s="13"/>
      <c r="AP873" s="13"/>
      <c r="AQ873" s="6"/>
      <c r="AR873" s="13"/>
      <c r="AS873" s="13"/>
      <c r="AT873" s="13"/>
      <c r="AU873" s="13"/>
      <c r="AV873" s="13"/>
      <c r="AW873" s="6"/>
      <c r="AX873" s="13"/>
      <c r="AY873" s="13"/>
      <c r="AZ873" s="6"/>
      <c r="BA873" s="6"/>
      <c r="BB873" s="6"/>
      <c r="BC873" s="6"/>
      <c r="BD873" s="6"/>
      <c r="BE873" s="6"/>
      <c r="BF873" s="6"/>
      <c r="BG873" s="6"/>
    </row>
    <row r="874">
      <c r="A874" s="69"/>
      <c r="B874" s="69"/>
      <c r="C874" s="7"/>
      <c r="D874" s="41"/>
      <c r="E874" s="6"/>
      <c r="F874" s="41"/>
      <c r="G874" s="35"/>
      <c r="H874" s="35"/>
      <c r="J874" s="69"/>
      <c r="K874" s="99"/>
      <c r="L874" s="90"/>
      <c r="M874" s="69"/>
      <c r="N874" s="375"/>
      <c r="O874" s="378"/>
      <c r="P874" s="13"/>
      <c r="Q874" s="13"/>
      <c r="R874" s="13"/>
      <c r="S874" s="35"/>
      <c r="T874" s="35"/>
      <c r="U874" s="69"/>
      <c r="V874" s="6"/>
      <c r="W874" s="6"/>
      <c r="X874" s="181"/>
      <c r="Y874" s="102"/>
      <c r="Z874" s="102"/>
      <c r="AA874" s="102"/>
      <c r="AB874" s="102"/>
      <c r="AC874" s="102"/>
      <c r="AD874" s="342"/>
      <c r="AE874" s="102"/>
      <c r="AF874" s="110"/>
      <c r="AG874" s="104"/>
      <c r="AH874" s="69"/>
      <c r="AI874" s="105"/>
      <c r="AJ874" s="98"/>
      <c r="AK874" s="110"/>
      <c r="AL874" s="98"/>
      <c r="AM874" s="69"/>
      <c r="AN874" s="13"/>
      <c r="AO874" s="13"/>
      <c r="AP874" s="13"/>
      <c r="AQ874" s="6"/>
      <c r="AR874" s="13"/>
      <c r="AS874" s="13"/>
      <c r="AT874" s="13"/>
      <c r="AU874" s="13"/>
      <c r="AV874" s="13"/>
      <c r="AW874" s="6"/>
      <c r="AX874" s="13"/>
      <c r="AY874" s="13"/>
      <c r="AZ874" s="6"/>
      <c r="BA874" s="6"/>
      <c r="BB874" s="6"/>
      <c r="BC874" s="6"/>
      <c r="BD874" s="6"/>
      <c r="BE874" s="6"/>
      <c r="BF874" s="6"/>
      <c r="BG874" s="6"/>
    </row>
    <row r="875">
      <c r="A875" s="69"/>
      <c r="B875" s="69"/>
      <c r="C875" s="7"/>
      <c r="D875" s="41"/>
      <c r="E875" s="6"/>
      <c r="F875" s="41"/>
      <c r="G875" s="35"/>
      <c r="H875" s="35"/>
      <c r="J875" s="69"/>
      <c r="K875" s="99"/>
      <c r="L875" s="90"/>
      <c r="M875" s="69"/>
      <c r="N875" s="375"/>
      <c r="O875" s="377"/>
      <c r="P875" s="13"/>
      <c r="Q875" s="13"/>
      <c r="R875" s="13"/>
      <c r="S875" s="35"/>
      <c r="T875" s="35"/>
      <c r="U875" s="69"/>
      <c r="V875" s="6"/>
      <c r="W875" s="6"/>
      <c r="X875" s="181"/>
      <c r="Y875" s="102"/>
      <c r="Z875" s="102"/>
      <c r="AA875" s="102"/>
      <c r="AB875" s="102"/>
      <c r="AC875" s="102"/>
      <c r="AD875" s="342"/>
      <c r="AE875" s="102"/>
      <c r="AF875" s="110"/>
      <c r="AG875" s="104"/>
      <c r="AH875" s="69"/>
      <c r="AI875" s="105"/>
      <c r="AJ875" s="98"/>
      <c r="AK875" s="110"/>
      <c r="AL875" s="98"/>
      <c r="AM875" s="69"/>
      <c r="AN875" s="13"/>
      <c r="AO875" s="13"/>
      <c r="AP875" s="13"/>
      <c r="AQ875" s="6"/>
      <c r="AR875" s="13"/>
      <c r="AS875" s="13"/>
      <c r="AT875" s="13"/>
      <c r="AU875" s="13"/>
      <c r="AV875" s="13"/>
      <c r="AW875" s="6"/>
      <c r="AX875" s="13"/>
      <c r="AY875" s="13"/>
      <c r="AZ875" s="6"/>
      <c r="BA875" s="6"/>
      <c r="BB875" s="6"/>
      <c r="BC875" s="6"/>
      <c r="BD875" s="6"/>
      <c r="BE875" s="6"/>
      <c r="BF875" s="6"/>
      <c r="BG875" s="6"/>
    </row>
    <row r="876">
      <c r="A876" s="69"/>
      <c r="B876" s="69"/>
      <c r="C876" s="7"/>
      <c r="D876" s="41"/>
      <c r="E876" s="6"/>
      <c r="F876" s="41"/>
      <c r="G876" s="35"/>
      <c r="H876" s="35"/>
      <c r="J876" s="69"/>
      <c r="K876" s="99"/>
      <c r="L876" s="90"/>
      <c r="M876" s="69"/>
      <c r="N876" s="375"/>
      <c r="O876" s="377"/>
      <c r="P876" s="13"/>
      <c r="Q876" s="13"/>
      <c r="R876" s="13"/>
      <c r="S876" s="35"/>
      <c r="T876" s="35"/>
      <c r="U876" s="69"/>
      <c r="V876" s="6"/>
      <c r="W876" s="6"/>
      <c r="X876" s="181"/>
      <c r="Y876" s="102"/>
      <c r="Z876" s="102"/>
      <c r="AA876" s="102"/>
      <c r="AB876" s="102"/>
      <c r="AC876" s="102"/>
      <c r="AD876" s="342"/>
      <c r="AE876" s="102"/>
      <c r="AF876" s="110"/>
      <c r="AG876" s="104"/>
      <c r="AH876" s="69"/>
      <c r="AI876" s="105"/>
      <c r="AJ876" s="98"/>
      <c r="AK876" s="110"/>
      <c r="AL876" s="98"/>
      <c r="AM876" s="69"/>
      <c r="AN876" s="13"/>
      <c r="AO876" s="13"/>
      <c r="AP876" s="13"/>
      <c r="AQ876" s="6"/>
      <c r="AR876" s="13"/>
      <c r="AS876" s="13"/>
      <c r="AT876" s="13"/>
      <c r="AU876" s="13"/>
      <c r="AV876" s="13"/>
      <c r="AW876" s="6"/>
      <c r="AX876" s="13"/>
      <c r="AY876" s="13"/>
      <c r="AZ876" s="6"/>
      <c r="BA876" s="6"/>
      <c r="BB876" s="6"/>
      <c r="BC876" s="6"/>
      <c r="BD876" s="6"/>
      <c r="BE876" s="6"/>
      <c r="BF876" s="6"/>
      <c r="BG876" s="6"/>
    </row>
    <row r="877">
      <c r="A877" s="69"/>
      <c r="B877" s="69"/>
      <c r="C877" s="7"/>
      <c r="D877" s="41"/>
      <c r="E877" s="6"/>
      <c r="F877" s="41"/>
      <c r="G877" s="35"/>
      <c r="H877" s="35"/>
      <c r="J877" s="69"/>
      <c r="K877" s="99"/>
      <c r="L877" s="90"/>
      <c r="M877" s="69"/>
      <c r="N877" s="375"/>
      <c r="O877" s="377"/>
      <c r="P877" s="13"/>
      <c r="Q877" s="13"/>
      <c r="R877" s="13"/>
      <c r="S877" s="35"/>
      <c r="T877" s="35"/>
      <c r="U877" s="69"/>
      <c r="V877" s="6"/>
      <c r="W877" s="6"/>
      <c r="X877" s="181"/>
      <c r="Y877" s="102"/>
      <c r="Z877" s="102"/>
      <c r="AA877" s="102"/>
      <c r="AB877" s="102"/>
      <c r="AC877" s="102"/>
      <c r="AD877" s="342"/>
      <c r="AE877" s="102"/>
      <c r="AF877" s="110"/>
      <c r="AG877" s="104"/>
      <c r="AH877" s="69"/>
      <c r="AI877" s="105"/>
      <c r="AJ877" s="98"/>
      <c r="AK877" s="110"/>
      <c r="AL877" s="98"/>
      <c r="AM877" s="69"/>
      <c r="AN877" s="13"/>
      <c r="AO877" s="13"/>
      <c r="AP877" s="13"/>
      <c r="AQ877" s="6"/>
      <c r="AR877" s="13"/>
      <c r="AS877" s="13"/>
      <c r="AT877" s="13"/>
      <c r="AU877" s="13"/>
      <c r="AV877" s="13"/>
      <c r="AW877" s="6"/>
      <c r="AX877" s="13"/>
      <c r="AY877" s="13"/>
      <c r="AZ877" s="6"/>
      <c r="BA877" s="6"/>
      <c r="BB877" s="6"/>
      <c r="BC877" s="6"/>
      <c r="BD877" s="6"/>
      <c r="BE877" s="6"/>
      <c r="BF877" s="6"/>
      <c r="BG877" s="6"/>
    </row>
    <row r="878">
      <c r="A878" s="69"/>
      <c r="B878" s="69"/>
      <c r="C878" s="7"/>
      <c r="D878" s="41"/>
      <c r="E878" s="6"/>
      <c r="F878" s="41"/>
      <c r="G878" s="35"/>
      <c r="H878" s="35"/>
      <c r="J878" s="69"/>
      <c r="K878" s="99"/>
      <c r="L878" s="90"/>
      <c r="M878" s="69"/>
      <c r="N878" s="375"/>
      <c r="O878" s="378"/>
      <c r="P878" s="13"/>
      <c r="Q878" s="13"/>
      <c r="R878" s="13"/>
      <c r="S878" s="35"/>
      <c r="T878" s="35"/>
      <c r="U878" s="69"/>
      <c r="V878" s="6"/>
      <c r="W878" s="6"/>
      <c r="X878" s="181"/>
      <c r="Y878" s="102"/>
      <c r="Z878" s="102"/>
      <c r="AA878" s="102"/>
      <c r="AB878" s="102"/>
      <c r="AC878" s="102"/>
      <c r="AD878" s="342"/>
      <c r="AE878" s="102"/>
      <c r="AF878" s="110"/>
      <c r="AG878" s="104"/>
      <c r="AH878" s="69"/>
      <c r="AI878" s="104"/>
      <c r="AJ878" s="35"/>
      <c r="AK878" s="110"/>
      <c r="AL878" s="35"/>
      <c r="AM878" s="69"/>
      <c r="AN878" s="13"/>
      <c r="AO878" s="13"/>
      <c r="AP878" s="13"/>
      <c r="AQ878" s="6"/>
      <c r="AR878" s="13"/>
      <c r="AS878" s="13"/>
      <c r="AT878" s="13"/>
      <c r="AU878" s="13"/>
      <c r="AV878" s="13"/>
      <c r="AW878" s="6"/>
      <c r="AX878" s="13"/>
      <c r="AY878" s="13"/>
      <c r="AZ878" s="6"/>
      <c r="BA878" s="6"/>
      <c r="BB878" s="6"/>
      <c r="BC878" s="6"/>
      <c r="BD878" s="6"/>
      <c r="BE878" s="6"/>
      <c r="BF878" s="6"/>
      <c r="BG878" s="6"/>
    </row>
    <row r="879">
      <c r="A879" s="69"/>
      <c r="B879" s="69"/>
      <c r="C879" s="7"/>
      <c r="D879" s="41"/>
      <c r="E879" s="6"/>
      <c r="F879" s="41"/>
      <c r="G879" s="35"/>
      <c r="H879" s="35"/>
      <c r="J879" s="69"/>
      <c r="K879" s="99"/>
      <c r="L879" s="90"/>
      <c r="M879" s="69"/>
      <c r="N879" s="375"/>
      <c r="O879" s="378"/>
      <c r="P879" s="13"/>
      <c r="Q879" s="13"/>
      <c r="R879" s="13"/>
      <c r="S879" s="35"/>
      <c r="T879" s="35"/>
      <c r="U879" s="69"/>
      <c r="V879" s="6"/>
      <c r="W879" s="6"/>
      <c r="X879" s="181"/>
      <c r="Y879" s="102"/>
      <c r="Z879" s="102"/>
      <c r="AA879" s="102"/>
      <c r="AB879" s="102"/>
      <c r="AC879" s="102"/>
      <c r="AD879" s="342"/>
      <c r="AE879" s="102"/>
      <c r="AF879" s="110"/>
      <c r="AG879" s="104"/>
      <c r="AH879" s="69"/>
      <c r="AI879" s="105"/>
      <c r="AJ879" s="98"/>
      <c r="AK879" s="110"/>
      <c r="AL879" s="98"/>
      <c r="AM879" s="69"/>
      <c r="AN879" s="13"/>
      <c r="AO879" s="13"/>
      <c r="AP879" s="13"/>
      <c r="AQ879" s="6"/>
      <c r="AR879" s="13"/>
      <c r="AS879" s="13"/>
      <c r="AT879" s="13"/>
      <c r="AU879" s="13"/>
      <c r="AV879" s="13"/>
      <c r="AW879" s="6"/>
      <c r="AX879" s="13"/>
      <c r="AY879" s="13"/>
      <c r="AZ879" s="6"/>
      <c r="BA879" s="6"/>
      <c r="BB879" s="6"/>
      <c r="BC879" s="6"/>
      <c r="BD879" s="6"/>
      <c r="BE879" s="6"/>
      <c r="BF879" s="6"/>
      <c r="BG879" s="6"/>
    </row>
    <row r="880">
      <c r="A880" s="69"/>
      <c r="B880" s="69"/>
      <c r="C880" s="7"/>
      <c r="D880" s="41"/>
      <c r="E880" s="6"/>
      <c r="F880" s="41"/>
      <c r="G880" s="35"/>
      <c r="H880" s="35"/>
      <c r="J880" s="69"/>
      <c r="K880" s="99"/>
      <c r="L880" s="90"/>
      <c r="M880" s="69"/>
      <c r="N880" s="375"/>
      <c r="O880" s="378"/>
      <c r="P880" s="13"/>
      <c r="Q880" s="13"/>
      <c r="R880" s="13"/>
      <c r="S880" s="35"/>
      <c r="T880" s="35"/>
      <c r="U880" s="69"/>
      <c r="V880" s="6"/>
      <c r="W880" s="6"/>
      <c r="X880" s="181"/>
      <c r="Y880" s="102"/>
      <c r="Z880" s="102"/>
      <c r="AA880" s="102"/>
      <c r="AB880" s="102"/>
      <c r="AC880" s="102"/>
      <c r="AD880" s="342"/>
      <c r="AE880" s="102"/>
      <c r="AF880" s="110"/>
      <c r="AG880" s="104"/>
      <c r="AH880" s="69"/>
      <c r="AI880" s="105"/>
      <c r="AJ880" s="98"/>
      <c r="AK880" s="110"/>
      <c r="AL880" s="98"/>
      <c r="AM880" s="69"/>
      <c r="AN880" s="13"/>
      <c r="AO880" s="13"/>
      <c r="AP880" s="13"/>
      <c r="AQ880" s="6"/>
      <c r="AR880" s="13"/>
      <c r="AS880" s="13"/>
      <c r="AT880" s="13"/>
      <c r="AU880" s="13"/>
      <c r="AV880" s="13"/>
      <c r="AW880" s="6"/>
      <c r="AX880" s="13"/>
      <c r="AY880" s="13"/>
      <c r="AZ880" s="6"/>
      <c r="BA880" s="6"/>
      <c r="BB880" s="6"/>
      <c r="BC880" s="6"/>
      <c r="BD880" s="6"/>
      <c r="BE880" s="6"/>
      <c r="BF880" s="6"/>
      <c r="BG880" s="6"/>
    </row>
    <row r="881">
      <c r="A881" s="69"/>
      <c r="B881" s="69"/>
      <c r="C881" s="7"/>
      <c r="D881" s="41"/>
      <c r="E881" s="6"/>
      <c r="F881" s="41"/>
      <c r="G881" s="35"/>
      <c r="H881" s="35"/>
      <c r="J881" s="69"/>
      <c r="K881" s="99"/>
      <c r="L881" s="90"/>
      <c r="M881" s="69"/>
      <c r="N881" s="375"/>
      <c r="O881" s="378"/>
      <c r="P881" s="13"/>
      <c r="Q881" s="13"/>
      <c r="R881" s="13"/>
      <c r="S881" s="35"/>
      <c r="T881" s="35"/>
      <c r="U881" s="69"/>
      <c r="V881" s="6"/>
      <c r="W881" s="6"/>
      <c r="X881" s="181"/>
      <c r="Y881" s="102"/>
      <c r="Z881" s="102"/>
      <c r="AA881" s="102"/>
      <c r="AB881" s="102"/>
      <c r="AC881" s="102"/>
      <c r="AD881" s="342"/>
      <c r="AE881" s="102"/>
      <c r="AF881" s="110"/>
      <c r="AG881" s="104"/>
      <c r="AH881" s="69"/>
      <c r="AI881" s="105"/>
      <c r="AJ881" s="98"/>
      <c r="AK881" s="110"/>
      <c r="AL881" s="98"/>
      <c r="AM881" s="69"/>
      <c r="AN881" s="13"/>
      <c r="AO881" s="13"/>
      <c r="AP881" s="13"/>
      <c r="AQ881" s="6"/>
      <c r="AR881" s="13"/>
      <c r="AS881" s="13"/>
      <c r="AT881" s="13"/>
      <c r="AU881" s="13"/>
      <c r="AV881" s="13"/>
      <c r="AW881" s="6"/>
      <c r="AX881" s="13"/>
      <c r="AY881" s="13"/>
      <c r="AZ881" s="6"/>
      <c r="BA881" s="6"/>
      <c r="BB881" s="6"/>
      <c r="BC881" s="6"/>
      <c r="BD881" s="6"/>
      <c r="BE881" s="6"/>
      <c r="BF881" s="6"/>
      <c r="BG881" s="6"/>
    </row>
    <row r="882">
      <c r="A882" s="69"/>
      <c r="B882" s="69"/>
      <c r="C882" s="7"/>
      <c r="D882" s="41"/>
      <c r="E882" s="6"/>
      <c r="F882" s="41"/>
      <c r="G882" s="35"/>
      <c r="H882" s="35"/>
      <c r="J882" s="69"/>
      <c r="K882" s="99"/>
      <c r="L882" s="90"/>
      <c r="M882" s="69"/>
      <c r="N882" s="375"/>
      <c r="O882" s="378"/>
      <c r="P882" s="13"/>
      <c r="Q882" s="13"/>
      <c r="R882" s="13"/>
      <c r="S882" s="35"/>
      <c r="T882" s="35"/>
      <c r="U882" s="69"/>
      <c r="V882" s="6"/>
      <c r="W882" s="6"/>
      <c r="X882" s="181"/>
      <c r="Y882" s="102"/>
      <c r="Z882" s="102"/>
      <c r="AA882" s="102"/>
      <c r="AB882" s="102"/>
      <c r="AC882" s="102"/>
      <c r="AD882" s="342"/>
      <c r="AE882" s="102"/>
      <c r="AF882" s="110"/>
      <c r="AG882" s="104"/>
      <c r="AH882" s="69"/>
      <c r="AI882" s="105"/>
      <c r="AJ882" s="98"/>
      <c r="AK882" s="110"/>
      <c r="AL882" s="98"/>
      <c r="AM882" s="69"/>
      <c r="AN882" s="13"/>
      <c r="AO882" s="13"/>
      <c r="AP882" s="13"/>
      <c r="AQ882" s="6"/>
      <c r="AR882" s="13"/>
      <c r="AS882" s="13"/>
      <c r="AT882" s="13"/>
      <c r="AU882" s="13"/>
      <c r="AV882" s="13"/>
      <c r="AW882" s="6"/>
      <c r="AX882" s="13"/>
      <c r="AY882" s="13"/>
      <c r="AZ882" s="6"/>
      <c r="BA882" s="6"/>
      <c r="BB882" s="6"/>
      <c r="BC882" s="6"/>
      <c r="BD882" s="6"/>
      <c r="BE882" s="6"/>
      <c r="BF882" s="6"/>
      <c r="BG882" s="6"/>
    </row>
    <row r="883">
      <c r="A883" s="69"/>
      <c r="B883" s="69"/>
      <c r="C883" s="7"/>
      <c r="D883" s="41"/>
      <c r="E883" s="6"/>
      <c r="F883" s="41"/>
      <c r="G883" s="35"/>
      <c r="H883" s="35"/>
      <c r="J883" s="69"/>
      <c r="K883" s="99"/>
      <c r="L883" s="90"/>
      <c r="M883" s="69"/>
      <c r="N883" s="375"/>
      <c r="O883" s="378"/>
      <c r="P883" s="13"/>
      <c r="Q883" s="13"/>
      <c r="R883" s="13"/>
      <c r="S883" s="35"/>
      <c r="T883" s="35"/>
      <c r="U883" s="69"/>
      <c r="V883" s="6"/>
      <c r="W883" s="6"/>
      <c r="X883" s="181"/>
      <c r="Y883" s="102"/>
      <c r="Z883" s="102"/>
      <c r="AA883" s="102"/>
      <c r="AB883" s="102"/>
      <c r="AC883" s="102"/>
      <c r="AD883" s="342"/>
      <c r="AE883" s="102"/>
      <c r="AF883" s="110"/>
      <c r="AG883" s="104"/>
      <c r="AH883" s="69"/>
      <c r="AI883" s="105"/>
      <c r="AJ883" s="98"/>
      <c r="AK883" s="110"/>
      <c r="AL883" s="98"/>
      <c r="AM883" s="69"/>
      <c r="AN883" s="13"/>
      <c r="AO883" s="13"/>
      <c r="AP883" s="13"/>
      <c r="AQ883" s="6"/>
      <c r="AR883" s="13"/>
      <c r="AS883" s="13"/>
      <c r="AT883" s="13"/>
      <c r="AU883" s="13"/>
      <c r="AV883" s="13"/>
      <c r="AW883" s="6"/>
      <c r="AX883" s="13"/>
      <c r="AY883" s="13"/>
      <c r="AZ883" s="6"/>
      <c r="BA883" s="6"/>
      <c r="BB883" s="6"/>
      <c r="BC883" s="6"/>
      <c r="BD883" s="6"/>
      <c r="BE883" s="6"/>
      <c r="BF883" s="6"/>
      <c r="BG883" s="6"/>
    </row>
    <row r="884">
      <c r="A884" s="69"/>
      <c r="B884" s="69"/>
      <c r="C884" s="7"/>
      <c r="D884" s="41"/>
      <c r="E884" s="6"/>
      <c r="F884" s="41"/>
      <c r="G884" s="35"/>
      <c r="H884" s="35"/>
      <c r="J884" s="69"/>
      <c r="K884" s="99"/>
      <c r="L884" s="90"/>
      <c r="M884" s="69"/>
      <c r="N884" s="375"/>
      <c r="O884" s="378"/>
      <c r="P884" s="13"/>
      <c r="Q884" s="13"/>
      <c r="R884" s="13"/>
      <c r="S884" s="35"/>
      <c r="T884" s="35"/>
      <c r="U884" s="69"/>
      <c r="V884" s="6"/>
      <c r="W884" s="6"/>
      <c r="X884" s="181"/>
      <c r="Y884" s="102"/>
      <c r="Z884" s="102"/>
      <c r="AA884" s="102"/>
      <c r="AB884" s="102"/>
      <c r="AC884" s="102"/>
      <c r="AD884" s="342"/>
      <c r="AE884" s="102"/>
      <c r="AF884" s="110"/>
      <c r="AG884" s="104"/>
      <c r="AH884" s="69"/>
      <c r="AI884" s="105"/>
      <c r="AJ884" s="98"/>
      <c r="AK884" s="110"/>
      <c r="AL884" s="98"/>
      <c r="AM884" s="69"/>
      <c r="AN884" s="13"/>
      <c r="AO884" s="13"/>
      <c r="AP884" s="13"/>
      <c r="AQ884" s="6"/>
      <c r="AR884" s="13"/>
      <c r="AS884" s="13"/>
      <c r="AT884" s="13"/>
      <c r="AU884" s="13"/>
      <c r="AV884" s="13"/>
      <c r="AW884" s="6"/>
      <c r="AX884" s="13"/>
      <c r="AY884" s="13"/>
      <c r="AZ884" s="6"/>
      <c r="BA884" s="6"/>
      <c r="BB884" s="6"/>
      <c r="BC884" s="6"/>
      <c r="BD884" s="6"/>
      <c r="BE884" s="6"/>
      <c r="BF884" s="6"/>
      <c r="BG884" s="6"/>
    </row>
    <row r="885">
      <c r="A885" s="69"/>
      <c r="B885" s="69"/>
      <c r="C885" s="7"/>
      <c r="D885" s="41"/>
      <c r="E885" s="6"/>
      <c r="F885" s="41"/>
      <c r="G885" s="35"/>
      <c r="H885" s="35"/>
      <c r="J885" s="69"/>
      <c r="K885" s="99"/>
      <c r="L885" s="90"/>
      <c r="M885" s="69"/>
      <c r="N885" s="375"/>
      <c r="O885" s="378"/>
      <c r="P885" s="13"/>
      <c r="Q885" s="13"/>
      <c r="R885" s="13"/>
      <c r="S885" s="35"/>
      <c r="T885" s="35"/>
      <c r="U885" s="69"/>
      <c r="V885" s="6"/>
      <c r="W885" s="6"/>
      <c r="X885" s="181"/>
      <c r="Y885" s="102"/>
      <c r="Z885" s="102"/>
      <c r="AA885" s="102"/>
      <c r="AB885" s="102"/>
      <c r="AC885" s="102"/>
      <c r="AD885" s="342"/>
      <c r="AE885" s="102"/>
      <c r="AF885" s="110"/>
      <c r="AG885" s="104"/>
      <c r="AH885" s="69"/>
      <c r="AI885" s="105"/>
      <c r="AJ885" s="98"/>
      <c r="AK885" s="110"/>
      <c r="AL885" s="98"/>
      <c r="AM885" s="69"/>
      <c r="AN885" s="13"/>
      <c r="AO885" s="13"/>
      <c r="AP885" s="13"/>
      <c r="AQ885" s="6"/>
      <c r="AR885" s="13"/>
      <c r="AS885" s="13"/>
      <c r="AT885" s="13"/>
      <c r="AU885" s="13"/>
      <c r="AV885" s="13"/>
      <c r="AW885" s="6"/>
      <c r="AX885" s="13"/>
      <c r="AY885" s="13"/>
      <c r="AZ885" s="6"/>
      <c r="BA885" s="6"/>
      <c r="BB885" s="6"/>
      <c r="BC885" s="6"/>
      <c r="BD885" s="6"/>
      <c r="BE885" s="6"/>
      <c r="BF885" s="6"/>
      <c r="BG885" s="6"/>
    </row>
    <row r="886">
      <c r="A886" s="69"/>
      <c r="B886" s="69"/>
      <c r="C886" s="7"/>
      <c r="D886" s="41"/>
      <c r="E886" s="6"/>
      <c r="F886" s="41"/>
      <c r="G886" s="35"/>
      <c r="H886" s="35"/>
      <c r="J886" s="69"/>
      <c r="K886" s="99"/>
      <c r="L886" s="90"/>
      <c r="M886" s="69"/>
      <c r="N886" s="375"/>
      <c r="O886" s="378"/>
      <c r="P886" s="13"/>
      <c r="Q886" s="13"/>
      <c r="R886" s="13"/>
      <c r="S886" s="35"/>
      <c r="T886" s="35"/>
      <c r="U886" s="69"/>
      <c r="V886" s="6"/>
      <c r="W886" s="6"/>
      <c r="X886" s="181"/>
      <c r="Y886" s="102"/>
      <c r="Z886" s="102"/>
      <c r="AA886" s="102"/>
      <c r="AB886" s="102"/>
      <c r="AC886" s="102"/>
      <c r="AD886" s="342"/>
      <c r="AE886" s="102"/>
      <c r="AF886" s="110"/>
      <c r="AG886" s="104"/>
      <c r="AH886" s="69"/>
      <c r="AI886" s="105"/>
      <c r="AJ886" s="98"/>
      <c r="AK886" s="110"/>
      <c r="AL886" s="98"/>
      <c r="AM886" s="69"/>
      <c r="AN886" s="13"/>
      <c r="AO886" s="13"/>
      <c r="AP886" s="13"/>
      <c r="AQ886" s="6"/>
      <c r="AR886" s="13"/>
      <c r="AS886" s="13"/>
      <c r="AT886" s="13"/>
      <c r="AU886" s="13"/>
      <c r="AV886" s="13"/>
      <c r="AW886" s="6"/>
      <c r="AX886" s="13"/>
      <c r="AY886" s="13"/>
      <c r="AZ886" s="6"/>
      <c r="BA886" s="6"/>
      <c r="BB886" s="6"/>
      <c r="BC886" s="6"/>
      <c r="BD886" s="6"/>
      <c r="BE886" s="6"/>
      <c r="BF886" s="6"/>
      <c r="BG886" s="6"/>
    </row>
    <row r="887">
      <c r="A887" s="69"/>
      <c r="B887" s="69"/>
      <c r="C887" s="7"/>
      <c r="D887" s="41"/>
      <c r="E887" s="6"/>
      <c r="F887" s="41"/>
      <c r="G887" s="35"/>
      <c r="H887" s="35"/>
      <c r="J887" s="69"/>
      <c r="K887" s="99"/>
      <c r="L887" s="90"/>
      <c r="M887" s="69"/>
      <c r="N887" s="375"/>
      <c r="O887" s="378"/>
      <c r="P887" s="13"/>
      <c r="Q887" s="13"/>
      <c r="R887" s="13"/>
      <c r="S887" s="35"/>
      <c r="T887" s="35"/>
      <c r="U887" s="69"/>
      <c r="V887" s="6"/>
      <c r="W887" s="6"/>
      <c r="X887" s="181"/>
      <c r="Y887" s="102"/>
      <c r="Z887" s="102"/>
      <c r="AA887" s="102"/>
      <c r="AB887" s="102"/>
      <c r="AC887" s="102"/>
      <c r="AD887" s="342"/>
      <c r="AE887" s="102"/>
      <c r="AF887" s="110"/>
      <c r="AG887" s="104"/>
      <c r="AH887" s="69"/>
      <c r="AI887" s="105"/>
      <c r="AJ887" s="98"/>
      <c r="AK887" s="110"/>
      <c r="AL887" s="98"/>
      <c r="AM887" s="69"/>
      <c r="AN887" s="13"/>
      <c r="AO887" s="13"/>
      <c r="AP887" s="13"/>
      <c r="AQ887" s="6"/>
      <c r="AR887" s="13"/>
      <c r="AS887" s="13"/>
      <c r="AT887" s="13"/>
      <c r="AU887" s="13"/>
      <c r="AV887" s="13"/>
      <c r="AW887" s="6"/>
      <c r="AX887" s="13"/>
      <c r="AY887" s="13"/>
      <c r="AZ887" s="6"/>
      <c r="BA887" s="6"/>
      <c r="BB887" s="6"/>
      <c r="BC887" s="6"/>
      <c r="BD887" s="6"/>
      <c r="BE887" s="6"/>
      <c r="BF887" s="6"/>
      <c r="BG887" s="6"/>
    </row>
    <row r="888">
      <c r="A888" s="69"/>
      <c r="B888" s="69"/>
      <c r="C888" s="7"/>
      <c r="D888" s="41"/>
      <c r="E888" s="6"/>
      <c r="F888" s="41"/>
      <c r="G888" s="35"/>
      <c r="H888" s="35"/>
      <c r="J888" s="69"/>
      <c r="K888" s="99"/>
      <c r="L888" s="90"/>
      <c r="M888" s="69"/>
      <c r="N888" s="375"/>
      <c r="O888" s="378"/>
      <c r="P888" s="13"/>
      <c r="Q888" s="13"/>
      <c r="R888" s="13"/>
      <c r="S888" s="35"/>
      <c r="T888" s="35"/>
      <c r="U888" s="69"/>
      <c r="V888" s="6"/>
      <c r="W888" s="6"/>
      <c r="X888" s="181"/>
      <c r="Y888" s="102"/>
      <c r="Z888" s="102"/>
      <c r="AA888" s="102"/>
      <c r="AB888" s="102"/>
      <c r="AC888" s="102"/>
      <c r="AD888" s="342"/>
      <c r="AE888" s="102"/>
      <c r="AF888" s="110"/>
      <c r="AG888" s="104"/>
      <c r="AH888" s="69"/>
      <c r="AI888" s="105"/>
      <c r="AJ888" s="98"/>
      <c r="AK888" s="110"/>
      <c r="AL888" s="98"/>
      <c r="AM888" s="69"/>
      <c r="AN888" s="13"/>
      <c r="AO888" s="13"/>
      <c r="AP888" s="13"/>
      <c r="AQ888" s="13"/>
      <c r="AR888" s="13"/>
      <c r="AS888" s="13"/>
      <c r="AT888" s="13"/>
      <c r="AU888" s="13"/>
      <c r="AV888" s="13"/>
      <c r="AW888" s="6"/>
      <c r="AX888" s="13"/>
      <c r="AY888" s="13"/>
      <c r="AZ888" s="6"/>
      <c r="BA888" s="6"/>
      <c r="BB888" s="6"/>
      <c r="BC888" s="6"/>
      <c r="BD888" s="6"/>
      <c r="BE888" s="6"/>
      <c r="BF888" s="6"/>
      <c r="BG888" s="6"/>
    </row>
    <row r="889">
      <c r="A889" s="69"/>
      <c r="B889" s="69"/>
      <c r="C889" s="7"/>
      <c r="D889" s="41"/>
      <c r="E889" s="6"/>
      <c r="F889" s="41"/>
      <c r="G889" s="35"/>
      <c r="H889" s="35"/>
      <c r="J889" s="69"/>
      <c r="K889" s="99"/>
      <c r="L889" s="90"/>
      <c r="M889" s="69"/>
      <c r="N889" s="375"/>
      <c r="O889" s="378"/>
      <c r="P889" s="13"/>
      <c r="Q889" s="13"/>
      <c r="R889" s="13"/>
      <c r="S889" s="35"/>
      <c r="T889" s="35"/>
      <c r="U889" s="69"/>
      <c r="V889" s="6"/>
      <c r="W889" s="6"/>
      <c r="X889" s="181"/>
      <c r="Y889" s="102"/>
      <c r="Z889" s="102"/>
      <c r="AA889" s="102"/>
      <c r="AB889" s="102"/>
      <c r="AC889" s="102"/>
      <c r="AD889" s="342"/>
      <c r="AE889" s="102"/>
      <c r="AF889" s="110"/>
      <c r="AG889" s="104"/>
      <c r="AH889" s="69"/>
      <c r="AI889" s="105"/>
      <c r="AJ889" s="98"/>
      <c r="AK889" s="110"/>
      <c r="AL889" s="98"/>
      <c r="AM889" s="69"/>
      <c r="AN889" s="13"/>
      <c r="AO889" s="13"/>
      <c r="AP889" s="13"/>
      <c r="AQ889" s="6"/>
      <c r="AR889" s="13"/>
      <c r="AS889" s="13"/>
      <c r="AT889" s="13"/>
      <c r="AU889" s="13"/>
      <c r="AV889" s="13"/>
      <c r="AW889" s="6"/>
      <c r="AX889" s="13"/>
      <c r="AY889" s="13"/>
      <c r="AZ889" s="6"/>
      <c r="BA889" s="6"/>
      <c r="BB889" s="6"/>
      <c r="BC889" s="6"/>
      <c r="BD889" s="6"/>
      <c r="BE889" s="6"/>
      <c r="BF889" s="6"/>
      <c r="BG889" s="6"/>
    </row>
    <row r="890">
      <c r="A890" s="69"/>
      <c r="B890" s="69"/>
      <c r="C890" s="7"/>
      <c r="D890" s="41"/>
      <c r="E890" s="6"/>
      <c r="F890" s="41"/>
      <c r="G890" s="35"/>
      <c r="H890" s="35"/>
      <c r="J890" s="69"/>
      <c r="K890" s="99"/>
      <c r="L890" s="90"/>
      <c r="M890" s="69"/>
      <c r="N890" s="375"/>
      <c r="O890" s="378"/>
      <c r="P890" s="13"/>
      <c r="Q890" s="13"/>
      <c r="R890" s="13"/>
      <c r="S890" s="35"/>
      <c r="T890" s="35"/>
      <c r="U890" s="69"/>
      <c r="V890" s="6"/>
      <c r="W890" s="6"/>
      <c r="X890" s="181"/>
      <c r="Y890" s="102"/>
      <c r="Z890" s="102"/>
      <c r="AA890" s="102"/>
      <c r="AB890" s="102"/>
      <c r="AC890" s="102"/>
      <c r="AD890" s="342"/>
      <c r="AE890" s="102"/>
      <c r="AF890" s="110"/>
      <c r="AG890" s="104"/>
      <c r="AH890" s="69"/>
      <c r="AI890" s="105"/>
      <c r="AJ890" s="98"/>
      <c r="AK890" s="110"/>
      <c r="AL890" s="98"/>
      <c r="AM890" s="69"/>
      <c r="AN890" s="13"/>
      <c r="AO890" s="13"/>
      <c r="AP890" s="13"/>
      <c r="AQ890" s="13"/>
      <c r="AR890" s="13"/>
      <c r="AS890" s="13"/>
      <c r="AT890" s="13"/>
      <c r="AU890" s="13"/>
      <c r="AV890" s="13"/>
      <c r="AW890" s="6"/>
      <c r="AX890" s="13"/>
      <c r="AY890" s="13"/>
      <c r="AZ890" s="6"/>
      <c r="BA890" s="6"/>
      <c r="BB890" s="6"/>
      <c r="BC890" s="6"/>
      <c r="BD890" s="6"/>
      <c r="BE890" s="6"/>
      <c r="BF890" s="6"/>
      <c r="BG890" s="6"/>
    </row>
    <row r="891">
      <c r="A891" s="69"/>
      <c r="B891" s="69"/>
      <c r="C891" s="7"/>
      <c r="D891" s="41"/>
      <c r="E891" s="6"/>
      <c r="F891" s="41"/>
      <c r="G891" s="35"/>
      <c r="H891" s="35"/>
      <c r="J891" s="69"/>
      <c r="K891" s="99"/>
      <c r="L891" s="90"/>
      <c r="M891" s="69"/>
      <c r="N891" s="375"/>
      <c r="O891" s="378"/>
      <c r="P891" s="13"/>
      <c r="Q891" s="13"/>
      <c r="R891" s="13"/>
      <c r="S891" s="35"/>
      <c r="T891" s="35"/>
      <c r="U891" s="69"/>
      <c r="V891" s="6"/>
      <c r="W891" s="6"/>
      <c r="X891" s="181"/>
      <c r="Y891" s="102"/>
      <c r="Z891" s="102"/>
      <c r="AA891" s="102"/>
      <c r="AB891" s="102"/>
      <c r="AC891" s="102"/>
      <c r="AD891" s="342"/>
      <c r="AE891" s="102"/>
      <c r="AF891" s="110"/>
      <c r="AG891" s="104"/>
      <c r="AH891" s="69"/>
      <c r="AI891" s="105"/>
      <c r="AJ891" s="98"/>
      <c r="AK891" s="110"/>
      <c r="AL891" s="98"/>
      <c r="AM891" s="69"/>
      <c r="AN891" s="13"/>
      <c r="AO891" s="13"/>
      <c r="AP891" s="13"/>
      <c r="AQ891" s="6"/>
      <c r="AR891" s="13"/>
      <c r="AS891" s="13"/>
      <c r="AT891" s="13"/>
      <c r="AU891" s="13"/>
      <c r="AV891" s="13"/>
      <c r="AW891" s="6"/>
      <c r="AX891" s="13"/>
      <c r="AY891" s="13"/>
      <c r="AZ891" s="6"/>
      <c r="BA891" s="6"/>
      <c r="BB891" s="6"/>
      <c r="BC891" s="6"/>
      <c r="BD891" s="6"/>
      <c r="BE891" s="6"/>
      <c r="BF891" s="6"/>
      <c r="BG891" s="6"/>
    </row>
    <row r="892">
      <c r="A892" s="69"/>
      <c r="B892" s="69"/>
      <c r="C892" s="7"/>
      <c r="D892" s="41"/>
      <c r="E892" s="6"/>
      <c r="F892" s="41"/>
      <c r="G892" s="35"/>
      <c r="H892" s="35"/>
      <c r="J892" s="69"/>
      <c r="K892" s="99"/>
      <c r="L892" s="90"/>
      <c r="M892" s="69"/>
      <c r="N892" s="375"/>
      <c r="O892" s="378"/>
      <c r="P892" s="13"/>
      <c r="Q892" s="13"/>
      <c r="R892" s="13"/>
      <c r="S892" s="35"/>
      <c r="T892" s="35"/>
      <c r="U892" s="69"/>
      <c r="V892" s="6"/>
      <c r="W892" s="6"/>
      <c r="X892" s="181"/>
      <c r="Y892" s="102"/>
      <c r="Z892" s="102"/>
      <c r="AA892" s="102"/>
      <c r="AB892" s="102"/>
      <c r="AC892" s="102"/>
      <c r="AD892" s="342"/>
      <c r="AE892" s="102"/>
      <c r="AF892" s="110"/>
      <c r="AG892" s="104"/>
      <c r="AH892" s="69"/>
      <c r="AI892" s="105"/>
      <c r="AJ892" s="98"/>
      <c r="AK892" s="110"/>
      <c r="AL892" s="98"/>
      <c r="AM892" s="69"/>
      <c r="AN892" s="13"/>
      <c r="AO892" s="13"/>
      <c r="AP892" s="13"/>
      <c r="AQ892" s="6"/>
      <c r="AR892" s="13"/>
      <c r="AS892" s="13"/>
      <c r="AT892" s="13"/>
      <c r="AU892" s="13"/>
      <c r="AV892" s="13"/>
      <c r="AW892" s="6"/>
      <c r="AX892" s="13"/>
      <c r="AY892" s="13"/>
      <c r="AZ892" s="6"/>
      <c r="BA892" s="6"/>
      <c r="BB892" s="6"/>
      <c r="BC892" s="6"/>
      <c r="BD892" s="6"/>
      <c r="BE892" s="6"/>
      <c r="BF892" s="6"/>
      <c r="BG892" s="6"/>
    </row>
    <row r="893">
      <c r="A893" s="69"/>
      <c r="B893" s="69"/>
      <c r="C893" s="7"/>
      <c r="D893" s="41"/>
      <c r="E893" s="6"/>
      <c r="F893" s="41"/>
      <c r="G893" s="35"/>
      <c r="H893" s="35"/>
      <c r="J893" s="69"/>
      <c r="K893" s="99"/>
      <c r="L893" s="90"/>
      <c r="M893" s="69"/>
      <c r="N893" s="375"/>
      <c r="O893" s="378"/>
      <c r="P893" s="13"/>
      <c r="Q893" s="13"/>
      <c r="R893" s="13"/>
      <c r="S893" s="35"/>
      <c r="T893" s="35"/>
      <c r="U893" s="69"/>
      <c r="V893" s="6"/>
      <c r="W893" s="6"/>
      <c r="X893" s="181"/>
      <c r="Y893" s="102"/>
      <c r="Z893" s="102"/>
      <c r="AA893" s="102"/>
      <c r="AB893" s="102"/>
      <c r="AC893" s="102"/>
      <c r="AD893" s="342"/>
      <c r="AE893" s="102"/>
      <c r="AF893" s="110"/>
      <c r="AG893" s="104"/>
      <c r="AH893" s="69"/>
      <c r="AI893" s="105"/>
      <c r="AJ893" s="98"/>
      <c r="AK893" s="110"/>
      <c r="AL893" s="98"/>
      <c r="AM893" s="69"/>
      <c r="AN893" s="13"/>
      <c r="AO893" s="13"/>
      <c r="AP893" s="13"/>
      <c r="AQ893" s="6"/>
      <c r="AR893" s="13"/>
      <c r="AS893" s="13"/>
      <c r="AT893" s="13"/>
      <c r="AU893" s="13"/>
      <c r="AV893" s="13"/>
      <c r="AW893" s="6"/>
      <c r="AX893" s="13"/>
      <c r="AY893" s="13"/>
      <c r="AZ893" s="6"/>
      <c r="BA893" s="6"/>
      <c r="BB893" s="6"/>
      <c r="BC893" s="6"/>
      <c r="BD893" s="6"/>
      <c r="BE893" s="6"/>
      <c r="BF893" s="6"/>
      <c r="BG893" s="6"/>
    </row>
    <row r="894">
      <c r="A894" s="69"/>
      <c r="B894" s="69"/>
      <c r="C894" s="7"/>
      <c r="D894" s="41"/>
      <c r="E894" s="6"/>
      <c r="F894" s="41"/>
      <c r="G894" s="35"/>
      <c r="H894" s="35"/>
      <c r="J894" s="69"/>
      <c r="K894" s="99"/>
      <c r="L894" s="90"/>
      <c r="M894" s="69"/>
      <c r="N894" s="375"/>
      <c r="O894" s="378"/>
      <c r="P894" s="13"/>
      <c r="Q894" s="13"/>
      <c r="R894" s="13"/>
      <c r="S894" s="35"/>
      <c r="T894" s="35"/>
      <c r="U894" s="69"/>
      <c r="V894" s="6"/>
      <c r="W894" s="6"/>
      <c r="X894" s="181"/>
      <c r="Y894" s="102"/>
      <c r="Z894" s="102"/>
      <c r="AA894" s="102"/>
      <c r="AB894" s="102"/>
      <c r="AC894" s="102"/>
      <c r="AD894" s="342"/>
      <c r="AE894" s="102"/>
      <c r="AF894" s="110"/>
      <c r="AG894" s="104"/>
      <c r="AH894" s="69"/>
      <c r="AI894" s="105"/>
      <c r="AJ894" s="98"/>
      <c r="AK894" s="110"/>
      <c r="AL894" s="98"/>
      <c r="AM894" s="69"/>
      <c r="AN894" s="13"/>
      <c r="AO894" s="13"/>
      <c r="AP894" s="13"/>
      <c r="AQ894" s="6"/>
      <c r="AR894" s="13"/>
      <c r="AS894" s="13"/>
      <c r="AT894" s="13"/>
      <c r="AU894" s="13"/>
      <c r="AV894" s="13"/>
      <c r="AW894" s="6"/>
      <c r="AX894" s="13"/>
      <c r="AY894" s="13"/>
      <c r="AZ894" s="6"/>
      <c r="BA894" s="6"/>
      <c r="BB894" s="6"/>
      <c r="BC894" s="6"/>
      <c r="BD894" s="6"/>
      <c r="BE894" s="6"/>
      <c r="BF894" s="6"/>
      <c r="BG894" s="6"/>
    </row>
    <row r="895">
      <c r="A895" s="69"/>
      <c r="B895" s="69"/>
      <c r="C895" s="7"/>
      <c r="D895" s="41"/>
      <c r="E895" s="6"/>
      <c r="F895" s="41"/>
      <c r="G895" s="35"/>
      <c r="H895" s="35"/>
      <c r="J895" s="69"/>
      <c r="K895" s="99"/>
      <c r="L895" s="90"/>
      <c r="M895" s="69"/>
      <c r="N895" s="375"/>
      <c r="O895" s="378"/>
      <c r="P895" s="13"/>
      <c r="Q895" s="13"/>
      <c r="R895" s="13"/>
      <c r="S895" s="35"/>
      <c r="T895" s="35"/>
      <c r="U895" s="69"/>
      <c r="V895" s="6"/>
      <c r="W895" s="6"/>
      <c r="X895" s="181"/>
      <c r="Y895" s="102"/>
      <c r="Z895" s="102"/>
      <c r="AA895" s="102"/>
      <c r="AB895" s="102"/>
      <c r="AC895" s="102"/>
      <c r="AD895" s="342"/>
      <c r="AE895" s="102"/>
      <c r="AF895" s="110"/>
      <c r="AG895" s="104"/>
      <c r="AH895" s="69"/>
      <c r="AI895" s="105"/>
      <c r="AJ895" s="98"/>
      <c r="AK895" s="110"/>
      <c r="AL895" s="98"/>
      <c r="AM895" s="69"/>
      <c r="AN895" s="13"/>
      <c r="AO895" s="13"/>
      <c r="AP895" s="13"/>
      <c r="AQ895" s="6"/>
      <c r="AR895" s="13"/>
      <c r="AS895" s="13"/>
      <c r="AT895" s="13"/>
      <c r="AU895" s="13"/>
      <c r="AV895" s="13"/>
      <c r="AW895" s="6"/>
      <c r="AX895" s="13"/>
      <c r="AY895" s="13"/>
      <c r="AZ895" s="6"/>
      <c r="BA895" s="6"/>
      <c r="BB895" s="6"/>
      <c r="BC895" s="6"/>
      <c r="BD895" s="6"/>
      <c r="BE895" s="6"/>
      <c r="BF895" s="6"/>
      <c r="BG895" s="6"/>
    </row>
    <row r="896">
      <c r="A896" s="69"/>
      <c r="B896" s="69"/>
      <c r="C896" s="7"/>
      <c r="D896" s="41"/>
      <c r="E896" s="6"/>
      <c r="F896" s="41"/>
      <c r="G896" s="35"/>
      <c r="H896" s="35"/>
      <c r="J896" s="69"/>
      <c r="K896" s="99"/>
      <c r="L896" s="90"/>
      <c r="M896" s="69"/>
      <c r="N896" s="375"/>
      <c r="O896" s="378"/>
      <c r="P896" s="13"/>
      <c r="Q896" s="13"/>
      <c r="R896" s="13"/>
      <c r="S896" s="35"/>
      <c r="T896" s="35"/>
      <c r="U896" s="69"/>
      <c r="V896" s="6"/>
      <c r="W896" s="6"/>
      <c r="X896" s="181"/>
      <c r="Y896" s="102"/>
      <c r="Z896" s="102"/>
      <c r="AA896" s="102"/>
      <c r="AB896" s="102"/>
      <c r="AC896" s="102"/>
      <c r="AD896" s="342"/>
      <c r="AE896" s="102"/>
      <c r="AF896" s="110"/>
      <c r="AG896" s="104"/>
      <c r="AH896" s="69"/>
      <c r="AI896" s="105"/>
      <c r="AJ896" s="98"/>
      <c r="AK896" s="110"/>
      <c r="AL896" s="98"/>
      <c r="AM896" s="69"/>
      <c r="AN896" s="13"/>
      <c r="AO896" s="13"/>
      <c r="AP896" s="13"/>
      <c r="AQ896" s="6"/>
      <c r="AR896" s="13"/>
      <c r="AS896" s="13"/>
      <c r="AT896" s="13"/>
      <c r="AU896" s="13"/>
      <c r="AV896" s="13"/>
      <c r="AW896" s="6"/>
      <c r="AX896" s="13"/>
      <c r="AY896" s="13"/>
      <c r="AZ896" s="6"/>
      <c r="BA896" s="6"/>
      <c r="BB896" s="6"/>
      <c r="BC896" s="6"/>
      <c r="BD896" s="6"/>
      <c r="BE896" s="6"/>
      <c r="BF896" s="6"/>
      <c r="BG896" s="6"/>
    </row>
    <row r="897">
      <c r="A897" s="69"/>
      <c r="B897" s="69"/>
      <c r="C897" s="7"/>
      <c r="D897" s="41"/>
      <c r="E897" s="6"/>
      <c r="F897" s="41"/>
      <c r="G897" s="35"/>
      <c r="H897" s="35"/>
      <c r="J897" s="69"/>
      <c r="K897" s="99"/>
      <c r="L897" s="90"/>
      <c r="M897" s="69"/>
      <c r="N897" s="375"/>
      <c r="O897" s="378"/>
      <c r="P897" s="13"/>
      <c r="Q897" s="13"/>
      <c r="R897" s="13"/>
      <c r="S897" s="35"/>
      <c r="T897" s="35"/>
      <c r="U897" s="69"/>
      <c r="V897" s="6"/>
      <c r="W897" s="6"/>
      <c r="X897" s="181"/>
      <c r="Y897" s="102"/>
      <c r="Z897" s="102"/>
      <c r="AA897" s="102"/>
      <c r="AB897" s="102"/>
      <c r="AC897" s="102"/>
      <c r="AD897" s="342"/>
      <c r="AE897" s="102"/>
      <c r="AF897" s="110"/>
      <c r="AG897" s="104"/>
      <c r="AH897" s="69"/>
      <c r="AI897" s="105"/>
      <c r="AJ897" s="98"/>
      <c r="AK897" s="110"/>
      <c r="AL897" s="98"/>
      <c r="AM897" s="69"/>
      <c r="AN897" s="13"/>
      <c r="AO897" s="13"/>
      <c r="AP897" s="13"/>
      <c r="AQ897" s="6"/>
      <c r="AR897" s="6"/>
      <c r="AS897" s="13"/>
      <c r="AT897" s="6"/>
      <c r="AU897" s="13"/>
      <c r="AV897" s="6"/>
      <c r="AW897" s="6"/>
      <c r="AX897" s="13"/>
      <c r="AY897" s="13"/>
      <c r="AZ897" s="6"/>
      <c r="BA897" s="6"/>
      <c r="BB897" s="6"/>
      <c r="BC897" s="6"/>
      <c r="BD897" s="6"/>
      <c r="BE897" s="6"/>
      <c r="BF897" s="6"/>
      <c r="BG897" s="6"/>
    </row>
    <row r="898">
      <c r="A898" s="69"/>
      <c r="B898" s="69"/>
      <c r="C898" s="7"/>
      <c r="D898" s="41"/>
      <c r="E898" s="6"/>
      <c r="F898" s="41"/>
      <c r="G898" s="35"/>
      <c r="H898" s="35"/>
      <c r="J898" s="69"/>
      <c r="K898" s="99"/>
      <c r="L898" s="90"/>
      <c r="M898" s="69"/>
      <c r="N898" s="375"/>
      <c r="O898" s="378"/>
      <c r="P898" s="13"/>
      <c r="Q898" s="13"/>
      <c r="R898" s="13"/>
      <c r="S898" s="35"/>
      <c r="T898" s="35"/>
      <c r="U898" s="69"/>
      <c r="V898" s="6"/>
      <c r="W898" s="6"/>
      <c r="X898" s="181"/>
      <c r="Y898" s="102"/>
      <c r="Z898" s="102"/>
      <c r="AA898" s="102"/>
      <c r="AB898" s="102"/>
      <c r="AC898" s="102"/>
      <c r="AD898" s="342"/>
      <c r="AE898" s="102"/>
      <c r="AF898" s="110"/>
      <c r="AG898" s="104"/>
      <c r="AH898" s="69"/>
      <c r="AI898" s="105"/>
      <c r="AJ898" s="98"/>
      <c r="AK898" s="110"/>
      <c r="AL898" s="98"/>
      <c r="AM898" s="69"/>
      <c r="AN898" s="13"/>
      <c r="AO898" s="13"/>
      <c r="AP898" s="13"/>
      <c r="AQ898" s="6"/>
      <c r="AR898" s="13"/>
      <c r="AS898" s="13"/>
      <c r="AT898" s="13"/>
      <c r="AU898" s="13"/>
      <c r="AV898" s="13"/>
      <c r="AW898" s="6"/>
      <c r="AX898" s="13"/>
      <c r="AY898" s="13"/>
      <c r="AZ898" s="6"/>
      <c r="BA898" s="6"/>
      <c r="BB898" s="6"/>
      <c r="BC898" s="6"/>
      <c r="BD898" s="6"/>
      <c r="BE898" s="6"/>
      <c r="BF898" s="6"/>
      <c r="BG898" s="6"/>
    </row>
    <row r="899">
      <c r="A899" s="69"/>
      <c r="B899" s="69"/>
      <c r="C899" s="7"/>
      <c r="D899" s="41"/>
      <c r="E899" s="6"/>
      <c r="F899" s="41"/>
      <c r="G899" s="35"/>
      <c r="H899" s="35"/>
      <c r="J899" s="69"/>
      <c r="K899" s="99"/>
      <c r="L899" s="90"/>
      <c r="M899" s="69"/>
      <c r="N899" s="375"/>
      <c r="O899" s="378"/>
      <c r="P899" s="13"/>
      <c r="Q899" s="13"/>
      <c r="R899" s="13"/>
      <c r="S899" s="35"/>
      <c r="T899" s="35"/>
      <c r="U899" s="69"/>
      <c r="V899" s="6"/>
      <c r="W899" s="6"/>
      <c r="X899" s="181"/>
      <c r="Y899" s="102"/>
      <c r="Z899" s="102"/>
      <c r="AA899" s="102"/>
      <c r="AB899" s="102"/>
      <c r="AC899" s="102"/>
      <c r="AD899" s="342"/>
      <c r="AE899" s="102"/>
      <c r="AF899" s="110"/>
      <c r="AG899" s="104"/>
      <c r="AH899" s="69"/>
      <c r="AI899" s="105"/>
      <c r="AJ899" s="98"/>
      <c r="AK899" s="110"/>
      <c r="AL899" s="98"/>
      <c r="AM899" s="69"/>
      <c r="AN899" s="13"/>
      <c r="AO899" s="13"/>
      <c r="AP899" s="13"/>
      <c r="AQ899" s="6"/>
      <c r="AR899" s="13"/>
      <c r="AS899" s="13"/>
      <c r="AT899" s="13"/>
      <c r="AU899" s="13"/>
      <c r="AV899" s="13"/>
      <c r="AW899" s="6"/>
      <c r="AX899" s="13"/>
      <c r="AY899" s="13"/>
      <c r="AZ899" s="6"/>
      <c r="BA899" s="6"/>
      <c r="BB899" s="6"/>
      <c r="BC899" s="6"/>
      <c r="BD899" s="6"/>
      <c r="BE899" s="6"/>
      <c r="BF899" s="6"/>
      <c r="BG899" s="6"/>
    </row>
    <row r="900">
      <c r="A900" s="69"/>
      <c r="B900" s="69"/>
      <c r="C900" s="7"/>
      <c r="D900" s="41"/>
      <c r="E900" s="6"/>
      <c r="F900" s="41"/>
      <c r="G900" s="35"/>
      <c r="H900" s="35"/>
      <c r="J900" s="69"/>
      <c r="K900" s="99"/>
      <c r="L900" s="90"/>
      <c r="M900" s="69"/>
      <c r="N900" s="375"/>
      <c r="O900" s="378"/>
      <c r="P900" s="13"/>
      <c r="Q900" s="13"/>
      <c r="R900" s="13"/>
      <c r="S900" s="35"/>
      <c r="T900" s="35"/>
      <c r="U900" s="69"/>
      <c r="V900" s="6"/>
      <c r="W900" s="6"/>
      <c r="X900" s="181"/>
      <c r="Y900" s="102"/>
      <c r="Z900" s="102"/>
      <c r="AA900" s="102"/>
      <c r="AB900" s="102"/>
      <c r="AC900" s="102"/>
      <c r="AD900" s="342"/>
      <c r="AE900" s="102"/>
      <c r="AF900" s="110"/>
      <c r="AG900" s="104"/>
      <c r="AH900" s="69"/>
      <c r="AI900" s="105"/>
      <c r="AJ900" s="98"/>
      <c r="AK900" s="110"/>
      <c r="AL900" s="98"/>
      <c r="AM900" s="69"/>
      <c r="AN900" s="13"/>
      <c r="AO900" s="13"/>
      <c r="AP900" s="13"/>
      <c r="AQ900" s="6"/>
      <c r="AR900" s="13"/>
      <c r="AS900" s="13"/>
      <c r="AT900" s="13"/>
      <c r="AU900" s="13"/>
      <c r="AV900" s="13"/>
      <c r="AW900" s="6"/>
      <c r="AX900" s="13"/>
      <c r="AY900" s="13"/>
      <c r="AZ900" s="6"/>
      <c r="BA900" s="6"/>
      <c r="BB900" s="6"/>
      <c r="BC900" s="6"/>
      <c r="BD900" s="6"/>
      <c r="BE900" s="6"/>
      <c r="BF900" s="6"/>
      <c r="BG900" s="6"/>
    </row>
    <row r="901">
      <c r="A901" s="69"/>
      <c r="B901" s="69"/>
      <c r="C901" s="7"/>
      <c r="D901" s="41"/>
      <c r="E901" s="6"/>
      <c r="F901" s="41"/>
      <c r="G901" s="35"/>
      <c r="H901" s="35"/>
      <c r="J901" s="69"/>
      <c r="K901" s="99"/>
      <c r="L901" s="90"/>
      <c r="M901" s="69"/>
      <c r="N901" s="375"/>
      <c r="O901" s="378"/>
      <c r="P901" s="13"/>
      <c r="Q901" s="13"/>
      <c r="R901" s="13"/>
      <c r="S901" s="35"/>
      <c r="T901" s="35"/>
      <c r="U901" s="69"/>
      <c r="V901" s="6"/>
      <c r="W901" s="6"/>
      <c r="X901" s="181"/>
      <c r="Y901" s="102"/>
      <c r="Z901" s="102"/>
      <c r="AA901" s="102"/>
      <c r="AB901" s="102"/>
      <c r="AC901" s="102"/>
      <c r="AD901" s="342"/>
      <c r="AE901" s="102"/>
      <c r="AF901" s="110"/>
      <c r="AG901" s="104"/>
      <c r="AH901" s="69"/>
      <c r="AI901" s="105"/>
      <c r="AJ901" s="98"/>
      <c r="AK901" s="110"/>
      <c r="AL901" s="98"/>
      <c r="AM901" s="69"/>
      <c r="AN901" s="13"/>
      <c r="AO901" s="13"/>
      <c r="AP901" s="13"/>
      <c r="AQ901" s="6"/>
      <c r="AR901" s="13"/>
      <c r="AS901" s="13"/>
      <c r="AT901" s="13"/>
      <c r="AU901" s="13"/>
      <c r="AV901" s="13"/>
      <c r="AW901" s="6"/>
      <c r="AX901" s="13"/>
      <c r="AY901" s="13"/>
      <c r="AZ901" s="6"/>
      <c r="BA901" s="6"/>
      <c r="BB901" s="6"/>
      <c r="BC901" s="6"/>
      <c r="BD901" s="6"/>
      <c r="BE901" s="6"/>
      <c r="BF901" s="6"/>
      <c r="BG901" s="6"/>
    </row>
    <row r="902">
      <c r="A902" s="69"/>
      <c r="B902" s="69"/>
      <c r="C902" s="7"/>
      <c r="D902" s="41"/>
      <c r="E902" s="6"/>
      <c r="F902" s="41"/>
      <c r="G902" s="35"/>
      <c r="H902" s="35"/>
      <c r="J902" s="69"/>
      <c r="K902" s="99"/>
      <c r="L902" s="90"/>
      <c r="M902" s="69"/>
      <c r="N902" s="375"/>
      <c r="O902" s="378"/>
      <c r="P902" s="13"/>
      <c r="Q902" s="13"/>
      <c r="R902" s="13"/>
      <c r="S902" s="35"/>
      <c r="T902" s="35"/>
      <c r="U902" s="69"/>
      <c r="V902" s="6"/>
      <c r="W902" s="6"/>
      <c r="X902" s="181"/>
      <c r="Y902" s="102"/>
      <c r="Z902" s="102"/>
      <c r="AA902" s="102"/>
      <c r="AB902" s="102"/>
      <c r="AC902" s="102"/>
      <c r="AD902" s="342"/>
      <c r="AE902" s="102"/>
      <c r="AF902" s="110"/>
      <c r="AG902" s="104"/>
      <c r="AH902" s="69"/>
      <c r="AI902" s="105"/>
      <c r="AJ902" s="98"/>
      <c r="AK902" s="110"/>
      <c r="AL902" s="98"/>
      <c r="AM902" s="69"/>
      <c r="AN902" s="13"/>
      <c r="AO902" s="13"/>
      <c r="AP902" s="13"/>
      <c r="AQ902" s="6"/>
      <c r="AR902" s="13"/>
      <c r="AS902" s="13"/>
      <c r="AT902" s="13"/>
      <c r="AU902" s="13"/>
      <c r="AV902" s="13"/>
      <c r="AW902" s="6"/>
      <c r="AX902" s="13"/>
      <c r="AY902" s="13"/>
      <c r="AZ902" s="6"/>
      <c r="BA902" s="6"/>
      <c r="BB902" s="6"/>
      <c r="BC902" s="6"/>
      <c r="BD902" s="6"/>
      <c r="BE902" s="6"/>
      <c r="BF902" s="6"/>
      <c r="BG902" s="6"/>
    </row>
    <row r="903">
      <c r="A903" s="69"/>
      <c r="B903" s="69"/>
      <c r="C903" s="7"/>
      <c r="D903" s="41"/>
      <c r="E903" s="6"/>
      <c r="F903" s="41"/>
      <c r="G903" s="35"/>
      <c r="H903" s="35"/>
      <c r="J903" s="69"/>
      <c r="K903" s="99"/>
      <c r="L903" s="90"/>
      <c r="M903" s="69"/>
      <c r="N903" s="375"/>
      <c r="O903" s="378"/>
      <c r="P903" s="13"/>
      <c r="Q903" s="13"/>
      <c r="R903" s="13"/>
      <c r="S903" s="35"/>
      <c r="T903" s="35"/>
      <c r="U903" s="69"/>
      <c r="V903" s="6"/>
      <c r="W903" s="6"/>
      <c r="X903" s="181"/>
      <c r="Y903" s="102"/>
      <c r="Z903" s="102"/>
      <c r="AA903" s="102"/>
      <c r="AB903" s="102"/>
      <c r="AC903" s="102"/>
      <c r="AD903" s="342"/>
      <c r="AE903" s="102"/>
      <c r="AF903" s="110"/>
      <c r="AG903" s="104"/>
      <c r="AH903" s="69"/>
      <c r="AI903" s="105"/>
      <c r="AJ903" s="98"/>
      <c r="AK903" s="110"/>
      <c r="AL903" s="98"/>
      <c r="AM903" s="69"/>
      <c r="AN903" s="13"/>
      <c r="AO903" s="13"/>
      <c r="AP903" s="13"/>
      <c r="AQ903" s="122"/>
      <c r="AR903" s="13"/>
      <c r="AS903" s="13"/>
      <c r="AT903" s="13"/>
      <c r="AU903" s="13"/>
      <c r="AV903" s="13"/>
      <c r="AW903" s="6"/>
      <c r="AX903" s="13"/>
      <c r="AY903" s="13"/>
      <c r="AZ903" s="6"/>
      <c r="BA903" s="6"/>
      <c r="BB903" s="6"/>
      <c r="BC903" s="6"/>
      <c r="BD903" s="6"/>
      <c r="BE903" s="6"/>
      <c r="BF903" s="6"/>
      <c r="BG903" s="6"/>
    </row>
    <row r="904">
      <c r="A904" s="69"/>
      <c r="B904" s="69"/>
      <c r="C904" s="7"/>
      <c r="D904" s="41"/>
      <c r="E904" s="6"/>
      <c r="F904" s="41"/>
      <c r="G904" s="35"/>
      <c r="H904" s="35"/>
      <c r="J904" s="69"/>
      <c r="K904" s="99"/>
      <c r="L904" s="90"/>
      <c r="M904" s="69"/>
      <c r="N904" s="375"/>
      <c r="O904" s="378"/>
      <c r="P904" s="13"/>
      <c r="Q904" s="13"/>
      <c r="R904" s="13"/>
      <c r="S904" s="35"/>
      <c r="T904" s="35"/>
      <c r="U904" s="69"/>
      <c r="V904" s="6"/>
      <c r="W904" s="6"/>
      <c r="X904" s="181"/>
      <c r="Y904" s="102"/>
      <c r="Z904" s="102"/>
      <c r="AA904" s="102"/>
      <c r="AB904" s="102"/>
      <c r="AC904" s="102"/>
      <c r="AD904" s="342"/>
      <c r="AE904" s="102"/>
      <c r="AF904" s="110"/>
      <c r="AG904" s="104"/>
      <c r="AH904" s="69"/>
      <c r="AI904" s="105"/>
      <c r="AJ904" s="98"/>
      <c r="AK904" s="110"/>
      <c r="AL904" s="98"/>
      <c r="AM904" s="69"/>
      <c r="AN904" s="13"/>
      <c r="AO904" s="13"/>
      <c r="AP904" s="13"/>
      <c r="AQ904" s="13"/>
      <c r="AR904" s="13"/>
      <c r="AS904" s="13"/>
      <c r="AT904" s="13"/>
      <c r="AU904" s="13"/>
      <c r="AV904" s="13"/>
      <c r="AW904" s="6"/>
      <c r="AX904" s="13"/>
      <c r="AY904" s="13"/>
      <c r="AZ904" s="6"/>
      <c r="BA904" s="6"/>
      <c r="BB904" s="6"/>
      <c r="BC904" s="6"/>
      <c r="BD904" s="6"/>
      <c r="BE904" s="6"/>
      <c r="BF904" s="6"/>
      <c r="BG904" s="6"/>
    </row>
    <row r="905">
      <c r="A905" s="69"/>
      <c r="B905" s="69"/>
      <c r="C905" s="7"/>
      <c r="D905" s="41"/>
      <c r="E905" s="6"/>
      <c r="F905" s="41"/>
      <c r="G905" s="35"/>
      <c r="H905" s="35"/>
      <c r="J905" s="69"/>
      <c r="K905" s="99"/>
      <c r="L905" s="90"/>
      <c r="M905" s="69"/>
      <c r="N905" s="375"/>
      <c r="O905" s="378"/>
      <c r="P905" s="13"/>
      <c r="Q905" s="13"/>
      <c r="R905" s="13"/>
      <c r="S905" s="35"/>
      <c r="T905" s="35"/>
      <c r="U905" s="69"/>
      <c r="V905" s="6"/>
      <c r="W905" s="6"/>
      <c r="X905" s="181"/>
      <c r="Y905" s="102"/>
      <c r="Z905" s="102"/>
      <c r="AA905" s="102"/>
      <c r="AB905" s="102"/>
      <c r="AC905" s="102"/>
      <c r="AD905" s="342"/>
      <c r="AE905" s="102"/>
      <c r="AF905" s="110"/>
      <c r="AG905" s="104"/>
      <c r="AH905" s="69"/>
      <c r="AI905" s="105"/>
      <c r="AJ905" s="98"/>
      <c r="AK905" s="110"/>
      <c r="AL905" s="98"/>
      <c r="AM905" s="69"/>
      <c r="AN905" s="13"/>
      <c r="AO905" s="13"/>
      <c r="AP905" s="13"/>
      <c r="AQ905" s="6"/>
      <c r="AR905" s="6"/>
      <c r="AS905" s="13"/>
      <c r="AT905" s="6"/>
      <c r="AU905" s="13"/>
      <c r="AV905" s="6"/>
      <c r="AW905" s="6"/>
      <c r="AX905" s="13"/>
      <c r="AY905" s="13"/>
      <c r="AZ905" s="6"/>
      <c r="BA905" s="6"/>
      <c r="BB905" s="6"/>
      <c r="BC905" s="6"/>
      <c r="BD905" s="6"/>
      <c r="BE905" s="6"/>
      <c r="BF905" s="6"/>
      <c r="BG905" s="6"/>
    </row>
    <row r="906">
      <c r="A906" s="69"/>
      <c r="B906" s="69"/>
      <c r="C906" s="7"/>
      <c r="D906" s="41"/>
      <c r="E906" s="6"/>
      <c r="F906" s="41"/>
      <c r="G906" s="35"/>
      <c r="H906" s="35"/>
      <c r="J906" s="69"/>
      <c r="K906" s="99"/>
      <c r="L906" s="90"/>
      <c r="M906" s="69"/>
      <c r="N906" s="375"/>
      <c r="O906" s="378"/>
      <c r="P906" s="13"/>
      <c r="Q906" s="13"/>
      <c r="R906" s="13"/>
      <c r="S906" s="35"/>
      <c r="T906" s="35"/>
      <c r="U906" s="69"/>
      <c r="V906" s="6"/>
      <c r="W906" s="6"/>
      <c r="X906" s="181"/>
      <c r="Y906" s="102"/>
      <c r="Z906" s="102"/>
      <c r="AA906" s="102"/>
      <c r="AB906" s="102"/>
      <c r="AC906" s="102"/>
      <c r="AD906" s="342"/>
      <c r="AE906" s="102"/>
      <c r="AF906" s="110"/>
      <c r="AG906" s="104"/>
      <c r="AH906" s="69"/>
      <c r="AI906" s="105"/>
      <c r="AJ906" s="98"/>
      <c r="AK906" s="110"/>
      <c r="AL906" s="98"/>
      <c r="AM906" s="69"/>
      <c r="AN906" s="13"/>
      <c r="AO906" s="13"/>
      <c r="AP906" s="13"/>
      <c r="AQ906" s="6"/>
      <c r="AR906" s="13"/>
      <c r="AS906" s="13"/>
      <c r="AT906" s="13"/>
      <c r="AU906" s="13"/>
      <c r="AV906" s="13"/>
      <c r="AW906" s="6"/>
      <c r="AX906" s="13"/>
      <c r="AY906" s="13"/>
      <c r="AZ906" s="6"/>
      <c r="BA906" s="6"/>
      <c r="BB906" s="6"/>
      <c r="BC906" s="6"/>
      <c r="BD906" s="6"/>
      <c r="BE906" s="6"/>
      <c r="BF906" s="6"/>
      <c r="BG906" s="6"/>
    </row>
    <row r="907">
      <c r="A907" s="69"/>
      <c r="B907" s="69"/>
      <c r="C907" s="7"/>
      <c r="D907" s="41"/>
      <c r="E907" s="6"/>
      <c r="F907" s="41"/>
      <c r="G907" s="35"/>
      <c r="H907" s="35"/>
      <c r="J907" s="69"/>
      <c r="K907" s="99"/>
      <c r="L907" s="90"/>
      <c r="M907" s="69"/>
      <c r="N907" s="375"/>
      <c r="O907" s="378"/>
      <c r="P907" s="13"/>
      <c r="Q907" s="13"/>
      <c r="R907" s="13"/>
      <c r="S907" s="98"/>
      <c r="T907" s="35"/>
      <c r="U907" s="69"/>
      <c r="V907" s="6"/>
      <c r="W907" s="6"/>
      <c r="X907" s="181"/>
      <c r="Y907" s="102"/>
      <c r="Z907" s="102"/>
      <c r="AA907" s="102"/>
      <c r="AB907" s="102"/>
      <c r="AC907" s="102"/>
      <c r="AD907" s="342"/>
      <c r="AE907" s="102"/>
      <c r="AF907" s="110"/>
      <c r="AG907" s="105"/>
      <c r="AH907" s="69"/>
      <c r="AI907" s="105"/>
      <c r="AJ907" s="98"/>
      <c r="AK907" s="110"/>
      <c r="AL907" s="98"/>
      <c r="AM907" s="69"/>
      <c r="AN907" s="13"/>
      <c r="AO907" s="13"/>
      <c r="AP907" s="13"/>
      <c r="AQ907" s="6"/>
      <c r="AR907" s="6"/>
      <c r="AS907" s="6"/>
      <c r="AT907" s="6"/>
      <c r="AU907" s="6"/>
      <c r="AV907" s="6"/>
      <c r="AW907" s="6"/>
      <c r="AX907" s="13"/>
      <c r="AY907" s="13"/>
      <c r="AZ907" s="6"/>
      <c r="BA907" s="6"/>
      <c r="BB907" s="6"/>
      <c r="BC907" s="6"/>
      <c r="BD907" s="6"/>
      <c r="BE907" s="6"/>
      <c r="BF907" s="6"/>
      <c r="BG907" s="6"/>
    </row>
    <row r="908">
      <c r="A908" s="69"/>
      <c r="B908" s="69"/>
      <c r="C908" s="7"/>
      <c r="D908" s="41"/>
      <c r="E908" s="6"/>
      <c r="F908" s="41"/>
      <c r="G908" s="35"/>
      <c r="H908" s="35"/>
      <c r="J908" s="69"/>
      <c r="K908" s="99"/>
      <c r="L908" s="90"/>
      <c r="M908" s="69"/>
      <c r="N908" s="375"/>
      <c r="O908" s="378"/>
      <c r="P908" s="13"/>
      <c r="Q908" s="13"/>
      <c r="R908" s="13"/>
      <c r="S908" s="98"/>
      <c r="T908" s="35"/>
      <c r="U908" s="69"/>
      <c r="V908" s="6"/>
      <c r="W908" s="6"/>
      <c r="X908" s="181"/>
      <c r="Y908" s="102"/>
      <c r="Z908" s="102"/>
      <c r="AA908" s="102"/>
      <c r="AB908" s="102"/>
      <c r="AC908" s="102"/>
      <c r="AD908" s="342"/>
      <c r="AE908" s="102"/>
      <c r="AF908" s="110"/>
      <c r="AG908" s="105"/>
      <c r="AH908" s="69"/>
      <c r="AI908" s="105"/>
      <c r="AJ908" s="98"/>
      <c r="AK908" s="110"/>
      <c r="AL908" s="98"/>
      <c r="AM908" s="69"/>
      <c r="AN908" s="13"/>
      <c r="AO908" s="13"/>
      <c r="AP908" s="13"/>
      <c r="AQ908" s="6"/>
      <c r="AR908" s="6"/>
      <c r="AS908" s="13"/>
      <c r="AT908" s="6"/>
      <c r="AU908" s="13"/>
      <c r="AV908" s="6"/>
      <c r="AW908" s="6"/>
      <c r="AX908" s="13"/>
      <c r="AY908" s="13"/>
      <c r="AZ908" s="6"/>
      <c r="BA908" s="6"/>
      <c r="BB908" s="6"/>
      <c r="BC908" s="6"/>
      <c r="BD908" s="6"/>
      <c r="BE908" s="6"/>
      <c r="BF908" s="6"/>
      <c r="BG908" s="6"/>
    </row>
    <row r="909">
      <c r="A909" s="69"/>
      <c r="B909" s="69"/>
      <c r="C909" s="7"/>
      <c r="D909" s="41"/>
      <c r="E909" s="6"/>
      <c r="F909" s="41"/>
      <c r="G909" s="35"/>
      <c r="H909" s="35"/>
      <c r="J909" s="69"/>
      <c r="K909" s="99"/>
      <c r="L909" s="90"/>
      <c r="M909" s="69"/>
      <c r="N909" s="375"/>
      <c r="O909" s="378"/>
      <c r="P909" s="13"/>
      <c r="Q909" s="13"/>
      <c r="R909" s="13"/>
      <c r="S909" s="98"/>
      <c r="T909" s="35"/>
      <c r="U909" s="69"/>
      <c r="V909" s="6"/>
      <c r="W909" s="6"/>
      <c r="X909" s="181"/>
      <c r="Y909" s="102"/>
      <c r="Z909" s="102"/>
      <c r="AA909" s="102"/>
      <c r="AB909" s="102"/>
      <c r="AC909" s="102"/>
      <c r="AD909" s="342"/>
      <c r="AE909" s="102"/>
      <c r="AF909" s="110"/>
      <c r="AG909" s="105"/>
      <c r="AH909" s="69"/>
      <c r="AI909" s="104"/>
      <c r="AJ909" s="35"/>
      <c r="AK909" s="110"/>
      <c r="AL909" s="35"/>
      <c r="AM909" s="69"/>
      <c r="AN909" s="13"/>
      <c r="AO909" s="13"/>
      <c r="AP909" s="13"/>
      <c r="AQ909" s="6"/>
      <c r="AR909" s="13"/>
      <c r="AS909" s="13"/>
      <c r="AT909" s="13"/>
      <c r="AU909" s="13"/>
      <c r="AV909" s="13"/>
      <c r="AW909" s="6"/>
      <c r="AX909" s="13"/>
      <c r="AY909" s="13"/>
      <c r="AZ909" s="6"/>
      <c r="BA909" s="6"/>
      <c r="BB909" s="6"/>
      <c r="BC909" s="6"/>
      <c r="BD909" s="6"/>
      <c r="BE909" s="6"/>
      <c r="BF909" s="6"/>
      <c r="BG909" s="6"/>
    </row>
    <row r="910">
      <c r="A910" s="69"/>
      <c r="B910" s="69"/>
      <c r="C910" s="7"/>
      <c r="D910" s="41"/>
      <c r="E910" s="6"/>
      <c r="F910" s="41"/>
      <c r="G910" s="35"/>
      <c r="H910" s="35"/>
      <c r="J910" s="69"/>
      <c r="K910" s="99"/>
      <c r="L910" s="90"/>
      <c r="M910" s="69"/>
      <c r="N910" s="375"/>
      <c r="O910" s="378"/>
      <c r="P910" s="13"/>
      <c r="Q910" s="13"/>
      <c r="R910" s="13"/>
      <c r="S910" s="35"/>
      <c r="T910" s="35"/>
      <c r="U910" s="69"/>
      <c r="V910" s="6"/>
      <c r="W910" s="6"/>
      <c r="X910" s="181"/>
      <c r="Y910" s="102"/>
      <c r="Z910" s="102"/>
      <c r="AA910" s="102"/>
      <c r="AB910" s="102"/>
      <c r="AC910" s="102"/>
      <c r="AD910" s="342"/>
      <c r="AE910" s="102"/>
      <c r="AF910" s="110"/>
      <c r="AG910" s="104"/>
      <c r="AH910" s="69"/>
      <c r="AI910" s="105"/>
      <c r="AJ910" s="98"/>
      <c r="AK910" s="110"/>
      <c r="AL910" s="98"/>
      <c r="AM910" s="69"/>
      <c r="AN910" s="13"/>
      <c r="AO910" s="13"/>
      <c r="AP910" s="13"/>
      <c r="AQ910" s="6"/>
      <c r="AR910" s="6"/>
      <c r="AS910" s="13"/>
      <c r="AT910" s="6"/>
      <c r="AU910" s="13"/>
      <c r="AV910" s="6"/>
      <c r="AW910" s="6"/>
      <c r="AX910" s="13"/>
      <c r="AY910" s="13"/>
      <c r="AZ910" s="6"/>
      <c r="BA910" s="6"/>
      <c r="BB910" s="6"/>
      <c r="BC910" s="6"/>
      <c r="BD910" s="6"/>
      <c r="BE910" s="6"/>
      <c r="BF910" s="6"/>
      <c r="BG910" s="6"/>
    </row>
    <row r="911">
      <c r="A911" s="69"/>
      <c r="B911" s="69"/>
      <c r="C911" s="7"/>
      <c r="D911" s="41"/>
      <c r="E911" s="6"/>
      <c r="F911" s="41"/>
      <c r="G911" s="35"/>
      <c r="H911" s="35"/>
      <c r="J911" s="69"/>
      <c r="K911" s="99"/>
      <c r="L911" s="90"/>
      <c r="M911" s="69"/>
      <c r="N911" s="375"/>
      <c r="O911" s="378"/>
      <c r="P911" s="13"/>
      <c r="Q911" s="13"/>
      <c r="R911" s="13"/>
      <c r="S911" s="35"/>
      <c r="T911" s="35"/>
      <c r="U911" s="69"/>
      <c r="V911" s="6"/>
      <c r="W911" s="6"/>
      <c r="X911" s="181"/>
      <c r="Y911" s="102"/>
      <c r="Z911" s="102"/>
      <c r="AA911" s="102"/>
      <c r="AB911" s="102"/>
      <c r="AC911" s="102"/>
      <c r="AD911" s="342"/>
      <c r="AE911" s="102"/>
      <c r="AF911" s="110"/>
      <c r="AG911" s="104"/>
      <c r="AH911" s="69"/>
      <c r="AI911" s="105"/>
      <c r="AJ911" s="98"/>
      <c r="AK911" s="110"/>
      <c r="AL911" s="98"/>
      <c r="AM911" s="69"/>
      <c r="AN911" s="13"/>
      <c r="AO911" s="13"/>
      <c r="AP911" s="13"/>
      <c r="AQ911" s="13"/>
      <c r="AR911" s="13"/>
      <c r="AS911" s="13"/>
      <c r="AT911" s="13"/>
      <c r="AU911" s="13"/>
      <c r="AV911" s="13"/>
      <c r="AW911" s="6"/>
      <c r="AX911" s="13"/>
      <c r="AY911" s="13"/>
      <c r="AZ911" s="6"/>
      <c r="BA911" s="6"/>
      <c r="BB911" s="6"/>
      <c r="BC911" s="6"/>
      <c r="BD911" s="6"/>
      <c r="BE911" s="6"/>
      <c r="BF911" s="6"/>
      <c r="BG911" s="6"/>
    </row>
    <row r="912">
      <c r="A912" s="69"/>
      <c r="B912" s="69"/>
      <c r="C912" s="7"/>
      <c r="D912" s="41"/>
      <c r="E912" s="6"/>
      <c r="F912" s="41"/>
      <c r="G912" s="35"/>
      <c r="H912" s="35"/>
      <c r="J912" s="69"/>
      <c r="K912" s="99"/>
      <c r="L912" s="90"/>
      <c r="M912" s="69"/>
      <c r="N912" s="375"/>
      <c r="O912" s="378"/>
      <c r="P912" s="13"/>
      <c r="Q912" s="13"/>
      <c r="R912" s="13"/>
      <c r="S912" s="35"/>
      <c r="T912" s="35"/>
      <c r="U912" s="69"/>
      <c r="V912" s="6"/>
      <c r="W912" s="6"/>
      <c r="X912" s="181"/>
      <c r="Y912" s="102"/>
      <c r="Z912" s="102"/>
      <c r="AA912" s="102"/>
      <c r="AB912" s="102"/>
      <c r="AC912" s="102"/>
      <c r="AD912" s="342"/>
      <c r="AE912" s="102"/>
      <c r="AF912" s="110"/>
      <c r="AG912" s="104"/>
      <c r="AH912" s="69"/>
      <c r="AI912" s="105"/>
      <c r="AJ912" s="98"/>
      <c r="AK912" s="110"/>
      <c r="AL912" s="98"/>
      <c r="AM912" s="69"/>
      <c r="AN912" s="13"/>
      <c r="AO912" s="13"/>
      <c r="AP912" s="13"/>
      <c r="AQ912" s="13"/>
      <c r="AR912" s="13"/>
      <c r="AS912" s="13"/>
      <c r="AT912" s="13"/>
      <c r="AU912" s="13"/>
      <c r="AV912" s="13"/>
      <c r="AW912" s="6"/>
      <c r="AX912" s="13"/>
      <c r="AY912" s="13"/>
      <c r="AZ912" s="6"/>
      <c r="BA912" s="6"/>
      <c r="BB912" s="6"/>
      <c r="BC912" s="6"/>
      <c r="BD912" s="6"/>
      <c r="BE912" s="6"/>
      <c r="BF912" s="6"/>
      <c r="BG912" s="6"/>
    </row>
    <row r="913">
      <c r="A913" s="69"/>
      <c r="B913" s="69"/>
      <c r="C913" s="7"/>
      <c r="D913" s="41"/>
      <c r="E913" s="6"/>
      <c r="F913" s="41"/>
      <c r="G913" s="35"/>
      <c r="H913" s="35"/>
      <c r="J913" s="69"/>
      <c r="K913" s="99"/>
      <c r="L913" s="90"/>
      <c r="M913" s="69"/>
      <c r="N913" s="375"/>
      <c r="O913" s="378"/>
      <c r="P913" s="13"/>
      <c r="Q913" s="13"/>
      <c r="R913" s="13"/>
      <c r="S913" s="35"/>
      <c r="T913" s="35"/>
      <c r="U913" s="69"/>
      <c r="V913" s="6"/>
      <c r="W913" s="6"/>
      <c r="X913" s="181"/>
      <c r="Y913" s="102"/>
      <c r="Z913" s="102"/>
      <c r="AA913" s="102"/>
      <c r="AB913" s="102"/>
      <c r="AC913" s="102"/>
      <c r="AD913" s="342"/>
      <c r="AE913" s="102"/>
      <c r="AF913" s="110"/>
      <c r="AG913" s="104"/>
      <c r="AH913" s="69"/>
      <c r="AI913" s="105"/>
      <c r="AJ913" s="98"/>
      <c r="AK913" s="110"/>
      <c r="AL913" s="98"/>
      <c r="AM913" s="69"/>
      <c r="AN913" s="13"/>
      <c r="AO913" s="13"/>
      <c r="AP913" s="13"/>
      <c r="AQ913" s="6"/>
      <c r="AR913" s="13"/>
      <c r="AS913" s="13"/>
      <c r="AT913" s="13"/>
      <c r="AU913" s="13"/>
      <c r="AV913" s="13"/>
      <c r="AW913" s="6"/>
      <c r="AX913" s="13"/>
      <c r="AY913" s="13"/>
      <c r="AZ913" s="6"/>
      <c r="BA913" s="6"/>
      <c r="BB913" s="6"/>
      <c r="BC913" s="6"/>
      <c r="BD913" s="6"/>
      <c r="BE913" s="6"/>
      <c r="BF913" s="6"/>
      <c r="BG913" s="6"/>
    </row>
    <row r="914">
      <c r="A914" s="69"/>
      <c r="B914" s="69"/>
      <c r="C914" s="7"/>
      <c r="D914" s="41"/>
      <c r="E914" s="6"/>
      <c r="F914" s="41"/>
      <c r="G914" s="35"/>
      <c r="H914" s="35"/>
      <c r="J914" s="69"/>
      <c r="K914" s="99"/>
      <c r="L914" s="90"/>
      <c r="M914" s="69"/>
      <c r="N914" s="375"/>
      <c r="O914" s="378"/>
      <c r="P914" s="13"/>
      <c r="Q914" s="13"/>
      <c r="R914" s="13"/>
      <c r="S914" s="35"/>
      <c r="T914" s="35"/>
      <c r="U914" s="69"/>
      <c r="V914" s="6"/>
      <c r="W914" s="6"/>
      <c r="X914" s="181"/>
      <c r="Y914" s="102"/>
      <c r="Z914" s="102"/>
      <c r="AA914" s="102"/>
      <c r="AB914" s="102"/>
      <c r="AC914" s="102"/>
      <c r="AD914" s="342"/>
      <c r="AE914" s="102"/>
      <c r="AF914" s="110"/>
      <c r="AG914" s="104"/>
      <c r="AH914" s="69"/>
      <c r="AI914" s="105"/>
      <c r="AJ914" s="98"/>
      <c r="AK914" s="110"/>
      <c r="AL914" s="98"/>
      <c r="AM914" s="69"/>
      <c r="AN914" s="13"/>
      <c r="AO914" s="13"/>
      <c r="AP914" s="13"/>
      <c r="AQ914" s="6"/>
      <c r="AR914" s="13"/>
      <c r="AS914" s="13"/>
      <c r="AT914" s="13"/>
      <c r="AU914" s="13"/>
      <c r="AV914" s="13"/>
      <c r="AW914" s="6"/>
      <c r="AX914" s="13"/>
      <c r="AY914" s="13"/>
      <c r="AZ914" s="6"/>
      <c r="BA914" s="6"/>
      <c r="BB914" s="6"/>
      <c r="BC914" s="6"/>
      <c r="BD914" s="6"/>
      <c r="BE914" s="6"/>
      <c r="BF914" s="6"/>
      <c r="BG914" s="6"/>
    </row>
    <row r="915">
      <c r="A915" s="69"/>
      <c r="B915" s="69"/>
      <c r="C915" s="7"/>
      <c r="D915" s="41"/>
      <c r="E915" s="6"/>
      <c r="F915" s="41"/>
      <c r="G915" s="35"/>
      <c r="H915" s="35"/>
      <c r="J915" s="69"/>
      <c r="K915" s="99"/>
      <c r="L915" s="90"/>
      <c r="M915" s="69"/>
      <c r="N915" s="375"/>
      <c r="O915" s="378"/>
      <c r="P915" s="13"/>
      <c r="Q915" s="13"/>
      <c r="R915" s="13"/>
      <c r="S915" s="35"/>
      <c r="T915" s="35"/>
      <c r="U915" s="69"/>
      <c r="V915" s="6"/>
      <c r="W915" s="6"/>
      <c r="X915" s="181"/>
      <c r="Y915" s="102"/>
      <c r="Z915" s="102"/>
      <c r="AA915" s="102"/>
      <c r="AB915" s="102"/>
      <c r="AC915" s="102"/>
      <c r="AD915" s="342"/>
      <c r="AE915" s="102"/>
      <c r="AF915" s="110"/>
      <c r="AG915" s="104"/>
      <c r="AH915" s="69"/>
      <c r="AI915" s="105"/>
      <c r="AJ915" s="98"/>
      <c r="AK915" s="110"/>
      <c r="AL915" s="98"/>
      <c r="AM915" s="69"/>
      <c r="AN915" s="13"/>
      <c r="AO915" s="13"/>
      <c r="AP915" s="13"/>
      <c r="AQ915" s="13"/>
      <c r="AR915" s="13"/>
      <c r="AS915" s="13"/>
      <c r="AT915" s="13"/>
      <c r="AU915" s="13"/>
      <c r="AV915" s="13"/>
      <c r="AW915" s="6"/>
      <c r="AX915" s="13"/>
      <c r="AY915" s="13"/>
      <c r="AZ915" s="6"/>
      <c r="BA915" s="6"/>
      <c r="BB915" s="6"/>
      <c r="BC915" s="6"/>
      <c r="BD915" s="6"/>
      <c r="BE915" s="6"/>
      <c r="BF915" s="6"/>
      <c r="BG915" s="6"/>
    </row>
    <row r="916">
      <c r="A916" s="69"/>
      <c r="B916" s="69"/>
      <c r="C916" s="7"/>
      <c r="D916" s="41"/>
      <c r="E916" s="6"/>
      <c r="F916" s="41"/>
      <c r="G916" s="35"/>
      <c r="H916" s="35"/>
      <c r="J916" s="69"/>
      <c r="K916" s="99"/>
      <c r="L916" s="90"/>
      <c r="M916" s="69"/>
      <c r="N916" s="375"/>
      <c r="O916" s="378"/>
      <c r="P916" s="13"/>
      <c r="Q916" s="13"/>
      <c r="R916" s="13"/>
      <c r="S916" s="35"/>
      <c r="T916" s="35"/>
      <c r="U916" s="69"/>
      <c r="V916" s="6"/>
      <c r="W916" s="6"/>
      <c r="X916" s="181"/>
      <c r="Y916" s="102"/>
      <c r="Z916" s="102"/>
      <c r="AA916" s="102"/>
      <c r="AB916" s="102"/>
      <c r="AC916" s="102"/>
      <c r="AD916" s="342"/>
      <c r="AE916" s="102"/>
      <c r="AF916" s="110"/>
      <c r="AG916" s="104"/>
      <c r="AH916" s="69"/>
      <c r="AI916" s="105"/>
      <c r="AJ916" s="98"/>
      <c r="AK916" s="110"/>
      <c r="AL916" s="98"/>
      <c r="AM916" s="69"/>
      <c r="AN916" s="13"/>
      <c r="AO916" s="13"/>
      <c r="AP916" s="13"/>
      <c r="AQ916" s="6"/>
      <c r="AR916" s="13"/>
      <c r="AS916" s="13"/>
      <c r="AT916" s="13"/>
      <c r="AU916" s="13"/>
      <c r="AV916" s="13"/>
      <c r="AW916" s="6"/>
      <c r="AX916" s="13"/>
      <c r="AY916" s="13"/>
      <c r="AZ916" s="6"/>
      <c r="BA916" s="6"/>
      <c r="BB916" s="6"/>
      <c r="BC916" s="6"/>
      <c r="BD916" s="6"/>
      <c r="BE916" s="6"/>
      <c r="BF916" s="6"/>
      <c r="BG916" s="6"/>
    </row>
    <row r="917">
      <c r="A917" s="69"/>
      <c r="B917" s="69"/>
      <c r="C917" s="7"/>
      <c r="D917" s="41"/>
      <c r="E917" s="6"/>
      <c r="F917" s="41"/>
      <c r="G917" s="35"/>
      <c r="H917" s="35"/>
      <c r="J917" s="69"/>
      <c r="K917" s="99"/>
      <c r="L917" s="90"/>
      <c r="M917" s="69"/>
      <c r="N917" s="375"/>
      <c r="O917" s="378"/>
      <c r="P917" s="13"/>
      <c r="Q917" s="13"/>
      <c r="R917" s="13"/>
      <c r="S917" s="35"/>
      <c r="T917" s="35"/>
      <c r="U917" s="69"/>
      <c r="V917" s="6"/>
      <c r="W917" s="6"/>
      <c r="X917" s="181"/>
      <c r="Y917" s="102"/>
      <c r="Z917" s="102"/>
      <c r="AA917" s="102"/>
      <c r="AB917" s="102"/>
      <c r="AC917" s="102"/>
      <c r="AD917" s="342"/>
      <c r="AE917" s="102"/>
      <c r="AF917" s="110"/>
      <c r="AG917" s="104"/>
      <c r="AH917" s="69"/>
      <c r="AI917" s="105"/>
      <c r="AJ917" s="98"/>
      <c r="AK917" s="110"/>
      <c r="AL917" s="98"/>
      <c r="AM917" s="69"/>
      <c r="AN917" s="13"/>
      <c r="AO917" s="13"/>
      <c r="AP917" s="13"/>
      <c r="AQ917" s="6"/>
      <c r="AR917" s="13"/>
      <c r="AS917" s="13"/>
      <c r="AT917" s="13"/>
      <c r="AU917" s="13"/>
      <c r="AV917" s="13"/>
      <c r="AW917" s="6"/>
      <c r="AX917" s="13"/>
      <c r="AY917" s="13"/>
      <c r="AZ917" s="6"/>
      <c r="BA917" s="6"/>
      <c r="BB917" s="6"/>
      <c r="BC917" s="6"/>
      <c r="BD917" s="6"/>
      <c r="BE917" s="6"/>
      <c r="BF917" s="6"/>
      <c r="BG917" s="6"/>
    </row>
    <row r="918">
      <c r="A918" s="69"/>
      <c r="B918" s="69"/>
      <c r="C918" s="7"/>
      <c r="D918" s="41"/>
      <c r="E918" s="6"/>
      <c r="F918" s="41"/>
      <c r="G918" s="35"/>
      <c r="H918" s="35"/>
      <c r="J918" s="69"/>
      <c r="K918" s="99"/>
      <c r="L918" s="90"/>
      <c r="M918" s="69"/>
      <c r="N918" s="375"/>
      <c r="O918" s="378"/>
      <c r="P918" s="13"/>
      <c r="Q918" s="13"/>
      <c r="R918" s="13"/>
      <c r="S918" s="35"/>
      <c r="T918" s="35"/>
      <c r="U918" s="69"/>
      <c r="V918" s="6"/>
      <c r="W918" s="6"/>
      <c r="X918" s="181"/>
      <c r="Y918" s="102"/>
      <c r="Z918" s="102"/>
      <c r="AA918" s="102"/>
      <c r="AB918" s="102"/>
      <c r="AC918" s="102"/>
      <c r="AD918" s="342"/>
      <c r="AE918" s="102"/>
      <c r="AF918" s="110"/>
      <c r="AG918" s="104"/>
      <c r="AH918" s="69"/>
      <c r="AI918" s="105"/>
      <c r="AJ918" s="98"/>
      <c r="AK918" s="110"/>
      <c r="AL918" s="98"/>
      <c r="AM918" s="69"/>
      <c r="AN918" s="13"/>
      <c r="AO918" s="13"/>
      <c r="AP918" s="13"/>
      <c r="AQ918" s="6"/>
      <c r="AR918" s="13"/>
      <c r="AS918" s="13"/>
      <c r="AT918" s="13"/>
      <c r="AU918" s="13"/>
      <c r="AV918" s="13"/>
      <c r="AW918" s="6"/>
      <c r="AX918" s="13"/>
      <c r="AY918" s="13"/>
      <c r="AZ918" s="6"/>
      <c r="BA918" s="6"/>
      <c r="BB918" s="6"/>
      <c r="BC918" s="6"/>
      <c r="BD918" s="6"/>
      <c r="BE918" s="6"/>
      <c r="BF918" s="6"/>
      <c r="BG918" s="6"/>
    </row>
    <row r="919">
      <c r="A919" s="69"/>
      <c r="B919" s="69"/>
      <c r="C919" s="7"/>
      <c r="D919" s="41"/>
      <c r="E919" s="6"/>
      <c r="F919" s="41"/>
      <c r="G919" s="35"/>
      <c r="H919" s="35"/>
      <c r="J919" s="50"/>
      <c r="K919" s="99"/>
      <c r="L919" s="90"/>
      <c r="M919" s="35"/>
      <c r="N919" s="380"/>
      <c r="O919" s="378"/>
      <c r="P919" s="13"/>
      <c r="Q919" s="13"/>
      <c r="R919" s="13"/>
      <c r="S919" s="35"/>
      <c r="T919" s="35"/>
      <c r="U919" s="35"/>
      <c r="V919" s="6"/>
      <c r="W919" s="6"/>
      <c r="X919" s="181"/>
      <c r="Y919" s="102"/>
      <c r="Z919" s="102"/>
      <c r="AA919" s="102"/>
      <c r="AB919" s="102"/>
      <c r="AC919" s="102"/>
      <c r="AD919" s="342"/>
      <c r="AE919" s="102"/>
      <c r="AF919" s="110"/>
      <c r="AG919" s="104"/>
      <c r="AH919" s="69"/>
      <c r="AI919" s="108"/>
      <c r="AJ919" s="111"/>
      <c r="AK919" s="101"/>
      <c r="AL919" s="111"/>
      <c r="AM919" s="69"/>
      <c r="AN919" s="13"/>
      <c r="AO919" s="13"/>
      <c r="AP919" s="13"/>
      <c r="AQ919" s="6"/>
      <c r="AR919" s="6"/>
      <c r="AS919" s="6"/>
      <c r="AT919" s="6"/>
      <c r="AU919" s="6"/>
      <c r="AV919" s="6"/>
      <c r="AW919" s="6"/>
      <c r="AX919" s="13"/>
      <c r="AY919" s="13"/>
      <c r="AZ919" s="6"/>
      <c r="BA919" s="6"/>
      <c r="BB919" s="6"/>
      <c r="BC919" s="6"/>
      <c r="BD919" s="6"/>
      <c r="BE919" s="6"/>
      <c r="BF919" s="6"/>
      <c r="BG919" s="6"/>
    </row>
    <row r="920">
      <c r="A920" s="69"/>
      <c r="B920" s="69"/>
      <c r="C920" s="7"/>
      <c r="D920" s="41"/>
      <c r="E920" s="6"/>
      <c r="F920" s="41"/>
      <c r="G920" s="35"/>
      <c r="H920" s="35"/>
      <c r="J920" s="69"/>
      <c r="K920" s="99"/>
      <c r="L920" s="90"/>
      <c r="M920" s="69"/>
      <c r="N920" s="375"/>
      <c r="O920" s="376"/>
      <c r="P920" s="13"/>
      <c r="Q920" s="13"/>
      <c r="R920" s="13"/>
      <c r="S920" s="35"/>
      <c r="T920" s="35"/>
      <c r="U920" s="69"/>
      <c r="V920" s="6"/>
      <c r="W920" s="6"/>
      <c r="X920" s="181"/>
      <c r="Y920" s="102"/>
      <c r="Z920" s="102"/>
      <c r="AA920" s="102"/>
      <c r="AB920" s="102"/>
      <c r="AC920" s="102"/>
      <c r="AD920" s="342"/>
      <c r="AE920" s="102"/>
      <c r="AF920" s="110"/>
      <c r="AG920" s="105"/>
      <c r="AH920" s="69"/>
      <c r="AI920" s="105"/>
      <c r="AJ920" s="98"/>
      <c r="AK920" s="110"/>
      <c r="AL920" s="98"/>
      <c r="AM920" s="69"/>
      <c r="AN920" s="13"/>
      <c r="AO920" s="13"/>
      <c r="AP920" s="13"/>
      <c r="AQ920" s="13"/>
      <c r="AR920" s="13"/>
      <c r="AS920" s="13"/>
      <c r="AT920" s="13"/>
      <c r="AU920" s="13"/>
      <c r="AV920" s="13"/>
      <c r="AW920" s="6"/>
      <c r="AX920" s="13"/>
      <c r="AY920" s="13"/>
      <c r="AZ920" s="6"/>
      <c r="BA920" s="6"/>
      <c r="BB920" s="6"/>
      <c r="BC920" s="6"/>
      <c r="BD920" s="6"/>
      <c r="BE920" s="6"/>
      <c r="BF920" s="6"/>
      <c r="BG920" s="6"/>
    </row>
    <row r="921">
      <c r="A921" s="69"/>
      <c r="B921" s="69"/>
      <c r="C921" s="7"/>
      <c r="D921" s="41"/>
      <c r="E921" s="6"/>
      <c r="F921" s="41"/>
      <c r="G921" s="35"/>
      <c r="H921" s="35"/>
      <c r="J921" s="69"/>
      <c r="K921" s="99"/>
      <c r="L921" s="90"/>
      <c r="M921" s="69"/>
      <c r="N921" s="375"/>
      <c r="O921" s="378"/>
      <c r="P921" s="13"/>
      <c r="Q921" s="13"/>
      <c r="R921" s="13"/>
      <c r="S921" s="35"/>
      <c r="T921" s="35"/>
      <c r="U921" s="69"/>
      <c r="V921" s="6"/>
      <c r="W921" s="6"/>
      <c r="X921" s="181"/>
      <c r="Y921" s="102"/>
      <c r="Z921" s="102"/>
      <c r="AA921" s="102"/>
      <c r="AB921" s="102"/>
      <c r="AC921" s="102"/>
      <c r="AD921" s="342"/>
      <c r="AE921" s="102"/>
      <c r="AF921" s="110"/>
      <c r="AG921" s="105"/>
      <c r="AH921" s="69"/>
      <c r="AI921" s="105"/>
      <c r="AJ921" s="98"/>
      <c r="AK921" s="110"/>
      <c r="AL921" s="98"/>
      <c r="AM921" s="69"/>
      <c r="AN921" s="13"/>
      <c r="AO921" s="13"/>
      <c r="AP921" s="13"/>
      <c r="AQ921" s="13"/>
      <c r="AR921" s="13"/>
      <c r="AS921" s="13"/>
      <c r="AT921" s="13"/>
      <c r="AU921" s="13"/>
      <c r="AV921" s="13"/>
      <c r="AW921" s="6"/>
      <c r="AX921" s="13"/>
      <c r="AY921" s="13"/>
      <c r="AZ921" s="6"/>
      <c r="BA921" s="6"/>
      <c r="BB921" s="6"/>
      <c r="BC921" s="6"/>
      <c r="BD921" s="6"/>
      <c r="BE921" s="6"/>
      <c r="BF921" s="6"/>
      <c r="BG921" s="6"/>
    </row>
    <row r="922">
      <c r="A922" s="69"/>
      <c r="B922" s="69"/>
      <c r="C922" s="7"/>
      <c r="D922" s="41"/>
      <c r="E922" s="6"/>
      <c r="F922" s="41"/>
      <c r="G922" s="35"/>
      <c r="H922" s="35"/>
      <c r="J922" s="69"/>
      <c r="K922" s="99"/>
      <c r="L922" s="90"/>
      <c r="M922" s="69"/>
      <c r="N922" s="375"/>
      <c r="O922" s="378"/>
      <c r="P922" s="13"/>
      <c r="Q922" s="13"/>
      <c r="R922" s="13"/>
      <c r="S922" s="35"/>
      <c r="T922" s="35"/>
      <c r="U922" s="69"/>
      <c r="V922" s="6"/>
      <c r="W922" s="6"/>
      <c r="X922" s="181"/>
      <c r="Y922" s="102"/>
      <c r="Z922" s="102"/>
      <c r="AA922" s="102"/>
      <c r="AB922" s="102"/>
      <c r="AC922" s="102"/>
      <c r="AD922" s="342"/>
      <c r="AE922" s="102"/>
      <c r="AF922" s="110"/>
      <c r="AG922" s="105"/>
      <c r="AH922" s="69"/>
      <c r="AI922" s="105"/>
      <c r="AJ922" s="98"/>
      <c r="AK922" s="110"/>
      <c r="AL922" s="98"/>
      <c r="AM922" s="69"/>
      <c r="AN922" s="13"/>
      <c r="AO922" s="13"/>
      <c r="AP922" s="13"/>
      <c r="AQ922" s="13"/>
      <c r="AR922" s="13"/>
      <c r="AS922" s="13"/>
      <c r="AT922" s="13"/>
      <c r="AU922" s="13"/>
      <c r="AV922" s="13"/>
      <c r="AW922" s="6"/>
      <c r="AX922" s="13"/>
      <c r="AY922" s="13"/>
      <c r="AZ922" s="6"/>
      <c r="BA922" s="6"/>
      <c r="BB922" s="6"/>
      <c r="BC922" s="6"/>
      <c r="BD922" s="6"/>
      <c r="BE922" s="6"/>
      <c r="BF922" s="6"/>
      <c r="BG922" s="6"/>
    </row>
    <row r="923">
      <c r="A923" s="69"/>
      <c r="B923" s="69"/>
      <c r="C923" s="7"/>
      <c r="D923" s="41"/>
      <c r="E923" s="6"/>
      <c r="F923" s="41"/>
      <c r="G923" s="35"/>
      <c r="H923" s="35"/>
      <c r="J923" s="69"/>
      <c r="K923" s="99"/>
      <c r="L923" s="90"/>
      <c r="M923" s="69"/>
      <c r="N923" s="375"/>
      <c r="O923" s="378"/>
      <c r="P923" s="13"/>
      <c r="Q923" s="13"/>
      <c r="R923" s="13"/>
      <c r="S923" s="35"/>
      <c r="T923" s="35"/>
      <c r="U923" s="69"/>
      <c r="V923" s="6"/>
      <c r="W923" s="6"/>
      <c r="X923" s="181"/>
      <c r="Y923" s="102"/>
      <c r="Z923" s="102"/>
      <c r="AA923" s="102"/>
      <c r="AB923" s="102"/>
      <c r="AC923" s="102"/>
      <c r="AD923" s="342"/>
      <c r="AE923" s="102"/>
      <c r="AF923" s="110"/>
      <c r="AG923" s="105"/>
      <c r="AH923" s="69"/>
      <c r="AI923" s="105"/>
      <c r="AJ923" s="98"/>
      <c r="AK923" s="110"/>
      <c r="AL923" s="98"/>
      <c r="AM923" s="69"/>
      <c r="AN923" s="13"/>
      <c r="AO923" s="13"/>
      <c r="AP923" s="13"/>
      <c r="AQ923" s="13"/>
      <c r="AR923" s="13"/>
      <c r="AS923" s="13"/>
      <c r="AT923" s="13"/>
      <c r="AU923" s="13"/>
      <c r="AV923" s="13"/>
      <c r="AW923" s="6"/>
      <c r="AX923" s="13"/>
      <c r="AY923" s="13"/>
      <c r="AZ923" s="6"/>
      <c r="BA923" s="6"/>
      <c r="BB923" s="6"/>
      <c r="BC923" s="6"/>
      <c r="BD923" s="6"/>
      <c r="BE923" s="6"/>
      <c r="BF923" s="6"/>
      <c r="BG923" s="6"/>
    </row>
    <row r="924">
      <c r="A924" s="69"/>
      <c r="B924" s="69"/>
      <c r="C924" s="7"/>
      <c r="D924" s="41"/>
      <c r="E924" s="6"/>
      <c r="F924" s="41"/>
      <c r="G924" s="35"/>
      <c r="H924" s="35"/>
      <c r="J924" s="69"/>
      <c r="K924" s="99"/>
      <c r="L924" s="90"/>
      <c r="M924" s="69"/>
      <c r="N924" s="375"/>
      <c r="O924" s="378"/>
      <c r="P924" s="13"/>
      <c r="Q924" s="13"/>
      <c r="R924" s="13"/>
      <c r="S924" s="35"/>
      <c r="T924" s="35"/>
      <c r="U924" s="69"/>
      <c r="V924" s="6"/>
      <c r="W924" s="6"/>
      <c r="X924" s="181"/>
      <c r="Y924" s="102"/>
      <c r="Z924" s="102"/>
      <c r="AA924" s="102"/>
      <c r="AB924" s="102"/>
      <c r="AC924" s="102"/>
      <c r="AD924" s="342"/>
      <c r="AE924" s="102"/>
      <c r="AF924" s="110"/>
      <c r="AG924" s="104"/>
      <c r="AH924" s="69"/>
      <c r="AI924" s="105"/>
      <c r="AJ924" s="98"/>
      <c r="AK924" s="110"/>
      <c r="AL924" s="98"/>
      <c r="AM924" s="69"/>
      <c r="AN924" s="13"/>
      <c r="AO924" s="13"/>
      <c r="AP924" s="13"/>
      <c r="AQ924" s="13"/>
      <c r="AR924" s="13"/>
      <c r="AS924" s="13"/>
      <c r="AT924" s="13"/>
      <c r="AU924" s="13"/>
      <c r="AV924" s="13"/>
      <c r="AW924" s="6"/>
      <c r="AX924" s="13"/>
      <c r="AY924" s="13"/>
      <c r="AZ924" s="6"/>
      <c r="BA924" s="6"/>
      <c r="BB924" s="6"/>
      <c r="BC924" s="6"/>
      <c r="BD924" s="6"/>
      <c r="BE924" s="6"/>
      <c r="BF924" s="6"/>
      <c r="BG924" s="6"/>
    </row>
    <row r="925">
      <c r="A925" s="69"/>
      <c r="B925" s="69"/>
      <c r="C925" s="7"/>
      <c r="D925" s="41"/>
      <c r="E925" s="6"/>
      <c r="F925" s="41"/>
      <c r="G925" s="35"/>
      <c r="H925" s="35"/>
      <c r="J925" s="69"/>
      <c r="K925" s="99"/>
      <c r="L925" s="90"/>
      <c r="M925" s="69"/>
      <c r="N925" s="375"/>
      <c r="O925" s="378"/>
      <c r="P925" s="13"/>
      <c r="Q925" s="13"/>
      <c r="R925" s="13"/>
      <c r="S925" s="35"/>
      <c r="T925" s="35"/>
      <c r="U925" s="69"/>
      <c r="V925" s="6"/>
      <c r="W925" s="6"/>
      <c r="X925" s="181"/>
      <c r="Y925" s="102"/>
      <c r="Z925" s="102"/>
      <c r="AA925" s="102"/>
      <c r="AB925" s="102"/>
      <c r="AC925" s="102"/>
      <c r="AD925" s="342"/>
      <c r="AE925" s="102"/>
      <c r="AF925" s="110"/>
      <c r="AG925" s="104"/>
      <c r="AH925" s="69"/>
      <c r="AI925" s="105"/>
      <c r="AJ925" s="98"/>
      <c r="AK925" s="110"/>
      <c r="AL925" s="98"/>
      <c r="AM925" s="69"/>
      <c r="AN925" s="13"/>
      <c r="AO925" s="13"/>
      <c r="AP925" s="13"/>
      <c r="AQ925" s="13"/>
      <c r="AR925" s="6"/>
      <c r="AS925" s="13"/>
      <c r="AT925" s="6"/>
      <c r="AU925" s="13"/>
      <c r="AV925" s="6"/>
      <c r="AW925" s="6"/>
      <c r="AX925" s="13"/>
      <c r="AY925" s="13"/>
      <c r="AZ925" s="6"/>
      <c r="BA925" s="6"/>
      <c r="BB925" s="6"/>
      <c r="BC925" s="6"/>
      <c r="BD925" s="6"/>
      <c r="BE925" s="6"/>
      <c r="BF925" s="6"/>
      <c r="BG925" s="6"/>
    </row>
    <row r="926">
      <c r="A926" s="69"/>
      <c r="B926" s="69"/>
      <c r="C926" s="7"/>
      <c r="D926" s="41"/>
      <c r="E926" s="6"/>
      <c r="F926" s="41"/>
      <c r="G926" s="35"/>
      <c r="H926" s="35"/>
      <c r="J926" s="69"/>
      <c r="K926" s="99"/>
      <c r="L926" s="90"/>
      <c r="M926" s="69"/>
      <c r="N926" s="375"/>
      <c r="O926" s="378"/>
      <c r="P926" s="13"/>
      <c r="Q926" s="13"/>
      <c r="R926" s="13"/>
      <c r="S926" s="35"/>
      <c r="T926" s="35"/>
      <c r="U926" s="69"/>
      <c r="V926" s="6"/>
      <c r="W926" s="6"/>
      <c r="X926" s="181"/>
      <c r="Y926" s="102"/>
      <c r="Z926" s="102"/>
      <c r="AA926" s="102"/>
      <c r="AB926" s="102"/>
      <c r="AC926" s="102"/>
      <c r="AD926" s="342"/>
      <c r="AE926" s="102"/>
      <c r="AF926" s="110"/>
      <c r="AG926" s="104"/>
      <c r="AH926" s="69"/>
      <c r="AI926" s="105"/>
      <c r="AJ926" s="98"/>
      <c r="AK926" s="110"/>
      <c r="AL926" s="98"/>
      <c r="AM926" s="69"/>
      <c r="AN926" s="13"/>
      <c r="AO926" s="13"/>
      <c r="AP926" s="13"/>
      <c r="AQ926" s="13"/>
      <c r="AR926" s="13"/>
      <c r="AS926" s="13"/>
      <c r="AT926" s="13"/>
      <c r="AU926" s="13"/>
      <c r="AV926" s="13"/>
      <c r="AW926" s="6"/>
      <c r="AX926" s="13"/>
      <c r="AY926" s="13"/>
      <c r="AZ926" s="6"/>
      <c r="BA926" s="6"/>
      <c r="BB926" s="6"/>
      <c r="BC926" s="6"/>
      <c r="BD926" s="6"/>
      <c r="BE926" s="6"/>
      <c r="BF926" s="6"/>
      <c r="BG926" s="6"/>
    </row>
    <row r="927">
      <c r="A927" s="69"/>
      <c r="B927" s="69"/>
      <c r="C927" s="7"/>
      <c r="D927" s="41"/>
      <c r="E927" s="6"/>
      <c r="F927" s="41"/>
      <c r="G927" s="35"/>
      <c r="H927" s="98"/>
      <c r="J927" s="50"/>
      <c r="K927" s="99"/>
      <c r="L927" s="90"/>
      <c r="M927" s="69"/>
      <c r="N927" s="375"/>
      <c r="O927" s="378"/>
      <c r="P927" s="13"/>
      <c r="Q927" s="13"/>
      <c r="R927" s="13"/>
      <c r="S927" s="35"/>
      <c r="T927" s="35"/>
      <c r="U927" s="50"/>
      <c r="V927" s="6"/>
      <c r="W927" s="6"/>
      <c r="X927" s="181"/>
      <c r="Y927" s="102"/>
      <c r="Z927" s="102"/>
      <c r="AA927" s="102"/>
      <c r="AB927" s="150"/>
      <c r="AC927" s="102"/>
      <c r="AD927" s="342"/>
      <c r="AE927" s="102"/>
      <c r="AF927" s="110"/>
      <c r="AG927" s="104"/>
      <c r="AH927" s="69"/>
      <c r="AI927" s="105"/>
      <c r="AJ927" s="98"/>
      <c r="AK927" s="101"/>
      <c r="AL927" s="98"/>
      <c r="AM927" s="35"/>
      <c r="AN927" s="13"/>
      <c r="AO927" s="13"/>
      <c r="AP927" s="13"/>
      <c r="AQ927" s="13"/>
      <c r="AR927" s="13"/>
      <c r="AS927" s="13"/>
      <c r="AT927" s="13"/>
      <c r="AU927" s="13"/>
      <c r="AV927" s="13"/>
      <c r="AW927" s="6"/>
      <c r="AX927" s="13"/>
      <c r="AY927" s="13"/>
      <c r="AZ927" s="6"/>
      <c r="BA927" s="6"/>
      <c r="BB927" s="6"/>
      <c r="BC927" s="6"/>
      <c r="BD927" s="6"/>
      <c r="BE927" s="6"/>
      <c r="BF927" s="6"/>
      <c r="BG927" s="6"/>
    </row>
    <row r="928">
      <c r="A928" s="69"/>
      <c r="B928" s="69"/>
      <c r="C928" s="7"/>
      <c r="D928" s="41"/>
      <c r="E928" s="6"/>
      <c r="F928" s="41"/>
      <c r="G928" s="35"/>
      <c r="H928" s="98"/>
      <c r="J928" s="50"/>
      <c r="K928" s="99"/>
      <c r="L928" s="90"/>
      <c r="M928" s="69"/>
      <c r="N928" s="375"/>
      <c r="O928" s="378"/>
      <c r="P928" s="13"/>
      <c r="Q928" s="13"/>
      <c r="R928" s="13"/>
      <c r="S928" s="35"/>
      <c r="T928" s="35"/>
      <c r="U928" s="50"/>
      <c r="V928" s="6"/>
      <c r="W928" s="6"/>
      <c r="X928" s="181"/>
      <c r="Y928" s="102"/>
      <c r="Z928" s="102"/>
      <c r="AA928" s="102"/>
      <c r="AB928" s="150"/>
      <c r="AC928" s="102"/>
      <c r="AD928" s="342"/>
      <c r="AE928" s="102"/>
      <c r="AF928" s="110"/>
      <c r="AG928" s="104"/>
      <c r="AH928" s="69"/>
      <c r="AI928" s="105"/>
      <c r="AJ928" s="98"/>
      <c r="AK928" s="101"/>
      <c r="AL928" s="98"/>
      <c r="AM928" s="35"/>
      <c r="AN928" s="13"/>
      <c r="AO928" s="13"/>
      <c r="AP928" s="13"/>
      <c r="AQ928" s="13"/>
      <c r="AR928" s="13"/>
      <c r="AS928" s="13"/>
      <c r="AT928" s="13"/>
      <c r="AU928" s="13"/>
      <c r="AV928" s="13"/>
      <c r="AW928" s="6"/>
      <c r="AX928" s="13"/>
      <c r="AY928" s="13"/>
      <c r="AZ928" s="6"/>
      <c r="BA928" s="6"/>
      <c r="BB928" s="6"/>
      <c r="BC928" s="6"/>
      <c r="BD928" s="6"/>
      <c r="BE928" s="6"/>
      <c r="BF928" s="6"/>
      <c r="BG928" s="6"/>
    </row>
    <row r="929">
      <c r="A929" s="69"/>
      <c r="B929" s="69"/>
      <c r="C929" s="7"/>
      <c r="D929" s="41"/>
      <c r="E929" s="6"/>
      <c r="F929" s="41"/>
      <c r="G929" s="35"/>
      <c r="H929" s="98"/>
      <c r="J929" s="50"/>
      <c r="K929" s="99"/>
      <c r="L929" s="90"/>
      <c r="M929" s="69"/>
      <c r="N929" s="375"/>
      <c r="O929" s="378"/>
      <c r="P929" s="13"/>
      <c r="Q929" s="13"/>
      <c r="R929" s="13"/>
      <c r="S929" s="35"/>
      <c r="T929" s="35"/>
      <c r="U929" s="50"/>
      <c r="V929" s="6"/>
      <c r="W929" s="6"/>
      <c r="X929" s="181"/>
      <c r="Y929" s="102"/>
      <c r="Z929" s="102"/>
      <c r="AA929" s="102"/>
      <c r="AB929" s="150"/>
      <c r="AC929" s="102"/>
      <c r="AD929" s="342"/>
      <c r="AE929" s="102"/>
      <c r="AF929" s="110"/>
      <c r="AG929" s="104"/>
      <c r="AH929" s="69"/>
      <c r="AI929" s="105"/>
      <c r="AJ929" s="98"/>
      <c r="AK929" s="101"/>
      <c r="AL929" s="98"/>
      <c r="AM929" s="35"/>
      <c r="AN929" s="13"/>
      <c r="AO929" s="13"/>
      <c r="AP929" s="13"/>
      <c r="AQ929" s="13"/>
      <c r="AR929" s="13"/>
      <c r="AS929" s="13"/>
      <c r="AT929" s="13"/>
      <c r="AU929" s="13"/>
      <c r="AV929" s="13"/>
      <c r="AW929" s="6"/>
      <c r="AX929" s="13"/>
      <c r="AY929" s="13"/>
      <c r="AZ929" s="6"/>
      <c r="BA929" s="6"/>
      <c r="BB929" s="6"/>
      <c r="BC929" s="6"/>
      <c r="BD929" s="6"/>
      <c r="BE929" s="6"/>
      <c r="BF929" s="6"/>
      <c r="BG929" s="6"/>
    </row>
    <row r="930">
      <c r="A930" s="69"/>
      <c r="B930" s="69"/>
      <c r="C930" s="7"/>
      <c r="D930" s="41"/>
      <c r="E930" s="6"/>
      <c r="F930" s="41"/>
      <c r="G930" s="35"/>
      <c r="H930" s="98"/>
      <c r="J930" s="50"/>
      <c r="K930" s="99"/>
      <c r="L930" s="90"/>
      <c r="M930" s="69"/>
      <c r="N930" s="375"/>
      <c r="O930" s="378"/>
      <c r="P930" s="13"/>
      <c r="Q930" s="13"/>
      <c r="R930" s="13"/>
      <c r="S930" s="35"/>
      <c r="T930" s="35"/>
      <c r="U930" s="50"/>
      <c r="V930" s="6"/>
      <c r="W930" s="6"/>
      <c r="X930" s="181"/>
      <c r="Y930" s="102"/>
      <c r="Z930" s="102"/>
      <c r="AA930" s="102"/>
      <c r="AB930" s="150"/>
      <c r="AC930" s="102"/>
      <c r="AD930" s="342"/>
      <c r="AE930" s="102"/>
      <c r="AF930" s="110"/>
      <c r="AG930" s="105"/>
      <c r="AH930" s="69"/>
      <c r="AI930" s="105"/>
      <c r="AJ930" s="98"/>
      <c r="AK930" s="101"/>
      <c r="AL930" s="98"/>
      <c r="AM930" s="69"/>
      <c r="AN930" s="13"/>
      <c r="AO930" s="13"/>
      <c r="AP930" s="13"/>
      <c r="AQ930" s="13"/>
      <c r="AR930" s="13"/>
      <c r="AS930" s="13"/>
      <c r="AT930" s="13"/>
      <c r="AU930" s="13"/>
      <c r="AV930" s="13"/>
      <c r="AW930" s="6"/>
      <c r="AX930" s="13"/>
      <c r="AY930" s="13"/>
      <c r="AZ930" s="6"/>
      <c r="BA930" s="6"/>
      <c r="BB930" s="6"/>
      <c r="BC930" s="6"/>
      <c r="BD930" s="6"/>
      <c r="BE930" s="6"/>
      <c r="BF930" s="6"/>
      <c r="BG930" s="6"/>
    </row>
    <row r="931">
      <c r="A931" s="69"/>
      <c r="B931" s="69"/>
      <c r="C931" s="7"/>
      <c r="D931" s="41"/>
      <c r="E931" s="6"/>
      <c r="F931" s="41"/>
      <c r="G931" s="35"/>
      <c r="H931" s="35"/>
      <c r="J931" s="35"/>
      <c r="K931" s="99"/>
      <c r="L931" s="90"/>
      <c r="M931" s="35"/>
      <c r="N931" s="380"/>
      <c r="O931" s="378"/>
      <c r="P931" s="13"/>
      <c r="Q931" s="13"/>
      <c r="R931" s="13"/>
      <c r="S931" s="35"/>
      <c r="T931" s="35"/>
      <c r="U931" s="35"/>
      <c r="V931" s="6"/>
      <c r="W931" s="6"/>
      <c r="X931" s="181"/>
      <c r="Y931" s="102"/>
      <c r="Z931" s="102"/>
      <c r="AA931" s="102"/>
      <c r="AB931" s="102"/>
      <c r="AC931" s="102"/>
      <c r="AD931" s="342"/>
      <c r="AE931" s="102"/>
      <c r="AF931" s="110"/>
      <c r="AG931" s="105"/>
      <c r="AH931" s="69"/>
      <c r="AI931" s="104"/>
      <c r="AJ931" s="35"/>
      <c r="AK931" s="104"/>
      <c r="AL931" s="35"/>
      <c r="AM931" s="69"/>
      <c r="AN931" s="13"/>
      <c r="AO931" s="13"/>
      <c r="AP931" s="13"/>
      <c r="AQ931" s="13"/>
      <c r="AR931" s="13"/>
      <c r="AS931" s="13"/>
      <c r="AT931" s="13"/>
      <c r="AU931" s="13"/>
      <c r="AV931" s="13"/>
      <c r="AW931" s="6"/>
      <c r="AX931" s="13"/>
      <c r="AY931" s="13"/>
      <c r="AZ931" s="6"/>
      <c r="BA931" s="6"/>
      <c r="BB931" s="6"/>
      <c r="BC931" s="6"/>
      <c r="BD931" s="6"/>
      <c r="BE931" s="6"/>
      <c r="BF931" s="6"/>
      <c r="BG931" s="6"/>
    </row>
    <row r="932">
      <c r="A932" s="69"/>
      <c r="B932" s="69"/>
      <c r="C932" s="7"/>
      <c r="D932" s="41"/>
      <c r="E932" s="6"/>
      <c r="F932" s="41"/>
      <c r="G932" s="35"/>
      <c r="H932" s="35"/>
      <c r="J932" s="35"/>
      <c r="K932" s="99"/>
      <c r="L932" s="90"/>
      <c r="M932" s="35"/>
      <c r="N932" s="380"/>
      <c r="O932" s="378"/>
      <c r="P932" s="13"/>
      <c r="Q932" s="13"/>
      <c r="R932" s="13"/>
      <c r="S932" s="35"/>
      <c r="T932" s="35"/>
      <c r="U932" s="35"/>
      <c r="V932" s="6"/>
      <c r="W932" s="6"/>
      <c r="X932" s="181"/>
      <c r="Y932" s="102"/>
      <c r="Z932" s="102"/>
      <c r="AA932" s="102"/>
      <c r="AB932" s="102"/>
      <c r="AC932" s="102"/>
      <c r="AD932" s="342"/>
      <c r="AE932" s="102"/>
      <c r="AF932" s="110"/>
      <c r="AG932" s="105"/>
      <c r="AH932" s="69"/>
      <c r="AI932" s="104"/>
      <c r="AJ932" s="35"/>
      <c r="AK932" s="104"/>
      <c r="AL932" s="35"/>
      <c r="AM932" s="69"/>
      <c r="AN932" s="13"/>
      <c r="AO932" s="13"/>
      <c r="AP932" s="13"/>
      <c r="AQ932" s="13"/>
      <c r="AR932" s="13"/>
      <c r="AS932" s="13"/>
      <c r="AT932" s="13"/>
      <c r="AU932" s="13"/>
      <c r="AV932" s="13"/>
      <c r="AW932" s="6"/>
      <c r="AX932" s="13"/>
      <c r="AY932" s="13"/>
      <c r="AZ932" s="6"/>
      <c r="BA932" s="6"/>
      <c r="BB932" s="6"/>
      <c r="BC932" s="6"/>
      <c r="BD932" s="6"/>
      <c r="BE932" s="6"/>
      <c r="BF932" s="6"/>
      <c r="BG932" s="6"/>
    </row>
    <row r="933">
      <c r="A933" s="69"/>
      <c r="B933" s="69"/>
      <c r="C933" s="7"/>
      <c r="D933" s="41"/>
      <c r="E933" s="6"/>
      <c r="F933" s="41"/>
      <c r="G933" s="35"/>
      <c r="H933" s="35"/>
      <c r="J933" s="35"/>
      <c r="K933" s="99"/>
      <c r="L933" s="90"/>
      <c r="M933" s="35"/>
      <c r="N933" s="380"/>
      <c r="O933" s="378"/>
      <c r="P933" s="13"/>
      <c r="Q933" s="13"/>
      <c r="R933" s="13"/>
      <c r="S933" s="35"/>
      <c r="T933" s="35"/>
      <c r="U933" s="35"/>
      <c r="V933" s="6"/>
      <c r="W933" s="6"/>
      <c r="X933" s="181"/>
      <c r="Y933" s="102"/>
      <c r="Z933" s="102"/>
      <c r="AA933" s="102"/>
      <c r="AB933" s="102"/>
      <c r="AC933" s="102"/>
      <c r="AD933" s="342"/>
      <c r="AE933" s="102"/>
      <c r="AF933" s="110"/>
      <c r="AG933" s="105"/>
      <c r="AH933" s="69"/>
      <c r="AI933" s="104"/>
      <c r="AJ933" s="35"/>
      <c r="AK933" s="104"/>
      <c r="AL933" s="35"/>
      <c r="AM933" s="69"/>
      <c r="AN933" s="13"/>
      <c r="AO933" s="13"/>
      <c r="AP933" s="13"/>
      <c r="AQ933" s="13"/>
      <c r="AR933" s="13"/>
      <c r="AS933" s="13"/>
      <c r="AT933" s="13"/>
      <c r="AU933" s="13"/>
      <c r="AV933" s="13"/>
      <c r="AW933" s="6"/>
      <c r="AX933" s="13"/>
      <c r="AY933" s="13"/>
      <c r="AZ933" s="6"/>
      <c r="BA933" s="6"/>
      <c r="BB933" s="6"/>
      <c r="BC933" s="6"/>
      <c r="BD933" s="6"/>
      <c r="BE933" s="6"/>
      <c r="BF933" s="6"/>
      <c r="BG933" s="6"/>
    </row>
    <row r="934">
      <c r="A934" s="69"/>
      <c r="B934" s="69"/>
      <c r="C934" s="7"/>
      <c r="D934" s="41"/>
      <c r="E934" s="6"/>
      <c r="F934" s="41"/>
      <c r="G934" s="35"/>
      <c r="H934" s="35"/>
      <c r="J934" s="35"/>
      <c r="K934" s="99"/>
      <c r="L934" s="90"/>
      <c r="M934" s="35"/>
      <c r="N934" s="380"/>
      <c r="O934" s="378"/>
      <c r="P934" s="13"/>
      <c r="Q934" s="13"/>
      <c r="R934" s="13"/>
      <c r="S934" s="35"/>
      <c r="T934" s="35"/>
      <c r="U934" s="35"/>
      <c r="V934" s="6"/>
      <c r="W934" s="6"/>
      <c r="X934" s="181"/>
      <c r="Y934" s="102"/>
      <c r="Z934" s="102"/>
      <c r="AA934" s="102"/>
      <c r="AB934" s="102"/>
      <c r="AC934" s="102"/>
      <c r="AD934" s="342"/>
      <c r="AE934" s="102"/>
      <c r="AF934" s="110"/>
      <c r="AG934" s="105"/>
      <c r="AH934" s="69"/>
      <c r="AI934" s="104"/>
      <c r="AJ934" s="35"/>
      <c r="AK934" s="104"/>
      <c r="AL934" s="35"/>
      <c r="AM934" s="69"/>
      <c r="AN934" s="13"/>
      <c r="AO934" s="13"/>
      <c r="AP934" s="13"/>
      <c r="AQ934" s="13"/>
      <c r="AR934" s="13"/>
      <c r="AS934" s="13"/>
      <c r="AT934" s="13"/>
      <c r="AU934" s="13"/>
      <c r="AV934" s="13"/>
      <c r="AW934" s="6"/>
      <c r="AX934" s="13"/>
      <c r="AY934" s="13"/>
      <c r="AZ934" s="6"/>
      <c r="BA934" s="6"/>
      <c r="BB934" s="6"/>
      <c r="BC934" s="6"/>
      <c r="BD934" s="6"/>
      <c r="BE934" s="6"/>
      <c r="BF934" s="6"/>
      <c r="BG934" s="6"/>
    </row>
    <row r="935">
      <c r="A935" s="69"/>
      <c r="B935" s="69"/>
      <c r="C935" s="7"/>
      <c r="D935" s="41"/>
      <c r="E935" s="6"/>
      <c r="F935" s="41"/>
      <c r="G935" s="35"/>
      <c r="H935" s="35"/>
      <c r="J935" s="35"/>
      <c r="K935" s="99"/>
      <c r="L935" s="90"/>
      <c r="M935" s="35"/>
      <c r="N935" s="380"/>
      <c r="O935" s="378"/>
      <c r="P935" s="13"/>
      <c r="Q935" s="13"/>
      <c r="R935" s="13"/>
      <c r="S935" s="35"/>
      <c r="T935" s="35"/>
      <c r="U935" s="35"/>
      <c r="V935" s="6"/>
      <c r="W935" s="6"/>
      <c r="X935" s="181"/>
      <c r="Y935" s="102"/>
      <c r="Z935" s="102"/>
      <c r="AA935" s="102"/>
      <c r="AB935" s="102"/>
      <c r="AC935" s="102"/>
      <c r="AD935" s="342"/>
      <c r="AE935" s="102"/>
      <c r="AF935" s="110"/>
      <c r="AG935" s="105"/>
      <c r="AH935" s="69"/>
      <c r="AI935" s="104"/>
      <c r="AJ935" s="35"/>
      <c r="AK935" s="104"/>
      <c r="AL935" s="35"/>
      <c r="AM935" s="69"/>
      <c r="AN935" s="13"/>
      <c r="AO935" s="13"/>
      <c r="AP935" s="13"/>
      <c r="AQ935" s="13"/>
      <c r="AR935" s="13"/>
      <c r="AS935" s="13"/>
      <c r="AT935" s="13"/>
      <c r="AU935" s="13"/>
      <c r="AV935" s="13"/>
      <c r="AW935" s="6"/>
      <c r="AX935" s="13"/>
      <c r="AY935" s="13"/>
      <c r="AZ935" s="6"/>
      <c r="BA935" s="6"/>
      <c r="BB935" s="6"/>
      <c r="BC935" s="6"/>
      <c r="BD935" s="6"/>
      <c r="BE935" s="6"/>
      <c r="BF935" s="6"/>
      <c r="BG935" s="6"/>
    </row>
    <row r="936">
      <c r="A936" s="69"/>
      <c r="B936" s="69"/>
      <c r="C936" s="7"/>
      <c r="D936" s="41"/>
      <c r="E936" s="6"/>
      <c r="F936" s="41"/>
      <c r="G936" s="35"/>
      <c r="H936" s="35"/>
      <c r="J936" s="35"/>
      <c r="K936" s="99"/>
      <c r="L936" s="90"/>
      <c r="M936" s="69"/>
      <c r="N936" s="375"/>
      <c r="O936" s="378"/>
      <c r="P936" s="13"/>
      <c r="Q936" s="13"/>
      <c r="R936" s="13"/>
      <c r="S936" s="35"/>
      <c r="T936" s="35"/>
      <c r="U936" s="35"/>
      <c r="V936" s="6"/>
      <c r="W936" s="6"/>
      <c r="X936" s="181"/>
      <c r="Y936" s="102"/>
      <c r="Z936" s="102"/>
      <c r="AA936" s="102"/>
      <c r="AB936" s="102"/>
      <c r="AC936" s="102"/>
      <c r="AD936" s="342"/>
      <c r="AE936" s="102"/>
      <c r="AF936" s="110"/>
      <c r="AG936" s="105"/>
      <c r="AH936" s="69"/>
      <c r="AI936" s="104"/>
      <c r="AJ936" s="35"/>
      <c r="AK936" s="104"/>
      <c r="AL936" s="35"/>
      <c r="AM936" s="69"/>
      <c r="AN936" s="13"/>
      <c r="AO936" s="13"/>
      <c r="AP936" s="13"/>
      <c r="AQ936" s="13"/>
      <c r="AR936" s="13"/>
      <c r="AS936" s="13"/>
      <c r="AT936" s="13"/>
      <c r="AU936" s="13"/>
      <c r="AV936" s="13"/>
      <c r="AW936" s="6"/>
      <c r="AX936" s="13"/>
      <c r="AY936" s="13"/>
      <c r="AZ936" s="6"/>
      <c r="BA936" s="6"/>
      <c r="BB936" s="6"/>
      <c r="BC936" s="6"/>
      <c r="BD936" s="6"/>
      <c r="BE936" s="6"/>
      <c r="BF936" s="6"/>
      <c r="BG936" s="6"/>
    </row>
    <row r="937">
      <c r="A937" s="69"/>
      <c r="B937" s="69"/>
      <c r="C937" s="7"/>
      <c r="D937" s="41"/>
      <c r="E937" s="6"/>
      <c r="F937" s="41"/>
      <c r="G937" s="35"/>
      <c r="H937" s="98"/>
      <c r="J937" s="69"/>
      <c r="K937" s="99"/>
      <c r="L937" s="90"/>
      <c r="M937" s="69"/>
      <c r="N937" s="375"/>
      <c r="O937" s="378"/>
      <c r="P937" s="13"/>
      <c r="Q937" s="13"/>
      <c r="R937" s="13"/>
      <c r="S937" s="98"/>
      <c r="T937" s="35"/>
      <c r="U937" s="69"/>
      <c r="V937" s="6"/>
      <c r="W937" s="6"/>
      <c r="X937" s="181"/>
      <c r="Y937" s="102"/>
      <c r="Z937" s="102"/>
      <c r="AA937" s="102"/>
      <c r="AB937" s="150"/>
      <c r="AC937" s="150"/>
      <c r="AD937" s="381"/>
      <c r="AE937" s="150"/>
      <c r="AF937" s="110"/>
      <c r="AG937" s="104"/>
      <c r="AH937" s="69"/>
      <c r="AI937" s="105"/>
      <c r="AJ937" s="98"/>
      <c r="AK937" s="110"/>
      <c r="AL937" s="35"/>
      <c r="AM937" s="69"/>
      <c r="AN937" s="13"/>
      <c r="AO937" s="13"/>
      <c r="AP937" s="13"/>
      <c r="AQ937" s="6"/>
      <c r="AR937" s="6"/>
      <c r="AS937" s="6"/>
      <c r="AT937" s="6"/>
      <c r="AU937" s="6"/>
      <c r="AV937" s="6"/>
      <c r="AW937" s="6"/>
      <c r="AX937" s="13"/>
      <c r="AY937" s="13"/>
      <c r="AZ937" s="6"/>
      <c r="BA937" s="6"/>
      <c r="BB937" s="6"/>
      <c r="BC937" s="6"/>
      <c r="BD937" s="6"/>
      <c r="BE937" s="6"/>
      <c r="BF937" s="6"/>
      <c r="BG937" s="6"/>
    </row>
    <row r="938">
      <c r="A938" s="35"/>
      <c r="B938" s="35"/>
      <c r="C938" s="7"/>
      <c r="D938" s="41"/>
      <c r="E938" s="6"/>
      <c r="F938" s="41"/>
      <c r="G938" s="35"/>
      <c r="H938" s="35"/>
      <c r="J938" s="69"/>
      <c r="K938" s="99"/>
      <c r="L938" s="90"/>
      <c r="M938" s="69"/>
      <c r="N938" s="375"/>
      <c r="O938" s="378"/>
      <c r="P938" s="13"/>
      <c r="Q938" s="13"/>
      <c r="R938" s="13"/>
      <c r="S938" s="35"/>
      <c r="T938" s="35"/>
      <c r="U938" s="69"/>
      <c r="V938" s="6"/>
      <c r="W938" s="6"/>
      <c r="X938" s="181"/>
      <c r="Y938" s="102"/>
      <c r="Z938" s="102"/>
      <c r="AA938" s="102"/>
      <c r="AB938" s="102"/>
      <c r="AC938" s="102"/>
      <c r="AD938" s="342"/>
      <c r="AE938" s="102"/>
      <c r="AF938" s="110"/>
      <c r="AG938" s="105"/>
      <c r="AH938" s="69"/>
      <c r="AI938" s="105"/>
      <c r="AJ938" s="98"/>
      <c r="AK938" s="110"/>
      <c r="AL938" s="98"/>
      <c r="AM938" s="69"/>
      <c r="AN938" s="13"/>
      <c r="AO938" s="13"/>
      <c r="AP938" s="13"/>
      <c r="AQ938" s="13"/>
      <c r="AR938" s="6"/>
      <c r="AS938" s="13"/>
      <c r="AT938" s="6"/>
      <c r="AU938" s="13"/>
      <c r="AV938" s="6"/>
      <c r="AW938" s="6"/>
      <c r="AX938" s="13"/>
      <c r="AY938" s="13"/>
      <c r="AZ938" s="6"/>
      <c r="BA938" s="6"/>
      <c r="BB938" s="6"/>
      <c r="BC938" s="6"/>
      <c r="BD938" s="6"/>
      <c r="BE938" s="6"/>
      <c r="BF938" s="6"/>
      <c r="BG938" s="6"/>
    </row>
    <row r="939">
      <c r="A939" s="35"/>
      <c r="B939" s="35"/>
      <c r="C939" s="7"/>
      <c r="D939" s="41"/>
      <c r="E939" s="6"/>
      <c r="F939" s="41"/>
      <c r="G939" s="35"/>
      <c r="H939" s="35"/>
      <c r="J939" s="69"/>
      <c r="K939" s="99"/>
      <c r="L939" s="90"/>
      <c r="M939" s="69"/>
      <c r="N939" s="375"/>
      <c r="O939" s="378"/>
      <c r="P939" s="13"/>
      <c r="Q939" s="13"/>
      <c r="R939" s="13"/>
      <c r="S939" s="35"/>
      <c r="T939" s="35"/>
      <c r="U939" s="69"/>
      <c r="V939" s="6"/>
      <c r="W939" s="6"/>
      <c r="X939" s="181"/>
      <c r="Y939" s="102"/>
      <c r="Z939" s="102"/>
      <c r="AA939" s="102"/>
      <c r="AB939" s="102"/>
      <c r="AC939" s="102"/>
      <c r="AD939" s="342"/>
      <c r="AE939" s="102"/>
      <c r="AF939" s="110"/>
      <c r="AG939" s="105"/>
      <c r="AH939" s="69"/>
      <c r="AI939" s="105"/>
      <c r="AJ939" s="98"/>
      <c r="AK939" s="110"/>
      <c r="AL939" s="98"/>
      <c r="AM939" s="69"/>
      <c r="AN939" s="13"/>
      <c r="AO939" s="13"/>
      <c r="AP939" s="13"/>
      <c r="AQ939" s="152"/>
      <c r="AR939" s="13"/>
      <c r="AS939" s="13"/>
      <c r="AT939" s="13"/>
      <c r="AU939" s="13"/>
      <c r="AV939" s="13"/>
      <c r="AW939" s="6"/>
      <c r="AX939" s="13"/>
      <c r="AY939" s="13"/>
      <c r="AZ939" s="6"/>
      <c r="BA939" s="6"/>
      <c r="BB939" s="6"/>
      <c r="BC939" s="6"/>
      <c r="BD939" s="6"/>
      <c r="BE939" s="6"/>
      <c r="BF939" s="6"/>
      <c r="BG939" s="6"/>
    </row>
    <row r="940">
      <c r="A940" s="35"/>
      <c r="B940" s="35"/>
      <c r="C940" s="7"/>
      <c r="D940" s="41"/>
      <c r="E940" s="6"/>
      <c r="F940" s="41"/>
      <c r="G940" s="35"/>
      <c r="H940" s="35"/>
      <c r="J940" s="69"/>
      <c r="K940" s="99"/>
      <c r="L940" s="90"/>
      <c r="M940" s="69"/>
      <c r="N940" s="375"/>
      <c r="O940" s="378"/>
      <c r="P940" s="13"/>
      <c r="Q940" s="13"/>
      <c r="R940" s="13"/>
      <c r="S940" s="35"/>
      <c r="T940" s="35"/>
      <c r="U940" s="69"/>
      <c r="V940" s="6"/>
      <c r="W940" s="6"/>
      <c r="X940" s="181"/>
      <c r="Y940" s="102"/>
      <c r="Z940" s="102"/>
      <c r="AA940" s="102"/>
      <c r="AB940" s="102"/>
      <c r="AC940" s="102"/>
      <c r="AD940" s="342"/>
      <c r="AE940" s="102"/>
      <c r="AF940" s="110"/>
      <c r="AG940" s="105"/>
      <c r="AH940" s="69"/>
      <c r="AI940" s="105"/>
      <c r="AJ940" s="98"/>
      <c r="AK940" s="110"/>
      <c r="AL940" s="98"/>
      <c r="AM940" s="69"/>
      <c r="AN940" s="13"/>
      <c r="AO940" s="13"/>
      <c r="AP940" s="13"/>
      <c r="AQ940" s="13"/>
      <c r="AR940" s="6"/>
      <c r="AS940" s="13"/>
      <c r="AT940" s="6"/>
      <c r="AU940" s="13"/>
      <c r="AV940" s="6"/>
      <c r="AW940" s="6"/>
      <c r="AX940" s="13"/>
      <c r="AY940" s="13"/>
      <c r="AZ940" s="6"/>
      <c r="BA940" s="6"/>
      <c r="BB940" s="6"/>
      <c r="BC940" s="6"/>
      <c r="BD940" s="6"/>
      <c r="BE940" s="6"/>
      <c r="BF940" s="6"/>
      <c r="BG940" s="6"/>
    </row>
    <row r="941">
      <c r="A941" s="35"/>
      <c r="B941" s="35"/>
      <c r="C941" s="7"/>
      <c r="D941" s="41"/>
      <c r="E941" s="6"/>
      <c r="F941" s="41"/>
      <c r="G941" s="35"/>
      <c r="H941" s="35"/>
      <c r="J941" s="69"/>
      <c r="K941" s="99"/>
      <c r="L941" s="90"/>
      <c r="M941" s="69"/>
      <c r="N941" s="375"/>
      <c r="O941" s="378"/>
      <c r="P941" s="13"/>
      <c r="Q941" s="13"/>
      <c r="R941" s="13"/>
      <c r="S941" s="35"/>
      <c r="T941" s="35"/>
      <c r="U941" s="69"/>
      <c r="V941" s="6"/>
      <c r="W941" s="6"/>
      <c r="X941" s="181"/>
      <c r="Y941" s="102"/>
      <c r="Z941" s="102"/>
      <c r="AA941" s="102"/>
      <c r="AB941" s="102"/>
      <c r="AC941" s="102"/>
      <c r="AD941" s="342"/>
      <c r="AE941" s="102"/>
      <c r="AF941" s="110"/>
      <c r="AG941" s="105"/>
      <c r="AH941" s="69"/>
      <c r="AI941" s="105"/>
      <c r="AJ941" s="98"/>
      <c r="AK941" s="110"/>
      <c r="AL941" s="98"/>
      <c r="AM941" s="69"/>
      <c r="AN941" s="13"/>
      <c r="AO941" s="13"/>
      <c r="AP941" s="13"/>
      <c r="AQ941" s="13"/>
      <c r="AR941" s="13"/>
      <c r="AS941" s="13"/>
      <c r="AT941" s="13"/>
      <c r="AU941" s="13"/>
      <c r="AV941" s="13"/>
      <c r="AW941" s="6"/>
      <c r="AX941" s="13"/>
      <c r="AY941" s="13"/>
      <c r="AZ941" s="6"/>
      <c r="BA941" s="6"/>
      <c r="BB941" s="6"/>
      <c r="BC941" s="6"/>
      <c r="BD941" s="6"/>
      <c r="BE941" s="6"/>
      <c r="BF941" s="6"/>
      <c r="BG941" s="6"/>
    </row>
    <row r="942">
      <c r="A942" s="35"/>
      <c r="B942" s="35"/>
      <c r="C942" s="7"/>
      <c r="D942" s="41"/>
      <c r="E942" s="6"/>
      <c r="F942" s="41"/>
      <c r="G942" s="35"/>
      <c r="H942" s="35"/>
      <c r="J942" s="69"/>
      <c r="K942" s="99"/>
      <c r="L942" s="90"/>
      <c r="M942" s="69"/>
      <c r="N942" s="375"/>
      <c r="O942" s="378"/>
      <c r="P942" s="13"/>
      <c r="Q942" s="13"/>
      <c r="R942" s="13"/>
      <c r="S942" s="35"/>
      <c r="T942" s="35"/>
      <c r="U942" s="69"/>
      <c r="V942" s="6"/>
      <c r="W942" s="6"/>
      <c r="X942" s="181"/>
      <c r="Y942" s="102"/>
      <c r="Z942" s="102"/>
      <c r="AA942" s="102"/>
      <c r="AB942" s="102"/>
      <c r="AC942" s="102"/>
      <c r="AD942" s="342"/>
      <c r="AE942" s="102"/>
      <c r="AF942" s="110"/>
      <c r="AG942" s="105"/>
      <c r="AH942" s="69"/>
      <c r="AI942" s="105"/>
      <c r="AJ942" s="98"/>
      <c r="AK942" s="110"/>
      <c r="AL942" s="98"/>
      <c r="AM942" s="69"/>
      <c r="AN942" s="13"/>
      <c r="AO942" s="13"/>
      <c r="AP942" s="13"/>
      <c r="AQ942" s="13"/>
      <c r="AR942" s="13"/>
      <c r="AS942" s="13"/>
      <c r="AT942" s="13"/>
      <c r="AU942" s="13"/>
      <c r="AV942" s="13"/>
      <c r="AW942" s="6"/>
      <c r="AX942" s="13"/>
      <c r="AY942" s="13"/>
      <c r="AZ942" s="6"/>
      <c r="BA942" s="6"/>
      <c r="BB942" s="6"/>
      <c r="BC942" s="6"/>
      <c r="BD942" s="6"/>
      <c r="BE942" s="6"/>
      <c r="BF942" s="6"/>
      <c r="BG942" s="6"/>
    </row>
    <row r="943">
      <c r="A943" s="35"/>
      <c r="B943" s="35"/>
      <c r="C943" s="7"/>
      <c r="D943" s="41"/>
      <c r="E943" s="6"/>
      <c r="F943" s="41"/>
      <c r="G943" s="35"/>
      <c r="H943" s="35"/>
      <c r="J943" s="69"/>
      <c r="K943" s="99"/>
      <c r="L943" s="90"/>
      <c r="M943" s="69"/>
      <c r="N943" s="375"/>
      <c r="O943" s="378"/>
      <c r="P943" s="13"/>
      <c r="Q943" s="13"/>
      <c r="R943" s="13"/>
      <c r="S943" s="35"/>
      <c r="T943" s="35"/>
      <c r="U943" s="69"/>
      <c r="V943" s="6"/>
      <c r="W943" s="6"/>
      <c r="X943" s="181"/>
      <c r="Y943" s="102"/>
      <c r="Z943" s="102"/>
      <c r="AA943" s="102"/>
      <c r="AB943" s="102"/>
      <c r="AC943" s="102"/>
      <c r="AD943" s="342"/>
      <c r="AE943" s="102"/>
      <c r="AF943" s="110"/>
      <c r="AG943" s="105"/>
      <c r="AH943" s="69"/>
      <c r="AI943" s="105"/>
      <c r="AJ943" s="98"/>
      <c r="AK943" s="110"/>
      <c r="AL943" s="98"/>
      <c r="AM943" s="69"/>
      <c r="AN943" s="13"/>
      <c r="AO943" s="13"/>
      <c r="AP943" s="13"/>
      <c r="AQ943" s="13"/>
      <c r="AR943" s="13"/>
      <c r="AS943" s="13"/>
      <c r="AT943" s="13"/>
      <c r="AU943" s="13"/>
      <c r="AV943" s="13"/>
      <c r="AW943" s="6"/>
      <c r="AX943" s="13"/>
      <c r="AY943" s="13"/>
      <c r="AZ943" s="6"/>
      <c r="BA943" s="6"/>
      <c r="BB943" s="6"/>
      <c r="BC943" s="6"/>
      <c r="BD943" s="6"/>
      <c r="BE943" s="6"/>
      <c r="BF943" s="6"/>
      <c r="BG943" s="6"/>
    </row>
    <row r="944">
      <c r="A944" s="35"/>
      <c r="B944" s="35"/>
      <c r="C944" s="7"/>
      <c r="D944" s="41"/>
      <c r="E944" s="6"/>
      <c r="F944" s="41"/>
      <c r="G944" s="35"/>
      <c r="H944" s="35"/>
      <c r="J944" s="69"/>
      <c r="K944" s="99"/>
      <c r="L944" s="90"/>
      <c r="M944" s="69"/>
      <c r="N944" s="375"/>
      <c r="O944" s="378"/>
      <c r="P944" s="13"/>
      <c r="Q944" s="13"/>
      <c r="R944" s="13"/>
      <c r="S944" s="35"/>
      <c r="T944" s="35"/>
      <c r="U944" s="69"/>
      <c r="V944" s="6"/>
      <c r="W944" s="6"/>
      <c r="X944" s="181"/>
      <c r="Y944" s="102"/>
      <c r="Z944" s="102"/>
      <c r="AA944" s="102"/>
      <c r="AB944" s="102"/>
      <c r="AC944" s="102"/>
      <c r="AD944" s="342"/>
      <c r="AE944" s="102"/>
      <c r="AF944" s="110"/>
      <c r="AG944" s="108"/>
      <c r="AH944" s="69"/>
      <c r="AI944" s="105"/>
      <c r="AJ944" s="98"/>
      <c r="AK944" s="110"/>
      <c r="AL944" s="98"/>
      <c r="AM944" s="69"/>
      <c r="AN944" s="13"/>
      <c r="AO944" s="13"/>
      <c r="AP944" s="13"/>
      <c r="AQ944" s="13"/>
      <c r="AR944" s="13"/>
      <c r="AS944" s="13"/>
      <c r="AT944" s="13"/>
      <c r="AU944" s="13"/>
      <c r="AV944" s="13"/>
      <c r="AW944" s="6"/>
      <c r="AX944" s="13"/>
      <c r="AY944" s="13"/>
      <c r="AZ944" s="6"/>
      <c r="BA944" s="6"/>
      <c r="BB944" s="6"/>
      <c r="BC944" s="6"/>
      <c r="BD944" s="6"/>
      <c r="BE944" s="6"/>
      <c r="BF944" s="6"/>
      <c r="BG944" s="6"/>
    </row>
    <row r="945">
      <c r="A945" s="35"/>
      <c r="B945" s="35"/>
      <c r="C945" s="7"/>
      <c r="D945" s="41"/>
      <c r="E945" s="6"/>
      <c r="F945" s="41"/>
      <c r="G945" s="35"/>
      <c r="H945" s="35"/>
      <c r="J945" s="69"/>
      <c r="K945" s="99"/>
      <c r="L945" s="90"/>
      <c r="M945" s="69"/>
      <c r="N945" s="375"/>
      <c r="O945" s="378"/>
      <c r="P945" s="13"/>
      <c r="Q945" s="13"/>
      <c r="R945" s="13"/>
      <c r="S945" s="35"/>
      <c r="T945" s="35"/>
      <c r="U945" s="69"/>
      <c r="V945" s="6"/>
      <c r="W945" s="6"/>
      <c r="X945" s="181"/>
      <c r="Y945" s="102"/>
      <c r="Z945" s="102"/>
      <c r="AA945" s="102"/>
      <c r="AB945" s="102"/>
      <c r="AC945" s="102"/>
      <c r="AD945" s="342"/>
      <c r="AE945" s="102"/>
      <c r="AF945" s="110"/>
      <c r="AG945" s="108"/>
      <c r="AH945" s="69"/>
      <c r="AI945" s="105"/>
      <c r="AJ945" s="98"/>
      <c r="AK945" s="110"/>
      <c r="AL945" s="98"/>
      <c r="AM945" s="69"/>
      <c r="AN945" s="13"/>
      <c r="AO945" s="13"/>
      <c r="AP945" s="13"/>
      <c r="AQ945" s="13"/>
      <c r="AR945" s="13"/>
      <c r="AS945" s="13"/>
      <c r="AT945" s="13"/>
      <c r="AU945" s="13"/>
      <c r="AV945" s="13"/>
      <c r="AW945" s="6"/>
      <c r="AX945" s="13"/>
      <c r="AY945" s="13"/>
      <c r="AZ945" s="6"/>
      <c r="BA945" s="6"/>
      <c r="BB945" s="6"/>
      <c r="BC945" s="6"/>
      <c r="BD945" s="6"/>
      <c r="BE945" s="6"/>
      <c r="BF945" s="6"/>
      <c r="BG945" s="6"/>
    </row>
    <row r="946">
      <c r="A946" s="35"/>
      <c r="B946" s="35"/>
      <c r="C946" s="7"/>
      <c r="D946" s="41"/>
      <c r="E946" s="6"/>
      <c r="F946" s="41"/>
      <c r="G946" s="35"/>
      <c r="H946" s="35"/>
      <c r="J946" s="69"/>
      <c r="K946" s="99"/>
      <c r="L946" s="90"/>
      <c r="M946" s="69"/>
      <c r="N946" s="375"/>
      <c r="O946" s="378"/>
      <c r="P946" s="13"/>
      <c r="Q946" s="13"/>
      <c r="R946" s="13"/>
      <c r="S946" s="35"/>
      <c r="T946" s="35"/>
      <c r="U946" s="69"/>
      <c r="V946" s="6"/>
      <c r="W946" s="6"/>
      <c r="X946" s="181"/>
      <c r="Y946" s="102"/>
      <c r="Z946" s="102"/>
      <c r="AA946" s="102"/>
      <c r="AB946" s="102"/>
      <c r="AC946" s="102"/>
      <c r="AD946" s="342"/>
      <c r="AE946" s="102"/>
      <c r="AF946" s="110"/>
      <c r="AG946" s="108"/>
      <c r="AH946" s="69"/>
      <c r="AI946" s="105"/>
      <c r="AJ946" s="98"/>
      <c r="AK946" s="110"/>
      <c r="AL946" s="98"/>
      <c r="AM946" s="69"/>
      <c r="AN946" s="13"/>
      <c r="AO946" s="13"/>
      <c r="AP946" s="13"/>
      <c r="AQ946" s="13"/>
      <c r="AR946" s="13"/>
      <c r="AS946" s="13"/>
      <c r="AT946" s="13"/>
      <c r="AU946" s="13"/>
      <c r="AV946" s="13"/>
      <c r="AW946" s="6"/>
      <c r="AX946" s="13"/>
      <c r="AY946" s="13"/>
      <c r="AZ946" s="6"/>
      <c r="BA946" s="6"/>
      <c r="BB946" s="6"/>
      <c r="BC946" s="6"/>
      <c r="BD946" s="6"/>
      <c r="BE946" s="6"/>
      <c r="BF946" s="6"/>
      <c r="BG946" s="6"/>
    </row>
    <row r="947">
      <c r="A947" s="35"/>
      <c r="B947" s="35"/>
      <c r="C947" s="7"/>
      <c r="D947" s="41"/>
      <c r="E947" s="6"/>
      <c r="F947" s="41"/>
      <c r="G947" s="35"/>
      <c r="H947" s="35"/>
      <c r="J947" s="69"/>
      <c r="K947" s="99"/>
      <c r="L947" s="90"/>
      <c r="M947" s="69"/>
      <c r="N947" s="375"/>
      <c r="O947" s="378"/>
      <c r="P947" s="13"/>
      <c r="Q947" s="13"/>
      <c r="R947" s="13"/>
      <c r="S947" s="35"/>
      <c r="T947" s="35"/>
      <c r="U947" s="69"/>
      <c r="V947" s="6"/>
      <c r="W947" s="6"/>
      <c r="X947" s="181"/>
      <c r="Y947" s="102"/>
      <c r="Z947" s="102"/>
      <c r="AA947" s="102"/>
      <c r="AB947" s="102"/>
      <c r="AC947" s="102"/>
      <c r="AD947" s="342"/>
      <c r="AE947" s="102"/>
      <c r="AF947" s="110"/>
      <c r="AG947" s="108"/>
      <c r="AH947" s="69"/>
      <c r="AI947" s="105"/>
      <c r="AJ947" s="98"/>
      <c r="AK947" s="110"/>
      <c r="AL947" s="98"/>
      <c r="AM947" s="69"/>
      <c r="AN947" s="13"/>
      <c r="AO947" s="13"/>
      <c r="AP947" s="13"/>
      <c r="AQ947" s="13"/>
      <c r="AR947" s="13"/>
      <c r="AS947" s="13"/>
      <c r="AT947" s="13"/>
      <c r="AU947" s="13"/>
      <c r="AV947" s="13"/>
      <c r="AW947" s="6"/>
      <c r="AX947" s="13"/>
      <c r="AY947" s="13"/>
      <c r="AZ947" s="6"/>
      <c r="BA947" s="6"/>
      <c r="BB947" s="6"/>
      <c r="BC947" s="6"/>
      <c r="BD947" s="6"/>
      <c r="BE947" s="6"/>
      <c r="BF947" s="6"/>
      <c r="BG947" s="6"/>
    </row>
    <row r="948">
      <c r="A948" s="35"/>
      <c r="B948" s="35"/>
      <c r="C948" s="7"/>
      <c r="D948" s="41"/>
      <c r="E948" s="6"/>
      <c r="F948" s="41"/>
      <c r="G948" s="35"/>
      <c r="H948" s="35"/>
      <c r="J948" s="69"/>
      <c r="K948" s="99"/>
      <c r="L948" s="90"/>
      <c r="M948" s="69"/>
      <c r="N948" s="375"/>
      <c r="O948" s="378"/>
      <c r="P948" s="13"/>
      <c r="Q948" s="13"/>
      <c r="R948" s="13"/>
      <c r="S948" s="35"/>
      <c r="T948" s="35"/>
      <c r="U948" s="69"/>
      <c r="V948" s="6"/>
      <c r="W948" s="6"/>
      <c r="X948" s="181"/>
      <c r="Y948" s="102"/>
      <c r="Z948" s="102"/>
      <c r="AA948" s="102"/>
      <c r="AB948" s="102"/>
      <c r="AC948" s="102"/>
      <c r="AD948" s="342"/>
      <c r="AE948" s="102"/>
      <c r="AF948" s="110"/>
      <c r="AG948" s="108"/>
      <c r="AH948" s="69"/>
      <c r="AI948" s="105"/>
      <c r="AJ948" s="98"/>
      <c r="AK948" s="110"/>
      <c r="AL948" s="98"/>
      <c r="AM948" s="69"/>
      <c r="AN948" s="13"/>
      <c r="AO948" s="13"/>
      <c r="AP948" s="13"/>
      <c r="AQ948" s="13"/>
      <c r="AR948" s="13"/>
      <c r="AS948" s="13"/>
      <c r="AT948" s="13"/>
      <c r="AU948" s="13"/>
      <c r="AV948" s="13"/>
      <c r="AW948" s="6"/>
      <c r="AX948" s="13"/>
      <c r="AY948" s="13"/>
      <c r="AZ948" s="6"/>
      <c r="BA948" s="6"/>
      <c r="BB948" s="6"/>
      <c r="BC948" s="6"/>
      <c r="BD948" s="6"/>
      <c r="BE948" s="6"/>
      <c r="BF948" s="6"/>
      <c r="BG948" s="6"/>
    </row>
    <row r="949">
      <c r="A949" s="35"/>
      <c r="B949" s="35"/>
      <c r="C949" s="7"/>
      <c r="D949" s="41"/>
      <c r="E949" s="6"/>
      <c r="F949" s="41"/>
      <c r="G949" s="35"/>
      <c r="H949" s="35"/>
      <c r="J949" s="69"/>
      <c r="K949" s="99"/>
      <c r="L949" s="90"/>
      <c r="M949" s="69"/>
      <c r="N949" s="375"/>
      <c r="O949" s="378"/>
      <c r="P949" s="13"/>
      <c r="Q949" s="13"/>
      <c r="R949" s="13"/>
      <c r="S949" s="35"/>
      <c r="T949" s="35"/>
      <c r="U949" s="69"/>
      <c r="V949" s="6"/>
      <c r="W949" s="6"/>
      <c r="X949" s="181"/>
      <c r="Y949" s="102"/>
      <c r="Z949" s="102"/>
      <c r="AA949" s="102"/>
      <c r="AB949" s="102"/>
      <c r="AC949" s="102"/>
      <c r="AD949" s="342"/>
      <c r="AE949" s="102"/>
      <c r="AF949" s="110"/>
      <c r="AG949" s="108"/>
      <c r="AH949" s="69"/>
      <c r="AI949" s="105"/>
      <c r="AJ949" s="98"/>
      <c r="AK949" s="110"/>
      <c r="AL949" s="98"/>
      <c r="AM949" s="69"/>
      <c r="AN949" s="13"/>
      <c r="AO949" s="13"/>
      <c r="AP949" s="13"/>
      <c r="AQ949" s="13"/>
      <c r="AR949" s="13"/>
      <c r="AS949" s="13"/>
      <c r="AT949" s="13"/>
      <c r="AU949" s="13"/>
      <c r="AV949" s="13"/>
      <c r="AW949" s="6"/>
      <c r="AX949" s="13"/>
      <c r="AY949" s="13"/>
      <c r="AZ949" s="6"/>
      <c r="BA949" s="6"/>
      <c r="BB949" s="6"/>
      <c r="BC949" s="6"/>
      <c r="BD949" s="6"/>
      <c r="BE949" s="6"/>
      <c r="BF949" s="6"/>
      <c r="BG949" s="6"/>
    </row>
    <row r="950">
      <c r="A950" s="69"/>
      <c r="B950" s="69"/>
      <c r="C950" s="7"/>
      <c r="D950" s="41"/>
      <c r="E950" s="6"/>
      <c r="F950" s="41"/>
      <c r="G950" s="35"/>
      <c r="H950" s="35"/>
      <c r="J950" s="69"/>
      <c r="K950" s="99"/>
      <c r="L950" s="90"/>
      <c r="M950" s="69"/>
      <c r="N950" s="375"/>
      <c r="O950" s="378"/>
      <c r="P950" s="13"/>
      <c r="Q950" s="13"/>
      <c r="R950" s="13"/>
      <c r="S950" s="35"/>
      <c r="T950" s="35"/>
      <c r="U950" s="69"/>
      <c r="V950" s="6"/>
      <c r="W950" s="6"/>
      <c r="X950" s="181"/>
      <c r="Y950" s="102"/>
      <c r="Z950" s="102"/>
      <c r="AA950" s="102"/>
      <c r="AB950" s="102"/>
      <c r="AC950" s="102"/>
      <c r="AD950" s="342"/>
      <c r="AE950" s="102"/>
      <c r="AF950" s="110"/>
      <c r="AG950" s="108"/>
      <c r="AH950" s="69"/>
      <c r="AI950" s="105"/>
      <c r="AJ950" s="98"/>
      <c r="AK950" s="110"/>
      <c r="AL950" s="98"/>
      <c r="AM950" s="69"/>
      <c r="AN950" s="13"/>
      <c r="AO950" s="13"/>
      <c r="AP950" s="13"/>
      <c r="AQ950" s="13"/>
      <c r="AR950" s="13"/>
      <c r="AS950" s="13"/>
      <c r="AT950" s="13"/>
      <c r="AU950" s="13"/>
      <c r="AV950" s="13"/>
      <c r="AW950" s="6"/>
      <c r="AX950" s="13"/>
      <c r="AY950" s="13"/>
      <c r="AZ950" s="6"/>
      <c r="BA950" s="6"/>
      <c r="BB950" s="6"/>
      <c r="BC950" s="6"/>
      <c r="BD950" s="6"/>
      <c r="BE950" s="6"/>
      <c r="BF950" s="6"/>
      <c r="BG950" s="6"/>
    </row>
    <row r="951">
      <c r="A951" s="69"/>
      <c r="B951" s="69"/>
      <c r="C951" s="7"/>
      <c r="D951" s="41"/>
      <c r="E951" s="6"/>
      <c r="F951" s="41"/>
      <c r="G951" s="35"/>
      <c r="H951" s="98"/>
      <c r="J951" s="69"/>
      <c r="K951" s="99"/>
      <c r="L951" s="90"/>
      <c r="M951" s="69"/>
      <c r="N951" s="375"/>
      <c r="O951" s="378"/>
      <c r="P951" s="6"/>
      <c r="Q951" s="6"/>
      <c r="R951" s="6"/>
      <c r="S951" s="98"/>
      <c r="T951" s="111"/>
      <c r="U951" s="69"/>
      <c r="V951" s="6"/>
      <c r="W951" s="6"/>
      <c r="X951" s="181"/>
      <c r="Y951" s="150"/>
      <c r="Z951" s="150"/>
      <c r="AA951" s="150"/>
      <c r="AB951" s="150"/>
      <c r="AC951" s="150"/>
      <c r="AD951" s="381"/>
      <c r="AE951" s="150"/>
      <c r="AF951" s="110"/>
      <c r="AG951" s="108"/>
      <c r="AH951" s="69"/>
      <c r="AI951" s="105"/>
      <c r="AJ951" s="98"/>
      <c r="AK951" s="110"/>
      <c r="AL951" s="98"/>
      <c r="AM951" s="69"/>
      <c r="AN951" s="13"/>
      <c r="AO951" s="13"/>
      <c r="AP951" s="13"/>
      <c r="AQ951" s="6"/>
      <c r="AR951" s="6"/>
      <c r="AS951" s="6"/>
      <c r="AT951" s="6"/>
      <c r="AU951" s="6"/>
      <c r="AV951" s="6"/>
      <c r="AW951" s="6"/>
      <c r="AX951" s="13"/>
      <c r="AY951" s="13"/>
      <c r="AZ951" s="6"/>
      <c r="BA951" s="6"/>
      <c r="BB951" s="6"/>
      <c r="BC951" s="6"/>
      <c r="BD951" s="6"/>
      <c r="BE951" s="6"/>
      <c r="BF951" s="6"/>
      <c r="BG951" s="6"/>
    </row>
    <row r="952">
      <c r="A952" s="69"/>
      <c r="B952" s="69"/>
      <c r="C952" s="7"/>
      <c r="D952" s="41"/>
      <c r="E952" s="6"/>
      <c r="F952" s="41"/>
      <c r="G952" s="35"/>
      <c r="H952" s="98"/>
      <c r="J952" s="69"/>
      <c r="K952" s="99"/>
      <c r="L952" s="90"/>
      <c r="M952" s="69"/>
      <c r="N952" s="375"/>
      <c r="O952" s="378"/>
      <c r="P952" s="13"/>
      <c r="Q952" s="13"/>
      <c r="R952" s="13"/>
      <c r="S952" s="98"/>
      <c r="T952" s="111"/>
      <c r="U952" s="69"/>
      <c r="V952" s="6"/>
      <c r="W952" s="6"/>
      <c r="X952" s="181"/>
      <c r="Y952" s="150"/>
      <c r="Z952" s="150"/>
      <c r="AA952" s="150"/>
      <c r="AB952" s="150"/>
      <c r="AC952" s="150"/>
      <c r="AD952" s="381"/>
      <c r="AE952" s="150"/>
      <c r="AF952" s="110"/>
      <c r="AG952" s="108"/>
      <c r="AH952" s="69"/>
      <c r="AI952" s="105"/>
      <c r="AJ952" s="98"/>
      <c r="AK952" s="110"/>
      <c r="AL952" s="98"/>
      <c r="AM952" s="69"/>
      <c r="AN952" s="13"/>
      <c r="AO952" s="13"/>
      <c r="AP952" s="13"/>
      <c r="AQ952" s="6"/>
      <c r="AR952" s="13"/>
      <c r="AS952" s="13"/>
      <c r="AT952" s="13"/>
      <c r="AU952" s="13"/>
      <c r="AV952" s="13"/>
      <c r="AW952" s="6"/>
      <c r="AX952" s="13"/>
      <c r="AY952" s="13"/>
      <c r="AZ952" s="6"/>
      <c r="BA952" s="6"/>
      <c r="BB952" s="6"/>
      <c r="BC952" s="6"/>
      <c r="BD952" s="6"/>
      <c r="BE952" s="6"/>
      <c r="BF952" s="6"/>
      <c r="BG952" s="6"/>
    </row>
    <row r="953">
      <c r="A953" s="69"/>
      <c r="B953" s="69"/>
      <c r="C953" s="7"/>
      <c r="D953" s="41"/>
      <c r="E953" s="6"/>
      <c r="F953" s="41"/>
      <c r="G953" s="35"/>
      <c r="H953" s="98"/>
      <c r="J953" s="69"/>
      <c r="K953" s="99"/>
      <c r="L953" s="90"/>
      <c r="M953" s="69"/>
      <c r="N953" s="375"/>
      <c r="O953" s="378"/>
      <c r="P953" s="13"/>
      <c r="Q953" s="13"/>
      <c r="R953" s="13"/>
      <c r="S953" s="98"/>
      <c r="T953" s="111"/>
      <c r="U953" s="69"/>
      <c r="V953" s="6"/>
      <c r="W953" s="6"/>
      <c r="X953" s="181"/>
      <c r="Y953" s="150"/>
      <c r="Z953" s="150"/>
      <c r="AA953" s="150"/>
      <c r="AB953" s="150"/>
      <c r="AC953" s="150"/>
      <c r="AD953" s="381"/>
      <c r="AE953" s="150"/>
      <c r="AF953" s="110"/>
      <c r="AG953" s="108"/>
      <c r="AH953" s="69"/>
      <c r="AI953" s="105"/>
      <c r="AJ953" s="98"/>
      <c r="AK953" s="110"/>
      <c r="AL953" s="98"/>
      <c r="AM953" s="69"/>
      <c r="AN953" s="13"/>
      <c r="AO953" s="13"/>
      <c r="AP953" s="13"/>
      <c r="AQ953" s="6"/>
      <c r="AR953" s="13"/>
      <c r="AS953" s="13"/>
      <c r="AT953" s="13"/>
      <c r="AU953" s="13"/>
      <c r="AV953" s="13"/>
      <c r="AW953" s="6"/>
      <c r="AX953" s="13"/>
      <c r="AY953" s="13"/>
      <c r="AZ953" s="6"/>
      <c r="BA953" s="6"/>
      <c r="BB953" s="6"/>
      <c r="BC953" s="6"/>
      <c r="BD953" s="6"/>
      <c r="BE953" s="6"/>
      <c r="BF953" s="6"/>
      <c r="BG953" s="6"/>
    </row>
    <row r="954">
      <c r="A954" s="69"/>
      <c r="B954" s="69"/>
      <c r="C954" s="7"/>
      <c r="D954" s="41"/>
      <c r="E954" s="6"/>
      <c r="F954" s="41"/>
      <c r="G954" s="35"/>
      <c r="H954" s="35"/>
      <c r="J954" s="69"/>
      <c r="K954" s="99"/>
      <c r="L954" s="90"/>
      <c r="M954" s="69"/>
      <c r="N954" s="375"/>
      <c r="O954" s="378"/>
      <c r="P954" s="13"/>
      <c r="Q954" s="13"/>
      <c r="R954" s="13"/>
      <c r="S954" s="35"/>
      <c r="T954" s="35"/>
      <c r="U954" s="69"/>
      <c r="V954" s="6"/>
      <c r="W954" s="6"/>
      <c r="X954" s="181"/>
      <c r="Y954" s="102"/>
      <c r="Z954" s="102"/>
      <c r="AA954" s="102"/>
      <c r="AB954" s="102"/>
      <c r="AC954" s="102"/>
      <c r="AD954" s="342"/>
      <c r="AE954" s="102"/>
      <c r="AF954" s="110"/>
      <c r="AG954" s="108"/>
      <c r="AH954" s="69"/>
      <c r="AI954" s="105"/>
      <c r="AJ954" s="98"/>
      <c r="AK954" s="110"/>
      <c r="AL954" s="98"/>
      <c r="AM954" s="69"/>
      <c r="AN954" s="13"/>
      <c r="AO954" s="13"/>
      <c r="AP954" s="13"/>
      <c r="AQ954" s="6"/>
      <c r="AR954" s="13"/>
      <c r="AS954" s="13"/>
      <c r="AT954" s="13"/>
      <c r="AU954" s="13"/>
      <c r="AV954" s="13"/>
      <c r="AW954" s="6"/>
      <c r="AX954" s="13"/>
      <c r="AY954" s="13"/>
      <c r="AZ954" s="6"/>
      <c r="BA954" s="6"/>
      <c r="BB954" s="6"/>
      <c r="BC954" s="6"/>
      <c r="BD954" s="6"/>
      <c r="BE954" s="6"/>
      <c r="BF954" s="6"/>
      <c r="BG954" s="6"/>
    </row>
    <row r="955">
      <c r="A955" s="69"/>
      <c r="B955" s="69"/>
      <c r="C955" s="7"/>
      <c r="D955" s="41"/>
      <c r="E955" s="6"/>
      <c r="F955" s="41"/>
      <c r="G955" s="35"/>
      <c r="H955" s="35"/>
      <c r="J955" s="69"/>
      <c r="K955" s="99"/>
      <c r="L955" s="90"/>
      <c r="M955" s="182"/>
      <c r="N955" s="375"/>
      <c r="O955" s="378"/>
      <c r="P955" s="13"/>
      <c r="Q955" s="13"/>
      <c r="R955" s="13"/>
      <c r="S955" s="35"/>
      <c r="T955" s="35"/>
      <c r="U955" s="69"/>
      <c r="V955" s="6"/>
      <c r="W955" s="6"/>
      <c r="X955" s="181"/>
      <c r="Y955" s="102"/>
      <c r="Z955" s="102"/>
      <c r="AA955" s="102"/>
      <c r="AB955" s="102"/>
      <c r="AC955" s="102"/>
      <c r="AD955" s="342"/>
      <c r="AE955" s="102"/>
      <c r="AF955" s="110"/>
      <c r="AG955" s="108"/>
      <c r="AH955" s="69"/>
      <c r="AI955" s="105"/>
      <c r="AJ955" s="98"/>
      <c r="AK955" s="110"/>
      <c r="AL955" s="98"/>
      <c r="AM955" s="69"/>
      <c r="AN955" s="13"/>
      <c r="AO955" s="13"/>
      <c r="AP955" s="13"/>
      <c r="AQ955" s="6"/>
      <c r="AR955" s="13"/>
      <c r="AS955" s="13"/>
      <c r="AT955" s="13"/>
      <c r="AU955" s="13"/>
      <c r="AV955" s="13"/>
      <c r="AW955" s="6"/>
      <c r="AX955" s="13"/>
      <c r="AY955" s="13"/>
      <c r="AZ955" s="6"/>
      <c r="BA955" s="6"/>
      <c r="BB955" s="6"/>
      <c r="BC955" s="6"/>
      <c r="BD955" s="6"/>
      <c r="BE955" s="6"/>
      <c r="BF955" s="6"/>
      <c r="BG955" s="6"/>
    </row>
    <row r="956">
      <c r="A956" s="69"/>
      <c r="B956" s="69"/>
      <c r="C956" s="7"/>
      <c r="D956" s="41"/>
      <c r="E956" s="6"/>
      <c r="F956" s="41"/>
      <c r="G956" s="35"/>
      <c r="H956" s="35"/>
      <c r="J956" s="69"/>
      <c r="K956" s="99"/>
      <c r="L956" s="90"/>
      <c r="M956" s="69"/>
      <c r="N956" s="375"/>
      <c r="O956" s="378"/>
      <c r="P956" s="13"/>
      <c r="Q956" s="13"/>
      <c r="R956" s="13"/>
      <c r="S956" s="35"/>
      <c r="T956" s="35"/>
      <c r="U956" s="69"/>
      <c r="V956" s="6"/>
      <c r="W956" s="6"/>
      <c r="X956" s="181"/>
      <c r="Y956" s="102"/>
      <c r="Z956" s="102"/>
      <c r="AA956" s="102"/>
      <c r="AB956" s="102"/>
      <c r="AC956" s="102"/>
      <c r="AD956" s="342"/>
      <c r="AE956" s="102"/>
      <c r="AF956" s="110"/>
      <c r="AG956" s="108"/>
      <c r="AH956" s="69"/>
      <c r="AI956" s="105"/>
      <c r="AJ956" s="98"/>
      <c r="AK956" s="110"/>
      <c r="AL956" s="98"/>
      <c r="AM956" s="69"/>
      <c r="AN956" s="13"/>
      <c r="AO956" s="13"/>
      <c r="AP956" s="13"/>
      <c r="AQ956" s="6"/>
      <c r="AR956" s="13"/>
      <c r="AS956" s="13"/>
      <c r="AT956" s="13"/>
      <c r="AU956" s="13"/>
      <c r="AV956" s="13"/>
      <c r="AW956" s="6"/>
      <c r="AX956" s="13"/>
      <c r="AY956" s="13"/>
      <c r="AZ956" s="6"/>
      <c r="BA956" s="6"/>
      <c r="BB956" s="6"/>
      <c r="BC956" s="6"/>
      <c r="BD956" s="6"/>
      <c r="BE956" s="6"/>
      <c r="BF956" s="6"/>
      <c r="BG956" s="6"/>
    </row>
    <row r="957">
      <c r="A957" s="69"/>
      <c r="B957" s="69"/>
      <c r="C957" s="7"/>
      <c r="D957" s="41"/>
      <c r="E957" s="6"/>
      <c r="F957" s="41"/>
      <c r="G957" s="35"/>
      <c r="H957" s="35"/>
      <c r="J957" s="69"/>
      <c r="K957" s="99"/>
      <c r="L957" s="90"/>
      <c r="M957" s="69"/>
      <c r="N957" s="375"/>
      <c r="O957" s="378"/>
      <c r="P957" s="13"/>
      <c r="Q957" s="13"/>
      <c r="R957" s="13"/>
      <c r="S957" s="35"/>
      <c r="T957" s="35"/>
      <c r="U957" s="69"/>
      <c r="V957" s="6"/>
      <c r="W957" s="6"/>
      <c r="X957" s="181"/>
      <c r="Y957" s="102"/>
      <c r="Z957" s="102"/>
      <c r="AA957" s="102"/>
      <c r="AB957" s="102"/>
      <c r="AC957" s="102"/>
      <c r="AD957" s="342"/>
      <c r="AE957" s="102"/>
      <c r="AF957" s="110"/>
      <c r="AG957" s="108"/>
      <c r="AH957" s="69"/>
      <c r="AI957" s="105"/>
      <c r="AJ957" s="98"/>
      <c r="AK957" s="110"/>
      <c r="AL957" s="98"/>
      <c r="AM957" s="69"/>
      <c r="AN957" s="13"/>
      <c r="AO957" s="13"/>
      <c r="AP957" s="13"/>
      <c r="AQ957" s="6"/>
      <c r="AR957" s="13"/>
      <c r="AS957" s="13"/>
      <c r="AT957" s="13"/>
      <c r="AU957" s="13"/>
      <c r="AV957" s="13"/>
      <c r="AW957" s="6"/>
      <c r="AX957" s="13"/>
      <c r="AY957" s="13"/>
      <c r="AZ957" s="6"/>
      <c r="BA957" s="6"/>
      <c r="BB957" s="6"/>
      <c r="BC957" s="6"/>
      <c r="BD957" s="6"/>
      <c r="BE957" s="6"/>
      <c r="BF957" s="6"/>
      <c r="BG957" s="6"/>
    </row>
    <row r="958">
      <c r="A958" s="69"/>
      <c r="B958" s="69"/>
      <c r="C958" s="7"/>
      <c r="D958" s="41"/>
      <c r="E958" s="6"/>
      <c r="F958" s="41"/>
      <c r="G958" s="35"/>
      <c r="H958" s="35"/>
      <c r="J958" s="69"/>
      <c r="K958" s="99"/>
      <c r="L958" s="90"/>
      <c r="M958" s="69"/>
      <c r="N958" s="375"/>
      <c r="O958" s="378"/>
      <c r="P958" s="13"/>
      <c r="Q958" s="13"/>
      <c r="R958" s="13"/>
      <c r="S958" s="35"/>
      <c r="T958" s="35"/>
      <c r="U958" s="69"/>
      <c r="V958" s="6"/>
      <c r="W958" s="6"/>
      <c r="X958" s="181"/>
      <c r="Y958" s="102"/>
      <c r="Z958" s="102"/>
      <c r="AA958" s="102"/>
      <c r="AB958" s="102"/>
      <c r="AC958" s="102"/>
      <c r="AD958" s="342"/>
      <c r="AE958" s="102"/>
      <c r="AF958" s="110"/>
      <c r="AG958" s="108"/>
      <c r="AH958" s="69"/>
      <c r="AI958" s="105"/>
      <c r="AJ958" s="98"/>
      <c r="AK958" s="110"/>
      <c r="AL958" s="98"/>
      <c r="AM958" s="69"/>
      <c r="AN958" s="13"/>
      <c r="AO958" s="13"/>
      <c r="AP958" s="13"/>
      <c r="AQ958" s="6"/>
      <c r="AR958" s="13"/>
      <c r="AS958" s="13"/>
      <c r="AT958" s="13"/>
      <c r="AU958" s="13"/>
      <c r="AV958" s="13"/>
      <c r="AW958" s="6"/>
      <c r="AX958" s="13"/>
      <c r="AY958" s="13"/>
      <c r="AZ958" s="6"/>
      <c r="BA958" s="6"/>
      <c r="BB958" s="6"/>
      <c r="BC958" s="6"/>
      <c r="BD958" s="6"/>
      <c r="BE958" s="6"/>
      <c r="BF958" s="6"/>
      <c r="BG958" s="6"/>
    </row>
    <row r="959">
      <c r="A959" s="69"/>
      <c r="B959" s="69"/>
      <c r="C959" s="7"/>
      <c r="D959" s="41"/>
      <c r="E959" s="6"/>
      <c r="F959" s="41"/>
      <c r="G959" s="35"/>
      <c r="H959" s="35"/>
      <c r="J959" s="69"/>
      <c r="K959" s="99"/>
      <c r="L959" s="90"/>
      <c r="M959" s="69"/>
      <c r="N959" s="375"/>
      <c r="O959" s="378"/>
      <c r="P959" s="13"/>
      <c r="Q959" s="13"/>
      <c r="R959" s="13"/>
      <c r="S959" s="35"/>
      <c r="T959" s="35"/>
      <c r="U959" s="69"/>
      <c r="V959" s="6"/>
      <c r="W959" s="6"/>
      <c r="X959" s="181"/>
      <c r="Y959" s="102"/>
      <c r="Z959" s="102"/>
      <c r="AA959" s="102"/>
      <c r="AB959" s="102"/>
      <c r="AC959" s="102"/>
      <c r="AD959" s="342"/>
      <c r="AE959" s="102"/>
      <c r="AF959" s="110"/>
      <c r="AG959" s="108"/>
      <c r="AH959" s="69"/>
      <c r="AI959" s="105"/>
      <c r="AJ959" s="98"/>
      <c r="AK959" s="110"/>
      <c r="AL959" s="98"/>
      <c r="AM959" s="69"/>
      <c r="AN959" s="13"/>
      <c r="AO959" s="13"/>
      <c r="AP959" s="13"/>
      <c r="AQ959" s="6"/>
      <c r="AR959" s="13"/>
      <c r="AS959" s="13"/>
      <c r="AT959" s="13"/>
      <c r="AU959" s="13"/>
      <c r="AV959" s="13"/>
      <c r="AW959" s="6"/>
      <c r="AX959" s="13"/>
      <c r="AY959" s="13"/>
      <c r="AZ959" s="6"/>
      <c r="BA959" s="6"/>
      <c r="BB959" s="6"/>
      <c r="BC959" s="6"/>
      <c r="BD959" s="6"/>
      <c r="BE959" s="6"/>
      <c r="BF959" s="6"/>
      <c r="BG959" s="6"/>
    </row>
    <row r="960">
      <c r="A960" s="69"/>
      <c r="B960" s="69"/>
      <c r="C960" s="7"/>
      <c r="D960" s="41"/>
      <c r="E960" s="6"/>
      <c r="F960" s="41"/>
      <c r="G960" s="35"/>
      <c r="H960" s="35"/>
      <c r="J960" s="69"/>
      <c r="K960" s="99"/>
      <c r="L960" s="90"/>
      <c r="M960" s="69"/>
      <c r="N960" s="375"/>
      <c r="O960" s="378"/>
      <c r="P960" s="13"/>
      <c r="Q960" s="13"/>
      <c r="R960" s="13"/>
      <c r="S960" s="35"/>
      <c r="T960" s="35"/>
      <c r="U960" s="69"/>
      <c r="V960" s="6"/>
      <c r="W960" s="6"/>
      <c r="X960" s="181"/>
      <c r="Y960" s="102"/>
      <c r="Z960" s="102"/>
      <c r="AA960" s="102"/>
      <c r="AB960" s="102"/>
      <c r="AC960" s="102"/>
      <c r="AD960" s="342"/>
      <c r="AE960" s="102"/>
      <c r="AF960" s="110"/>
      <c r="AG960" s="108"/>
      <c r="AH960" s="69"/>
      <c r="AI960" s="105"/>
      <c r="AJ960" s="98"/>
      <c r="AK960" s="110"/>
      <c r="AL960" s="98"/>
      <c r="AM960" s="69"/>
      <c r="AN960" s="13"/>
      <c r="AO960" s="13"/>
      <c r="AP960" s="13"/>
      <c r="AQ960" s="6"/>
      <c r="AR960" s="13"/>
      <c r="AS960" s="13"/>
      <c r="AT960" s="13"/>
      <c r="AU960" s="13"/>
      <c r="AV960" s="13"/>
      <c r="AW960" s="6"/>
      <c r="AX960" s="13"/>
      <c r="AY960" s="13"/>
      <c r="AZ960" s="6"/>
      <c r="BA960" s="6"/>
      <c r="BB960" s="6"/>
      <c r="BC960" s="6"/>
      <c r="BD960" s="6"/>
      <c r="BE960" s="6"/>
      <c r="BF960" s="6"/>
      <c r="BG960" s="6"/>
    </row>
    <row r="961">
      <c r="A961" s="69"/>
      <c r="B961" s="69"/>
      <c r="C961" s="7"/>
      <c r="D961" s="41"/>
      <c r="E961" s="6"/>
      <c r="F961" s="41"/>
      <c r="G961" s="35"/>
      <c r="H961" s="35"/>
      <c r="J961" s="69"/>
      <c r="K961" s="99"/>
      <c r="L961" s="90"/>
      <c r="M961" s="69"/>
      <c r="N961" s="375"/>
      <c r="O961" s="378"/>
      <c r="P961" s="13"/>
      <c r="Q961" s="13"/>
      <c r="R961" s="13"/>
      <c r="S961" s="35"/>
      <c r="T961" s="35"/>
      <c r="U961" s="69"/>
      <c r="V961" s="6"/>
      <c r="W961" s="6"/>
      <c r="X961" s="181"/>
      <c r="Y961" s="102"/>
      <c r="Z961" s="102"/>
      <c r="AA961" s="102"/>
      <c r="AB961" s="102"/>
      <c r="AC961" s="102"/>
      <c r="AD961" s="342"/>
      <c r="AE961" s="102"/>
      <c r="AF961" s="110"/>
      <c r="AG961" s="108"/>
      <c r="AH961" s="69"/>
      <c r="AI961" s="105"/>
      <c r="AJ961" s="98"/>
      <c r="AK961" s="110"/>
      <c r="AL961" s="98"/>
      <c r="AM961" s="69"/>
      <c r="AN961" s="13"/>
      <c r="AO961" s="13"/>
      <c r="AP961" s="13"/>
      <c r="AQ961" s="6"/>
      <c r="AR961" s="13"/>
      <c r="AS961" s="13"/>
      <c r="AT961" s="13"/>
      <c r="AU961" s="13"/>
      <c r="AV961" s="13"/>
      <c r="AW961" s="6"/>
      <c r="AX961" s="13"/>
      <c r="AY961" s="13"/>
      <c r="AZ961" s="6"/>
      <c r="BA961" s="6"/>
      <c r="BB961" s="6"/>
      <c r="BC961" s="6"/>
      <c r="BD961" s="6"/>
      <c r="BE961" s="6"/>
      <c r="BF961" s="6"/>
      <c r="BG961" s="6"/>
    </row>
    <row r="962">
      <c r="A962" s="69"/>
      <c r="B962" s="69"/>
      <c r="C962" s="7"/>
      <c r="D962" s="41"/>
      <c r="E962" s="6"/>
      <c r="F962" s="41"/>
      <c r="G962" s="35"/>
      <c r="H962" s="35"/>
      <c r="J962" s="69"/>
      <c r="K962" s="99"/>
      <c r="L962" s="90"/>
      <c r="M962" s="69"/>
      <c r="N962" s="375"/>
      <c r="O962" s="378"/>
      <c r="P962" s="6"/>
      <c r="Q962" s="6"/>
      <c r="R962" s="13"/>
      <c r="S962" s="35"/>
      <c r="T962" s="35"/>
      <c r="U962" s="69"/>
      <c r="V962" s="6"/>
      <c r="W962" s="6"/>
      <c r="X962" s="181"/>
      <c r="Y962" s="102"/>
      <c r="Z962" s="102"/>
      <c r="AA962" s="102"/>
      <c r="AB962" s="102"/>
      <c r="AC962" s="102"/>
      <c r="AD962" s="342"/>
      <c r="AE962" s="102"/>
      <c r="AF962" s="110"/>
      <c r="AG962" s="108"/>
      <c r="AH962" s="69"/>
      <c r="AI962" s="105"/>
      <c r="AJ962" s="98"/>
      <c r="AK962" s="110"/>
      <c r="AL962" s="98"/>
      <c r="AM962" s="69"/>
      <c r="AN962" s="13"/>
      <c r="AO962" s="13"/>
      <c r="AP962" s="13"/>
      <c r="AQ962" s="6"/>
      <c r="AR962" s="6"/>
      <c r="AS962" s="6"/>
      <c r="AT962" s="6"/>
      <c r="AU962" s="6"/>
      <c r="AV962" s="6"/>
      <c r="AW962" s="6"/>
      <c r="AX962" s="13"/>
      <c r="AY962" s="13"/>
      <c r="AZ962" s="6"/>
      <c r="BA962" s="6"/>
      <c r="BB962" s="6"/>
      <c r="BC962" s="6"/>
      <c r="BD962" s="6"/>
      <c r="BE962" s="6"/>
      <c r="BF962" s="6"/>
      <c r="BG962" s="6"/>
    </row>
    <row r="963">
      <c r="A963" s="69"/>
      <c r="B963" s="69"/>
      <c r="C963" s="7"/>
      <c r="D963" s="41"/>
      <c r="E963" s="6"/>
      <c r="F963" s="41"/>
      <c r="G963" s="35"/>
      <c r="H963" s="35"/>
      <c r="J963" s="69"/>
      <c r="K963" s="99"/>
      <c r="L963" s="90"/>
      <c r="M963" s="69"/>
      <c r="N963" s="375"/>
      <c r="O963" s="378"/>
      <c r="P963" s="6"/>
      <c r="Q963" s="6"/>
      <c r="R963" s="13"/>
      <c r="S963" s="35"/>
      <c r="T963" s="35"/>
      <c r="U963" s="69"/>
      <c r="V963" s="6"/>
      <c r="W963" s="6"/>
      <c r="X963" s="181"/>
      <c r="Y963" s="102"/>
      <c r="Z963" s="102"/>
      <c r="AA963" s="102"/>
      <c r="AB963" s="102"/>
      <c r="AC963" s="102"/>
      <c r="AD963" s="342"/>
      <c r="AE963" s="102"/>
      <c r="AF963" s="110"/>
      <c r="AG963" s="108"/>
      <c r="AH963" s="69"/>
      <c r="AI963" s="105"/>
      <c r="AJ963" s="98"/>
      <c r="AK963" s="110"/>
      <c r="AL963" s="98"/>
      <c r="AM963" s="69"/>
      <c r="AN963" s="13"/>
      <c r="AO963" s="13"/>
      <c r="AP963" s="13"/>
      <c r="AQ963" s="6"/>
      <c r="AR963" s="13"/>
      <c r="AS963" s="13"/>
      <c r="AT963" s="13"/>
      <c r="AU963" s="13"/>
      <c r="AV963" s="13"/>
      <c r="AW963" s="6"/>
      <c r="AX963" s="13"/>
      <c r="AY963" s="13"/>
      <c r="AZ963" s="6"/>
      <c r="BA963" s="6"/>
      <c r="BB963" s="6"/>
      <c r="BC963" s="6"/>
      <c r="BD963" s="6"/>
      <c r="BE963" s="6"/>
      <c r="BF963" s="6"/>
      <c r="BG963" s="6"/>
    </row>
    <row r="964">
      <c r="A964" s="69"/>
      <c r="B964" s="69"/>
      <c r="C964" s="7"/>
      <c r="D964" s="41"/>
      <c r="E964" s="6"/>
      <c r="F964" s="41"/>
      <c r="G964" s="35"/>
      <c r="H964" s="35"/>
      <c r="J964" s="69"/>
      <c r="K964" s="99"/>
      <c r="L964" s="90"/>
      <c r="M964" s="69"/>
      <c r="N964" s="375"/>
      <c r="O964" s="378"/>
      <c r="P964" s="13"/>
      <c r="Q964" s="13"/>
      <c r="R964" s="13"/>
      <c r="S964" s="35"/>
      <c r="T964" s="35"/>
      <c r="U964" s="69"/>
      <c r="V964" s="6"/>
      <c r="W964" s="6"/>
      <c r="X964" s="181"/>
      <c r="Y964" s="102"/>
      <c r="Z964" s="102"/>
      <c r="AA964" s="102"/>
      <c r="AB964" s="102"/>
      <c r="AC964" s="102"/>
      <c r="AD964" s="342"/>
      <c r="AE964" s="102"/>
      <c r="AF964" s="110"/>
      <c r="AG964" s="199"/>
      <c r="AH964" s="69"/>
      <c r="AI964" s="105"/>
      <c r="AJ964" s="98"/>
      <c r="AK964" s="110"/>
      <c r="AL964" s="98"/>
      <c r="AM964" s="69"/>
      <c r="AN964" s="13"/>
      <c r="AO964" s="13"/>
      <c r="AP964" s="13"/>
      <c r="AQ964" s="13"/>
      <c r="AR964" s="13"/>
      <c r="AS964" s="13"/>
      <c r="AT964" s="13"/>
      <c r="AU964" s="13"/>
      <c r="AV964" s="13"/>
      <c r="AW964" s="6"/>
      <c r="AX964" s="13"/>
      <c r="AY964" s="13"/>
      <c r="AZ964" s="6"/>
      <c r="BA964" s="6"/>
      <c r="BB964" s="6"/>
      <c r="BC964" s="6"/>
      <c r="BD964" s="6"/>
      <c r="BE964" s="6"/>
      <c r="BF964" s="6"/>
      <c r="BG964" s="6"/>
    </row>
    <row r="965">
      <c r="A965" s="69"/>
      <c r="B965" s="69"/>
      <c r="C965" s="7"/>
      <c r="D965" s="41"/>
      <c r="E965" s="6"/>
      <c r="F965" s="41"/>
      <c r="G965" s="35"/>
      <c r="H965" s="35"/>
      <c r="J965" s="69"/>
      <c r="K965" s="99"/>
      <c r="L965" s="90"/>
      <c r="M965" s="69"/>
      <c r="N965" s="375"/>
      <c r="O965" s="378"/>
      <c r="P965" s="13"/>
      <c r="Q965" s="13"/>
      <c r="R965" s="13"/>
      <c r="S965" s="35"/>
      <c r="T965" s="35"/>
      <c r="U965" s="69"/>
      <c r="V965" s="6"/>
      <c r="W965" s="6"/>
      <c r="X965" s="181"/>
      <c r="Y965" s="102"/>
      <c r="Z965" s="102"/>
      <c r="AA965" s="102"/>
      <c r="AB965" s="102"/>
      <c r="AC965" s="102"/>
      <c r="AD965" s="342"/>
      <c r="AE965" s="102"/>
      <c r="AF965" s="110"/>
      <c r="AG965" s="108"/>
      <c r="AH965" s="69"/>
      <c r="AI965" s="105"/>
      <c r="AJ965" s="98"/>
      <c r="AK965" s="110"/>
      <c r="AL965" s="98"/>
      <c r="AM965" s="69"/>
      <c r="AN965" s="13"/>
      <c r="AO965" s="13"/>
      <c r="AP965" s="13"/>
      <c r="AQ965" s="13"/>
      <c r="AR965" s="13"/>
      <c r="AS965" s="13"/>
      <c r="AT965" s="13"/>
      <c r="AU965" s="13"/>
      <c r="AV965" s="13"/>
      <c r="AW965" s="6"/>
      <c r="AX965" s="13"/>
      <c r="AY965" s="13"/>
      <c r="AZ965" s="6"/>
      <c r="BA965" s="6"/>
      <c r="BB965" s="6"/>
      <c r="BC965" s="6"/>
      <c r="BD965" s="6"/>
      <c r="BE965" s="6"/>
      <c r="BF965" s="6"/>
      <c r="BG965" s="6"/>
    </row>
    <row r="966">
      <c r="A966" s="69"/>
      <c r="B966" s="69"/>
      <c r="C966" s="7"/>
      <c r="D966" s="41"/>
      <c r="E966" s="6"/>
      <c r="F966" s="41"/>
      <c r="G966" s="35"/>
      <c r="H966" s="35"/>
      <c r="J966" s="69"/>
      <c r="K966" s="99"/>
      <c r="L966" s="90"/>
      <c r="M966" s="69"/>
      <c r="N966" s="375"/>
      <c r="O966" s="378"/>
      <c r="P966" s="13"/>
      <c r="Q966" s="13"/>
      <c r="R966" s="13"/>
      <c r="S966" s="35"/>
      <c r="T966" s="35"/>
      <c r="U966" s="69"/>
      <c r="V966" s="6"/>
      <c r="W966" s="6"/>
      <c r="X966" s="181"/>
      <c r="Y966" s="102"/>
      <c r="Z966" s="102"/>
      <c r="AA966" s="102"/>
      <c r="AB966" s="102"/>
      <c r="AC966" s="102"/>
      <c r="AD966" s="342"/>
      <c r="AE966" s="102"/>
      <c r="AF966" s="110"/>
      <c r="AG966" s="108"/>
      <c r="AH966" s="69"/>
      <c r="AI966" s="105"/>
      <c r="AJ966" s="98"/>
      <c r="AK966" s="110"/>
      <c r="AL966" s="98"/>
      <c r="AM966" s="69"/>
      <c r="AN966" s="13"/>
      <c r="AO966" s="13"/>
      <c r="AP966" s="13"/>
      <c r="AQ966" s="13"/>
      <c r="AR966" s="13"/>
      <c r="AS966" s="13"/>
      <c r="AT966" s="13"/>
      <c r="AU966" s="13"/>
      <c r="AV966" s="13"/>
      <c r="AW966" s="6"/>
      <c r="AX966" s="13"/>
      <c r="AY966" s="13"/>
      <c r="AZ966" s="6"/>
      <c r="BA966" s="6"/>
      <c r="BB966" s="6"/>
      <c r="BC966" s="6"/>
      <c r="BD966" s="6"/>
      <c r="BE966" s="6"/>
      <c r="BF966" s="6"/>
      <c r="BG966" s="6"/>
    </row>
    <row r="967">
      <c r="A967" s="69"/>
      <c r="B967" s="69"/>
      <c r="C967" s="7"/>
      <c r="D967" s="41"/>
      <c r="E967" s="6"/>
      <c r="F967" s="41"/>
      <c r="G967" s="35"/>
      <c r="H967" s="35"/>
      <c r="J967" s="69"/>
      <c r="K967" s="99"/>
      <c r="L967" s="90"/>
      <c r="M967" s="69"/>
      <c r="N967" s="375"/>
      <c r="O967" s="378"/>
      <c r="P967" s="13"/>
      <c r="Q967" s="13"/>
      <c r="R967" s="13"/>
      <c r="S967" s="35"/>
      <c r="T967" s="35"/>
      <c r="U967" s="69"/>
      <c r="V967" s="6"/>
      <c r="W967" s="6"/>
      <c r="X967" s="181"/>
      <c r="Y967" s="102"/>
      <c r="Z967" s="102"/>
      <c r="AA967" s="102"/>
      <c r="AB967" s="102"/>
      <c r="AC967" s="102"/>
      <c r="AD967" s="342"/>
      <c r="AE967" s="102"/>
      <c r="AF967" s="110"/>
      <c r="AG967" s="108"/>
      <c r="AH967" s="69"/>
      <c r="AI967" s="105"/>
      <c r="AJ967" s="98"/>
      <c r="AK967" s="110"/>
      <c r="AL967" s="98"/>
      <c r="AM967" s="69"/>
      <c r="AN967" s="13"/>
      <c r="AO967" s="13"/>
      <c r="AP967" s="13"/>
      <c r="AQ967" s="13"/>
      <c r="AR967" s="13"/>
      <c r="AS967" s="13"/>
      <c r="AT967" s="13"/>
      <c r="AU967" s="13"/>
      <c r="AV967" s="13"/>
      <c r="AW967" s="6"/>
      <c r="AX967" s="13"/>
      <c r="AY967" s="13"/>
      <c r="AZ967" s="6"/>
      <c r="BA967" s="6"/>
      <c r="BB967" s="6"/>
      <c r="BC967" s="6"/>
      <c r="BD967" s="6"/>
      <c r="BE967" s="6"/>
      <c r="BF967" s="6"/>
      <c r="BG967" s="6"/>
    </row>
    <row r="968">
      <c r="A968" s="69"/>
      <c r="B968" s="69"/>
      <c r="C968" s="7"/>
      <c r="D968" s="41"/>
      <c r="E968" s="6"/>
      <c r="F968" s="41"/>
      <c r="G968" s="35"/>
      <c r="H968" s="35"/>
      <c r="J968" s="69"/>
      <c r="K968" s="99"/>
      <c r="L968" s="90"/>
      <c r="M968" s="69"/>
      <c r="N968" s="375"/>
      <c r="O968" s="378"/>
      <c r="P968" s="13"/>
      <c r="Q968" s="13"/>
      <c r="R968" s="13"/>
      <c r="S968" s="35"/>
      <c r="T968" s="35"/>
      <c r="U968" s="69"/>
      <c r="V968" s="6"/>
      <c r="W968" s="6"/>
      <c r="X968" s="181"/>
      <c r="Y968" s="102"/>
      <c r="Z968" s="102"/>
      <c r="AA968" s="102"/>
      <c r="AB968" s="102"/>
      <c r="AC968" s="102"/>
      <c r="AD968" s="342"/>
      <c r="AE968" s="102"/>
      <c r="AF968" s="110"/>
      <c r="AG968" s="108"/>
      <c r="AH968" s="69"/>
      <c r="AI968" s="105"/>
      <c r="AJ968" s="98"/>
      <c r="AK968" s="110"/>
      <c r="AL968" s="98"/>
      <c r="AM968" s="69"/>
      <c r="AN968" s="13"/>
      <c r="AO968" s="13"/>
      <c r="AP968" s="13"/>
      <c r="AQ968" s="13"/>
      <c r="AR968" s="13"/>
      <c r="AS968" s="13"/>
      <c r="AT968" s="13"/>
      <c r="AU968" s="13"/>
      <c r="AV968" s="13"/>
      <c r="AW968" s="6"/>
      <c r="AX968" s="13"/>
      <c r="AY968" s="13"/>
      <c r="AZ968" s="6"/>
      <c r="BA968" s="6"/>
      <c r="BB968" s="6"/>
      <c r="BC968" s="6"/>
      <c r="BD968" s="6"/>
      <c r="BE968" s="6"/>
      <c r="BF968" s="6"/>
      <c r="BG968" s="6"/>
    </row>
    <row r="969">
      <c r="A969" s="69"/>
      <c r="B969" s="69"/>
      <c r="C969" s="7"/>
      <c r="D969" s="41"/>
      <c r="E969" s="6"/>
      <c r="F969" s="41"/>
      <c r="G969" s="35"/>
      <c r="H969" s="35"/>
      <c r="J969" s="69"/>
      <c r="K969" s="99"/>
      <c r="L969" s="90"/>
      <c r="M969" s="69"/>
      <c r="N969" s="375"/>
      <c r="O969" s="378"/>
      <c r="P969" s="13"/>
      <c r="Q969" s="13"/>
      <c r="R969" s="13"/>
      <c r="S969" s="35"/>
      <c r="T969" s="35"/>
      <c r="U969" s="69"/>
      <c r="V969" s="6"/>
      <c r="W969" s="6"/>
      <c r="X969" s="181"/>
      <c r="Y969" s="102"/>
      <c r="Z969" s="102"/>
      <c r="AA969" s="102"/>
      <c r="AB969" s="102"/>
      <c r="AC969" s="102"/>
      <c r="AD969" s="342"/>
      <c r="AE969" s="102"/>
      <c r="AF969" s="110"/>
      <c r="AG969" s="108"/>
      <c r="AH969" s="69"/>
      <c r="AI969" s="105"/>
      <c r="AJ969" s="98"/>
      <c r="AK969" s="110"/>
      <c r="AL969" s="98"/>
      <c r="AM969" s="69"/>
      <c r="AN969" s="13"/>
      <c r="AO969" s="13"/>
      <c r="AP969" s="13"/>
      <c r="AQ969" s="13"/>
      <c r="AR969" s="13"/>
      <c r="AS969" s="13"/>
      <c r="AT969" s="13"/>
      <c r="AU969" s="13"/>
      <c r="AV969" s="13"/>
      <c r="AW969" s="6"/>
      <c r="AX969" s="13"/>
      <c r="AY969" s="13"/>
      <c r="AZ969" s="6"/>
      <c r="BA969" s="6"/>
      <c r="BB969" s="6"/>
      <c r="BC969" s="6"/>
      <c r="BD969" s="6"/>
      <c r="BE969" s="6"/>
      <c r="BF969" s="6"/>
      <c r="BG969" s="6"/>
    </row>
    <row r="970">
      <c r="A970" s="69"/>
      <c r="B970" s="69"/>
      <c r="C970" s="7"/>
      <c r="D970" s="41"/>
      <c r="E970" s="6"/>
      <c r="F970" s="41"/>
      <c r="G970" s="35"/>
      <c r="H970" s="35"/>
      <c r="J970" s="69"/>
      <c r="K970" s="99"/>
      <c r="L970" s="90"/>
      <c r="M970" s="69"/>
      <c r="N970" s="375"/>
      <c r="O970" s="378"/>
      <c r="P970" s="13"/>
      <c r="Q970" s="13"/>
      <c r="R970" s="13"/>
      <c r="S970" s="35"/>
      <c r="T970" s="35"/>
      <c r="U970" s="69"/>
      <c r="V970" s="6"/>
      <c r="W970" s="6"/>
      <c r="X970" s="181"/>
      <c r="Y970" s="102"/>
      <c r="Z970" s="102"/>
      <c r="AA970" s="102"/>
      <c r="AB970" s="102"/>
      <c r="AC970" s="102"/>
      <c r="AD970" s="342"/>
      <c r="AE970" s="102"/>
      <c r="AF970" s="110"/>
      <c r="AG970" s="108"/>
      <c r="AH970" s="69"/>
      <c r="AI970" s="105"/>
      <c r="AJ970" s="98"/>
      <c r="AK970" s="110"/>
      <c r="AL970" s="98"/>
      <c r="AM970" s="69"/>
      <c r="AN970" s="13"/>
      <c r="AO970" s="13"/>
      <c r="AP970" s="13"/>
      <c r="AQ970" s="13"/>
      <c r="AR970" s="13"/>
      <c r="AS970" s="13"/>
      <c r="AT970" s="13"/>
      <c r="AU970" s="13"/>
      <c r="AV970" s="13"/>
      <c r="AW970" s="6"/>
      <c r="AX970" s="13"/>
      <c r="AY970" s="13"/>
      <c r="AZ970" s="6"/>
      <c r="BA970" s="6"/>
      <c r="BB970" s="6"/>
      <c r="BC970" s="6"/>
      <c r="BD970" s="6"/>
      <c r="BE970" s="6"/>
      <c r="BF970" s="6"/>
      <c r="BG970" s="6"/>
    </row>
    <row r="971">
      <c r="A971" s="69"/>
      <c r="B971" s="69"/>
      <c r="C971" s="7"/>
      <c r="D971" s="41"/>
      <c r="E971" s="6"/>
      <c r="F971" s="41"/>
      <c r="G971" s="35"/>
      <c r="H971" s="35"/>
      <c r="J971" s="69"/>
      <c r="K971" s="99"/>
      <c r="L971" s="90"/>
      <c r="M971" s="69"/>
      <c r="N971" s="375"/>
      <c r="O971" s="378"/>
      <c r="P971" s="13"/>
      <c r="Q971" s="13"/>
      <c r="R971" s="13"/>
      <c r="S971" s="35"/>
      <c r="T971" s="35"/>
      <c r="U971" s="69"/>
      <c r="V971" s="6"/>
      <c r="W971" s="6"/>
      <c r="X971" s="181"/>
      <c r="Y971" s="102"/>
      <c r="Z971" s="102"/>
      <c r="AA971" s="102"/>
      <c r="AB971" s="102"/>
      <c r="AC971" s="102"/>
      <c r="AD971" s="342"/>
      <c r="AE971" s="102"/>
      <c r="AF971" s="110"/>
      <c r="AG971" s="108"/>
      <c r="AH971" s="69"/>
      <c r="AI971" s="105"/>
      <c r="AJ971" s="98"/>
      <c r="AK971" s="110"/>
      <c r="AL971" s="98"/>
      <c r="AM971" s="69"/>
      <c r="AN971" s="13"/>
      <c r="AO971" s="13"/>
      <c r="AP971" s="13"/>
      <c r="AQ971" s="6"/>
      <c r="AR971" s="13"/>
      <c r="AS971" s="13"/>
      <c r="AT971" s="13"/>
      <c r="AU971" s="13"/>
      <c r="AV971" s="13"/>
      <c r="AW971" s="6"/>
      <c r="AX971" s="13"/>
      <c r="AY971" s="13"/>
      <c r="AZ971" s="6"/>
      <c r="BA971" s="6"/>
      <c r="BB971" s="6"/>
      <c r="BC971" s="6"/>
      <c r="BD971" s="6"/>
      <c r="BE971" s="6"/>
      <c r="BF971" s="6"/>
      <c r="BG971" s="6"/>
    </row>
    <row r="972">
      <c r="A972" s="69"/>
      <c r="B972" s="69"/>
      <c r="C972" s="7"/>
      <c r="D972" s="41"/>
      <c r="E972" s="6"/>
      <c r="F972" s="41"/>
      <c r="G972" s="35"/>
      <c r="H972" s="35"/>
      <c r="J972" s="69"/>
      <c r="K972" s="99"/>
      <c r="L972" s="90"/>
      <c r="M972" s="69"/>
      <c r="N972" s="375"/>
      <c r="O972" s="378"/>
      <c r="P972" s="13"/>
      <c r="Q972" s="13"/>
      <c r="R972" s="13"/>
      <c r="S972" s="35"/>
      <c r="T972" s="35"/>
      <c r="U972" s="69"/>
      <c r="V972" s="6"/>
      <c r="W972" s="6"/>
      <c r="X972" s="181"/>
      <c r="Y972" s="102"/>
      <c r="Z972" s="102"/>
      <c r="AA972" s="102"/>
      <c r="AB972" s="102"/>
      <c r="AC972" s="102"/>
      <c r="AD972" s="342"/>
      <c r="AE972" s="102"/>
      <c r="AF972" s="110"/>
      <c r="AG972" s="108"/>
      <c r="AH972" s="69"/>
      <c r="AI972" s="105"/>
      <c r="AJ972" s="98"/>
      <c r="AK972" s="110"/>
      <c r="AL972" s="98"/>
      <c r="AM972" s="69"/>
      <c r="AN972" s="13"/>
      <c r="AO972" s="13"/>
      <c r="AP972" s="13"/>
      <c r="AQ972" s="6"/>
      <c r="AR972" s="13"/>
      <c r="AS972" s="13"/>
      <c r="AT972" s="13"/>
      <c r="AU972" s="13"/>
      <c r="AV972" s="13"/>
      <c r="AW972" s="6"/>
      <c r="AX972" s="13"/>
      <c r="AY972" s="13"/>
      <c r="AZ972" s="6"/>
      <c r="BA972" s="6"/>
      <c r="BB972" s="6"/>
      <c r="BC972" s="6"/>
      <c r="BD972" s="6"/>
      <c r="BE972" s="6"/>
      <c r="BF972" s="6"/>
      <c r="BG972" s="6"/>
    </row>
    <row r="973">
      <c r="A973" s="69"/>
      <c r="B973" s="69"/>
      <c r="C973" s="7"/>
      <c r="D973" s="41"/>
      <c r="E973" s="6"/>
      <c r="F973" s="41"/>
      <c r="G973" s="35"/>
      <c r="H973" s="35"/>
      <c r="J973" s="69"/>
      <c r="K973" s="99"/>
      <c r="L973" s="90"/>
      <c r="M973" s="69"/>
      <c r="N973" s="375"/>
      <c r="O973" s="378"/>
      <c r="P973" s="13"/>
      <c r="Q973" s="13"/>
      <c r="R973" s="13"/>
      <c r="S973" s="35"/>
      <c r="T973" s="35"/>
      <c r="U973" s="69"/>
      <c r="V973" s="6"/>
      <c r="W973" s="6"/>
      <c r="X973" s="181"/>
      <c r="Y973" s="102"/>
      <c r="Z973" s="102"/>
      <c r="AA973" s="102"/>
      <c r="AB973" s="102"/>
      <c r="AC973" s="102"/>
      <c r="AD973" s="342"/>
      <c r="AE973" s="102"/>
      <c r="AF973" s="110"/>
      <c r="AG973" s="108"/>
      <c r="AH973" s="69"/>
      <c r="AI973" s="105"/>
      <c r="AJ973" s="98"/>
      <c r="AK973" s="110"/>
      <c r="AL973" s="98"/>
      <c r="AM973" s="69"/>
      <c r="AN973" s="13"/>
      <c r="AO973" s="13"/>
      <c r="AP973" s="13"/>
      <c r="AQ973" s="6"/>
      <c r="AR973" s="13"/>
      <c r="AS973" s="13"/>
      <c r="AT973" s="13"/>
      <c r="AU973" s="13"/>
      <c r="AV973" s="13"/>
      <c r="AW973" s="6"/>
      <c r="AX973" s="13"/>
      <c r="AY973" s="13"/>
      <c r="AZ973" s="6"/>
      <c r="BA973" s="6"/>
      <c r="BB973" s="6"/>
      <c r="BC973" s="6"/>
      <c r="BD973" s="6"/>
      <c r="BE973" s="6"/>
      <c r="BF973" s="6"/>
      <c r="BG973" s="6"/>
    </row>
    <row r="974">
      <c r="A974" s="69"/>
      <c r="B974" s="69"/>
      <c r="C974" s="7"/>
      <c r="D974" s="41"/>
      <c r="E974" s="6"/>
      <c r="F974" s="41"/>
      <c r="G974" s="35"/>
      <c r="H974" s="35"/>
      <c r="J974" s="69"/>
      <c r="K974" s="99"/>
      <c r="L974" s="90"/>
      <c r="M974" s="69"/>
      <c r="N974" s="375"/>
      <c r="O974" s="378"/>
      <c r="P974" s="13"/>
      <c r="Q974" s="13"/>
      <c r="R974" s="13"/>
      <c r="S974" s="35"/>
      <c r="T974" s="35"/>
      <c r="U974" s="69"/>
      <c r="V974" s="6"/>
      <c r="W974" s="6"/>
      <c r="X974" s="181"/>
      <c r="Y974" s="102"/>
      <c r="Z974" s="102"/>
      <c r="AA974" s="102"/>
      <c r="AB974" s="102"/>
      <c r="AC974" s="102"/>
      <c r="AD974" s="342"/>
      <c r="AE974" s="102"/>
      <c r="AF974" s="110"/>
      <c r="AG974" s="108"/>
      <c r="AH974" s="69"/>
      <c r="AI974" s="105"/>
      <c r="AJ974" s="98"/>
      <c r="AK974" s="110"/>
      <c r="AL974" s="98"/>
      <c r="AM974" s="69"/>
      <c r="AN974" s="13"/>
      <c r="AO974" s="13"/>
      <c r="AP974" s="13"/>
      <c r="AQ974" s="13"/>
      <c r="AR974" s="13"/>
      <c r="AS974" s="13"/>
      <c r="AT974" s="13"/>
      <c r="AU974" s="13"/>
      <c r="AV974" s="13"/>
      <c r="AW974" s="6"/>
      <c r="AX974" s="13"/>
      <c r="AY974" s="13"/>
      <c r="AZ974" s="6"/>
      <c r="BA974" s="6"/>
      <c r="BB974" s="6"/>
      <c r="BC974" s="6"/>
      <c r="BD974" s="6"/>
      <c r="BE974" s="6"/>
      <c r="BF974" s="6"/>
      <c r="BG974" s="6"/>
    </row>
    <row r="975">
      <c r="A975" s="69"/>
      <c r="B975" s="69"/>
      <c r="C975" s="7"/>
      <c r="D975" s="41"/>
      <c r="E975" s="6"/>
      <c r="F975" s="41"/>
      <c r="G975" s="35"/>
      <c r="H975" s="35"/>
      <c r="J975" s="69"/>
      <c r="K975" s="99"/>
      <c r="L975" s="90"/>
      <c r="M975" s="69"/>
      <c r="N975" s="375"/>
      <c r="O975" s="378"/>
      <c r="P975" s="13"/>
      <c r="Q975" s="13"/>
      <c r="R975" s="13"/>
      <c r="S975" s="35"/>
      <c r="T975" s="35"/>
      <c r="U975" s="69"/>
      <c r="V975" s="6"/>
      <c r="W975" s="6"/>
      <c r="X975" s="181"/>
      <c r="Y975" s="102"/>
      <c r="Z975" s="102"/>
      <c r="AA975" s="102"/>
      <c r="AB975" s="102"/>
      <c r="AC975" s="102"/>
      <c r="AD975" s="342"/>
      <c r="AE975" s="102"/>
      <c r="AF975" s="110"/>
      <c r="AG975" s="108"/>
      <c r="AH975" s="69"/>
      <c r="AI975" s="105"/>
      <c r="AJ975" s="98"/>
      <c r="AK975" s="110"/>
      <c r="AL975" s="98"/>
      <c r="AM975" s="69"/>
      <c r="AN975" s="13"/>
      <c r="AO975" s="13"/>
      <c r="AP975" s="13"/>
      <c r="AQ975" s="13"/>
      <c r="AR975" s="13"/>
      <c r="AS975" s="13"/>
      <c r="AT975" s="13"/>
      <c r="AU975" s="13"/>
      <c r="AV975" s="13"/>
      <c r="AW975" s="6"/>
      <c r="AX975" s="13"/>
      <c r="AY975" s="13"/>
      <c r="AZ975" s="6"/>
      <c r="BA975" s="6"/>
      <c r="BB975" s="6"/>
      <c r="BC975" s="6"/>
      <c r="BD975" s="6"/>
      <c r="BE975" s="6"/>
      <c r="BF975" s="6"/>
      <c r="BG975" s="6"/>
    </row>
    <row r="976">
      <c r="A976" s="69"/>
      <c r="B976" s="69"/>
      <c r="C976" s="7"/>
      <c r="D976" s="41"/>
      <c r="E976" s="6"/>
      <c r="F976" s="41"/>
      <c r="G976" s="35"/>
      <c r="H976" s="35"/>
      <c r="J976" s="69"/>
      <c r="K976" s="99"/>
      <c r="L976" s="90"/>
      <c r="M976" s="69"/>
      <c r="N976" s="375"/>
      <c r="O976" s="378"/>
      <c r="P976" s="6"/>
      <c r="Q976" s="6"/>
      <c r="R976" s="13"/>
      <c r="S976" s="35"/>
      <c r="T976" s="35"/>
      <c r="U976" s="69"/>
      <c r="V976" s="6"/>
      <c r="W976" s="6"/>
      <c r="X976" s="181"/>
      <c r="Y976" s="102"/>
      <c r="Z976" s="102"/>
      <c r="AA976" s="102"/>
      <c r="AB976" s="102"/>
      <c r="AC976" s="102"/>
      <c r="AD976" s="342"/>
      <c r="AE976" s="102"/>
      <c r="AF976" s="110"/>
      <c r="AG976" s="108"/>
      <c r="AH976" s="69"/>
      <c r="AI976" s="105"/>
      <c r="AJ976" s="98"/>
      <c r="AK976" s="110"/>
      <c r="AL976" s="98"/>
      <c r="AM976" s="69"/>
      <c r="AN976" s="13"/>
      <c r="AO976" s="13"/>
      <c r="AP976" s="13"/>
      <c r="AQ976" s="6"/>
      <c r="AR976" s="6"/>
      <c r="AS976" s="6"/>
      <c r="AT976" s="6"/>
      <c r="AU976" s="6"/>
      <c r="AV976" s="6"/>
      <c r="AW976" s="6"/>
      <c r="AX976" s="13"/>
      <c r="AY976" s="13"/>
      <c r="AZ976" s="6"/>
      <c r="BA976" s="6"/>
      <c r="BB976" s="6"/>
      <c r="BC976" s="6"/>
      <c r="BD976" s="6"/>
      <c r="BE976" s="6"/>
      <c r="BF976" s="6"/>
      <c r="BG976" s="6"/>
    </row>
    <row r="977">
      <c r="A977" s="69"/>
      <c r="B977" s="69"/>
      <c r="C977" s="7"/>
      <c r="D977" s="41"/>
      <c r="E977" s="6"/>
      <c r="F977" s="41"/>
      <c r="G977" s="35"/>
      <c r="H977" s="35"/>
      <c r="J977" s="69"/>
      <c r="K977" s="99"/>
      <c r="L977" s="90"/>
      <c r="M977" s="69"/>
      <c r="N977" s="375"/>
      <c r="O977" s="378"/>
      <c r="P977" s="13"/>
      <c r="Q977" s="13"/>
      <c r="R977" s="13"/>
      <c r="S977" s="35"/>
      <c r="T977" s="35"/>
      <c r="U977" s="69"/>
      <c r="V977" s="6"/>
      <c r="W977" s="6"/>
      <c r="X977" s="181"/>
      <c r="Y977" s="102"/>
      <c r="Z977" s="102"/>
      <c r="AA977" s="102"/>
      <c r="AB977" s="102"/>
      <c r="AC977" s="102"/>
      <c r="AD977" s="342"/>
      <c r="AE977" s="102"/>
      <c r="AF977" s="110"/>
      <c r="AG977" s="108"/>
      <c r="AH977" s="69"/>
      <c r="AI977" s="104"/>
      <c r="AJ977" s="35"/>
      <c r="AK977" s="110"/>
      <c r="AL977" s="35"/>
      <c r="AM977" s="69"/>
      <c r="AN977" s="13"/>
      <c r="AO977" s="13"/>
      <c r="AP977" s="13"/>
      <c r="AQ977" s="6"/>
      <c r="AR977" s="13"/>
      <c r="AS977" s="13"/>
      <c r="AT977" s="13"/>
      <c r="AU977" s="13"/>
      <c r="AV977" s="13"/>
      <c r="AW977" s="6"/>
      <c r="AX977" s="13"/>
      <c r="AY977" s="13"/>
      <c r="AZ977" s="6"/>
      <c r="BA977" s="6"/>
      <c r="BB977" s="6"/>
      <c r="BC977" s="6"/>
      <c r="BD977" s="6"/>
      <c r="BE977" s="6"/>
      <c r="BF977" s="6"/>
      <c r="BG977" s="6"/>
    </row>
    <row r="978">
      <c r="A978" s="69"/>
      <c r="B978" s="69"/>
      <c r="C978" s="7"/>
      <c r="D978" s="41"/>
      <c r="E978" s="6"/>
      <c r="F978" s="41"/>
      <c r="G978" s="35"/>
      <c r="H978" s="35"/>
      <c r="J978" s="69"/>
      <c r="K978" s="99"/>
      <c r="L978" s="90"/>
      <c r="M978" s="69"/>
      <c r="N978" s="375"/>
      <c r="O978" s="378"/>
      <c r="P978" s="13"/>
      <c r="Q978" s="13"/>
      <c r="R978" s="13"/>
      <c r="S978" s="35"/>
      <c r="T978" s="35"/>
      <c r="U978" s="69"/>
      <c r="V978" s="6"/>
      <c r="W978" s="6"/>
      <c r="X978" s="181"/>
      <c r="Y978" s="102"/>
      <c r="Z978" s="102"/>
      <c r="AA978" s="102"/>
      <c r="AB978" s="102"/>
      <c r="AC978" s="102"/>
      <c r="AD978" s="342"/>
      <c r="AE978" s="102"/>
      <c r="AF978" s="110"/>
      <c r="AG978" s="108"/>
      <c r="AH978" s="69"/>
      <c r="AI978" s="104"/>
      <c r="AJ978" s="35"/>
      <c r="AK978" s="110"/>
      <c r="AL978" s="35"/>
      <c r="AM978" s="69"/>
      <c r="AN978" s="13"/>
      <c r="AO978" s="13"/>
      <c r="AP978" s="13"/>
      <c r="AQ978" s="13"/>
      <c r="AR978" s="13"/>
      <c r="AS978" s="13"/>
      <c r="AT978" s="13"/>
      <c r="AU978" s="13"/>
      <c r="AV978" s="13"/>
      <c r="AW978" s="6"/>
      <c r="AX978" s="13"/>
      <c r="AY978" s="13"/>
      <c r="AZ978" s="6"/>
      <c r="BA978" s="6"/>
      <c r="BB978" s="6"/>
      <c r="BC978" s="6"/>
      <c r="BD978" s="6"/>
      <c r="BE978" s="6"/>
      <c r="BF978" s="6"/>
      <c r="BG978" s="6"/>
    </row>
    <row r="979">
      <c r="A979" s="69"/>
      <c r="B979" s="69"/>
      <c r="C979" s="7"/>
      <c r="D979" s="41"/>
      <c r="E979" s="6"/>
      <c r="F979" s="41"/>
      <c r="G979" s="35"/>
      <c r="H979" s="35"/>
      <c r="J979" s="69"/>
      <c r="K979" s="99"/>
      <c r="L979" s="90"/>
      <c r="M979" s="69"/>
      <c r="N979" s="380"/>
      <c r="O979" s="378"/>
      <c r="P979" s="13"/>
      <c r="Q979" s="13"/>
      <c r="R979" s="13"/>
      <c r="S979" s="35"/>
      <c r="T979" s="35"/>
      <c r="U979" s="69"/>
      <c r="V979" s="6"/>
      <c r="W979" s="6"/>
      <c r="X979" s="181"/>
      <c r="Y979" s="102"/>
      <c r="Z979" s="102"/>
      <c r="AA979" s="102"/>
      <c r="AB979" s="102"/>
      <c r="AC979" s="102"/>
      <c r="AD979" s="342"/>
      <c r="AE979" s="102"/>
      <c r="AF979" s="110"/>
      <c r="AG979" s="108"/>
      <c r="AH979" s="69"/>
      <c r="AI979" s="104"/>
      <c r="AJ979" s="35"/>
      <c r="AK979" s="110"/>
      <c r="AL979" s="35"/>
      <c r="AM979" s="69"/>
      <c r="AN979" s="13"/>
      <c r="AO979" s="13"/>
      <c r="AP979" s="13"/>
      <c r="AQ979" s="6"/>
      <c r="AR979" s="13"/>
      <c r="AS979" s="13"/>
      <c r="AT979" s="13"/>
      <c r="AU979" s="13"/>
      <c r="AV979" s="13"/>
      <c r="AW979" s="6"/>
      <c r="AX979" s="13"/>
      <c r="AY979" s="13"/>
      <c r="AZ979" s="6"/>
      <c r="BA979" s="6"/>
      <c r="BB979" s="6"/>
      <c r="BC979" s="6"/>
      <c r="BD979" s="6"/>
      <c r="BE979" s="6"/>
      <c r="BF979" s="6"/>
      <c r="BG979" s="6"/>
    </row>
    <row r="980">
      <c r="A980" s="69"/>
      <c r="B980" s="69"/>
      <c r="C980" s="7"/>
      <c r="D980" s="41"/>
      <c r="E980" s="6"/>
      <c r="F980" s="41"/>
      <c r="G980" s="35"/>
      <c r="H980" s="35"/>
      <c r="J980" s="69"/>
      <c r="K980" s="99"/>
      <c r="L980" s="90"/>
      <c r="M980" s="69"/>
      <c r="N980" s="375"/>
      <c r="O980" s="378"/>
      <c r="P980" s="13"/>
      <c r="Q980" s="13"/>
      <c r="R980" s="13"/>
      <c r="S980" s="35"/>
      <c r="T980" s="35"/>
      <c r="U980" s="69"/>
      <c r="V980" s="6"/>
      <c r="W980" s="6"/>
      <c r="X980" s="181"/>
      <c r="Y980" s="102"/>
      <c r="Z980" s="102"/>
      <c r="AA980" s="102"/>
      <c r="AB980" s="102"/>
      <c r="AC980" s="102"/>
      <c r="AD980" s="342"/>
      <c r="AE980" s="102"/>
      <c r="AF980" s="110"/>
      <c r="AG980" s="108"/>
      <c r="AH980" s="69"/>
      <c r="AI980" s="104"/>
      <c r="AJ980" s="35"/>
      <c r="AK980" s="110"/>
      <c r="AL980" s="35"/>
      <c r="AM980" s="69"/>
      <c r="AN980" s="13"/>
      <c r="AO980" s="13"/>
      <c r="AP980" s="13"/>
      <c r="AQ980" s="6"/>
      <c r="AR980" s="13"/>
      <c r="AS980" s="13"/>
      <c r="AT980" s="13"/>
      <c r="AU980" s="13"/>
      <c r="AV980" s="13"/>
      <c r="AW980" s="6"/>
      <c r="AX980" s="13"/>
      <c r="AY980" s="13"/>
      <c r="AZ980" s="6"/>
      <c r="BA980" s="6"/>
      <c r="BB980" s="6"/>
      <c r="BC980" s="6"/>
      <c r="BD980" s="6"/>
      <c r="BE980" s="6"/>
      <c r="BF980" s="6"/>
      <c r="BG980" s="6"/>
    </row>
    <row r="981">
      <c r="A981" s="69"/>
      <c r="B981" s="69"/>
      <c r="C981" s="7"/>
      <c r="D981" s="41"/>
      <c r="E981" s="6"/>
      <c r="F981" s="41"/>
      <c r="G981" s="35"/>
      <c r="H981" s="35"/>
      <c r="J981" s="69"/>
      <c r="K981" s="99"/>
      <c r="L981" s="90"/>
      <c r="M981" s="69"/>
      <c r="N981" s="375"/>
      <c r="O981" s="378"/>
      <c r="P981" s="13"/>
      <c r="Q981" s="13"/>
      <c r="R981" s="13"/>
      <c r="S981" s="35"/>
      <c r="T981" s="35"/>
      <c r="U981" s="69"/>
      <c r="V981" s="6"/>
      <c r="W981" s="6"/>
      <c r="X981" s="181"/>
      <c r="Y981" s="102"/>
      <c r="Z981" s="102"/>
      <c r="AA981" s="102"/>
      <c r="AB981" s="102"/>
      <c r="AC981" s="102"/>
      <c r="AD981" s="342"/>
      <c r="AE981" s="102"/>
      <c r="AF981" s="110"/>
      <c r="AG981" s="108"/>
      <c r="AH981" s="69"/>
      <c r="AI981" s="104"/>
      <c r="AJ981" s="35"/>
      <c r="AK981" s="110"/>
      <c r="AL981" s="35"/>
      <c r="AM981" s="69"/>
      <c r="AN981" s="13"/>
      <c r="AO981" s="13"/>
      <c r="AP981" s="13"/>
      <c r="AQ981" s="6"/>
      <c r="AR981" s="13"/>
      <c r="AS981" s="13"/>
      <c r="AT981" s="13"/>
      <c r="AU981" s="13"/>
      <c r="AV981" s="13"/>
      <c r="AW981" s="6"/>
      <c r="AX981" s="13"/>
      <c r="AY981" s="13"/>
      <c r="AZ981" s="6"/>
      <c r="BA981" s="6"/>
      <c r="BB981" s="6"/>
      <c r="BC981" s="6"/>
      <c r="BD981" s="6"/>
      <c r="BE981" s="6"/>
      <c r="BF981" s="6"/>
      <c r="BG981" s="6"/>
    </row>
    <row r="982">
      <c r="A982" s="69"/>
      <c r="B982" s="69"/>
      <c r="C982" s="7"/>
      <c r="D982" s="41"/>
      <c r="E982" s="6"/>
      <c r="F982" s="41"/>
      <c r="G982" s="35"/>
      <c r="H982" s="35"/>
      <c r="J982" s="69"/>
      <c r="K982" s="99"/>
      <c r="L982" s="90"/>
      <c r="M982" s="69"/>
      <c r="N982" s="375"/>
      <c r="O982" s="378"/>
      <c r="P982" s="13"/>
      <c r="Q982" s="13"/>
      <c r="R982" s="13"/>
      <c r="S982" s="35"/>
      <c r="T982" s="35"/>
      <c r="U982" s="69"/>
      <c r="V982" s="6"/>
      <c r="W982" s="6"/>
      <c r="X982" s="181"/>
      <c r="Y982" s="102"/>
      <c r="Z982" s="102"/>
      <c r="AA982" s="102"/>
      <c r="AB982" s="102"/>
      <c r="AC982" s="102"/>
      <c r="AD982" s="342"/>
      <c r="AE982" s="102"/>
      <c r="AF982" s="110"/>
      <c r="AG982" s="108"/>
      <c r="AH982" s="69"/>
      <c r="AI982" s="104"/>
      <c r="AJ982" s="35"/>
      <c r="AK982" s="110"/>
      <c r="AL982" s="35"/>
      <c r="AM982" s="69"/>
      <c r="AN982" s="13"/>
      <c r="AO982" s="13"/>
      <c r="AP982" s="13"/>
      <c r="AQ982" s="6"/>
      <c r="AR982" s="13"/>
      <c r="AS982" s="13"/>
      <c r="AT982" s="13"/>
      <c r="AU982" s="13"/>
      <c r="AV982" s="13"/>
      <c r="AW982" s="6"/>
      <c r="AX982" s="13"/>
      <c r="AY982" s="13"/>
      <c r="AZ982" s="6"/>
      <c r="BA982" s="6"/>
      <c r="BB982" s="6"/>
      <c r="BC982" s="6"/>
      <c r="BD982" s="6"/>
      <c r="BE982" s="6"/>
      <c r="BF982" s="6"/>
      <c r="BG982" s="6"/>
    </row>
    <row r="983">
      <c r="A983" s="69"/>
      <c r="B983" s="69"/>
      <c r="C983" s="7"/>
      <c r="D983" s="41"/>
      <c r="E983" s="6"/>
      <c r="F983" s="41"/>
      <c r="G983" s="35"/>
      <c r="H983" s="35"/>
      <c r="J983" s="69"/>
      <c r="K983" s="99"/>
      <c r="L983" s="90"/>
      <c r="M983" s="69"/>
      <c r="N983" s="380"/>
      <c r="O983" s="378"/>
      <c r="P983" s="13"/>
      <c r="Q983" s="13"/>
      <c r="R983" s="13"/>
      <c r="S983" s="35"/>
      <c r="T983" s="35"/>
      <c r="U983" s="69"/>
      <c r="V983" s="6"/>
      <c r="W983" s="6"/>
      <c r="X983" s="181"/>
      <c r="Y983" s="102"/>
      <c r="Z983" s="102"/>
      <c r="AA983" s="102"/>
      <c r="AB983" s="102"/>
      <c r="AC983" s="102"/>
      <c r="AD983" s="342"/>
      <c r="AE983" s="102"/>
      <c r="AF983" s="110"/>
      <c r="AG983" s="108"/>
      <c r="AH983" s="69"/>
      <c r="AI983" s="104"/>
      <c r="AJ983" s="35"/>
      <c r="AK983" s="110"/>
      <c r="AL983" s="35"/>
      <c r="AM983" s="69"/>
      <c r="AN983" s="13"/>
      <c r="AO983" s="13"/>
      <c r="AP983" s="13"/>
      <c r="AQ983" s="6"/>
      <c r="AR983" s="13"/>
      <c r="AS983" s="13"/>
      <c r="AT983" s="13"/>
      <c r="AU983" s="13"/>
      <c r="AV983" s="13"/>
      <c r="AW983" s="6"/>
      <c r="AX983" s="13"/>
      <c r="AY983" s="13"/>
      <c r="AZ983" s="6"/>
      <c r="BA983" s="6"/>
      <c r="BB983" s="6"/>
      <c r="BC983" s="6"/>
      <c r="BD983" s="6"/>
      <c r="BE983" s="6"/>
      <c r="BF983" s="6"/>
      <c r="BG983" s="6"/>
    </row>
    <row r="984">
      <c r="A984" s="69"/>
      <c r="B984" s="69"/>
      <c r="C984" s="7"/>
      <c r="D984" s="41"/>
      <c r="E984" s="6"/>
      <c r="F984" s="41"/>
      <c r="G984" s="35"/>
      <c r="H984" s="98"/>
      <c r="J984" s="69"/>
      <c r="K984" s="99"/>
      <c r="L984" s="90"/>
      <c r="M984" s="69"/>
      <c r="N984" s="375"/>
      <c r="O984" s="378"/>
      <c r="P984" s="13"/>
      <c r="Q984" s="13"/>
      <c r="R984" s="13"/>
      <c r="S984" s="35"/>
      <c r="T984" s="35"/>
      <c r="U984" s="69"/>
      <c r="V984" s="6"/>
      <c r="W984" s="6"/>
      <c r="X984" s="181"/>
      <c r="Y984" s="150"/>
      <c r="Z984" s="150"/>
      <c r="AA984" s="150"/>
      <c r="AB984" s="150"/>
      <c r="AC984" s="150"/>
      <c r="AD984" s="381"/>
      <c r="AE984" s="150"/>
      <c r="AF984" s="110"/>
      <c r="AG984" s="108"/>
      <c r="AH984" s="69"/>
      <c r="AI984" s="105"/>
      <c r="AJ984" s="98"/>
      <c r="AK984" s="110"/>
      <c r="AL984" s="35"/>
      <c r="AM984" s="69"/>
      <c r="AN984" s="13"/>
      <c r="AO984" s="13"/>
      <c r="AP984" s="13"/>
      <c r="AQ984" s="6"/>
      <c r="AR984" s="13"/>
      <c r="AS984" s="13"/>
      <c r="AT984" s="13"/>
      <c r="AU984" s="13"/>
      <c r="AV984" s="13"/>
      <c r="AW984" s="6"/>
      <c r="AX984" s="13"/>
      <c r="AY984" s="13"/>
      <c r="AZ984" s="6"/>
      <c r="BA984" s="6"/>
      <c r="BB984" s="6"/>
      <c r="BC984" s="6"/>
      <c r="BD984" s="6"/>
      <c r="BE984" s="6"/>
      <c r="BF984" s="6"/>
      <c r="BG984" s="6"/>
    </row>
    <row r="985">
      <c r="A985" s="69"/>
      <c r="B985" s="69"/>
      <c r="C985" s="7"/>
      <c r="D985" s="41"/>
      <c r="E985" s="6"/>
      <c r="F985" s="41"/>
      <c r="G985" s="35"/>
      <c r="H985" s="98"/>
      <c r="J985" s="69"/>
      <c r="K985" s="99"/>
      <c r="L985" s="90"/>
      <c r="M985" s="69"/>
      <c r="N985" s="375"/>
      <c r="O985" s="378"/>
      <c r="P985" s="13"/>
      <c r="Q985" s="13"/>
      <c r="R985" s="13"/>
      <c r="S985" s="35"/>
      <c r="T985" s="35"/>
      <c r="U985" s="69"/>
      <c r="V985" s="6"/>
      <c r="W985" s="6"/>
      <c r="X985" s="181"/>
      <c r="Y985" s="150"/>
      <c r="Z985" s="150"/>
      <c r="AA985" s="150"/>
      <c r="AB985" s="150"/>
      <c r="AC985" s="150"/>
      <c r="AD985" s="381"/>
      <c r="AE985" s="150"/>
      <c r="AF985" s="110"/>
      <c r="AG985" s="108"/>
      <c r="AH985" s="69"/>
      <c r="AI985" s="105"/>
      <c r="AJ985" s="98"/>
      <c r="AK985" s="110"/>
      <c r="AL985" s="98"/>
      <c r="AM985" s="69"/>
      <c r="AN985" s="13"/>
      <c r="AO985" s="13"/>
      <c r="AP985" s="13"/>
      <c r="AQ985" s="6"/>
      <c r="AR985" s="13"/>
      <c r="AS985" s="13"/>
      <c r="AT985" s="13"/>
      <c r="AU985" s="13"/>
      <c r="AV985" s="13"/>
      <c r="AW985" s="6"/>
      <c r="AX985" s="13"/>
      <c r="AY985" s="13"/>
      <c r="AZ985" s="6"/>
      <c r="BA985" s="6"/>
      <c r="BB985" s="6"/>
      <c r="BC985" s="6"/>
      <c r="BD985" s="6"/>
      <c r="BE985" s="6"/>
      <c r="BF985" s="6"/>
      <c r="BG985" s="6"/>
    </row>
    <row r="986">
      <c r="A986" s="69"/>
      <c r="B986" s="69"/>
      <c r="C986" s="7"/>
      <c r="D986" s="41"/>
      <c r="E986" s="6"/>
      <c r="F986" s="41"/>
      <c r="G986" s="35"/>
      <c r="H986" s="98"/>
      <c r="J986" s="69"/>
      <c r="K986" s="99"/>
      <c r="L986" s="90"/>
      <c r="M986" s="69"/>
      <c r="N986" s="375"/>
      <c r="O986" s="378"/>
      <c r="P986" s="13"/>
      <c r="Q986" s="13"/>
      <c r="R986" s="13"/>
      <c r="S986" s="35"/>
      <c r="T986" s="35"/>
      <c r="U986" s="69"/>
      <c r="V986" s="6"/>
      <c r="W986" s="6"/>
      <c r="X986" s="181"/>
      <c r="Y986" s="150"/>
      <c r="Z986" s="150"/>
      <c r="AA986" s="150"/>
      <c r="AB986" s="150"/>
      <c r="AC986" s="150"/>
      <c r="AD986" s="381"/>
      <c r="AE986" s="150"/>
      <c r="AF986" s="110"/>
      <c r="AG986" s="108"/>
      <c r="AH986" s="69"/>
      <c r="AI986" s="105"/>
      <c r="AJ986" s="98"/>
      <c r="AK986" s="110"/>
      <c r="AL986" s="98"/>
      <c r="AM986" s="69"/>
      <c r="AN986" s="13"/>
      <c r="AO986" s="13"/>
      <c r="AP986" s="13"/>
      <c r="AQ986" s="6"/>
      <c r="AR986" s="13"/>
      <c r="AS986" s="13"/>
      <c r="AT986" s="13"/>
      <c r="AU986" s="13"/>
      <c r="AV986" s="13"/>
      <c r="AW986" s="6"/>
      <c r="AX986" s="13"/>
      <c r="AY986" s="13"/>
      <c r="AZ986" s="6"/>
      <c r="BA986" s="6"/>
      <c r="BB986" s="6"/>
      <c r="BC986" s="6"/>
      <c r="BD986" s="6"/>
      <c r="BE986" s="6"/>
      <c r="BF986" s="6"/>
      <c r="BG986" s="6"/>
    </row>
    <row r="987">
      <c r="A987" s="69"/>
      <c r="B987" s="69"/>
      <c r="C987" s="7"/>
      <c r="D987" s="41"/>
      <c r="E987" s="6"/>
      <c r="F987" s="41"/>
      <c r="G987" s="35"/>
      <c r="H987" s="98"/>
      <c r="J987" s="69"/>
      <c r="K987" s="99"/>
      <c r="L987" s="90"/>
      <c r="M987" s="69"/>
      <c r="N987" s="375"/>
      <c r="O987" s="378"/>
      <c r="P987" s="13"/>
      <c r="Q987" s="13"/>
      <c r="R987" s="13"/>
      <c r="S987" s="35"/>
      <c r="T987" s="35"/>
      <c r="U987" s="69"/>
      <c r="V987" s="6"/>
      <c r="W987" s="6"/>
      <c r="X987" s="181"/>
      <c r="Y987" s="150"/>
      <c r="Z987" s="150"/>
      <c r="AA987" s="150"/>
      <c r="AB987" s="150"/>
      <c r="AC987" s="150"/>
      <c r="AD987" s="381"/>
      <c r="AE987" s="150"/>
      <c r="AF987" s="110"/>
      <c r="AG987" s="108"/>
      <c r="AH987" s="69"/>
      <c r="AI987" s="105"/>
      <c r="AJ987" s="98"/>
      <c r="AK987" s="110"/>
      <c r="AL987" s="98"/>
      <c r="AM987" s="69"/>
      <c r="AN987" s="13"/>
      <c r="AO987" s="13"/>
      <c r="AP987" s="13"/>
      <c r="AQ987" s="6"/>
      <c r="AR987" s="13"/>
      <c r="AS987" s="13"/>
      <c r="AT987" s="13"/>
      <c r="AU987" s="13"/>
      <c r="AV987" s="13"/>
      <c r="AW987" s="6"/>
      <c r="AX987" s="13"/>
      <c r="AY987" s="13"/>
      <c r="AZ987" s="6"/>
      <c r="BA987" s="6"/>
      <c r="BB987" s="6"/>
      <c r="BC987" s="6"/>
      <c r="BD987" s="6"/>
      <c r="BE987" s="6"/>
      <c r="BF987" s="6"/>
      <c r="BG987" s="6"/>
    </row>
    <row r="988">
      <c r="A988" s="69"/>
      <c r="B988" s="69"/>
      <c r="C988" s="7"/>
      <c r="D988" s="41"/>
      <c r="E988" s="6"/>
      <c r="F988" s="41"/>
      <c r="G988" s="35"/>
      <c r="H988" s="98"/>
      <c r="J988" s="69"/>
      <c r="K988" s="99"/>
      <c r="L988" s="90"/>
      <c r="M988" s="69"/>
      <c r="N988" s="375"/>
      <c r="O988" s="378"/>
      <c r="P988" s="13"/>
      <c r="Q988" s="13"/>
      <c r="R988" s="13"/>
      <c r="S988" s="35"/>
      <c r="T988" s="35"/>
      <c r="U988" s="69"/>
      <c r="V988" s="6"/>
      <c r="W988" s="6"/>
      <c r="X988" s="181"/>
      <c r="Y988" s="150"/>
      <c r="Z988" s="150"/>
      <c r="AA988" s="150"/>
      <c r="AB988" s="150"/>
      <c r="AC988" s="150"/>
      <c r="AD988" s="381"/>
      <c r="AE988" s="150"/>
      <c r="AF988" s="110"/>
      <c r="AG988" s="108"/>
      <c r="AH988" s="69"/>
      <c r="AI988" s="105"/>
      <c r="AJ988" s="98"/>
      <c r="AK988" s="110"/>
      <c r="AL988" s="98"/>
      <c r="AM988" s="69"/>
      <c r="AN988" s="13"/>
      <c r="AO988" s="13"/>
      <c r="AP988" s="13"/>
      <c r="AQ988" s="6"/>
      <c r="AR988" s="13"/>
      <c r="AS988" s="13"/>
      <c r="AT988" s="13"/>
      <c r="AU988" s="13"/>
      <c r="AV988" s="13"/>
      <c r="AW988" s="6"/>
      <c r="AX988" s="13"/>
      <c r="AY988" s="13"/>
      <c r="AZ988" s="6"/>
      <c r="BA988" s="6"/>
      <c r="BB988" s="6"/>
      <c r="BC988" s="6"/>
      <c r="BD988" s="6"/>
      <c r="BE988" s="6"/>
      <c r="BF988" s="6"/>
      <c r="BG988" s="6"/>
    </row>
    <row r="989">
      <c r="A989" s="69"/>
      <c r="B989" s="69"/>
      <c r="C989" s="7"/>
      <c r="D989" s="41"/>
      <c r="E989" s="6"/>
      <c r="F989" s="41"/>
      <c r="G989" s="35"/>
      <c r="H989" s="98"/>
      <c r="J989" s="69"/>
      <c r="K989" s="99"/>
      <c r="L989" s="90"/>
      <c r="M989" s="69"/>
      <c r="N989" s="375"/>
      <c r="O989" s="378"/>
      <c r="P989" s="13"/>
      <c r="Q989" s="13"/>
      <c r="R989" s="13"/>
      <c r="S989" s="35"/>
      <c r="T989" s="35"/>
      <c r="U989" s="69"/>
      <c r="V989" s="6"/>
      <c r="W989" s="6"/>
      <c r="X989" s="181"/>
      <c r="Y989" s="150"/>
      <c r="Z989" s="150"/>
      <c r="AA989" s="150"/>
      <c r="AB989" s="150"/>
      <c r="AC989" s="150"/>
      <c r="AD989" s="381"/>
      <c r="AE989" s="150"/>
      <c r="AF989" s="110"/>
      <c r="AG989" s="108"/>
      <c r="AH989" s="69"/>
      <c r="AI989" s="105"/>
      <c r="AJ989" s="98"/>
      <c r="AK989" s="110"/>
      <c r="AL989" s="98"/>
      <c r="AM989" s="69"/>
      <c r="AN989" s="13"/>
      <c r="AO989" s="13"/>
      <c r="AP989" s="13"/>
      <c r="AQ989" s="6"/>
      <c r="AR989" s="13"/>
      <c r="AS989" s="13"/>
      <c r="AT989" s="13"/>
      <c r="AU989" s="13"/>
      <c r="AV989" s="13"/>
      <c r="AW989" s="6"/>
      <c r="AX989" s="13"/>
      <c r="AY989" s="13"/>
      <c r="AZ989" s="6"/>
      <c r="BA989" s="6"/>
      <c r="BB989" s="6"/>
      <c r="BC989" s="6"/>
      <c r="BD989" s="6"/>
      <c r="BE989" s="6"/>
      <c r="BF989" s="6"/>
      <c r="BG989" s="6"/>
    </row>
    <row r="990">
      <c r="A990" s="69"/>
      <c r="B990" s="69"/>
      <c r="C990" s="7"/>
      <c r="D990" s="41"/>
      <c r="E990" s="6"/>
      <c r="F990" s="41"/>
      <c r="G990" s="35"/>
      <c r="H990" s="98"/>
      <c r="J990" s="69"/>
      <c r="K990" s="99"/>
      <c r="L990" s="90"/>
      <c r="M990" s="69"/>
      <c r="N990" s="375"/>
      <c r="O990" s="378"/>
      <c r="P990" s="13"/>
      <c r="Q990" s="13"/>
      <c r="R990" s="13"/>
      <c r="S990" s="35"/>
      <c r="T990" s="35"/>
      <c r="U990" s="69"/>
      <c r="V990" s="6"/>
      <c r="W990" s="6"/>
      <c r="X990" s="181"/>
      <c r="Y990" s="150"/>
      <c r="Z990" s="150"/>
      <c r="AA990" s="150"/>
      <c r="AB990" s="150"/>
      <c r="AC990" s="150"/>
      <c r="AD990" s="381"/>
      <c r="AE990" s="150"/>
      <c r="AF990" s="110"/>
      <c r="AG990" s="108"/>
      <c r="AH990" s="69"/>
      <c r="AI990" s="105"/>
      <c r="AJ990" s="98"/>
      <c r="AK990" s="110"/>
      <c r="AL990" s="98"/>
      <c r="AM990" s="69"/>
      <c r="AN990" s="13"/>
      <c r="AO990" s="13"/>
      <c r="AP990" s="13"/>
      <c r="AQ990" s="6"/>
      <c r="AR990" s="13"/>
      <c r="AS990" s="13"/>
      <c r="AT990" s="13"/>
      <c r="AU990" s="13"/>
      <c r="AV990" s="13"/>
      <c r="AW990" s="6"/>
      <c r="AX990" s="13"/>
      <c r="AY990" s="13"/>
      <c r="AZ990" s="6"/>
      <c r="BA990" s="6"/>
      <c r="BB990" s="6"/>
      <c r="BC990" s="6"/>
      <c r="BD990" s="6"/>
      <c r="BE990" s="6"/>
      <c r="BF990" s="6"/>
      <c r="BG990" s="6"/>
    </row>
    <row r="991">
      <c r="A991" s="69"/>
      <c r="B991" s="69"/>
      <c r="C991" s="7"/>
      <c r="D991" s="41"/>
      <c r="E991" s="6"/>
      <c r="F991" s="41"/>
      <c r="G991" s="35"/>
      <c r="H991" s="98"/>
      <c r="J991" s="69"/>
      <c r="K991" s="99"/>
      <c r="L991" s="90"/>
      <c r="M991" s="69"/>
      <c r="N991" s="375"/>
      <c r="O991" s="378"/>
      <c r="P991" s="13"/>
      <c r="Q991" s="13"/>
      <c r="R991" s="13"/>
      <c r="S991" s="35"/>
      <c r="T991" s="35"/>
      <c r="U991" s="69"/>
      <c r="V991" s="6"/>
      <c r="W991" s="6"/>
      <c r="X991" s="181"/>
      <c r="Y991" s="150"/>
      <c r="Z991" s="150"/>
      <c r="AA991" s="150"/>
      <c r="AB991" s="150"/>
      <c r="AC991" s="150"/>
      <c r="AD991" s="381"/>
      <c r="AE991" s="150"/>
      <c r="AF991" s="110"/>
      <c r="AG991" s="108"/>
      <c r="AH991" s="69"/>
      <c r="AI991" s="105"/>
      <c r="AJ991" s="98"/>
      <c r="AK991" s="110"/>
      <c r="AL991" s="98"/>
      <c r="AM991" s="69"/>
      <c r="AN991" s="13"/>
      <c r="AO991" s="13"/>
      <c r="AP991" s="13"/>
      <c r="AQ991" s="6"/>
      <c r="AR991" s="13"/>
      <c r="AS991" s="13"/>
      <c r="AT991" s="13"/>
      <c r="AU991" s="13"/>
      <c r="AV991" s="13"/>
      <c r="AW991" s="6"/>
      <c r="AX991" s="13"/>
      <c r="AY991" s="13"/>
      <c r="AZ991" s="6"/>
      <c r="BA991" s="6"/>
      <c r="BB991" s="6"/>
      <c r="BC991" s="6"/>
      <c r="BD991" s="6"/>
      <c r="BE991" s="6"/>
      <c r="BF991" s="6"/>
      <c r="BG991" s="6"/>
    </row>
    <row r="992">
      <c r="A992" s="69"/>
      <c r="B992" s="69"/>
      <c r="C992" s="7"/>
      <c r="D992" s="41"/>
      <c r="E992" s="6"/>
      <c r="F992" s="41"/>
      <c r="G992" s="35"/>
      <c r="H992" s="98"/>
      <c r="J992" s="69"/>
      <c r="K992" s="99"/>
      <c r="L992" s="90"/>
      <c r="M992" s="69"/>
      <c r="N992" s="375"/>
      <c r="O992" s="378"/>
      <c r="P992" s="13"/>
      <c r="Q992" s="13"/>
      <c r="R992" s="13"/>
      <c r="S992" s="35"/>
      <c r="T992" s="35"/>
      <c r="U992" s="69"/>
      <c r="V992" s="6"/>
      <c r="W992" s="6"/>
      <c r="X992" s="181"/>
      <c r="Y992" s="150"/>
      <c r="Z992" s="150"/>
      <c r="AA992" s="150"/>
      <c r="AB992" s="150"/>
      <c r="AC992" s="150"/>
      <c r="AD992" s="381"/>
      <c r="AE992" s="150"/>
      <c r="AF992" s="110"/>
      <c r="AG992" s="108"/>
      <c r="AH992" s="69"/>
      <c r="AI992" s="105"/>
      <c r="AJ992" s="98"/>
      <c r="AK992" s="110"/>
      <c r="AL992" s="98"/>
      <c r="AM992" s="69"/>
      <c r="AN992" s="13"/>
      <c r="AO992" s="13"/>
      <c r="AP992" s="13"/>
      <c r="AQ992" s="6"/>
      <c r="AR992" s="13"/>
      <c r="AS992" s="13"/>
      <c r="AT992" s="13"/>
      <c r="AU992" s="13"/>
      <c r="AV992" s="13"/>
      <c r="AW992" s="6"/>
      <c r="AX992" s="13"/>
      <c r="AY992" s="13"/>
      <c r="AZ992" s="6"/>
      <c r="BA992" s="6"/>
      <c r="BB992" s="6"/>
      <c r="BC992" s="6"/>
      <c r="BD992" s="6"/>
      <c r="BE992" s="6"/>
      <c r="BF992" s="6"/>
      <c r="BG992" s="6"/>
    </row>
    <row r="993">
      <c r="A993" s="69"/>
      <c r="B993" s="69"/>
      <c r="C993" s="7"/>
      <c r="D993" s="41"/>
      <c r="E993" s="6"/>
      <c r="F993" s="41"/>
      <c r="G993" s="35"/>
      <c r="H993" s="98"/>
      <c r="J993" s="69"/>
      <c r="K993" s="99"/>
      <c r="L993" s="90"/>
      <c r="M993" s="69"/>
      <c r="N993" s="375"/>
      <c r="O993" s="378"/>
      <c r="P993" s="13"/>
      <c r="Q993" s="13"/>
      <c r="R993" s="13"/>
      <c r="S993" s="35"/>
      <c r="T993" s="35"/>
      <c r="U993" s="69"/>
      <c r="V993" s="6"/>
      <c r="W993" s="6"/>
      <c r="X993" s="181"/>
      <c r="Y993" s="150"/>
      <c r="Z993" s="150"/>
      <c r="AA993" s="150"/>
      <c r="AB993" s="150"/>
      <c r="AC993" s="150"/>
      <c r="AD993" s="381"/>
      <c r="AE993" s="150"/>
      <c r="AF993" s="110"/>
      <c r="AG993" s="108"/>
      <c r="AH993" s="69"/>
      <c r="AI993" s="105"/>
      <c r="AJ993" s="98"/>
      <c r="AK993" s="110"/>
      <c r="AL993" s="98"/>
      <c r="AM993" s="69"/>
      <c r="AN993" s="13"/>
      <c r="AO993" s="13"/>
      <c r="AP993" s="13"/>
      <c r="AQ993" s="6"/>
      <c r="AR993" s="13"/>
      <c r="AS993" s="13"/>
      <c r="AT993" s="13"/>
      <c r="AU993" s="13"/>
      <c r="AV993" s="13"/>
      <c r="AW993" s="6"/>
      <c r="AX993" s="13"/>
      <c r="AY993" s="13"/>
      <c r="AZ993" s="6"/>
      <c r="BA993" s="6"/>
      <c r="BB993" s="6"/>
      <c r="BC993" s="6"/>
      <c r="BD993" s="6"/>
      <c r="BE993" s="6"/>
      <c r="BF993" s="6"/>
      <c r="BG993" s="6"/>
    </row>
    <row r="994">
      <c r="A994" s="69"/>
      <c r="B994" s="69"/>
      <c r="C994" s="7"/>
      <c r="D994" s="41"/>
      <c r="E994" s="6"/>
      <c r="F994" s="41"/>
      <c r="G994" s="35"/>
      <c r="H994" s="98"/>
      <c r="J994" s="69"/>
      <c r="K994" s="99"/>
      <c r="L994" s="90"/>
      <c r="M994" s="69"/>
      <c r="N994" s="375"/>
      <c r="O994" s="378"/>
      <c r="P994" s="13"/>
      <c r="Q994" s="13"/>
      <c r="R994" s="13"/>
      <c r="S994" s="35"/>
      <c r="T994" s="35"/>
      <c r="U994" s="69"/>
      <c r="V994" s="6"/>
      <c r="W994" s="6"/>
      <c r="X994" s="181"/>
      <c r="Y994" s="150"/>
      <c r="Z994" s="150"/>
      <c r="AA994" s="150"/>
      <c r="AB994" s="150"/>
      <c r="AC994" s="150"/>
      <c r="AD994" s="381"/>
      <c r="AE994" s="150"/>
      <c r="AF994" s="110"/>
      <c r="AG994" s="108"/>
      <c r="AH994" s="69"/>
      <c r="AI994" s="105"/>
      <c r="AJ994" s="98"/>
      <c r="AK994" s="110"/>
      <c r="AL994" s="98"/>
      <c r="AM994" s="69"/>
      <c r="AN994" s="13"/>
      <c r="AO994" s="13"/>
      <c r="AP994" s="13"/>
      <c r="AQ994" s="6"/>
      <c r="AR994" s="13"/>
      <c r="AS994" s="13"/>
      <c r="AT994" s="13"/>
      <c r="AU994" s="13"/>
      <c r="AV994" s="13"/>
      <c r="AW994" s="6"/>
      <c r="AX994" s="13"/>
      <c r="AY994" s="13"/>
      <c r="AZ994" s="6"/>
      <c r="BA994" s="6"/>
      <c r="BB994" s="6"/>
      <c r="BC994" s="6"/>
      <c r="BD994" s="6"/>
      <c r="BE994" s="6"/>
      <c r="BF994" s="6"/>
      <c r="BG994" s="6"/>
    </row>
    <row r="995">
      <c r="A995" s="69"/>
      <c r="B995" s="69"/>
      <c r="C995" s="7"/>
      <c r="D995" s="41"/>
      <c r="E995" s="6"/>
      <c r="F995" s="41"/>
      <c r="G995" s="35"/>
      <c r="H995" s="98"/>
      <c r="J995" s="69"/>
      <c r="K995" s="99"/>
      <c r="L995" s="90"/>
      <c r="M995" s="69"/>
      <c r="N995" s="375"/>
      <c r="O995" s="378"/>
      <c r="P995" s="13"/>
      <c r="Q995" s="13"/>
      <c r="R995" s="13"/>
      <c r="S995" s="35"/>
      <c r="T995" s="35"/>
      <c r="U995" s="69"/>
      <c r="V995" s="6"/>
      <c r="W995" s="6"/>
      <c r="X995" s="181"/>
      <c r="Y995" s="150"/>
      <c r="Z995" s="150"/>
      <c r="AA995" s="150"/>
      <c r="AB995" s="150"/>
      <c r="AC995" s="150"/>
      <c r="AD995" s="381"/>
      <c r="AE995" s="150"/>
      <c r="AF995" s="110"/>
      <c r="AG995" s="108"/>
      <c r="AH995" s="69"/>
      <c r="AI995" s="105"/>
      <c r="AJ995" s="98"/>
      <c r="AK995" s="110"/>
      <c r="AL995" s="98"/>
      <c r="AM995" s="69"/>
      <c r="AN995" s="13"/>
      <c r="AO995" s="13"/>
      <c r="AP995" s="13"/>
      <c r="AQ995" s="6"/>
      <c r="AR995" s="13"/>
      <c r="AS995" s="13"/>
      <c r="AT995" s="13"/>
      <c r="AU995" s="13"/>
      <c r="AV995" s="13"/>
      <c r="AW995" s="6"/>
      <c r="AX995" s="13"/>
      <c r="AY995" s="13"/>
      <c r="AZ995" s="6"/>
      <c r="BA995" s="6"/>
      <c r="BB995" s="6"/>
      <c r="BC995" s="6"/>
      <c r="BD995" s="6"/>
      <c r="BE995" s="6"/>
      <c r="BF995" s="6"/>
      <c r="BG995" s="6"/>
    </row>
    <row r="996">
      <c r="A996" s="69"/>
      <c r="B996" s="69"/>
      <c r="C996" s="7"/>
      <c r="D996" s="41"/>
      <c r="E996" s="6"/>
      <c r="F996" s="41"/>
      <c r="G996" s="35"/>
      <c r="H996" s="98"/>
      <c r="J996" s="69"/>
      <c r="K996" s="99"/>
      <c r="L996" s="90"/>
      <c r="M996" s="69"/>
      <c r="N996" s="375"/>
      <c r="O996" s="378"/>
      <c r="P996" s="13"/>
      <c r="Q996" s="13"/>
      <c r="R996" s="13"/>
      <c r="S996" s="35"/>
      <c r="T996" s="35"/>
      <c r="U996" s="69"/>
      <c r="V996" s="6"/>
      <c r="W996" s="6"/>
      <c r="X996" s="181"/>
      <c r="Y996" s="150"/>
      <c r="Z996" s="150"/>
      <c r="AA996" s="150"/>
      <c r="AB996" s="150"/>
      <c r="AC996" s="150"/>
      <c r="AD996" s="381"/>
      <c r="AE996" s="150"/>
      <c r="AF996" s="110"/>
      <c r="AG996" s="108"/>
      <c r="AH996" s="69"/>
      <c r="AI996" s="105"/>
      <c r="AJ996" s="98"/>
      <c r="AK996" s="110"/>
      <c r="AL996" s="98"/>
      <c r="AM996" s="69"/>
      <c r="AN996" s="13"/>
      <c r="AO996" s="13"/>
      <c r="AP996" s="13"/>
      <c r="AQ996" s="6"/>
      <c r="AR996" s="13"/>
      <c r="AS996" s="13"/>
      <c r="AT996" s="13"/>
      <c r="AU996" s="13"/>
      <c r="AV996" s="13"/>
      <c r="AW996" s="6"/>
      <c r="AX996" s="13"/>
      <c r="AY996" s="13"/>
      <c r="AZ996" s="6"/>
      <c r="BA996" s="6"/>
      <c r="BB996" s="6"/>
      <c r="BC996" s="6"/>
      <c r="BD996" s="6"/>
      <c r="BE996" s="6"/>
      <c r="BF996" s="6"/>
      <c r="BG996" s="6"/>
    </row>
    <row r="997">
      <c r="A997" s="69"/>
      <c r="B997" s="69"/>
      <c r="C997" s="7"/>
      <c r="D997" s="41"/>
      <c r="E997" s="6"/>
      <c r="F997" s="41"/>
      <c r="G997" s="35"/>
      <c r="H997" s="98"/>
      <c r="J997" s="69"/>
      <c r="K997" s="99"/>
      <c r="L997" s="90"/>
      <c r="M997" s="69"/>
      <c r="N997" s="375"/>
      <c r="O997" s="378"/>
      <c r="P997" s="13"/>
      <c r="Q997" s="13"/>
      <c r="R997" s="13"/>
      <c r="S997" s="35"/>
      <c r="T997" s="35"/>
      <c r="U997" s="69"/>
      <c r="V997" s="6"/>
      <c r="W997" s="6"/>
      <c r="X997" s="181"/>
      <c r="Y997" s="150"/>
      <c r="Z997" s="150"/>
      <c r="AA997" s="150"/>
      <c r="AB997" s="150"/>
      <c r="AC997" s="150"/>
      <c r="AD997" s="381"/>
      <c r="AE997" s="150"/>
      <c r="AF997" s="110"/>
      <c r="AG997" s="108"/>
      <c r="AH997" s="69"/>
      <c r="AI997" s="105"/>
      <c r="AJ997" s="98"/>
      <c r="AK997" s="110"/>
      <c r="AL997" s="98"/>
      <c r="AM997" s="69"/>
      <c r="AN997" s="13"/>
      <c r="AO997" s="13"/>
      <c r="AP997" s="13"/>
      <c r="AQ997" s="6"/>
      <c r="AR997" s="13"/>
      <c r="AS997" s="13"/>
      <c r="AT997" s="13"/>
      <c r="AU997" s="13"/>
      <c r="AV997" s="13"/>
      <c r="AW997" s="6"/>
      <c r="AX997" s="13"/>
      <c r="AY997" s="13"/>
      <c r="AZ997" s="6"/>
      <c r="BA997" s="6"/>
      <c r="BB997" s="6"/>
      <c r="BC997" s="6"/>
      <c r="BD997" s="6"/>
      <c r="BE997" s="6"/>
      <c r="BF997" s="6"/>
      <c r="BG997" s="6"/>
    </row>
    <row r="998">
      <c r="A998" s="69"/>
      <c r="B998" s="69"/>
      <c r="C998" s="7"/>
      <c r="D998" s="41"/>
      <c r="E998" s="6"/>
      <c r="F998" s="41"/>
      <c r="G998" s="35"/>
      <c r="H998" s="98"/>
      <c r="J998" s="69"/>
      <c r="K998" s="99"/>
      <c r="L998" s="90"/>
      <c r="M998" s="69"/>
      <c r="N998" s="375"/>
      <c r="O998" s="378"/>
      <c r="P998" s="13"/>
      <c r="Q998" s="13"/>
      <c r="R998" s="13"/>
      <c r="S998" s="35"/>
      <c r="T998" s="35"/>
      <c r="U998" s="69"/>
      <c r="V998" s="6"/>
      <c r="W998" s="6"/>
      <c r="X998" s="181"/>
      <c r="Y998" s="150"/>
      <c r="Z998" s="150"/>
      <c r="AA998" s="150"/>
      <c r="AB998" s="150"/>
      <c r="AC998" s="150"/>
      <c r="AD998" s="381"/>
      <c r="AE998" s="150"/>
      <c r="AF998" s="110"/>
      <c r="AG998" s="108"/>
      <c r="AH998" s="69"/>
      <c r="AI998" s="105"/>
      <c r="AJ998" s="98"/>
      <c r="AK998" s="110"/>
      <c r="AL998" s="98"/>
      <c r="AM998" s="69"/>
      <c r="AN998" s="13"/>
      <c r="AO998" s="13"/>
      <c r="AP998" s="13"/>
      <c r="AQ998" s="6"/>
      <c r="AR998" s="13"/>
      <c r="AS998" s="13"/>
      <c r="AT998" s="13"/>
      <c r="AU998" s="13"/>
      <c r="AV998" s="13"/>
      <c r="AW998" s="6"/>
      <c r="AX998" s="13"/>
      <c r="AY998" s="13"/>
      <c r="AZ998" s="6"/>
      <c r="BA998" s="6"/>
      <c r="BB998" s="6"/>
      <c r="BC998" s="6"/>
      <c r="BD998" s="6"/>
      <c r="BE998" s="6"/>
      <c r="BF998" s="6"/>
      <c r="BG998" s="6"/>
    </row>
    <row r="999">
      <c r="A999" s="69"/>
      <c r="B999" s="69"/>
      <c r="C999" s="7"/>
      <c r="D999" s="41"/>
      <c r="E999" s="6"/>
      <c r="F999" s="41"/>
      <c r="G999" s="35"/>
      <c r="H999" s="98"/>
      <c r="J999" s="69"/>
      <c r="K999" s="99"/>
      <c r="L999" s="90"/>
      <c r="M999" s="69"/>
      <c r="N999" s="375"/>
      <c r="O999" s="378"/>
      <c r="P999" s="13"/>
      <c r="Q999" s="13"/>
      <c r="R999" s="13"/>
      <c r="S999" s="35"/>
      <c r="T999" s="35"/>
      <c r="U999" s="69"/>
      <c r="V999" s="6"/>
      <c r="W999" s="6"/>
      <c r="X999" s="181"/>
      <c r="Y999" s="150"/>
      <c r="Z999" s="150"/>
      <c r="AA999" s="150"/>
      <c r="AB999" s="150"/>
      <c r="AC999" s="150"/>
      <c r="AD999" s="381"/>
      <c r="AE999" s="150"/>
      <c r="AF999" s="110"/>
      <c r="AG999" s="108"/>
      <c r="AH999" s="69"/>
      <c r="AI999" s="105"/>
      <c r="AJ999" s="98"/>
      <c r="AK999" s="110"/>
      <c r="AL999" s="98"/>
      <c r="AM999" s="69"/>
      <c r="AN999" s="13"/>
      <c r="AO999" s="13"/>
      <c r="AP999" s="13"/>
      <c r="AQ999" s="6"/>
      <c r="AR999" s="13"/>
      <c r="AS999" s="13"/>
      <c r="AT999" s="13"/>
      <c r="AU999" s="13"/>
      <c r="AV999" s="13"/>
      <c r="AW999" s="6"/>
      <c r="AX999" s="13"/>
      <c r="AY999" s="13"/>
      <c r="AZ999" s="6"/>
      <c r="BA999" s="6"/>
      <c r="BB999" s="6"/>
      <c r="BC999" s="6"/>
      <c r="BD999" s="6"/>
      <c r="BE999" s="6"/>
      <c r="BF999" s="6"/>
      <c r="BG999" s="6"/>
    </row>
    <row r="1000">
      <c r="A1000" s="69"/>
      <c r="B1000" s="69"/>
      <c r="C1000" s="7"/>
      <c r="D1000" s="41"/>
      <c r="E1000" s="6"/>
      <c r="F1000" s="41"/>
      <c r="G1000" s="35"/>
      <c r="H1000" s="98"/>
      <c r="J1000" s="69"/>
      <c r="K1000" s="99"/>
      <c r="L1000" s="90"/>
      <c r="M1000" s="69"/>
      <c r="N1000" s="375"/>
      <c r="O1000" s="378"/>
      <c r="P1000" s="13"/>
      <c r="Q1000" s="13"/>
      <c r="R1000" s="13"/>
      <c r="S1000" s="35"/>
      <c r="T1000" s="35"/>
      <c r="U1000" s="69"/>
      <c r="V1000" s="6"/>
      <c r="W1000" s="6"/>
      <c r="X1000" s="181"/>
      <c r="Y1000" s="150"/>
      <c r="Z1000" s="150"/>
      <c r="AA1000" s="150"/>
      <c r="AB1000" s="150"/>
      <c r="AC1000" s="150"/>
      <c r="AD1000" s="381"/>
      <c r="AE1000" s="150"/>
      <c r="AF1000" s="110"/>
      <c r="AG1000" s="108"/>
      <c r="AH1000" s="69"/>
      <c r="AI1000" s="105"/>
      <c r="AJ1000" s="98"/>
      <c r="AK1000" s="110"/>
      <c r="AL1000" s="98"/>
      <c r="AM1000" s="69"/>
      <c r="AN1000" s="13"/>
      <c r="AO1000" s="13"/>
      <c r="AP1000" s="13"/>
      <c r="AQ1000" s="6"/>
      <c r="AR1000" s="13"/>
      <c r="AS1000" s="13"/>
      <c r="AT1000" s="13"/>
      <c r="AU1000" s="13"/>
      <c r="AV1000" s="13"/>
      <c r="AW1000" s="6"/>
      <c r="AX1000" s="13"/>
      <c r="AY1000" s="13"/>
      <c r="AZ1000" s="6"/>
      <c r="BA1000" s="6"/>
      <c r="BB1000" s="6"/>
      <c r="BC1000" s="6"/>
      <c r="BD1000" s="6"/>
      <c r="BE1000" s="6"/>
      <c r="BF1000" s="6"/>
      <c r="BG1000" s="6"/>
    </row>
    <row r="1001">
      <c r="A1001" s="69"/>
      <c r="B1001" s="69"/>
      <c r="C1001" s="7"/>
      <c r="D1001" s="41"/>
      <c r="E1001" s="6"/>
      <c r="F1001" s="41"/>
      <c r="G1001" s="35"/>
      <c r="H1001" s="98"/>
      <c r="J1001" s="69"/>
      <c r="K1001" s="99"/>
      <c r="L1001" s="90"/>
      <c r="M1001" s="69"/>
      <c r="N1001" s="375"/>
      <c r="O1001" s="378"/>
      <c r="P1001" s="13"/>
      <c r="Q1001" s="13"/>
      <c r="R1001" s="13"/>
      <c r="S1001" s="35"/>
      <c r="T1001" s="35"/>
      <c r="U1001" s="69"/>
      <c r="V1001" s="6"/>
      <c r="W1001" s="6"/>
      <c r="X1001" s="181"/>
      <c r="Y1001" s="150"/>
      <c r="Z1001" s="150"/>
      <c r="AA1001" s="150"/>
      <c r="AB1001" s="150"/>
      <c r="AC1001" s="150"/>
      <c r="AD1001" s="381"/>
      <c r="AE1001" s="150"/>
      <c r="AF1001" s="110"/>
      <c r="AG1001" s="108"/>
      <c r="AH1001" s="69"/>
      <c r="AI1001" s="105"/>
      <c r="AJ1001" s="98"/>
      <c r="AK1001" s="110"/>
      <c r="AL1001" s="98"/>
      <c r="AM1001" s="69"/>
      <c r="AN1001" s="13"/>
      <c r="AO1001" s="13"/>
      <c r="AP1001" s="13"/>
      <c r="AQ1001" s="6"/>
      <c r="AR1001" s="13"/>
      <c r="AS1001" s="13"/>
      <c r="AT1001" s="13"/>
      <c r="AU1001" s="13"/>
      <c r="AV1001" s="13"/>
      <c r="AW1001" s="6"/>
      <c r="AX1001" s="13"/>
      <c r="AY1001" s="13"/>
      <c r="AZ1001" s="6"/>
      <c r="BA1001" s="6"/>
      <c r="BB1001" s="6"/>
      <c r="BC1001" s="6"/>
      <c r="BD1001" s="6"/>
      <c r="BE1001" s="6"/>
      <c r="BF1001" s="6"/>
      <c r="BG1001" s="6"/>
    </row>
    <row r="1002">
      <c r="A1002" s="69"/>
      <c r="B1002" s="69"/>
      <c r="C1002" s="7"/>
      <c r="D1002" s="41"/>
      <c r="E1002" s="6"/>
      <c r="F1002" s="41"/>
      <c r="G1002" s="35"/>
      <c r="H1002" s="98"/>
      <c r="J1002" s="69"/>
      <c r="K1002" s="99"/>
      <c r="L1002" s="90"/>
      <c r="M1002" s="69"/>
      <c r="N1002" s="375"/>
      <c r="O1002" s="378"/>
      <c r="P1002" s="13"/>
      <c r="Q1002" s="13"/>
      <c r="R1002" s="13"/>
      <c r="S1002" s="35"/>
      <c r="T1002" s="35"/>
      <c r="U1002" s="69"/>
      <c r="V1002" s="6"/>
      <c r="W1002" s="6"/>
      <c r="X1002" s="181"/>
      <c r="Y1002" s="150"/>
      <c r="Z1002" s="150"/>
      <c r="AA1002" s="150"/>
      <c r="AB1002" s="150"/>
      <c r="AC1002" s="150"/>
      <c r="AD1002" s="381"/>
      <c r="AE1002" s="150"/>
      <c r="AF1002" s="110"/>
      <c r="AG1002" s="108"/>
      <c r="AH1002" s="69"/>
      <c r="AI1002" s="105"/>
      <c r="AJ1002" s="98"/>
      <c r="AK1002" s="110"/>
      <c r="AL1002" s="98"/>
      <c r="AM1002" s="69"/>
      <c r="AN1002" s="13"/>
      <c r="AO1002" s="13"/>
      <c r="AP1002" s="13"/>
      <c r="AQ1002" s="6"/>
      <c r="AR1002" s="13"/>
      <c r="AS1002" s="13"/>
      <c r="AT1002" s="13"/>
      <c r="AU1002" s="13"/>
      <c r="AV1002" s="13"/>
      <c r="AW1002" s="6"/>
      <c r="AX1002" s="13"/>
      <c r="AY1002" s="13"/>
      <c r="AZ1002" s="6"/>
      <c r="BA1002" s="6"/>
      <c r="BB1002" s="6"/>
      <c r="BC1002" s="6"/>
      <c r="BD1002" s="6"/>
      <c r="BE1002" s="6"/>
      <c r="BF1002" s="6"/>
      <c r="BG1002" s="6"/>
    </row>
    <row r="1003">
      <c r="A1003" s="69"/>
      <c r="B1003" s="69"/>
      <c r="C1003" s="7"/>
      <c r="D1003" s="41"/>
      <c r="E1003" s="6"/>
      <c r="F1003" s="41"/>
      <c r="G1003" s="35"/>
      <c r="H1003" s="35"/>
      <c r="J1003" s="69"/>
      <c r="K1003" s="99"/>
      <c r="L1003" s="90"/>
      <c r="M1003" s="69"/>
      <c r="N1003" s="375"/>
      <c r="O1003" s="378"/>
      <c r="P1003" s="13"/>
      <c r="Q1003" s="13"/>
      <c r="R1003" s="13"/>
      <c r="S1003" s="69"/>
      <c r="T1003" s="69"/>
      <c r="U1003" s="69"/>
      <c r="V1003" s="6"/>
      <c r="W1003" s="6"/>
      <c r="X1003" s="181"/>
      <c r="Y1003" s="102"/>
      <c r="Z1003" s="102"/>
      <c r="AA1003" s="102"/>
      <c r="AB1003" s="102"/>
      <c r="AC1003" s="102"/>
      <c r="AD1003" s="342"/>
      <c r="AE1003" s="102"/>
      <c r="AF1003" s="110"/>
      <c r="AG1003" s="108"/>
      <c r="AH1003" s="69"/>
      <c r="AI1003" s="105"/>
      <c r="AJ1003" s="98"/>
      <c r="AK1003" s="110"/>
      <c r="AL1003" s="98"/>
      <c r="AM1003" s="69"/>
      <c r="AN1003" s="13"/>
      <c r="AO1003" s="13"/>
      <c r="AP1003" s="13"/>
      <c r="AQ1003" s="13"/>
      <c r="AR1003" s="13"/>
      <c r="AS1003" s="13"/>
      <c r="AT1003" s="13"/>
      <c r="AU1003" s="13"/>
      <c r="AV1003" s="13"/>
      <c r="AW1003" s="6"/>
      <c r="AX1003" s="13"/>
      <c r="AY1003" s="13"/>
      <c r="AZ1003" s="6"/>
      <c r="BA1003" s="6"/>
      <c r="BB1003" s="6"/>
      <c r="BC1003" s="6"/>
      <c r="BD1003" s="6"/>
      <c r="BE1003" s="6"/>
      <c r="BF1003" s="6"/>
      <c r="BG1003" s="6"/>
    </row>
    <row r="1004">
      <c r="A1004" s="69"/>
      <c r="B1004" s="69"/>
      <c r="C1004" s="7"/>
      <c r="D1004" s="41"/>
      <c r="E1004" s="6"/>
      <c r="F1004" s="41"/>
      <c r="G1004" s="35"/>
      <c r="H1004" s="35"/>
      <c r="J1004" s="69"/>
      <c r="K1004" s="99"/>
      <c r="L1004" s="90"/>
      <c r="M1004" s="69"/>
      <c r="N1004" s="375"/>
      <c r="O1004" s="378"/>
      <c r="P1004" s="13"/>
      <c r="Q1004" s="13"/>
      <c r="R1004" s="13"/>
      <c r="S1004" s="69"/>
      <c r="T1004" s="69"/>
      <c r="U1004" s="69"/>
      <c r="V1004" s="6"/>
      <c r="W1004" s="6"/>
      <c r="X1004" s="181"/>
      <c r="Y1004" s="102"/>
      <c r="Z1004" s="102"/>
      <c r="AA1004" s="102"/>
      <c r="AB1004" s="102"/>
      <c r="AC1004" s="102"/>
      <c r="AD1004" s="342"/>
      <c r="AE1004" s="102"/>
      <c r="AF1004" s="110"/>
      <c r="AG1004" s="108"/>
      <c r="AH1004" s="69"/>
      <c r="AI1004" s="105"/>
      <c r="AJ1004" s="98"/>
      <c r="AK1004" s="110"/>
      <c r="AL1004" s="98"/>
      <c r="AM1004" s="69"/>
      <c r="AN1004" s="13"/>
      <c r="AO1004" s="13"/>
      <c r="AP1004" s="13"/>
      <c r="AQ1004" s="13"/>
      <c r="AR1004" s="13"/>
      <c r="AS1004" s="13"/>
      <c r="AT1004" s="13"/>
      <c r="AU1004" s="13"/>
      <c r="AV1004" s="13"/>
      <c r="AW1004" s="6"/>
      <c r="AX1004" s="13"/>
      <c r="AY1004" s="13"/>
      <c r="AZ1004" s="6"/>
      <c r="BA1004" s="6"/>
      <c r="BB1004" s="6"/>
      <c r="BC1004" s="6"/>
      <c r="BD1004" s="6"/>
      <c r="BE1004" s="6"/>
      <c r="BF1004" s="6"/>
      <c r="BG1004" s="6"/>
    </row>
    <row r="1005">
      <c r="A1005" s="69"/>
      <c r="B1005" s="69"/>
      <c r="C1005" s="7"/>
      <c r="D1005" s="41"/>
      <c r="E1005" s="6"/>
      <c r="F1005" s="41"/>
      <c r="G1005" s="35"/>
      <c r="H1005" s="35"/>
      <c r="J1005" s="69"/>
      <c r="K1005" s="99"/>
      <c r="L1005" s="90"/>
      <c r="M1005" s="69"/>
      <c r="N1005" s="375"/>
      <c r="O1005" s="378"/>
      <c r="P1005" s="13"/>
      <c r="Q1005" s="13"/>
      <c r="R1005" s="13"/>
      <c r="S1005" s="69"/>
      <c r="T1005" s="69"/>
      <c r="U1005" s="69"/>
      <c r="V1005" s="6"/>
      <c r="W1005" s="6"/>
      <c r="X1005" s="181"/>
      <c r="Y1005" s="102"/>
      <c r="Z1005" s="102"/>
      <c r="AA1005" s="102"/>
      <c r="AB1005" s="102"/>
      <c r="AC1005" s="102"/>
      <c r="AD1005" s="342"/>
      <c r="AE1005" s="102"/>
      <c r="AF1005" s="110"/>
      <c r="AG1005" s="108"/>
      <c r="AH1005" s="69"/>
      <c r="AI1005" s="105"/>
      <c r="AJ1005" s="98"/>
      <c r="AK1005" s="110"/>
      <c r="AL1005" s="98"/>
      <c r="AM1005" s="69"/>
      <c r="AN1005" s="13"/>
      <c r="AO1005" s="13"/>
      <c r="AP1005" s="13"/>
      <c r="AQ1005" s="13"/>
      <c r="AR1005" s="13"/>
      <c r="AS1005" s="13"/>
      <c r="AT1005" s="13"/>
      <c r="AU1005" s="13"/>
      <c r="AV1005" s="13"/>
      <c r="AW1005" s="6"/>
      <c r="AX1005" s="13"/>
      <c r="AY1005" s="13"/>
      <c r="AZ1005" s="6"/>
      <c r="BA1005" s="6"/>
      <c r="BB1005" s="6"/>
      <c r="BC1005" s="6"/>
      <c r="BD1005" s="6"/>
      <c r="BE1005" s="6"/>
      <c r="BF1005" s="6"/>
      <c r="BG1005" s="6"/>
    </row>
    <row r="1006">
      <c r="A1006" s="69"/>
      <c r="B1006" s="69"/>
      <c r="C1006" s="7"/>
      <c r="D1006" s="41"/>
      <c r="E1006" s="6"/>
      <c r="F1006" s="41"/>
      <c r="G1006" s="35"/>
      <c r="H1006" s="35"/>
      <c r="J1006" s="69"/>
      <c r="K1006" s="99"/>
      <c r="L1006" s="90"/>
      <c r="M1006" s="69"/>
      <c r="N1006" s="375"/>
      <c r="O1006" s="378"/>
      <c r="P1006" s="13"/>
      <c r="Q1006" s="13"/>
      <c r="R1006" s="13"/>
      <c r="S1006" s="69"/>
      <c r="T1006" s="69"/>
      <c r="U1006" s="69"/>
      <c r="V1006" s="6"/>
      <c r="W1006" s="6"/>
      <c r="X1006" s="181"/>
      <c r="Y1006" s="102"/>
      <c r="Z1006" s="102"/>
      <c r="AA1006" s="102"/>
      <c r="AB1006" s="102"/>
      <c r="AC1006" s="102"/>
      <c r="AD1006" s="342"/>
      <c r="AE1006" s="102"/>
      <c r="AF1006" s="110"/>
      <c r="AG1006" s="108"/>
      <c r="AH1006" s="69"/>
      <c r="AI1006" s="105"/>
      <c r="AJ1006" s="98"/>
      <c r="AK1006" s="110"/>
      <c r="AL1006" s="98"/>
      <c r="AM1006" s="69"/>
      <c r="AN1006" s="13"/>
      <c r="AO1006" s="13"/>
      <c r="AP1006" s="13"/>
      <c r="AQ1006" s="13"/>
      <c r="AR1006" s="13"/>
      <c r="AS1006" s="13"/>
      <c r="AT1006" s="13"/>
      <c r="AU1006" s="13"/>
      <c r="AV1006" s="13"/>
      <c r="AW1006" s="6"/>
      <c r="AX1006" s="13"/>
      <c r="AY1006" s="13"/>
      <c r="AZ1006" s="6"/>
      <c r="BA1006" s="6"/>
      <c r="BB1006" s="6"/>
      <c r="BC1006" s="6"/>
      <c r="BD1006" s="6"/>
      <c r="BE1006" s="6"/>
      <c r="BF1006" s="6"/>
      <c r="BG1006" s="6"/>
    </row>
    <row r="1007">
      <c r="A1007" s="69"/>
      <c r="B1007" s="69"/>
      <c r="C1007" s="7"/>
      <c r="D1007" s="41"/>
      <c r="E1007" s="6"/>
      <c r="F1007" s="41"/>
      <c r="G1007" s="35"/>
      <c r="H1007" s="35"/>
      <c r="J1007" s="69"/>
      <c r="K1007" s="99"/>
      <c r="L1007" s="90"/>
      <c r="M1007" s="69"/>
      <c r="N1007" s="375"/>
      <c r="O1007" s="378"/>
      <c r="P1007" s="13"/>
      <c r="Q1007" s="13"/>
      <c r="R1007" s="13"/>
      <c r="S1007" s="69"/>
      <c r="T1007" s="69"/>
      <c r="U1007" s="69"/>
      <c r="V1007" s="6"/>
      <c r="W1007" s="6"/>
      <c r="X1007" s="181"/>
      <c r="Y1007" s="102"/>
      <c r="Z1007" s="102"/>
      <c r="AA1007" s="102"/>
      <c r="AB1007" s="102"/>
      <c r="AC1007" s="102"/>
      <c r="AD1007" s="342"/>
      <c r="AE1007" s="102"/>
      <c r="AF1007" s="110"/>
      <c r="AG1007" s="108"/>
      <c r="AH1007" s="69"/>
      <c r="AI1007" s="105"/>
      <c r="AJ1007" s="98"/>
      <c r="AK1007" s="110"/>
      <c r="AL1007" s="98"/>
      <c r="AM1007" s="69"/>
      <c r="AN1007" s="13"/>
      <c r="AO1007" s="13"/>
      <c r="AP1007" s="13"/>
      <c r="AQ1007" s="13"/>
      <c r="AR1007" s="13"/>
      <c r="AS1007" s="13"/>
      <c r="AT1007" s="13"/>
      <c r="AU1007" s="13"/>
      <c r="AV1007" s="13"/>
      <c r="AW1007" s="6"/>
      <c r="AX1007" s="13"/>
      <c r="AY1007" s="13"/>
      <c r="AZ1007" s="6"/>
      <c r="BA1007" s="6"/>
      <c r="BB1007" s="6"/>
      <c r="BC1007" s="6"/>
      <c r="BD1007" s="6"/>
      <c r="BE1007" s="6"/>
      <c r="BF1007" s="6"/>
      <c r="BG1007" s="6"/>
    </row>
    <row r="1008">
      <c r="A1008" s="69"/>
      <c r="B1008" s="69"/>
      <c r="C1008" s="7"/>
      <c r="D1008" s="41"/>
      <c r="E1008" s="6"/>
      <c r="F1008" s="41"/>
      <c r="G1008" s="35"/>
      <c r="H1008" s="35"/>
      <c r="J1008" s="69"/>
      <c r="K1008" s="99"/>
      <c r="L1008" s="90"/>
      <c r="M1008" s="69"/>
      <c r="N1008" s="375"/>
      <c r="O1008" s="378"/>
      <c r="P1008" s="13"/>
      <c r="Q1008" s="13"/>
      <c r="R1008" s="13"/>
      <c r="S1008" s="69"/>
      <c r="T1008" s="69"/>
      <c r="U1008" s="69"/>
      <c r="V1008" s="6"/>
      <c r="W1008" s="6"/>
      <c r="X1008" s="181"/>
      <c r="Y1008" s="102"/>
      <c r="Z1008" s="102"/>
      <c r="AA1008" s="102"/>
      <c r="AB1008" s="102"/>
      <c r="AC1008" s="102"/>
      <c r="AD1008" s="342"/>
      <c r="AE1008" s="102"/>
      <c r="AF1008" s="110"/>
      <c r="AG1008" s="108"/>
      <c r="AH1008" s="69"/>
      <c r="AI1008" s="105"/>
      <c r="AJ1008" s="98"/>
      <c r="AK1008" s="110"/>
      <c r="AL1008" s="98"/>
      <c r="AM1008" s="69"/>
      <c r="AN1008" s="13"/>
      <c r="AO1008" s="13"/>
      <c r="AP1008" s="13"/>
      <c r="AQ1008" s="13"/>
      <c r="AR1008" s="13"/>
      <c r="AS1008" s="13"/>
      <c r="AT1008" s="13"/>
      <c r="AU1008" s="13"/>
      <c r="AV1008" s="13"/>
      <c r="AW1008" s="6"/>
      <c r="AX1008" s="13"/>
      <c r="AY1008" s="13"/>
      <c r="AZ1008" s="6"/>
      <c r="BA1008" s="6"/>
      <c r="BB1008" s="6"/>
      <c r="BC1008" s="6"/>
      <c r="BD1008" s="6"/>
      <c r="BE1008" s="6"/>
      <c r="BF1008" s="6"/>
      <c r="BG1008" s="6"/>
    </row>
    <row r="1009">
      <c r="A1009" s="69"/>
      <c r="B1009" s="69"/>
      <c r="C1009" s="7"/>
      <c r="D1009" s="41"/>
      <c r="E1009" s="6"/>
      <c r="F1009" s="41"/>
      <c r="G1009" s="35"/>
      <c r="H1009" s="35"/>
      <c r="J1009" s="69"/>
      <c r="K1009" s="99"/>
      <c r="L1009" s="90"/>
      <c r="M1009" s="69"/>
      <c r="N1009" s="375"/>
      <c r="O1009" s="378"/>
      <c r="P1009" s="13"/>
      <c r="Q1009" s="13"/>
      <c r="R1009" s="13"/>
      <c r="S1009" s="69"/>
      <c r="T1009" s="69"/>
      <c r="U1009" s="69"/>
      <c r="V1009" s="6"/>
      <c r="W1009" s="6"/>
      <c r="X1009" s="181"/>
      <c r="Y1009" s="102"/>
      <c r="Z1009" s="102"/>
      <c r="AA1009" s="102"/>
      <c r="AB1009" s="102"/>
      <c r="AC1009" s="102"/>
      <c r="AD1009" s="342"/>
      <c r="AE1009" s="102"/>
      <c r="AF1009" s="110"/>
      <c r="AG1009" s="108"/>
      <c r="AH1009" s="69"/>
      <c r="AI1009" s="105"/>
      <c r="AJ1009" s="98"/>
      <c r="AK1009" s="110"/>
      <c r="AL1009" s="98"/>
      <c r="AM1009" s="69"/>
      <c r="AN1009" s="13"/>
      <c r="AO1009" s="13"/>
      <c r="AP1009" s="13"/>
      <c r="AQ1009" s="13"/>
      <c r="AR1009" s="13"/>
      <c r="AS1009" s="13"/>
      <c r="AT1009" s="13"/>
      <c r="AU1009" s="13"/>
      <c r="AV1009" s="13"/>
      <c r="AW1009" s="6"/>
      <c r="AX1009" s="13"/>
      <c r="AY1009" s="13"/>
      <c r="AZ1009" s="6"/>
      <c r="BA1009" s="6"/>
      <c r="BB1009" s="6"/>
      <c r="BC1009" s="6"/>
      <c r="BD1009" s="6"/>
      <c r="BE1009" s="6"/>
      <c r="BF1009" s="6"/>
      <c r="BG1009" s="6"/>
    </row>
    <row r="1010">
      <c r="A1010" s="69"/>
      <c r="B1010" s="69"/>
      <c r="C1010" s="7"/>
      <c r="D1010" s="41"/>
      <c r="E1010" s="6"/>
      <c r="F1010" s="41"/>
      <c r="G1010" s="35"/>
      <c r="H1010" s="35"/>
      <c r="J1010" s="69"/>
      <c r="K1010" s="99"/>
      <c r="L1010" s="90"/>
      <c r="M1010" s="69"/>
      <c r="N1010" s="375"/>
      <c r="O1010" s="378"/>
      <c r="P1010" s="13"/>
      <c r="Q1010" s="13"/>
      <c r="R1010" s="13"/>
      <c r="S1010" s="69"/>
      <c r="T1010" s="69"/>
      <c r="U1010" s="69"/>
      <c r="V1010" s="6"/>
      <c r="W1010" s="6"/>
      <c r="X1010" s="181"/>
      <c r="Y1010" s="102"/>
      <c r="Z1010" s="102"/>
      <c r="AA1010" s="102"/>
      <c r="AB1010" s="102"/>
      <c r="AC1010" s="102"/>
      <c r="AD1010" s="342"/>
      <c r="AE1010" s="102"/>
      <c r="AF1010" s="110"/>
      <c r="AG1010" s="108"/>
      <c r="AH1010" s="69"/>
      <c r="AI1010" s="105"/>
      <c r="AJ1010" s="98"/>
      <c r="AK1010" s="110"/>
      <c r="AL1010" s="98"/>
      <c r="AM1010" s="69"/>
      <c r="AN1010" s="13"/>
      <c r="AO1010" s="13"/>
      <c r="AP1010" s="13"/>
      <c r="AQ1010" s="13"/>
      <c r="AR1010" s="13"/>
      <c r="AS1010" s="13"/>
      <c r="AT1010" s="13"/>
      <c r="AU1010" s="13"/>
      <c r="AV1010" s="13"/>
      <c r="AW1010" s="6"/>
      <c r="AX1010" s="13"/>
      <c r="AY1010" s="13"/>
      <c r="AZ1010" s="6"/>
      <c r="BA1010" s="6"/>
      <c r="BB1010" s="6"/>
      <c r="BC1010" s="6"/>
      <c r="BD1010" s="6"/>
      <c r="BE1010" s="6"/>
      <c r="BF1010" s="6"/>
      <c r="BG1010" s="6"/>
    </row>
    <row r="1011">
      <c r="A1011" s="69"/>
      <c r="B1011" s="69"/>
      <c r="C1011" s="7"/>
      <c r="D1011" s="41"/>
      <c r="E1011" s="6"/>
      <c r="F1011" s="41"/>
      <c r="G1011" s="35"/>
      <c r="H1011" s="35"/>
      <c r="J1011" s="69"/>
      <c r="K1011" s="99"/>
      <c r="L1011" s="90"/>
      <c r="M1011" s="69"/>
      <c r="N1011" s="375"/>
      <c r="O1011" s="378"/>
      <c r="P1011" s="13"/>
      <c r="Q1011" s="13"/>
      <c r="R1011" s="13"/>
      <c r="S1011" s="69"/>
      <c r="T1011" s="69"/>
      <c r="U1011" s="69"/>
      <c r="V1011" s="6"/>
      <c r="W1011" s="6"/>
      <c r="X1011" s="181"/>
      <c r="Y1011" s="102"/>
      <c r="Z1011" s="102"/>
      <c r="AA1011" s="102"/>
      <c r="AB1011" s="102"/>
      <c r="AC1011" s="102"/>
      <c r="AD1011" s="342"/>
      <c r="AE1011" s="102"/>
      <c r="AF1011" s="110"/>
      <c r="AG1011" s="108"/>
      <c r="AH1011" s="69"/>
      <c r="AI1011" s="105"/>
      <c r="AJ1011" s="98"/>
      <c r="AK1011" s="110"/>
      <c r="AL1011" s="98"/>
      <c r="AM1011" s="69"/>
      <c r="AN1011" s="13"/>
      <c r="AO1011" s="13"/>
      <c r="AP1011" s="13"/>
      <c r="AQ1011" s="13"/>
      <c r="AR1011" s="13"/>
      <c r="AS1011" s="13"/>
      <c r="AT1011" s="13"/>
      <c r="AU1011" s="13"/>
      <c r="AV1011" s="13"/>
      <c r="AW1011" s="6"/>
      <c r="AX1011" s="13"/>
      <c r="AY1011" s="13"/>
      <c r="AZ1011" s="6"/>
      <c r="BA1011" s="6"/>
      <c r="BB1011" s="6"/>
      <c r="BC1011" s="6"/>
      <c r="BD1011" s="6"/>
      <c r="BE1011" s="6"/>
      <c r="BF1011" s="6"/>
      <c r="BG1011" s="6"/>
    </row>
    <row r="1012">
      <c r="A1012" s="69"/>
      <c r="B1012" s="69"/>
      <c r="C1012" s="7"/>
      <c r="D1012" s="41"/>
      <c r="E1012" s="6"/>
      <c r="F1012" s="41"/>
      <c r="G1012" s="35"/>
      <c r="H1012" s="35"/>
      <c r="J1012" s="69"/>
      <c r="K1012" s="99"/>
      <c r="L1012" s="90"/>
      <c r="M1012" s="69"/>
      <c r="N1012" s="375"/>
      <c r="O1012" s="378"/>
      <c r="P1012" s="13"/>
      <c r="Q1012" s="13"/>
      <c r="R1012" s="13"/>
      <c r="S1012" s="69"/>
      <c r="T1012" s="69"/>
      <c r="U1012" s="69"/>
      <c r="V1012" s="6"/>
      <c r="W1012" s="6"/>
      <c r="X1012" s="181"/>
      <c r="Y1012" s="102"/>
      <c r="Z1012" s="102"/>
      <c r="AA1012" s="102"/>
      <c r="AB1012" s="102"/>
      <c r="AC1012" s="102"/>
      <c r="AD1012" s="342"/>
      <c r="AE1012" s="102"/>
      <c r="AF1012" s="110"/>
      <c r="AG1012" s="108"/>
      <c r="AH1012" s="69"/>
      <c r="AI1012" s="105"/>
      <c r="AJ1012" s="98"/>
      <c r="AK1012" s="110"/>
      <c r="AL1012" s="98"/>
      <c r="AM1012" s="69"/>
      <c r="AN1012" s="13"/>
      <c r="AO1012" s="13"/>
      <c r="AP1012" s="13"/>
      <c r="AQ1012" s="13"/>
      <c r="AR1012" s="13"/>
      <c r="AS1012" s="13"/>
      <c r="AT1012" s="13"/>
      <c r="AU1012" s="13"/>
      <c r="AV1012" s="13"/>
      <c r="AW1012" s="6"/>
      <c r="AX1012" s="13"/>
      <c r="AY1012" s="13"/>
      <c r="AZ1012" s="6"/>
      <c r="BA1012" s="6"/>
      <c r="BB1012" s="6"/>
      <c r="BC1012" s="6"/>
      <c r="BD1012" s="6"/>
      <c r="BE1012" s="6"/>
      <c r="BF1012" s="6"/>
      <c r="BG1012" s="6"/>
    </row>
    <row r="1013">
      <c r="A1013" s="69"/>
      <c r="B1013" s="69"/>
      <c r="C1013" s="7"/>
      <c r="D1013" s="41"/>
      <c r="E1013" s="6"/>
      <c r="F1013" s="41"/>
      <c r="G1013" s="35"/>
      <c r="H1013" s="35"/>
      <c r="J1013" s="69"/>
      <c r="K1013" s="99"/>
      <c r="L1013" s="90"/>
      <c r="M1013" s="69"/>
      <c r="N1013" s="375"/>
      <c r="O1013" s="378"/>
      <c r="P1013" s="13"/>
      <c r="Q1013" s="13"/>
      <c r="R1013" s="13"/>
      <c r="S1013" s="69"/>
      <c r="T1013" s="69"/>
      <c r="U1013" s="69"/>
      <c r="V1013" s="6"/>
      <c r="W1013" s="6"/>
      <c r="X1013" s="181"/>
      <c r="Y1013" s="102"/>
      <c r="Z1013" s="102"/>
      <c r="AA1013" s="102"/>
      <c r="AB1013" s="102"/>
      <c r="AC1013" s="102"/>
      <c r="AD1013" s="342"/>
      <c r="AE1013" s="102"/>
      <c r="AF1013" s="110"/>
      <c r="AG1013" s="108"/>
      <c r="AH1013" s="69"/>
      <c r="AI1013" s="105"/>
      <c r="AJ1013" s="98"/>
      <c r="AK1013" s="110"/>
      <c r="AL1013" s="98"/>
      <c r="AM1013" s="69"/>
      <c r="AN1013" s="13"/>
      <c r="AO1013" s="13"/>
      <c r="AP1013" s="13"/>
      <c r="AQ1013" s="13"/>
      <c r="AR1013" s="13"/>
      <c r="AS1013" s="13"/>
      <c r="AT1013" s="13"/>
      <c r="AU1013" s="13"/>
      <c r="AV1013" s="13"/>
      <c r="AW1013" s="6"/>
      <c r="AX1013" s="13"/>
      <c r="AY1013" s="13"/>
      <c r="AZ1013" s="6"/>
      <c r="BA1013" s="6"/>
      <c r="BB1013" s="6"/>
      <c r="BC1013" s="6"/>
      <c r="BD1013" s="6"/>
      <c r="BE1013" s="6"/>
      <c r="BF1013" s="6"/>
      <c r="BG1013" s="6"/>
    </row>
    <row r="1014">
      <c r="A1014" s="69"/>
      <c r="B1014" s="69"/>
      <c r="C1014" s="7"/>
      <c r="D1014" s="41"/>
      <c r="E1014" s="6"/>
      <c r="F1014" s="41"/>
      <c r="G1014" s="35"/>
      <c r="H1014" s="35"/>
      <c r="J1014" s="69"/>
      <c r="K1014" s="99"/>
      <c r="L1014" s="90"/>
      <c r="M1014" s="69"/>
      <c r="N1014" s="375"/>
      <c r="O1014" s="378"/>
      <c r="P1014" s="13"/>
      <c r="Q1014" s="13"/>
      <c r="R1014" s="13"/>
      <c r="S1014" s="69"/>
      <c r="T1014" s="69"/>
      <c r="U1014" s="69"/>
      <c r="V1014" s="6"/>
      <c r="W1014" s="6"/>
      <c r="X1014" s="181"/>
      <c r="Y1014" s="102"/>
      <c r="Z1014" s="102"/>
      <c r="AA1014" s="102"/>
      <c r="AB1014" s="102"/>
      <c r="AC1014" s="102"/>
      <c r="AD1014" s="342"/>
      <c r="AE1014" s="102"/>
      <c r="AF1014" s="110"/>
      <c r="AG1014" s="108"/>
      <c r="AH1014" s="69"/>
      <c r="AI1014" s="105"/>
      <c r="AJ1014" s="98"/>
      <c r="AK1014" s="110"/>
      <c r="AL1014" s="98"/>
      <c r="AM1014" s="69"/>
      <c r="AN1014" s="13"/>
      <c r="AO1014" s="13"/>
      <c r="AP1014" s="13"/>
      <c r="AQ1014" s="13"/>
      <c r="AR1014" s="13"/>
      <c r="AS1014" s="13"/>
      <c r="AT1014" s="13"/>
      <c r="AU1014" s="13"/>
      <c r="AV1014" s="13"/>
      <c r="AW1014" s="6"/>
      <c r="AX1014" s="13"/>
      <c r="AY1014" s="13"/>
      <c r="AZ1014" s="6"/>
      <c r="BA1014" s="6"/>
      <c r="BB1014" s="6"/>
      <c r="BC1014" s="6"/>
      <c r="BD1014" s="6"/>
      <c r="BE1014" s="6"/>
      <c r="BF1014" s="6"/>
      <c r="BG1014" s="6"/>
    </row>
    <row r="1015">
      <c r="A1015" s="69"/>
      <c r="B1015" s="69"/>
      <c r="C1015" s="7"/>
      <c r="D1015" s="41"/>
      <c r="E1015" s="6"/>
      <c r="F1015" s="41"/>
      <c r="G1015" s="35"/>
      <c r="H1015" s="35"/>
      <c r="J1015" s="69"/>
      <c r="K1015" s="99"/>
      <c r="L1015" s="90"/>
      <c r="M1015" s="69"/>
      <c r="N1015" s="375"/>
      <c r="O1015" s="378"/>
      <c r="P1015" s="13"/>
      <c r="Q1015" s="13"/>
      <c r="R1015" s="13"/>
      <c r="S1015" s="69"/>
      <c r="T1015" s="69"/>
      <c r="U1015" s="69"/>
      <c r="V1015" s="6"/>
      <c r="W1015" s="6"/>
      <c r="X1015" s="181"/>
      <c r="Y1015" s="102"/>
      <c r="Z1015" s="102"/>
      <c r="AA1015" s="102"/>
      <c r="AB1015" s="102"/>
      <c r="AC1015" s="102"/>
      <c r="AD1015" s="342"/>
      <c r="AE1015" s="102"/>
      <c r="AF1015" s="110"/>
      <c r="AG1015" s="108"/>
      <c r="AH1015" s="69"/>
      <c r="AI1015" s="105"/>
      <c r="AJ1015" s="98"/>
      <c r="AK1015" s="110"/>
      <c r="AL1015" s="98"/>
      <c r="AM1015" s="69"/>
      <c r="AN1015" s="13"/>
      <c r="AO1015" s="13"/>
      <c r="AP1015" s="13"/>
      <c r="AQ1015" s="13"/>
      <c r="AR1015" s="13"/>
      <c r="AS1015" s="13"/>
      <c r="AT1015" s="13"/>
      <c r="AU1015" s="13"/>
      <c r="AV1015" s="13"/>
      <c r="AW1015" s="6"/>
      <c r="AX1015" s="13"/>
      <c r="AY1015" s="13"/>
      <c r="AZ1015" s="6"/>
      <c r="BA1015" s="6"/>
      <c r="BB1015" s="6"/>
      <c r="BC1015" s="6"/>
      <c r="BD1015" s="6"/>
      <c r="BE1015" s="6"/>
      <c r="BF1015" s="6"/>
      <c r="BG1015" s="6"/>
    </row>
    <row r="1016">
      <c r="A1016" s="69"/>
      <c r="B1016" s="69"/>
      <c r="C1016" s="7"/>
      <c r="D1016" s="41"/>
      <c r="E1016" s="6"/>
      <c r="F1016" s="41"/>
      <c r="G1016" s="35"/>
      <c r="H1016" s="35"/>
      <c r="J1016" s="69"/>
      <c r="K1016" s="99"/>
      <c r="L1016" s="90"/>
      <c r="M1016" s="69"/>
      <c r="N1016" s="375"/>
      <c r="O1016" s="378"/>
      <c r="P1016" s="13"/>
      <c r="Q1016" s="13"/>
      <c r="R1016" s="13"/>
      <c r="S1016" s="69"/>
      <c r="T1016" s="69"/>
      <c r="U1016" s="69"/>
      <c r="V1016" s="6"/>
      <c r="W1016" s="6"/>
      <c r="X1016" s="181"/>
      <c r="Y1016" s="102"/>
      <c r="Z1016" s="102"/>
      <c r="AA1016" s="102"/>
      <c r="AB1016" s="102"/>
      <c r="AC1016" s="102"/>
      <c r="AD1016" s="342"/>
      <c r="AE1016" s="102"/>
      <c r="AF1016" s="110"/>
      <c r="AG1016" s="108"/>
      <c r="AH1016" s="69"/>
      <c r="AI1016" s="105"/>
      <c r="AJ1016" s="98"/>
      <c r="AK1016" s="110"/>
      <c r="AL1016" s="98"/>
      <c r="AM1016" s="69"/>
      <c r="AN1016" s="13"/>
      <c r="AO1016" s="13"/>
      <c r="AP1016" s="13"/>
      <c r="AQ1016" s="13"/>
      <c r="AR1016" s="13"/>
      <c r="AS1016" s="13"/>
      <c r="AT1016" s="13"/>
      <c r="AU1016" s="13"/>
      <c r="AV1016" s="13"/>
      <c r="AW1016" s="6"/>
      <c r="AX1016" s="13"/>
      <c r="AY1016" s="13"/>
      <c r="AZ1016" s="6"/>
      <c r="BA1016" s="6"/>
      <c r="BB1016" s="6"/>
      <c r="BC1016" s="6"/>
      <c r="BD1016" s="6"/>
      <c r="BE1016" s="6"/>
      <c r="BF1016" s="6"/>
      <c r="BG1016" s="6"/>
    </row>
    <row r="1017">
      <c r="A1017" s="69"/>
      <c r="B1017" s="69"/>
      <c r="C1017" s="7"/>
      <c r="D1017" s="41"/>
      <c r="E1017" s="6"/>
      <c r="F1017" s="41"/>
      <c r="G1017" s="35"/>
      <c r="H1017" s="35"/>
      <c r="J1017" s="69"/>
      <c r="K1017" s="99"/>
      <c r="L1017" s="90"/>
      <c r="M1017" s="69"/>
      <c r="N1017" s="375"/>
      <c r="O1017" s="378"/>
      <c r="P1017" s="13"/>
      <c r="Q1017" s="13"/>
      <c r="R1017" s="13"/>
      <c r="S1017" s="69"/>
      <c r="T1017" s="69"/>
      <c r="U1017" s="69"/>
      <c r="V1017" s="6"/>
      <c r="W1017" s="6"/>
      <c r="X1017" s="181"/>
      <c r="Y1017" s="102"/>
      <c r="Z1017" s="102"/>
      <c r="AA1017" s="102"/>
      <c r="AB1017" s="102"/>
      <c r="AC1017" s="102"/>
      <c r="AD1017" s="342"/>
      <c r="AE1017" s="102"/>
      <c r="AF1017" s="110"/>
      <c r="AG1017" s="108"/>
      <c r="AH1017" s="69"/>
      <c r="AI1017" s="105"/>
      <c r="AJ1017" s="98"/>
      <c r="AK1017" s="110"/>
      <c r="AL1017" s="98"/>
      <c r="AM1017" s="69"/>
      <c r="AN1017" s="13"/>
      <c r="AO1017" s="13"/>
      <c r="AP1017" s="13"/>
      <c r="AQ1017" s="13"/>
      <c r="AR1017" s="13"/>
      <c r="AS1017" s="13"/>
      <c r="AT1017" s="13"/>
      <c r="AU1017" s="13"/>
      <c r="AV1017" s="13"/>
      <c r="AW1017" s="6"/>
      <c r="AX1017" s="13"/>
      <c r="AY1017" s="13"/>
      <c r="AZ1017" s="6"/>
      <c r="BA1017" s="6"/>
      <c r="BB1017" s="6"/>
      <c r="BC1017" s="6"/>
      <c r="BD1017" s="6"/>
      <c r="BE1017" s="6"/>
      <c r="BF1017" s="6"/>
      <c r="BG1017" s="6"/>
    </row>
    <row r="1018">
      <c r="A1018" s="69"/>
      <c r="B1018" s="69"/>
      <c r="C1018" s="7"/>
      <c r="D1018" s="41"/>
      <c r="E1018" s="6"/>
      <c r="F1018" s="41"/>
      <c r="G1018" s="35"/>
      <c r="H1018" s="35"/>
      <c r="J1018" s="69"/>
      <c r="K1018" s="99"/>
      <c r="L1018" s="90"/>
      <c r="M1018" s="69"/>
      <c r="N1018" s="375"/>
      <c r="O1018" s="378"/>
      <c r="P1018" s="13"/>
      <c r="Q1018" s="13"/>
      <c r="R1018" s="13"/>
      <c r="S1018" s="69"/>
      <c r="T1018" s="69"/>
      <c r="U1018" s="69"/>
      <c r="V1018" s="6"/>
      <c r="W1018" s="6"/>
      <c r="X1018" s="181"/>
      <c r="Y1018" s="102"/>
      <c r="Z1018" s="102"/>
      <c r="AA1018" s="102"/>
      <c r="AB1018" s="102"/>
      <c r="AC1018" s="102"/>
      <c r="AD1018" s="342"/>
      <c r="AE1018" s="102"/>
      <c r="AF1018" s="110"/>
      <c r="AG1018" s="108"/>
      <c r="AH1018" s="69"/>
      <c r="AI1018" s="105"/>
      <c r="AJ1018" s="98"/>
      <c r="AK1018" s="110"/>
      <c r="AL1018" s="98"/>
      <c r="AM1018" s="69"/>
      <c r="AN1018" s="13"/>
      <c r="AO1018" s="13"/>
      <c r="AP1018" s="13"/>
      <c r="AQ1018" s="13"/>
      <c r="AR1018" s="13"/>
      <c r="AS1018" s="13"/>
      <c r="AT1018" s="13"/>
      <c r="AU1018" s="13"/>
      <c r="AV1018" s="13"/>
      <c r="AW1018" s="6"/>
      <c r="AX1018" s="13"/>
      <c r="AY1018" s="13"/>
      <c r="AZ1018" s="6"/>
      <c r="BA1018" s="6"/>
      <c r="BB1018" s="6"/>
      <c r="BC1018" s="6"/>
      <c r="BD1018" s="6"/>
      <c r="BE1018" s="6"/>
      <c r="BF1018" s="6"/>
      <c r="BG1018" s="6"/>
    </row>
    <row r="1019">
      <c r="A1019" s="69"/>
      <c r="B1019" s="69"/>
      <c r="C1019" s="7"/>
      <c r="D1019" s="41"/>
      <c r="E1019" s="6"/>
      <c r="F1019" s="41"/>
      <c r="G1019" s="35"/>
      <c r="H1019" s="35"/>
      <c r="J1019" s="69"/>
      <c r="K1019" s="99"/>
      <c r="L1019" s="90"/>
      <c r="M1019" s="69"/>
      <c r="N1019" s="375"/>
      <c r="O1019" s="378"/>
      <c r="P1019" s="13"/>
      <c r="Q1019" s="13"/>
      <c r="R1019" s="13"/>
      <c r="S1019" s="69"/>
      <c r="T1019" s="69"/>
      <c r="U1019" s="69"/>
      <c r="V1019" s="6"/>
      <c r="W1019" s="6"/>
      <c r="X1019" s="181"/>
      <c r="Y1019" s="102"/>
      <c r="Z1019" s="102"/>
      <c r="AA1019" s="102"/>
      <c r="AB1019" s="102"/>
      <c r="AC1019" s="102"/>
      <c r="AD1019" s="342"/>
      <c r="AE1019" s="102"/>
      <c r="AF1019" s="110"/>
      <c r="AG1019" s="108"/>
      <c r="AH1019" s="69"/>
      <c r="AI1019" s="105"/>
      <c r="AJ1019" s="98"/>
      <c r="AK1019" s="110"/>
      <c r="AL1019" s="98"/>
      <c r="AM1019" s="69"/>
      <c r="AN1019" s="13"/>
      <c r="AO1019" s="13"/>
      <c r="AP1019" s="13"/>
      <c r="AQ1019" s="13"/>
      <c r="AR1019" s="13"/>
      <c r="AS1019" s="13"/>
      <c r="AT1019" s="13"/>
      <c r="AU1019" s="13"/>
      <c r="AV1019" s="13"/>
      <c r="AW1019" s="6"/>
      <c r="AX1019" s="13"/>
      <c r="AY1019" s="13"/>
      <c r="AZ1019" s="6"/>
      <c r="BA1019" s="6"/>
      <c r="BB1019" s="6"/>
      <c r="BC1019" s="6"/>
      <c r="BD1019" s="6"/>
      <c r="BE1019" s="6"/>
      <c r="BF1019" s="6"/>
      <c r="BG1019" s="6"/>
    </row>
    <row r="1020">
      <c r="A1020" s="69"/>
      <c r="B1020" s="69"/>
      <c r="C1020" s="7"/>
      <c r="D1020" s="41"/>
      <c r="E1020" s="6"/>
      <c r="F1020" s="41"/>
      <c r="G1020" s="35"/>
      <c r="H1020" s="35"/>
      <c r="J1020" s="69"/>
      <c r="K1020" s="99"/>
      <c r="L1020" s="90"/>
      <c r="M1020" s="69"/>
      <c r="N1020" s="375"/>
      <c r="O1020" s="378"/>
      <c r="P1020" s="13"/>
      <c r="Q1020" s="13"/>
      <c r="R1020" s="13"/>
      <c r="S1020" s="69"/>
      <c r="T1020" s="69"/>
      <c r="U1020" s="69"/>
      <c r="V1020" s="6"/>
      <c r="W1020" s="6"/>
      <c r="X1020" s="181"/>
      <c r="Y1020" s="102"/>
      <c r="Z1020" s="102"/>
      <c r="AA1020" s="102"/>
      <c r="AB1020" s="102"/>
      <c r="AC1020" s="102"/>
      <c r="AD1020" s="342"/>
      <c r="AE1020" s="102"/>
      <c r="AF1020" s="110"/>
      <c r="AG1020" s="108"/>
      <c r="AH1020" s="69"/>
      <c r="AI1020" s="105"/>
      <c r="AJ1020" s="98"/>
      <c r="AK1020" s="110"/>
      <c r="AL1020" s="98"/>
      <c r="AM1020" s="69"/>
      <c r="AN1020" s="13"/>
      <c r="AO1020" s="13"/>
      <c r="AP1020" s="13"/>
      <c r="AQ1020" s="13"/>
      <c r="AR1020" s="13"/>
      <c r="AS1020" s="13"/>
      <c r="AT1020" s="13"/>
      <c r="AU1020" s="13"/>
      <c r="AV1020" s="13"/>
      <c r="AW1020" s="6"/>
      <c r="AX1020" s="13"/>
      <c r="AY1020" s="13"/>
      <c r="AZ1020" s="6"/>
      <c r="BA1020" s="6"/>
      <c r="BB1020" s="6"/>
      <c r="BC1020" s="6"/>
      <c r="BD1020" s="6"/>
      <c r="BE1020" s="6"/>
      <c r="BF1020" s="6"/>
      <c r="BG1020" s="6"/>
    </row>
    <row r="1021">
      <c r="A1021" s="69"/>
      <c r="B1021" s="69"/>
      <c r="C1021" s="7"/>
      <c r="D1021" s="41"/>
      <c r="E1021" s="6"/>
      <c r="F1021" s="41"/>
      <c r="G1021" s="35"/>
      <c r="H1021" s="35"/>
      <c r="J1021" s="69"/>
      <c r="K1021" s="99"/>
      <c r="L1021" s="90"/>
      <c r="M1021" s="69"/>
      <c r="N1021" s="375"/>
      <c r="O1021" s="378"/>
      <c r="P1021" s="13"/>
      <c r="Q1021" s="13"/>
      <c r="R1021" s="13"/>
      <c r="S1021" s="69"/>
      <c r="T1021" s="69"/>
      <c r="U1021" s="69"/>
      <c r="V1021" s="6"/>
      <c r="W1021" s="6"/>
      <c r="X1021" s="181"/>
      <c r="Y1021" s="102"/>
      <c r="Z1021" s="102"/>
      <c r="AA1021" s="102"/>
      <c r="AB1021" s="102"/>
      <c r="AC1021" s="102"/>
      <c r="AD1021" s="342"/>
      <c r="AE1021" s="102"/>
      <c r="AF1021" s="110"/>
      <c r="AG1021" s="108"/>
      <c r="AH1021" s="69"/>
      <c r="AI1021" s="105"/>
      <c r="AJ1021" s="98"/>
      <c r="AK1021" s="110"/>
      <c r="AL1021" s="98"/>
      <c r="AM1021" s="69"/>
      <c r="AN1021" s="13"/>
      <c r="AO1021" s="13"/>
      <c r="AP1021" s="13"/>
      <c r="AQ1021" s="13"/>
      <c r="AR1021" s="13"/>
      <c r="AS1021" s="13"/>
      <c r="AT1021" s="13"/>
      <c r="AU1021" s="13"/>
      <c r="AV1021" s="13"/>
      <c r="AW1021" s="6"/>
      <c r="AX1021" s="13"/>
      <c r="AY1021" s="13"/>
      <c r="AZ1021" s="6"/>
      <c r="BA1021" s="6"/>
      <c r="BB1021" s="6"/>
      <c r="BC1021" s="6"/>
      <c r="BD1021" s="6"/>
      <c r="BE1021" s="6"/>
      <c r="BF1021" s="6"/>
      <c r="BG1021" s="6"/>
    </row>
    <row r="1022">
      <c r="A1022" s="69"/>
      <c r="B1022" s="69"/>
      <c r="C1022" s="7"/>
      <c r="D1022" s="41"/>
      <c r="E1022" s="6"/>
      <c r="F1022" s="41"/>
      <c r="G1022" s="35"/>
      <c r="H1022" s="35"/>
      <c r="J1022" s="69"/>
      <c r="K1022" s="99"/>
      <c r="L1022" s="90"/>
      <c r="M1022" s="69"/>
      <c r="N1022" s="375"/>
      <c r="O1022" s="378"/>
      <c r="P1022" s="13"/>
      <c r="Q1022" s="13"/>
      <c r="R1022" s="13"/>
      <c r="S1022" s="69"/>
      <c r="T1022" s="69"/>
      <c r="U1022" s="69"/>
      <c r="V1022" s="6"/>
      <c r="W1022" s="6"/>
      <c r="X1022" s="181"/>
      <c r="Y1022" s="102"/>
      <c r="Z1022" s="102"/>
      <c r="AA1022" s="102"/>
      <c r="AB1022" s="102"/>
      <c r="AC1022" s="102"/>
      <c r="AD1022" s="342"/>
      <c r="AE1022" s="102"/>
      <c r="AF1022" s="110"/>
      <c r="AG1022" s="108"/>
      <c r="AH1022" s="69"/>
      <c r="AI1022" s="105"/>
      <c r="AJ1022" s="98"/>
      <c r="AK1022" s="110"/>
      <c r="AL1022" s="98"/>
      <c r="AM1022" s="69"/>
      <c r="AN1022" s="13"/>
      <c r="AO1022" s="13"/>
      <c r="AP1022" s="13"/>
      <c r="AQ1022" s="13"/>
      <c r="AR1022" s="13"/>
      <c r="AS1022" s="13"/>
      <c r="AT1022" s="13"/>
      <c r="AU1022" s="13"/>
      <c r="AV1022" s="13"/>
      <c r="AW1022" s="6"/>
      <c r="AX1022" s="13"/>
      <c r="AY1022" s="13"/>
      <c r="AZ1022" s="6"/>
      <c r="BA1022" s="6"/>
      <c r="BB1022" s="6"/>
      <c r="BC1022" s="6"/>
      <c r="BD1022" s="6"/>
      <c r="BE1022" s="6"/>
      <c r="BF1022" s="6"/>
      <c r="BG1022" s="6"/>
    </row>
    <row r="1023">
      <c r="A1023" s="69"/>
      <c r="B1023" s="69"/>
      <c r="C1023" s="7"/>
      <c r="D1023" s="41"/>
      <c r="E1023" s="6"/>
      <c r="F1023" s="41"/>
      <c r="G1023" s="35"/>
      <c r="H1023" s="35"/>
      <c r="J1023" s="69"/>
      <c r="K1023" s="99"/>
      <c r="L1023" s="90"/>
      <c r="M1023" s="69"/>
      <c r="N1023" s="375"/>
      <c r="O1023" s="378"/>
      <c r="P1023" s="13"/>
      <c r="Q1023" s="13"/>
      <c r="R1023" s="13"/>
      <c r="S1023" s="69"/>
      <c r="T1023" s="69"/>
      <c r="U1023" s="69"/>
      <c r="V1023" s="6"/>
      <c r="W1023" s="6"/>
      <c r="X1023" s="181"/>
      <c r="Y1023" s="102"/>
      <c r="Z1023" s="102"/>
      <c r="AA1023" s="102"/>
      <c r="AB1023" s="102"/>
      <c r="AC1023" s="102"/>
      <c r="AD1023" s="342"/>
      <c r="AE1023" s="102"/>
      <c r="AF1023" s="110"/>
      <c r="AG1023" s="108"/>
      <c r="AH1023" s="69"/>
      <c r="AI1023" s="105"/>
      <c r="AJ1023" s="98"/>
      <c r="AK1023" s="110"/>
      <c r="AL1023" s="98"/>
      <c r="AM1023" s="69"/>
      <c r="AN1023" s="13"/>
      <c r="AO1023" s="13"/>
      <c r="AP1023" s="13"/>
      <c r="AQ1023" s="13"/>
      <c r="AR1023" s="13"/>
      <c r="AS1023" s="13"/>
      <c r="AT1023" s="13"/>
      <c r="AU1023" s="13"/>
      <c r="AV1023" s="13"/>
      <c r="AW1023" s="6"/>
      <c r="AX1023" s="13"/>
      <c r="AY1023" s="13"/>
      <c r="AZ1023" s="6"/>
      <c r="BA1023" s="6"/>
      <c r="BB1023" s="6"/>
      <c r="BC1023" s="6"/>
      <c r="BD1023" s="6"/>
      <c r="BE1023" s="6"/>
      <c r="BF1023" s="6"/>
      <c r="BG1023" s="6"/>
    </row>
    <row r="1024">
      <c r="A1024" s="69"/>
      <c r="B1024" s="69"/>
      <c r="C1024" s="7"/>
      <c r="D1024" s="41"/>
      <c r="E1024" s="6"/>
      <c r="F1024" s="41"/>
      <c r="G1024" s="35"/>
      <c r="H1024" s="35"/>
      <c r="J1024" s="69"/>
      <c r="K1024" s="99"/>
      <c r="L1024" s="90"/>
      <c r="M1024" s="69"/>
      <c r="N1024" s="375"/>
      <c r="O1024" s="378"/>
      <c r="P1024" s="13"/>
      <c r="Q1024" s="13"/>
      <c r="R1024" s="13"/>
      <c r="S1024" s="69"/>
      <c r="T1024" s="69"/>
      <c r="U1024" s="69"/>
      <c r="V1024" s="6"/>
      <c r="W1024" s="6"/>
      <c r="X1024" s="181"/>
      <c r="Y1024" s="102"/>
      <c r="Z1024" s="102"/>
      <c r="AA1024" s="102"/>
      <c r="AB1024" s="102"/>
      <c r="AC1024" s="102"/>
      <c r="AD1024" s="342"/>
      <c r="AE1024" s="102"/>
      <c r="AF1024" s="110"/>
      <c r="AG1024" s="108"/>
      <c r="AH1024" s="69"/>
      <c r="AI1024" s="105"/>
      <c r="AJ1024" s="98"/>
      <c r="AK1024" s="110"/>
      <c r="AL1024" s="98"/>
      <c r="AM1024" s="69"/>
      <c r="AN1024" s="13"/>
      <c r="AO1024" s="13"/>
      <c r="AP1024" s="13"/>
      <c r="AQ1024" s="13"/>
      <c r="AR1024" s="13"/>
      <c r="AS1024" s="13"/>
      <c r="AT1024" s="13"/>
      <c r="AU1024" s="13"/>
      <c r="AV1024" s="13"/>
      <c r="AW1024" s="6"/>
      <c r="AX1024" s="13"/>
      <c r="AY1024" s="13"/>
      <c r="AZ1024" s="6"/>
      <c r="BA1024" s="6"/>
      <c r="BB1024" s="6"/>
      <c r="BC1024" s="6"/>
      <c r="BD1024" s="6"/>
      <c r="BE1024" s="6"/>
      <c r="BF1024" s="6"/>
      <c r="BG1024" s="6"/>
    </row>
    <row r="1025">
      <c r="A1025" s="69"/>
      <c r="B1025" s="69"/>
      <c r="C1025" s="7"/>
      <c r="D1025" s="41"/>
      <c r="E1025" s="6"/>
      <c r="F1025" s="41"/>
      <c r="G1025" s="35"/>
      <c r="H1025" s="98"/>
      <c r="J1025" s="69"/>
      <c r="K1025" s="99"/>
      <c r="L1025" s="90"/>
      <c r="M1025" s="69"/>
      <c r="N1025" s="375"/>
      <c r="O1025" s="378"/>
      <c r="P1025" s="6"/>
      <c r="Q1025" s="6"/>
      <c r="R1025" s="13"/>
      <c r="S1025" s="98"/>
      <c r="T1025" s="35"/>
      <c r="U1025" s="69"/>
      <c r="V1025" s="6"/>
      <c r="W1025" s="6"/>
      <c r="X1025" s="181"/>
      <c r="Y1025" s="150"/>
      <c r="Z1025" s="150"/>
      <c r="AA1025" s="150"/>
      <c r="AB1025" s="150"/>
      <c r="AC1025" s="150"/>
      <c r="AD1025" s="381"/>
      <c r="AE1025" s="150"/>
      <c r="AF1025" s="110"/>
      <c r="AG1025" s="108"/>
      <c r="AH1025" s="69"/>
      <c r="AI1025" s="105"/>
      <c r="AJ1025" s="98"/>
      <c r="AK1025" s="110"/>
      <c r="AL1025" s="98"/>
      <c r="AM1025" s="69"/>
      <c r="AN1025" s="13"/>
      <c r="AO1025" s="13"/>
      <c r="AP1025" s="13"/>
      <c r="AQ1025" s="6"/>
      <c r="AR1025" s="6"/>
      <c r="AS1025" s="6"/>
      <c r="AT1025" s="6"/>
      <c r="AU1025" s="6"/>
      <c r="AV1025" s="6"/>
      <c r="AW1025" s="6"/>
      <c r="AX1025" s="13"/>
      <c r="AY1025" s="13"/>
      <c r="AZ1025" s="6"/>
      <c r="BA1025" s="6"/>
      <c r="BB1025" s="6"/>
      <c r="BC1025" s="6"/>
      <c r="BD1025" s="6"/>
      <c r="BE1025" s="6"/>
      <c r="BF1025" s="6"/>
      <c r="BG1025" s="6"/>
    </row>
    <row r="1026">
      <c r="A1026" s="69"/>
      <c r="B1026" s="69"/>
      <c r="C1026" s="7"/>
      <c r="D1026" s="41"/>
      <c r="E1026" s="6"/>
      <c r="F1026" s="41"/>
      <c r="G1026" s="35"/>
      <c r="H1026" s="98"/>
      <c r="J1026" s="69"/>
      <c r="K1026" s="99"/>
      <c r="L1026" s="90"/>
      <c r="M1026" s="69"/>
      <c r="N1026" s="375"/>
      <c r="O1026" s="378"/>
      <c r="P1026" s="13"/>
      <c r="Q1026" s="13"/>
      <c r="R1026" s="13"/>
      <c r="S1026" s="98"/>
      <c r="T1026" s="35"/>
      <c r="U1026" s="69"/>
      <c r="V1026" s="6"/>
      <c r="W1026" s="6"/>
      <c r="X1026" s="181"/>
      <c r="Y1026" s="150"/>
      <c r="Z1026" s="150"/>
      <c r="AA1026" s="150"/>
      <c r="AB1026" s="150"/>
      <c r="AC1026" s="150"/>
      <c r="AD1026" s="381"/>
      <c r="AE1026" s="150"/>
      <c r="AF1026" s="110"/>
      <c r="AG1026" s="108"/>
      <c r="AH1026" s="69"/>
      <c r="AI1026" s="105"/>
      <c r="AJ1026" s="98"/>
      <c r="AK1026" s="110"/>
      <c r="AL1026" s="98"/>
      <c r="AM1026" s="69"/>
      <c r="AN1026" s="13"/>
      <c r="AO1026" s="13"/>
      <c r="AP1026" s="13"/>
      <c r="AQ1026" s="6"/>
      <c r="AR1026" s="13"/>
      <c r="AS1026" s="13"/>
      <c r="AT1026" s="13"/>
      <c r="AU1026" s="13"/>
      <c r="AV1026" s="13"/>
      <c r="AW1026" s="6"/>
      <c r="AX1026" s="13"/>
      <c r="AY1026" s="13"/>
      <c r="AZ1026" s="6"/>
      <c r="BA1026" s="6"/>
      <c r="BB1026" s="6"/>
      <c r="BC1026" s="6"/>
      <c r="BD1026" s="6"/>
      <c r="BE1026" s="6"/>
      <c r="BF1026" s="6"/>
      <c r="BG1026" s="6"/>
    </row>
    <row r="1027">
      <c r="A1027" s="69"/>
      <c r="B1027" s="69"/>
      <c r="C1027" s="7"/>
      <c r="D1027" s="41"/>
      <c r="E1027" s="6"/>
      <c r="F1027" s="41"/>
      <c r="G1027" s="35"/>
      <c r="H1027" s="98"/>
      <c r="J1027" s="69"/>
      <c r="K1027" s="99"/>
      <c r="L1027" s="90"/>
      <c r="M1027" s="69"/>
      <c r="N1027" s="375"/>
      <c r="O1027" s="378"/>
      <c r="P1027" s="13"/>
      <c r="Q1027" s="13"/>
      <c r="R1027" s="13"/>
      <c r="S1027" s="98"/>
      <c r="T1027" s="35"/>
      <c r="U1027" s="69"/>
      <c r="V1027" s="6"/>
      <c r="W1027" s="6"/>
      <c r="X1027" s="181"/>
      <c r="Y1027" s="150"/>
      <c r="Z1027" s="150"/>
      <c r="AA1027" s="150"/>
      <c r="AB1027" s="150"/>
      <c r="AC1027" s="150"/>
      <c r="AD1027" s="381"/>
      <c r="AE1027" s="150"/>
      <c r="AF1027" s="110"/>
      <c r="AG1027" s="108"/>
      <c r="AH1027" s="69"/>
      <c r="AI1027" s="105"/>
      <c r="AJ1027" s="98"/>
      <c r="AK1027" s="110"/>
      <c r="AL1027" s="98"/>
      <c r="AM1027" s="69"/>
      <c r="AN1027" s="13"/>
      <c r="AO1027" s="13"/>
      <c r="AP1027" s="13"/>
      <c r="AQ1027" s="6"/>
      <c r="AR1027" s="13"/>
      <c r="AS1027" s="13"/>
      <c r="AT1027" s="13"/>
      <c r="AU1027" s="13"/>
      <c r="AV1027" s="13"/>
      <c r="AW1027" s="6"/>
      <c r="AX1027" s="13"/>
      <c r="AY1027" s="13"/>
      <c r="AZ1027" s="6"/>
      <c r="BA1027" s="6"/>
      <c r="BB1027" s="6"/>
      <c r="BC1027" s="6"/>
      <c r="BD1027" s="6"/>
      <c r="BE1027" s="6"/>
      <c r="BF1027" s="6"/>
      <c r="BG1027" s="6"/>
    </row>
    <row r="1028">
      <c r="A1028" s="69"/>
      <c r="B1028" s="69"/>
      <c r="C1028" s="7"/>
      <c r="D1028" s="41"/>
      <c r="E1028" s="6"/>
      <c r="F1028" s="41"/>
      <c r="G1028" s="35"/>
      <c r="H1028" s="35"/>
      <c r="J1028" s="69"/>
      <c r="K1028" s="99"/>
      <c r="L1028" s="90"/>
      <c r="M1028" s="69"/>
      <c r="N1028" s="375"/>
      <c r="O1028" s="378"/>
      <c r="P1028" s="13"/>
      <c r="Q1028" s="13"/>
      <c r="R1028" s="13"/>
      <c r="S1028" s="69"/>
      <c r="T1028" s="69"/>
      <c r="U1028" s="69"/>
      <c r="V1028" s="6"/>
      <c r="W1028" s="6"/>
      <c r="X1028" s="181"/>
      <c r="Y1028" s="102"/>
      <c r="Z1028" s="102"/>
      <c r="AA1028" s="102"/>
      <c r="AB1028" s="102"/>
      <c r="AC1028" s="102"/>
      <c r="AD1028" s="342"/>
      <c r="AE1028" s="102"/>
      <c r="AF1028" s="110"/>
      <c r="AG1028" s="108"/>
      <c r="AH1028" s="69"/>
      <c r="AI1028" s="105"/>
      <c r="AJ1028" s="98"/>
      <c r="AK1028" s="110"/>
      <c r="AL1028" s="98"/>
      <c r="AM1028" s="69"/>
      <c r="AN1028" s="13"/>
      <c r="AO1028" s="13"/>
      <c r="AP1028" s="13"/>
      <c r="AQ1028" s="6"/>
      <c r="AR1028" s="13"/>
      <c r="AS1028" s="13"/>
      <c r="AT1028" s="13"/>
      <c r="AU1028" s="13"/>
      <c r="AV1028" s="13"/>
      <c r="AW1028" s="6"/>
      <c r="AX1028" s="13"/>
      <c r="AY1028" s="13"/>
      <c r="AZ1028" s="6"/>
      <c r="BA1028" s="6"/>
      <c r="BB1028" s="6"/>
      <c r="BC1028" s="6"/>
      <c r="BD1028" s="6"/>
      <c r="BE1028" s="6"/>
      <c r="BF1028" s="6"/>
      <c r="BG1028" s="6"/>
    </row>
    <row r="1029">
      <c r="A1029" s="69"/>
      <c r="B1029" s="69"/>
      <c r="C1029" s="7"/>
      <c r="D1029" s="41"/>
      <c r="E1029" s="6"/>
      <c r="F1029" s="41"/>
      <c r="G1029" s="35"/>
      <c r="H1029" s="35"/>
      <c r="J1029" s="69"/>
      <c r="K1029" s="99"/>
      <c r="L1029" s="90"/>
      <c r="M1029" s="69"/>
      <c r="N1029" s="375"/>
      <c r="O1029" s="378"/>
      <c r="P1029" s="13"/>
      <c r="Q1029" s="13"/>
      <c r="R1029" s="13"/>
      <c r="S1029" s="69"/>
      <c r="T1029" s="69"/>
      <c r="U1029" s="69"/>
      <c r="V1029" s="6"/>
      <c r="W1029" s="6"/>
      <c r="X1029" s="181"/>
      <c r="Y1029" s="102"/>
      <c r="Z1029" s="102"/>
      <c r="AA1029" s="102"/>
      <c r="AB1029" s="102"/>
      <c r="AC1029" s="102"/>
      <c r="AD1029" s="342"/>
      <c r="AE1029" s="102"/>
      <c r="AF1029" s="110"/>
      <c r="AG1029" s="108"/>
      <c r="AH1029" s="69"/>
      <c r="AI1029" s="105"/>
      <c r="AJ1029" s="98"/>
      <c r="AK1029" s="110"/>
      <c r="AL1029" s="98"/>
      <c r="AM1029" s="69"/>
      <c r="AN1029" s="13"/>
      <c r="AO1029" s="13"/>
      <c r="AP1029" s="13"/>
      <c r="AQ1029" s="6"/>
      <c r="AR1029" s="13"/>
      <c r="AS1029" s="13"/>
      <c r="AT1029" s="13"/>
      <c r="AU1029" s="13"/>
      <c r="AV1029" s="13"/>
      <c r="AW1029" s="6"/>
      <c r="AX1029" s="13"/>
      <c r="AY1029" s="13"/>
      <c r="AZ1029" s="6"/>
      <c r="BA1029" s="6"/>
      <c r="BB1029" s="6"/>
      <c r="BC1029" s="6"/>
      <c r="BD1029" s="6"/>
      <c r="BE1029" s="6"/>
      <c r="BF1029" s="6"/>
      <c r="BG1029" s="6"/>
    </row>
    <row r="1030">
      <c r="A1030" s="69"/>
      <c r="B1030" s="69"/>
      <c r="C1030" s="7"/>
      <c r="D1030" s="41"/>
      <c r="E1030" s="6"/>
      <c r="F1030" s="41"/>
      <c r="G1030" s="35"/>
      <c r="H1030" s="35"/>
      <c r="J1030" s="69"/>
      <c r="K1030" s="99"/>
      <c r="L1030" s="90"/>
      <c r="M1030" s="69"/>
      <c r="N1030" s="375"/>
      <c r="O1030" s="378"/>
      <c r="P1030" s="13"/>
      <c r="Q1030" s="13"/>
      <c r="R1030" s="13"/>
      <c r="S1030" s="69"/>
      <c r="T1030" s="69"/>
      <c r="U1030" s="69"/>
      <c r="V1030" s="6"/>
      <c r="W1030" s="6"/>
      <c r="X1030" s="181"/>
      <c r="Y1030" s="102"/>
      <c r="Z1030" s="102"/>
      <c r="AA1030" s="102"/>
      <c r="AB1030" s="102"/>
      <c r="AC1030" s="102"/>
      <c r="AD1030" s="342"/>
      <c r="AE1030" s="102"/>
      <c r="AF1030" s="110"/>
      <c r="AG1030" s="108"/>
      <c r="AH1030" s="69"/>
      <c r="AI1030" s="105"/>
      <c r="AJ1030" s="98"/>
      <c r="AK1030" s="110"/>
      <c r="AL1030" s="98"/>
      <c r="AM1030" s="69"/>
      <c r="AN1030" s="13"/>
      <c r="AO1030" s="13"/>
      <c r="AP1030" s="13"/>
      <c r="AQ1030" s="6"/>
      <c r="AR1030" s="13"/>
      <c r="AS1030" s="13"/>
      <c r="AT1030" s="13"/>
      <c r="AU1030" s="13"/>
      <c r="AV1030" s="13"/>
      <c r="AW1030" s="6"/>
      <c r="AX1030" s="13"/>
      <c r="AY1030" s="13"/>
      <c r="AZ1030" s="6"/>
      <c r="BA1030" s="6"/>
      <c r="BB1030" s="6"/>
      <c r="BC1030" s="6"/>
      <c r="BD1030" s="6"/>
      <c r="BE1030" s="6"/>
      <c r="BF1030" s="6"/>
      <c r="BG1030" s="6"/>
    </row>
    <row r="1031">
      <c r="A1031" s="69"/>
      <c r="B1031" s="69"/>
      <c r="C1031" s="7"/>
      <c r="D1031" s="41"/>
      <c r="E1031" s="6"/>
      <c r="F1031" s="41"/>
      <c r="G1031" s="35"/>
      <c r="H1031" s="35"/>
      <c r="J1031" s="69"/>
      <c r="K1031" s="99"/>
      <c r="L1031" s="90"/>
      <c r="M1031" s="69"/>
      <c r="N1031" s="375"/>
      <c r="O1031" s="378"/>
      <c r="P1031" s="13"/>
      <c r="Q1031" s="13"/>
      <c r="R1031" s="13"/>
      <c r="S1031" s="69"/>
      <c r="T1031" s="69"/>
      <c r="U1031" s="69"/>
      <c r="V1031" s="6"/>
      <c r="W1031" s="6"/>
      <c r="X1031" s="181"/>
      <c r="Y1031" s="102"/>
      <c r="Z1031" s="102"/>
      <c r="AA1031" s="102"/>
      <c r="AB1031" s="102"/>
      <c r="AC1031" s="102"/>
      <c r="AD1031" s="342"/>
      <c r="AE1031" s="102"/>
      <c r="AF1031" s="110"/>
      <c r="AG1031" s="108"/>
      <c r="AH1031" s="69"/>
      <c r="AI1031" s="105"/>
      <c r="AJ1031" s="98"/>
      <c r="AK1031" s="110"/>
      <c r="AL1031" s="98"/>
      <c r="AM1031" s="69"/>
      <c r="AN1031" s="13"/>
      <c r="AO1031" s="13"/>
      <c r="AP1031" s="13"/>
      <c r="AQ1031" s="6"/>
      <c r="AR1031" s="13"/>
      <c r="AS1031" s="13"/>
      <c r="AT1031" s="13"/>
      <c r="AU1031" s="13"/>
      <c r="AV1031" s="13"/>
      <c r="AW1031" s="6"/>
      <c r="AX1031" s="13"/>
      <c r="AY1031" s="13"/>
      <c r="AZ1031" s="6"/>
      <c r="BA1031" s="6"/>
      <c r="BB1031" s="6"/>
      <c r="BC1031" s="6"/>
      <c r="BD1031" s="6"/>
      <c r="BE1031" s="6"/>
      <c r="BF1031" s="6"/>
      <c r="BG1031" s="6"/>
    </row>
    <row r="1032">
      <c r="A1032" s="69"/>
      <c r="B1032" s="69"/>
      <c r="C1032" s="7"/>
      <c r="D1032" s="41"/>
      <c r="E1032" s="6"/>
      <c r="F1032" s="41"/>
      <c r="G1032" s="35"/>
      <c r="H1032" s="35"/>
      <c r="J1032" s="69"/>
      <c r="K1032" s="99"/>
      <c r="L1032" s="90"/>
      <c r="M1032" s="69"/>
      <c r="N1032" s="375"/>
      <c r="O1032" s="378"/>
      <c r="P1032" s="13"/>
      <c r="Q1032" s="13"/>
      <c r="R1032" s="13"/>
      <c r="S1032" s="69"/>
      <c r="T1032" s="69"/>
      <c r="U1032" s="69"/>
      <c r="V1032" s="6"/>
      <c r="W1032" s="6"/>
      <c r="X1032" s="181"/>
      <c r="Y1032" s="102"/>
      <c r="Z1032" s="102"/>
      <c r="AA1032" s="102"/>
      <c r="AB1032" s="102"/>
      <c r="AC1032" s="102"/>
      <c r="AD1032" s="342"/>
      <c r="AE1032" s="102"/>
      <c r="AF1032" s="110"/>
      <c r="AG1032" s="108"/>
      <c r="AH1032" s="69"/>
      <c r="AI1032" s="105"/>
      <c r="AJ1032" s="98"/>
      <c r="AK1032" s="110"/>
      <c r="AL1032" s="98"/>
      <c r="AM1032" s="69"/>
      <c r="AN1032" s="13"/>
      <c r="AO1032" s="13"/>
      <c r="AP1032" s="13"/>
      <c r="AQ1032" s="6"/>
      <c r="AR1032" s="13"/>
      <c r="AS1032" s="13"/>
      <c r="AT1032" s="13"/>
      <c r="AU1032" s="13"/>
      <c r="AV1032" s="13"/>
      <c r="AW1032" s="6"/>
      <c r="AX1032" s="13"/>
      <c r="AY1032" s="13"/>
      <c r="AZ1032" s="6"/>
      <c r="BA1032" s="6"/>
      <c r="BB1032" s="6"/>
      <c r="BC1032" s="6"/>
      <c r="BD1032" s="6"/>
      <c r="BE1032" s="6"/>
      <c r="BF1032" s="6"/>
      <c r="BG1032" s="6"/>
    </row>
    <row r="1033">
      <c r="A1033" s="69"/>
      <c r="B1033" s="69"/>
      <c r="C1033" s="7"/>
      <c r="D1033" s="41"/>
      <c r="E1033" s="6"/>
      <c r="F1033" s="41"/>
      <c r="G1033" s="35"/>
      <c r="H1033" s="35"/>
      <c r="J1033" s="69"/>
      <c r="K1033" s="99"/>
      <c r="L1033" s="90"/>
      <c r="M1033" s="69"/>
      <c r="N1033" s="375"/>
      <c r="O1033" s="378"/>
      <c r="P1033" s="13"/>
      <c r="Q1033" s="13"/>
      <c r="R1033" s="13"/>
      <c r="S1033" s="69"/>
      <c r="T1033" s="69"/>
      <c r="U1033" s="69"/>
      <c r="V1033" s="6"/>
      <c r="W1033" s="6"/>
      <c r="X1033" s="181"/>
      <c r="Y1033" s="102"/>
      <c r="Z1033" s="102"/>
      <c r="AA1033" s="102"/>
      <c r="AB1033" s="102"/>
      <c r="AC1033" s="102"/>
      <c r="AD1033" s="342"/>
      <c r="AE1033" s="102"/>
      <c r="AF1033" s="110"/>
      <c r="AG1033" s="108"/>
      <c r="AH1033" s="69"/>
      <c r="AI1033" s="105"/>
      <c r="AJ1033" s="98"/>
      <c r="AK1033" s="110"/>
      <c r="AL1033" s="98"/>
      <c r="AM1033" s="69"/>
      <c r="AN1033" s="13"/>
      <c r="AO1033" s="13"/>
      <c r="AP1033" s="13"/>
      <c r="AQ1033" s="6"/>
      <c r="AR1033" s="13"/>
      <c r="AS1033" s="13"/>
      <c r="AT1033" s="13"/>
      <c r="AU1033" s="13"/>
      <c r="AV1033" s="13"/>
      <c r="AW1033" s="6"/>
      <c r="AX1033" s="13"/>
      <c r="AY1033" s="13"/>
      <c r="AZ1033" s="6"/>
      <c r="BA1033" s="6"/>
      <c r="BB1033" s="6"/>
      <c r="BC1033" s="6"/>
      <c r="BD1033" s="6"/>
      <c r="BE1033" s="6"/>
      <c r="BF1033" s="6"/>
      <c r="BG1033" s="6"/>
    </row>
    <row r="1034">
      <c r="A1034" s="69"/>
      <c r="B1034" s="69"/>
      <c r="C1034" s="7"/>
      <c r="D1034" s="41"/>
      <c r="E1034" s="6"/>
      <c r="F1034" s="41"/>
      <c r="G1034" s="35"/>
      <c r="H1034" s="35"/>
      <c r="J1034" s="69"/>
      <c r="K1034" s="99"/>
      <c r="L1034" s="90"/>
      <c r="M1034" s="69"/>
      <c r="N1034" s="375"/>
      <c r="O1034" s="378"/>
      <c r="P1034" s="13"/>
      <c r="Q1034" s="13"/>
      <c r="R1034" s="13"/>
      <c r="S1034" s="69"/>
      <c r="T1034" s="69"/>
      <c r="U1034" s="69"/>
      <c r="V1034" s="6"/>
      <c r="W1034" s="6"/>
      <c r="X1034" s="181"/>
      <c r="Y1034" s="102"/>
      <c r="Z1034" s="102"/>
      <c r="AA1034" s="102"/>
      <c r="AB1034" s="102"/>
      <c r="AC1034" s="102"/>
      <c r="AD1034" s="342"/>
      <c r="AE1034" s="102"/>
      <c r="AF1034" s="110"/>
      <c r="AG1034" s="108"/>
      <c r="AH1034" s="69"/>
      <c r="AI1034" s="105"/>
      <c r="AJ1034" s="98"/>
      <c r="AK1034" s="110"/>
      <c r="AL1034" s="98"/>
      <c r="AM1034" s="69"/>
      <c r="AN1034" s="13"/>
      <c r="AO1034" s="13"/>
      <c r="AP1034" s="13"/>
      <c r="AQ1034" s="6"/>
      <c r="AR1034" s="13"/>
      <c r="AS1034" s="13"/>
      <c r="AT1034" s="13"/>
      <c r="AU1034" s="13"/>
      <c r="AV1034" s="13"/>
      <c r="AW1034" s="6"/>
      <c r="AX1034" s="13"/>
      <c r="AY1034" s="13"/>
      <c r="AZ1034" s="6"/>
      <c r="BA1034" s="6"/>
      <c r="BB1034" s="6"/>
      <c r="BC1034" s="6"/>
      <c r="BD1034" s="6"/>
      <c r="BE1034" s="6"/>
      <c r="BF1034" s="6"/>
      <c r="BG1034" s="6"/>
    </row>
    <row r="1035">
      <c r="A1035" s="69"/>
      <c r="B1035" s="69"/>
      <c r="C1035" s="7"/>
      <c r="D1035" s="41"/>
      <c r="E1035" s="6"/>
      <c r="F1035" s="41"/>
      <c r="G1035" s="35"/>
      <c r="H1035" s="35"/>
      <c r="J1035" s="69"/>
      <c r="K1035" s="99"/>
      <c r="L1035" s="90"/>
      <c r="M1035" s="69"/>
      <c r="N1035" s="375"/>
      <c r="O1035" s="378"/>
      <c r="P1035" s="13"/>
      <c r="Q1035" s="13"/>
      <c r="R1035" s="13"/>
      <c r="S1035" s="69"/>
      <c r="T1035" s="69"/>
      <c r="U1035" s="69"/>
      <c r="V1035" s="6"/>
      <c r="W1035" s="6"/>
      <c r="X1035" s="181"/>
      <c r="Y1035" s="102"/>
      <c r="Z1035" s="102"/>
      <c r="AA1035" s="102"/>
      <c r="AB1035" s="102"/>
      <c r="AC1035" s="102"/>
      <c r="AD1035" s="342"/>
      <c r="AE1035" s="102"/>
      <c r="AF1035" s="110"/>
      <c r="AG1035" s="108"/>
      <c r="AH1035" s="69"/>
      <c r="AI1035" s="105"/>
      <c r="AJ1035" s="98"/>
      <c r="AK1035" s="110"/>
      <c r="AL1035" s="98"/>
      <c r="AM1035" s="69"/>
      <c r="AN1035" s="13"/>
      <c r="AO1035" s="13"/>
      <c r="AP1035" s="13"/>
      <c r="AQ1035" s="6"/>
      <c r="AR1035" s="13"/>
      <c r="AS1035" s="13"/>
      <c r="AT1035" s="13"/>
      <c r="AU1035" s="13"/>
      <c r="AV1035" s="13"/>
      <c r="AW1035" s="6"/>
      <c r="AX1035" s="13"/>
      <c r="AY1035" s="13"/>
      <c r="AZ1035" s="6"/>
      <c r="BA1035" s="6"/>
      <c r="BB1035" s="6"/>
      <c r="BC1035" s="6"/>
      <c r="BD1035" s="6"/>
      <c r="BE1035" s="6"/>
      <c r="BF1035" s="6"/>
      <c r="BG1035" s="6"/>
    </row>
    <row r="1036">
      <c r="A1036" s="69"/>
      <c r="B1036" s="69"/>
      <c r="C1036" s="7"/>
      <c r="D1036" s="41"/>
      <c r="E1036" s="6"/>
      <c r="F1036" s="41"/>
      <c r="G1036" s="35"/>
      <c r="H1036" s="35"/>
      <c r="J1036" s="69"/>
      <c r="K1036" s="99"/>
      <c r="L1036" s="90"/>
      <c r="M1036" s="69"/>
      <c r="N1036" s="375"/>
      <c r="O1036" s="378"/>
      <c r="P1036" s="13"/>
      <c r="Q1036" s="13"/>
      <c r="R1036" s="13"/>
      <c r="S1036" s="69"/>
      <c r="T1036" s="69"/>
      <c r="U1036" s="69"/>
      <c r="V1036" s="6"/>
      <c r="W1036" s="6"/>
      <c r="X1036" s="181"/>
      <c r="Y1036" s="102"/>
      <c r="Z1036" s="102"/>
      <c r="AA1036" s="102"/>
      <c r="AB1036" s="102"/>
      <c r="AC1036" s="102"/>
      <c r="AD1036" s="342"/>
      <c r="AE1036" s="102"/>
      <c r="AF1036" s="110"/>
      <c r="AG1036" s="108"/>
      <c r="AH1036" s="69"/>
      <c r="AI1036" s="105"/>
      <c r="AJ1036" s="98"/>
      <c r="AK1036" s="110"/>
      <c r="AL1036" s="98"/>
      <c r="AM1036" s="69"/>
      <c r="AN1036" s="13"/>
      <c r="AO1036" s="13"/>
      <c r="AP1036" s="13"/>
      <c r="AQ1036" s="6"/>
      <c r="AR1036" s="13"/>
      <c r="AS1036" s="13"/>
      <c r="AT1036" s="13"/>
      <c r="AU1036" s="13"/>
      <c r="AV1036" s="13"/>
      <c r="AW1036" s="6"/>
      <c r="AX1036" s="13"/>
      <c r="AY1036" s="13"/>
      <c r="AZ1036" s="6"/>
      <c r="BA1036" s="6"/>
      <c r="BB1036" s="6"/>
      <c r="BC1036" s="6"/>
      <c r="BD1036" s="6"/>
      <c r="BE1036" s="6"/>
      <c r="BF1036" s="6"/>
      <c r="BG1036" s="6"/>
    </row>
    <row r="1037">
      <c r="A1037" s="69"/>
      <c r="B1037" s="69"/>
      <c r="C1037" s="7"/>
      <c r="D1037" s="41"/>
      <c r="E1037" s="6"/>
      <c r="F1037" s="41"/>
      <c r="G1037" s="35"/>
      <c r="H1037" s="35"/>
      <c r="J1037" s="69"/>
      <c r="K1037" s="99"/>
      <c r="L1037" s="90"/>
      <c r="M1037" s="69"/>
      <c r="N1037" s="375"/>
      <c r="O1037" s="378"/>
      <c r="P1037" s="13"/>
      <c r="Q1037" s="13"/>
      <c r="R1037" s="13"/>
      <c r="S1037" s="69"/>
      <c r="T1037" s="69"/>
      <c r="U1037" s="69"/>
      <c r="V1037" s="6"/>
      <c r="W1037" s="6"/>
      <c r="X1037" s="181"/>
      <c r="Y1037" s="102"/>
      <c r="Z1037" s="102"/>
      <c r="AA1037" s="102"/>
      <c r="AB1037" s="102"/>
      <c r="AC1037" s="102"/>
      <c r="AD1037" s="342"/>
      <c r="AE1037" s="102"/>
      <c r="AF1037" s="110"/>
      <c r="AG1037" s="108"/>
      <c r="AH1037" s="69"/>
      <c r="AI1037" s="105"/>
      <c r="AJ1037" s="98"/>
      <c r="AK1037" s="110"/>
      <c r="AL1037" s="98"/>
      <c r="AM1037" s="69"/>
      <c r="AN1037" s="13"/>
      <c r="AO1037" s="13"/>
      <c r="AP1037" s="13"/>
      <c r="AQ1037" s="6"/>
      <c r="AR1037" s="13"/>
      <c r="AS1037" s="13"/>
      <c r="AT1037" s="13"/>
      <c r="AU1037" s="13"/>
      <c r="AV1037" s="13"/>
      <c r="AW1037" s="6"/>
      <c r="AX1037" s="13"/>
      <c r="AY1037" s="13"/>
      <c r="AZ1037" s="6"/>
      <c r="BA1037" s="6"/>
      <c r="BB1037" s="6"/>
      <c r="BC1037" s="6"/>
      <c r="BD1037" s="6"/>
      <c r="BE1037" s="6"/>
      <c r="BF1037" s="6"/>
      <c r="BG1037" s="6"/>
    </row>
    <row r="1038">
      <c r="A1038" s="69"/>
      <c r="B1038" s="69"/>
      <c r="C1038" s="7"/>
      <c r="D1038" s="41"/>
      <c r="E1038" s="6"/>
      <c r="F1038" s="41"/>
      <c r="G1038" s="35"/>
      <c r="H1038" s="35"/>
      <c r="J1038" s="69"/>
      <c r="K1038" s="99"/>
      <c r="L1038" s="90"/>
      <c r="M1038" s="69"/>
      <c r="N1038" s="375"/>
      <c r="O1038" s="378"/>
      <c r="P1038" s="13"/>
      <c r="Q1038" s="13"/>
      <c r="R1038" s="13"/>
      <c r="S1038" s="69"/>
      <c r="T1038" s="69"/>
      <c r="U1038" s="69"/>
      <c r="V1038" s="6"/>
      <c r="W1038" s="6"/>
      <c r="X1038" s="181"/>
      <c r="Y1038" s="102"/>
      <c r="Z1038" s="102"/>
      <c r="AA1038" s="102"/>
      <c r="AB1038" s="102"/>
      <c r="AC1038" s="102"/>
      <c r="AD1038" s="342"/>
      <c r="AE1038" s="102"/>
      <c r="AF1038" s="110"/>
      <c r="AG1038" s="108"/>
      <c r="AH1038" s="69"/>
      <c r="AI1038" s="105"/>
      <c r="AJ1038" s="98"/>
      <c r="AK1038" s="110"/>
      <c r="AL1038" s="98"/>
      <c r="AM1038" s="69"/>
      <c r="AN1038" s="13"/>
      <c r="AO1038" s="13"/>
      <c r="AP1038" s="13"/>
      <c r="AQ1038" s="6"/>
      <c r="AR1038" s="13"/>
      <c r="AS1038" s="13"/>
      <c r="AT1038" s="13"/>
      <c r="AU1038" s="13"/>
      <c r="AV1038" s="13"/>
      <c r="AW1038" s="6"/>
      <c r="AX1038" s="13"/>
      <c r="AY1038" s="13"/>
      <c r="AZ1038" s="6"/>
      <c r="BA1038" s="6"/>
      <c r="BB1038" s="6"/>
      <c r="BC1038" s="6"/>
      <c r="BD1038" s="6"/>
      <c r="BE1038" s="6"/>
      <c r="BF1038" s="6"/>
      <c r="BG1038" s="6"/>
    </row>
    <row r="1039">
      <c r="A1039" s="69"/>
      <c r="B1039" s="69"/>
      <c r="C1039" s="7"/>
      <c r="D1039" s="41"/>
      <c r="E1039" s="6"/>
      <c r="F1039" s="41"/>
      <c r="G1039" s="35"/>
      <c r="H1039" s="35"/>
      <c r="J1039" s="69"/>
      <c r="K1039" s="99"/>
      <c r="L1039" s="90"/>
      <c r="M1039" s="69"/>
      <c r="N1039" s="375"/>
      <c r="O1039" s="378"/>
      <c r="P1039" s="13"/>
      <c r="Q1039" s="13"/>
      <c r="R1039" s="13"/>
      <c r="S1039" s="69"/>
      <c r="T1039" s="69"/>
      <c r="U1039" s="69"/>
      <c r="V1039" s="6"/>
      <c r="W1039" s="6"/>
      <c r="X1039" s="181"/>
      <c r="Y1039" s="102"/>
      <c r="Z1039" s="102"/>
      <c r="AA1039" s="102"/>
      <c r="AB1039" s="102"/>
      <c r="AC1039" s="102"/>
      <c r="AD1039" s="342"/>
      <c r="AE1039" s="102"/>
      <c r="AF1039" s="110"/>
      <c r="AG1039" s="108"/>
      <c r="AH1039" s="69"/>
      <c r="AI1039" s="105"/>
      <c r="AJ1039" s="98"/>
      <c r="AK1039" s="110"/>
      <c r="AL1039" s="98"/>
      <c r="AM1039" s="69"/>
      <c r="AN1039" s="13"/>
      <c r="AO1039" s="13"/>
      <c r="AP1039" s="13"/>
      <c r="AQ1039" s="6"/>
      <c r="AR1039" s="13"/>
      <c r="AS1039" s="13"/>
      <c r="AT1039" s="13"/>
      <c r="AU1039" s="13"/>
      <c r="AV1039" s="13"/>
      <c r="AW1039" s="6"/>
      <c r="AX1039" s="13"/>
      <c r="AY1039" s="13"/>
      <c r="AZ1039" s="6"/>
      <c r="BA1039" s="6"/>
      <c r="BB1039" s="6"/>
      <c r="BC1039" s="6"/>
      <c r="BD1039" s="6"/>
      <c r="BE1039" s="6"/>
      <c r="BF1039" s="6"/>
      <c r="BG1039" s="6"/>
    </row>
    <row r="1040">
      <c r="A1040" s="69"/>
      <c r="B1040" s="69"/>
      <c r="C1040" s="7"/>
      <c r="D1040" s="41"/>
      <c r="E1040" s="6"/>
      <c r="F1040" s="41"/>
      <c r="G1040" s="35"/>
      <c r="H1040" s="35"/>
      <c r="J1040" s="69"/>
      <c r="K1040" s="99"/>
      <c r="L1040" s="90"/>
      <c r="M1040" s="69"/>
      <c r="N1040" s="375"/>
      <c r="O1040" s="378"/>
      <c r="P1040" s="13"/>
      <c r="Q1040" s="13"/>
      <c r="R1040" s="13"/>
      <c r="S1040" s="69"/>
      <c r="T1040" s="69"/>
      <c r="U1040" s="69"/>
      <c r="V1040" s="6"/>
      <c r="W1040" s="6"/>
      <c r="X1040" s="181"/>
      <c r="Y1040" s="102"/>
      <c r="Z1040" s="102"/>
      <c r="AA1040" s="102"/>
      <c r="AB1040" s="102"/>
      <c r="AC1040" s="102"/>
      <c r="AD1040" s="342"/>
      <c r="AE1040" s="102"/>
      <c r="AF1040" s="110"/>
      <c r="AG1040" s="108"/>
      <c r="AH1040" s="69"/>
      <c r="AI1040" s="105"/>
      <c r="AJ1040" s="98"/>
      <c r="AK1040" s="110"/>
      <c r="AL1040" s="98"/>
      <c r="AM1040" s="69"/>
      <c r="AN1040" s="13"/>
      <c r="AO1040" s="13"/>
      <c r="AP1040" s="13"/>
      <c r="AQ1040" s="6"/>
      <c r="AR1040" s="13"/>
      <c r="AS1040" s="13"/>
      <c r="AT1040" s="13"/>
      <c r="AU1040" s="13"/>
      <c r="AV1040" s="13"/>
      <c r="AW1040" s="6"/>
      <c r="AX1040" s="13"/>
      <c r="AY1040" s="13"/>
      <c r="AZ1040" s="6"/>
      <c r="BA1040" s="6"/>
      <c r="BB1040" s="6"/>
      <c r="BC1040" s="6"/>
      <c r="BD1040" s="6"/>
      <c r="BE1040" s="6"/>
      <c r="BF1040" s="6"/>
      <c r="BG1040" s="6"/>
    </row>
    <row r="1041">
      <c r="A1041" s="69"/>
      <c r="B1041" s="69"/>
      <c r="C1041" s="7"/>
      <c r="D1041" s="41"/>
      <c r="E1041" s="6"/>
      <c r="F1041" s="41"/>
      <c r="G1041" s="35"/>
      <c r="H1041" s="35"/>
      <c r="J1041" s="69"/>
      <c r="K1041" s="99"/>
      <c r="L1041" s="90"/>
      <c r="M1041" s="69"/>
      <c r="N1041" s="375"/>
      <c r="O1041" s="378"/>
      <c r="P1041" s="13"/>
      <c r="Q1041" s="13"/>
      <c r="R1041" s="13"/>
      <c r="S1041" s="35"/>
      <c r="T1041" s="35"/>
      <c r="U1041" s="69"/>
      <c r="V1041" s="6"/>
      <c r="W1041" s="6"/>
      <c r="X1041" s="181"/>
      <c r="Y1041" s="102"/>
      <c r="Z1041" s="102"/>
      <c r="AA1041" s="102"/>
      <c r="AB1041" s="102"/>
      <c r="AC1041" s="102"/>
      <c r="AD1041" s="342"/>
      <c r="AE1041" s="102"/>
      <c r="AF1041" s="110"/>
      <c r="AG1041" s="108"/>
      <c r="AH1041" s="69"/>
      <c r="AI1041" s="105"/>
      <c r="AJ1041" s="98"/>
      <c r="AK1041" s="110"/>
      <c r="AL1041" s="98"/>
      <c r="AM1041" s="69"/>
      <c r="AN1041" s="13"/>
      <c r="AO1041" s="13"/>
      <c r="AP1041" s="13"/>
      <c r="AQ1041" s="6"/>
      <c r="AR1041" s="13"/>
      <c r="AS1041" s="13"/>
      <c r="AT1041" s="13"/>
      <c r="AU1041" s="13"/>
      <c r="AV1041" s="13"/>
      <c r="AW1041" s="6"/>
      <c r="AX1041" s="13"/>
      <c r="AY1041" s="13"/>
      <c r="AZ1041" s="6"/>
      <c r="BA1041" s="6"/>
      <c r="BB1041" s="6"/>
      <c r="BC1041" s="6"/>
      <c r="BD1041" s="6"/>
      <c r="BE1041" s="6"/>
      <c r="BF1041" s="6"/>
      <c r="BG1041" s="6"/>
    </row>
    <row r="1042">
      <c r="A1042" s="69"/>
      <c r="B1042" s="69"/>
      <c r="C1042" s="7"/>
      <c r="D1042" s="41"/>
      <c r="E1042" s="6"/>
      <c r="F1042" s="41"/>
      <c r="G1042" s="35"/>
      <c r="H1042" s="35"/>
      <c r="J1042" s="69"/>
      <c r="K1042" s="99"/>
      <c r="L1042" s="90"/>
      <c r="M1042" s="69"/>
      <c r="N1042" s="375"/>
      <c r="O1042" s="378"/>
      <c r="P1042" s="13"/>
      <c r="Q1042" s="13"/>
      <c r="R1042" s="13"/>
      <c r="S1042" s="35"/>
      <c r="T1042" s="35"/>
      <c r="U1042" s="69"/>
      <c r="V1042" s="6"/>
      <c r="W1042" s="6"/>
      <c r="X1042" s="181"/>
      <c r="Y1042" s="102"/>
      <c r="Z1042" s="102"/>
      <c r="AA1042" s="102"/>
      <c r="AB1042" s="102"/>
      <c r="AC1042" s="102"/>
      <c r="AD1042" s="342"/>
      <c r="AE1042" s="102"/>
      <c r="AF1042" s="110"/>
      <c r="AG1042" s="105"/>
      <c r="AH1042" s="69"/>
      <c r="AI1042" s="105"/>
      <c r="AJ1042" s="98"/>
      <c r="AK1042" s="110"/>
      <c r="AL1042" s="98"/>
      <c r="AM1042" s="69"/>
      <c r="AN1042" s="13"/>
      <c r="AO1042" s="13"/>
      <c r="AP1042" s="13"/>
      <c r="AQ1042" s="6"/>
      <c r="AR1042" s="13"/>
      <c r="AS1042" s="13"/>
      <c r="AT1042" s="13"/>
      <c r="AU1042" s="13"/>
      <c r="AV1042" s="13"/>
      <c r="AW1042" s="6"/>
      <c r="AX1042" s="13"/>
      <c r="AY1042" s="13"/>
      <c r="AZ1042" s="6"/>
      <c r="BA1042" s="6"/>
      <c r="BB1042" s="6"/>
      <c r="BC1042" s="6"/>
      <c r="BD1042" s="6"/>
      <c r="BE1042" s="6"/>
      <c r="BF1042" s="6"/>
      <c r="BG1042" s="6"/>
    </row>
    <row r="1043">
      <c r="A1043" s="69"/>
      <c r="B1043" s="69"/>
      <c r="C1043" s="7"/>
      <c r="D1043" s="41"/>
      <c r="E1043" s="6"/>
      <c r="F1043" s="41"/>
      <c r="G1043" s="35"/>
      <c r="H1043" s="35"/>
      <c r="J1043" s="69"/>
      <c r="K1043" s="99"/>
      <c r="L1043" s="90"/>
      <c r="M1043" s="69"/>
      <c r="N1043" s="375"/>
      <c r="O1043" s="378"/>
      <c r="P1043" s="13"/>
      <c r="Q1043" s="13"/>
      <c r="R1043" s="13"/>
      <c r="S1043" s="69"/>
      <c r="T1043" s="69"/>
      <c r="U1043" s="69"/>
      <c r="V1043" s="6"/>
      <c r="W1043" s="6"/>
      <c r="X1043" s="181"/>
      <c r="Y1043" s="102"/>
      <c r="Z1043" s="102"/>
      <c r="AA1043" s="102"/>
      <c r="AB1043" s="102"/>
      <c r="AC1043" s="102"/>
      <c r="AD1043" s="342"/>
      <c r="AE1043" s="102"/>
      <c r="AF1043" s="110"/>
      <c r="AG1043" s="105"/>
      <c r="AH1043" s="69"/>
      <c r="AI1043" s="105"/>
      <c r="AJ1043" s="98"/>
      <c r="AK1043" s="110"/>
      <c r="AL1043" s="98"/>
      <c r="AM1043" s="69"/>
      <c r="AN1043" s="13"/>
      <c r="AO1043" s="13"/>
      <c r="AP1043" s="13"/>
      <c r="AQ1043" s="13"/>
      <c r="AR1043" s="13"/>
      <c r="AS1043" s="13"/>
      <c r="AT1043" s="13"/>
      <c r="AU1043" s="13"/>
      <c r="AV1043" s="13"/>
      <c r="AW1043" s="6"/>
      <c r="AX1043" s="13"/>
      <c r="AY1043" s="13"/>
      <c r="AZ1043" s="6"/>
      <c r="BA1043" s="6"/>
      <c r="BB1043" s="6"/>
      <c r="BC1043" s="6"/>
      <c r="BD1043" s="6"/>
      <c r="BE1043" s="6"/>
      <c r="BF1043" s="6"/>
      <c r="BG1043" s="6"/>
    </row>
    <row r="1044">
      <c r="A1044" s="69"/>
      <c r="B1044" s="69"/>
      <c r="C1044" s="7"/>
      <c r="D1044" s="41"/>
      <c r="E1044" s="6"/>
      <c r="F1044" s="41"/>
      <c r="G1044" s="35"/>
      <c r="H1044" s="35"/>
      <c r="J1044" s="69"/>
      <c r="K1044" s="99"/>
      <c r="L1044" s="90"/>
      <c r="M1044" s="69"/>
      <c r="N1044" s="375"/>
      <c r="O1044" s="378"/>
      <c r="P1044" s="13"/>
      <c r="Q1044" s="13"/>
      <c r="R1044" s="13"/>
      <c r="S1044" s="69"/>
      <c r="T1044" s="69"/>
      <c r="U1044" s="69"/>
      <c r="V1044" s="6"/>
      <c r="W1044" s="6"/>
      <c r="X1044" s="181"/>
      <c r="Y1044" s="102"/>
      <c r="Z1044" s="102"/>
      <c r="AA1044" s="102"/>
      <c r="AB1044" s="102"/>
      <c r="AC1044" s="102"/>
      <c r="AD1044" s="342"/>
      <c r="AE1044" s="102"/>
      <c r="AF1044" s="110"/>
      <c r="AG1044" s="105"/>
      <c r="AH1044" s="69"/>
      <c r="AI1044" s="105"/>
      <c r="AJ1044" s="98"/>
      <c r="AK1044" s="110"/>
      <c r="AL1044" s="98"/>
      <c r="AM1044" s="69"/>
      <c r="AN1044" s="13"/>
      <c r="AO1044" s="13"/>
      <c r="AP1044" s="13"/>
      <c r="AQ1044" s="6"/>
      <c r="AR1044" s="13"/>
      <c r="AS1044" s="13"/>
      <c r="AT1044" s="13"/>
      <c r="AU1044" s="13"/>
      <c r="AV1044" s="13"/>
      <c r="AW1044" s="6"/>
      <c r="AX1044" s="13"/>
      <c r="AY1044" s="13"/>
      <c r="AZ1044" s="6"/>
      <c r="BA1044" s="6"/>
      <c r="BB1044" s="6"/>
      <c r="BC1044" s="6"/>
      <c r="BD1044" s="6"/>
      <c r="BE1044" s="6"/>
      <c r="BF1044" s="6"/>
      <c r="BG1044" s="6"/>
    </row>
    <row r="1045">
      <c r="A1045" s="69"/>
      <c r="B1045" s="69"/>
      <c r="C1045" s="7"/>
      <c r="D1045" s="41"/>
      <c r="E1045" s="6"/>
      <c r="F1045" s="41"/>
      <c r="G1045" s="35"/>
      <c r="H1045" s="35"/>
      <c r="J1045" s="69"/>
      <c r="K1045" s="99"/>
      <c r="L1045" s="90"/>
      <c r="M1045" s="69"/>
      <c r="N1045" s="375"/>
      <c r="O1045" s="378"/>
      <c r="P1045" s="13"/>
      <c r="Q1045" s="13"/>
      <c r="R1045" s="13"/>
      <c r="S1045" s="69"/>
      <c r="T1045" s="69"/>
      <c r="U1045" s="69"/>
      <c r="V1045" s="6"/>
      <c r="W1045" s="6"/>
      <c r="X1045" s="181"/>
      <c r="Y1045" s="102"/>
      <c r="Z1045" s="102"/>
      <c r="AA1045" s="102"/>
      <c r="AB1045" s="102"/>
      <c r="AC1045" s="102"/>
      <c r="AD1045" s="342"/>
      <c r="AE1045" s="102"/>
      <c r="AF1045" s="110"/>
      <c r="AG1045" s="105"/>
      <c r="AH1045" s="69"/>
      <c r="AI1045" s="105"/>
      <c r="AJ1045" s="98"/>
      <c r="AK1045" s="110"/>
      <c r="AL1045" s="98"/>
      <c r="AM1045" s="69"/>
      <c r="AN1045" s="13"/>
      <c r="AO1045" s="13"/>
      <c r="AP1045" s="13"/>
      <c r="AQ1045" s="13"/>
      <c r="AR1045" s="13"/>
      <c r="AS1045" s="13"/>
      <c r="AT1045" s="13"/>
      <c r="AU1045" s="13"/>
      <c r="AV1045" s="13"/>
      <c r="AW1045" s="6"/>
      <c r="AX1045" s="13"/>
      <c r="AY1045" s="13"/>
      <c r="AZ1045" s="6"/>
      <c r="BA1045" s="6"/>
      <c r="BB1045" s="6"/>
      <c r="BC1045" s="6"/>
      <c r="BD1045" s="6"/>
      <c r="BE1045" s="6"/>
      <c r="BF1045" s="6"/>
      <c r="BG1045" s="6"/>
    </row>
    <row r="1046">
      <c r="A1046" s="69"/>
      <c r="B1046" s="69"/>
      <c r="C1046" s="7"/>
      <c r="D1046" s="41"/>
      <c r="E1046" s="6"/>
      <c r="F1046" s="41"/>
      <c r="G1046" s="35"/>
      <c r="H1046" s="35"/>
      <c r="J1046" s="69"/>
      <c r="K1046" s="99"/>
      <c r="L1046" s="90"/>
      <c r="M1046" s="69"/>
      <c r="N1046" s="375"/>
      <c r="O1046" s="378"/>
      <c r="P1046" s="13"/>
      <c r="Q1046" s="13"/>
      <c r="R1046" s="13"/>
      <c r="S1046" s="69"/>
      <c r="T1046" s="69"/>
      <c r="U1046" s="69"/>
      <c r="V1046" s="6"/>
      <c r="W1046" s="6"/>
      <c r="X1046" s="181"/>
      <c r="Y1046" s="102"/>
      <c r="Z1046" s="102"/>
      <c r="AA1046" s="102"/>
      <c r="AB1046" s="102"/>
      <c r="AC1046" s="102"/>
      <c r="AD1046" s="342"/>
      <c r="AE1046" s="102"/>
      <c r="AF1046" s="110"/>
      <c r="AG1046" s="105"/>
      <c r="AH1046" s="69"/>
      <c r="AI1046" s="105"/>
      <c r="AJ1046" s="98"/>
      <c r="AK1046" s="110"/>
      <c r="AL1046" s="98"/>
      <c r="AM1046" s="69"/>
      <c r="AN1046" s="13"/>
      <c r="AO1046" s="13"/>
      <c r="AP1046" s="13"/>
      <c r="AQ1046" s="6"/>
      <c r="AR1046" s="13"/>
      <c r="AS1046" s="13"/>
      <c r="AT1046" s="13"/>
      <c r="AU1046" s="13"/>
      <c r="AV1046" s="13"/>
      <c r="AW1046" s="6"/>
      <c r="AX1046" s="13"/>
      <c r="AY1046" s="13"/>
      <c r="AZ1046" s="6"/>
      <c r="BA1046" s="6"/>
      <c r="BB1046" s="6"/>
      <c r="BC1046" s="6"/>
      <c r="BD1046" s="6"/>
      <c r="BE1046" s="6"/>
      <c r="BF1046" s="6"/>
      <c r="BG1046" s="6"/>
    </row>
    <row r="1047">
      <c r="A1047" s="69"/>
      <c r="B1047" s="69"/>
      <c r="C1047" s="7"/>
      <c r="D1047" s="41"/>
      <c r="E1047" s="6"/>
      <c r="F1047" s="41"/>
      <c r="G1047" s="35"/>
      <c r="H1047" s="35"/>
      <c r="J1047" s="69"/>
      <c r="K1047" s="99"/>
      <c r="L1047" s="90"/>
      <c r="M1047" s="69"/>
      <c r="N1047" s="375"/>
      <c r="O1047" s="378"/>
      <c r="P1047" s="13"/>
      <c r="Q1047" s="13"/>
      <c r="R1047" s="13"/>
      <c r="S1047" s="69"/>
      <c r="T1047" s="69"/>
      <c r="U1047" s="69"/>
      <c r="V1047" s="6"/>
      <c r="W1047" s="6"/>
      <c r="X1047" s="181"/>
      <c r="Y1047" s="102"/>
      <c r="Z1047" s="102"/>
      <c r="AA1047" s="102"/>
      <c r="AB1047" s="102"/>
      <c r="AC1047" s="102"/>
      <c r="AD1047" s="342"/>
      <c r="AE1047" s="102"/>
      <c r="AF1047" s="110"/>
      <c r="AG1047" s="105"/>
      <c r="AH1047" s="69"/>
      <c r="AI1047" s="105"/>
      <c r="AJ1047" s="98"/>
      <c r="AK1047" s="110"/>
      <c r="AL1047" s="98"/>
      <c r="AM1047" s="69"/>
      <c r="AN1047" s="13"/>
      <c r="AO1047" s="13"/>
      <c r="AP1047" s="13"/>
      <c r="AQ1047" s="6"/>
      <c r="AR1047" s="13"/>
      <c r="AS1047" s="13"/>
      <c r="AT1047" s="13"/>
      <c r="AU1047" s="13"/>
      <c r="AV1047" s="13"/>
      <c r="AW1047" s="6"/>
      <c r="AX1047" s="13"/>
      <c r="AY1047" s="13"/>
      <c r="AZ1047" s="6"/>
      <c r="BA1047" s="6"/>
      <c r="BB1047" s="6"/>
      <c r="BC1047" s="6"/>
      <c r="BD1047" s="6"/>
      <c r="BE1047" s="6"/>
      <c r="BF1047" s="6"/>
      <c r="BG1047" s="6"/>
    </row>
    <row r="1048">
      <c r="A1048" s="69"/>
      <c r="B1048" s="69"/>
      <c r="C1048" s="7"/>
      <c r="D1048" s="41"/>
      <c r="E1048" s="6"/>
      <c r="F1048" s="41"/>
      <c r="G1048" s="35"/>
      <c r="H1048" s="35"/>
      <c r="J1048" s="69"/>
      <c r="K1048" s="99"/>
      <c r="L1048" s="90"/>
      <c r="M1048" s="182"/>
      <c r="N1048" s="375"/>
      <c r="O1048" s="378"/>
      <c r="P1048" s="13"/>
      <c r="Q1048" s="13"/>
      <c r="R1048" s="13"/>
      <c r="S1048" s="69"/>
      <c r="T1048" s="69"/>
      <c r="U1048" s="69"/>
      <c r="V1048" s="6"/>
      <c r="W1048" s="6"/>
      <c r="X1048" s="181"/>
      <c r="Y1048" s="102"/>
      <c r="Z1048" s="102"/>
      <c r="AA1048" s="102"/>
      <c r="AB1048" s="102"/>
      <c r="AC1048" s="102"/>
      <c r="AD1048" s="342"/>
      <c r="AE1048" s="102"/>
      <c r="AF1048" s="110"/>
      <c r="AG1048" s="105"/>
      <c r="AH1048" s="69"/>
      <c r="AI1048" s="105"/>
      <c r="AJ1048" s="98"/>
      <c r="AK1048" s="110"/>
      <c r="AL1048" s="98"/>
      <c r="AM1048" s="69"/>
      <c r="AN1048" s="13"/>
      <c r="AO1048" s="13"/>
      <c r="AP1048" s="13"/>
      <c r="AQ1048" s="13"/>
      <c r="AR1048" s="13"/>
      <c r="AS1048" s="13"/>
      <c r="AT1048" s="13"/>
      <c r="AU1048" s="13"/>
      <c r="AV1048" s="13"/>
      <c r="AW1048" s="6"/>
      <c r="AX1048" s="13"/>
      <c r="AY1048" s="13"/>
      <c r="AZ1048" s="6"/>
      <c r="BA1048" s="6"/>
      <c r="BB1048" s="6"/>
      <c r="BC1048" s="6"/>
      <c r="BD1048" s="6"/>
      <c r="BE1048" s="6"/>
      <c r="BF1048" s="6"/>
      <c r="BG1048" s="6"/>
    </row>
    <row r="1049">
      <c r="A1049" s="69"/>
      <c r="B1049" s="69"/>
      <c r="C1049" s="7"/>
      <c r="D1049" s="41"/>
      <c r="E1049" s="6"/>
      <c r="F1049" s="41"/>
      <c r="G1049" s="35"/>
      <c r="H1049" s="35"/>
      <c r="J1049" s="69"/>
      <c r="K1049" s="99"/>
      <c r="L1049" s="90"/>
      <c r="M1049" s="69"/>
      <c r="N1049" s="375"/>
      <c r="O1049" s="378"/>
      <c r="P1049" s="13"/>
      <c r="Q1049" s="13"/>
      <c r="R1049" s="13"/>
      <c r="S1049" s="69"/>
      <c r="T1049" s="69"/>
      <c r="U1049" s="69"/>
      <c r="V1049" s="6"/>
      <c r="W1049" s="6"/>
      <c r="X1049" s="181"/>
      <c r="Y1049" s="102"/>
      <c r="Z1049" s="102"/>
      <c r="AA1049" s="102"/>
      <c r="AB1049" s="102"/>
      <c r="AC1049" s="102"/>
      <c r="AD1049" s="342"/>
      <c r="AE1049" s="102"/>
      <c r="AF1049" s="110"/>
      <c r="AG1049" s="105"/>
      <c r="AH1049" s="69"/>
      <c r="AI1049" s="105"/>
      <c r="AJ1049" s="98"/>
      <c r="AK1049" s="110"/>
      <c r="AL1049" s="98"/>
      <c r="AM1049" s="69"/>
      <c r="AN1049" s="13"/>
      <c r="AO1049" s="13"/>
      <c r="AP1049" s="13"/>
      <c r="AQ1049" s="6"/>
      <c r="AR1049" s="13"/>
      <c r="AS1049" s="13"/>
      <c r="AT1049" s="13"/>
      <c r="AU1049" s="13"/>
      <c r="AV1049" s="13"/>
      <c r="AW1049" s="6"/>
      <c r="AX1049" s="13"/>
      <c r="AY1049" s="13"/>
      <c r="AZ1049" s="6"/>
      <c r="BA1049" s="6"/>
      <c r="BB1049" s="6"/>
      <c r="BC1049" s="6"/>
      <c r="BD1049" s="6"/>
      <c r="BE1049" s="6"/>
      <c r="BF1049" s="6"/>
      <c r="BG1049" s="6"/>
    </row>
    <row r="1050">
      <c r="A1050" s="69"/>
      <c r="B1050" s="69"/>
      <c r="C1050" s="7"/>
      <c r="D1050" s="41"/>
      <c r="E1050" s="6"/>
      <c r="F1050" s="41"/>
      <c r="G1050" s="35"/>
      <c r="H1050" s="35"/>
      <c r="J1050" s="69"/>
      <c r="K1050" s="99"/>
      <c r="L1050" s="90"/>
      <c r="M1050" s="69"/>
      <c r="N1050" s="375"/>
      <c r="O1050" s="378"/>
      <c r="P1050" s="13"/>
      <c r="Q1050" s="13"/>
      <c r="R1050" s="13"/>
      <c r="S1050" s="35"/>
      <c r="T1050" s="35"/>
      <c r="U1050" s="69"/>
      <c r="V1050" s="6"/>
      <c r="W1050" s="6"/>
      <c r="X1050" s="181"/>
      <c r="Y1050" s="102"/>
      <c r="Z1050" s="102"/>
      <c r="AA1050" s="102"/>
      <c r="AB1050" s="102"/>
      <c r="AC1050" s="102"/>
      <c r="AD1050" s="342"/>
      <c r="AE1050" s="102"/>
      <c r="AF1050" s="110"/>
      <c r="AG1050" s="105"/>
      <c r="AH1050" s="69"/>
      <c r="AI1050" s="105"/>
      <c r="AJ1050" s="98"/>
      <c r="AK1050" s="110"/>
      <c r="AL1050" s="98"/>
      <c r="AM1050" s="69"/>
      <c r="AN1050" s="13"/>
      <c r="AO1050" s="13"/>
      <c r="AP1050" s="13"/>
      <c r="AQ1050" s="6"/>
      <c r="AR1050" s="13"/>
      <c r="AS1050" s="13"/>
      <c r="AT1050" s="13"/>
      <c r="AU1050" s="13"/>
      <c r="AV1050" s="13"/>
      <c r="AW1050" s="6"/>
      <c r="AX1050" s="13"/>
      <c r="AY1050" s="13"/>
      <c r="AZ1050" s="6"/>
      <c r="BA1050" s="6"/>
      <c r="BB1050" s="6"/>
      <c r="BC1050" s="6"/>
      <c r="BD1050" s="6"/>
      <c r="BE1050" s="6"/>
      <c r="BF1050" s="6"/>
      <c r="BG1050" s="6"/>
    </row>
    <row r="1051">
      <c r="A1051" s="69"/>
      <c r="B1051" s="69"/>
      <c r="C1051" s="7"/>
      <c r="D1051" s="41"/>
      <c r="E1051" s="6"/>
      <c r="F1051" s="41"/>
      <c r="G1051" s="35"/>
      <c r="H1051" s="98"/>
      <c r="J1051" s="69"/>
      <c r="K1051" s="99"/>
      <c r="L1051" s="90"/>
      <c r="M1051" s="69"/>
      <c r="N1051" s="375"/>
      <c r="O1051" s="378"/>
      <c r="P1051" s="13"/>
      <c r="Q1051" s="13"/>
      <c r="R1051" s="13"/>
      <c r="S1051" s="35"/>
      <c r="T1051" s="35"/>
      <c r="U1051" s="69"/>
      <c r="V1051" s="6"/>
      <c r="W1051" s="6"/>
      <c r="X1051" s="181"/>
      <c r="Y1051" s="102"/>
      <c r="Z1051" s="102"/>
      <c r="AA1051" s="102"/>
      <c r="AB1051" s="150"/>
      <c r="AC1051" s="150"/>
      <c r="AD1051" s="381"/>
      <c r="AE1051" s="150"/>
      <c r="AF1051" s="110"/>
      <c r="AG1051" s="105"/>
      <c r="AH1051" s="69"/>
      <c r="AI1051" s="105"/>
      <c r="AJ1051" s="98"/>
      <c r="AK1051" s="110"/>
      <c r="AL1051" s="98"/>
      <c r="AM1051" s="69"/>
      <c r="AN1051" s="13"/>
      <c r="AO1051" s="13"/>
      <c r="AP1051" s="13"/>
      <c r="AQ1051" s="6"/>
      <c r="AR1051" s="6"/>
      <c r="AS1051" s="13"/>
      <c r="AT1051" s="6"/>
      <c r="AU1051" s="13"/>
      <c r="AV1051" s="6"/>
      <c r="AW1051" s="6"/>
      <c r="AX1051" s="13"/>
      <c r="AY1051" s="13"/>
      <c r="AZ1051" s="6"/>
      <c r="BA1051" s="6"/>
      <c r="BB1051" s="6"/>
      <c r="BC1051" s="6"/>
      <c r="BD1051" s="6"/>
      <c r="BE1051" s="6"/>
      <c r="BF1051" s="6"/>
      <c r="BG1051" s="6"/>
    </row>
    <row r="1052">
      <c r="A1052" s="69"/>
      <c r="B1052" s="69"/>
      <c r="C1052" s="7"/>
      <c r="D1052" s="41"/>
      <c r="E1052" s="6"/>
      <c r="F1052" s="41"/>
      <c r="G1052" s="35"/>
      <c r="H1052" s="98"/>
      <c r="J1052" s="69"/>
      <c r="K1052" s="99"/>
      <c r="L1052" s="90"/>
      <c r="M1052" s="69"/>
      <c r="N1052" s="375"/>
      <c r="O1052" s="378"/>
      <c r="P1052" s="13"/>
      <c r="Q1052" s="13"/>
      <c r="R1052" s="13"/>
      <c r="S1052" s="35"/>
      <c r="T1052" s="35"/>
      <c r="U1052" s="69"/>
      <c r="V1052" s="6"/>
      <c r="W1052" s="6"/>
      <c r="X1052" s="181"/>
      <c r="Y1052" s="102"/>
      <c r="Z1052" s="102"/>
      <c r="AA1052" s="102"/>
      <c r="AB1052" s="150"/>
      <c r="AC1052" s="150"/>
      <c r="AD1052" s="381"/>
      <c r="AE1052" s="150"/>
      <c r="AF1052" s="110"/>
      <c r="AG1052" s="105"/>
      <c r="AH1052" s="69"/>
      <c r="AI1052" s="105"/>
      <c r="AJ1052" s="98"/>
      <c r="AK1052" s="110"/>
      <c r="AL1052" s="98"/>
      <c r="AM1052" s="69"/>
      <c r="AN1052" s="13"/>
      <c r="AO1052" s="13"/>
      <c r="AP1052" s="13"/>
      <c r="AQ1052" s="6"/>
      <c r="AR1052" s="13"/>
      <c r="AS1052" s="13"/>
      <c r="AT1052" s="13"/>
      <c r="AU1052" s="13"/>
      <c r="AV1052" s="13"/>
      <c r="AW1052" s="6"/>
      <c r="AX1052" s="13"/>
      <c r="AY1052" s="13"/>
      <c r="AZ1052" s="6"/>
      <c r="BA1052" s="6"/>
      <c r="BB1052" s="6"/>
      <c r="BC1052" s="6"/>
      <c r="BD1052" s="6"/>
      <c r="BE1052" s="6"/>
      <c r="BF1052" s="6"/>
      <c r="BG1052" s="6"/>
    </row>
    <row r="1053">
      <c r="A1053" s="69"/>
      <c r="B1053" s="69"/>
      <c r="C1053" s="7"/>
      <c r="D1053" s="41"/>
      <c r="E1053" s="6"/>
      <c r="F1053" s="41"/>
      <c r="G1053" s="35"/>
      <c r="H1053" s="98"/>
      <c r="J1053" s="69"/>
      <c r="K1053" s="99"/>
      <c r="L1053" s="90"/>
      <c r="M1053" s="69"/>
      <c r="N1053" s="375"/>
      <c r="O1053" s="378"/>
      <c r="P1053" s="13"/>
      <c r="Q1053" s="13"/>
      <c r="R1053" s="13"/>
      <c r="S1053" s="35"/>
      <c r="T1053" s="35"/>
      <c r="U1053" s="69"/>
      <c r="V1053" s="6"/>
      <c r="W1053" s="6"/>
      <c r="X1053" s="181"/>
      <c r="Y1053" s="102"/>
      <c r="Z1053" s="102"/>
      <c r="AA1053" s="102"/>
      <c r="AB1053" s="150"/>
      <c r="AC1053" s="150"/>
      <c r="AD1053" s="381"/>
      <c r="AE1053" s="150"/>
      <c r="AF1053" s="110"/>
      <c r="AG1053" s="105"/>
      <c r="AH1053" s="69"/>
      <c r="AI1053" s="105"/>
      <c r="AJ1053" s="98"/>
      <c r="AK1053" s="110"/>
      <c r="AL1053" s="98"/>
      <c r="AM1053" s="69"/>
      <c r="AN1053" s="13"/>
      <c r="AO1053" s="13"/>
      <c r="AP1053" s="13"/>
      <c r="AQ1053" s="6"/>
      <c r="AR1053" s="13"/>
      <c r="AS1053" s="13"/>
      <c r="AT1053" s="13"/>
      <c r="AU1053" s="13"/>
      <c r="AV1053" s="13"/>
      <c r="AW1053" s="6"/>
      <c r="AX1053" s="13"/>
      <c r="AY1053" s="13"/>
      <c r="AZ1053" s="6"/>
      <c r="BA1053" s="6"/>
      <c r="BB1053" s="6"/>
      <c r="BC1053" s="6"/>
      <c r="BD1053" s="6"/>
      <c r="BE1053" s="6"/>
      <c r="BF1053" s="6"/>
      <c r="BG1053" s="6"/>
    </row>
    <row r="1054">
      <c r="A1054" s="69"/>
      <c r="B1054" s="69"/>
      <c r="C1054" s="7"/>
      <c r="D1054" s="41"/>
      <c r="E1054" s="6"/>
      <c r="F1054" s="41"/>
      <c r="G1054" s="35"/>
      <c r="H1054" s="98"/>
      <c r="J1054" s="69"/>
      <c r="K1054" s="99"/>
      <c r="L1054" s="90"/>
      <c r="M1054" s="69"/>
      <c r="N1054" s="375"/>
      <c r="O1054" s="378"/>
      <c r="P1054" s="13"/>
      <c r="Q1054" s="13"/>
      <c r="R1054" s="13"/>
      <c r="S1054" s="35"/>
      <c r="T1054" s="35"/>
      <c r="U1054" s="69"/>
      <c r="V1054" s="6"/>
      <c r="W1054" s="6"/>
      <c r="X1054" s="181"/>
      <c r="Y1054" s="150"/>
      <c r="Z1054" s="150"/>
      <c r="AA1054" s="150"/>
      <c r="AB1054" s="150"/>
      <c r="AC1054" s="150"/>
      <c r="AD1054" s="381"/>
      <c r="AE1054" s="150"/>
      <c r="AF1054" s="110"/>
      <c r="AG1054" s="105"/>
      <c r="AH1054" s="69"/>
      <c r="AI1054" s="105"/>
      <c r="AJ1054" s="98"/>
      <c r="AK1054" s="110"/>
      <c r="AL1054" s="98"/>
      <c r="AM1054" s="69"/>
      <c r="AN1054" s="13"/>
      <c r="AO1054" s="13"/>
      <c r="AP1054" s="13"/>
      <c r="AQ1054" s="6"/>
      <c r="AR1054" s="13"/>
      <c r="AS1054" s="13"/>
      <c r="AT1054" s="13"/>
      <c r="AU1054" s="13"/>
      <c r="AV1054" s="13"/>
      <c r="AW1054" s="6"/>
      <c r="AX1054" s="13"/>
      <c r="AY1054" s="13"/>
      <c r="AZ1054" s="6"/>
      <c r="BA1054" s="6"/>
      <c r="BB1054" s="6"/>
      <c r="BC1054" s="6"/>
      <c r="BD1054" s="6"/>
      <c r="BE1054" s="6"/>
      <c r="BF1054" s="6"/>
      <c r="BG1054" s="6"/>
    </row>
    <row r="1055">
      <c r="A1055" s="69"/>
      <c r="B1055" s="69"/>
      <c r="C1055" s="7"/>
      <c r="D1055" s="41"/>
      <c r="E1055" s="6"/>
      <c r="F1055" s="41"/>
      <c r="G1055" s="35"/>
      <c r="H1055" s="111"/>
      <c r="J1055" s="69"/>
      <c r="K1055" s="99"/>
      <c r="L1055" s="90"/>
      <c r="M1055" s="69"/>
      <c r="N1055" s="375"/>
      <c r="O1055" s="378"/>
      <c r="P1055" s="13"/>
      <c r="Q1055" s="13"/>
      <c r="R1055" s="13"/>
      <c r="S1055" s="35"/>
      <c r="T1055" s="35"/>
      <c r="U1055" s="69"/>
      <c r="V1055" s="6"/>
      <c r="W1055" s="6"/>
      <c r="X1055" s="181"/>
      <c r="Y1055" s="150"/>
      <c r="Z1055" s="150"/>
      <c r="AA1055" s="150"/>
      <c r="AB1055" s="102"/>
      <c r="AC1055" s="150"/>
      <c r="AD1055" s="381"/>
      <c r="AE1055" s="150"/>
      <c r="AF1055" s="110"/>
      <c r="AG1055" s="105"/>
      <c r="AH1055" s="69"/>
      <c r="AI1055" s="105"/>
      <c r="AJ1055" s="98"/>
      <c r="AK1055" s="110"/>
      <c r="AL1055" s="98"/>
      <c r="AM1055" s="69"/>
      <c r="AN1055" s="13"/>
      <c r="AO1055" s="13"/>
      <c r="AP1055" s="13"/>
      <c r="AQ1055" s="6"/>
      <c r="AR1055" s="6"/>
      <c r="AS1055" s="6"/>
      <c r="AT1055" s="6"/>
      <c r="AU1055" s="6"/>
      <c r="AV1055" s="6"/>
      <c r="AW1055" s="6"/>
      <c r="AX1055" s="13"/>
      <c r="AY1055" s="13"/>
      <c r="AZ1055" s="6"/>
      <c r="BA1055" s="6"/>
      <c r="BB1055" s="6"/>
      <c r="BC1055" s="6"/>
      <c r="BD1055" s="6"/>
      <c r="BE1055" s="6"/>
      <c r="BF1055" s="6"/>
      <c r="BG1055" s="6"/>
    </row>
    <row r="1056">
      <c r="A1056" s="69"/>
      <c r="B1056" s="69"/>
      <c r="C1056" s="7"/>
      <c r="D1056" s="41"/>
      <c r="E1056" s="6"/>
      <c r="F1056" s="41"/>
      <c r="G1056" s="35"/>
      <c r="H1056" s="98"/>
      <c r="J1056" s="69"/>
      <c r="K1056" s="99"/>
      <c r="L1056" s="90"/>
      <c r="M1056" s="69"/>
      <c r="N1056" s="375"/>
      <c r="O1056" s="378"/>
      <c r="P1056" s="13"/>
      <c r="Q1056" s="13"/>
      <c r="R1056" s="13"/>
      <c r="S1056" s="35"/>
      <c r="T1056" s="35"/>
      <c r="U1056" s="69"/>
      <c r="V1056" s="6"/>
      <c r="W1056" s="6"/>
      <c r="X1056" s="181"/>
      <c r="Y1056" s="150"/>
      <c r="Z1056" s="150"/>
      <c r="AA1056" s="150"/>
      <c r="AB1056" s="150"/>
      <c r="AC1056" s="150"/>
      <c r="AD1056" s="381"/>
      <c r="AE1056" s="150"/>
      <c r="AF1056" s="110"/>
      <c r="AG1056" s="105"/>
      <c r="AH1056" s="69"/>
      <c r="AI1056" s="105"/>
      <c r="AJ1056" s="98"/>
      <c r="AK1056" s="110"/>
      <c r="AL1056" s="98"/>
      <c r="AM1056" s="69"/>
      <c r="AN1056" s="13"/>
      <c r="AO1056" s="13"/>
      <c r="AP1056" s="13"/>
      <c r="AQ1056" s="6"/>
      <c r="AR1056" s="13"/>
      <c r="AS1056" s="13"/>
      <c r="AT1056" s="13"/>
      <c r="AU1056" s="13"/>
      <c r="AV1056" s="13"/>
      <c r="AW1056" s="6"/>
      <c r="AX1056" s="13"/>
      <c r="AY1056" s="13"/>
      <c r="AZ1056" s="6"/>
      <c r="BA1056" s="6"/>
      <c r="BB1056" s="6"/>
      <c r="BC1056" s="6"/>
      <c r="BD1056" s="6"/>
      <c r="BE1056" s="6"/>
      <c r="BF1056" s="6"/>
      <c r="BG1056" s="6"/>
    </row>
    <row r="1057">
      <c r="A1057" s="69"/>
      <c r="B1057" s="69"/>
      <c r="C1057" s="7"/>
      <c r="D1057" s="41"/>
      <c r="E1057" s="6"/>
      <c r="F1057" s="41"/>
      <c r="G1057" s="35"/>
      <c r="H1057" s="98"/>
      <c r="J1057" s="69"/>
      <c r="K1057" s="99"/>
      <c r="L1057" s="90"/>
      <c r="M1057" s="69"/>
      <c r="N1057" s="375"/>
      <c r="O1057" s="378"/>
      <c r="P1057" s="6"/>
      <c r="Q1057" s="6"/>
      <c r="R1057" s="13"/>
      <c r="S1057" s="98"/>
      <c r="T1057" s="35"/>
      <c r="U1057" s="69"/>
      <c r="V1057" s="6"/>
      <c r="W1057" s="6"/>
      <c r="X1057" s="181"/>
      <c r="Y1057" s="150"/>
      <c r="Z1057" s="150"/>
      <c r="AA1057" s="150"/>
      <c r="AB1057" s="150"/>
      <c r="AC1057" s="150"/>
      <c r="AD1057" s="381"/>
      <c r="AE1057" s="150"/>
      <c r="AF1057" s="110"/>
      <c r="AG1057" s="105"/>
      <c r="AH1057" s="69"/>
      <c r="AI1057" s="105"/>
      <c r="AJ1057" s="98"/>
      <c r="AK1057" s="110"/>
      <c r="AL1057" s="98"/>
      <c r="AM1057" s="128"/>
      <c r="AN1057" s="13"/>
      <c r="AO1057" s="13"/>
      <c r="AP1057" s="13"/>
      <c r="AQ1057" s="6"/>
      <c r="AR1057" s="6"/>
      <c r="AS1057" s="6"/>
      <c r="AT1057" s="6"/>
      <c r="AU1057" s="6"/>
      <c r="AV1057" s="6"/>
      <c r="AW1057" s="6"/>
      <c r="AX1057" s="13"/>
      <c r="AY1057" s="13"/>
      <c r="AZ1057" s="6"/>
      <c r="BA1057" s="6"/>
      <c r="BB1057" s="6"/>
      <c r="BC1057" s="6"/>
      <c r="BD1057" s="6"/>
      <c r="BE1057" s="6"/>
      <c r="BF1057" s="6"/>
      <c r="BG1057" s="6"/>
    </row>
    <row r="1058">
      <c r="A1058" s="69"/>
      <c r="B1058" s="69"/>
      <c r="C1058" s="7"/>
      <c r="D1058" s="41"/>
      <c r="E1058" s="6"/>
      <c r="F1058" s="41"/>
      <c r="G1058" s="35"/>
      <c r="H1058" s="35"/>
      <c r="J1058" s="69"/>
      <c r="K1058" s="41"/>
      <c r="L1058" s="90"/>
      <c r="M1058" s="69"/>
      <c r="N1058" s="375"/>
      <c r="O1058" s="378"/>
      <c r="P1058" s="6"/>
      <c r="Q1058" s="6"/>
      <c r="R1058" s="13"/>
      <c r="S1058" s="35"/>
      <c r="T1058" s="35"/>
      <c r="U1058" s="69"/>
      <c r="V1058" s="6"/>
      <c r="W1058" s="6"/>
      <c r="X1058" s="181"/>
      <c r="Y1058" s="102"/>
      <c r="Z1058" s="102"/>
      <c r="AA1058" s="102"/>
      <c r="AB1058" s="102"/>
      <c r="AC1058" s="102"/>
      <c r="AD1058" s="342"/>
      <c r="AE1058" s="102"/>
      <c r="AF1058" s="110"/>
      <c r="AG1058" s="105"/>
      <c r="AH1058" s="69"/>
      <c r="AI1058" s="105"/>
      <c r="AJ1058" s="98"/>
      <c r="AK1058" s="110"/>
      <c r="AL1058" s="98"/>
      <c r="AM1058" s="69"/>
      <c r="AN1058" s="13"/>
      <c r="AO1058" s="13"/>
      <c r="AP1058" s="13"/>
      <c r="AQ1058" s="6"/>
      <c r="AR1058" s="6"/>
      <c r="AS1058" s="6"/>
      <c r="AT1058" s="6"/>
      <c r="AU1058" s="6"/>
      <c r="AV1058" s="6"/>
      <c r="AW1058" s="6"/>
      <c r="AX1058" s="13"/>
      <c r="AY1058" s="13"/>
      <c r="AZ1058" s="6"/>
      <c r="BA1058" s="6"/>
      <c r="BB1058" s="6"/>
      <c r="BC1058" s="6"/>
      <c r="BD1058" s="6"/>
      <c r="BE1058" s="6"/>
      <c r="BF1058" s="6"/>
      <c r="BG1058" s="6"/>
    </row>
    <row r="1059">
      <c r="A1059" s="69"/>
      <c r="B1059" s="69"/>
      <c r="C1059" s="7"/>
      <c r="D1059" s="41"/>
      <c r="E1059" s="6"/>
      <c r="F1059" s="41"/>
      <c r="G1059" s="35"/>
      <c r="H1059" s="35"/>
      <c r="J1059" s="69"/>
      <c r="K1059" s="99"/>
      <c r="L1059" s="90"/>
      <c r="M1059" s="69"/>
      <c r="N1059" s="375"/>
      <c r="O1059" s="378"/>
      <c r="P1059" s="13"/>
      <c r="Q1059" s="13"/>
      <c r="R1059" s="13"/>
      <c r="S1059" s="35"/>
      <c r="T1059" s="35"/>
      <c r="U1059" s="69"/>
      <c r="V1059" s="6"/>
      <c r="W1059" s="6"/>
      <c r="X1059" s="181"/>
      <c r="Y1059" s="102"/>
      <c r="Z1059" s="102"/>
      <c r="AA1059" s="102"/>
      <c r="AB1059" s="102"/>
      <c r="AC1059" s="102"/>
      <c r="AD1059" s="342"/>
      <c r="AE1059" s="102"/>
      <c r="AF1059" s="110"/>
      <c r="AG1059" s="105"/>
      <c r="AH1059" s="69"/>
      <c r="AI1059" s="105"/>
      <c r="AJ1059" s="98"/>
      <c r="AK1059" s="110"/>
      <c r="AL1059" s="98"/>
      <c r="AM1059" s="69"/>
      <c r="AN1059" s="13"/>
      <c r="AO1059" s="13"/>
      <c r="AP1059" s="13"/>
      <c r="AQ1059" s="6"/>
      <c r="AR1059" s="13"/>
      <c r="AS1059" s="13"/>
      <c r="AT1059" s="13"/>
      <c r="AU1059" s="13"/>
      <c r="AV1059" s="13"/>
      <c r="AW1059" s="6"/>
      <c r="AX1059" s="13"/>
      <c r="AY1059" s="13"/>
      <c r="AZ1059" s="6"/>
      <c r="BA1059" s="6"/>
      <c r="BB1059" s="6"/>
      <c r="BC1059" s="6"/>
      <c r="BD1059" s="6"/>
      <c r="BE1059" s="6"/>
      <c r="BF1059" s="6"/>
      <c r="BG1059" s="6"/>
    </row>
    <row r="1060">
      <c r="A1060" s="69"/>
      <c r="B1060" s="69"/>
      <c r="C1060" s="7"/>
      <c r="D1060" s="41"/>
      <c r="E1060" s="6"/>
      <c r="F1060" s="41"/>
      <c r="G1060" s="35"/>
      <c r="H1060" s="35"/>
      <c r="J1060" s="69"/>
      <c r="K1060" s="99"/>
      <c r="L1060" s="90"/>
      <c r="M1060" s="69"/>
      <c r="N1060" s="375"/>
      <c r="O1060" s="378"/>
      <c r="P1060" s="13"/>
      <c r="Q1060" s="13"/>
      <c r="R1060" s="13"/>
      <c r="S1060" s="35"/>
      <c r="T1060" s="35"/>
      <c r="U1060" s="69"/>
      <c r="V1060" s="6"/>
      <c r="W1060" s="6"/>
      <c r="X1060" s="181"/>
      <c r="Y1060" s="102"/>
      <c r="Z1060" s="102"/>
      <c r="AA1060" s="102"/>
      <c r="AB1060" s="102"/>
      <c r="AC1060" s="102"/>
      <c r="AD1060" s="342"/>
      <c r="AE1060" s="102"/>
      <c r="AF1060" s="110"/>
      <c r="AG1060" s="105"/>
      <c r="AH1060" s="69"/>
      <c r="AI1060" s="105"/>
      <c r="AJ1060" s="98"/>
      <c r="AK1060" s="110"/>
      <c r="AL1060" s="98"/>
      <c r="AM1060" s="69"/>
      <c r="AN1060" s="13"/>
      <c r="AO1060" s="13"/>
      <c r="AP1060" s="13"/>
      <c r="AQ1060" s="13"/>
      <c r="AR1060" s="13"/>
      <c r="AS1060" s="13"/>
      <c r="AT1060" s="13"/>
      <c r="AU1060" s="13"/>
      <c r="AV1060" s="13"/>
      <c r="AW1060" s="6"/>
      <c r="AX1060" s="13"/>
      <c r="AY1060" s="13"/>
      <c r="AZ1060" s="6"/>
      <c r="BA1060" s="6"/>
      <c r="BB1060" s="6"/>
      <c r="BC1060" s="6"/>
      <c r="BD1060" s="6"/>
      <c r="BE1060" s="6"/>
      <c r="BF1060" s="6"/>
      <c r="BG1060" s="6"/>
    </row>
    <row r="1061">
      <c r="A1061" s="69"/>
      <c r="B1061" s="69"/>
      <c r="C1061" s="7"/>
      <c r="D1061" s="41"/>
      <c r="E1061" s="6"/>
      <c r="F1061" s="41"/>
      <c r="G1061" s="35"/>
      <c r="H1061" s="35"/>
      <c r="J1061" s="69"/>
      <c r="K1061" s="99"/>
      <c r="L1061" s="90"/>
      <c r="M1061" s="69"/>
      <c r="N1061" s="375"/>
      <c r="O1061" s="378"/>
      <c r="P1061" s="13"/>
      <c r="Q1061" s="13"/>
      <c r="R1061" s="13"/>
      <c r="S1061" s="35"/>
      <c r="T1061" s="35"/>
      <c r="U1061" s="69"/>
      <c r="V1061" s="6"/>
      <c r="W1061" s="6"/>
      <c r="X1061" s="181"/>
      <c r="Y1061" s="102"/>
      <c r="Z1061" s="102"/>
      <c r="AA1061" s="102"/>
      <c r="AB1061" s="102"/>
      <c r="AC1061" s="102"/>
      <c r="AD1061" s="342"/>
      <c r="AE1061" s="102"/>
      <c r="AF1061" s="110"/>
      <c r="AG1061" s="105"/>
      <c r="AH1061" s="69"/>
      <c r="AI1061" s="105"/>
      <c r="AJ1061" s="98"/>
      <c r="AK1061" s="110"/>
      <c r="AL1061" s="98"/>
      <c r="AM1061" s="69"/>
      <c r="AN1061" s="13"/>
      <c r="AO1061" s="13"/>
      <c r="AP1061" s="13"/>
      <c r="AQ1061" s="13"/>
      <c r="AR1061" s="13"/>
      <c r="AS1061" s="13"/>
      <c r="AT1061" s="13"/>
      <c r="AU1061" s="13"/>
      <c r="AV1061" s="13"/>
      <c r="AW1061" s="6"/>
      <c r="AX1061" s="13"/>
      <c r="AY1061" s="13"/>
      <c r="AZ1061" s="6"/>
      <c r="BA1061" s="6"/>
      <c r="BB1061" s="6"/>
      <c r="BC1061" s="6"/>
      <c r="BD1061" s="6"/>
      <c r="BE1061" s="6"/>
      <c r="BF1061" s="6"/>
      <c r="BG1061" s="6"/>
    </row>
    <row r="1062">
      <c r="A1062" s="69"/>
      <c r="B1062" s="69"/>
      <c r="C1062" s="7"/>
      <c r="D1062" s="41"/>
      <c r="E1062" s="6"/>
      <c r="F1062" s="41"/>
      <c r="G1062" s="35"/>
      <c r="H1062" s="35"/>
      <c r="J1062" s="69"/>
      <c r="K1062" s="99"/>
      <c r="L1062" s="90"/>
      <c r="M1062" s="69"/>
      <c r="N1062" s="375"/>
      <c r="O1062" s="378"/>
      <c r="P1062" s="13"/>
      <c r="Q1062" s="13"/>
      <c r="R1062" s="13"/>
      <c r="S1062" s="35"/>
      <c r="T1062" s="35"/>
      <c r="U1062" s="69"/>
      <c r="V1062" s="6"/>
      <c r="W1062" s="6"/>
      <c r="X1062" s="181"/>
      <c r="Y1062" s="102"/>
      <c r="Z1062" s="102"/>
      <c r="AA1062" s="102"/>
      <c r="AB1062" s="102"/>
      <c r="AC1062" s="102"/>
      <c r="AD1062" s="342"/>
      <c r="AE1062" s="102"/>
      <c r="AF1062" s="110"/>
      <c r="AG1062" s="105"/>
      <c r="AH1062" s="69"/>
      <c r="AI1062" s="105"/>
      <c r="AJ1062" s="98"/>
      <c r="AK1062" s="110"/>
      <c r="AL1062" s="98"/>
      <c r="AM1062" s="69"/>
      <c r="AN1062" s="13"/>
      <c r="AO1062" s="13"/>
      <c r="AP1062" s="13"/>
      <c r="AQ1062" s="13"/>
      <c r="AR1062" s="13"/>
      <c r="AS1062" s="13"/>
      <c r="AT1062" s="13"/>
      <c r="AU1062" s="13"/>
      <c r="AV1062" s="13"/>
      <c r="AW1062" s="6"/>
      <c r="AX1062" s="13"/>
      <c r="AY1062" s="13"/>
      <c r="AZ1062" s="6"/>
      <c r="BA1062" s="6"/>
      <c r="BB1062" s="6"/>
      <c r="BC1062" s="6"/>
      <c r="BD1062" s="6"/>
      <c r="BE1062" s="6"/>
      <c r="BF1062" s="6"/>
      <c r="BG1062" s="6"/>
    </row>
    <row r="1063">
      <c r="A1063" s="69"/>
      <c r="B1063" s="69"/>
      <c r="C1063" s="7"/>
      <c r="D1063" s="41"/>
      <c r="E1063" s="6"/>
      <c r="F1063" s="41"/>
      <c r="G1063" s="35"/>
      <c r="H1063" s="35"/>
      <c r="J1063" s="69"/>
      <c r="K1063" s="99"/>
      <c r="L1063" s="90"/>
      <c r="M1063" s="69"/>
      <c r="N1063" s="375"/>
      <c r="O1063" s="378"/>
      <c r="P1063" s="6"/>
      <c r="Q1063" s="6"/>
      <c r="R1063" s="6"/>
      <c r="S1063" s="35"/>
      <c r="T1063" s="35"/>
      <c r="U1063" s="69"/>
      <c r="V1063" s="6"/>
      <c r="W1063" s="6"/>
      <c r="X1063" s="181"/>
      <c r="Y1063" s="102"/>
      <c r="Z1063" s="102"/>
      <c r="AA1063" s="102"/>
      <c r="AB1063" s="102"/>
      <c r="AC1063" s="102"/>
      <c r="AD1063" s="342"/>
      <c r="AE1063" s="102"/>
      <c r="AF1063" s="110"/>
      <c r="AG1063" s="105"/>
      <c r="AH1063" s="69"/>
      <c r="AI1063" s="105"/>
      <c r="AJ1063" s="98"/>
      <c r="AK1063" s="110"/>
      <c r="AL1063" s="98"/>
      <c r="AM1063" s="69"/>
      <c r="AN1063" s="13"/>
      <c r="AO1063" s="13"/>
      <c r="AP1063" s="13"/>
      <c r="AQ1063" s="13"/>
      <c r="AR1063" s="6"/>
      <c r="AS1063" s="13"/>
      <c r="AT1063" s="6"/>
      <c r="AU1063" s="13"/>
      <c r="AV1063" s="6"/>
      <c r="AW1063" s="6"/>
      <c r="AX1063" s="13"/>
      <c r="AY1063" s="13"/>
      <c r="AZ1063" s="6"/>
      <c r="BA1063" s="6"/>
      <c r="BB1063" s="6"/>
      <c r="BC1063" s="6"/>
      <c r="BD1063" s="6"/>
      <c r="BE1063" s="6"/>
      <c r="BF1063" s="6"/>
      <c r="BG1063" s="6"/>
    </row>
    <row r="1064">
      <c r="A1064" s="69"/>
      <c r="B1064" s="69"/>
      <c r="C1064" s="7"/>
      <c r="D1064" s="41"/>
      <c r="E1064" s="6"/>
      <c r="F1064" s="41"/>
      <c r="G1064" s="35"/>
      <c r="H1064" s="98"/>
      <c r="J1064" s="69"/>
      <c r="K1064" s="99"/>
      <c r="L1064" s="90"/>
      <c r="M1064" s="69"/>
      <c r="N1064" s="375"/>
      <c r="O1064" s="376"/>
      <c r="P1064" s="6"/>
      <c r="Q1064" s="6"/>
      <c r="R1064" s="6"/>
      <c r="S1064" s="98"/>
      <c r="T1064" s="35"/>
      <c r="U1064" s="69"/>
      <c r="V1064" s="6"/>
      <c r="W1064" s="6"/>
      <c r="X1064" s="181"/>
      <c r="Y1064" s="150"/>
      <c r="Z1064" s="150"/>
      <c r="AA1064" s="150"/>
      <c r="AB1064" s="150"/>
      <c r="AC1064" s="150"/>
      <c r="AD1064" s="381"/>
      <c r="AE1064" s="150"/>
      <c r="AF1064" s="110"/>
      <c r="AG1064" s="105"/>
      <c r="AH1064" s="69"/>
      <c r="AI1064" s="105"/>
      <c r="AJ1064" s="98"/>
      <c r="AK1064" s="110"/>
      <c r="AL1064" s="98"/>
      <c r="AM1064" s="128"/>
      <c r="AN1064" s="13"/>
      <c r="AO1064" s="13"/>
      <c r="AP1064" s="13"/>
      <c r="AQ1064" s="6"/>
      <c r="AR1064" s="6"/>
      <c r="AS1064" s="6"/>
      <c r="AT1064" s="6"/>
      <c r="AU1064" s="6"/>
      <c r="AV1064" s="6"/>
      <c r="AW1064" s="6"/>
      <c r="AX1064" s="13"/>
      <c r="AY1064" s="13"/>
      <c r="AZ1064" s="6"/>
      <c r="BA1064" s="6"/>
      <c r="BB1064" s="6"/>
      <c r="BC1064" s="6"/>
      <c r="BD1064" s="6"/>
      <c r="BE1064" s="6"/>
      <c r="BF1064" s="6"/>
      <c r="BG1064" s="6"/>
    </row>
    <row r="1065">
      <c r="A1065" s="69"/>
      <c r="B1065" s="69"/>
      <c r="C1065" s="7"/>
      <c r="D1065" s="41"/>
      <c r="E1065" s="6"/>
      <c r="F1065" s="41"/>
      <c r="G1065" s="35"/>
      <c r="H1065" s="98"/>
      <c r="J1065" s="69"/>
      <c r="K1065" s="99"/>
      <c r="L1065" s="90"/>
      <c r="M1065" s="69"/>
      <c r="N1065" s="375"/>
      <c r="O1065" s="376"/>
      <c r="P1065" s="13"/>
      <c r="Q1065" s="13"/>
      <c r="R1065" s="13"/>
      <c r="S1065" s="111"/>
      <c r="T1065" s="35"/>
      <c r="U1065" s="69"/>
      <c r="V1065" s="6"/>
      <c r="W1065" s="6"/>
      <c r="X1065" s="181"/>
      <c r="Y1065" s="150"/>
      <c r="Z1065" s="150"/>
      <c r="AA1065" s="150"/>
      <c r="AB1065" s="150"/>
      <c r="AC1065" s="150"/>
      <c r="AD1065" s="381"/>
      <c r="AE1065" s="150"/>
      <c r="AF1065" s="110"/>
      <c r="AG1065" s="105"/>
      <c r="AH1065" s="69"/>
      <c r="AI1065" s="105"/>
      <c r="AJ1065" s="98"/>
      <c r="AK1065" s="110"/>
      <c r="AL1065" s="98"/>
      <c r="AM1065" s="128"/>
      <c r="AN1065" s="13"/>
      <c r="AO1065" s="13"/>
      <c r="AP1065" s="13"/>
      <c r="AQ1065" s="13"/>
      <c r="AR1065" s="6"/>
      <c r="AS1065" s="13"/>
      <c r="AT1065" s="6"/>
      <c r="AU1065" s="13"/>
      <c r="AV1065" s="6"/>
      <c r="AW1065" s="6"/>
      <c r="AX1065" s="13"/>
      <c r="AY1065" s="13"/>
      <c r="AZ1065" s="6"/>
      <c r="BA1065" s="6"/>
      <c r="BB1065" s="6"/>
      <c r="BC1065" s="6"/>
      <c r="BD1065" s="6"/>
      <c r="BE1065" s="6"/>
      <c r="BF1065" s="6"/>
      <c r="BG1065" s="6"/>
    </row>
    <row r="1066">
      <c r="A1066" s="69"/>
      <c r="B1066" s="69"/>
      <c r="C1066" s="7"/>
      <c r="D1066" s="41"/>
      <c r="E1066" s="6"/>
      <c r="F1066" s="41"/>
      <c r="G1066" s="35"/>
      <c r="H1066" s="98"/>
      <c r="J1066" s="35"/>
      <c r="K1066" s="99"/>
      <c r="L1066" s="90"/>
      <c r="M1066" s="69"/>
      <c r="N1066" s="375"/>
      <c r="O1066" s="378"/>
      <c r="P1066" s="13"/>
      <c r="Q1066" s="13"/>
      <c r="R1066" s="13"/>
      <c r="S1066" s="98"/>
      <c r="T1066" s="35"/>
      <c r="U1066" s="69"/>
      <c r="V1066" s="6"/>
      <c r="W1066" s="6"/>
      <c r="X1066" s="181"/>
      <c r="Y1066" s="150"/>
      <c r="Z1066" s="150"/>
      <c r="AA1066" s="150"/>
      <c r="AB1066" s="150"/>
      <c r="AC1066" s="150"/>
      <c r="AD1066" s="381"/>
      <c r="AE1066" s="150"/>
      <c r="AF1066" s="110"/>
      <c r="AG1066" s="105"/>
      <c r="AH1066" s="69"/>
      <c r="AI1066" s="105"/>
      <c r="AJ1066" s="98"/>
      <c r="AK1066" s="104"/>
      <c r="AL1066" s="98"/>
      <c r="AM1066" s="128"/>
      <c r="AN1066" s="13"/>
      <c r="AO1066" s="13"/>
      <c r="AP1066" s="13"/>
      <c r="AQ1066" s="13"/>
      <c r="AR1066" s="13"/>
      <c r="AS1066" s="13"/>
      <c r="AT1066" s="13"/>
      <c r="AU1066" s="13"/>
      <c r="AV1066" s="13"/>
      <c r="AW1066" s="6"/>
      <c r="AX1066" s="13"/>
      <c r="AY1066" s="13"/>
      <c r="AZ1066" s="6"/>
      <c r="BA1066" s="6"/>
      <c r="BB1066" s="6"/>
      <c r="BC1066" s="6"/>
      <c r="BD1066" s="6"/>
      <c r="BE1066" s="6"/>
      <c r="BF1066" s="6"/>
      <c r="BG1066" s="6"/>
    </row>
    <row r="1067">
      <c r="A1067" s="69"/>
      <c r="B1067" s="69"/>
      <c r="C1067" s="7"/>
      <c r="D1067" s="41"/>
      <c r="E1067" s="6"/>
      <c r="F1067" s="41"/>
      <c r="G1067" s="35"/>
      <c r="H1067" s="98"/>
      <c r="J1067" s="69"/>
      <c r="K1067" s="99"/>
      <c r="L1067" s="90"/>
      <c r="M1067" s="69"/>
      <c r="N1067" s="375"/>
      <c r="O1067" s="378"/>
      <c r="P1067" s="13"/>
      <c r="Q1067" s="13"/>
      <c r="R1067" s="13"/>
      <c r="S1067" s="98"/>
      <c r="T1067" s="35"/>
      <c r="U1067" s="69"/>
      <c r="V1067" s="6"/>
      <c r="W1067" s="6"/>
      <c r="X1067" s="181"/>
      <c r="Y1067" s="150"/>
      <c r="Z1067" s="150"/>
      <c r="AA1067" s="150"/>
      <c r="AB1067" s="150"/>
      <c r="AC1067" s="150"/>
      <c r="AD1067" s="381"/>
      <c r="AE1067" s="150"/>
      <c r="AF1067" s="110"/>
      <c r="AG1067" s="105"/>
      <c r="AH1067" s="69"/>
      <c r="AI1067" s="105"/>
      <c r="AJ1067" s="98"/>
      <c r="AK1067" s="110"/>
      <c r="AL1067" s="98"/>
      <c r="AM1067" s="69"/>
      <c r="AN1067" s="13"/>
      <c r="AO1067" s="13"/>
      <c r="AP1067" s="13"/>
      <c r="AQ1067" s="6"/>
      <c r="AR1067" s="6"/>
      <c r="AS1067" s="13"/>
      <c r="AT1067" s="6"/>
      <c r="AU1067" s="13"/>
      <c r="AV1067" s="6"/>
      <c r="AW1067" s="6"/>
      <c r="AX1067" s="13"/>
      <c r="AY1067" s="13"/>
      <c r="AZ1067" s="6"/>
      <c r="BA1067" s="6"/>
      <c r="BB1067" s="6"/>
      <c r="BC1067" s="6"/>
      <c r="BD1067" s="6"/>
      <c r="BE1067" s="6"/>
      <c r="BF1067" s="6"/>
      <c r="BG1067" s="6"/>
    </row>
    <row r="1068">
      <c r="A1068" s="69"/>
      <c r="B1068" s="69"/>
      <c r="C1068" s="7"/>
      <c r="D1068" s="41"/>
      <c r="E1068" s="6"/>
      <c r="F1068" s="41"/>
      <c r="G1068" s="35"/>
      <c r="H1068" s="98"/>
      <c r="J1068" s="69"/>
      <c r="K1068" s="99"/>
      <c r="L1068" s="90"/>
      <c r="M1068" s="69"/>
      <c r="N1068" s="375"/>
      <c r="O1068" s="378"/>
      <c r="P1068" s="13"/>
      <c r="Q1068" s="13"/>
      <c r="R1068" s="13"/>
      <c r="S1068" s="98"/>
      <c r="T1068" s="35"/>
      <c r="U1068" s="69"/>
      <c r="V1068" s="6"/>
      <c r="W1068" s="6"/>
      <c r="X1068" s="181"/>
      <c r="Y1068" s="150"/>
      <c r="Z1068" s="150"/>
      <c r="AA1068" s="150"/>
      <c r="AB1068" s="150"/>
      <c r="AC1068" s="150"/>
      <c r="AD1068" s="381"/>
      <c r="AE1068" s="150"/>
      <c r="AF1068" s="110"/>
      <c r="AG1068" s="105"/>
      <c r="AH1068" s="69"/>
      <c r="AI1068" s="105"/>
      <c r="AJ1068" s="98"/>
      <c r="AK1068" s="110"/>
      <c r="AL1068" s="98"/>
      <c r="AM1068" s="69"/>
      <c r="AN1068" s="13"/>
      <c r="AO1068" s="13"/>
      <c r="AP1068" s="13"/>
      <c r="AQ1068" s="6"/>
      <c r="AR1068" s="13"/>
      <c r="AS1068" s="13"/>
      <c r="AT1068" s="13"/>
      <c r="AU1068" s="13"/>
      <c r="AV1068" s="13"/>
      <c r="AW1068" s="6"/>
      <c r="AX1068" s="13"/>
      <c r="AY1068" s="13"/>
      <c r="AZ1068" s="6"/>
      <c r="BA1068" s="6"/>
      <c r="BB1068" s="6"/>
      <c r="BC1068" s="6"/>
      <c r="BD1068" s="6"/>
      <c r="BE1068" s="6"/>
      <c r="BF1068" s="6"/>
      <c r="BG1068" s="6"/>
    </row>
    <row r="1069">
      <c r="A1069" s="69"/>
      <c r="B1069" s="69"/>
      <c r="C1069" s="7"/>
      <c r="D1069" s="41"/>
      <c r="E1069" s="6"/>
      <c r="F1069" s="41"/>
      <c r="G1069" s="35"/>
      <c r="H1069" s="98"/>
      <c r="J1069" s="69"/>
      <c r="K1069" s="99"/>
      <c r="L1069" s="90"/>
      <c r="M1069" s="69"/>
      <c r="N1069" s="375"/>
      <c r="O1069" s="378"/>
      <c r="P1069" s="13"/>
      <c r="Q1069" s="13"/>
      <c r="R1069" s="13"/>
      <c r="S1069" s="98"/>
      <c r="T1069" s="35"/>
      <c r="U1069" s="69"/>
      <c r="V1069" s="6"/>
      <c r="W1069" s="6"/>
      <c r="X1069" s="181"/>
      <c r="Y1069" s="150"/>
      <c r="Z1069" s="150"/>
      <c r="AA1069" s="150"/>
      <c r="AB1069" s="150"/>
      <c r="AC1069" s="150"/>
      <c r="AD1069" s="381"/>
      <c r="AE1069" s="150"/>
      <c r="AF1069" s="110"/>
      <c r="AG1069" s="105"/>
      <c r="AH1069" s="69"/>
      <c r="AI1069" s="105"/>
      <c r="AJ1069" s="98"/>
      <c r="AK1069" s="110"/>
      <c r="AL1069" s="98"/>
      <c r="AM1069" s="69"/>
      <c r="AN1069" s="13"/>
      <c r="AO1069" s="13"/>
      <c r="AP1069" s="13"/>
      <c r="AQ1069" s="6"/>
      <c r="AR1069" s="13"/>
      <c r="AS1069" s="13"/>
      <c r="AT1069" s="13"/>
      <c r="AU1069" s="13"/>
      <c r="AV1069" s="13"/>
      <c r="AW1069" s="6"/>
      <c r="AX1069" s="13"/>
      <c r="AY1069" s="13"/>
      <c r="AZ1069" s="6"/>
      <c r="BA1069" s="6"/>
      <c r="BB1069" s="6"/>
      <c r="BC1069" s="6"/>
      <c r="BD1069" s="6"/>
      <c r="BE1069" s="6"/>
      <c r="BF1069" s="6"/>
      <c r="BG1069" s="6"/>
    </row>
    <row r="1070">
      <c r="A1070" s="69"/>
      <c r="B1070" s="69"/>
      <c r="C1070" s="7"/>
      <c r="D1070" s="41"/>
      <c r="E1070" s="6"/>
      <c r="F1070" s="41"/>
      <c r="G1070" s="35"/>
      <c r="H1070" s="98"/>
      <c r="J1070" s="69"/>
      <c r="K1070" s="99"/>
      <c r="L1070" s="90"/>
      <c r="M1070" s="182"/>
      <c r="N1070" s="375"/>
      <c r="O1070" s="378"/>
      <c r="P1070" s="13"/>
      <c r="Q1070" s="13"/>
      <c r="R1070" s="13"/>
      <c r="S1070" s="98"/>
      <c r="T1070" s="35"/>
      <c r="U1070" s="69"/>
      <c r="V1070" s="6"/>
      <c r="W1070" s="6"/>
      <c r="X1070" s="181"/>
      <c r="Y1070" s="150"/>
      <c r="Z1070" s="150"/>
      <c r="AA1070" s="150"/>
      <c r="AB1070" s="150"/>
      <c r="AC1070" s="150"/>
      <c r="AD1070" s="381"/>
      <c r="AE1070" s="150"/>
      <c r="AF1070" s="110"/>
      <c r="AG1070" s="105"/>
      <c r="AH1070" s="69"/>
      <c r="AI1070" s="105"/>
      <c r="AJ1070" s="98"/>
      <c r="AK1070" s="110"/>
      <c r="AL1070" s="98"/>
      <c r="AM1070" s="69"/>
      <c r="AN1070" s="13"/>
      <c r="AO1070" s="13"/>
      <c r="AP1070" s="13"/>
      <c r="AQ1070" s="6"/>
      <c r="AR1070" s="13"/>
      <c r="AS1070" s="13"/>
      <c r="AT1070" s="13"/>
      <c r="AU1070" s="13"/>
      <c r="AV1070" s="13"/>
      <c r="AW1070" s="6"/>
      <c r="AX1070" s="13"/>
      <c r="AY1070" s="13"/>
      <c r="AZ1070" s="6"/>
      <c r="BA1070" s="6"/>
      <c r="BB1070" s="6"/>
      <c r="BC1070" s="6"/>
      <c r="BD1070" s="6"/>
      <c r="BE1070" s="6"/>
      <c r="BF1070" s="6"/>
      <c r="BG1070" s="6"/>
    </row>
    <row r="1071">
      <c r="A1071" s="69"/>
      <c r="B1071" s="69"/>
      <c r="C1071" s="7"/>
      <c r="D1071" s="41"/>
      <c r="E1071" s="6"/>
      <c r="F1071" s="41"/>
      <c r="G1071" s="35"/>
      <c r="H1071" s="98"/>
      <c r="J1071" s="69"/>
      <c r="K1071" s="99"/>
      <c r="L1071" s="90"/>
      <c r="M1071" s="182"/>
      <c r="N1071" s="375"/>
      <c r="O1071" s="378"/>
      <c r="P1071" s="13"/>
      <c r="Q1071" s="13"/>
      <c r="R1071" s="13"/>
      <c r="S1071" s="98"/>
      <c r="T1071" s="35"/>
      <c r="U1071" s="69"/>
      <c r="V1071" s="6"/>
      <c r="W1071" s="6"/>
      <c r="X1071" s="181"/>
      <c r="Y1071" s="150"/>
      <c r="Z1071" s="150"/>
      <c r="AA1071" s="150"/>
      <c r="AB1071" s="150"/>
      <c r="AC1071" s="150"/>
      <c r="AD1071" s="381"/>
      <c r="AE1071" s="150"/>
      <c r="AF1071" s="110"/>
      <c r="AG1071" s="105"/>
      <c r="AH1071" s="69"/>
      <c r="AI1071" s="105"/>
      <c r="AJ1071" s="98"/>
      <c r="AK1071" s="110"/>
      <c r="AL1071" s="98"/>
      <c r="AM1071" s="69"/>
      <c r="AN1071" s="13"/>
      <c r="AO1071" s="13"/>
      <c r="AP1071" s="13"/>
      <c r="AQ1071" s="6"/>
      <c r="AR1071" s="13"/>
      <c r="AS1071" s="13"/>
      <c r="AT1071" s="13"/>
      <c r="AU1071" s="13"/>
      <c r="AV1071" s="13"/>
      <c r="AW1071" s="6"/>
      <c r="AX1071" s="13"/>
      <c r="AY1071" s="13"/>
      <c r="AZ1071" s="6"/>
      <c r="BA1071" s="6"/>
      <c r="BB1071" s="6"/>
      <c r="BC1071" s="6"/>
      <c r="BD1071" s="6"/>
      <c r="BE1071" s="6"/>
      <c r="BF1071" s="6"/>
      <c r="BG1071" s="6"/>
    </row>
    <row r="1072">
      <c r="A1072" s="382"/>
      <c r="B1072" s="382"/>
      <c r="C1072" s="7"/>
      <c r="D1072" s="41"/>
      <c r="E1072" s="6"/>
      <c r="F1072" s="41"/>
      <c r="G1072" s="35"/>
      <c r="H1072" s="98"/>
      <c r="J1072" s="69"/>
      <c r="K1072" s="41"/>
      <c r="L1072" s="90"/>
      <c r="M1072" s="69"/>
      <c r="N1072" s="375"/>
      <c r="O1072" s="383"/>
      <c r="P1072" s="6"/>
      <c r="Q1072" s="6"/>
      <c r="R1072" s="6"/>
      <c r="S1072" s="98"/>
      <c r="T1072" s="35"/>
      <c r="U1072" s="69"/>
      <c r="V1072" s="6"/>
      <c r="W1072" s="6"/>
      <c r="X1072" s="181"/>
      <c r="Y1072" s="102"/>
      <c r="Z1072" s="102"/>
      <c r="AA1072" s="102"/>
      <c r="AB1072" s="102"/>
      <c r="AC1072" s="150"/>
      <c r="AD1072" s="381"/>
      <c r="AE1072" s="150"/>
      <c r="AF1072" s="110"/>
      <c r="AG1072" s="105"/>
      <c r="AH1072" s="69"/>
      <c r="AI1072" s="384"/>
      <c r="AJ1072" s="184"/>
      <c r="AK1072" s="110"/>
      <c r="AL1072" s="184"/>
      <c r="AM1072" s="183"/>
      <c r="AN1072" s="13"/>
      <c r="AO1072" s="13"/>
      <c r="AP1072" s="13"/>
      <c r="AQ1072" s="13"/>
      <c r="AR1072" s="6"/>
      <c r="AS1072" s="13"/>
      <c r="AT1072" s="6"/>
      <c r="AU1072" s="13"/>
      <c r="AV1072" s="6"/>
      <c r="AW1072" s="6"/>
      <c r="AX1072" s="13"/>
      <c r="AY1072" s="13"/>
      <c r="AZ1072" s="6"/>
      <c r="BA1072" s="6"/>
      <c r="BB1072" s="6"/>
      <c r="BC1072" s="6"/>
      <c r="BD1072" s="6"/>
      <c r="BE1072" s="6"/>
      <c r="BF1072" s="6"/>
      <c r="BG1072" s="6"/>
    </row>
    <row r="1073">
      <c r="A1073" s="382"/>
      <c r="B1073" s="382"/>
      <c r="C1073" s="7"/>
      <c r="D1073" s="41"/>
      <c r="E1073" s="6"/>
      <c r="F1073" s="41"/>
      <c r="G1073" s="35"/>
      <c r="H1073" s="98"/>
      <c r="J1073" s="69"/>
      <c r="K1073" s="99"/>
      <c r="L1073" s="90"/>
      <c r="M1073" s="69"/>
      <c r="N1073" s="375"/>
      <c r="O1073" s="376"/>
      <c r="P1073" s="6"/>
      <c r="Q1073" s="6"/>
      <c r="R1073" s="6"/>
      <c r="S1073" s="98"/>
      <c r="T1073" s="35"/>
      <c r="U1073" s="69"/>
      <c r="V1073" s="6"/>
      <c r="W1073" s="6"/>
      <c r="X1073" s="181"/>
      <c r="Y1073" s="150"/>
      <c r="Z1073" s="150"/>
      <c r="AA1073" s="150"/>
      <c r="AB1073" s="150"/>
      <c r="AC1073" s="150"/>
      <c r="AD1073" s="381"/>
      <c r="AE1073" s="150"/>
      <c r="AF1073" s="110"/>
      <c r="AG1073" s="105"/>
      <c r="AH1073" s="69"/>
      <c r="AI1073" s="384"/>
      <c r="AJ1073" s="184"/>
      <c r="AK1073" s="110"/>
      <c r="AL1073" s="184"/>
      <c r="AM1073" s="183"/>
      <c r="AN1073" s="13"/>
      <c r="AO1073" s="13"/>
      <c r="AP1073" s="13"/>
      <c r="AQ1073" s="13"/>
      <c r="AR1073" s="13"/>
      <c r="AS1073" s="13"/>
      <c r="AT1073" s="13"/>
      <c r="AU1073" s="13"/>
      <c r="AV1073" s="13"/>
      <c r="AW1073" s="6"/>
      <c r="AX1073" s="13"/>
      <c r="AY1073" s="13"/>
      <c r="AZ1073" s="6"/>
      <c r="BA1073" s="6"/>
      <c r="BB1073" s="6"/>
      <c r="BC1073" s="6"/>
      <c r="BD1073" s="6"/>
      <c r="BE1073" s="6"/>
      <c r="BF1073" s="6"/>
      <c r="BG1073" s="6"/>
    </row>
    <row r="1074">
      <c r="A1074" s="382"/>
      <c r="B1074" s="382"/>
      <c r="C1074" s="7"/>
      <c r="D1074" s="41"/>
      <c r="E1074" s="6"/>
      <c r="F1074" s="41"/>
      <c r="G1074" s="35"/>
      <c r="H1074" s="98"/>
      <c r="J1074" s="69"/>
      <c r="K1074" s="99"/>
      <c r="L1074" s="90"/>
      <c r="M1074" s="69"/>
      <c r="N1074" s="375"/>
      <c r="O1074" s="383"/>
      <c r="P1074" s="13"/>
      <c r="Q1074" s="13"/>
      <c r="R1074" s="13"/>
      <c r="S1074" s="98"/>
      <c r="T1074" s="35"/>
      <c r="U1074" s="69"/>
      <c r="V1074" s="6"/>
      <c r="W1074" s="6"/>
      <c r="X1074" s="181"/>
      <c r="Y1074" s="150"/>
      <c r="Z1074" s="150"/>
      <c r="AA1074" s="150"/>
      <c r="AB1074" s="150"/>
      <c r="AC1074" s="150"/>
      <c r="AD1074" s="381"/>
      <c r="AE1074" s="150"/>
      <c r="AF1074" s="110"/>
      <c r="AG1074" s="105"/>
      <c r="AH1074" s="69"/>
      <c r="AI1074" s="384"/>
      <c r="AJ1074" s="184"/>
      <c r="AK1074" s="110"/>
      <c r="AL1074" s="184"/>
      <c r="AM1074" s="183"/>
      <c r="AN1074" s="13"/>
      <c r="AO1074" s="13"/>
      <c r="AP1074" s="13"/>
      <c r="AQ1074" s="13"/>
      <c r="AR1074" s="13"/>
      <c r="AS1074" s="13"/>
      <c r="AT1074" s="13"/>
      <c r="AU1074" s="13"/>
      <c r="AV1074" s="13"/>
      <c r="AW1074" s="6"/>
      <c r="AX1074" s="13"/>
      <c r="AY1074" s="13"/>
      <c r="AZ1074" s="6"/>
      <c r="BA1074" s="6"/>
      <c r="BB1074" s="6"/>
      <c r="BC1074" s="6"/>
      <c r="BD1074" s="6"/>
      <c r="BE1074" s="6"/>
      <c r="BF1074" s="6"/>
      <c r="BG1074" s="6"/>
    </row>
    <row r="1075">
      <c r="A1075" s="382"/>
      <c r="B1075" s="382"/>
      <c r="C1075" s="7"/>
      <c r="D1075" s="41"/>
      <c r="E1075" s="6"/>
      <c r="F1075" s="41"/>
      <c r="G1075" s="35"/>
      <c r="H1075" s="98"/>
      <c r="J1075" s="69"/>
      <c r="K1075" s="99"/>
      <c r="L1075" s="90"/>
      <c r="M1075" s="69"/>
      <c r="N1075" s="375"/>
      <c r="O1075" s="383"/>
      <c r="P1075" s="13"/>
      <c r="Q1075" s="13"/>
      <c r="R1075" s="13"/>
      <c r="S1075" s="98"/>
      <c r="T1075" s="35"/>
      <c r="U1075" s="69"/>
      <c r="V1075" s="6"/>
      <c r="W1075" s="6"/>
      <c r="X1075" s="181"/>
      <c r="Y1075" s="150"/>
      <c r="Z1075" s="150"/>
      <c r="AA1075" s="150"/>
      <c r="AB1075" s="150"/>
      <c r="AC1075" s="150"/>
      <c r="AD1075" s="381"/>
      <c r="AE1075" s="150"/>
      <c r="AF1075" s="110"/>
      <c r="AG1075" s="105"/>
      <c r="AH1075" s="69"/>
      <c r="AI1075" s="384"/>
      <c r="AJ1075" s="184"/>
      <c r="AK1075" s="110"/>
      <c r="AL1075" s="184"/>
      <c r="AM1075" s="183"/>
      <c r="AN1075" s="13"/>
      <c r="AO1075" s="13"/>
      <c r="AP1075" s="13"/>
      <c r="AQ1075" s="13"/>
      <c r="AR1075" s="13"/>
      <c r="AS1075" s="13"/>
      <c r="AT1075" s="13"/>
      <c r="AU1075" s="13"/>
      <c r="AV1075" s="13"/>
      <c r="AW1075" s="6"/>
      <c r="AX1075" s="13"/>
      <c r="AY1075" s="13"/>
      <c r="AZ1075" s="6"/>
      <c r="BA1075" s="6"/>
      <c r="BB1075" s="6"/>
      <c r="BC1075" s="6"/>
      <c r="BD1075" s="6"/>
      <c r="BE1075" s="6"/>
      <c r="BF1075" s="6"/>
      <c r="BG1075" s="6"/>
    </row>
    <row r="1076">
      <c r="A1076" s="382"/>
      <c r="B1076" s="382"/>
      <c r="C1076" s="7"/>
      <c r="D1076" s="41"/>
      <c r="E1076" s="6"/>
      <c r="F1076" s="41"/>
      <c r="G1076" s="35"/>
      <c r="H1076" s="98"/>
      <c r="J1076" s="69"/>
      <c r="K1076" s="99"/>
      <c r="L1076" s="90"/>
      <c r="M1076" s="69"/>
      <c r="N1076" s="375"/>
      <c r="O1076" s="376"/>
      <c r="P1076" s="13"/>
      <c r="Q1076" s="13"/>
      <c r="R1076" s="13"/>
      <c r="S1076" s="98"/>
      <c r="T1076" s="35"/>
      <c r="U1076" s="69"/>
      <c r="V1076" s="6"/>
      <c r="W1076" s="6"/>
      <c r="X1076" s="181"/>
      <c r="Y1076" s="150"/>
      <c r="Z1076" s="150"/>
      <c r="AA1076" s="150"/>
      <c r="AB1076" s="150"/>
      <c r="AC1076" s="150"/>
      <c r="AD1076" s="381"/>
      <c r="AE1076" s="150"/>
      <c r="AF1076" s="110"/>
      <c r="AG1076" s="105"/>
      <c r="AH1076" s="69"/>
      <c r="AI1076" s="384"/>
      <c r="AJ1076" s="184"/>
      <c r="AK1076" s="110"/>
      <c r="AL1076" s="184"/>
      <c r="AM1076" s="183"/>
      <c r="AN1076" s="13"/>
      <c r="AO1076" s="13"/>
      <c r="AP1076" s="13"/>
      <c r="AQ1076" s="13"/>
      <c r="AR1076" s="13"/>
      <c r="AS1076" s="13"/>
      <c r="AT1076" s="13"/>
      <c r="AU1076" s="13"/>
      <c r="AV1076" s="13"/>
      <c r="AW1076" s="6"/>
      <c r="AX1076" s="13"/>
      <c r="AY1076" s="13"/>
      <c r="AZ1076" s="6"/>
      <c r="BA1076" s="6"/>
      <c r="BB1076" s="6"/>
      <c r="BC1076" s="6"/>
      <c r="BD1076" s="6"/>
      <c r="BE1076" s="6"/>
      <c r="BF1076" s="6"/>
      <c r="BG1076" s="6"/>
    </row>
    <row r="1077">
      <c r="A1077" s="382"/>
      <c r="B1077" s="382"/>
      <c r="C1077" s="7"/>
      <c r="D1077" s="41"/>
      <c r="E1077" s="6"/>
      <c r="F1077" s="41"/>
      <c r="G1077" s="35"/>
      <c r="H1077" s="98"/>
      <c r="J1077" s="69"/>
      <c r="K1077" s="99"/>
      <c r="L1077" s="90"/>
      <c r="M1077" s="69"/>
      <c r="N1077" s="375"/>
      <c r="O1077" s="383"/>
      <c r="P1077" s="13"/>
      <c r="Q1077" s="13"/>
      <c r="R1077" s="13"/>
      <c r="S1077" s="98"/>
      <c r="T1077" s="35"/>
      <c r="U1077" s="69"/>
      <c r="V1077" s="6"/>
      <c r="W1077" s="6"/>
      <c r="X1077" s="181"/>
      <c r="Y1077" s="150"/>
      <c r="Z1077" s="150"/>
      <c r="AA1077" s="150"/>
      <c r="AB1077" s="150"/>
      <c r="AC1077" s="150"/>
      <c r="AD1077" s="381"/>
      <c r="AE1077" s="150"/>
      <c r="AF1077" s="110"/>
      <c r="AG1077" s="105"/>
      <c r="AH1077" s="69"/>
      <c r="AI1077" s="384"/>
      <c r="AJ1077" s="184"/>
      <c r="AK1077" s="110"/>
      <c r="AL1077" s="184"/>
      <c r="AM1077" s="183"/>
      <c r="AN1077" s="13"/>
      <c r="AO1077" s="13"/>
      <c r="AP1077" s="13"/>
      <c r="AQ1077" s="13"/>
      <c r="AR1077" s="13"/>
      <c r="AS1077" s="13"/>
      <c r="AT1077" s="13"/>
      <c r="AU1077" s="13"/>
      <c r="AV1077" s="13"/>
      <c r="AW1077" s="6"/>
      <c r="AX1077" s="13"/>
      <c r="AY1077" s="13"/>
      <c r="AZ1077" s="6"/>
      <c r="BA1077" s="6"/>
      <c r="BB1077" s="6"/>
      <c r="BC1077" s="6"/>
      <c r="BD1077" s="6"/>
      <c r="BE1077" s="6"/>
      <c r="BF1077" s="6"/>
      <c r="BG1077" s="6"/>
    </row>
    <row r="1078">
      <c r="A1078" s="382"/>
      <c r="B1078" s="382"/>
      <c r="C1078" s="7"/>
      <c r="D1078" s="187"/>
      <c r="E1078" s="185"/>
      <c r="F1078" s="187"/>
      <c r="G1078" s="35"/>
      <c r="H1078" s="98"/>
      <c r="J1078" s="69"/>
      <c r="K1078" s="99"/>
      <c r="L1078" s="90"/>
      <c r="M1078" s="69"/>
      <c r="N1078" s="375"/>
      <c r="O1078" s="383"/>
      <c r="P1078" s="13"/>
      <c r="Q1078" s="13"/>
      <c r="R1078" s="13"/>
      <c r="S1078" s="98"/>
      <c r="T1078" s="35"/>
      <c r="U1078" s="69"/>
      <c r="V1078" s="185"/>
      <c r="W1078" s="185"/>
      <c r="X1078" s="385"/>
      <c r="Y1078" s="150"/>
      <c r="Z1078" s="150"/>
      <c r="AA1078" s="150"/>
      <c r="AB1078" s="150"/>
      <c r="AC1078" s="150"/>
      <c r="AD1078" s="381"/>
      <c r="AE1078" s="150"/>
      <c r="AF1078" s="110"/>
      <c r="AG1078" s="105"/>
      <c r="AH1078" s="69"/>
      <c r="AI1078" s="384"/>
      <c r="AJ1078" s="184"/>
      <c r="AK1078" s="110"/>
      <c r="AL1078" s="184"/>
      <c r="AM1078" s="69"/>
      <c r="AN1078" s="13"/>
      <c r="AO1078" s="13"/>
      <c r="AP1078" s="13"/>
      <c r="AQ1078" s="13"/>
      <c r="AR1078" s="13"/>
      <c r="AS1078" s="13"/>
      <c r="AT1078" s="13"/>
      <c r="AU1078" s="13"/>
      <c r="AV1078" s="13"/>
      <c r="AW1078" s="6"/>
      <c r="AX1078" s="13"/>
      <c r="AY1078" s="13"/>
      <c r="AZ1078" s="185"/>
      <c r="BA1078" s="185"/>
      <c r="BB1078" s="185"/>
      <c r="BC1078" s="185"/>
      <c r="BD1078" s="185"/>
      <c r="BE1078" s="185"/>
      <c r="BF1078" s="185"/>
      <c r="BG1078" s="185"/>
    </row>
    <row r="1079">
      <c r="A1079" s="35"/>
      <c r="B1079" s="35"/>
      <c r="C1079" s="7"/>
      <c r="D1079" s="41"/>
      <c r="E1079" s="6"/>
      <c r="F1079" s="41"/>
      <c r="G1079" s="35"/>
      <c r="H1079" s="111"/>
      <c r="J1079" s="35"/>
      <c r="K1079" s="99"/>
      <c r="L1079" s="90"/>
      <c r="M1079" s="107"/>
      <c r="N1079" s="380"/>
      <c r="O1079" s="377"/>
      <c r="P1079" s="13"/>
      <c r="Q1079" s="13"/>
      <c r="R1079" s="13"/>
      <c r="S1079" s="111"/>
      <c r="T1079" s="35"/>
      <c r="U1079" s="35"/>
      <c r="V1079" s="6"/>
      <c r="W1079" s="6"/>
      <c r="X1079" s="181"/>
      <c r="Y1079" s="102"/>
      <c r="Z1079" s="102"/>
      <c r="AA1079" s="102"/>
      <c r="AB1079" s="102"/>
      <c r="AC1079" s="102"/>
      <c r="AD1079" s="342"/>
      <c r="AE1079" s="102"/>
      <c r="AF1079" s="110"/>
      <c r="AG1079" s="105"/>
      <c r="AH1079" s="69"/>
      <c r="AI1079" s="108"/>
      <c r="AJ1079" s="111"/>
      <c r="AK1079" s="104"/>
      <c r="AL1079" s="111"/>
      <c r="AM1079" s="35"/>
      <c r="AN1079" s="13"/>
      <c r="AO1079" s="13"/>
      <c r="AP1079" s="13"/>
      <c r="AQ1079" s="189"/>
      <c r="AR1079" s="13"/>
      <c r="AS1079" s="13"/>
      <c r="AT1079" s="13"/>
      <c r="AU1079" s="13"/>
      <c r="AV1079" s="13"/>
      <c r="AW1079" s="6"/>
      <c r="AX1079" s="13"/>
      <c r="AY1079" s="13"/>
      <c r="AZ1079" s="6"/>
      <c r="BA1079" s="6"/>
      <c r="BB1079" s="6"/>
      <c r="BC1079" s="6"/>
      <c r="BD1079" s="6"/>
      <c r="BE1079" s="6"/>
      <c r="BF1079" s="6"/>
      <c r="BG1079" s="6"/>
    </row>
    <row r="1080">
      <c r="A1080" s="35"/>
      <c r="B1080" s="35"/>
      <c r="C1080" s="7"/>
      <c r="D1080" s="41"/>
      <c r="E1080" s="6"/>
      <c r="F1080" s="41"/>
      <c r="G1080" s="35"/>
      <c r="H1080" s="111"/>
      <c r="J1080" s="35"/>
      <c r="K1080" s="99"/>
      <c r="L1080" s="90"/>
      <c r="M1080" s="107"/>
      <c r="N1080" s="380"/>
      <c r="O1080" s="377"/>
      <c r="P1080" s="13"/>
      <c r="Q1080" s="13"/>
      <c r="R1080" s="13"/>
      <c r="S1080" s="111"/>
      <c r="T1080" s="35"/>
      <c r="U1080" s="35"/>
      <c r="V1080" s="6"/>
      <c r="W1080" s="6"/>
      <c r="X1080" s="181"/>
      <c r="Y1080" s="102"/>
      <c r="Z1080" s="102"/>
      <c r="AA1080" s="102"/>
      <c r="AB1080" s="102"/>
      <c r="AC1080" s="102"/>
      <c r="AD1080" s="342"/>
      <c r="AE1080" s="102"/>
      <c r="AF1080" s="110"/>
      <c r="AG1080" s="105"/>
      <c r="AH1080" s="69"/>
      <c r="AI1080" s="108"/>
      <c r="AJ1080" s="111"/>
      <c r="AK1080" s="104"/>
      <c r="AL1080" s="111"/>
      <c r="AM1080" s="69"/>
      <c r="AN1080" s="13"/>
      <c r="AO1080" s="13"/>
      <c r="AP1080" s="13"/>
      <c r="AQ1080" s="189"/>
      <c r="AR1080" s="13"/>
      <c r="AS1080" s="13"/>
      <c r="AT1080" s="13"/>
      <c r="AU1080" s="13"/>
      <c r="AV1080" s="13"/>
      <c r="AW1080" s="6"/>
      <c r="AX1080" s="13"/>
      <c r="AY1080" s="13"/>
      <c r="AZ1080" s="6"/>
      <c r="BA1080" s="6"/>
      <c r="BB1080" s="6"/>
      <c r="BC1080" s="6"/>
      <c r="BD1080" s="6"/>
      <c r="BE1080" s="6"/>
      <c r="BF1080" s="6"/>
      <c r="BG1080" s="6"/>
    </row>
    <row r="1081">
      <c r="A1081" s="35"/>
      <c r="B1081" s="35"/>
      <c r="C1081" s="7"/>
      <c r="D1081" s="41"/>
      <c r="E1081" s="6"/>
      <c r="F1081" s="41"/>
      <c r="G1081" s="35"/>
      <c r="H1081" s="111"/>
      <c r="J1081" s="35"/>
      <c r="K1081" s="99"/>
      <c r="L1081" s="90"/>
      <c r="M1081" s="107"/>
      <c r="N1081" s="380"/>
      <c r="O1081" s="377"/>
      <c r="P1081" s="13"/>
      <c r="Q1081" s="13"/>
      <c r="R1081" s="13"/>
      <c r="S1081" s="111"/>
      <c r="T1081" s="35"/>
      <c r="U1081" s="35"/>
      <c r="V1081" s="6"/>
      <c r="W1081" s="6"/>
      <c r="X1081" s="181"/>
      <c r="Y1081" s="102"/>
      <c r="Z1081" s="102"/>
      <c r="AA1081" s="102"/>
      <c r="AB1081" s="102"/>
      <c r="AC1081" s="102"/>
      <c r="AD1081" s="342"/>
      <c r="AE1081" s="102"/>
      <c r="AF1081" s="110"/>
      <c r="AG1081" s="105"/>
      <c r="AH1081" s="69"/>
      <c r="AI1081" s="108"/>
      <c r="AJ1081" s="111"/>
      <c r="AK1081" s="104"/>
      <c r="AL1081" s="111"/>
      <c r="AM1081" s="69"/>
      <c r="AN1081" s="13"/>
      <c r="AO1081" s="13"/>
      <c r="AP1081" s="13"/>
      <c r="AQ1081" s="6"/>
      <c r="AR1081" s="13"/>
      <c r="AS1081" s="13"/>
      <c r="AT1081" s="13"/>
      <c r="AU1081" s="13"/>
      <c r="AV1081" s="13"/>
      <c r="AW1081" s="6"/>
      <c r="AX1081" s="13"/>
      <c r="AY1081" s="13"/>
      <c r="AZ1081" s="6"/>
      <c r="BA1081" s="6"/>
      <c r="BB1081" s="6"/>
      <c r="BC1081" s="6"/>
      <c r="BD1081" s="6"/>
      <c r="BE1081" s="6"/>
      <c r="BF1081" s="6"/>
      <c r="BG1081" s="6"/>
    </row>
    <row r="1082">
      <c r="A1082" s="35"/>
      <c r="B1082" s="35"/>
      <c r="C1082" s="7"/>
      <c r="D1082" s="41"/>
      <c r="E1082" s="6"/>
      <c r="F1082" s="41"/>
      <c r="G1082" s="35"/>
      <c r="H1082" s="111"/>
      <c r="J1082" s="35"/>
      <c r="K1082" s="99"/>
      <c r="L1082" s="90"/>
      <c r="M1082" s="107"/>
      <c r="N1082" s="380"/>
      <c r="O1082" s="377"/>
      <c r="P1082" s="13"/>
      <c r="Q1082" s="13"/>
      <c r="R1082" s="13"/>
      <c r="S1082" s="111"/>
      <c r="T1082" s="35"/>
      <c r="U1082" s="35"/>
      <c r="V1082" s="6"/>
      <c r="W1082" s="6"/>
      <c r="X1082" s="181"/>
      <c r="Y1082" s="102"/>
      <c r="Z1082" s="102"/>
      <c r="AA1082" s="102"/>
      <c r="AB1082" s="102"/>
      <c r="AC1082" s="102"/>
      <c r="AD1082" s="342"/>
      <c r="AE1082" s="102"/>
      <c r="AF1082" s="110"/>
      <c r="AG1082" s="105"/>
      <c r="AH1082" s="69"/>
      <c r="AI1082" s="108"/>
      <c r="AJ1082" s="111"/>
      <c r="AK1082" s="104"/>
      <c r="AL1082" s="111"/>
      <c r="AM1082" s="35"/>
      <c r="AN1082" s="13"/>
      <c r="AO1082" s="13"/>
      <c r="AP1082" s="13"/>
      <c r="AQ1082" s="6"/>
      <c r="AR1082" s="6"/>
      <c r="AS1082" s="6"/>
      <c r="AT1082" s="6"/>
      <c r="AU1082" s="6"/>
      <c r="AV1082" s="6"/>
      <c r="AW1082" s="6"/>
      <c r="AX1082" s="13"/>
      <c r="AY1082" s="13"/>
      <c r="AZ1082" s="6"/>
      <c r="BA1082" s="6"/>
      <c r="BB1082" s="6"/>
      <c r="BC1082" s="6"/>
      <c r="BD1082" s="6"/>
      <c r="BE1082" s="6"/>
      <c r="BF1082" s="6"/>
      <c r="BG1082" s="6"/>
    </row>
    <row r="1083">
      <c r="A1083" s="35"/>
      <c r="B1083" s="35"/>
      <c r="C1083" s="7"/>
      <c r="D1083" s="41"/>
      <c r="E1083" s="6"/>
      <c r="F1083" s="41"/>
      <c r="G1083" s="35"/>
      <c r="H1083" s="111"/>
      <c r="J1083" s="35"/>
      <c r="K1083" s="99"/>
      <c r="L1083" s="90"/>
      <c r="M1083" s="107"/>
      <c r="N1083" s="380"/>
      <c r="O1083" s="377"/>
      <c r="P1083" s="13"/>
      <c r="Q1083" s="13"/>
      <c r="R1083" s="13"/>
      <c r="S1083" s="111"/>
      <c r="T1083" s="35"/>
      <c r="U1083" s="35"/>
      <c r="V1083" s="6"/>
      <c r="W1083" s="6"/>
      <c r="X1083" s="181"/>
      <c r="Y1083" s="102"/>
      <c r="Z1083" s="102"/>
      <c r="AA1083" s="102"/>
      <c r="AB1083" s="102"/>
      <c r="AC1083" s="102"/>
      <c r="AD1083" s="342"/>
      <c r="AE1083" s="102"/>
      <c r="AF1083" s="110"/>
      <c r="AG1083" s="105"/>
      <c r="AH1083" s="69"/>
      <c r="AI1083" s="108"/>
      <c r="AJ1083" s="111"/>
      <c r="AK1083" s="104"/>
      <c r="AL1083" s="111"/>
      <c r="AM1083" s="35"/>
      <c r="AN1083" s="13"/>
      <c r="AO1083" s="13"/>
      <c r="AP1083" s="13"/>
      <c r="AQ1083" s="6"/>
      <c r="AR1083" s="13"/>
      <c r="AS1083" s="13"/>
      <c r="AT1083" s="13"/>
      <c r="AU1083" s="13"/>
      <c r="AV1083" s="13"/>
      <c r="AW1083" s="6"/>
      <c r="AX1083" s="13"/>
      <c r="AY1083" s="13"/>
      <c r="AZ1083" s="6"/>
      <c r="BA1083" s="6"/>
      <c r="BB1083" s="6"/>
      <c r="BC1083" s="6"/>
      <c r="BD1083" s="6"/>
      <c r="BE1083" s="6"/>
      <c r="BF1083" s="6"/>
      <c r="BG1083" s="6"/>
    </row>
    <row r="1084">
      <c r="A1084" s="35"/>
      <c r="B1084" s="35"/>
      <c r="C1084" s="7"/>
      <c r="D1084" s="41"/>
      <c r="E1084" s="6"/>
      <c r="F1084" s="41"/>
      <c r="G1084" s="35"/>
      <c r="H1084" s="111"/>
      <c r="J1084" s="35"/>
      <c r="K1084" s="99"/>
      <c r="L1084" s="90"/>
      <c r="M1084" s="107"/>
      <c r="N1084" s="380"/>
      <c r="O1084" s="377"/>
      <c r="P1084" s="13"/>
      <c r="Q1084" s="13"/>
      <c r="R1084" s="13"/>
      <c r="S1084" s="111"/>
      <c r="T1084" s="35"/>
      <c r="U1084" s="35"/>
      <c r="V1084" s="6"/>
      <c r="W1084" s="6"/>
      <c r="X1084" s="181"/>
      <c r="Y1084" s="102"/>
      <c r="Z1084" s="102"/>
      <c r="AA1084" s="102"/>
      <c r="AB1084" s="102"/>
      <c r="AC1084" s="102"/>
      <c r="AD1084" s="342"/>
      <c r="AE1084" s="102"/>
      <c r="AF1084" s="110"/>
      <c r="AG1084" s="105"/>
      <c r="AH1084" s="69"/>
      <c r="AI1084" s="108"/>
      <c r="AJ1084" s="111"/>
      <c r="AK1084" s="104"/>
      <c r="AL1084" s="111"/>
      <c r="AM1084" s="69"/>
      <c r="AN1084" s="13"/>
      <c r="AO1084" s="13"/>
      <c r="AP1084" s="13"/>
      <c r="AQ1084" s="6"/>
      <c r="AR1084" s="13"/>
      <c r="AS1084" s="13"/>
      <c r="AT1084" s="13"/>
      <c r="AU1084" s="13"/>
      <c r="AV1084" s="13"/>
      <c r="AW1084" s="6"/>
      <c r="AX1084" s="13"/>
      <c r="AY1084" s="13"/>
      <c r="AZ1084" s="6"/>
      <c r="BA1084" s="6"/>
      <c r="BB1084" s="6"/>
      <c r="BC1084" s="6"/>
      <c r="BD1084" s="6"/>
      <c r="BE1084" s="6"/>
      <c r="BF1084" s="6"/>
      <c r="BG1084" s="6"/>
    </row>
    <row r="1085">
      <c r="A1085" s="35"/>
      <c r="B1085" s="35"/>
      <c r="C1085" s="7"/>
      <c r="D1085" s="41"/>
      <c r="E1085" s="6"/>
      <c r="F1085" s="41"/>
      <c r="G1085" s="35"/>
      <c r="H1085" s="111"/>
      <c r="J1085" s="35"/>
      <c r="K1085" s="99"/>
      <c r="L1085" s="90"/>
      <c r="M1085" s="107"/>
      <c r="N1085" s="380"/>
      <c r="O1085" s="377"/>
      <c r="P1085" s="13"/>
      <c r="Q1085" s="13"/>
      <c r="R1085" s="13"/>
      <c r="S1085" s="111"/>
      <c r="T1085" s="35"/>
      <c r="U1085" s="35"/>
      <c r="V1085" s="6"/>
      <c r="W1085" s="6"/>
      <c r="X1085" s="181"/>
      <c r="Y1085" s="102"/>
      <c r="Z1085" s="102"/>
      <c r="AA1085" s="102"/>
      <c r="AB1085" s="102"/>
      <c r="AC1085" s="102"/>
      <c r="AD1085" s="342"/>
      <c r="AE1085" s="102"/>
      <c r="AF1085" s="110"/>
      <c r="AG1085" s="105"/>
      <c r="AH1085" s="69"/>
      <c r="AI1085" s="108"/>
      <c r="AJ1085" s="111"/>
      <c r="AK1085" s="104"/>
      <c r="AL1085" s="111"/>
      <c r="AM1085" s="69"/>
      <c r="AN1085" s="13"/>
      <c r="AO1085" s="13"/>
      <c r="AP1085" s="13"/>
      <c r="AQ1085" s="6"/>
      <c r="AR1085" s="13"/>
      <c r="AS1085" s="13"/>
      <c r="AT1085" s="13"/>
      <c r="AU1085" s="13"/>
      <c r="AV1085" s="13"/>
      <c r="AW1085" s="6"/>
      <c r="AX1085" s="13"/>
      <c r="AY1085" s="13"/>
      <c r="AZ1085" s="6"/>
      <c r="BA1085" s="6"/>
      <c r="BB1085" s="6"/>
      <c r="BC1085" s="6"/>
      <c r="BD1085" s="6"/>
      <c r="BE1085" s="6"/>
      <c r="BF1085" s="6"/>
      <c r="BG1085" s="6"/>
    </row>
    <row r="1086">
      <c r="A1086" s="35"/>
      <c r="B1086" s="35"/>
      <c r="C1086" s="7"/>
      <c r="D1086" s="41"/>
      <c r="E1086" s="6"/>
      <c r="F1086" s="41"/>
      <c r="G1086" s="35"/>
      <c r="H1086" s="111"/>
      <c r="J1086" s="35"/>
      <c r="K1086" s="99"/>
      <c r="L1086" s="90"/>
      <c r="M1086" s="107"/>
      <c r="N1086" s="380"/>
      <c r="O1086" s="377"/>
      <c r="P1086" s="13"/>
      <c r="Q1086" s="13"/>
      <c r="R1086" s="13"/>
      <c r="S1086" s="111"/>
      <c r="T1086" s="35"/>
      <c r="U1086" s="35"/>
      <c r="V1086" s="6"/>
      <c r="W1086" s="6"/>
      <c r="X1086" s="181"/>
      <c r="Y1086" s="102"/>
      <c r="Z1086" s="102"/>
      <c r="AA1086" s="102"/>
      <c r="AB1086" s="102"/>
      <c r="AC1086" s="102"/>
      <c r="AD1086" s="342"/>
      <c r="AE1086" s="102"/>
      <c r="AF1086" s="110"/>
      <c r="AG1086" s="105"/>
      <c r="AH1086" s="69"/>
      <c r="AI1086" s="108"/>
      <c r="AJ1086" s="111"/>
      <c r="AK1086" s="104"/>
      <c r="AL1086" s="111"/>
      <c r="AM1086" s="69"/>
      <c r="AN1086" s="13"/>
      <c r="AO1086" s="13"/>
      <c r="AP1086" s="13"/>
      <c r="AQ1086" s="6"/>
      <c r="AR1086" s="13"/>
      <c r="AS1086" s="13"/>
      <c r="AT1086" s="13"/>
      <c r="AU1086" s="13"/>
      <c r="AV1086" s="13"/>
      <c r="AW1086" s="6"/>
      <c r="AX1086" s="13"/>
      <c r="AY1086" s="13"/>
      <c r="AZ1086" s="6"/>
      <c r="BA1086" s="6"/>
      <c r="BB1086" s="6"/>
      <c r="BC1086" s="6"/>
      <c r="BD1086" s="6"/>
      <c r="BE1086" s="6"/>
      <c r="BF1086" s="6"/>
      <c r="BG1086" s="6"/>
    </row>
    <row r="1087">
      <c r="A1087" s="35"/>
      <c r="B1087" s="35"/>
      <c r="C1087" s="7"/>
      <c r="D1087" s="41"/>
      <c r="E1087" s="6"/>
      <c r="F1087" s="41"/>
      <c r="G1087" s="35"/>
      <c r="H1087" s="111"/>
      <c r="J1087" s="35"/>
      <c r="K1087" s="99"/>
      <c r="L1087" s="90"/>
      <c r="M1087" s="107"/>
      <c r="N1087" s="380"/>
      <c r="O1087" s="378"/>
      <c r="P1087" s="6"/>
      <c r="Q1087" s="6"/>
      <c r="R1087" s="6"/>
      <c r="S1087" s="111"/>
      <c r="T1087" s="35"/>
      <c r="U1087" s="35"/>
      <c r="V1087" s="6"/>
      <c r="W1087" s="6"/>
      <c r="X1087" s="181"/>
      <c r="Y1087" s="102"/>
      <c r="Z1087" s="102"/>
      <c r="AA1087" s="102"/>
      <c r="AB1087" s="102"/>
      <c r="AC1087" s="102"/>
      <c r="AD1087" s="342"/>
      <c r="AE1087" s="102"/>
      <c r="AF1087" s="110"/>
      <c r="AG1087" s="105"/>
      <c r="AH1087" s="69"/>
      <c r="AI1087" s="108"/>
      <c r="AJ1087" s="111"/>
      <c r="AK1087" s="104"/>
      <c r="AL1087" s="111"/>
      <c r="AM1087" s="50"/>
      <c r="AN1087" s="13"/>
      <c r="AO1087" s="13"/>
      <c r="AP1087" s="13"/>
      <c r="AQ1087" s="6"/>
      <c r="AR1087" s="6"/>
      <c r="AS1087" s="6"/>
      <c r="AT1087" s="6"/>
      <c r="AU1087" s="6"/>
      <c r="AV1087" s="6"/>
      <c r="AW1087" s="6"/>
      <c r="AX1087" s="13"/>
      <c r="AY1087" s="13"/>
      <c r="AZ1087" s="6"/>
      <c r="BA1087" s="6"/>
      <c r="BB1087" s="6"/>
      <c r="BC1087" s="6"/>
      <c r="BD1087" s="6"/>
      <c r="BE1087" s="6"/>
      <c r="BF1087" s="6"/>
      <c r="BG1087" s="6"/>
    </row>
    <row r="1088">
      <c r="A1088" s="35"/>
      <c r="B1088" s="35"/>
      <c r="C1088" s="7"/>
      <c r="D1088" s="41"/>
      <c r="E1088" s="6"/>
      <c r="F1088" s="41"/>
      <c r="G1088" s="35"/>
      <c r="H1088" s="111"/>
      <c r="J1088" s="35"/>
      <c r="K1088" s="99"/>
      <c r="L1088" s="90"/>
      <c r="M1088" s="107"/>
      <c r="N1088" s="380"/>
      <c r="O1088" s="378"/>
      <c r="P1088" s="6"/>
      <c r="Q1088" s="6"/>
      <c r="R1088" s="6"/>
      <c r="S1088" s="111"/>
      <c r="T1088" s="35"/>
      <c r="U1088" s="35"/>
      <c r="V1088" s="6"/>
      <c r="W1088" s="6"/>
      <c r="X1088" s="181"/>
      <c r="Y1088" s="102"/>
      <c r="Z1088" s="102"/>
      <c r="AA1088" s="102"/>
      <c r="AB1088" s="102"/>
      <c r="AC1088" s="102"/>
      <c r="AD1088" s="342"/>
      <c r="AE1088" s="102"/>
      <c r="AF1088" s="110"/>
      <c r="AG1088" s="105"/>
      <c r="AH1088" s="69"/>
      <c r="AI1088" s="108"/>
      <c r="AJ1088" s="111"/>
      <c r="AK1088" s="104"/>
      <c r="AL1088" s="111"/>
      <c r="AM1088" s="35"/>
      <c r="AN1088" s="13"/>
      <c r="AO1088" s="13"/>
      <c r="AP1088" s="13"/>
      <c r="AQ1088" s="6"/>
      <c r="AR1088" s="6"/>
      <c r="AS1088" s="13"/>
      <c r="AT1088" s="6"/>
      <c r="AU1088" s="13"/>
      <c r="AV1088" s="6"/>
      <c r="AW1088" s="6"/>
      <c r="AX1088" s="13"/>
      <c r="AY1088" s="13"/>
      <c r="AZ1088" s="6"/>
      <c r="BA1088" s="6"/>
      <c r="BB1088" s="6"/>
      <c r="BC1088" s="6"/>
      <c r="BD1088" s="6"/>
      <c r="BE1088" s="6"/>
      <c r="BF1088" s="6"/>
      <c r="BG1088" s="6"/>
    </row>
    <row r="1089">
      <c r="A1089" s="155"/>
      <c r="B1089" s="155"/>
      <c r="C1089" s="7"/>
      <c r="D1089" s="41"/>
      <c r="E1089" s="6"/>
      <c r="F1089" s="41"/>
      <c r="G1089" s="35"/>
      <c r="H1089" s="111"/>
      <c r="J1089" s="35"/>
      <c r="K1089" s="99"/>
      <c r="L1089" s="90"/>
      <c r="M1089" s="107"/>
      <c r="N1089" s="380"/>
      <c r="O1089" s="386"/>
      <c r="P1089" s="13"/>
      <c r="Q1089" s="13"/>
      <c r="R1089" s="13"/>
      <c r="S1089" s="111"/>
      <c r="T1089" s="35"/>
      <c r="U1089" s="35"/>
      <c r="V1089" s="6"/>
      <c r="W1089" s="6"/>
      <c r="X1089" s="181"/>
      <c r="Y1089" s="102"/>
      <c r="Z1089" s="102"/>
      <c r="AA1089" s="102"/>
      <c r="AB1089" s="102"/>
      <c r="AC1089" s="102"/>
      <c r="AD1089" s="342"/>
      <c r="AE1089" s="102"/>
      <c r="AF1089" s="110"/>
      <c r="AG1089" s="105"/>
      <c r="AH1089" s="69"/>
      <c r="AI1089" s="108"/>
      <c r="AJ1089" s="111"/>
      <c r="AK1089" s="104"/>
      <c r="AL1089" s="111"/>
      <c r="AM1089" s="35"/>
      <c r="AN1089" s="13"/>
      <c r="AO1089" s="13"/>
      <c r="AP1089" s="13"/>
      <c r="AQ1089" s="6"/>
      <c r="AR1089" s="6"/>
      <c r="AS1089" s="13"/>
      <c r="AT1089" s="6"/>
      <c r="AU1089" s="13"/>
      <c r="AV1089" s="6"/>
      <c r="AW1089" s="6"/>
      <c r="AX1089" s="13"/>
      <c r="AY1089" s="13"/>
      <c r="AZ1089" s="6"/>
      <c r="BA1089" s="6"/>
      <c r="BB1089" s="6"/>
      <c r="BC1089" s="6"/>
      <c r="BD1089" s="6"/>
      <c r="BE1089" s="6"/>
      <c r="BF1089" s="6"/>
      <c r="BG1089" s="6"/>
    </row>
    <row r="1090">
      <c r="A1090" s="35"/>
      <c r="B1090" s="35"/>
      <c r="C1090" s="7"/>
      <c r="D1090" s="41"/>
      <c r="E1090" s="6"/>
      <c r="F1090" s="41"/>
      <c r="G1090" s="35"/>
      <c r="H1090" s="111"/>
      <c r="J1090" s="35"/>
      <c r="K1090" s="99"/>
      <c r="L1090" s="90"/>
      <c r="M1090" s="107"/>
      <c r="N1090" s="380"/>
      <c r="O1090" s="386"/>
      <c r="P1090" s="13"/>
      <c r="Q1090" s="13"/>
      <c r="R1090" s="13"/>
      <c r="S1090" s="111"/>
      <c r="T1090" s="35"/>
      <c r="U1090" s="35"/>
      <c r="V1090" s="6"/>
      <c r="W1090" s="6"/>
      <c r="X1090" s="181"/>
      <c r="Y1090" s="102"/>
      <c r="Z1090" s="102"/>
      <c r="AA1090" s="102"/>
      <c r="AB1090" s="102"/>
      <c r="AC1090" s="102"/>
      <c r="AD1090" s="342"/>
      <c r="AE1090" s="102"/>
      <c r="AF1090" s="110"/>
      <c r="AG1090" s="105"/>
      <c r="AH1090" s="69"/>
      <c r="AI1090" s="108"/>
      <c r="AJ1090" s="111"/>
      <c r="AK1090" s="104"/>
      <c r="AL1090" s="111"/>
      <c r="AM1090" s="35"/>
      <c r="AN1090" s="13"/>
      <c r="AO1090" s="13"/>
      <c r="AP1090" s="13"/>
      <c r="AQ1090" s="6"/>
      <c r="AR1090" s="13"/>
      <c r="AS1090" s="13"/>
      <c r="AT1090" s="13"/>
      <c r="AU1090" s="13"/>
      <c r="AV1090" s="13"/>
      <c r="AW1090" s="6"/>
      <c r="AX1090" s="13"/>
      <c r="AY1090" s="13"/>
      <c r="AZ1090" s="6"/>
      <c r="BA1090" s="6"/>
      <c r="BB1090" s="6"/>
      <c r="BC1090" s="6"/>
      <c r="BD1090" s="6"/>
      <c r="BE1090" s="6"/>
      <c r="BF1090" s="6"/>
      <c r="BG1090" s="6"/>
    </row>
    <row r="1091">
      <c r="A1091" s="35"/>
      <c r="B1091" s="35"/>
      <c r="C1091" s="7"/>
      <c r="D1091" s="41"/>
      <c r="E1091" s="6"/>
      <c r="F1091" s="41"/>
      <c r="G1091" s="35"/>
      <c r="H1091" s="111"/>
      <c r="J1091" s="35"/>
      <c r="K1091" s="99"/>
      <c r="L1091" s="90"/>
      <c r="M1091" s="107"/>
      <c r="N1091" s="380"/>
      <c r="O1091" s="386"/>
      <c r="P1091" s="6"/>
      <c r="Q1091" s="6"/>
      <c r="R1091" s="6"/>
      <c r="S1091" s="111"/>
      <c r="T1091" s="35"/>
      <c r="U1091" s="35"/>
      <c r="V1091" s="6"/>
      <c r="W1091" s="6"/>
      <c r="X1091" s="181"/>
      <c r="Y1091" s="102"/>
      <c r="Z1091" s="102"/>
      <c r="AA1091" s="102"/>
      <c r="AB1091" s="102"/>
      <c r="AC1091" s="102"/>
      <c r="AD1091" s="342"/>
      <c r="AE1091" s="102"/>
      <c r="AF1091" s="110"/>
      <c r="AG1091" s="105"/>
      <c r="AH1091" s="69"/>
      <c r="AI1091" s="108"/>
      <c r="AJ1091" s="111"/>
      <c r="AK1091" s="104"/>
      <c r="AL1091" s="111"/>
      <c r="AM1091" s="35"/>
      <c r="AN1091" s="13"/>
      <c r="AO1091" s="13"/>
      <c r="AP1091" s="13"/>
      <c r="AQ1091" s="6"/>
      <c r="AR1091" s="6"/>
      <c r="AS1091" s="13"/>
      <c r="AT1091" s="6"/>
      <c r="AU1091" s="13"/>
      <c r="AV1091" s="6"/>
      <c r="AW1091" s="6"/>
      <c r="AX1091" s="13"/>
      <c r="AY1091" s="13"/>
      <c r="AZ1091" s="6"/>
      <c r="BA1091" s="6"/>
      <c r="BB1091" s="6"/>
      <c r="BC1091" s="6"/>
      <c r="BD1091" s="6"/>
      <c r="BE1091" s="6"/>
      <c r="BF1091" s="6"/>
      <c r="BG1091" s="6"/>
    </row>
    <row r="1092">
      <c r="A1092" s="35"/>
      <c r="B1092" s="35"/>
      <c r="C1092" s="7"/>
      <c r="D1092" s="41"/>
      <c r="E1092" s="6"/>
      <c r="F1092" s="41"/>
      <c r="G1092" s="35"/>
      <c r="H1092" s="111"/>
      <c r="J1092" s="35"/>
      <c r="K1092" s="99"/>
      <c r="L1092" s="90"/>
      <c r="M1092" s="107"/>
      <c r="N1092" s="380"/>
      <c r="O1092" s="386"/>
      <c r="P1092" s="13"/>
      <c r="Q1092" s="13"/>
      <c r="R1092" s="13"/>
      <c r="S1092" s="111"/>
      <c r="T1092" s="35"/>
      <c r="U1092" s="35"/>
      <c r="V1092" s="6"/>
      <c r="W1092" s="6"/>
      <c r="X1092" s="181"/>
      <c r="Y1092" s="102"/>
      <c r="Z1092" s="102"/>
      <c r="AA1092" s="102"/>
      <c r="AB1092" s="102"/>
      <c r="AC1092" s="102"/>
      <c r="AD1092" s="342"/>
      <c r="AE1092" s="102"/>
      <c r="AF1092" s="110"/>
      <c r="AG1092" s="105"/>
      <c r="AH1092" s="69"/>
      <c r="AI1092" s="108"/>
      <c r="AJ1092" s="111"/>
      <c r="AK1092" s="104"/>
      <c r="AL1092" s="111"/>
      <c r="AM1092" s="35"/>
      <c r="AN1092" s="13"/>
      <c r="AO1092" s="13"/>
      <c r="AP1092" s="13"/>
      <c r="AQ1092" s="6"/>
      <c r="AR1092" s="13"/>
      <c r="AS1092" s="13"/>
      <c r="AT1092" s="13"/>
      <c r="AU1092" s="13"/>
      <c r="AV1092" s="13"/>
      <c r="AW1092" s="6"/>
      <c r="AX1092" s="13"/>
      <c r="AY1092" s="13"/>
      <c r="AZ1092" s="6"/>
      <c r="BA1092" s="6"/>
      <c r="BB1092" s="6"/>
      <c r="BC1092" s="6"/>
      <c r="BD1092" s="6"/>
      <c r="BE1092" s="6"/>
      <c r="BF1092" s="6"/>
      <c r="BG1092" s="6"/>
    </row>
    <row r="1093">
      <c r="A1093" s="35"/>
      <c r="B1093" s="35"/>
      <c r="C1093" s="7"/>
      <c r="D1093" s="41"/>
      <c r="E1093" s="6"/>
      <c r="F1093" s="41"/>
      <c r="G1093" s="35"/>
      <c r="H1093" s="111"/>
      <c r="J1093" s="35"/>
      <c r="K1093" s="99"/>
      <c r="L1093" s="90"/>
      <c r="M1093" s="107"/>
      <c r="N1093" s="380"/>
      <c r="O1093" s="386"/>
      <c r="P1093" s="13"/>
      <c r="Q1093" s="13"/>
      <c r="R1093" s="13"/>
      <c r="S1093" s="111"/>
      <c r="T1093" s="35"/>
      <c r="U1093" s="35"/>
      <c r="V1093" s="6"/>
      <c r="W1093" s="6"/>
      <c r="X1093" s="181"/>
      <c r="Y1093" s="102"/>
      <c r="Z1093" s="102"/>
      <c r="AA1093" s="102"/>
      <c r="AB1093" s="102"/>
      <c r="AC1093" s="102"/>
      <c r="AD1093" s="342"/>
      <c r="AE1093" s="102"/>
      <c r="AF1093" s="110"/>
      <c r="AG1093" s="105"/>
      <c r="AH1093" s="69"/>
      <c r="AI1093" s="108"/>
      <c r="AJ1093" s="111"/>
      <c r="AK1093" s="104"/>
      <c r="AL1093" s="111"/>
      <c r="AM1093" s="35"/>
      <c r="AN1093" s="13"/>
      <c r="AO1093" s="13"/>
      <c r="AP1093" s="13"/>
      <c r="AQ1093" s="6"/>
      <c r="AR1093" s="13"/>
      <c r="AS1093" s="13"/>
      <c r="AT1093" s="13"/>
      <c r="AU1093" s="13"/>
      <c r="AV1093" s="13"/>
      <c r="AW1093" s="6"/>
      <c r="AX1093" s="13"/>
      <c r="AY1093" s="13"/>
      <c r="AZ1093" s="6"/>
      <c r="BA1093" s="6"/>
      <c r="BB1093" s="6"/>
      <c r="BC1093" s="6"/>
      <c r="BD1093" s="6"/>
      <c r="BE1093" s="6"/>
      <c r="BF1093" s="6"/>
      <c r="BG1093" s="6"/>
    </row>
    <row r="1094">
      <c r="A1094" s="35"/>
      <c r="B1094" s="35"/>
      <c r="C1094" s="7"/>
      <c r="D1094" s="41"/>
      <c r="E1094" s="6"/>
      <c r="F1094" s="41"/>
      <c r="G1094" s="35"/>
      <c r="H1094" s="111"/>
      <c r="J1094" s="35"/>
      <c r="K1094" s="99"/>
      <c r="L1094" s="90"/>
      <c r="M1094" s="107"/>
      <c r="N1094" s="380"/>
      <c r="O1094" s="386"/>
      <c r="P1094" s="6"/>
      <c r="Q1094" s="6"/>
      <c r="R1094" s="6"/>
      <c r="S1094" s="111"/>
      <c r="T1094" s="35"/>
      <c r="U1094" s="35"/>
      <c r="V1094" s="6"/>
      <c r="W1094" s="6"/>
      <c r="X1094" s="181"/>
      <c r="Y1094" s="102"/>
      <c r="Z1094" s="102"/>
      <c r="AA1094" s="102"/>
      <c r="AB1094" s="102"/>
      <c r="AC1094" s="102"/>
      <c r="AD1094" s="342"/>
      <c r="AE1094" s="102"/>
      <c r="AF1094" s="110"/>
      <c r="AG1094" s="105"/>
      <c r="AH1094" s="69"/>
      <c r="AI1094" s="108"/>
      <c r="AJ1094" s="111"/>
      <c r="AK1094" s="104"/>
      <c r="AL1094" s="111"/>
      <c r="AM1094" s="35"/>
      <c r="AN1094" s="13"/>
      <c r="AO1094" s="13"/>
      <c r="AP1094" s="13"/>
      <c r="AQ1094" s="6"/>
      <c r="AR1094" s="6"/>
      <c r="AS1094" s="13"/>
      <c r="AT1094" s="6"/>
      <c r="AU1094" s="13"/>
      <c r="AV1094" s="6"/>
      <c r="AW1094" s="6"/>
      <c r="AX1094" s="13"/>
      <c r="AY1094" s="13"/>
      <c r="AZ1094" s="6"/>
      <c r="BA1094" s="6"/>
      <c r="BB1094" s="6"/>
      <c r="BC1094" s="6"/>
      <c r="BD1094" s="6"/>
      <c r="BE1094" s="6"/>
      <c r="BF1094" s="6"/>
      <c r="BG1094" s="6"/>
    </row>
    <row r="1095">
      <c r="A1095" s="35"/>
      <c r="B1095" s="35"/>
      <c r="C1095" s="7"/>
      <c r="D1095" s="41"/>
      <c r="E1095" s="6"/>
      <c r="F1095" s="41"/>
      <c r="G1095" s="35"/>
      <c r="H1095" s="111"/>
      <c r="J1095" s="35"/>
      <c r="K1095" s="99"/>
      <c r="L1095" s="90"/>
      <c r="M1095" s="107"/>
      <c r="N1095" s="380"/>
      <c r="O1095" s="386"/>
      <c r="P1095" s="6"/>
      <c r="Q1095" s="6"/>
      <c r="R1095" s="6"/>
      <c r="S1095" s="111"/>
      <c r="T1095" s="35"/>
      <c r="U1095" s="35"/>
      <c r="V1095" s="6"/>
      <c r="W1095" s="6"/>
      <c r="X1095" s="181"/>
      <c r="Y1095" s="102"/>
      <c r="Z1095" s="102"/>
      <c r="AA1095" s="102"/>
      <c r="AB1095" s="102"/>
      <c r="AC1095" s="102"/>
      <c r="AD1095" s="342"/>
      <c r="AE1095" s="102"/>
      <c r="AF1095" s="110"/>
      <c r="AG1095" s="105"/>
      <c r="AH1095" s="69"/>
      <c r="AI1095" s="108"/>
      <c r="AJ1095" s="111"/>
      <c r="AK1095" s="104"/>
      <c r="AL1095" s="111"/>
      <c r="AM1095" s="35"/>
      <c r="AN1095" s="13"/>
      <c r="AO1095" s="13"/>
      <c r="AP1095" s="13"/>
      <c r="AQ1095" s="6"/>
      <c r="AR1095" s="6"/>
      <c r="AS1095" s="13"/>
      <c r="AT1095" s="6"/>
      <c r="AU1095" s="13"/>
      <c r="AV1095" s="6"/>
      <c r="AW1095" s="6"/>
      <c r="AX1095" s="13"/>
      <c r="AY1095" s="13"/>
      <c r="AZ1095" s="6"/>
      <c r="BA1095" s="6"/>
      <c r="BB1095" s="6"/>
      <c r="BC1095" s="6"/>
      <c r="BD1095" s="6"/>
      <c r="BE1095" s="6"/>
      <c r="BF1095" s="6"/>
      <c r="BG1095" s="6"/>
    </row>
    <row r="1096">
      <c r="A1096" s="35"/>
      <c r="B1096" s="35"/>
      <c r="C1096" s="7"/>
      <c r="D1096" s="41"/>
      <c r="E1096" s="6"/>
      <c r="F1096" s="41"/>
      <c r="G1096" s="35"/>
      <c r="H1096" s="111"/>
      <c r="J1096" s="35"/>
      <c r="K1096" s="99"/>
      <c r="L1096" s="90"/>
      <c r="M1096" s="107"/>
      <c r="N1096" s="380"/>
      <c r="O1096" s="386"/>
      <c r="P1096" s="6"/>
      <c r="Q1096" s="6"/>
      <c r="R1096" s="6"/>
      <c r="S1096" s="111"/>
      <c r="T1096" s="35"/>
      <c r="U1096" s="35"/>
      <c r="V1096" s="6"/>
      <c r="W1096" s="6"/>
      <c r="X1096" s="181"/>
      <c r="Y1096" s="102"/>
      <c r="Z1096" s="102"/>
      <c r="AA1096" s="102"/>
      <c r="AB1096" s="102"/>
      <c r="AC1096" s="102"/>
      <c r="AD1096" s="342"/>
      <c r="AE1096" s="102"/>
      <c r="AF1096" s="110"/>
      <c r="AG1096" s="105"/>
      <c r="AH1096" s="69"/>
      <c r="AI1096" s="108"/>
      <c r="AJ1096" s="111"/>
      <c r="AK1096" s="104"/>
      <c r="AL1096" s="111"/>
      <c r="AM1096" s="35"/>
      <c r="AN1096" s="13"/>
      <c r="AO1096" s="13"/>
      <c r="AP1096" s="13"/>
      <c r="AQ1096" s="6"/>
      <c r="AR1096" s="6"/>
      <c r="AS1096" s="13"/>
      <c r="AT1096" s="6"/>
      <c r="AU1096" s="13"/>
      <c r="AV1096" s="6"/>
      <c r="AW1096" s="6"/>
      <c r="AX1096" s="13"/>
      <c r="AY1096" s="13"/>
      <c r="AZ1096" s="6"/>
      <c r="BA1096" s="6"/>
      <c r="BB1096" s="6"/>
      <c r="BC1096" s="6"/>
      <c r="BD1096" s="6"/>
      <c r="BE1096" s="6"/>
      <c r="BF1096" s="6"/>
      <c r="BG1096" s="6"/>
    </row>
    <row r="1097">
      <c r="A1097" s="35"/>
      <c r="B1097" s="35"/>
      <c r="C1097" s="7"/>
      <c r="D1097" s="41"/>
      <c r="E1097" s="6"/>
      <c r="F1097" s="41"/>
      <c r="G1097" s="35"/>
      <c r="H1097" s="111"/>
      <c r="J1097" s="35"/>
      <c r="K1097" s="99"/>
      <c r="L1097" s="90"/>
      <c r="M1097" s="107"/>
      <c r="N1097" s="380"/>
      <c r="O1097" s="387"/>
      <c r="P1097" s="6"/>
      <c r="Q1097" s="6"/>
      <c r="R1097" s="6"/>
      <c r="S1097" s="111"/>
      <c r="T1097" s="35"/>
      <c r="U1097" s="35"/>
      <c r="V1097" s="6"/>
      <c r="W1097" s="6"/>
      <c r="X1097" s="181"/>
      <c r="Y1097" s="102"/>
      <c r="Z1097" s="102"/>
      <c r="AA1097" s="102"/>
      <c r="AB1097" s="102"/>
      <c r="AC1097" s="102"/>
      <c r="AD1097" s="342"/>
      <c r="AE1097" s="102"/>
      <c r="AF1097" s="110"/>
      <c r="AG1097" s="105"/>
      <c r="AH1097" s="69"/>
      <c r="AI1097" s="108"/>
      <c r="AJ1097" s="111"/>
      <c r="AK1097" s="104"/>
      <c r="AL1097" s="111"/>
      <c r="AM1097" s="35"/>
      <c r="AN1097" s="13"/>
      <c r="AO1097" s="13"/>
      <c r="AP1097" s="13"/>
      <c r="AQ1097" s="6"/>
      <c r="AR1097" s="6"/>
      <c r="AS1097" s="13"/>
      <c r="AT1097" s="6"/>
      <c r="AU1097" s="13"/>
      <c r="AV1097" s="6"/>
      <c r="AW1097" s="6"/>
      <c r="AX1097" s="13"/>
      <c r="AY1097" s="13"/>
      <c r="AZ1097" s="6"/>
      <c r="BA1097" s="6"/>
      <c r="BB1097" s="6"/>
      <c r="BC1097" s="6"/>
      <c r="BD1097" s="6"/>
      <c r="BE1097" s="6"/>
      <c r="BF1097" s="6"/>
      <c r="BG1097" s="6"/>
    </row>
    <row r="1098">
      <c r="A1098" s="35"/>
      <c r="B1098" s="35"/>
      <c r="C1098" s="7"/>
      <c r="D1098" s="41"/>
      <c r="E1098" s="6"/>
      <c r="F1098" s="41"/>
      <c r="G1098" s="35"/>
      <c r="H1098" s="111"/>
      <c r="J1098" s="35"/>
      <c r="K1098" s="99"/>
      <c r="L1098" s="90"/>
      <c r="M1098" s="107"/>
      <c r="N1098" s="380"/>
      <c r="O1098" s="386"/>
      <c r="P1098" s="6"/>
      <c r="Q1098" s="6"/>
      <c r="R1098" s="6"/>
      <c r="S1098" s="111"/>
      <c r="T1098" s="35"/>
      <c r="U1098" s="35"/>
      <c r="V1098" s="6"/>
      <c r="W1098" s="6"/>
      <c r="X1098" s="181"/>
      <c r="Y1098" s="102"/>
      <c r="Z1098" s="102"/>
      <c r="AA1098" s="102"/>
      <c r="AB1098" s="102"/>
      <c r="AC1098" s="102"/>
      <c r="AD1098" s="342"/>
      <c r="AE1098" s="102"/>
      <c r="AF1098" s="110"/>
      <c r="AG1098" s="105"/>
      <c r="AH1098" s="69"/>
      <c r="AI1098" s="108"/>
      <c r="AJ1098" s="111"/>
      <c r="AK1098" s="104"/>
      <c r="AL1098" s="111"/>
      <c r="AM1098" s="35"/>
      <c r="AN1098" s="13"/>
      <c r="AO1098" s="13"/>
      <c r="AP1098" s="13"/>
      <c r="AQ1098" s="6"/>
      <c r="AR1098" s="6"/>
      <c r="AS1098" s="13"/>
      <c r="AT1098" s="6"/>
      <c r="AU1098" s="13"/>
      <c r="AV1098" s="6"/>
      <c r="AW1098" s="6"/>
      <c r="AX1098" s="13"/>
      <c r="AY1098" s="13"/>
      <c r="AZ1098" s="6"/>
      <c r="BA1098" s="6"/>
      <c r="BB1098" s="6"/>
      <c r="BC1098" s="6"/>
      <c r="BD1098" s="6"/>
      <c r="BE1098" s="6"/>
      <c r="BF1098" s="6"/>
      <c r="BG1098" s="6"/>
    </row>
    <row r="1099">
      <c r="A1099" s="35"/>
      <c r="B1099" s="35"/>
      <c r="C1099" s="7"/>
      <c r="D1099" s="41"/>
      <c r="E1099" s="6"/>
      <c r="F1099" s="41"/>
      <c r="G1099" s="35"/>
      <c r="H1099" s="111"/>
      <c r="J1099" s="35"/>
      <c r="K1099" s="99"/>
      <c r="L1099" s="90"/>
      <c r="M1099" s="107"/>
      <c r="N1099" s="380"/>
      <c r="O1099" s="386"/>
      <c r="P1099" s="6"/>
      <c r="Q1099" s="6"/>
      <c r="R1099" s="6"/>
      <c r="S1099" s="111"/>
      <c r="T1099" s="35"/>
      <c r="U1099" s="35"/>
      <c r="V1099" s="6"/>
      <c r="W1099" s="6"/>
      <c r="X1099" s="181"/>
      <c r="Y1099" s="102"/>
      <c r="Z1099" s="102"/>
      <c r="AA1099" s="102"/>
      <c r="AB1099" s="102"/>
      <c r="AC1099" s="102"/>
      <c r="AD1099" s="342"/>
      <c r="AE1099" s="102"/>
      <c r="AF1099" s="110"/>
      <c r="AG1099" s="105"/>
      <c r="AH1099" s="69"/>
      <c r="AI1099" s="108"/>
      <c r="AJ1099" s="111"/>
      <c r="AK1099" s="104"/>
      <c r="AL1099" s="111"/>
      <c r="AM1099" s="35"/>
      <c r="AN1099" s="13"/>
      <c r="AO1099" s="13"/>
      <c r="AP1099" s="13"/>
      <c r="AQ1099" s="6"/>
      <c r="AR1099" s="6"/>
      <c r="AS1099" s="13"/>
      <c r="AT1099" s="6"/>
      <c r="AU1099" s="13"/>
      <c r="AV1099" s="6"/>
      <c r="AW1099" s="6"/>
      <c r="AX1099" s="13"/>
      <c r="AY1099" s="13"/>
      <c r="AZ1099" s="6"/>
      <c r="BA1099" s="6"/>
      <c r="BB1099" s="6"/>
      <c r="BC1099" s="6"/>
      <c r="BD1099" s="6"/>
      <c r="BE1099" s="6"/>
      <c r="BF1099" s="6"/>
      <c r="BG1099" s="6"/>
    </row>
    <row r="1100">
      <c r="A1100" s="35"/>
      <c r="B1100" s="35"/>
      <c r="C1100" s="7"/>
      <c r="D1100" s="41"/>
      <c r="E1100" s="6"/>
      <c r="F1100" s="41"/>
      <c r="G1100" s="35"/>
      <c r="H1100" s="111"/>
      <c r="J1100" s="35"/>
      <c r="K1100" s="99"/>
      <c r="L1100" s="90"/>
      <c r="M1100" s="107"/>
      <c r="N1100" s="380"/>
      <c r="O1100" s="377"/>
      <c r="P1100" s="13"/>
      <c r="Q1100" s="13"/>
      <c r="R1100" s="13"/>
      <c r="S1100" s="111"/>
      <c r="T1100" s="35"/>
      <c r="U1100" s="50"/>
      <c r="V1100" s="6"/>
      <c r="W1100" s="6"/>
      <c r="X1100" s="181"/>
      <c r="Y1100" s="102"/>
      <c r="Z1100" s="102"/>
      <c r="AA1100" s="102"/>
      <c r="AB1100" s="102"/>
      <c r="AC1100" s="102"/>
      <c r="AD1100" s="342"/>
      <c r="AE1100" s="102"/>
      <c r="AF1100" s="110"/>
      <c r="AG1100" s="105"/>
      <c r="AH1100" s="69"/>
      <c r="AI1100" s="108"/>
      <c r="AJ1100" s="111"/>
      <c r="AK1100" s="104"/>
      <c r="AL1100" s="111"/>
      <c r="AM1100" s="69"/>
      <c r="AN1100" s="13"/>
      <c r="AO1100" s="13"/>
      <c r="AP1100" s="13"/>
      <c r="AQ1100" s="13"/>
      <c r="AR1100" s="6"/>
      <c r="AS1100" s="13"/>
      <c r="AT1100" s="6"/>
      <c r="AU1100" s="13"/>
      <c r="AV1100" s="6"/>
      <c r="AW1100" s="6"/>
      <c r="AX1100" s="13"/>
      <c r="AY1100" s="13"/>
      <c r="AZ1100" s="6"/>
      <c r="BA1100" s="6"/>
      <c r="BB1100" s="6"/>
      <c r="BC1100" s="6"/>
      <c r="BD1100" s="6"/>
      <c r="BE1100" s="6"/>
      <c r="BF1100" s="6"/>
      <c r="BG1100" s="6"/>
    </row>
    <row r="1101">
      <c r="A1101" s="35"/>
      <c r="B1101" s="35"/>
      <c r="C1101" s="7"/>
      <c r="D1101" s="41"/>
      <c r="E1101" s="6"/>
      <c r="F1101" s="41"/>
      <c r="G1101" s="35"/>
      <c r="H1101" s="111"/>
      <c r="J1101" s="69"/>
      <c r="K1101" s="99"/>
      <c r="L1101" s="90"/>
      <c r="M1101" s="107"/>
      <c r="N1101" s="388"/>
      <c r="O1101" s="377"/>
      <c r="P1101" s="13"/>
      <c r="Q1101" s="13"/>
      <c r="R1101" s="13"/>
      <c r="S1101" s="111"/>
      <c r="T1101" s="35"/>
      <c r="U1101" s="69"/>
      <c r="V1101" s="6"/>
      <c r="W1101" s="6"/>
      <c r="X1101" s="181"/>
      <c r="Y1101" s="102"/>
      <c r="Z1101" s="102"/>
      <c r="AA1101" s="102"/>
      <c r="AB1101" s="102"/>
      <c r="AC1101" s="102"/>
      <c r="AD1101" s="342"/>
      <c r="AE1101" s="102"/>
      <c r="AF1101" s="110"/>
      <c r="AG1101" s="105"/>
      <c r="AH1101" s="69"/>
      <c r="AI1101" s="108"/>
      <c r="AJ1101" s="111"/>
      <c r="AK1101" s="110"/>
      <c r="AL1101" s="111"/>
      <c r="AM1101" s="69"/>
      <c r="AN1101" s="13"/>
      <c r="AO1101" s="13"/>
      <c r="AP1101" s="13"/>
      <c r="AQ1101" s="13"/>
      <c r="AR1101" s="13"/>
      <c r="AS1101" s="13"/>
      <c r="AT1101" s="13"/>
      <c r="AU1101" s="13"/>
      <c r="AV1101" s="13"/>
      <c r="AW1101" s="6"/>
      <c r="AX1101" s="13"/>
      <c r="AY1101" s="13"/>
      <c r="AZ1101" s="6"/>
      <c r="BA1101" s="6"/>
      <c r="BB1101" s="6"/>
      <c r="BC1101" s="6"/>
      <c r="BD1101" s="6"/>
      <c r="BE1101" s="6"/>
      <c r="BF1101" s="6"/>
      <c r="BG1101" s="6"/>
    </row>
    <row r="1102">
      <c r="A1102" s="35"/>
      <c r="B1102" s="35"/>
      <c r="C1102" s="7"/>
      <c r="D1102" s="41"/>
      <c r="E1102" s="6"/>
      <c r="F1102" s="41"/>
      <c r="G1102" s="35"/>
      <c r="H1102" s="111"/>
      <c r="J1102" s="69"/>
      <c r="K1102" s="99"/>
      <c r="L1102" s="90"/>
      <c r="M1102" s="107"/>
      <c r="N1102" s="388"/>
      <c r="O1102" s="377"/>
      <c r="P1102" s="13"/>
      <c r="Q1102" s="13"/>
      <c r="R1102" s="13"/>
      <c r="S1102" s="111"/>
      <c r="T1102" s="35"/>
      <c r="U1102" s="69"/>
      <c r="V1102" s="6"/>
      <c r="W1102" s="6"/>
      <c r="X1102" s="181"/>
      <c r="Y1102" s="102"/>
      <c r="Z1102" s="102"/>
      <c r="AA1102" s="102"/>
      <c r="AB1102" s="102"/>
      <c r="AC1102" s="102"/>
      <c r="AD1102" s="342"/>
      <c r="AE1102" s="102"/>
      <c r="AF1102" s="110"/>
      <c r="AG1102" s="105"/>
      <c r="AH1102" s="69"/>
      <c r="AI1102" s="108"/>
      <c r="AJ1102" s="111"/>
      <c r="AK1102" s="110"/>
      <c r="AL1102" s="111"/>
      <c r="AM1102" s="69"/>
      <c r="AN1102" s="13"/>
      <c r="AO1102" s="13"/>
      <c r="AP1102" s="13"/>
      <c r="AQ1102" s="7"/>
      <c r="AR1102" s="82"/>
      <c r="AS1102" s="82"/>
      <c r="AT1102" s="82"/>
      <c r="AU1102" s="82"/>
      <c r="AV1102" s="82"/>
      <c r="AW1102" s="6"/>
      <c r="AX1102" s="13"/>
      <c r="AY1102" s="13"/>
      <c r="AZ1102" s="6"/>
      <c r="BA1102" s="6"/>
      <c r="BB1102" s="6"/>
      <c r="BC1102" s="6"/>
      <c r="BD1102" s="6"/>
      <c r="BE1102" s="6"/>
      <c r="BF1102" s="6"/>
      <c r="BG1102" s="6"/>
    </row>
    <row r="1103">
      <c r="A1103" s="35"/>
      <c r="B1103" s="35"/>
      <c r="C1103" s="7"/>
      <c r="D1103" s="41"/>
      <c r="E1103" s="6"/>
      <c r="F1103" s="41"/>
      <c r="G1103" s="35"/>
      <c r="H1103" s="111"/>
      <c r="J1103" s="69"/>
      <c r="K1103" s="99"/>
      <c r="L1103" s="90"/>
      <c r="M1103" s="107"/>
      <c r="N1103" s="388"/>
      <c r="O1103" s="377"/>
      <c r="P1103" s="13"/>
      <c r="Q1103" s="13"/>
      <c r="R1103" s="13"/>
      <c r="S1103" s="111"/>
      <c r="T1103" s="35"/>
      <c r="U1103" s="69"/>
      <c r="V1103" s="6"/>
      <c r="W1103" s="6"/>
      <c r="X1103" s="181"/>
      <c r="Y1103" s="102"/>
      <c r="Z1103" s="102"/>
      <c r="AA1103" s="102"/>
      <c r="AB1103" s="102"/>
      <c r="AC1103" s="102"/>
      <c r="AD1103" s="342"/>
      <c r="AE1103" s="102"/>
      <c r="AF1103" s="110"/>
      <c r="AG1103" s="105"/>
      <c r="AH1103" s="69"/>
      <c r="AI1103" s="108"/>
      <c r="AJ1103" s="111"/>
      <c r="AK1103" s="110"/>
      <c r="AL1103" s="111"/>
      <c r="AM1103" s="69"/>
      <c r="AN1103" s="13"/>
      <c r="AO1103" s="13"/>
      <c r="AP1103" s="13"/>
      <c r="AQ1103" s="7"/>
      <c r="AR1103" s="82"/>
      <c r="AS1103" s="82"/>
      <c r="AT1103" s="82"/>
      <c r="AU1103" s="82"/>
      <c r="AV1103" s="82"/>
      <c r="AW1103" s="6"/>
      <c r="AX1103" s="13"/>
      <c r="AY1103" s="13"/>
      <c r="AZ1103" s="6"/>
      <c r="BA1103" s="6"/>
      <c r="BB1103" s="6"/>
      <c r="BC1103" s="6"/>
      <c r="BD1103" s="6"/>
      <c r="BE1103" s="6"/>
      <c r="BF1103" s="6"/>
      <c r="BG1103" s="6"/>
    </row>
    <row r="1104">
      <c r="A1104" s="35"/>
      <c r="B1104" s="35"/>
      <c r="C1104" s="7"/>
      <c r="D1104" s="41"/>
      <c r="E1104" s="6"/>
      <c r="F1104" s="41"/>
      <c r="G1104" s="35"/>
      <c r="H1104" s="111"/>
      <c r="J1104" s="69"/>
      <c r="K1104" s="99"/>
      <c r="L1104" s="90"/>
      <c r="M1104" s="107"/>
      <c r="N1104" s="388"/>
      <c r="O1104" s="377"/>
      <c r="P1104" s="13"/>
      <c r="Q1104" s="13"/>
      <c r="R1104" s="13"/>
      <c r="S1104" s="111"/>
      <c r="T1104" s="35"/>
      <c r="U1104" s="69"/>
      <c r="V1104" s="6"/>
      <c r="W1104" s="6"/>
      <c r="X1104" s="181"/>
      <c r="Y1104" s="102"/>
      <c r="Z1104" s="102"/>
      <c r="AA1104" s="102"/>
      <c r="AB1104" s="102"/>
      <c r="AC1104" s="102"/>
      <c r="AD1104" s="342"/>
      <c r="AE1104" s="102"/>
      <c r="AF1104" s="110"/>
      <c r="AG1104" s="105"/>
      <c r="AH1104" s="69"/>
      <c r="AI1104" s="108"/>
      <c r="AJ1104" s="111"/>
      <c r="AK1104" s="110"/>
      <c r="AL1104" s="111"/>
      <c r="AM1104" s="69"/>
      <c r="AN1104" s="13"/>
      <c r="AO1104" s="13"/>
      <c r="AP1104" s="13"/>
      <c r="AQ1104" s="7"/>
      <c r="AR1104" s="82"/>
      <c r="AS1104" s="82"/>
      <c r="AT1104" s="82"/>
      <c r="AU1104" s="82"/>
      <c r="AV1104" s="82"/>
      <c r="AW1104" s="6"/>
      <c r="AX1104" s="13"/>
      <c r="AY1104" s="13"/>
      <c r="AZ1104" s="6"/>
      <c r="BA1104" s="6"/>
      <c r="BB1104" s="6"/>
      <c r="BC1104" s="6"/>
      <c r="BD1104" s="6"/>
      <c r="BE1104" s="6"/>
      <c r="BF1104" s="6"/>
      <c r="BG1104" s="6"/>
    </row>
    <row r="1105">
      <c r="A1105" s="35"/>
      <c r="B1105" s="35"/>
      <c r="C1105" s="7"/>
      <c r="D1105" s="41"/>
      <c r="E1105" s="6"/>
      <c r="F1105" s="41"/>
      <c r="G1105" s="35"/>
      <c r="H1105" s="111"/>
      <c r="J1105" s="69"/>
      <c r="K1105" s="99"/>
      <c r="L1105" s="90"/>
      <c r="M1105" s="107"/>
      <c r="N1105" s="388"/>
      <c r="O1105" s="377"/>
      <c r="P1105" s="13"/>
      <c r="Q1105" s="13"/>
      <c r="R1105" s="13"/>
      <c r="S1105" s="111"/>
      <c r="T1105" s="35"/>
      <c r="U1105" s="69"/>
      <c r="V1105" s="6"/>
      <c r="W1105" s="6"/>
      <c r="X1105" s="181"/>
      <c r="Y1105" s="102"/>
      <c r="Z1105" s="102"/>
      <c r="AA1105" s="102"/>
      <c r="AB1105" s="102"/>
      <c r="AC1105" s="102"/>
      <c r="AD1105" s="342"/>
      <c r="AE1105" s="102"/>
      <c r="AF1105" s="110"/>
      <c r="AG1105" s="105"/>
      <c r="AH1105" s="69"/>
      <c r="AI1105" s="108"/>
      <c r="AJ1105" s="111"/>
      <c r="AK1105" s="110"/>
      <c r="AL1105" s="111"/>
      <c r="AM1105" s="69"/>
      <c r="AN1105" s="13"/>
      <c r="AO1105" s="13"/>
      <c r="AP1105" s="13"/>
      <c r="AQ1105" s="7"/>
      <c r="AR1105" s="82"/>
      <c r="AS1105" s="82"/>
      <c r="AT1105" s="82"/>
      <c r="AU1105" s="82"/>
      <c r="AV1105" s="82"/>
      <c r="AW1105" s="6"/>
      <c r="AX1105" s="13"/>
      <c r="AY1105" s="13"/>
      <c r="AZ1105" s="6"/>
      <c r="BA1105" s="6"/>
      <c r="BB1105" s="6"/>
      <c r="BC1105" s="6"/>
      <c r="BD1105" s="6"/>
      <c r="BE1105" s="6"/>
      <c r="BF1105" s="6"/>
      <c r="BG1105" s="6"/>
    </row>
    <row r="1106">
      <c r="A1106" s="35"/>
      <c r="B1106" s="35"/>
      <c r="C1106" s="7"/>
      <c r="D1106" s="41"/>
      <c r="E1106" s="6"/>
      <c r="F1106" s="41"/>
      <c r="G1106" s="35"/>
      <c r="H1106" s="111"/>
      <c r="J1106" s="69"/>
      <c r="K1106" s="99"/>
      <c r="L1106" s="90"/>
      <c r="M1106" s="107"/>
      <c r="N1106" s="388"/>
      <c r="O1106" s="377"/>
      <c r="P1106" s="13"/>
      <c r="Q1106" s="13"/>
      <c r="R1106" s="13"/>
      <c r="S1106" s="111"/>
      <c r="T1106" s="35"/>
      <c r="U1106" s="69"/>
      <c r="V1106" s="6"/>
      <c r="W1106" s="6"/>
      <c r="X1106" s="181"/>
      <c r="Y1106" s="102"/>
      <c r="Z1106" s="102"/>
      <c r="AA1106" s="102"/>
      <c r="AB1106" s="102"/>
      <c r="AC1106" s="102"/>
      <c r="AD1106" s="342"/>
      <c r="AE1106" s="102"/>
      <c r="AF1106" s="110"/>
      <c r="AG1106" s="105"/>
      <c r="AH1106" s="69"/>
      <c r="AI1106" s="108"/>
      <c r="AJ1106" s="111"/>
      <c r="AK1106" s="110"/>
      <c r="AL1106" s="111"/>
      <c r="AM1106" s="69"/>
      <c r="AN1106" s="13"/>
      <c r="AO1106" s="13"/>
      <c r="AP1106" s="13"/>
      <c r="AQ1106" s="7"/>
      <c r="AR1106" s="82"/>
      <c r="AS1106" s="82"/>
      <c r="AT1106" s="82"/>
      <c r="AU1106" s="82"/>
      <c r="AV1106" s="82"/>
      <c r="AW1106" s="6"/>
      <c r="AX1106" s="13"/>
      <c r="AY1106" s="13"/>
      <c r="AZ1106" s="6"/>
      <c r="BA1106" s="6"/>
      <c r="BB1106" s="6"/>
      <c r="BC1106" s="6"/>
      <c r="BD1106" s="6"/>
      <c r="BE1106" s="6"/>
      <c r="BF1106" s="6"/>
      <c r="BG1106" s="6"/>
    </row>
    <row r="1107">
      <c r="A1107" s="35"/>
      <c r="B1107" s="35"/>
      <c r="C1107" s="7"/>
      <c r="D1107" s="41"/>
      <c r="E1107" s="6"/>
      <c r="F1107" s="41"/>
      <c r="G1107" s="35"/>
      <c r="H1107" s="111"/>
      <c r="J1107" s="69"/>
      <c r="K1107" s="99"/>
      <c r="L1107" s="90"/>
      <c r="M1107" s="107"/>
      <c r="N1107" s="388"/>
      <c r="O1107" s="377"/>
      <c r="P1107" s="13"/>
      <c r="Q1107" s="13"/>
      <c r="R1107" s="13"/>
      <c r="S1107" s="111"/>
      <c r="T1107" s="35"/>
      <c r="U1107" s="69"/>
      <c r="V1107" s="6"/>
      <c r="W1107" s="6"/>
      <c r="X1107" s="181"/>
      <c r="Y1107" s="102"/>
      <c r="Z1107" s="102"/>
      <c r="AA1107" s="102"/>
      <c r="AB1107" s="102"/>
      <c r="AC1107" s="102"/>
      <c r="AD1107" s="342"/>
      <c r="AE1107" s="102"/>
      <c r="AF1107" s="110"/>
      <c r="AG1107" s="105"/>
      <c r="AH1107" s="69"/>
      <c r="AI1107" s="108"/>
      <c r="AJ1107" s="111"/>
      <c r="AK1107" s="110"/>
      <c r="AL1107" s="111"/>
      <c r="AM1107" s="69"/>
      <c r="AN1107" s="13"/>
      <c r="AO1107" s="13"/>
      <c r="AP1107" s="13"/>
      <c r="AQ1107" s="7"/>
      <c r="AR1107" s="82"/>
      <c r="AS1107" s="82"/>
      <c r="AT1107" s="82"/>
      <c r="AU1107" s="82"/>
      <c r="AV1107" s="82"/>
      <c r="AW1107" s="6"/>
      <c r="AX1107" s="13"/>
      <c r="AY1107" s="13"/>
      <c r="AZ1107" s="6"/>
      <c r="BA1107" s="6"/>
      <c r="BB1107" s="6"/>
      <c r="BC1107" s="6"/>
      <c r="BD1107" s="6"/>
      <c r="BE1107" s="6"/>
      <c r="BF1107" s="6"/>
      <c r="BG1107" s="6"/>
    </row>
    <row r="1108">
      <c r="A1108" s="35"/>
      <c r="B1108" s="35"/>
      <c r="C1108" s="7"/>
      <c r="D1108" s="41"/>
      <c r="E1108" s="6"/>
      <c r="F1108" s="41"/>
      <c r="G1108" s="35"/>
      <c r="H1108" s="111"/>
      <c r="J1108" s="69"/>
      <c r="K1108" s="99"/>
      <c r="L1108" s="90"/>
      <c r="M1108" s="107"/>
      <c r="N1108" s="388"/>
      <c r="O1108" s="377"/>
      <c r="P1108" s="13"/>
      <c r="Q1108" s="13"/>
      <c r="R1108" s="13"/>
      <c r="S1108" s="111"/>
      <c r="T1108" s="35"/>
      <c r="U1108" s="69"/>
      <c r="V1108" s="6"/>
      <c r="W1108" s="6"/>
      <c r="X1108" s="181"/>
      <c r="Y1108" s="102"/>
      <c r="Z1108" s="102"/>
      <c r="AA1108" s="102"/>
      <c r="AB1108" s="102"/>
      <c r="AC1108" s="102"/>
      <c r="AD1108" s="342"/>
      <c r="AE1108" s="102"/>
      <c r="AF1108" s="110"/>
      <c r="AG1108" s="105"/>
      <c r="AH1108" s="69"/>
      <c r="AI1108" s="108"/>
      <c r="AJ1108" s="111"/>
      <c r="AK1108" s="110"/>
      <c r="AL1108" s="111"/>
      <c r="AM1108" s="69"/>
      <c r="AN1108" s="13"/>
      <c r="AO1108" s="13"/>
      <c r="AP1108" s="13"/>
      <c r="AQ1108" s="13"/>
      <c r="AR1108" s="13"/>
      <c r="AS1108" s="13"/>
      <c r="AT1108" s="13"/>
      <c r="AU1108" s="13"/>
      <c r="AV1108" s="13"/>
      <c r="AW1108" s="6"/>
      <c r="AX1108" s="13"/>
      <c r="AY1108" s="13"/>
      <c r="AZ1108" s="6"/>
      <c r="BA1108" s="6"/>
      <c r="BB1108" s="6"/>
      <c r="BC1108" s="6"/>
      <c r="BD1108" s="6"/>
      <c r="BE1108" s="6"/>
      <c r="BF1108" s="6"/>
      <c r="BG1108" s="6"/>
    </row>
    <row r="1109">
      <c r="A1109" s="35"/>
      <c r="B1109" s="35"/>
      <c r="C1109" s="7"/>
      <c r="D1109" s="41"/>
      <c r="E1109" s="6"/>
      <c r="F1109" s="41"/>
      <c r="G1109" s="35"/>
      <c r="H1109" s="111"/>
      <c r="J1109" s="69"/>
      <c r="K1109" s="99"/>
      <c r="L1109" s="90"/>
      <c r="M1109" s="107"/>
      <c r="N1109" s="388"/>
      <c r="O1109" s="377"/>
      <c r="P1109" s="13"/>
      <c r="Q1109" s="13"/>
      <c r="R1109" s="13"/>
      <c r="S1109" s="111"/>
      <c r="T1109" s="35"/>
      <c r="U1109" s="69"/>
      <c r="V1109" s="6"/>
      <c r="W1109" s="6"/>
      <c r="X1109" s="181"/>
      <c r="Y1109" s="102"/>
      <c r="Z1109" s="102"/>
      <c r="AA1109" s="102"/>
      <c r="AB1109" s="102"/>
      <c r="AC1109" s="102"/>
      <c r="AD1109" s="342"/>
      <c r="AE1109" s="102"/>
      <c r="AF1109" s="110"/>
      <c r="AG1109" s="105"/>
      <c r="AH1109" s="69"/>
      <c r="AI1109" s="108"/>
      <c r="AJ1109" s="111"/>
      <c r="AK1109" s="110"/>
      <c r="AL1109" s="111"/>
      <c r="AM1109" s="69"/>
      <c r="AN1109" s="13"/>
      <c r="AO1109" s="13"/>
      <c r="AP1109" s="13"/>
      <c r="AQ1109" s="13"/>
      <c r="AR1109" s="13"/>
      <c r="AS1109" s="13"/>
      <c r="AT1109" s="13"/>
      <c r="AU1109" s="13"/>
      <c r="AV1109" s="13"/>
      <c r="AW1109" s="6"/>
      <c r="AX1109" s="13"/>
      <c r="AY1109" s="13"/>
      <c r="AZ1109" s="6"/>
      <c r="BA1109" s="6"/>
      <c r="BB1109" s="6"/>
      <c r="BC1109" s="6"/>
      <c r="BD1109" s="6"/>
      <c r="BE1109" s="6"/>
      <c r="BF1109" s="6"/>
      <c r="BG1109" s="6"/>
    </row>
    <row r="1110">
      <c r="A1110" s="35"/>
      <c r="B1110" s="35"/>
      <c r="C1110" s="7"/>
      <c r="D1110" s="41"/>
      <c r="E1110" s="6"/>
      <c r="F1110" s="41"/>
      <c r="G1110" s="35"/>
      <c r="H1110" s="111"/>
      <c r="J1110" s="35"/>
      <c r="K1110" s="99"/>
      <c r="L1110" s="90"/>
      <c r="M1110" s="107"/>
      <c r="N1110" s="380"/>
      <c r="O1110" s="377"/>
      <c r="P1110" s="13"/>
      <c r="Q1110" s="13"/>
      <c r="R1110" s="13"/>
      <c r="S1110" s="111"/>
      <c r="T1110" s="35"/>
      <c r="U1110" s="35"/>
      <c r="V1110" s="6"/>
      <c r="W1110" s="6"/>
      <c r="X1110" s="181"/>
      <c r="Y1110" s="102"/>
      <c r="Z1110" s="102"/>
      <c r="AA1110" s="102"/>
      <c r="AB1110" s="102"/>
      <c r="AC1110" s="102"/>
      <c r="AD1110" s="342"/>
      <c r="AE1110" s="102"/>
      <c r="AF1110" s="110"/>
      <c r="AG1110" s="105"/>
      <c r="AH1110" s="69"/>
      <c r="AI1110" s="108"/>
      <c r="AJ1110" s="111"/>
      <c r="AK1110" s="104"/>
      <c r="AL1110" s="111"/>
      <c r="AM1110" s="69"/>
      <c r="AN1110" s="13"/>
      <c r="AO1110" s="13"/>
      <c r="AP1110" s="13"/>
      <c r="AQ1110" s="13"/>
      <c r="AR1110" s="13"/>
      <c r="AS1110" s="13"/>
      <c r="AT1110" s="13"/>
      <c r="AU1110" s="13"/>
      <c r="AV1110" s="13"/>
      <c r="AW1110" s="6"/>
      <c r="AX1110" s="13"/>
      <c r="AY1110" s="13"/>
      <c r="AZ1110" s="6"/>
      <c r="BA1110" s="6"/>
      <c r="BB1110" s="6"/>
      <c r="BC1110" s="6"/>
      <c r="BD1110" s="6"/>
      <c r="BE1110" s="6"/>
      <c r="BF1110" s="6"/>
      <c r="BG1110" s="6"/>
    </row>
    <row r="1111">
      <c r="A1111" s="35"/>
      <c r="B1111" s="35"/>
      <c r="C1111" s="7"/>
      <c r="D1111" s="41"/>
      <c r="E1111" s="6"/>
      <c r="F1111" s="41"/>
      <c r="G1111" s="35"/>
      <c r="H1111" s="111"/>
      <c r="J1111" s="35"/>
      <c r="K1111" s="99"/>
      <c r="L1111" s="90"/>
      <c r="M1111" s="107"/>
      <c r="N1111" s="380"/>
      <c r="O1111" s="377"/>
      <c r="P1111" s="6"/>
      <c r="Q1111" s="6"/>
      <c r="R1111" s="6"/>
      <c r="S1111" s="111"/>
      <c r="T1111" s="35"/>
      <c r="U1111" s="35"/>
      <c r="V1111" s="6"/>
      <c r="W1111" s="6"/>
      <c r="X1111" s="181"/>
      <c r="Y1111" s="102"/>
      <c r="Z1111" s="102"/>
      <c r="AA1111" s="102"/>
      <c r="AB1111" s="102"/>
      <c r="AC1111" s="102"/>
      <c r="AD1111" s="342"/>
      <c r="AE1111" s="102"/>
      <c r="AF1111" s="110"/>
      <c r="AG1111" s="105"/>
      <c r="AH1111" s="69"/>
      <c r="AI1111" s="108"/>
      <c r="AJ1111" s="111"/>
      <c r="AK1111" s="104"/>
      <c r="AL1111" s="111"/>
      <c r="AM1111" s="35"/>
      <c r="AN1111" s="13"/>
      <c r="AO1111" s="13"/>
      <c r="AP1111" s="13"/>
      <c r="AQ1111" s="6"/>
      <c r="AR1111" s="6"/>
      <c r="AS1111" s="6"/>
      <c r="AT1111" s="6"/>
      <c r="AU1111" s="6"/>
      <c r="AV1111" s="6"/>
      <c r="AW1111" s="6"/>
      <c r="AX1111" s="13"/>
      <c r="AY1111" s="13"/>
      <c r="AZ1111" s="6"/>
      <c r="BA1111" s="6"/>
      <c r="BB1111" s="6"/>
      <c r="BC1111" s="6"/>
      <c r="BD1111" s="6"/>
      <c r="BE1111" s="6"/>
      <c r="BF1111" s="6"/>
      <c r="BG1111" s="6"/>
    </row>
    <row r="1112">
      <c r="A1112" s="35"/>
      <c r="B1112" s="35"/>
      <c r="C1112" s="7"/>
      <c r="D1112" s="41"/>
      <c r="E1112" s="6"/>
      <c r="F1112" s="41"/>
      <c r="G1112" s="35"/>
      <c r="H1112" s="111"/>
      <c r="J1112" s="35"/>
      <c r="K1112" s="99"/>
      <c r="L1112" s="90"/>
      <c r="M1112" s="107"/>
      <c r="N1112" s="380"/>
      <c r="O1112" s="377"/>
      <c r="P1112" s="6"/>
      <c r="Q1112" s="6"/>
      <c r="R1112" s="6"/>
      <c r="S1112" s="111"/>
      <c r="T1112" s="35"/>
      <c r="U1112" s="35"/>
      <c r="V1112" s="6"/>
      <c r="W1112" s="6"/>
      <c r="X1112" s="181"/>
      <c r="Y1112" s="102"/>
      <c r="Z1112" s="102"/>
      <c r="AA1112" s="102"/>
      <c r="AB1112" s="102"/>
      <c r="AC1112" s="102"/>
      <c r="AD1112" s="342"/>
      <c r="AE1112" s="102"/>
      <c r="AF1112" s="110"/>
      <c r="AG1112" s="105"/>
      <c r="AH1112" s="69"/>
      <c r="AI1112" s="108"/>
      <c r="AJ1112" s="111"/>
      <c r="AK1112" s="104"/>
      <c r="AL1112" s="111"/>
      <c r="AM1112" s="35"/>
      <c r="AN1112" s="13"/>
      <c r="AO1112" s="13"/>
      <c r="AP1112" s="13"/>
      <c r="AQ1112" s="13"/>
      <c r="AR1112" s="6"/>
      <c r="AS1112" s="13"/>
      <c r="AT1112" s="6"/>
      <c r="AU1112" s="13"/>
      <c r="AV1112" s="6"/>
      <c r="AW1112" s="6"/>
      <c r="AX1112" s="13"/>
      <c r="AY1112" s="13"/>
      <c r="AZ1112" s="6"/>
      <c r="BA1112" s="6"/>
      <c r="BB1112" s="6"/>
      <c r="BC1112" s="6"/>
      <c r="BD1112" s="6"/>
      <c r="BE1112" s="6"/>
      <c r="BF1112" s="6"/>
      <c r="BG1112" s="6"/>
    </row>
    <row r="1113">
      <c r="A1113" s="35"/>
      <c r="B1113" s="35"/>
      <c r="C1113" s="7"/>
      <c r="D1113" s="41"/>
      <c r="E1113" s="6"/>
      <c r="F1113" s="41"/>
      <c r="G1113" s="35"/>
      <c r="H1113" s="111"/>
      <c r="J1113" s="35"/>
      <c r="K1113" s="99"/>
      <c r="L1113" s="90"/>
      <c r="M1113" s="107"/>
      <c r="N1113" s="380"/>
      <c r="O1113" s="377"/>
      <c r="P1113" s="13"/>
      <c r="Q1113" s="13"/>
      <c r="R1113" s="13"/>
      <c r="S1113" s="111"/>
      <c r="T1113" s="35"/>
      <c r="U1113" s="35"/>
      <c r="V1113" s="6"/>
      <c r="W1113" s="6"/>
      <c r="X1113" s="181"/>
      <c r="Y1113" s="102"/>
      <c r="Z1113" s="102"/>
      <c r="AA1113" s="102"/>
      <c r="AB1113" s="102"/>
      <c r="AC1113" s="102"/>
      <c r="AD1113" s="342"/>
      <c r="AE1113" s="102"/>
      <c r="AF1113" s="110"/>
      <c r="AG1113" s="105"/>
      <c r="AH1113" s="69"/>
      <c r="AI1113" s="108"/>
      <c r="AJ1113" s="111"/>
      <c r="AK1113" s="104"/>
      <c r="AL1113" s="111"/>
      <c r="AM1113" s="69"/>
      <c r="AN1113" s="13"/>
      <c r="AO1113" s="13"/>
      <c r="AP1113" s="13"/>
      <c r="AQ1113" s="13"/>
      <c r="AR1113" s="13"/>
      <c r="AS1113" s="13"/>
      <c r="AT1113" s="13"/>
      <c r="AU1113" s="13"/>
      <c r="AV1113" s="13"/>
      <c r="AW1113" s="6"/>
      <c r="AX1113" s="13"/>
      <c r="AY1113" s="13"/>
      <c r="AZ1113" s="6"/>
      <c r="BA1113" s="6"/>
      <c r="BB1113" s="6"/>
      <c r="BC1113" s="6"/>
      <c r="BD1113" s="6"/>
      <c r="BE1113" s="6"/>
      <c r="BF1113" s="6"/>
      <c r="BG1113" s="6"/>
    </row>
    <row r="1114">
      <c r="A1114" s="35"/>
      <c r="B1114" s="35"/>
      <c r="C1114" s="7"/>
      <c r="D1114" s="41"/>
      <c r="E1114" s="6"/>
      <c r="F1114" s="41"/>
      <c r="G1114" s="35"/>
      <c r="H1114" s="111"/>
      <c r="J1114" s="35"/>
      <c r="K1114" s="99"/>
      <c r="L1114" s="90"/>
      <c r="M1114" s="107"/>
      <c r="N1114" s="380"/>
      <c r="O1114" s="377"/>
      <c r="P1114" s="13"/>
      <c r="Q1114" s="13"/>
      <c r="R1114" s="13"/>
      <c r="S1114" s="111"/>
      <c r="T1114" s="35"/>
      <c r="U1114" s="50"/>
      <c r="V1114" s="6"/>
      <c r="W1114" s="6"/>
      <c r="X1114" s="181"/>
      <c r="Y1114" s="102"/>
      <c r="Z1114" s="102"/>
      <c r="AA1114" s="102"/>
      <c r="AB1114" s="102"/>
      <c r="AC1114" s="102"/>
      <c r="AD1114" s="342"/>
      <c r="AE1114" s="102"/>
      <c r="AF1114" s="110"/>
      <c r="AG1114" s="105"/>
      <c r="AH1114" s="69"/>
      <c r="AI1114" s="108"/>
      <c r="AJ1114" s="111"/>
      <c r="AK1114" s="104"/>
      <c r="AL1114" s="111"/>
      <c r="AM1114" s="135"/>
      <c r="AN1114" s="13"/>
      <c r="AO1114" s="13"/>
      <c r="AP1114" s="13"/>
      <c r="AQ1114" s="6"/>
      <c r="AR1114" s="6"/>
      <c r="AS1114" s="6"/>
      <c r="AT1114" s="6"/>
      <c r="AU1114" s="6"/>
      <c r="AV1114" s="6"/>
      <c r="AW1114" s="6"/>
      <c r="AX1114" s="13"/>
      <c r="AY1114" s="13"/>
      <c r="AZ1114" s="6"/>
      <c r="BA1114" s="6"/>
      <c r="BB1114" s="6"/>
      <c r="BC1114" s="6"/>
      <c r="BD1114" s="6"/>
      <c r="BE1114" s="6"/>
      <c r="BF1114" s="6"/>
      <c r="BG1114" s="6"/>
    </row>
    <row r="1115">
      <c r="A1115" s="35"/>
      <c r="B1115" s="35"/>
      <c r="C1115" s="7"/>
      <c r="D1115" s="41"/>
      <c r="E1115" s="6"/>
      <c r="F1115" s="41"/>
      <c r="G1115" s="35"/>
      <c r="H1115" s="111"/>
      <c r="J1115" s="35"/>
      <c r="K1115" s="99"/>
      <c r="L1115" s="90"/>
      <c r="M1115" s="107"/>
      <c r="N1115" s="380"/>
      <c r="O1115" s="378"/>
      <c r="P1115" s="6"/>
      <c r="Q1115" s="6"/>
      <c r="R1115" s="13"/>
      <c r="S1115" s="111"/>
      <c r="T1115" s="35"/>
      <c r="U1115" s="35"/>
      <c r="V1115" s="6"/>
      <c r="W1115" s="6"/>
      <c r="X1115" s="181"/>
      <c r="Y1115" s="102"/>
      <c r="Z1115" s="102"/>
      <c r="AA1115" s="102"/>
      <c r="AB1115" s="102"/>
      <c r="AC1115" s="102"/>
      <c r="AD1115" s="342"/>
      <c r="AE1115" s="102"/>
      <c r="AF1115" s="110"/>
      <c r="AG1115" s="105"/>
      <c r="AH1115" s="69"/>
      <c r="AI1115" s="108"/>
      <c r="AJ1115" s="111"/>
      <c r="AK1115" s="104"/>
      <c r="AL1115" s="111"/>
      <c r="AM1115" s="35"/>
      <c r="AN1115" s="13"/>
      <c r="AO1115" s="13"/>
      <c r="AP1115" s="13"/>
      <c r="AQ1115" s="6"/>
      <c r="AR1115" s="6"/>
      <c r="AS1115" s="6"/>
      <c r="AT1115" s="6"/>
      <c r="AU1115" s="6"/>
      <c r="AV1115" s="6"/>
      <c r="AW1115" s="6"/>
      <c r="AX1115" s="13"/>
      <c r="AY1115" s="13"/>
      <c r="AZ1115" s="6"/>
      <c r="BA1115" s="6"/>
      <c r="BB1115" s="6"/>
      <c r="BC1115" s="6"/>
      <c r="BD1115" s="6"/>
      <c r="BE1115" s="6"/>
      <c r="BF1115" s="6"/>
      <c r="BG1115" s="6"/>
    </row>
    <row r="1116">
      <c r="A1116" s="35"/>
      <c r="B1116" s="35"/>
      <c r="C1116" s="7"/>
      <c r="D1116" s="41"/>
      <c r="E1116" s="6"/>
      <c r="F1116" s="41"/>
      <c r="G1116" s="35"/>
      <c r="H1116" s="111"/>
      <c r="J1116" s="35"/>
      <c r="K1116" s="99"/>
      <c r="L1116" s="90"/>
      <c r="M1116" s="107"/>
      <c r="N1116" s="380"/>
      <c r="O1116" s="378"/>
      <c r="P1116" s="13"/>
      <c r="Q1116" s="13"/>
      <c r="R1116" s="13"/>
      <c r="S1116" s="111"/>
      <c r="T1116" s="35"/>
      <c r="U1116" s="35"/>
      <c r="V1116" s="6"/>
      <c r="W1116" s="6"/>
      <c r="X1116" s="181"/>
      <c r="Y1116" s="102"/>
      <c r="Z1116" s="102"/>
      <c r="AA1116" s="102"/>
      <c r="AB1116" s="102"/>
      <c r="AC1116" s="102"/>
      <c r="AD1116" s="342"/>
      <c r="AE1116" s="102"/>
      <c r="AF1116" s="110"/>
      <c r="AG1116" s="105"/>
      <c r="AH1116" s="69"/>
      <c r="AI1116" s="108"/>
      <c r="AJ1116" s="111"/>
      <c r="AK1116" s="104"/>
      <c r="AL1116" s="111"/>
      <c r="AM1116" s="201"/>
      <c r="AN1116" s="13"/>
      <c r="AO1116" s="13"/>
      <c r="AP1116" s="13"/>
      <c r="AQ1116" s="6"/>
      <c r="AR1116" s="6"/>
      <c r="AS1116" s="6"/>
      <c r="AT1116" s="6"/>
      <c r="AU1116" s="6"/>
      <c r="AV1116" s="6"/>
      <c r="AW1116" s="6"/>
      <c r="AX1116" s="13"/>
      <c r="AY1116" s="13"/>
      <c r="AZ1116" s="6"/>
      <c r="BA1116" s="6"/>
      <c r="BB1116" s="6"/>
      <c r="BC1116" s="6"/>
      <c r="BD1116" s="6"/>
      <c r="BE1116" s="6"/>
      <c r="BF1116" s="6"/>
      <c r="BG1116" s="6"/>
    </row>
    <row r="1117">
      <c r="A1117" s="35"/>
      <c r="B1117" s="35"/>
      <c r="C1117" s="7"/>
      <c r="D1117" s="41"/>
      <c r="E1117" s="6"/>
      <c r="F1117" s="41"/>
      <c r="G1117" s="35"/>
      <c r="H1117" s="111"/>
      <c r="J1117" s="35"/>
      <c r="K1117" s="99"/>
      <c r="L1117" s="90"/>
      <c r="M1117" s="107"/>
      <c r="N1117" s="380"/>
      <c r="O1117" s="376"/>
      <c r="P1117" s="6"/>
      <c r="Q1117" s="6"/>
      <c r="R1117" s="46"/>
      <c r="S1117" s="111"/>
      <c r="T1117" s="35"/>
      <c r="U1117" s="35"/>
      <c r="V1117" s="6"/>
      <c r="W1117" s="6"/>
      <c r="X1117" s="181"/>
      <c r="Y1117" s="102"/>
      <c r="Z1117" s="102"/>
      <c r="AA1117" s="102"/>
      <c r="AB1117" s="102"/>
      <c r="AC1117" s="102"/>
      <c r="AD1117" s="342"/>
      <c r="AE1117" s="102"/>
      <c r="AF1117" s="110"/>
      <c r="AG1117" s="105"/>
      <c r="AH1117" s="69"/>
      <c r="AI1117" s="108"/>
      <c r="AJ1117" s="111"/>
      <c r="AK1117" s="104"/>
      <c r="AL1117" s="111"/>
      <c r="AM1117" s="69"/>
      <c r="AN1117" s="13"/>
      <c r="AO1117" s="13"/>
      <c r="AP1117" s="13"/>
      <c r="AQ1117" s="6"/>
      <c r="AR1117" s="6"/>
      <c r="AS1117" s="6"/>
      <c r="AT1117" s="6"/>
      <c r="AU1117" s="6"/>
      <c r="AV1117" s="6"/>
      <c r="AW1117" s="6"/>
      <c r="AX1117" s="13"/>
      <c r="AY1117" s="13"/>
      <c r="AZ1117" s="6"/>
      <c r="BA1117" s="6"/>
      <c r="BB1117" s="6"/>
      <c r="BC1117" s="6"/>
      <c r="BD1117" s="6"/>
      <c r="BE1117" s="6"/>
      <c r="BF1117" s="6"/>
      <c r="BG1117" s="6"/>
    </row>
    <row r="1118">
      <c r="A1118" s="35"/>
      <c r="B1118" s="35"/>
      <c r="C1118" s="7"/>
      <c r="D1118" s="41"/>
      <c r="E1118" s="6"/>
      <c r="F1118" s="41"/>
      <c r="G1118" s="35"/>
      <c r="H1118" s="111"/>
      <c r="J1118" s="35"/>
      <c r="K1118" s="99"/>
      <c r="L1118" s="90"/>
      <c r="M1118" s="107"/>
      <c r="N1118" s="380"/>
      <c r="O1118" s="378"/>
      <c r="P1118" s="13"/>
      <c r="Q1118" s="13"/>
      <c r="R1118" s="13"/>
      <c r="S1118" s="111"/>
      <c r="T1118" s="35"/>
      <c r="U1118" s="50"/>
      <c r="V1118" s="6"/>
      <c r="W1118" s="6"/>
      <c r="X1118" s="181"/>
      <c r="Y1118" s="102"/>
      <c r="Z1118" s="102"/>
      <c r="AA1118" s="102"/>
      <c r="AB1118" s="102"/>
      <c r="AC1118" s="102"/>
      <c r="AD1118" s="342"/>
      <c r="AE1118" s="102"/>
      <c r="AF1118" s="110"/>
      <c r="AG1118" s="105"/>
      <c r="AH1118" s="69"/>
      <c r="AI1118" s="108"/>
      <c r="AJ1118" s="111"/>
      <c r="AK1118" s="104"/>
      <c r="AL1118" s="111"/>
      <c r="AM1118" s="201"/>
      <c r="AN1118" s="13"/>
      <c r="AO1118" s="13"/>
      <c r="AP1118" s="13"/>
      <c r="AQ1118" s="6"/>
      <c r="AR1118" s="6"/>
      <c r="AS1118" s="13"/>
      <c r="AT1118" s="13"/>
      <c r="AU1118" s="13"/>
      <c r="AV1118" s="13"/>
      <c r="AW1118" s="6"/>
      <c r="AX1118" s="13"/>
      <c r="AY1118" s="13"/>
      <c r="AZ1118" s="6"/>
      <c r="BA1118" s="6"/>
      <c r="BB1118" s="6"/>
      <c r="BC1118" s="6"/>
      <c r="BD1118" s="6"/>
      <c r="BE1118" s="6"/>
      <c r="BF1118" s="6"/>
      <c r="BG1118" s="6"/>
    </row>
    <row r="1119">
      <c r="A1119" s="35"/>
      <c r="B1119" s="35"/>
      <c r="C1119" s="7"/>
      <c r="D1119" s="41"/>
      <c r="E1119" s="6"/>
      <c r="F1119" s="41"/>
      <c r="G1119" s="35"/>
      <c r="H1119" s="111"/>
      <c r="J1119" s="35"/>
      <c r="K1119" s="99"/>
      <c r="L1119" s="90"/>
      <c r="M1119" s="107"/>
      <c r="N1119" s="380"/>
      <c r="O1119" s="378"/>
      <c r="P1119" s="13"/>
      <c r="Q1119" s="13"/>
      <c r="R1119" s="13"/>
      <c r="S1119" s="111"/>
      <c r="T1119" s="35"/>
      <c r="U1119" s="35"/>
      <c r="V1119" s="6"/>
      <c r="W1119" s="6"/>
      <c r="X1119" s="181"/>
      <c r="Y1119" s="102"/>
      <c r="Z1119" s="102"/>
      <c r="AA1119" s="102"/>
      <c r="AB1119" s="102"/>
      <c r="AC1119" s="102"/>
      <c r="AD1119" s="342"/>
      <c r="AE1119" s="102"/>
      <c r="AF1119" s="110"/>
      <c r="AG1119" s="105"/>
      <c r="AH1119" s="69"/>
      <c r="AI1119" s="108"/>
      <c r="AJ1119" s="111"/>
      <c r="AK1119" s="104"/>
      <c r="AL1119" s="111"/>
      <c r="AM1119" s="201"/>
      <c r="AN1119" s="13"/>
      <c r="AO1119" s="13"/>
      <c r="AP1119" s="13"/>
      <c r="AQ1119" s="6"/>
      <c r="AR1119" s="13"/>
      <c r="AS1119" s="13"/>
      <c r="AT1119" s="13"/>
      <c r="AU1119" s="13"/>
      <c r="AV1119" s="13"/>
      <c r="AW1119" s="6"/>
      <c r="AX1119" s="13"/>
      <c r="AY1119" s="13"/>
      <c r="AZ1119" s="6"/>
      <c r="BA1119" s="6"/>
      <c r="BB1119" s="6"/>
      <c r="BC1119" s="6"/>
      <c r="BD1119" s="6"/>
      <c r="BE1119" s="6"/>
      <c r="BF1119" s="6"/>
      <c r="BG1119" s="6"/>
    </row>
    <row r="1120">
      <c r="A1120" s="35"/>
      <c r="B1120" s="35"/>
      <c r="C1120" s="7"/>
      <c r="D1120" s="41"/>
      <c r="E1120" s="6"/>
      <c r="F1120" s="41"/>
      <c r="G1120" s="35"/>
      <c r="H1120" s="111"/>
      <c r="J1120" s="35"/>
      <c r="K1120" s="99"/>
      <c r="L1120" s="90"/>
      <c r="M1120" s="107"/>
      <c r="N1120" s="380"/>
      <c r="O1120" s="377"/>
      <c r="P1120" s="13"/>
      <c r="Q1120" s="13"/>
      <c r="R1120" s="13"/>
      <c r="S1120" s="111"/>
      <c r="T1120" s="35"/>
      <c r="U1120" s="35"/>
      <c r="V1120" s="6"/>
      <c r="W1120" s="6"/>
      <c r="X1120" s="181"/>
      <c r="Y1120" s="102"/>
      <c r="Z1120" s="102"/>
      <c r="AA1120" s="102"/>
      <c r="AB1120" s="102"/>
      <c r="AC1120" s="102"/>
      <c r="AD1120" s="342"/>
      <c r="AE1120" s="102"/>
      <c r="AF1120" s="110"/>
      <c r="AG1120" s="105"/>
      <c r="AH1120" s="69"/>
      <c r="AI1120" s="108"/>
      <c r="AJ1120" s="111"/>
      <c r="AK1120" s="104"/>
      <c r="AL1120" s="111"/>
      <c r="AM1120" s="69"/>
      <c r="AN1120" s="13"/>
      <c r="AO1120" s="13"/>
      <c r="AP1120" s="13"/>
      <c r="AQ1120" s="6"/>
      <c r="AR1120" s="13"/>
      <c r="AS1120" s="13"/>
      <c r="AT1120" s="13"/>
      <c r="AU1120" s="13"/>
      <c r="AV1120" s="13"/>
      <c r="AW1120" s="6"/>
      <c r="AX1120" s="13"/>
      <c r="AY1120" s="13"/>
      <c r="AZ1120" s="6"/>
      <c r="BA1120" s="6"/>
      <c r="BB1120" s="6"/>
      <c r="BC1120" s="6"/>
      <c r="BD1120" s="6"/>
      <c r="BE1120" s="6"/>
      <c r="BF1120" s="6"/>
      <c r="BG1120" s="6"/>
    </row>
    <row r="1121">
      <c r="A1121" s="35"/>
      <c r="B1121" s="35"/>
      <c r="C1121" s="7"/>
      <c r="D1121" s="41"/>
      <c r="E1121" s="6"/>
      <c r="F1121" s="41"/>
      <c r="G1121" s="35"/>
      <c r="H1121" s="111"/>
      <c r="J1121" s="35"/>
      <c r="K1121" s="99"/>
      <c r="L1121" s="90"/>
      <c r="M1121" s="107"/>
      <c r="N1121" s="380"/>
      <c r="O1121" s="377"/>
      <c r="P1121" s="13"/>
      <c r="Q1121" s="13"/>
      <c r="R1121" s="13"/>
      <c r="S1121" s="111"/>
      <c r="T1121" s="35"/>
      <c r="U1121" s="35"/>
      <c r="V1121" s="6"/>
      <c r="W1121" s="6"/>
      <c r="X1121" s="181"/>
      <c r="Y1121" s="102"/>
      <c r="Z1121" s="102"/>
      <c r="AA1121" s="102"/>
      <c r="AB1121" s="102"/>
      <c r="AC1121" s="102"/>
      <c r="AD1121" s="342"/>
      <c r="AE1121" s="102"/>
      <c r="AF1121" s="110"/>
      <c r="AG1121" s="105"/>
      <c r="AH1121" s="69"/>
      <c r="AI1121" s="108"/>
      <c r="AJ1121" s="111"/>
      <c r="AK1121" s="104"/>
      <c r="AL1121" s="111"/>
      <c r="AM1121" s="69"/>
      <c r="AN1121" s="13"/>
      <c r="AO1121" s="13"/>
      <c r="AP1121" s="13"/>
      <c r="AQ1121" s="6"/>
      <c r="AR1121" s="13"/>
      <c r="AS1121" s="13"/>
      <c r="AT1121" s="13"/>
      <c r="AU1121" s="13"/>
      <c r="AV1121" s="13"/>
      <c r="AW1121" s="6"/>
      <c r="AX1121" s="13"/>
      <c r="AY1121" s="13"/>
      <c r="AZ1121" s="6"/>
      <c r="BA1121" s="6"/>
      <c r="BB1121" s="6"/>
      <c r="BC1121" s="6"/>
      <c r="BD1121" s="6"/>
      <c r="BE1121" s="6"/>
      <c r="BF1121" s="6"/>
      <c r="BG1121" s="6"/>
    </row>
    <row r="1122">
      <c r="A1122" s="35"/>
      <c r="B1122" s="35"/>
      <c r="C1122" s="7"/>
      <c r="D1122" s="41"/>
      <c r="E1122" s="6"/>
      <c r="F1122" s="41"/>
      <c r="G1122" s="35"/>
      <c r="H1122" s="111"/>
      <c r="J1122" s="35"/>
      <c r="K1122" s="99"/>
      <c r="L1122" s="90"/>
      <c r="M1122" s="107"/>
      <c r="N1122" s="380"/>
      <c r="O1122" s="378"/>
      <c r="P1122" s="6"/>
      <c r="Q1122" s="6"/>
      <c r="R1122" s="6"/>
      <c r="S1122" s="111"/>
      <c r="T1122" s="35"/>
      <c r="U1122" s="35"/>
      <c r="V1122" s="6"/>
      <c r="W1122" s="6"/>
      <c r="X1122" s="181"/>
      <c r="Y1122" s="102"/>
      <c r="Z1122" s="102"/>
      <c r="AA1122" s="102"/>
      <c r="AB1122" s="102"/>
      <c r="AC1122" s="102"/>
      <c r="AD1122" s="342"/>
      <c r="AE1122" s="102"/>
      <c r="AF1122" s="110"/>
      <c r="AG1122" s="105"/>
      <c r="AH1122" s="69"/>
      <c r="AI1122" s="108"/>
      <c r="AJ1122" s="111"/>
      <c r="AK1122" s="104"/>
      <c r="AL1122" s="111"/>
      <c r="AM1122" s="69"/>
      <c r="AN1122" s="13"/>
      <c r="AO1122" s="13"/>
      <c r="AP1122" s="13"/>
      <c r="AQ1122" s="6"/>
      <c r="AR1122" s="6"/>
      <c r="AS1122" s="6"/>
      <c r="AT1122" s="6"/>
      <c r="AU1122" s="6"/>
      <c r="AV1122" s="6"/>
      <c r="AW1122" s="6"/>
      <c r="AX1122" s="13"/>
      <c r="AY1122" s="13"/>
      <c r="AZ1122" s="6"/>
      <c r="BA1122" s="6"/>
      <c r="BB1122" s="6"/>
      <c r="BC1122" s="6"/>
      <c r="BD1122" s="6"/>
      <c r="BE1122" s="6"/>
      <c r="BF1122" s="6"/>
      <c r="BG1122" s="6"/>
    </row>
    <row r="1123">
      <c r="A1123" s="35"/>
      <c r="B1123" s="35"/>
      <c r="C1123" s="7"/>
      <c r="D1123" s="41"/>
      <c r="E1123" s="6"/>
      <c r="F1123" s="41"/>
      <c r="G1123" s="35"/>
      <c r="H1123" s="111"/>
      <c r="J1123" s="35"/>
      <c r="K1123" s="99"/>
      <c r="L1123" s="90"/>
      <c r="M1123" s="107"/>
      <c r="N1123" s="380"/>
      <c r="O1123" s="378"/>
      <c r="P1123" s="13"/>
      <c r="Q1123" s="13"/>
      <c r="R1123" s="13"/>
      <c r="S1123" s="111"/>
      <c r="T1123" s="35"/>
      <c r="U1123" s="35"/>
      <c r="V1123" s="6"/>
      <c r="W1123" s="6"/>
      <c r="X1123" s="181"/>
      <c r="Y1123" s="102"/>
      <c r="Z1123" s="102"/>
      <c r="AA1123" s="102"/>
      <c r="AB1123" s="102"/>
      <c r="AC1123" s="102"/>
      <c r="AD1123" s="342"/>
      <c r="AE1123" s="102"/>
      <c r="AF1123" s="110"/>
      <c r="AG1123" s="105"/>
      <c r="AH1123" s="69"/>
      <c r="AI1123" s="108"/>
      <c r="AJ1123" s="111"/>
      <c r="AK1123" s="104"/>
      <c r="AL1123" s="111"/>
      <c r="AM1123" s="69"/>
      <c r="AN1123" s="13"/>
      <c r="AO1123" s="13"/>
      <c r="AP1123" s="13"/>
      <c r="AQ1123" s="6"/>
      <c r="AR1123" s="6"/>
      <c r="AS1123" s="6"/>
      <c r="AT1123" s="6"/>
      <c r="AU1123" s="6"/>
      <c r="AV1123" s="6"/>
      <c r="AW1123" s="6"/>
      <c r="AX1123" s="13"/>
      <c r="AY1123" s="13"/>
      <c r="AZ1123" s="6"/>
      <c r="BA1123" s="6"/>
      <c r="BB1123" s="6"/>
      <c r="BC1123" s="6"/>
      <c r="BD1123" s="6"/>
      <c r="BE1123" s="6"/>
      <c r="BF1123" s="6"/>
      <c r="BG1123" s="6"/>
    </row>
    <row r="1124">
      <c r="A1124" s="35"/>
      <c r="B1124" s="35"/>
      <c r="C1124" s="7"/>
      <c r="D1124" s="41"/>
      <c r="E1124" s="6"/>
      <c r="F1124" s="41"/>
      <c r="G1124" s="35"/>
      <c r="H1124" s="111"/>
      <c r="J1124" s="35"/>
      <c r="K1124" s="99"/>
      <c r="L1124" s="90"/>
      <c r="M1124" s="107"/>
      <c r="N1124" s="380"/>
      <c r="O1124" s="377"/>
      <c r="P1124" s="6"/>
      <c r="Q1124" s="6"/>
      <c r="R1124" s="6"/>
      <c r="S1124" s="111"/>
      <c r="T1124" s="35"/>
      <c r="U1124" s="35"/>
      <c r="V1124" s="6"/>
      <c r="W1124" s="6"/>
      <c r="X1124" s="181"/>
      <c r="Y1124" s="102"/>
      <c r="Z1124" s="102"/>
      <c r="AA1124" s="102"/>
      <c r="AB1124" s="102"/>
      <c r="AC1124" s="102"/>
      <c r="AD1124" s="342"/>
      <c r="AE1124" s="102"/>
      <c r="AF1124" s="110"/>
      <c r="AG1124" s="105"/>
      <c r="AH1124" s="69"/>
      <c r="AI1124" s="108"/>
      <c r="AJ1124" s="111"/>
      <c r="AK1124" s="104"/>
      <c r="AL1124" s="111"/>
      <c r="AM1124" s="35"/>
      <c r="AN1124" s="13"/>
      <c r="AO1124" s="13"/>
      <c r="AP1124" s="13"/>
      <c r="AQ1124" s="6"/>
      <c r="AR1124" s="6"/>
      <c r="AS1124" s="6"/>
      <c r="AT1124" s="6"/>
      <c r="AU1124" s="6"/>
      <c r="AV1124" s="6"/>
      <c r="AW1124" s="6"/>
      <c r="AX1124" s="13"/>
      <c r="AY1124" s="13"/>
      <c r="AZ1124" s="6"/>
      <c r="BA1124" s="6"/>
      <c r="BB1124" s="6"/>
      <c r="BC1124" s="6"/>
      <c r="BD1124" s="6"/>
      <c r="BE1124" s="6"/>
      <c r="BF1124" s="6"/>
      <c r="BG1124" s="6"/>
    </row>
    <row r="1125">
      <c r="A1125" s="35"/>
      <c r="B1125" s="35"/>
      <c r="C1125" s="7"/>
      <c r="D1125" s="41"/>
      <c r="E1125" s="6"/>
      <c r="F1125" s="41"/>
      <c r="G1125" s="35"/>
      <c r="H1125" s="111"/>
      <c r="J1125" s="35"/>
      <c r="K1125" s="99"/>
      <c r="L1125" s="90"/>
      <c r="M1125" s="107"/>
      <c r="N1125" s="380"/>
      <c r="O1125" s="377"/>
      <c r="P1125" s="13"/>
      <c r="Q1125" s="13"/>
      <c r="R1125" s="13"/>
      <c r="S1125" s="111"/>
      <c r="T1125" s="35"/>
      <c r="U1125" s="35"/>
      <c r="V1125" s="6"/>
      <c r="W1125" s="6"/>
      <c r="X1125" s="181"/>
      <c r="Y1125" s="102"/>
      <c r="Z1125" s="102"/>
      <c r="AA1125" s="102"/>
      <c r="AB1125" s="102"/>
      <c r="AC1125" s="102"/>
      <c r="AD1125" s="342"/>
      <c r="AE1125" s="102"/>
      <c r="AF1125" s="110"/>
      <c r="AG1125" s="105"/>
      <c r="AH1125" s="69"/>
      <c r="AI1125" s="108"/>
      <c r="AJ1125" s="111"/>
      <c r="AK1125" s="104"/>
      <c r="AL1125" s="111"/>
      <c r="AM1125" s="35"/>
      <c r="AN1125" s="13"/>
      <c r="AO1125" s="13"/>
      <c r="AP1125" s="13"/>
      <c r="AQ1125" s="6"/>
      <c r="AR1125" s="13"/>
      <c r="AS1125" s="13"/>
      <c r="AT1125" s="13"/>
      <c r="AU1125" s="13"/>
      <c r="AV1125" s="13"/>
      <c r="AW1125" s="6"/>
      <c r="AX1125" s="13"/>
      <c r="AY1125" s="13"/>
      <c r="AZ1125" s="6"/>
      <c r="BA1125" s="6"/>
      <c r="BB1125" s="6"/>
      <c r="BC1125" s="6"/>
      <c r="BD1125" s="6"/>
      <c r="BE1125" s="6"/>
      <c r="BF1125" s="6"/>
      <c r="BG1125" s="6"/>
    </row>
    <row r="1126">
      <c r="A1126" s="35"/>
      <c r="B1126" s="35"/>
      <c r="C1126" s="7"/>
      <c r="D1126" s="41"/>
      <c r="E1126" s="6"/>
      <c r="F1126" s="41"/>
      <c r="G1126" s="35"/>
      <c r="H1126" s="111"/>
      <c r="J1126" s="35"/>
      <c r="K1126" s="99"/>
      <c r="L1126" s="90"/>
      <c r="M1126" s="107"/>
      <c r="N1126" s="380"/>
      <c r="O1126" s="377"/>
      <c r="P1126" s="13"/>
      <c r="Q1126" s="13"/>
      <c r="R1126" s="13"/>
      <c r="S1126" s="111"/>
      <c r="T1126" s="35"/>
      <c r="U1126" s="35"/>
      <c r="V1126" s="6"/>
      <c r="W1126" s="6"/>
      <c r="X1126" s="181"/>
      <c r="Y1126" s="102"/>
      <c r="Z1126" s="102"/>
      <c r="AA1126" s="102"/>
      <c r="AB1126" s="102"/>
      <c r="AC1126" s="102"/>
      <c r="AD1126" s="342"/>
      <c r="AE1126" s="102"/>
      <c r="AF1126" s="110"/>
      <c r="AG1126" s="105"/>
      <c r="AH1126" s="69"/>
      <c r="AI1126" s="108"/>
      <c r="AJ1126" s="111"/>
      <c r="AK1126" s="104"/>
      <c r="AL1126" s="111"/>
      <c r="AM1126" s="35"/>
      <c r="AN1126" s="13"/>
      <c r="AO1126" s="13"/>
      <c r="AP1126" s="13"/>
      <c r="AQ1126" s="6"/>
      <c r="AR1126" s="13"/>
      <c r="AS1126" s="13"/>
      <c r="AT1126" s="13"/>
      <c r="AU1126" s="13"/>
      <c r="AV1126" s="13"/>
      <c r="AW1126" s="6"/>
      <c r="AX1126" s="13"/>
      <c r="AY1126" s="13"/>
      <c r="AZ1126" s="6"/>
      <c r="BA1126" s="6"/>
      <c r="BB1126" s="6"/>
      <c r="BC1126" s="6"/>
      <c r="BD1126" s="6"/>
      <c r="BE1126" s="6"/>
      <c r="BF1126" s="6"/>
      <c r="BG1126" s="6"/>
    </row>
    <row r="1127">
      <c r="A1127" s="35"/>
      <c r="B1127" s="35"/>
      <c r="C1127" s="7"/>
      <c r="D1127" s="41"/>
      <c r="E1127" s="6"/>
      <c r="F1127" s="41"/>
      <c r="G1127" s="35"/>
      <c r="H1127" s="111"/>
      <c r="J1127" s="35"/>
      <c r="K1127" s="99"/>
      <c r="L1127" s="90"/>
      <c r="M1127" s="107"/>
      <c r="N1127" s="380"/>
      <c r="O1127" s="377"/>
      <c r="P1127" s="13"/>
      <c r="Q1127" s="13"/>
      <c r="R1127" s="13"/>
      <c r="S1127" s="111"/>
      <c r="T1127" s="35"/>
      <c r="U1127" s="35"/>
      <c r="V1127" s="6"/>
      <c r="W1127" s="6"/>
      <c r="X1127" s="181"/>
      <c r="Y1127" s="102"/>
      <c r="Z1127" s="102"/>
      <c r="AA1127" s="102"/>
      <c r="AB1127" s="102"/>
      <c r="AC1127" s="102"/>
      <c r="AD1127" s="342"/>
      <c r="AE1127" s="102"/>
      <c r="AF1127" s="110"/>
      <c r="AG1127" s="105"/>
      <c r="AH1127" s="69"/>
      <c r="AI1127" s="108"/>
      <c r="AJ1127" s="111"/>
      <c r="AK1127" s="104"/>
      <c r="AL1127" s="111"/>
      <c r="AM1127" s="35"/>
      <c r="AN1127" s="13"/>
      <c r="AO1127" s="13"/>
      <c r="AP1127" s="13"/>
      <c r="AQ1127" s="6"/>
      <c r="AR1127" s="13"/>
      <c r="AS1127" s="13"/>
      <c r="AT1127" s="13"/>
      <c r="AU1127" s="13"/>
      <c r="AV1127" s="13"/>
      <c r="AW1127" s="6"/>
      <c r="AX1127" s="13"/>
      <c r="AY1127" s="13"/>
      <c r="AZ1127" s="6"/>
      <c r="BA1127" s="6"/>
      <c r="BB1127" s="6"/>
      <c r="BC1127" s="6"/>
      <c r="BD1127" s="6"/>
      <c r="BE1127" s="6"/>
      <c r="BF1127" s="6"/>
      <c r="BG1127" s="6"/>
    </row>
    <row r="1128">
      <c r="A1128" s="35"/>
      <c r="B1128" s="35"/>
      <c r="C1128" s="7"/>
      <c r="D1128" s="41"/>
      <c r="E1128" s="6"/>
      <c r="F1128" s="41"/>
      <c r="G1128" s="35"/>
      <c r="H1128" s="111"/>
      <c r="J1128" s="35"/>
      <c r="K1128" s="99"/>
      <c r="L1128" s="90"/>
      <c r="M1128" s="107"/>
      <c r="N1128" s="380"/>
      <c r="O1128" s="377"/>
      <c r="P1128" s="13"/>
      <c r="Q1128" s="13"/>
      <c r="R1128" s="13"/>
      <c r="S1128" s="111"/>
      <c r="T1128" s="35"/>
      <c r="U1128" s="35"/>
      <c r="V1128" s="6"/>
      <c r="W1128" s="6"/>
      <c r="X1128" s="181"/>
      <c r="Y1128" s="102"/>
      <c r="Z1128" s="102"/>
      <c r="AA1128" s="102"/>
      <c r="AB1128" s="102"/>
      <c r="AC1128" s="102"/>
      <c r="AD1128" s="342"/>
      <c r="AE1128" s="102"/>
      <c r="AF1128" s="110"/>
      <c r="AG1128" s="105"/>
      <c r="AH1128" s="69"/>
      <c r="AI1128" s="108"/>
      <c r="AJ1128" s="111"/>
      <c r="AK1128" s="104"/>
      <c r="AL1128" s="111"/>
      <c r="AM1128" s="69"/>
      <c r="AN1128" s="13"/>
      <c r="AO1128" s="13"/>
      <c r="AP1128" s="13"/>
      <c r="AQ1128" s="6"/>
      <c r="AR1128" s="13"/>
      <c r="AS1128" s="13"/>
      <c r="AT1128" s="13"/>
      <c r="AU1128" s="13"/>
      <c r="AV1128" s="13"/>
      <c r="AW1128" s="6"/>
      <c r="AX1128" s="13"/>
      <c r="AY1128" s="13"/>
      <c r="AZ1128" s="6"/>
      <c r="BA1128" s="6"/>
      <c r="BB1128" s="6"/>
      <c r="BC1128" s="6"/>
      <c r="BD1128" s="6"/>
      <c r="BE1128" s="6"/>
      <c r="BF1128" s="6"/>
      <c r="BG1128" s="6"/>
    </row>
    <row r="1129">
      <c r="A1129" s="35"/>
      <c r="B1129" s="35"/>
      <c r="C1129" s="7"/>
      <c r="D1129" s="41"/>
      <c r="E1129" s="6"/>
      <c r="F1129" s="41"/>
      <c r="G1129" s="35"/>
      <c r="H1129" s="111"/>
      <c r="J1129" s="35"/>
      <c r="K1129" s="41"/>
      <c r="L1129" s="90"/>
      <c r="M1129" s="107"/>
      <c r="N1129" s="380"/>
      <c r="O1129" s="378"/>
      <c r="P1129" s="6"/>
      <c r="Q1129" s="6"/>
      <c r="R1129" s="6"/>
      <c r="S1129" s="111"/>
      <c r="T1129" s="35"/>
      <c r="U1129" s="35"/>
      <c r="V1129" s="6"/>
      <c r="W1129" s="6"/>
      <c r="X1129" s="181"/>
      <c r="Y1129" s="102"/>
      <c r="Z1129" s="102"/>
      <c r="AA1129" s="102"/>
      <c r="AB1129" s="102"/>
      <c r="AC1129" s="102"/>
      <c r="AD1129" s="342"/>
      <c r="AE1129" s="102"/>
      <c r="AF1129" s="110"/>
      <c r="AG1129" s="105"/>
      <c r="AH1129" s="69"/>
      <c r="AI1129" s="108"/>
      <c r="AJ1129" s="111"/>
      <c r="AK1129" s="104"/>
      <c r="AL1129" s="111"/>
      <c r="AM1129" s="69"/>
      <c r="AN1129" s="13"/>
      <c r="AO1129" s="13"/>
      <c r="AP1129" s="13"/>
      <c r="AQ1129" s="6"/>
      <c r="AR1129" s="6"/>
      <c r="AS1129" s="6"/>
      <c r="AT1129" s="6"/>
      <c r="AU1129" s="6"/>
      <c r="AV1129" s="6"/>
      <c r="AW1129" s="6"/>
      <c r="AX1129" s="13"/>
      <c r="AY1129" s="13"/>
      <c r="AZ1129" s="6"/>
      <c r="BA1129" s="6"/>
      <c r="BB1129" s="6"/>
      <c r="BC1129" s="6"/>
      <c r="BD1129" s="6"/>
      <c r="BE1129" s="6"/>
      <c r="BF1129" s="6"/>
      <c r="BG1129" s="6"/>
    </row>
    <row r="1130">
      <c r="A1130" s="35"/>
      <c r="B1130" s="35"/>
      <c r="C1130" s="7"/>
      <c r="D1130" s="41"/>
      <c r="E1130" s="6"/>
      <c r="F1130" s="41"/>
      <c r="G1130" s="35"/>
      <c r="H1130" s="111"/>
      <c r="J1130" s="35"/>
      <c r="K1130" s="41"/>
      <c r="L1130" s="90"/>
      <c r="M1130" s="107"/>
      <c r="N1130" s="380"/>
      <c r="O1130" s="378"/>
      <c r="P1130" s="6"/>
      <c r="Q1130" s="6"/>
      <c r="R1130" s="6"/>
      <c r="S1130" s="111"/>
      <c r="T1130" s="35"/>
      <c r="U1130" s="35"/>
      <c r="V1130" s="6"/>
      <c r="W1130" s="6"/>
      <c r="X1130" s="181"/>
      <c r="Y1130" s="102"/>
      <c r="Z1130" s="102"/>
      <c r="AA1130" s="102"/>
      <c r="AB1130" s="102"/>
      <c r="AC1130" s="102"/>
      <c r="AD1130" s="342"/>
      <c r="AE1130" s="102"/>
      <c r="AF1130" s="110"/>
      <c r="AG1130" s="105"/>
      <c r="AH1130" s="69"/>
      <c r="AI1130" s="108"/>
      <c r="AJ1130" s="111"/>
      <c r="AK1130" s="104"/>
      <c r="AL1130" s="111"/>
      <c r="AM1130" s="69"/>
      <c r="AN1130" s="13"/>
      <c r="AO1130" s="13"/>
      <c r="AP1130" s="13"/>
      <c r="AQ1130" s="6"/>
      <c r="AR1130" s="6"/>
      <c r="AS1130" s="6"/>
      <c r="AT1130" s="6"/>
      <c r="AU1130" s="6"/>
      <c r="AV1130" s="6"/>
      <c r="AW1130" s="6"/>
      <c r="AX1130" s="13"/>
      <c r="AY1130" s="13"/>
      <c r="AZ1130" s="6"/>
      <c r="BA1130" s="6"/>
      <c r="BB1130" s="6"/>
      <c r="BC1130" s="6"/>
      <c r="BD1130" s="6"/>
      <c r="BE1130" s="6"/>
      <c r="BF1130" s="6"/>
      <c r="BG1130" s="6"/>
    </row>
    <row r="1131">
      <c r="A1131" s="35"/>
      <c r="B1131" s="35"/>
      <c r="C1131" s="7"/>
      <c r="D1131" s="41"/>
      <c r="E1131" s="6"/>
      <c r="F1131" s="41"/>
      <c r="G1131" s="35"/>
      <c r="H1131" s="111"/>
      <c r="J1131" s="35"/>
      <c r="K1131" s="99"/>
      <c r="L1131" s="90"/>
      <c r="M1131" s="107"/>
      <c r="N1131" s="380"/>
      <c r="O1131" s="378"/>
      <c r="P1131" s="13"/>
      <c r="Q1131" s="13"/>
      <c r="R1131" s="13"/>
      <c r="S1131" s="111"/>
      <c r="T1131" s="35"/>
      <c r="U1131" s="35"/>
      <c r="V1131" s="6"/>
      <c r="W1131" s="6"/>
      <c r="X1131" s="181"/>
      <c r="Y1131" s="102"/>
      <c r="Z1131" s="102"/>
      <c r="AA1131" s="102"/>
      <c r="AB1131" s="102"/>
      <c r="AC1131" s="102"/>
      <c r="AD1131" s="342"/>
      <c r="AE1131" s="102"/>
      <c r="AF1131" s="110"/>
      <c r="AG1131" s="105"/>
      <c r="AH1131" s="69"/>
      <c r="AI1131" s="108"/>
      <c r="AJ1131" s="111"/>
      <c r="AK1131" s="104"/>
      <c r="AL1131" s="111"/>
      <c r="AM1131" s="69"/>
      <c r="AN1131" s="13"/>
      <c r="AO1131" s="13"/>
      <c r="AP1131" s="13"/>
      <c r="AQ1131" s="6"/>
      <c r="AR1131" s="6"/>
      <c r="AS1131" s="6"/>
      <c r="AT1131" s="6"/>
      <c r="AU1131" s="6"/>
      <c r="AV1131" s="6"/>
      <c r="AW1131" s="6"/>
      <c r="AX1131" s="13"/>
      <c r="AY1131" s="13"/>
      <c r="AZ1131" s="6"/>
      <c r="BA1131" s="6"/>
      <c r="BB1131" s="6"/>
      <c r="BC1131" s="6"/>
      <c r="BD1131" s="6"/>
      <c r="BE1131" s="6"/>
      <c r="BF1131" s="6"/>
      <c r="BG1131" s="6"/>
    </row>
    <row r="1132">
      <c r="A1132" s="35"/>
      <c r="B1132" s="35"/>
      <c r="C1132" s="7"/>
      <c r="D1132" s="104"/>
      <c r="E1132" s="35"/>
      <c r="F1132" s="104"/>
      <c r="G1132" s="35"/>
      <c r="H1132" s="111"/>
      <c r="J1132" s="50"/>
      <c r="K1132" s="99"/>
      <c r="L1132" s="90"/>
      <c r="M1132" s="107"/>
      <c r="N1132" s="380"/>
      <c r="O1132" s="378"/>
      <c r="P1132" s="13"/>
      <c r="Q1132" s="13"/>
      <c r="R1132" s="13"/>
      <c r="S1132" s="111"/>
      <c r="T1132" s="35"/>
      <c r="U1132" s="50"/>
      <c r="V1132" s="6"/>
      <c r="W1132" s="6"/>
      <c r="X1132" s="181"/>
      <c r="Y1132" s="102"/>
      <c r="Z1132" s="102"/>
      <c r="AA1132" s="102"/>
      <c r="AB1132" s="102"/>
      <c r="AC1132" s="102"/>
      <c r="AD1132" s="342"/>
      <c r="AE1132" s="102"/>
      <c r="AF1132" s="110"/>
      <c r="AG1132" s="105"/>
      <c r="AH1132" s="69"/>
      <c r="AI1132" s="108"/>
      <c r="AJ1132" s="111"/>
      <c r="AK1132" s="101"/>
      <c r="AL1132" s="111"/>
      <c r="AM1132" s="69"/>
      <c r="AN1132" s="13"/>
      <c r="AO1132" s="13"/>
      <c r="AP1132" s="13"/>
      <c r="AQ1132" s="6"/>
      <c r="AR1132" s="13"/>
      <c r="AS1132" s="13"/>
      <c r="AT1132" s="13"/>
      <c r="AU1132" s="13"/>
      <c r="AV1132" s="13"/>
      <c r="AW1132" s="6"/>
      <c r="AX1132" s="13"/>
      <c r="AY1132" s="13"/>
      <c r="AZ1132" s="6"/>
      <c r="BA1132" s="6"/>
      <c r="BB1132" s="6"/>
      <c r="BC1132" s="6"/>
      <c r="BD1132" s="6"/>
      <c r="BE1132" s="6"/>
      <c r="BF1132" s="6"/>
      <c r="BG1132" s="6"/>
    </row>
    <row r="1133">
      <c r="A1133" s="35"/>
      <c r="B1133" s="35"/>
      <c r="C1133" s="7"/>
      <c r="D1133" s="104"/>
      <c r="E1133" s="35"/>
      <c r="F1133" s="104"/>
      <c r="G1133" s="35"/>
      <c r="H1133" s="111"/>
      <c r="J1133" s="50"/>
      <c r="K1133" s="99"/>
      <c r="L1133" s="90"/>
      <c r="M1133" s="107"/>
      <c r="N1133" s="380"/>
      <c r="O1133" s="378"/>
      <c r="P1133" s="13"/>
      <c r="Q1133" s="13"/>
      <c r="R1133" s="13"/>
      <c r="S1133" s="111"/>
      <c r="T1133" s="35"/>
      <c r="U1133" s="50"/>
      <c r="V1133" s="6"/>
      <c r="W1133" s="6"/>
      <c r="X1133" s="181"/>
      <c r="Y1133" s="102"/>
      <c r="Z1133" s="102"/>
      <c r="AA1133" s="102"/>
      <c r="AB1133" s="102"/>
      <c r="AC1133" s="102"/>
      <c r="AD1133" s="342"/>
      <c r="AE1133" s="102"/>
      <c r="AF1133" s="110"/>
      <c r="AG1133" s="105"/>
      <c r="AH1133" s="69"/>
      <c r="AI1133" s="108"/>
      <c r="AJ1133" s="111"/>
      <c r="AK1133" s="101"/>
      <c r="AL1133" s="111"/>
      <c r="AM1133" s="69"/>
      <c r="AN1133" s="13"/>
      <c r="AO1133" s="13"/>
      <c r="AP1133" s="13"/>
      <c r="AQ1133" s="6"/>
      <c r="AR1133" s="13"/>
      <c r="AS1133" s="13"/>
      <c r="AT1133" s="13"/>
      <c r="AU1133" s="13"/>
      <c r="AV1133" s="13"/>
      <c r="AW1133" s="6"/>
      <c r="AX1133" s="13"/>
      <c r="AY1133" s="13"/>
      <c r="AZ1133" s="6"/>
      <c r="BA1133" s="6"/>
      <c r="BB1133" s="6"/>
      <c r="BC1133" s="6"/>
      <c r="BD1133" s="6"/>
      <c r="BE1133" s="6"/>
      <c r="BF1133" s="6"/>
      <c r="BG1133" s="6"/>
    </row>
    <row r="1134">
      <c r="A1134" s="35"/>
      <c r="B1134" s="35"/>
      <c r="C1134" s="7"/>
      <c r="D1134" s="104"/>
      <c r="E1134" s="35"/>
      <c r="F1134" s="104"/>
      <c r="G1134" s="35"/>
      <c r="H1134" s="111"/>
      <c r="J1134" s="50"/>
      <c r="K1134" s="99"/>
      <c r="L1134" s="90"/>
      <c r="M1134" s="107"/>
      <c r="N1134" s="380"/>
      <c r="O1134" s="378"/>
      <c r="P1134" s="13"/>
      <c r="Q1134" s="13"/>
      <c r="R1134" s="13"/>
      <c r="S1134" s="111"/>
      <c r="T1134" s="35"/>
      <c r="U1134" s="50"/>
      <c r="V1134" s="6"/>
      <c r="W1134" s="6"/>
      <c r="X1134" s="181"/>
      <c r="Y1134" s="102"/>
      <c r="Z1134" s="102"/>
      <c r="AA1134" s="102"/>
      <c r="AB1134" s="102"/>
      <c r="AC1134" s="102"/>
      <c r="AD1134" s="342"/>
      <c r="AE1134" s="102"/>
      <c r="AF1134" s="110"/>
      <c r="AG1134" s="105"/>
      <c r="AH1134" s="69"/>
      <c r="AI1134" s="108"/>
      <c r="AJ1134" s="111"/>
      <c r="AK1134" s="101"/>
      <c r="AL1134" s="111"/>
      <c r="AM1134" s="69"/>
      <c r="AN1134" s="13"/>
      <c r="AO1134" s="13"/>
      <c r="AP1134" s="13"/>
      <c r="AQ1134" s="6"/>
      <c r="AR1134" s="13"/>
      <c r="AS1134" s="13"/>
      <c r="AT1134" s="13"/>
      <c r="AU1134" s="13"/>
      <c r="AV1134" s="13"/>
      <c r="AW1134" s="6"/>
      <c r="AX1134" s="13"/>
      <c r="AY1134" s="13"/>
      <c r="AZ1134" s="6"/>
      <c r="BA1134" s="6"/>
      <c r="BB1134" s="6"/>
      <c r="BC1134" s="6"/>
      <c r="BD1134" s="6"/>
      <c r="BE1134" s="6"/>
      <c r="BF1134" s="6"/>
      <c r="BG1134" s="6"/>
    </row>
    <row r="1135">
      <c r="A1135" s="35"/>
      <c r="B1135" s="35"/>
      <c r="C1135" s="7"/>
      <c r="D1135" s="104"/>
      <c r="E1135" s="35"/>
      <c r="F1135" s="104"/>
      <c r="G1135" s="35"/>
      <c r="H1135" s="111"/>
      <c r="J1135" s="50"/>
      <c r="K1135" s="99"/>
      <c r="L1135" s="90"/>
      <c r="M1135" s="107"/>
      <c r="N1135" s="380"/>
      <c r="O1135" s="378"/>
      <c r="P1135" s="13"/>
      <c r="Q1135" s="13"/>
      <c r="R1135" s="13"/>
      <c r="S1135" s="111"/>
      <c r="T1135" s="35"/>
      <c r="U1135" s="50"/>
      <c r="V1135" s="6"/>
      <c r="W1135" s="6"/>
      <c r="X1135" s="181"/>
      <c r="Y1135" s="102"/>
      <c r="Z1135" s="102"/>
      <c r="AA1135" s="102"/>
      <c r="AB1135" s="102"/>
      <c r="AC1135" s="102"/>
      <c r="AD1135" s="342"/>
      <c r="AE1135" s="102"/>
      <c r="AF1135" s="110"/>
      <c r="AG1135" s="105"/>
      <c r="AH1135" s="69"/>
      <c r="AI1135" s="108"/>
      <c r="AJ1135" s="111"/>
      <c r="AK1135" s="101"/>
      <c r="AL1135" s="111"/>
      <c r="AM1135" s="69"/>
      <c r="AN1135" s="13"/>
      <c r="AO1135" s="13"/>
      <c r="AP1135" s="13"/>
      <c r="AQ1135" s="6"/>
      <c r="AR1135" s="13"/>
      <c r="AS1135" s="13"/>
      <c r="AT1135" s="13"/>
      <c r="AU1135" s="13"/>
      <c r="AV1135" s="13"/>
      <c r="AW1135" s="6"/>
      <c r="AX1135" s="13"/>
      <c r="AY1135" s="13"/>
      <c r="AZ1135" s="6"/>
      <c r="BA1135" s="6"/>
      <c r="BB1135" s="6"/>
      <c r="BC1135" s="6"/>
      <c r="BD1135" s="6"/>
      <c r="BE1135" s="6"/>
      <c r="BF1135" s="6"/>
      <c r="BG1135" s="6"/>
    </row>
    <row r="1136">
      <c r="A1136" s="35"/>
      <c r="B1136" s="35"/>
      <c r="C1136" s="7"/>
      <c r="D1136" s="104"/>
      <c r="E1136" s="35"/>
      <c r="F1136" s="104"/>
      <c r="G1136" s="35"/>
      <c r="H1136" s="111"/>
      <c r="J1136" s="50"/>
      <c r="K1136" s="99"/>
      <c r="L1136" s="90"/>
      <c r="M1136" s="107"/>
      <c r="N1136" s="380"/>
      <c r="O1136" s="378"/>
      <c r="P1136" s="13"/>
      <c r="Q1136" s="13"/>
      <c r="R1136" s="13"/>
      <c r="S1136" s="111"/>
      <c r="T1136" s="35"/>
      <c r="U1136" s="50"/>
      <c r="V1136" s="6"/>
      <c r="W1136" s="6"/>
      <c r="X1136" s="181"/>
      <c r="Y1136" s="102"/>
      <c r="Z1136" s="102"/>
      <c r="AA1136" s="102"/>
      <c r="AB1136" s="102"/>
      <c r="AC1136" s="102"/>
      <c r="AD1136" s="342"/>
      <c r="AE1136" s="102"/>
      <c r="AF1136" s="110"/>
      <c r="AG1136" s="105"/>
      <c r="AH1136" s="69"/>
      <c r="AI1136" s="108"/>
      <c r="AJ1136" s="111"/>
      <c r="AK1136" s="101"/>
      <c r="AL1136" s="111"/>
      <c r="AM1136" s="69"/>
      <c r="AN1136" s="13"/>
      <c r="AO1136" s="13"/>
      <c r="AP1136" s="13"/>
      <c r="AQ1136" s="6"/>
      <c r="AR1136" s="13"/>
      <c r="AS1136" s="13"/>
      <c r="AT1136" s="13"/>
      <c r="AU1136" s="13"/>
      <c r="AV1136" s="13"/>
      <c r="AW1136" s="6"/>
      <c r="AX1136" s="13"/>
      <c r="AY1136" s="13"/>
      <c r="AZ1136" s="6"/>
      <c r="BA1136" s="6"/>
      <c r="BB1136" s="6"/>
      <c r="BC1136" s="6"/>
      <c r="BD1136" s="6"/>
      <c r="BE1136" s="6"/>
      <c r="BF1136" s="6"/>
      <c r="BG1136" s="6"/>
    </row>
    <row r="1137">
      <c r="A1137" s="35"/>
      <c r="B1137" s="35"/>
      <c r="C1137" s="7"/>
      <c r="D1137" s="104"/>
      <c r="E1137" s="35"/>
      <c r="F1137" s="104"/>
      <c r="G1137" s="35"/>
      <c r="H1137" s="111"/>
      <c r="J1137" s="50"/>
      <c r="K1137" s="99"/>
      <c r="L1137" s="90"/>
      <c r="M1137" s="107"/>
      <c r="N1137" s="380"/>
      <c r="O1137" s="378"/>
      <c r="P1137" s="13"/>
      <c r="Q1137" s="13"/>
      <c r="R1137" s="13"/>
      <c r="S1137" s="111"/>
      <c r="T1137" s="35"/>
      <c r="U1137" s="50"/>
      <c r="V1137" s="6"/>
      <c r="W1137" s="6"/>
      <c r="X1137" s="181"/>
      <c r="Y1137" s="102"/>
      <c r="Z1137" s="102"/>
      <c r="AA1137" s="102"/>
      <c r="AB1137" s="102"/>
      <c r="AC1137" s="102"/>
      <c r="AD1137" s="342"/>
      <c r="AE1137" s="102"/>
      <c r="AF1137" s="110"/>
      <c r="AG1137" s="105"/>
      <c r="AH1137" s="69"/>
      <c r="AI1137" s="108"/>
      <c r="AJ1137" s="111"/>
      <c r="AK1137" s="101"/>
      <c r="AL1137" s="111"/>
      <c r="AM1137" s="69"/>
      <c r="AN1137" s="13"/>
      <c r="AO1137" s="13"/>
      <c r="AP1137" s="13"/>
      <c r="AQ1137" s="6"/>
      <c r="AR1137" s="13"/>
      <c r="AS1137" s="13"/>
      <c r="AT1137" s="13"/>
      <c r="AU1137" s="13"/>
      <c r="AV1137" s="13"/>
      <c r="AW1137" s="6"/>
      <c r="AX1137" s="13"/>
      <c r="AY1137" s="13"/>
      <c r="AZ1137" s="6"/>
      <c r="BA1137" s="6"/>
      <c r="BB1137" s="6"/>
      <c r="BC1137" s="6"/>
      <c r="BD1137" s="6"/>
      <c r="BE1137" s="6"/>
      <c r="BF1137" s="6"/>
      <c r="BG1137" s="6"/>
    </row>
    <row r="1138">
      <c r="A1138" s="35"/>
      <c r="B1138" s="35"/>
      <c r="C1138" s="7"/>
      <c r="D1138" s="104"/>
      <c r="E1138" s="35"/>
      <c r="F1138" s="104"/>
      <c r="G1138" s="35"/>
      <c r="H1138" s="111"/>
      <c r="J1138" s="50"/>
      <c r="K1138" s="99"/>
      <c r="L1138" s="90"/>
      <c r="M1138" s="107"/>
      <c r="N1138" s="380"/>
      <c r="O1138" s="378"/>
      <c r="P1138" s="13"/>
      <c r="Q1138" s="13"/>
      <c r="R1138" s="13"/>
      <c r="S1138" s="111"/>
      <c r="T1138" s="35"/>
      <c r="U1138" s="50"/>
      <c r="V1138" s="6"/>
      <c r="W1138" s="6"/>
      <c r="X1138" s="181"/>
      <c r="Y1138" s="102"/>
      <c r="Z1138" s="102"/>
      <c r="AA1138" s="102"/>
      <c r="AB1138" s="102"/>
      <c r="AC1138" s="102"/>
      <c r="AD1138" s="342"/>
      <c r="AE1138" s="102"/>
      <c r="AF1138" s="110"/>
      <c r="AG1138" s="105"/>
      <c r="AH1138" s="69"/>
      <c r="AI1138" s="108"/>
      <c r="AJ1138" s="111"/>
      <c r="AK1138" s="101"/>
      <c r="AL1138" s="111"/>
      <c r="AM1138" s="69"/>
      <c r="AN1138" s="13"/>
      <c r="AO1138" s="13"/>
      <c r="AP1138" s="13"/>
      <c r="AQ1138" s="6"/>
      <c r="AR1138" s="13"/>
      <c r="AS1138" s="13"/>
      <c r="AT1138" s="13"/>
      <c r="AU1138" s="13"/>
      <c r="AV1138" s="13"/>
      <c r="AW1138" s="6"/>
      <c r="AX1138" s="13"/>
      <c r="AY1138" s="13"/>
      <c r="AZ1138" s="6"/>
      <c r="BA1138" s="6"/>
      <c r="BB1138" s="6"/>
      <c r="BC1138" s="6"/>
      <c r="BD1138" s="6"/>
      <c r="BE1138" s="6"/>
      <c r="BF1138" s="6"/>
      <c r="BG1138" s="6"/>
    </row>
    <row r="1139">
      <c r="A1139" s="35"/>
      <c r="B1139" s="35"/>
      <c r="C1139" s="7"/>
      <c r="D1139" s="104"/>
      <c r="E1139" s="35"/>
      <c r="F1139" s="104"/>
      <c r="G1139" s="35"/>
      <c r="H1139" s="111"/>
      <c r="J1139" s="50"/>
      <c r="K1139" s="99"/>
      <c r="L1139" s="90"/>
      <c r="M1139" s="107"/>
      <c r="N1139" s="380"/>
      <c r="O1139" s="378"/>
      <c r="P1139" s="13"/>
      <c r="Q1139" s="13"/>
      <c r="R1139" s="13"/>
      <c r="S1139" s="111"/>
      <c r="T1139" s="35"/>
      <c r="U1139" s="50"/>
      <c r="V1139" s="6"/>
      <c r="W1139" s="6"/>
      <c r="X1139" s="181"/>
      <c r="Y1139" s="102"/>
      <c r="Z1139" s="102"/>
      <c r="AA1139" s="102"/>
      <c r="AB1139" s="102"/>
      <c r="AC1139" s="102"/>
      <c r="AD1139" s="342"/>
      <c r="AE1139" s="102"/>
      <c r="AF1139" s="110"/>
      <c r="AG1139" s="105"/>
      <c r="AH1139" s="69"/>
      <c r="AI1139" s="108"/>
      <c r="AJ1139" s="111"/>
      <c r="AK1139" s="101"/>
      <c r="AL1139" s="111"/>
      <c r="AM1139" s="69"/>
      <c r="AN1139" s="13"/>
      <c r="AO1139" s="13"/>
      <c r="AP1139" s="13"/>
      <c r="AQ1139" s="6"/>
      <c r="AR1139" s="13"/>
      <c r="AS1139" s="13"/>
      <c r="AT1139" s="13"/>
      <c r="AU1139" s="13"/>
      <c r="AV1139" s="13"/>
      <c r="AW1139" s="6"/>
      <c r="AX1139" s="13"/>
      <c r="AY1139" s="13"/>
      <c r="AZ1139" s="6"/>
      <c r="BA1139" s="6"/>
      <c r="BB1139" s="6"/>
      <c r="BC1139" s="6"/>
      <c r="BD1139" s="6"/>
      <c r="BE1139" s="6"/>
      <c r="BF1139" s="6"/>
      <c r="BG1139" s="6"/>
    </row>
    <row r="1140">
      <c r="A1140" s="35"/>
      <c r="B1140" s="35"/>
      <c r="C1140" s="7"/>
      <c r="D1140" s="41"/>
      <c r="E1140" s="6"/>
      <c r="F1140" s="41"/>
      <c r="G1140" s="35"/>
      <c r="H1140" s="111"/>
      <c r="J1140" s="35"/>
      <c r="K1140" s="99"/>
      <c r="L1140" s="90"/>
      <c r="M1140" s="107"/>
      <c r="N1140" s="380"/>
      <c r="O1140" s="378"/>
      <c r="P1140" s="13"/>
      <c r="Q1140" s="13"/>
      <c r="R1140" s="13"/>
      <c r="S1140" s="111"/>
      <c r="T1140" s="35"/>
      <c r="U1140" s="35"/>
      <c r="V1140" s="6"/>
      <c r="W1140" s="6"/>
      <c r="X1140" s="181"/>
      <c r="Y1140" s="102"/>
      <c r="Z1140" s="102"/>
      <c r="AA1140" s="102"/>
      <c r="AB1140" s="102"/>
      <c r="AC1140" s="102"/>
      <c r="AD1140" s="342"/>
      <c r="AE1140" s="102"/>
      <c r="AF1140" s="110"/>
      <c r="AG1140" s="105"/>
      <c r="AH1140" s="69"/>
      <c r="AI1140" s="108"/>
      <c r="AJ1140" s="111"/>
      <c r="AK1140" s="104"/>
      <c r="AL1140" s="111"/>
      <c r="AM1140" s="69"/>
      <c r="AN1140" s="13"/>
      <c r="AO1140" s="13"/>
      <c r="AP1140" s="13"/>
      <c r="AQ1140" s="13"/>
      <c r="AR1140" s="6"/>
      <c r="AS1140" s="13"/>
      <c r="AT1140" s="6"/>
      <c r="AU1140" s="13"/>
      <c r="AV1140" s="6"/>
      <c r="AW1140" s="6"/>
      <c r="AX1140" s="13"/>
      <c r="AY1140" s="13"/>
      <c r="AZ1140" s="6"/>
      <c r="BA1140" s="6"/>
      <c r="BB1140" s="6"/>
      <c r="BC1140" s="6"/>
      <c r="BD1140" s="6"/>
      <c r="BE1140" s="6"/>
      <c r="BF1140" s="6"/>
      <c r="BG1140" s="6"/>
    </row>
    <row r="1141">
      <c r="A1141" s="35"/>
      <c r="B1141" s="35"/>
      <c r="C1141" s="7"/>
      <c r="D1141" s="41"/>
      <c r="E1141" s="6"/>
      <c r="F1141" s="41"/>
      <c r="G1141" s="35"/>
      <c r="H1141" s="111"/>
      <c r="J1141" s="35"/>
      <c r="K1141" s="99"/>
      <c r="L1141" s="90"/>
      <c r="M1141" s="107"/>
      <c r="N1141" s="380"/>
      <c r="O1141" s="378"/>
      <c r="P1141" s="13"/>
      <c r="Q1141" s="13"/>
      <c r="R1141" s="13"/>
      <c r="S1141" s="111"/>
      <c r="T1141" s="35"/>
      <c r="U1141" s="35"/>
      <c r="V1141" s="6"/>
      <c r="W1141" s="6"/>
      <c r="X1141" s="181"/>
      <c r="Y1141" s="102"/>
      <c r="Z1141" s="102"/>
      <c r="AA1141" s="102"/>
      <c r="AB1141" s="102"/>
      <c r="AC1141" s="102"/>
      <c r="AD1141" s="342"/>
      <c r="AE1141" s="102"/>
      <c r="AF1141" s="110"/>
      <c r="AG1141" s="105"/>
      <c r="AH1141" s="69"/>
      <c r="AI1141" s="108"/>
      <c r="AJ1141" s="111"/>
      <c r="AK1141" s="104"/>
      <c r="AL1141" s="111"/>
      <c r="AM1141" s="69"/>
      <c r="AN1141" s="13"/>
      <c r="AO1141" s="13"/>
      <c r="AP1141" s="13"/>
      <c r="AQ1141" s="13"/>
      <c r="AR1141" s="13"/>
      <c r="AS1141" s="13"/>
      <c r="AT1141" s="13"/>
      <c r="AU1141" s="13"/>
      <c r="AV1141" s="13"/>
      <c r="AW1141" s="6"/>
      <c r="AX1141" s="13"/>
      <c r="AY1141" s="13"/>
      <c r="AZ1141" s="6"/>
      <c r="BA1141" s="6"/>
      <c r="BB1141" s="6"/>
      <c r="BC1141" s="6"/>
      <c r="BD1141" s="6"/>
      <c r="BE1141" s="6"/>
      <c r="BF1141" s="6"/>
      <c r="BG1141" s="6"/>
    </row>
    <row r="1142">
      <c r="A1142" s="35"/>
      <c r="B1142" s="35"/>
      <c r="C1142" s="7"/>
      <c r="D1142" s="41"/>
      <c r="E1142" s="6"/>
      <c r="F1142" s="41"/>
      <c r="G1142" s="35"/>
      <c r="H1142" s="111"/>
      <c r="J1142" s="35"/>
      <c r="K1142" s="99"/>
      <c r="L1142" s="90"/>
      <c r="M1142" s="107"/>
      <c r="N1142" s="380"/>
      <c r="O1142" s="378"/>
      <c r="P1142" s="13"/>
      <c r="Q1142" s="13"/>
      <c r="R1142" s="13"/>
      <c r="S1142" s="111"/>
      <c r="T1142" s="35"/>
      <c r="U1142" s="35"/>
      <c r="V1142" s="6"/>
      <c r="W1142" s="6"/>
      <c r="X1142" s="181"/>
      <c r="Y1142" s="102"/>
      <c r="Z1142" s="102"/>
      <c r="AA1142" s="102"/>
      <c r="AB1142" s="102"/>
      <c r="AC1142" s="102"/>
      <c r="AD1142" s="342"/>
      <c r="AE1142" s="102"/>
      <c r="AF1142" s="110"/>
      <c r="AG1142" s="105"/>
      <c r="AH1142" s="69"/>
      <c r="AI1142" s="108"/>
      <c r="AJ1142" s="111"/>
      <c r="AK1142" s="104"/>
      <c r="AL1142" s="111"/>
      <c r="AM1142" s="69"/>
      <c r="AN1142" s="13"/>
      <c r="AO1142" s="13"/>
      <c r="AP1142" s="13"/>
      <c r="AQ1142" s="6"/>
      <c r="AR1142" s="13"/>
      <c r="AS1142" s="13"/>
      <c r="AT1142" s="13"/>
      <c r="AU1142" s="13"/>
      <c r="AV1142" s="13"/>
      <c r="AW1142" s="6"/>
      <c r="AX1142" s="13"/>
      <c r="AY1142" s="13"/>
      <c r="AZ1142" s="6"/>
      <c r="BA1142" s="6"/>
      <c r="BB1142" s="6"/>
      <c r="BC1142" s="6"/>
      <c r="BD1142" s="6"/>
      <c r="BE1142" s="6"/>
      <c r="BF1142" s="6"/>
      <c r="BG1142" s="6"/>
    </row>
    <row r="1143">
      <c r="A1143" s="35"/>
      <c r="B1143" s="35"/>
      <c r="C1143" s="7"/>
      <c r="D1143" s="41"/>
      <c r="E1143" s="6"/>
      <c r="F1143" s="41"/>
      <c r="G1143" s="35"/>
      <c r="H1143" s="111"/>
      <c r="J1143" s="35"/>
      <c r="K1143" s="99"/>
      <c r="L1143" s="90"/>
      <c r="M1143" s="107"/>
      <c r="N1143" s="380"/>
      <c r="O1143" s="378"/>
      <c r="P1143" s="13"/>
      <c r="Q1143" s="13"/>
      <c r="R1143" s="13"/>
      <c r="S1143" s="111"/>
      <c r="T1143" s="35"/>
      <c r="U1143" s="35"/>
      <c r="V1143" s="6"/>
      <c r="W1143" s="6"/>
      <c r="X1143" s="181"/>
      <c r="Y1143" s="102"/>
      <c r="Z1143" s="102"/>
      <c r="AA1143" s="102"/>
      <c r="AB1143" s="102"/>
      <c r="AC1143" s="102"/>
      <c r="AD1143" s="342"/>
      <c r="AE1143" s="102"/>
      <c r="AF1143" s="110"/>
      <c r="AG1143" s="105"/>
      <c r="AH1143" s="69"/>
      <c r="AI1143" s="108"/>
      <c r="AJ1143" s="111"/>
      <c r="AK1143" s="104"/>
      <c r="AL1143" s="111"/>
      <c r="AM1143" s="69"/>
      <c r="AN1143" s="13"/>
      <c r="AO1143" s="13"/>
      <c r="AP1143" s="13"/>
      <c r="AQ1143" s="6"/>
      <c r="AR1143" s="13"/>
      <c r="AS1143" s="13"/>
      <c r="AT1143" s="13"/>
      <c r="AU1143" s="13"/>
      <c r="AV1143" s="13"/>
      <c r="AW1143" s="6"/>
      <c r="AX1143" s="13"/>
      <c r="AY1143" s="13"/>
      <c r="AZ1143" s="6"/>
      <c r="BA1143" s="6"/>
      <c r="BB1143" s="6"/>
      <c r="BC1143" s="6"/>
      <c r="BD1143" s="6"/>
      <c r="BE1143" s="6"/>
      <c r="BF1143" s="6"/>
      <c r="BG1143" s="6"/>
    </row>
    <row r="1144">
      <c r="A1144" s="35"/>
      <c r="B1144" s="35"/>
      <c r="C1144" s="7"/>
      <c r="D1144" s="41"/>
      <c r="E1144" s="6"/>
      <c r="F1144" s="41"/>
      <c r="G1144" s="35"/>
      <c r="H1144" s="111"/>
      <c r="J1144" s="35"/>
      <c r="K1144" s="99"/>
      <c r="L1144" s="90"/>
      <c r="M1144" s="107"/>
      <c r="N1144" s="380"/>
      <c r="O1144" s="378"/>
      <c r="P1144" s="6"/>
      <c r="Q1144" s="6"/>
      <c r="R1144" s="6"/>
      <c r="S1144" s="111"/>
      <c r="T1144" s="35"/>
      <c r="U1144" s="35"/>
      <c r="V1144" s="6"/>
      <c r="W1144" s="6"/>
      <c r="X1144" s="181"/>
      <c r="Y1144" s="102"/>
      <c r="Z1144" s="102"/>
      <c r="AA1144" s="102"/>
      <c r="AB1144" s="102"/>
      <c r="AC1144" s="102"/>
      <c r="AD1144" s="342"/>
      <c r="AE1144" s="102"/>
      <c r="AF1144" s="110"/>
      <c r="AG1144" s="105"/>
      <c r="AH1144" s="69"/>
      <c r="AI1144" s="108"/>
      <c r="AJ1144" s="111"/>
      <c r="AK1144" s="104"/>
      <c r="AL1144" s="111"/>
      <c r="AM1144" s="69"/>
      <c r="AN1144" s="13"/>
      <c r="AO1144" s="13"/>
      <c r="AP1144" s="13"/>
      <c r="AQ1144" s="6"/>
      <c r="AR1144" s="6"/>
      <c r="AS1144" s="6"/>
      <c r="AT1144" s="6"/>
      <c r="AU1144" s="6"/>
      <c r="AV1144" s="6"/>
      <c r="AW1144" s="6"/>
      <c r="AX1144" s="13"/>
      <c r="AY1144" s="13"/>
      <c r="AZ1144" s="6"/>
      <c r="BA1144" s="6"/>
      <c r="BB1144" s="6"/>
      <c r="BC1144" s="6"/>
      <c r="BD1144" s="6"/>
      <c r="BE1144" s="6"/>
      <c r="BF1144" s="6"/>
      <c r="BG1144" s="6"/>
    </row>
    <row r="1145">
      <c r="A1145" s="35"/>
      <c r="B1145" s="35"/>
      <c r="C1145" s="7"/>
      <c r="D1145" s="41"/>
      <c r="E1145" s="6"/>
      <c r="F1145" s="41"/>
      <c r="G1145" s="35"/>
      <c r="H1145" s="111"/>
      <c r="J1145" s="35"/>
      <c r="K1145" s="99"/>
      <c r="L1145" s="90"/>
      <c r="M1145" s="107"/>
      <c r="N1145" s="380"/>
      <c r="O1145" s="378"/>
      <c r="P1145" s="13"/>
      <c r="Q1145" s="13"/>
      <c r="R1145" s="13"/>
      <c r="S1145" s="111"/>
      <c r="T1145" s="35"/>
      <c r="U1145" s="35"/>
      <c r="V1145" s="6"/>
      <c r="W1145" s="6"/>
      <c r="X1145" s="181"/>
      <c r="Y1145" s="102"/>
      <c r="Z1145" s="102"/>
      <c r="AA1145" s="102"/>
      <c r="AB1145" s="102"/>
      <c r="AC1145" s="102"/>
      <c r="AD1145" s="342"/>
      <c r="AE1145" s="102"/>
      <c r="AF1145" s="110"/>
      <c r="AG1145" s="105"/>
      <c r="AH1145" s="69"/>
      <c r="AI1145" s="108"/>
      <c r="AJ1145" s="111"/>
      <c r="AK1145" s="104"/>
      <c r="AL1145" s="111"/>
      <c r="AM1145" s="69"/>
      <c r="AN1145" s="13"/>
      <c r="AO1145" s="13"/>
      <c r="AP1145" s="13"/>
      <c r="AQ1145" s="6"/>
      <c r="AR1145" s="13"/>
      <c r="AS1145" s="13"/>
      <c r="AT1145" s="13"/>
      <c r="AU1145" s="13"/>
      <c r="AV1145" s="13"/>
      <c r="AW1145" s="6"/>
      <c r="AX1145" s="13"/>
      <c r="AY1145" s="13"/>
      <c r="AZ1145" s="6"/>
      <c r="BA1145" s="6"/>
      <c r="BB1145" s="6"/>
      <c r="BC1145" s="6"/>
      <c r="BD1145" s="6"/>
      <c r="BE1145" s="6"/>
      <c r="BF1145" s="6"/>
      <c r="BG1145" s="6"/>
    </row>
    <row r="1146">
      <c r="A1146" s="35"/>
      <c r="B1146" s="35"/>
      <c r="C1146" s="7"/>
      <c r="D1146" s="41"/>
      <c r="E1146" s="6"/>
      <c r="F1146" s="41"/>
      <c r="G1146" s="35"/>
      <c r="H1146" s="111"/>
      <c r="J1146" s="35"/>
      <c r="K1146" s="99"/>
      <c r="L1146" s="90"/>
      <c r="M1146" s="107"/>
      <c r="N1146" s="380"/>
      <c r="O1146" s="377"/>
      <c r="P1146" s="13"/>
      <c r="Q1146" s="13"/>
      <c r="R1146" s="13"/>
      <c r="S1146" s="111"/>
      <c r="T1146" s="35"/>
      <c r="U1146" s="50"/>
      <c r="V1146" s="6"/>
      <c r="W1146" s="6"/>
      <c r="X1146" s="181"/>
      <c r="Y1146" s="102"/>
      <c r="Z1146" s="102"/>
      <c r="AA1146" s="102"/>
      <c r="AB1146" s="102"/>
      <c r="AC1146" s="102"/>
      <c r="AD1146" s="342"/>
      <c r="AE1146" s="102"/>
      <c r="AF1146" s="110"/>
      <c r="AG1146" s="105"/>
      <c r="AH1146" s="69"/>
      <c r="AI1146" s="108"/>
      <c r="AJ1146" s="111"/>
      <c r="AK1146" s="104"/>
      <c r="AL1146" s="111"/>
      <c r="AM1146" s="35"/>
      <c r="AN1146" s="13"/>
      <c r="AO1146" s="13"/>
      <c r="AP1146" s="13"/>
      <c r="AQ1146" s="6"/>
      <c r="AR1146" s="13"/>
      <c r="AS1146" s="13"/>
      <c r="AT1146" s="13"/>
      <c r="AU1146" s="13"/>
      <c r="AV1146" s="13"/>
      <c r="AW1146" s="6"/>
      <c r="AX1146" s="13"/>
      <c r="AY1146" s="13"/>
      <c r="AZ1146" s="6"/>
      <c r="BA1146" s="6"/>
      <c r="BB1146" s="6"/>
      <c r="BC1146" s="6"/>
      <c r="BD1146" s="6"/>
      <c r="BE1146" s="6"/>
      <c r="BF1146" s="6"/>
      <c r="BG1146" s="6"/>
    </row>
    <row r="1147">
      <c r="A1147" s="35"/>
      <c r="B1147" s="35"/>
      <c r="C1147" s="7"/>
      <c r="D1147" s="41"/>
      <c r="E1147" s="6"/>
      <c r="F1147" s="41"/>
      <c r="G1147" s="35"/>
      <c r="H1147" s="111"/>
      <c r="J1147" s="35"/>
      <c r="K1147" s="99"/>
      <c r="L1147" s="90"/>
      <c r="M1147" s="107"/>
      <c r="N1147" s="380"/>
      <c r="O1147" s="377"/>
      <c r="P1147" s="13"/>
      <c r="Q1147" s="13"/>
      <c r="R1147" s="13"/>
      <c r="S1147" s="111"/>
      <c r="T1147" s="35"/>
      <c r="U1147" s="50"/>
      <c r="V1147" s="6"/>
      <c r="W1147" s="6"/>
      <c r="X1147" s="181"/>
      <c r="Y1147" s="102"/>
      <c r="Z1147" s="102"/>
      <c r="AA1147" s="102"/>
      <c r="AB1147" s="102"/>
      <c r="AC1147" s="102"/>
      <c r="AD1147" s="342"/>
      <c r="AE1147" s="102"/>
      <c r="AF1147" s="110"/>
      <c r="AG1147" s="105"/>
      <c r="AH1147" s="69"/>
      <c r="AI1147" s="108"/>
      <c r="AJ1147" s="111"/>
      <c r="AK1147" s="104"/>
      <c r="AL1147" s="111"/>
      <c r="AM1147" s="35"/>
      <c r="AN1147" s="13"/>
      <c r="AO1147" s="13"/>
      <c r="AP1147" s="13"/>
      <c r="AQ1147" s="6"/>
      <c r="AR1147" s="13"/>
      <c r="AS1147" s="13"/>
      <c r="AT1147" s="13"/>
      <c r="AU1147" s="13"/>
      <c r="AV1147" s="13"/>
      <c r="AW1147" s="6"/>
      <c r="AX1147" s="13"/>
      <c r="AY1147" s="13"/>
      <c r="AZ1147" s="6"/>
      <c r="BA1147" s="6"/>
      <c r="BB1147" s="6"/>
      <c r="BC1147" s="6"/>
      <c r="BD1147" s="6"/>
      <c r="BE1147" s="6"/>
      <c r="BF1147" s="6"/>
      <c r="BG1147" s="6"/>
    </row>
    <row r="1148">
      <c r="A1148" s="35"/>
      <c r="B1148" s="35"/>
      <c r="C1148" s="7"/>
      <c r="D1148" s="41"/>
      <c r="E1148" s="6"/>
      <c r="F1148" s="41"/>
      <c r="G1148" s="35"/>
      <c r="H1148" s="111"/>
      <c r="J1148" s="35"/>
      <c r="K1148" s="99"/>
      <c r="L1148" s="90"/>
      <c r="M1148" s="107"/>
      <c r="N1148" s="380"/>
      <c r="O1148" s="377"/>
      <c r="P1148" s="13"/>
      <c r="Q1148" s="13"/>
      <c r="R1148" s="13"/>
      <c r="S1148" s="111"/>
      <c r="T1148" s="35"/>
      <c r="U1148" s="50"/>
      <c r="V1148" s="6"/>
      <c r="W1148" s="6"/>
      <c r="X1148" s="181"/>
      <c r="Y1148" s="102"/>
      <c r="Z1148" s="102"/>
      <c r="AA1148" s="102"/>
      <c r="AB1148" s="102"/>
      <c r="AC1148" s="102"/>
      <c r="AD1148" s="342"/>
      <c r="AE1148" s="102"/>
      <c r="AF1148" s="110"/>
      <c r="AG1148" s="105"/>
      <c r="AH1148" s="69"/>
      <c r="AI1148" s="108"/>
      <c r="AJ1148" s="111"/>
      <c r="AK1148" s="104"/>
      <c r="AL1148" s="111"/>
      <c r="AM1148" s="69"/>
      <c r="AN1148" s="13"/>
      <c r="AO1148" s="13"/>
      <c r="AP1148" s="13"/>
      <c r="AQ1148" s="6"/>
      <c r="AR1148" s="13"/>
      <c r="AS1148" s="13"/>
      <c r="AT1148" s="13"/>
      <c r="AU1148" s="13"/>
      <c r="AV1148" s="13"/>
      <c r="AW1148" s="6"/>
      <c r="AX1148" s="13"/>
      <c r="AY1148" s="13"/>
      <c r="AZ1148" s="6"/>
      <c r="BA1148" s="6"/>
      <c r="BB1148" s="6"/>
      <c r="BC1148" s="6"/>
      <c r="BD1148" s="6"/>
      <c r="BE1148" s="6"/>
      <c r="BF1148" s="6"/>
      <c r="BG1148" s="6"/>
    </row>
    <row r="1149">
      <c r="A1149" s="35"/>
      <c r="B1149" s="35"/>
      <c r="C1149" s="7"/>
      <c r="D1149" s="41"/>
      <c r="E1149" s="6"/>
      <c r="F1149" s="41"/>
      <c r="G1149" s="35"/>
      <c r="H1149" s="111"/>
      <c r="J1149" s="35"/>
      <c r="K1149" s="99"/>
      <c r="L1149" s="90"/>
      <c r="M1149" s="203"/>
      <c r="N1149" s="380"/>
      <c r="O1149" s="377"/>
      <c r="P1149" s="13"/>
      <c r="Q1149" s="13"/>
      <c r="R1149" s="13"/>
      <c r="S1149" s="111"/>
      <c r="T1149" s="35"/>
      <c r="U1149" s="50"/>
      <c r="V1149" s="6"/>
      <c r="W1149" s="6"/>
      <c r="X1149" s="181"/>
      <c r="Y1149" s="102"/>
      <c r="Z1149" s="102"/>
      <c r="AA1149" s="102"/>
      <c r="AB1149" s="102"/>
      <c r="AC1149" s="102"/>
      <c r="AD1149" s="342"/>
      <c r="AE1149" s="102"/>
      <c r="AF1149" s="110"/>
      <c r="AG1149" s="105"/>
      <c r="AH1149" s="69"/>
      <c r="AI1149" s="108"/>
      <c r="AJ1149" s="111"/>
      <c r="AK1149" s="104"/>
      <c r="AL1149" s="111"/>
      <c r="AM1149" s="69"/>
      <c r="AN1149" s="13"/>
      <c r="AO1149" s="13"/>
      <c r="AP1149" s="13"/>
      <c r="AQ1149" s="6"/>
      <c r="AR1149" s="13"/>
      <c r="AS1149" s="13"/>
      <c r="AT1149" s="13"/>
      <c r="AU1149" s="13"/>
      <c r="AV1149" s="13"/>
      <c r="AW1149" s="6"/>
      <c r="AX1149" s="13"/>
      <c r="AY1149" s="13"/>
      <c r="AZ1149" s="6"/>
      <c r="BA1149" s="6"/>
      <c r="BB1149" s="6"/>
      <c r="BC1149" s="6"/>
      <c r="BD1149" s="6"/>
      <c r="BE1149" s="6"/>
      <c r="BF1149" s="6"/>
      <c r="BG1149" s="6"/>
    </row>
    <row r="1150">
      <c r="A1150" s="35"/>
      <c r="B1150" s="35"/>
      <c r="C1150" s="7"/>
      <c r="D1150" s="41"/>
      <c r="E1150" s="6"/>
      <c r="F1150" s="41"/>
      <c r="G1150" s="35"/>
      <c r="H1150" s="111"/>
      <c r="J1150" s="35"/>
      <c r="K1150" s="99"/>
      <c r="L1150" s="90"/>
      <c r="M1150" s="107"/>
      <c r="N1150" s="380"/>
      <c r="O1150" s="377"/>
      <c r="P1150" s="13"/>
      <c r="Q1150" s="13"/>
      <c r="R1150" s="13"/>
      <c r="S1150" s="111"/>
      <c r="T1150" s="35"/>
      <c r="U1150" s="50"/>
      <c r="V1150" s="6"/>
      <c r="W1150" s="6"/>
      <c r="X1150" s="181"/>
      <c r="Y1150" s="102"/>
      <c r="Z1150" s="102"/>
      <c r="AA1150" s="102"/>
      <c r="AB1150" s="102"/>
      <c r="AC1150" s="102"/>
      <c r="AD1150" s="342"/>
      <c r="AE1150" s="102"/>
      <c r="AF1150" s="110"/>
      <c r="AG1150" s="105"/>
      <c r="AH1150" s="69"/>
      <c r="AI1150" s="108"/>
      <c r="AJ1150" s="111"/>
      <c r="AK1150" s="104"/>
      <c r="AL1150" s="111"/>
      <c r="AM1150" s="69"/>
      <c r="AN1150" s="13"/>
      <c r="AO1150" s="13"/>
      <c r="AP1150" s="13"/>
      <c r="AQ1150" s="6"/>
      <c r="AR1150" s="13"/>
      <c r="AS1150" s="13"/>
      <c r="AT1150" s="13"/>
      <c r="AU1150" s="13"/>
      <c r="AV1150" s="13"/>
      <c r="AW1150" s="6"/>
      <c r="AX1150" s="13"/>
      <c r="AY1150" s="13"/>
      <c r="AZ1150" s="6"/>
      <c r="BA1150" s="6"/>
      <c r="BB1150" s="6"/>
      <c r="BC1150" s="6"/>
      <c r="BD1150" s="6"/>
      <c r="BE1150" s="6"/>
      <c r="BF1150" s="6"/>
      <c r="BG1150" s="6"/>
    </row>
    <row r="1151">
      <c r="A1151" s="35"/>
      <c r="B1151" s="35"/>
      <c r="C1151" s="7"/>
      <c r="D1151" s="41"/>
      <c r="E1151" s="6"/>
      <c r="F1151" s="41"/>
      <c r="G1151" s="35"/>
      <c r="H1151" s="111"/>
      <c r="J1151" s="35"/>
      <c r="K1151" s="99"/>
      <c r="L1151" s="90"/>
      <c r="M1151" s="107"/>
      <c r="N1151" s="380"/>
      <c r="O1151" s="378"/>
      <c r="P1151" s="6"/>
      <c r="Q1151" s="6"/>
      <c r="R1151" s="6"/>
      <c r="S1151" s="111"/>
      <c r="T1151" s="35"/>
      <c r="U1151" s="35"/>
      <c r="V1151" s="6"/>
      <c r="W1151" s="6"/>
      <c r="X1151" s="181"/>
      <c r="Y1151" s="102"/>
      <c r="Z1151" s="102"/>
      <c r="AA1151" s="102"/>
      <c r="AB1151" s="102"/>
      <c r="AC1151" s="102"/>
      <c r="AD1151" s="342"/>
      <c r="AE1151" s="102"/>
      <c r="AF1151" s="110"/>
      <c r="AG1151" s="105"/>
      <c r="AH1151" s="69"/>
      <c r="AI1151" s="108"/>
      <c r="AJ1151" s="111"/>
      <c r="AK1151" s="104"/>
      <c r="AL1151" s="111"/>
      <c r="AM1151" s="69"/>
      <c r="AN1151" s="13"/>
      <c r="AO1151" s="13"/>
      <c r="AP1151" s="13"/>
      <c r="AQ1151" s="6"/>
      <c r="AR1151" s="6"/>
      <c r="AS1151" s="13"/>
      <c r="AT1151" s="6"/>
      <c r="AU1151" s="13"/>
      <c r="AV1151" s="6"/>
      <c r="AW1151" s="6"/>
      <c r="AX1151" s="13"/>
      <c r="AY1151" s="13"/>
      <c r="AZ1151" s="6"/>
      <c r="BA1151" s="6"/>
      <c r="BB1151" s="6"/>
      <c r="BC1151" s="6"/>
      <c r="BD1151" s="6"/>
      <c r="BE1151" s="6"/>
      <c r="BF1151" s="6"/>
      <c r="BG1151" s="6"/>
    </row>
    <row r="1152">
      <c r="A1152" s="35"/>
      <c r="B1152" s="35"/>
      <c r="C1152" s="7"/>
      <c r="D1152" s="41"/>
      <c r="E1152" s="6"/>
      <c r="F1152" s="41"/>
      <c r="G1152" s="35"/>
      <c r="H1152" s="111"/>
      <c r="J1152" s="35"/>
      <c r="K1152" s="99"/>
      <c r="L1152" s="90"/>
      <c r="M1152" s="107"/>
      <c r="N1152" s="380"/>
      <c r="O1152" s="378"/>
      <c r="P1152" s="6"/>
      <c r="Q1152" s="6"/>
      <c r="R1152" s="6"/>
      <c r="S1152" s="111"/>
      <c r="T1152" s="35"/>
      <c r="U1152" s="35"/>
      <c r="V1152" s="6"/>
      <c r="W1152" s="6"/>
      <c r="X1152" s="181"/>
      <c r="Y1152" s="102"/>
      <c r="Z1152" s="102"/>
      <c r="AA1152" s="102"/>
      <c r="AB1152" s="102"/>
      <c r="AC1152" s="102"/>
      <c r="AD1152" s="342"/>
      <c r="AE1152" s="102"/>
      <c r="AF1152" s="110"/>
      <c r="AG1152" s="105"/>
      <c r="AH1152" s="69"/>
      <c r="AI1152" s="108"/>
      <c r="AJ1152" s="111"/>
      <c r="AK1152" s="104"/>
      <c r="AL1152" s="111"/>
      <c r="AM1152" s="69"/>
      <c r="AN1152" s="13"/>
      <c r="AO1152" s="13"/>
      <c r="AP1152" s="13"/>
      <c r="AQ1152" s="6"/>
      <c r="AR1152" s="6"/>
      <c r="AS1152" s="13"/>
      <c r="AT1152" s="6"/>
      <c r="AU1152" s="6"/>
      <c r="AV1152" s="6"/>
      <c r="AW1152" s="6"/>
      <c r="AX1152" s="13"/>
      <c r="AY1152" s="13"/>
      <c r="AZ1152" s="6"/>
      <c r="BA1152" s="6"/>
      <c r="BB1152" s="6"/>
      <c r="BC1152" s="6"/>
      <c r="BD1152" s="6"/>
      <c r="BE1152" s="6"/>
      <c r="BF1152" s="6"/>
      <c r="BG1152" s="6"/>
    </row>
    <row r="1153">
      <c r="A1153" s="35"/>
      <c r="B1153" s="35"/>
      <c r="C1153" s="7"/>
      <c r="D1153" s="41"/>
      <c r="E1153" s="6"/>
      <c r="F1153" s="41"/>
      <c r="G1153" s="35"/>
      <c r="H1153" s="111"/>
      <c r="J1153" s="35"/>
      <c r="K1153" s="99"/>
      <c r="L1153" s="90"/>
      <c r="M1153" s="107"/>
      <c r="N1153" s="380"/>
      <c r="O1153" s="378"/>
      <c r="P1153" s="13"/>
      <c r="Q1153" s="13"/>
      <c r="R1153" s="13"/>
      <c r="S1153" s="111"/>
      <c r="T1153" s="35"/>
      <c r="U1153" s="35"/>
      <c r="V1153" s="6"/>
      <c r="W1153" s="6"/>
      <c r="X1153" s="181"/>
      <c r="Y1153" s="102"/>
      <c r="Z1153" s="102"/>
      <c r="AA1153" s="102"/>
      <c r="AB1153" s="102"/>
      <c r="AC1153" s="102"/>
      <c r="AD1153" s="342"/>
      <c r="AE1153" s="102"/>
      <c r="AF1153" s="110"/>
      <c r="AG1153" s="105"/>
      <c r="AH1153" s="69"/>
      <c r="AI1153" s="108"/>
      <c r="AJ1153" s="111"/>
      <c r="AK1153" s="104"/>
      <c r="AL1153" s="111"/>
      <c r="AM1153" s="69"/>
      <c r="AN1153" s="13"/>
      <c r="AO1153" s="13"/>
      <c r="AP1153" s="13"/>
      <c r="AQ1153" s="6"/>
      <c r="AR1153" s="13"/>
      <c r="AS1153" s="13"/>
      <c r="AT1153" s="13"/>
      <c r="AU1153" s="13"/>
      <c r="AV1153" s="13"/>
      <c r="AW1153" s="6"/>
      <c r="AX1153" s="13"/>
      <c r="AY1153" s="13"/>
      <c r="AZ1153" s="6"/>
      <c r="BA1153" s="6"/>
      <c r="BB1153" s="6"/>
      <c r="BC1153" s="6"/>
      <c r="BD1153" s="6"/>
      <c r="BE1153" s="6"/>
      <c r="BF1153" s="6"/>
      <c r="BG1153" s="6"/>
    </row>
    <row r="1154">
      <c r="A1154" s="35"/>
      <c r="B1154" s="35"/>
      <c r="C1154" s="7"/>
      <c r="D1154" s="41"/>
      <c r="E1154" s="6"/>
      <c r="F1154" s="41"/>
      <c r="G1154" s="35"/>
      <c r="H1154" s="111"/>
      <c r="J1154" s="35"/>
      <c r="K1154" s="99"/>
      <c r="L1154" s="90"/>
      <c r="M1154" s="107"/>
      <c r="N1154" s="380"/>
      <c r="O1154" s="378"/>
      <c r="P1154" s="13"/>
      <c r="Q1154" s="13"/>
      <c r="R1154" s="13"/>
      <c r="S1154" s="111"/>
      <c r="T1154" s="35"/>
      <c r="U1154" s="35"/>
      <c r="V1154" s="6"/>
      <c r="W1154" s="6"/>
      <c r="X1154" s="181"/>
      <c r="Y1154" s="102"/>
      <c r="Z1154" s="102"/>
      <c r="AA1154" s="102"/>
      <c r="AB1154" s="102"/>
      <c r="AC1154" s="102"/>
      <c r="AD1154" s="342"/>
      <c r="AE1154" s="102"/>
      <c r="AF1154" s="110"/>
      <c r="AG1154" s="105"/>
      <c r="AH1154" s="69"/>
      <c r="AI1154" s="108"/>
      <c r="AJ1154" s="111"/>
      <c r="AK1154" s="104"/>
      <c r="AL1154" s="111"/>
      <c r="AM1154" s="69"/>
      <c r="AN1154" s="13"/>
      <c r="AO1154" s="13"/>
      <c r="AP1154" s="13"/>
      <c r="AQ1154" s="6"/>
      <c r="AR1154" s="13"/>
      <c r="AS1154" s="13"/>
      <c r="AT1154" s="13"/>
      <c r="AU1154" s="13"/>
      <c r="AV1154" s="13"/>
      <c r="AW1154" s="6"/>
      <c r="AX1154" s="13"/>
      <c r="AY1154" s="13"/>
      <c r="AZ1154" s="6"/>
      <c r="BA1154" s="6"/>
      <c r="BB1154" s="6"/>
      <c r="BC1154" s="6"/>
      <c r="BD1154" s="6"/>
      <c r="BE1154" s="6"/>
      <c r="BF1154" s="6"/>
      <c r="BG1154" s="6"/>
    </row>
    <row r="1155">
      <c r="A1155" s="35"/>
      <c r="B1155" s="35"/>
      <c r="C1155" s="7"/>
      <c r="D1155" s="41"/>
      <c r="E1155" s="6"/>
      <c r="F1155" s="41"/>
      <c r="G1155" s="35"/>
      <c r="H1155" s="111"/>
      <c r="J1155" s="35"/>
      <c r="K1155" s="99"/>
      <c r="L1155" s="90"/>
      <c r="M1155" s="107"/>
      <c r="N1155" s="380"/>
      <c r="O1155" s="378"/>
      <c r="P1155" s="6"/>
      <c r="Q1155" s="6"/>
      <c r="R1155" s="6"/>
      <c r="S1155" s="111"/>
      <c r="T1155" s="35"/>
      <c r="U1155" s="35"/>
      <c r="V1155" s="6"/>
      <c r="W1155" s="6"/>
      <c r="X1155" s="181"/>
      <c r="Y1155" s="102"/>
      <c r="Z1155" s="102"/>
      <c r="AA1155" s="102"/>
      <c r="AB1155" s="102"/>
      <c r="AC1155" s="102"/>
      <c r="AD1155" s="342"/>
      <c r="AE1155" s="102"/>
      <c r="AF1155" s="110"/>
      <c r="AG1155" s="105"/>
      <c r="AH1155" s="69"/>
      <c r="AI1155" s="108"/>
      <c r="AJ1155" s="111"/>
      <c r="AK1155" s="104"/>
      <c r="AL1155" s="111"/>
      <c r="AM1155" s="69"/>
      <c r="AN1155" s="13"/>
      <c r="AO1155" s="13"/>
      <c r="AP1155" s="13"/>
      <c r="AQ1155" s="6"/>
      <c r="AR1155" s="6"/>
      <c r="AS1155" s="152"/>
      <c r="AT1155" s="6"/>
      <c r="AU1155" s="6"/>
      <c r="AV1155" s="6"/>
      <c r="AW1155" s="6"/>
      <c r="AX1155" s="13"/>
      <c r="AY1155" s="13"/>
      <c r="AZ1155" s="6"/>
      <c r="BA1155" s="6"/>
      <c r="BB1155" s="6"/>
      <c r="BC1155" s="6"/>
      <c r="BD1155" s="6"/>
      <c r="BE1155" s="6"/>
      <c r="BF1155" s="6"/>
      <c r="BG1155" s="6"/>
    </row>
    <row r="1156">
      <c r="A1156" s="35"/>
      <c r="B1156" s="35"/>
      <c r="C1156" s="7"/>
      <c r="D1156" s="41"/>
      <c r="E1156" s="6"/>
      <c r="F1156" s="41"/>
      <c r="G1156" s="35"/>
      <c r="H1156" s="111"/>
      <c r="J1156" s="50"/>
      <c r="K1156" s="99"/>
      <c r="L1156" s="90"/>
      <c r="M1156" s="107"/>
      <c r="N1156" s="380"/>
      <c r="O1156" s="378"/>
      <c r="P1156" s="13"/>
      <c r="Q1156" s="13"/>
      <c r="R1156" s="13"/>
      <c r="S1156" s="111"/>
      <c r="T1156" s="35"/>
      <c r="U1156" s="50"/>
      <c r="V1156" s="6"/>
      <c r="W1156" s="6"/>
      <c r="X1156" s="181"/>
      <c r="Y1156" s="102"/>
      <c r="Z1156" s="102"/>
      <c r="AA1156" s="102"/>
      <c r="AB1156" s="102"/>
      <c r="AC1156" s="102"/>
      <c r="AD1156" s="342"/>
      <c r="AE1156" s="102"/>
      <c r="AF1156" s="110"/>
      <c r="AG1156" s="105"/>
      <c r="AH1156" s="69"/>
      <c r="AI1156" s="108"/>
      <c r="AJ1156" s="111"/>
      <c r="AK1156" s="101"/>
      <c r="AL1156" s="111"/>
      <c r="AM1156" s="69"/>
      <c r="AN1156" s="13"/>
      <c r="AO1156" s="13"/>
      <c r="AP1156" s="13"/>
      <c r="AQ1156" s="6"/>
      <c r="AR1156" s="13"/>
      <c r="AS1156" s="13"/>
      <c r="AT1156" s="13"/>
      <c r="AU1156" s="13"/>
      <c r="AV1156" s="13"/>
      <c r="AW1156" s="6"/>
      <c r="AX1156" s="13"/>
      <c r="AY1156" s="13"/>
      <c r="AZ1156" s="6"/>
      <c r="BA1156" s="6"/>
      <c r="BB1156" s="6"/>
      <c r="BC1156" s="6"/>
      <c r="BD1156" s="6"/>
      <c r="BE1156" s="6"/>
      <c r="BF1156" s="6"/>
      <c r="BG1156" s="6"/>
    </row>
    <row r="1157">
      <c r="A1157" s="35"/>
      <c r="B1157" s="35"/>
      <c r="C1157" s="7"/>
      <c r="D1157" s="41"/>
      <c r="E1157" s="6"/>
      <c r="F1157" s="41"/>
      <c r="G1157" s="35"/>
      <c r="H1157" s="111"/>
      <c r="J1157" s="35"/>
      <c r="K1157" s="99"/>
      <c r="L1157" s="90"/>
      <c r="M1157" s="107"/>
      <c r="N1157" s="380"/>
      <c r="O1157" s="378"/>
      <c r="P1157" s="13"/>
      <c r="Q1157" s="13"/>
      <c r="R1157" s="13"/>
      <c r="S1157" s="111"/>
      <c r="T1157" s="35"/>
      <c r="U1157" s="35"/>
      <c r="V1157" s="6"/>
      <c r="W1157" s="6"/>
      <c r="X1157" s="181"/>
      <c r="Y1157" s="102"/>
      <c r="Z1157" s="102"/>
      <c r="AA1157" s="102"/>
      <c r="AB1157" s="102"/>
      <c r="AC1157" s="102"/>
      <c r="AD1157" s="342"/>
      <c r="AE1157" s="102"/>
      <c r="AF1157" s="110"/>
      <c r="AG1157" s="105"/>
      <c r="AH1157" s="69"/>
      <c r="AI1157" s="108"/>
      <c r="AJ1157" s="111"/>
      <c r="AK1157" s="104"/>
      <c r="AL1157" s="111"/>
      <c r="AM1157" s="69"/>
      <c r="AN1157" s="13"/>
      <c r="AO1157" s="13"/>
      <c r="AP1157" s="13"/>
      <c r="AQ1157" s="6"/>
      <c r="AR1157" s="13"/>
      <c r="AS1157" s="13"/>
      <c r="AT1157" s="13"/>
      <c r="AU1157" s="13"/>
      <c r="AV1157" s="13"/>
      <c r="AW1157" s="6"/>
      <c r="AX1157" s="13"/>
      <c r="AY1157" s="13"/>
      <c r="AZ1157" s="6"/>
      <c r="BA1157" s="6"/>
      <c r="BB1157" s="6"/>
      <c r="BC1157" s="6"/>
      <c r="BD1157" s="6"/>
      <c r="BE1157" s="6"/>
      <c r="BF1157" s="6"/>
      <c r="BG1157" s="6"/>
    </row>
    <row r="1158">
      <c r="A1158" s="35"/>
      <c r="B1158" s="35"/>
      <c r="C1158" s="7"/>
      <c r="D1158" s="41"/>
      <c r="E1158" s="6"/>
      <c r="F1158" s="41"/>
      <c r="G1158" s="35"/>
      <c r="H1158" s="111"/>
      <c r="J1158" s="35"/>
      <c r="K1158" s="99"/>
      <c r="L1158" s="90"/>
      <c r="M1158" s="107"/>
      <c r="N1158" s="380"/>
      <c r="O1158" s="376"/>
      <c r="P1158" s="13"/>
      <c r="Q1158" s="13"/>
      <c r="R1158" s="13"/>
      <c r="S1158" s="111"/>
      <c r="T1158" s="35"/>
      <c r="U1158" s="71"/>
      <c r="V1158" s="6"/>
      <c r="W1158" s="6"/>
      <c r="X1158" s="181"/>
      <c r="Y1158" s="102"/>
      <c r="Z1158" s="102"/>
      <c r="AA1158" s="102"/>
      <c r="AB1158" s="102"/>
      <c r="AC1158" s="102"/>
      <c r="AD1158" s="342"/>
      <c r="AE1158" s="102"/>
      <c r="AF1158" s="110"/>
      <c r="AG1158" s="105"/>
      <c r="AH1158" s="69"/>
      <c r="AI1158" s="108"/>
      <c r="AJ1158" s="111"/>
      <c r="AK1158" s="104"/>
      <c r="AL1158" s="111"/>
      <c r="AM1158" s="69"/>
      <c r="AN1158" s="13"/>
      <c r="AO1158" s="13"/>
      <c r="AP1158" s="13"/>
      <c r="AQ1158" s="6"/>
      <c r="AR1158" s="13"/>
      <c r="AS1158" s="6"/>
      <c r="AT1158" s="13"/>
      <c r="AU1158" s="6"/>
      <c r="AV1158" s="13"/>
      <c r="AW1158" s="6"/>
      <c r="AX1158" s="13"/>
      <c r="AY1158" s="13"/>
      <c r="AZ1158" s="6"/>
      <c r="BA1158" s="6"/>
      <c r="BB1158" s="6"/>
      <c r="BC1158" s="6"/>
      <c r="BD1158" s="6"/>
      <c r="BE1158" s="6"/>
      <c r="BF1158" s="6"/>
      <c r="BG1158" s="6"/>
    </row>
    <row r="1159">
      <c r="A1159" s="35"/>
      <c r="B1159" s="35"/>
      <c r="C1159" s="7"/>
      <c r="D1159" s="41"/>
      <c r="E1159" s="6"/>
      <c r="F1159" s="41"/>
      <c r="G1159" s="35"/>
      <c r="H1159" s="111"/>
      <c r="J1159" s="35"/>
      <c r="K1159" s="99"/>
      <c r="L1159" s="90"/>
      <c r="M1159" s="107"/>
      <c r="N1159" s="380"/>
      <c r="O1159" s="378"/>
      <c r="P1159" s="13"/>
      <c r="Q1159" s="13"/>
      <c r="R1159" s="13"/>
      <c r="S1159" s="111"/>
      <c r="T1159" s="35"/>
      <c r="U1159" s="35"/>
      <c r="V1159" s="6"/>
      <c r="W1159" s="6"/>
      <c r="X1159" s="181"/>
      <c r="Y1159" s="102"/>
      <c r="Z1159" s="102"/>
      <c r="AA1159" s="102"/>
      <c r="AB1159" s="102"/>
      <c r="AC1159" s="102"/>
      <c r="AD1159" s="342"/>
      <c r="AE1159" s="102"/>
      <c r="AF1159" s="110"/>
      <c r="AG1159" s="105"/>
      <c r="AH1159" s="69"/>
      <c r="AI1159" s="108"/>
      <c r="AJ1159" s="111"/>
      <c r="AK1159" s="104"/>
      <c r="AL1159" s="111"/>
      <c r="AM1159" s="69"/>
      <c r="AN1159" s="13"/>
      <c r="AO1159" s="13"/>
      <c r="AP1159" s="13"/>
      <c r="AQ1159" s="6"/>
      <c r="AR1159" s="13"/>
      <c r="AS1159" s="13"/>
      <c r="AT1159" s="13"/>
      <c r="AU1159" s="13"/>
      <c r="AV1159" s="13"/>
      <c r="AW1159" s="6"/>
      <c r="AX1159" s="13"/>
      <c r="AY1159" s="13"/>
      <c r="AZ1159" s="6"/>
      <c r="BA1159" s="6"/>
      <c r="BB1159" s="6"/>
      <c r="BC1159" s="6"/>
      <c r="BD1159" s="6"/>
      <c r="BE1159" s="6"/>
      <c r="BF1159" s="6"/>
      <c r="BG1159" s="6"/>
    </row>
    <row r="1160">
      <c r="A1160" s="35"/>
      <c r="B1160" s="35"/>
      <c r="C1160" s="7"/>
      <c r="D1160" s="41"/>
      <c r="E1160" s="6"/>
      <c r="F1160" s="41"/>
      <c r="G1160" s="35"/>
      <c r="H1160" s="111"/>
      <c r="J1160" s="35"/>
      <c r="K1160" s="99"/>
      <c r="L1160" s="90"/>
      <c r="M1160" s="107"/>
      <c r="N1160" s="380"/>
      <c r="O1160" s="378"/>
      <c r="P1160" s="13"/>
      <c r="Q1160" s="13"/>
      <c r="R1160" s="13"/>
      <c r="S1160" s="111"/>
      <c r="T1160" s="35"/>
      <c r="U1160" s="35"/>
      <c r="V1160" s="6"/>
      <c r="W1160" s="6"/>
      <c r="X1160" s="181"/>
      <c r="Y1160" s="102"/>
      <c r="Z1160" s="102"/>
      <c r="AA1160" s="102"/>
      <c r="AB1160" s="102"/>
      <c r="AC1160" s="102"/>
      <c r="AD1160" s="342"/>
      <c r="AE1160" s="102"/>
      <c r="AF1160" s="110"/>
      <c r="AG1160" s="105"/>
      <c r="AH1160" s="69"/>
      <c r="AI1160" s="108"/>
      <c r="AJ1160" s="111"/>
      <c r="AK1160" s="104"/>
      <c r="AL1160" s="111"/>
      <c r="AM1160" s="69"/>
      <c r="AN1160" s="13"/>
      <c r="AO1160" s="13"/>
      <c r="AP1160" s="13"/>
      <c r="AQ1160" s="6"/>
      <c r="AR1160" s="6"/>
      <c r="AS1160" s="13"/>
      <c r="AT1160" s="6"/>
      <c r="AU1160" s="13"/>
      <c r="AV1160" s="6"/>
      <c r="AW1160" s="6"/>
      <c r="AX1160" s="13"/>
      <c r="AY1160" s="13"/>
      <c r="AZ1160" s="6"/>
      <c r="BA1160" s="6"/>
      <c r="BB1160" s="6"/>
      <c r="BC1160" s="6"/>
      <c r="BD1160" s="6"/>
      <c r="BE1160" s="6"/>
      <c r="BF1160" s="6"/>
      <c r="BG1160" s="6"/>
    </row>
    <row r="1161">
      <c r="A1161" s="35"/>
      <c r="B1161" s="35"/>
      <c r="C1161" s="7"/>
      <c r="D1161" s="41"/>
      <c r="E1161" s="6"/>
      <c r="F1161" s="41"/>
      <c r="G1161" s="35"/>
      <c r="H1161" s="111"/>
      <c r="J1161" s="35"/>
      <c r="K1161" s="99"/>
      <c r="L1161" s="90"/>
      <c r="M1161" s="107"/>
      <c r="N1161" s="380"/>
      <c r="O1161" s="378"/>
      <c r="P1161" s="13"/>
      <c r="Q1161" s="13"/>
      <c r="R1161" s="13"/>
      <c r="S1161" s="111"/>
      <c r="T1161" s="35"/>
      <c r="U1161" s="35"/>
      <c r="V1161" s="6"/>
      <c r="W1161" s="6"/>
      <c r="X1161" s="181"/>
      <c r="Y1161" s="102"/>
      <c r="Z1161" s="102"/>
      <c r="AA1161" s="102"/>
      <c r="AB1161" s="102"/>
      <c r="AC1161" s="102"/>
      <c r="AD1161" s="342"/>
      <c r="AE1161" s="102"/>
      <c r="AF1161" s="110"/>
      <c r="AG1161" s="105"/>
      <c r="AH1161" s="69"/>
      <c r="AI1161" s="108"/>
      <c r="AJ1161" s="111"/>
      <c r="AK1161" s="104"/>
      <c r="AL1161" s="111"/>
      <c r="AM1161" s="69"/>
      <c r="AN1161" s="13"/>
      <c r="AO1161" s="13"/>
      <c r="AP1161" s="13"/>
      <c r="AQ1161" s="6"/>
      <c r="AR1161" s="13"/>
      <c r="AS1161" s="13"/>
      <c r="AT1161" s="13"/>
      <c r="AU1161" s="13"/>
      <c r="AV1161" s="13"/>
      <c r="AW1161" s="6"/>
      <c r="AX1161" s="13"/>
      <c r="AY1161" s="13"/>
      <c r="AZ1161" s="6"/>
      <c r="BA1161" s="6"/>
      <c r="BB1161" s="6"/>
      <c r="BC1161" s="6"/>
      <c r="BD1161" s="6"/>
      <c r="BE1161" s="6"/>
      <c r="BF1161" s="6"/>
      <c r="BG1161" s="6"/>
    </row>
    <row r="1162">
      <c r="A1162" s="35"/>
      <c r="B1162" s="35"/>
      <c r="C1162" s="7"/>
      <c r="D1162" s="41"/>
      <c r="E1162" s="6"/>
      <c r="F1162" s="41"/>
      <c r="G1162" s="35"/>
      <c r="H1162" s="111"/>
      <c r="J1162" s="35"/>
      <c r="K1162" s="99"/>
      <c r="L1162" s="90"/>
      <c r="M1162" s="107"/>
      <c r="N1162" s="380"/>
      <c r="O1162" s="378"/>
      <c r="P1162" s="13"/>
      <c r="Q1162" s="13"/>
      <c r="R1162" s="13"/>
      <c r="S1162" s="111"/>
      <c r="T1162" s="35"/>
      <c r="U1162" s="35"/>
      <c r="V1162" s="6"/>
      <c r="W1162" s="6"/>
      <c r="X1162" s="181"/>
      <c r="Y1162" s="102"/>
      <c r="Z1162" s="102"/>
      <c r="AA1162" s="102"/>
      <c r="AB1162" s="102"/>
      <c r="AC1162" s="102"/>
      <c r="AD1162" s="342"/>
      <c r="AE1162" s="102"/>
      <c r="AF1162" s="110"/>
      <c r="AG1162" s="105"/>
      <c r="AH1162" s="69"/>
      <c r="AI1162" s="108"/>
      <c r="AJ1162" s="111"/>
      <c r="AK1162" s="104"/>
      <c r="AL1162" s="111"/>
      <c r="AM1162" s="69"/>
      <c r="AN1162" s="13"/>
      <c r="AO1162" s="13"/>
      <c r="AP1162" s="13"/>
      <c r="AQ1162" s="6"/>
      <c r="AR1162" s="13"/>
      <c r="AS1162" s="13"/>
      <c r="AT1162" s="13"/>
      <c r="AU1162" s="13"/>
      <c r="AV1162" s="13"/>
      <c r="AW1162" s="6"/>
      <c r="AX1162" s="13"/>
      <c r="AY1162" s="13"/>
      <c r="AZ1162" s="6"/>
      <c r="BA1162" s="6"/>
      <c r="BB1162" s="6"/>
      <c r="BC1162" s="6"/>
      <c r="BD1162" s="6"/>
      <c r="BE1162" s="6"/>
      <c r="BF1162" s="6"/>
      <c r="BG1162" s="6"/>
    </row>
    <row r="1163">
      <c r="A1163" s="35"/>
      <c r="B1163" s="35"/>
      <c r="C1163" s="7"/>
      <c r="D1163" s="41"/>
      <c r="E1163" s="6"/>
      <c r="F1163" s="41"/>
      <c r="G1163" s="35"/>
      <c r="H1163" s="111"/>
      <c r="J1163" s="35"/>
      <c r="K1163" s="99"/>
      <c r="L1163" s="90"/>
      <c r="M1163" s="203"/>
      <c r="N1163" s="380"/>
      <c r="O1163" s="378"/>
      <c r="P1163" s="6"/>
      <c r="Q1163" s="6"/>
      <c r="R1163" s="6"/>
      <c r="S1163" s="111"/>
      <c r="T1163" s="35"/>
      <c r="U1163" s="35"/>
      <c r="V1163" s="6"/>
      <c r="W1163" s="6"/>
      <c r="X1163" s="181"/>
      <c r="Y1163" s="102"/>
      <c r="Z1163" s="102"/>
      <c r="AA1163" s="102"/>
      <c r="AB1163" s="102"/>
      <c r="AC1163" s="102"/>
      <c r="AD1163" s="342"/>
      <c r="AE1163" s="102"/>
      <c r="AF1163" s="110"/>
      <c r="AG1163" s="105"/>
      <c r="AH1163" s="69"/>
      <c r="AI1163" s="108"/>
      <c r="AJ1163" s="111"/>
      <c r="AK1163" s="104"/>
      <c r="AL1163" s="111"/>
      <c r="AM1163" s="69"/>
      <c r="AN1163" s="13"/>
      <c r="AO1163" s="13"/>
      <c r="AP1163" s="13"/>
      <c r="AQ1163" s="6"/>
      <c r="AR1163" s="6"/>
      <c r="AS1163" s="13"/>
      <c r="AT1163" s="6"/>
      <c r="AU1163" s="13"/>
      <c r="AV1163" s="6"/>
      <c r="AW1163" s="6"/>
      <c r="AX1163" s="13"/>
      <c r="AY1163" s="13"/>
      <c r="AZ1163" s="6"/>
      <c r="BA1163" s="6"/>
      <c r="BB1163" s="6"/>
      <c r="BC1163" s="6"/>
      <c r="BD1163" s="6"/>
      <c r="BE1163" s="6"/>
      <c r="BF1163" s="6"/>
      <c r="BG1163" s="6"/>
    </row>
    <row r="1164">
      <c r="A1164" s="35"/>
      <c r="B1164" s="35"/>
      <c r="C1164" s="7"/>
      <c r="D1164" s="41"/>
      <c r="E1164" s="6"/>
      <c r="F1164" s="41"/>
      <c r="G1164" s="35"/>
      <c r="H1164" s="111"/>
      <c r="J1164" s="35"/>
      <c r="K1164" s="99"/>
      <c r="L1164" s="90"/>
      <c r="M1164" s="204"/>
      <c r="N1164" s="380"/>
      <c r="O1164" s="378"/>
      <c r="P1164" s="13"/>
      <c r="Q1164" s="13"/>
      <c r="R1164" s="13"/>
      <c r="S1164" s="111"/>
      <c r="T1164" s="35"/>
      <c r="U1164" s="35"/>
      <c r="V1164" s="6"/>
      <c r="W1164" s="6"/>
      <c r="X1164" s="181"/>
      <c r="Y1164" s="102"/>
      <c r="Z1164" s="102"/>
      <c r="AA1164" s="102"/>
      <c r="AB1164" s="102"/>
      <c r="AC1164" s="102"/>
      <c r="AD1164" s="342"/>
      <c r="AE1164" s="102"/>
      <c r="AF1164" s="110"/>
      <c r="AG1164" s="105"/>
      <c r="AH1164" s="69"/>
      <c r="AI1164" s="108"/>
      <c r="AJ1164" s="111"/>
      <c r="AK1164" s="104"/>
      <c r="AL1164" s="111"/>
      <c r="AM1164" s="69"/>
      <c r="AN1164" s="13"/>
      <c r="AO1164" s="13"/>
      <c r="AP1164" s="13"/>
      <c r="AQ1164" s="6"/>
      <c r="AR1164" s="13"/>
      <c r="AS1164" s="13"/>
      <c r="AT1164" s="13"/>
      <c r="AU1164" s="13"/>
      <c r="AV1164" s="13"/>
      <c r="AW1164" s="6"/>
      <c r="AX1164" s="13"/>
      <c r="AY1164" s="13"/>
      <c r="AZ1164" s="6"/>
      <c r="BA1164" s="6"/>
      <c r="BB1164" s="6"/>
      <c r="BC1164" s="6"/>
      <c r="BD1164" s="6"/>
      <c r="BE1164" s="6"/>
      <c r="BF1164" s="6"/>
      <c r="BG1164" s="6"/>
    </row>
    <row r="1165">
      <c r="A1165" s="35"/>
      <c r="B1165" s="35"/>
      <c r="C1165" s="7"/>
      <c r="D1165" s="41"/>
      <c r="E1165" s="6"/>
      <c r="F1165" s="41"/>
      <c r="G1165" s="35"/>
      <c r="H1165" s="111"/>
      <c r="J1165" s="35"/>
      <c r="K1165" s="99"/>
      <c r="L1165" s="90"/>
      <c r="M1165" s="204"/>
      <c r="N1165" s="380"/>
      <c r="O1165" s="378"/>
      <c r="P1165" s="13"/>
      <c r="Q1165" s="13"/>
      <c r="R1165" s="13"/>
      <c r="S1165" s="111"/>
      <c r="T1165" s="35"/>
      <c r="U1165" s="35"/>
      <c r="V1165" s="6"/>
      <c r="W1165" s="6"/>
      <c r="X1165" s="181"/>
      <c r="Y1165" s="102"/>
      <c r="Z1165" s="102"/>
      <c r="AA1165" s="102"/>
      <c r="AB1165" s="102"/>
      <c r="AC1165" s="102"/>
      <c r="AD1165" s="342"/>
      <c r="AE1165" s="102"/>
      <c r="AF1165" s="110"/>
      <c r="AG1165" s="105"/>
      <c r="AH1165" s="69"/>
      <c r="AI1165" s="108"/>
      <c r="AJ1165" s="111"/>
      <c r="AK1165" s="104"/>
      <c r="AL1165" s="111"/>
      <c r="AM1165" s="69"/>
      <c r="AN1165" s="13"/>
      <c r="AO1165" s="13"/>
      <c r="AP1165" s="13"/>
      <c r="AQ1165" s="6"/>
      <c r="AR1165" s="13"/>
      <c r="AS1165" s="13"/>
      <c r="AT1165" s="13"/>
      <c r="AU1165" s="13"/>
      <c r="AV1165" s="13"/>
      <c r="AW1165" s="6"/>
      <c r="AX1165" s="13"/>
      <c r="AY1165" s="13"/>
      <c r="AZ1165" s="6"/>
      <c r="BA1165" s="6"/>
      <c r="BB1165" s="6"/>
      <c r="BC1165" s="6"/>
      <c r="BD1165" s="6"/>
      <c r="BE1165" s="6"/>
      <c r="BF1165" s="6"/>
      <c r="BG1165" s="6"/>
    </row>
    <row r="1166">
      <c r="A1166" s="35"/>
      <c r="B1166" s="35"/>
      <c r="C1166" s="7"/>
      <c r="D1166" s="41"/>
      <c r="E1166" s="6"/>
      <c r="F1166" s="41"/>
      <c r="G1166" s="35"/>
      <c r="H1166" s="111"/>
      <c r="J1166" s="35"/>
      <c r="K1166" s="99"/>
      <c r="L1166" s="90"/>
      <c r="M1166" s="107"/>
      <c r="N1166" s="380"/>
      <c r="O1166" s="378"/>
      <c r="P1166" s="13"/>
      <c r="Q1166" s="13"/>
      <c r="R1166" s="13"/>
      <c r="S1166" s="111"/>
      <c r="T1166" s="35"/>
      <c r="U1166" s="35"/>
      <c r="V1166" s="6"/>
      <c r="W1166" s="6"/>
      <c r="X1166" s="181"/>
      <c r="Y1166" s="102"/>
      <c r="Z1166" s="102"/>
      <c r="AA1166" s="102"/>
      <c r="AB1166" s="102"/>
      <c r="AC1166" s="102"/>
      <c r="AD1166" s="342"/>
      <c r="AE1166" s="102"/>
      <c r="AF1166" s="110"/>
      <c r="AG1166" s="105"/>
      <c r="AH1166" s="69"/>
      <c r="AI1166" s="108"/>
      <c r="AJ1166" s="111"/>
      <c r="AK1166" s="104"/>
      <c r="AL1166" s="111"/>
      <c r="AM1166" s="69"/>
      <c r="AN1166" s="13"/>
      <c r="AO1166" s="13"/>
      <c r="AP1166" s="13"/>
      <c r="AQ1166" s="6"/>
      <c r="AR1166" s="13"/>
      <c r="AS1166" s="13"/>
      <c r="AT1166" s="13"/>
      <c r="AU1166" s="13"/>
      <c r="AV1166" s="13"/>
      <c r="AW1166" s="6"/>
      <c r="AX1166" s="13"/>
      <c r="AY1166" s="13"/>
      <c r="AZ1166" s="6"/>
      <c r="BA1166" s="6"/>
      <c r="BB1166" s="6"/>
      <c r="BC1166" s="6"/>
      <c r="BD1166" s="6"/>
      <c r="BE1166" s="6"/>
      <c r="BF1166" s="6"/>
      <c r="BG1166" s="6"/>
    </row>
    <row r="1167">
      <c r="A1167" s="35"/>
      <c r="B1167" s="35"/>
      <c r="C1167" s="7"/>
      <c r="D1167" s="41"/>
      <c r="E1167" s="6"/>
      <c r="F1167" s="41"/>
      <c r="G1167" s="35"/>
      <c r="H1167" s="111"/>
      <c r="J1167" s="35"/>
      <c r="K1167" s="99"/>
      <c r="L1167" s="90"/>
      <c r="M1167" s="107"/>
      <c r="N1167" s="380"/>
      <c r="O1167" s="378"/>
      <c r="P1167" s="13"/>
      <c r="Q1167" s="13"/>
      <c r="R1167" s="13"/>
      <c r="S1167" s="111"/>
      <c r="T1167" s="35"/>
      <c r="U1167" s="35"/>
      <c r="V1167" s="6"/>
      <c r="W1167" s="6"/>
      <c r="X1167" s="181"/>
      <c r="Y1167" s="102"/>
      <c r="Z1167" s="102"/>
      <c r="AA1167" s="102"/>
      <c r="AB1167" s="102"/>
      <c r="AC1167" s="102"/>
      <c r="AD1167" s="342"/>
      <c r="AE1167" s="102"/>
      <c r="AF1167" s="110"/>
      <c r="AG1167" s="105"/>
      <c r="AH1167" s="69"/>
      <c r="AI1167" s="108"/>
      <c r="AJ1167" s="111"/>
      <c r="AK1167" s="104"/>
      <c r="AL1167" s="111"/>
      <c r="AM1167" s="69"/>
      <c r="AN1167" s="13"/>
      <c r="AO1167" s="13"/>
      <c r="AP1167" s="13"/>
      <c r="AQ1167" s="6"/>
      <c r="AR1167" s="13"/>
      <c r="AS1167" s="13"/>
      <c r="AT1167" s="13"/>
      <c r="AU1167" s="13"/>
      <c r="AV1167" s="13"/>
      <c r="AW1167" s="6"/>
      <c r="AX1167" s="13"/>
      <c r="AY1167" s="13"/>
      <c r="AZ1167" s="6"/>
      <c r="BA1167" s="6"/>
      <c r="BB1167" s="6"/>
      <c r="BC1167" s="6"/>
      <c r="BD1167" s="6"/>
      <c r="BE1167" s="6"/>
      <c r="BF1167" s="6"/>
      <c r="BG1167" s="6"/>
    </row>
    <row r="1168">
      <c r="A1168" s="35"/>
      <c r="B1168" s="35"/>
      <c r="C1168" s="7"/>
      <c r="D1168" s="41"/>
      <c r="E1168" s="6"/>
      <c r="F1168" s="41"/>
      <c r="G1168" s="35"/>
      <c r="H1168" s="111"/>
      <c r="J1168" s="35"/>
      <c r="K1168" s="99"/>
      <c r="L1168" s="90"/>
      <c r="M1168" s="107"/>
      <c r="N1168" s="380"/>
      <c r="O1168" s="378"/>
      <c r="P1168" s="13"/>
      <c r="Q1168" s="13"/>
      <c r="R1168" s="13"/>
      <c r="S1168" s="111"/>
      <c r="T1168" s="35"/>
      <c r="U1168" s="35"/>
      <c r="V1168" s="6"/>
      <c r="W1168" s="6"/>
      <c r="X1168" s="181"/>
      <c r="Y1168" s="102"/>
      <c r="Z1168" s="102"/>
      <c r="AA1168" s="102"/>
      <c r="AB1168" s="102"/>
      <c r="AC1168" s="102"/>
      <c r="AD1168" s="342"/>
      <c r="AE1168" s="102"/>
      <c r="AF1168" s="110"/>
      <c r="AG1168" s="105"/>
      <c r="AH1168" s="69"/>
      <c r="AI1168" s="108"/>
      <c r="AJ1168" s="111"/>
      <c r="AK1168" s="104"/>
      <c r="AL1168" s="111"/>
      <c r="AM1168" s="69"/>
      <c r="AN1168" s="13"/>
      <c r="AO1168" s="13"/>
      <c r="AP1168" s="13"/>
      <c r="AQ1168" s="6"/>
      <c r="AR1168" s="13"/>
      <c r="AS1168" s="13"/>
      <c r="AT1168" s="13"/>
      <c r="AU1168" s="13"/>
      <c r="AV1168" s="13"/>
      <c r="AW1168" s="6"/>
      <c r="AX1168" s="13"/>
      <c r="AY1168" s="13"/>
      <c r="AZ1168" s="6"/>
      <c r="BA1168" s="6"/>
      <c r="BB1168" s="6"/>
      <c r="BC1168" s="6"/>
      <c r="BD1168" s="6"/>
      <c r="BE1168" s="6"/>
      <c r="BF1168" s="6"/>
      <c r="BG1168" s="6"/>
    </row>
    <row r="1169">
      <c r="A1169" s="35"/>
      <c r="B1169" s="35"/>
      <c r="C1169" s="7"/>
      <c r="D1169" s="41"/>
      <c r="E1169" s="6"/>
      <c r="F1169" s="41"/>
      <c r="G1169" s="35"/>
      <c r="H1169" s="111"/>
      <c r="J1169" s="35"/>
      <c r="K1169" s="99"/>
      <c r="L1169" s="90"/>
      <c r="M1169" s="107"/>
      <c r="N1169" s="380"/>
      <c r="O1169" s="378"/>
      <c r="P1169" s="13"/>
      <c r="Q1169" s="13"/>
      <c r="R1169" s="13"/>
      <c r="S1169" s="111"/>
      <c r="T1169" s="35"/>
      <c r="U1169" s="35"/>
      <c r="V1169" s="6"/>
      <c r="W1169" s="6"/>
      <c r="X1169" s="181"/>
      <c r="Y1169" s="102"/>
      <c r="Z1169" s="102"/>
      <c r="AA1169" s="102"/>
      <c r="AB1169" s="102"/>
      <c r="AC1169" s="102"/>
      <c r="AD1169" s="342"/>
      <c r="AE1169" s="102"/>
      <c r="AF1169" s="110"/>
      <c r="AG1169" s="105"/>
      <c r="AH1169" s="69"/>
      <c r="AI1169" s="108"/>
      <c r="AJ1169" s="111"/>
      <c r="AK1169" s="104"/>
      <c r="AL1169" s="111"/>
      <c r="AM1169" s="69"/>
      <c r="AN1169" s="13"/>
      <c r="AO1169" s="13"/>
      <c r="AP1169" s="13"/>
      <c r="AQ1169" s="6"/>
      <c r="AR1169" s="13"/>
      <c r="AS1169" s="13"/>
      <c r="AT1169" s="13"/>
      <c r="AU1169" s="13"/>
      <c r="AV1169" s="13"/>
      <c r="AW1169" s="6"/>
      <c r="AX1169" s="13"/>
      <c r="AY1169" s="13"/>
      <c r="AZ1169" s="6"/>
      <c r="BA1169" s="6"/>
      <c r="BB1169" s="6"/>
      <c r="BC1169" s="6"/>
      <c r="BD1169" s="6"/>
      <c r="BE1169" s="6"/>
      <c r="BF1169" s="6"/>
      <c r="BG1169" s="6"/>
    </row>
    <row r="1170">
      <c r="A1170" s="35"/>
      <c r="B1170" s="35"/>
      <c r="C1170" s="7"/>
      <c r="D1170" s="41"/>
      <c r="E1170" s="6"/>
      <c r="F1170" s="41"/>
      <c r="G1170" s="35"/>
      <c r="H1170" s="111"/>
      <c r="J1170" s="35"/>
      <c r="K1170" s="99"/>
      <c r="L1170" s="90"/>
      <c r="M1170" s="107"/>
      <c r="N1170" s="380"/>
      <c r="O1170" s="378"/>
      <c r="P1170" s="6"/>
      <c r="Q1170" s="6"/>
      <c r="R1170" s="6"/>
      <c r="S1170" s="111"/>
      <c r="T1170" s="35"/>
      <c r="U1170" s="35"/>
      <c r="V1170" s="6"/>
      <c r="W1170" s="6"/>
      <c r="X1170" s="181"/>
      <c r="Y1170" s="102"/>
      <c r="Z1170" s="102"/>
      <c r="AA1170" s="102"/>
      <c r="AB1170" s="102"/>
      <c r="AC1170" s="102"/>
      <c r="AD1170" s="342"/>
      <c r="AE1170" s="102"/>
      <c r="AF1170" s="110"/>
      <c r="AG1170" s="105"/>
      <c r="AH1170" s="69"/>
      <c r="AI1170" s="108"/>
      <c r="AJ1170" s="111"/>
      <c r="AK1170" s="104"/>
      <c r="AL1170" s="111"/>
      <c r="AM1170" s="69"/>
      <c r="AN1170" s="13"/>
      <c r="AO1170" s="13"/>
      <c r="AP1170" s="13"/>
      <c r="AQ1170" s="6"/>
      <c r="AR1170" s="6"/>
      <c r="AS1170" s="6"/>
      <c r="AT1170" s="6"/>
      <c r="AU1170" s="6"/>
      <c r="AV1170" s="6"/>
      <c r="AW1170" s="6"/>
      <c r="AX1170" s="13"/>
      <c r="AY1170" s="13"/>
      <c r="AZ1170" s="6"/>
      <c r="BA1170" s="6"/>
      <c r="BB1170" s="6"/>
      <c r="BC1170" s="6"/>
      <c r="BD1170" s="6"/>
      <c r="BE1170" s="6"/>
      <c r="BF1170" s="6"/>
      <c r="BG1170" s="6"/>
    </row>
    <row r="1171">
      <c r="A1171" s="35"/>
      <c r="B1171" s="35"/>
      <c r="C1171" s="7"/>
      <c r="D1171" s="41"/>
      <c r="E1171" s="6"/>
      <c r="F1171" s="41"/>
      <c r="G1171" s="35"/>
      <c r="H1171" s="111"/>
      <c r="J1171" s="35"/>
      <c r="K1171" s="99"/>
      <c r="L1171" s="90"/>
      <c r="M1171" s="107"/>
      <c r="N1171" s="380"/>
      <c r="O1171" s="378"/>
      <c r="P1171" s="13"/>
      <c r="Q1171" s="13"/>
      <c r="R1171" s="13"/>
      <c r="S1171" s="111"/>
      <c r="T1171" s="35"/>
      <c r="U1171" s="35"/>
      <c r="V1171" s="6"/>
      <c r="W1171" s="6"/>
      <c r="X1171" s="181"/>
      <c r="Y1171" s="102"/>
      <c r="Z1171" s="102"/>
      <c r="AA1171" s="102"/>
      <c r="AB1171" s="102"/>
      <c r="AC1171" s="102"/>
      <c r="AD1171" s="342"/>
      <c r="AE1171" s="102"/>
      <c r="AF1171" s="110"/>
      <c r="AG1171" s="105"/>
      <c r="AH1171" s="69"/>
      <c r="AI1171" s="108"/>
      <c r="AJ1171" s="111"/>
      <c r="AK1171" s="104"/>
      <c r="AL1171" s="111"/>
      <c r="AM1171" s="69"/>
      <c r="AN1171" s="13"/>
      <c r="AO1171" s="13"/>
      <c r="AP1171" s="13"/>
      <c r="AQ1171" s="6"/>
      <c r="AR1171" s="13"/>
      <c r="AS1171" s="13"/>
      <c r="AT1171" s="13"/>
      <c r="AU1171" s="13"/>
      <c r="AV1171" s="13"/>
      <c r="AW1171" s="6"/>
      <c r="AX1171" s="13"/>
      <c r="AY1171" s="13"/>
      <c r="AZ1171" s="6"/>
      <c r="BA1171" s="6"/>
      <c r="BB1171" s="6"/>
      <c r="BC1171" s="6"/>
      <c r="BD1171" s="6"/>
      <c r="BE1171" s="6"/>
      <c r="BF1171" s="6"/>
      <c r="BG1171" s="6"/>
    </row>
    <row r="1172">
      <c r="A1172" s="35"/>
      <c r="B1172" s="35"/>
      <c r="C1172" s="7"/>
      <c r="D1172" s="41"/>
      <c r="E1172" s="6"/>
      <c r="F1172" s="41"/>
      <c r="G1172" s="35"/>
      <c r="H1172" s="111"/>
      <c r="J1172" s="35"/>
      <c r="K1172" s="99"/>
      <c r="L1172" s="90"/>
      <c r="M1172" s="107"/>
      <c r="N1172" s="380"/>
      <c r="O1172" s="378"/>
      <c r="P1172" s="13"/>
      <c r="Q1172" s="13"/>
      <c r="R1172" s="13"/>
      <c r="S1172" s="6"/>
      <c r="T1172" s="35"/>
      <c r="U1172" s="35"/>
      <c r="V1172" s="6"/>
      <c r="W1172" s="6"/>
      <c r="X1172" s="181"/>
      <c r="Y1172" s="102"/>
      <c r="Z1172" s="102"/>
      <c r="AA1172" s="102"/>
      <c r="AB1172" s="102"/>
      <c r="AC1172" s="102"/>
      <c r="AD1172" s="342"/>
      <c r="AE1172" s="102"/>
      <c r="AF1172" s="110"/>
      <c r="AG1172" s="105"/>
      <c r="AH1172" s="69"/>
      <c r="AI1172" s="108"/>
      <c r="AJ1172" s="111"/>
      <c r="AK1172" s="104"/>
      <c r="AL1172" s="111"/>
      <c r="AM1172" s="35"/>
      <c r="AN1172" s="13"/>
      <c r="AO1172" s="13"/>
      <c r="AP1172" s="13"/>
      <c r="AQ1172" s="13"/>
      <c r="AR1172" s="6"/>
      <c r="AS1172" s="13"/>
      <c r="AT1172" s="6"/>
      <c r="AU1172" s="13"/>
      <c r="AV1172" s="6"/>
      <c r="AW1172" s="6"/>
      <c r="AX1172" s="13"/>
      <c r="AY1172" s="13"/>
      <c r="AZ1172" s="6"/>
      <c r="BA1172" s="6"/>
      <c r="BB1172" s="6"/>
      <c r="BC1172" s="6"/>
      <c r="BD1172" s="6"/>
      <c r="BE1172" s="6"/>
      <c r="BF1172" s="6"/>
      <c r="BG1172" s="6"/>
    </row>
    <row r="1173">
      <c r="A1173" s="35"/>
      <c r="B1173" s="35"/>
      <c r="C1173" s="7"/>
      <c r="D1173" s="41"/>
      <c r="E1173" s="6"/>
      <c r="F1173" s="41"/>
      <c r="G1173" s="35"/>
      <c r="H1173" s="111"/>
      <c r="J1173" s="35"/>
      <c r="K1173" s="99"/>
      <c r="L1173" s="90"/>
      <c r="M1173" s="107"/>
      <c r="N1173" s="380"/>
      <c r="O1173" s="378"/>
      <c r="P1173" s="6"/>
      <c r="Q1173" s="6"/>
      <c r="R1173" s="6"/>
      <c r="S1173" s="111"/>
      <c r="T1173" s="35"/>
      <c r="U1173" s="35"/>
      <c r="V1173" s="6"/>
      <c r="W1173" s="6"/>
      <c r="X1173" s="181"/>
      <c r="Y1173" s="102"/>
      <c r="Z1173" s="102"/>
      <c r="AA1173" s="102"/>
      <c r="AB1173" s="102"/>
      <c r="AC1173" s="102"/>
      <c r="AD1173" s="342"/>
      <c r="AE1173" s="102"/>
      <c r="AF1173" s="110"/>
      <c r="AG1173" s="105"/>
      <c r="AH1173" s="69"/>
      <c r="AI1173" s="108"/>
      <c r="AJ1173" s="111"/>
      <c r="AK1173" s="104"/>
      <c r="AL1173" s="111"/>
      <c r="AM1173" s="69"/>
      <c r="AN1173" s="13"/>
      <c r="AO1173" s="13"/>
      <c r="AP1173" s="13"/>
      <c r="AQ1173" s="6"/>
      <c r="AR1173" s="6"/>
      <c r="AS1173" s="6"/>
      <c r="AT1173" s="6"/>
      <c r="AU1173" s="6"/>
      <c r="AV1173" s="6"/>
      <c r="AW1173" s="6"/>
      <c r="AX1173" s="13"/>
      <c r="AY1173" s="13"/>
      <c r="AZ1173" s="6"/>
      <c r="BA1173" s="6"/>
      <c r="BB1173" s="6"/>
      <c r="BC1173" s="6"/>
      <c r="BD1173" s="6"/>
      <c r="BE1173" s="6"/>
      <c r="BF1173" s="6"/>
      <c r="BG1173" s="6"/>
    </row>
    <row r="1174">
      <c r="A1174" s="35"/>
      <c r="B1174" s="35"/>
      <c r="C1174" s="7"/>
      <c r="D1174" s="41"/>
      <c r="E1174" s="6"/>
      <c r="F1174" s="41"/>
      <c r="G1174" s="35"/>
      <c r="H1174" s="111"/>
      <c r="J1174" s="35"/>
      <c r="K1174" s="99"/>
      <c r="L1174" s="90"/>
      <c r="M1174" s="107"/>
      <c r="N1174" s="380"/>
      <c r="O1174" s="378"/>
      <c r="P1174" s="13"/>
      <c r="Q1174" s="13"/>
      <c r="R1174" s="13"/>
      <c r="S1174" s="111"/>
      <c r="T1174" s="35"/>
      <c r="U1174" s="35"/>
      <c r="V1174" s="6"/>
      <c r="W1174" s="6"/>
      <c r="X1174" s="181"/>
      <c r="Y1174" s="102"/>
      <c r="Z1174" s="102"/>
      <c r="AA1174" s="102"/>
      <c r="AB1174" s="102"/>
      <c r="AC1174" s="102"/>
      <c r="AD1174" s="342"/>
      <c r="AE1174" s="102"/>
      <c r="AF1174" s="110"/>
      <c r="AG1174" s="105"/>
      <c r="AH1174" s="69"/>
      <c r="AI1174" s="108"/>
      <c r="AJ1174" s="111"/>
      <c r="AK1174" s="104"/>
      <c r="AL1174" s="111"/>
      <c r="AM1174" s="69"/>
      <c r="AN1174" s="13"/>
      <c r="AO1174" s="13"/>
      <c r="AP1174" s="13"/>
      <c r="AQ1174" s="6"/>
      <c r="AR1174" s="13"/>
      <c r="AS1174" s="13"/>
      <c r="AT1174" s="13"/>
      <c r="AU1174" s="13"/>
      <c r="AV1174" s="13"/>
      <c r="AW1174" s="6"/>
      <c r="AX1174" s="13"/>
      <c r="AY1174" s="13"/>
      <c r="AZ1174" s="6"/>
      <c r="BA1174" s="6"/>
      <c r="BB1174" s="6"/>
      <c r="BC1174" s="6"/>
      <c r="BD1174" s="6"/>
      <c r="BE1174" s="6"/>
      <c r="BF1174" s="6"/>
      <c r="BG1174" s="6"/>
    </row>
    <row r="1175">
      <c r="A1175" s="35"/>
      <c r="B1175" s="35"/>
      <c r="C1175" s="7"/>
      <c r="D1175" s="41"/>
      <c r="E1175" s="6"/>
      <c r="F1175" s="41"/>
      <c r="G1175" s="35"/>
      <c r="H1175" s="111"/>
      <c r="J1175" s="35"/>
      <c r="K1175" s="99"/>
      <c r="L1175" s="90"/>
      <c r="M1175" s="107"/>
      <c r="N1175" s="380"/>
      <c r="O1175" s="378"/>
      <c r="P1175" s="13"/>
      <c r="Q1175" s="13"/>
      <c r="R1175" s="13"/>
      <c r="S1175" s="111"/>
      <c r="T1175" s="35"/>
      <c r="U1175" s="35"/>
      <c r="V1175" s="6"/>
      <c r="W1175" s="6"/>
      <c r="X1175" s="181"/>
      <c r="Y1175" s="102"/>
      <c r="Z1175" s="102"/>
      <c r="AA1175" s="102"/>
      <c r="AB1175" s="102"/>
      <c r="AC1175" s="102"/>
      <c r="AD1175" s="342"/>
      <c r="AE1175" s="102"/>
      <c r="AF1175" s="110"/>
      <c r="AG1175" s="105"/>
      <c r="AH1175" s="69"/>
      <c r="AI1175" s="108"/>
      <c r="AJ1175" s="111"/>
      <c r="AK1175" s="104"/>
      <c r="AL1175" s="111"/>
      <c r="AM1175" s="69"/>
      <c r="AN1175" s="13"/>
      <c r="AO1175" s="13"/>
      <c r="AP1175" s="13"/>
      <c r="AQ1175" s="6"/>
      <c r="AR1175" s="13"/>
      <c r="AS1175" s="13"/>
      <c r="AT1175" s="13"/>
      <c r="AU1175" s="13"/>
      <c r="AV1175" s="13"/>
      <c r="AW1175" s="6"/>
      <c r="AX1175" s="13"/>
      <c r="AY1175" s="13"/>
      <c r="AZ1175" s="6"/>
      <c r="BA1175" s="6"/>
      <c r="BB1175" s="6"/>
      <c r="BC1175" s="6"/>
      <c r="BD1175" s="6"/>
      <c r="BE1175" s="6"/>
      <c r="BF1175" s="6"/>
      <c r="BG1175" s="6"/>
    </row>
    <row r="1176">
      <c r="A1176" s="35"/>
      <c r="B1176" s="35"/>
      <c r="C1176" s="7"/>
      <c r="D1176" s="41"/>
      <c r="E1176" s="6"/>
      <c r="F1176" s="41"/>
      <c r="G1176" s="35"/>
      <c r="H1176" s="111"/>
      <c r="J1176" s="35"/>
      <c r="K1176" s="99"/>
      <c r="L1176" s="90"/>
      <c r="M1176" s="107"/>
      <c r="N1176" s="380"/>
      <c r="O1176" s="378"/>
      <c r="P1176" s="13"/>
      <c r="Q1176" s="13"/>
      <c r="R1176" s="13"/>
      <c r="S1176" s="111"/>
      <c r="T1176" s="35"/>
      <c r="U1176" s="35"/>
      <c r="V1176" s="6"/>
      <c r="W1176" s="6"/>
      <c r="X1176" s="181"/>
      <c r="Y1176" s="102"/>
      <c r="Z1176" s="102"/>
      <c r="AA1176" s="102"/>
      <c r="AB1176" s="102"/>
      <c r="AC1176" s="102"/>
      <c r="AD1176" s="342"/>
      <c r="AE1176" s="102"/>
      <c r="AF1176" s="110"/>
      <c r="AG1176" s="105"/>
      <c r="AH1176" s="69"/>
      <c r="AI1176" s="108"/>
      <c r="AJ1176" s="111"/>
      <c r="AK1176" s="104"/>
      <c r="AL1176" s="111"/>
      <c r="AM1176" s="69"/>
      <c r="AN1176" s="13"/>
      <c r="AO1176" s="13"/>
      <c r="AP1176" s="13"/>
      <c r="AQ1176" s="6"/>
      <c r="AR1176" s="13"/>
      <c r="AS1176" s="13"/>
      <c r="AT1176" s="13"/>
      <c r="AU1176" s="13"/>
      <c r="AV1176" s="13"/>
      <c r="AW1176" s="6"/>
      <c r="AX1176" s="13"/>
      <c r="AY1176" s="13"/>
      <c r="AZ1176" s="6"/>
      <c r="BA1176" s="6"/>
      <c r="BB1176" s="6"/>
      <c r="BC1176" s="6"/>
      <c r="BD1176" s="6"/>
      <c r="BE1176" s="6"/>
      <c r="BF1176" s="6"/>
      <c r="BG1176" s="6"/>
    </row>
    <row r="1177">
      <c r="A1177" s="35"/>
      <c r="B1177" s="35"/>
      <c r="C1177" s="7"/>
      <c r="D1177" s="41"/>
      <c r="E1177" s="6"/>
      <c r="F1177" s="41"/>
      <c r="G1177" s="35"/>
      <c r="H1177" s="111"/>
      <c r="J1177" s="35"/>
      <c r="K1177" s="99"/>
      <c r="L1177" s="90"/>
      <c r="M1177" s="107"/>
      <c r="N1177" s="380"/>
      <c r="O1177" s="378"/>
      <c r="P1177" s="13"/>
      <c r="Q1177" s="13"/>
      <c r="R1177" s="13"/>
      <c r="S1177" s="111"/>
      <c r="T1177" s="35"/>
      <c r="U1177" s="35"/>
      <c r="V1177" s="6"/>
      <c r="W1177" s="6"/>
      <c r="X1177" s="181"/>
      <c r="Y1177" s="102"/>
      <c r="Z1177" s="102"/>
      <c r="AA1177" s="102"/>
      <c r="AB1177" s="102"/>
      <c r="AC1177" s="102"/>
      <c r="AD1177" s="342"/>
      <c r="AE1177" s="102"/>
      <c r="AF1177" s="110"/>
      <c r="AG1177" s="105"/>
      <c r="AH1177" s="69"/>
      <c r="AI1177" s="108"/>
      <c r="AJ1177" s="111"/>
      <c r="AK1177" s="104"/>
      <c r="AL1177" s="111"/>
      <c r="AM1177" s="69"/>
      <c r="AN1177" s="13"/>
      <c r="AO1177" s="13"/>
      <c r="AP1177" s="13"/>
      <c r="AQ1177" s="6"/>
      <c r="AR1177" s="13"/>
      <c r="AS1177" s="13"/>
      <c r="AT1177" s="13"/>
      <c r="AU1177" s="13"/>
      <c r="AV1177" s="13"/>
      <c r="AW1177" s="6"/>
      <c r="AX1177" s="13"/>
      <c r="AY1177" s="13"/>
      <c r="AZ1177" s="6"/>
      <c r="BA1177" s="6"/>
      <c r="BB1177" s="6"/>
      <c r="BC1177" s="6"/>
      <c r="BD1177" s="6"/>
      <c r="BE1177" s="6"/>
      <c r="BF1177" s="6"/>
      <c r="BG1177" s="6"/>
    </row>
    <row r="1178">
      <c r="A1178" s="35"/>
      <c r="B1178" s="35"/>
      <c r="C1178" s="7"/>
      <c r="D1178" s="41"/>
      <c r="E1178" s="6"/>
      <c r="F1178" s="41"/>
      <c r="G1178" s="35"/>
      <c r="H1178" s="111"/>
      <c r="J1178" s="35"/>
      <c r="K1178" s="99"/>
      <c r="L1178" s="90"/>
      <c r="M1178" s="107"/>
      <c r="N1178" s="380"/>
      <c r="O1178" s="378"/>
      <c r="P1178" s="13"/>
      <c r="Q1178" s="13"/>
      <c r="R1178" s="13"/>
      <c r="S1178" s="111"/>
      <c r="T1178" s="35"/>
      <c r="U1178" s="35"/>
      <c r="V1178" s="6"/>
      <c r="W1178" s="6"/>
      <c r="X1178" s="181"/>
      <c r="Y1178" s="102"/>
      <c r="Z1178" s="102"/>
      <c r="AA1178" s="102"/>
      <c r="AB1178" s="102"/>
      <c r="AC1178" s="102"/>
      <c r="AD1178" s="342"/>
      <c r="AE1178" s="102"/>
      <c r="AF1178" s="110"/>
      <c r="AG1178" s="105"/>
      <c r="AH1178" s="69"/>
      <c r="AI1178" s="108"/>
      <c r="AJ1178" s="111"/>
      <c r="AK1178" s="104"/>
      <c r="AL1178" s="111"/>
      <c r="AM1178" s="69"/>
      <c r="AN1178" s="13"/>
      <c r="AO1178" s="13"/>
      <c r="AP1178" s="13"/>
      <c r="AQ1178" s="6"/>
      <c r="AR1178" s="13"/>
      <c r="AS1178" s="13"/>
      <c r="AT1178" s="13"/>
      <c r="AU1178" s="13"/>
      <c r="AV1178" s="13"/>
      <c r="AW1178" s="6"/>
      <c r="AX1178" s="13"/>
      <c r="AY1178" s="13"/>
      <c r="AZ1178" s="6"/>
      <c r="BA1178" s="6"/>
      <c r="BB1178" s="6"/>
      <c r="BC1178" s="6"/>
      <c r="BD1178" s="6"/>
      <c r="BE1178" s="6"/>
      <c r="BF1178" s="6"/>
      <c r="BG1178" s="6"/>
    </row>
    <row r="1179">
      <c r="A1179" s="35"/>
      <c r="B1179" s="35"/>
      <c r="C1179" s="7"/>
      <c r="D1179" s="41"/>
      <c r="E1179" s="6"/>
      <c r="F1179" s="41"/>
      <c r="G1179" s="35"/>
      <c r="H1179" s="111"/>
      <c r="J1179" s="35"/>
      <c r="K1179" s="99"/>
      <c r="L1179" s="90"/>
      <c r="M1179" s="107"/>
      <c r="N1179" s="380"/>
      <c r="O1179" s="378"/>
      <c r="P1179" s="13"/>
      <c r="Q1179" s="13"/>
      <c r="R1179" s="13"/>
      <c r="S1179" s="111"/>
      <c r="T1179" s="35"/>
      <c r="U1179" s="50"/>
      <c r="V1179" s="6"/>
      <c r="W1179" s="6"/>
      <c r="X1179" s="181"/>
      <c r="Y1179" s="102"/>
      <c r="Z1179" s="102"/>
      <c r="AA1179" s="102"/>
      <c r="AB1179" s="102"/>
      <c r="AC1179" s="102"/>
      <c r="AD1179" s="342"/>
      <c r="AE1179" s="102"/>
      <c r="AF1179" s="110"/>
      <c r="AG1179" s="105"/>
      <c r="AH1179" s="69"/>
      <c r="AI1179" s="108"/>
      <c r="AJ1179" s="111"/>
      <c r="AK1179" s="104"/>
      <c r="AL1179" s="111"/>
      <c r="AM1179" s="69"/>
      <c r="AN1179" s="13"/>
      <c r="AO1179" s="13"/>
      <c r="AP1179" s="13"/>
      <c r="AQ1179" s="6"/>
      <c r="AR1179" s="13"/>
      <c r="AS1179" s="13"/>
      <c r="AT1179" s="13"/>
      <c r="AU1179" s="13"/>
      <c r="AV1179" s="13"/>
      <c r="AW1179" s="6"/>
      <c r="AX1179" s="13"/>
      <c r="AY1179" s="13"/>
      <c r="AZ1179" s="6"/>
      <c r="BA1179" s="6"/>
      <c r="BB1179" s="6"/>
      <c r="BC1179" s="6"/>
      <c r="BD1179" s="6"/>
      <c r="BE1179" s="6"/>
      <c r="BF1179" s="6"/>
      <c r="BG1179" s="6"/>
    </row>
    <row r="1180">
      <c r="A1180" s="35"/>
      <c r="B1180" s="35"/>
      <c r="C1180" s="7"/>
      <c r="D1180" s="41"/>
      <c r="E1180" s="6"/>
      <c r="F1180" s="41"/>
      <c r="G1180" s="35"/>
      <c r="H1180" s="111"/>
      <c r="J1180" s="35"/>
      <c r="K1180" s="99"/>
      <c r="L1180" s="90"/>
      <c r="M1180" s="107"/>
      <c r="N1180" s="380"/>
      <c r="O1180" s="378"/>
      <c r="P1180" s="13"/>
      <c r="Q1180" s="13"/>
      <c r="R1180" s="13"/>
      <c r="S1180" s="111"/>
      <c r="T1180" s="35"/>
      <c r="U1180" s="35"/>
      <c r="V1180" s="6"/>
      <c r="W1180" s="6"/>
      <c r="X1180" s="181"/>
      <c r="Y1180" s="102"/>
      <c r="Z1180" s="102"/>
      <c r="AA1180" s="102"/>
      <c r="AB1180" s="102"/>
      <c r="AC1180" s="102"/>
      <c r="AD1180" s="342"/>
      <c r="AE1180" s="102"/>
      <c r="AF1180" s="110"/>
      <c r="AG1180" s="105"/>
      <c r="AH1180" s="69"/>
      <c r="AI1180" s="108"/>
      <c r="AJ1180" s="111"/>
      <c r="AK1180" s="104"/>
      <c r="AL1180" s="111"/>
      <c r="AM1180" s="69"/>
      <c r="AN1180" s="13"/>
      <c r="AO1180" s="13"/>
      <c r="AP1180" s="13"/>
      <c r="AQ1180" s="6"/>
      <c r="AR1180" s="13"/>
      <c r="AS1180" s="13"/>
      <c r="AT1180" s="13"/>
      <c r="AU1180" s="13"/>
      <c r="AV1180" s="13"/>
      <c r="AW1180" s="6"/>
      <c r="AX1180" s="13"/>
      <c r="AY1180" s="13"/>
      <c r="AZ1180" s="6"/>
      <c r="BA1180" s="6"/>
      <c r="BB1180" s="6"/>
      <c r="BC1180" s="6"/>
      <c r="BD1180" s="6"/>
      <c r="BE1180" s="6"/>
      <c r="BF1180" s="6"/>
      <c r="BG1180" s="6"/>
    </row>
    <row r="1181">
      <c r="A1181" s="35"/>
      <c r="B1181" s="35"/>
      <c r="C1181" s="7"/>
      <c r="D1181" s="41"/>
      <c r="E1181" s="6"/>
      <c r="F1181" s="41"/>
      <c r="G1181" s="35"/>
      <c r="H1181" s="111"/>
      <c r="J1181" s="35"/>
      <c r="K1181" s="99"/>
      <c r="L1181" s="90"/>
      <c r="M1181" s="107"/>
      <c r="N1181" s="380"/>
      <c r="O1181" s="378"/>
      <c r="P1181" s="13"/>
      <c r="Q1181" s="13"/>
      <c r="R1181" s="13"/>
      <c r="S1181" s="111"/>
      <c r="T1181" s="35"/>
      <c r="U1181" s="35"/>
      <c r="V1181" s="6"/>
      <c r="W1181" s="6"/>
      <c r="X1181" s="181"/>
      <c r="Y1181" s="102"/>
      <c r="Z1181" s="102"/>
      <c r="AA1181" s="102"/>
      <c r="AB1181" s="102"/>
      <c r="AC1181" s="102"/>
      <c r="AD1181" s="342"/>
      <c r="AE1181" s="102"/>
      <c r="AF1181" s="110"/>
      <c r="AG1181" s="105"/>
      <c r="AH1181" s="69"/>
      <c r="AI1181" s="108"/>
      <c r="AJ1181" s="111"/>
      <c r="AK1181" s="104"/>
      <c r="AL1181" s="111"/>
      <c r="AM1181" s="69"/>
      <c r="AN1181" s="13"/>
      <c r="AO1181" s="13"/>
      <c r="AP1181" s="13"/>
      <c r="AQ1181" s="6"/>
      <c r="AR1181" s="13"/>
      <c r="AS1181" s="13"/>
      <c r="AT1181" s="13"/>
      <c r="AU1181" s="13"/>
      <c r="AV1181" s="13"/>
      <c r="AW1181" s="6"/>
      <c r="AX1181" s="13"/>
      <c r="AY1181" s="13"/>
      <c r="AZ1181" s="6"/>
      <c r="BA1181" s="6"/>
      <c r="BB1181" s="6"/>
      <c r="BC1181" s="6"/>
      <c r="BD1181" s="6"/>
      <c r="BE1181" s="6"/>
      <c r="BF1181" s="6"/>
      <c r="BG1181" s="6"/>
    </row>
    <row r="1182">
      <c r="A1182" s="35"/>
      <c r="B1182" s="35"/>
      <c r="C1182" s="7"/>
      <c r="D1182" s="41"/>
      <c r="E1182" s="6"/>
      <c r="F1182" s="41"/>
      <c r="G1182" s="35"/>
      <c r="H1182" s="111"/>
      <c r="J1182" s="35"/>
      <c r="K1182" s="99"/>
      <c r="L1182" s="90"/>
      <c r="M1182" s="107"/>
      <c r="N1182" s="380"/>
      <c r="O1182" s="378"/>
      <c r="P1182" s="13"/>
      <c r="Q1182" s="13"/>
      <c r="R1182" s="13"/>
      <c r="S1182" s="111"/>
      <c r="T1182" s="35"/>
      <c r="U1182" s="35"/>
      <c r="V1182" s="6"/>
      <c r="W1182" s="6"/>
      <c r="X1182" s="181"/>
      <c r="Y1182" s="102"/>
      <c r="Z1182" s="102"/>
      <c r="AA1182" s="102"/>
      <c r="AB1182" s="102"/>
      <c r="AC1182" s="102"/>
      <c r="AD1182" s="342"/>
      <c r="AE1182" s="102"/>
      <c r="AF1182" s="110"/>
      <c r="AG1182" s="105"/>
      <c r="AH1182" s="69"/>
      <c r="AI1182" s="108"/>
      <c r="AJ1182" s="111"/>
      <c r="AK1182" s="104"/>
      <c r="AL1182" s="111"/>
      <c r="AM1182" s="69"/>
      <c r="AN1182" s="13"/>
      <c r="AO1182" s="13"/>
      <c r="AP1182" s="13"/>
      <c r="AQ1182" s="6"/>
      <c r="AR1182" s="13"/>
      <c r="AS1182" s="13"/>
      <c r="AT1182" s="13"/>
      <c r="AU1182" s="13"/>
      <c r="AV1182" s="13"/>
      <c r="AW1182" s="6"/>
      <c r="AX1182" s="13"/>
      <c r="AY1182" s="13"/>
      <c r="AZ1182" s="6"/>
      <c r="BA1182" s="6"/>
      <c r="BB1182" s="6"/>
      <c r="BC1182" s="6"/>
      <c r="BD1182" s="6"/>
      <c r="BE1182" s="6"/>
      <c r="BF1182" s="6"/>
      <c r="BG1182" s="6"/>
    </row>
    <row r="1183">
      <c r="A1183" s="35"/>
      <c r="B1183" s="35"/>
      <c r="C1183" s="7"/>
      <c r="D1183" s="41"/>
      <c r="E1183" s="6"/>
      <c r="F1183" s="41"/>
      <c r="G1183" s="35"/>
      <c r="H1183" s="111"/>
      <c r="J1183" s="35"/>
      <c r="K1183" s="99"/>
      <c r="L1183" s="90"/>
      <c r="M1183" s="107"/>
      <c r="N1183" s="380"/>
      <c r="O1183" s="378"/>
      <c r="P1183" s="6"/>
      <c r="Q1183" s="6"/>
      <c r="R1183" s="6"/>
      <c r="S1183" s="111"/>
      <c r="T1183" s="35"/>
      <c r="U1183" s="50"/>
      <c r="V1183" s="6"/>
      <c r="W1183" s="6"/>
      <c r="X1183" s="181"/>
      <c r="Y1183" s="102"/>
      <c r="Z1183" s="102"/>
      <c r="AA1183" s="102"/>
      <c r="AB1183" s="102"/>
      <c r="AC1183" s="102"/>
      <c r="AD1183" s="342"/>
      <c r="AE1183" s="102"/>
      <c r="AF1183" s="110"/>
      <c r="AG1183" s="105"/>
      <c r="AH1183" s="69"/>
      <c r="AI1183" s="108"/>
      <c r="AJ1183" s="111"/>
      <c r="AK1183" s="104"/>
      <c r="AL1183" s="111"/>
      <c r="AM1183" s="69"/>
      <c r="AN1183" s="13"/>
      <c r="AO1183" s="13"/>
      <c r="AP1183" s="13"/>
      <c r="AQ1183" s="6"/>
      <c r="AR1183" s="6"/>
      <c r="AS1183" s="6"/>
      <c r="AT1183" s="6"/>
      <c r="AU1183" s="6"/>
      <c r="AV1183" s="6"/>
      <c r="AW1183" s="6"/>
      <c r="AX1183" s="13"/>
      <c r="AY1183" s="13"/>
      <c r="AZ1183" s="6"/>
      <c r="BA1183" s="6"/>
      <c r="BB1183" s="6"/>
      <c r="BC1183" s="6"/>
      <c r="BD1183" s="6"/>
      <c r="BE1183" s="6"/>
      <c r="BF1183" s="6"/>
      <c r="BG1183" s="6"/>
    </row>
    <row r="1184">
      <c r="A1184" s="69"/>
      <c r="B1184" s="69"/>
      <c r="C1184" s="7"/>
      <c r="D1184" s="41"/>
      <c r="E1184" s="6"/>
      <c r="F1184" s="41"/>
      <c r="G1184" s="69"/>
      <c r="H1184" s="98"/>
      <c r="J1184" s="69"/>
      <c r="K1184" s="99"/>
      <c r="L1184" s="389"/>
      <c r="M1184" s="182"/>
      <c r="N1184" s="375"/>
      <c r="O1184" s="378"/>
      <c r="P1184" s="13"/>
      <c r="Q1184" s="13"/>
      <c r="R1184" s="13"/>
      <c r="S1184" s="98"/>
      <c r="T1184" s="69"/>
      <c r="U1184" s="69"/>
      <c r="V1184" s="6"/>
      <c r="W1184" s="6"/>
      <c r="X1184" s="181"/>
      <c r="Y1184" s="150"/>
      <c r="Z1184" s="150"/>
      <c r="AA1184" s="150"/>
      <c r="AB1184" s="150"/>
      <c r="AC1184" s="150"/>
      <c r="AD1184" s="381"/>
      <c r="AE1184" s="150"/>
      <c r="AF1184" s="110"/>
      <c r="AG1184" s="105"/>
      <c r="AH1184" s="69"/>
      <c r="AI1184" s="105"/>
      <c r="AJ1184" s="98"/>
      <c r="AK1184" s="110"/>
      <c r="AL1184" s="98"/>
      <c r="AM1184" s="69"/>
      <c r="AN1184" s="13"/>
      <c r="AO1184" s="13"/>
      <c r="AP1184" s="13"/>
      <c r="AQ1184" s="6"/>
      <c r="AR1184" s="13"/>
      <c r="AS1184" s="13"/>
      <c r="AT1184" s="13"/>
      <c r="AU1184" s="13"/>
      <c r="AV1184" s="13"/>
      <c r="AW1184" s="13"/>
      <c r="AX1184" s="13"/>
      <c r="AY1184" s="13"/>
      <c r="AZ1184" s="6"/>
      <c r="BA1184" s="6"/>
      <c r="BB1184" s="6"/>
      <c r="BC1184" s="6"/>
      <c r="BD1184" s="6"/>
      <c r="BE1184" s="6"/>
      <c r="BF1184" s="6"/>
      <c r="BG1184" s="6"/>
    </row>
    <row r="1185">
      <c r="A1185" s="69"/>
      <c r="B1185" s="69"/>
      <c r="C1185" s="7"/>
      <c r="D1185" s="99"/>
      <c r="E1185" s="13"/>
      <c r="F1185" s="99"/>
      <c r="G1185" s="69"/>
      <c r="H1185" s="98"/>
      <c r="J1185" s="69"/>
      <c r="K1185" s="99"/>
      <c r="L1185" s="389"/>
      <c r="M1185" s="182"/>
      <c r="N1185" s="375"/>
      <c r="O1185" s="378"/>
      <c r="P1185" s="13"/>
      <c r="Q1185" s="13"/>
      <c r="R1185" s="13"/>
      <c r="S1185" s="98"/>
      <c r="T1185" s="69"/>
      <c r="U1185" s="69"/>
      <c r="V1185" s="13"/>
      <c r="W1185" s="13"/>
      <c r="X1185" s="379"/>
      <c r="Y1185" s="150"/>
      <c r="Z1185" s="150"/>
      <c r="AA1185" s="150"/>
      <c r="AB1185" s="150"/>
      <c r="AC1185" s="150"/>
      <c r="AD1185" s="381"/>
      <c r="AE1185" s="150"/>
      <c r="AF1185" s="110"/>
      <c r="AG1185" s="105"/>
      <c r="AH1185" s="69"/>
      <c r="AI1185" s="105"/>
      <c r="AJ1185" s="98"/>
      <c r="AK1185" s="110"/>
      <c r="AL1185" s="98"/>
      <c r="AM1185" s="69"/>
      <c r="AN1185" s="13"/>
      <c r="AO1185" s="13"/>
      <c r="AP1185" s="13"/>
      <c r="AQ1185" s="13"/>
      <c r="AR1185" s="13"/>
      <c r="AS1185" s="13"/>
      <c r="AT1185" s="13"/>
      <c r="AU1185" s="13"/>
      <c r="AV1185" s="13"/>
      <c r="AW1185" s="13"/>
      <c r="AX1185" s="13"/>
      <c r="AY1185" s="13"/>
      <c r="AZ1185" s="13"/>
      <c r="BA1185" s="13"/>
      <c r="BB1185" s="13"/>
      <c r="BC1185" s="13"/>
      <c r="BD1185" s="13"/>
      <c r="BE1185" s="13"/>
      <c r="BF1185" s="13"/>
      <c r="BG1185" s="13"/>
    </row>
    <row r="1186">
      <c r="A1186" s="69"/>
      <c r="B1186" s="69"/>
      <c r="C1186" s="7"/>
      <c r="D1186" s="99"/>
      <c r="E1186" s="13"/>
      <c r="F1186" s="99"/>
      <c r="G1186" s="69"/>
      <c r="H1186" s="98"/>
      <c r="J1186" s="69"/>
      <c r="K1186" s="99"/>
      <c r="L1186" s="389"/>
      <c r="M1186" s="182"/>
      <c r="N1186" s="375"/>
      <c r="O1186" s="378"/>
      <c r="P1186" s="13"/>
      <c r="Q1186" s="13"/>
      <c r="R1186" s="13"/>
      <c r="S1186" s="98"/>
      <c r="T1186" s="69"/>
      <c r="U1186" s="69"/>
      <c r="V1186" s="13"/>
      <c r="W1186" s="13"/>
      <c r="X1186" s="379"/>
      <c r="Y1186" s="150"/>
      <c r="Z1186" s="150"/>
      <c r="AA1186" s="150"/>
      <c r="AB1186" s="150"/>
      <c r="AC1186" s="150"/>
      <c r="AD1186" s="381"/>
      <c r="AE1186" s="150"/>
      <c r="AF1186" s="110"/>
      <c r="AG1186" s="105"/>
      <c r="AH1186" s="69"/>
      <c r="AI1186" s="105"/>
      <c r="AJ1186" s="98"/>
      <c r="AK1186" s="110"/>
      <c r="AL1186" s="98"/>
      <c r="AM1186" s="69"/>
      <c r="AN1186" s="13"/>
      <c r="AO1186" s="13"/>
      <c r="AP1186" s="13"/>
      <c r="AQ1186" s="13"/>
      <c r="AR1186" s="13"/>
      <c r="AS1186" s="13"/>
      <c r="AT1186" s="13"/>
      <c r="AU1186" s="13"/>
      <c r="AV1186" s="13"/>
      <c r="AW1186" s="13"/>
      <c r="AX1186" s="13"/>
      <c r="AY1186" s="13"/>
      <c r="AZ1186" s="13"/>
      <c r="BA1186" s="13"/>
      <c r="BB1186" s="13"/>
      <c r="BC1186" s="13"/>
      <c r="BD1186" s="13"/>
      <c r="BE1186" s="13"/>
      <c r="BF1186" s="13"/>
      <c r="BG1186" s="13"/>
    </row>
    <row r="1187">
      <c r="A1187" s="69"/>
      <c r="B1187" s="69"/>
      <c r="C1187" s="7"/>
      <c r="D1187" s="99"/>
      <c r="E1187" s="13"/>
      <c r="F1187" s="99"/>
      <c r="G1187" s="69"/>
      <c r="H1187" s="98"/>
      <c r="J1187" s="69"/>
      <c r="K1187" s="99"/>
      <c r="L1187" s="389"/>
      <c r="M1187" s="182"/>
      <c r="N1187" s="375"/>
      <c r="O1187" s="378"/>
      <c r="P1187" s="13"/>
      <c r="Q1187" s="13"/>
      <c r="R1187" s="13"/>
      <c r="S1187" s="98"/>
      <c r="T1187" s="69"/>
      <c r="U1187" s="69"/>
      <c r="V1187" s="13"/>
      <c r="W1187" s="13"/>
      <c r="X1187" s="379"/>
      <c r="Y1187" s="150"/>
      <c r="Z1187" s="150"/>
      <c r="AA1187" s="150"/>
      <c r="AB1187" s="150"/>
      <c r="AC1187" s="150"/>
      <c r="AD1187" s="381"/>
      <c r="AE1187" s="150"/>
      <c r="AF1187" s="110"/>
      <c r="AG1187" s="105"/>
      <c r="AH1187" s="69"/>
      <c r="AI1187" s="105"/>
      <c r="AJ1187" s="98"/>
      <c r="AK1187" s="110"/>
      <c r="AL1187" s="98"/>
      <c r="AM1187" s="69"/>
      <c r="AN1187" s="13"/>
      <c r="AO1187" s="13"/>
      <c r="AP1187" s="13"/>
      <c r="AQ1187" s="13"/>
      <c r="AR1187" s="13"/>
      <c r="AS1187" s="13"/>
      <c r="AT1187" s="13"/>
      <c r="AU1187" s="13"/>
      <c r="AV1187" s="13"/>
      <c r="AW1187" s="13"/>
      <c r="AX1187" s="13"/>
      <c r="AY1187" s="13"/>
      <c r="AZ1187" s="13"/>
      <c r="BA1187" s="13"/>
      <c r="BB1187" s="13"/>
      <c r="BC1187" s="13"/>
      <c r="BD1187" s="13"/>
      <c r="BE1187" s="13"/>
      <c r="BF1187" s="13"/>
      <c r="BG1187" s="13"/>
    </row>
    <row r="1188">
      <c r="A1188" s="69"/>
      <c r="B1188" s="69"/>
      <c r="C1188" s="7"/>
      <c r="D1188" s="99"/>
      <c r="E1188" s="13"/>
      <c r="F1188" s="99"/>
      <c r="G1188" s="69"/>
      <c r="H1188" s="98"/>
      <c r="J1188" s="69"/>
      <c r="K1188" s="99"/>
      <c r="L1188" s="389"/>
      <c r="M1188" s="182"/>
      <c r="N1188" s="375"/>
      <c r="O1188" s="378"/>
      <c r="P1188" s="13"/>
      <c r="Q1188" s="13"/>
      <c r="R1188" s="13"/>
      <c r="S1188" s="98"/>
      <c r="T1188" s="69"/>
      <c r="U1188" s="69"/>
      <c r="V1188" s="13"/>
      <c r="W1188" s="13"/>
      <c r="X1188" s="379"/>
      <c r="Y1188" s="150"/>
      <c r="Z1188" s="150"/>
      <c r="AA1188" s="150"/>
      <c r="AB1188" s="150"/>
      <c r="AC1188" s="150"/>
      <c r="AD1188" s="381"/>
      <c r="AE1188" s="150"/>
      <c r="AF1188" s="110"/>
      <c r="AG1188" s="105"/>
      <c r="AH1188" s="69"/>
      <c r="AI1188" s="105"/>
      <c r="AJ1188" s="98"/>
      <c r="AK1188" s="110"/>
      <c r="AL1188" s="98"/>
      <c r="AM1188" s="69"/>
      <c r="AN1188" s="13"/>
      <c r="AO1188" s="13"/>
      <c r="AP1188" s="13"/>
      <c r="AQ1188" s="13"/>
      <c r="AR1188" s="13"/>
      <c r="AS1188" s="13"/>
      <c r="AT1188" s="13"/>
      <c r="AU1188" s="13"/>
      <c r="AV1188" s="13"/>
      <c r="AW1188" s="13"/>
      <c r="AX1188" s="13"/>
      <c r="AY1188" s="13"/>
      <c r="AZ1188" s="13"/>
      <c r="BA1188" s="13"/>
      <c r="BB1188" s="13"/>
      <c r="BC1188" s="13"/>
      <c r="BD1188" s="13"/>
      <c r="BE1188" s="13"/>
      <c r="BF1188" s="13"/>
      <c r="BG1188" s="13"/>
    </row>
    <row r="1189">
      <c r="A1189" s="69"/>
      <c r="B1189" s="69"/>
      <c r="C1189" s="7"/>
      <c r="D1189" s="99"/>
      <c r="E1189" s="13"/>
      <c r="F1189" s="99"/>
      <c r="G1189" s="69"/>
      <c r="H1189" s="98"/>
      <c r="J1189" s="69"/>
      <c r="K1189" s="99"/>
      <c r="L1189" s="389"/>
      <c r="M1189" s="182"/>
      <c r="N1189" s="375"/>
      <c r="O1189" s="378"/>
      <c r="P1189" s="13"/>
      <c r="Q1189" s="13"/>
      <c r="R1189" s="13"/>
      <c r="S1189" s="98"/>
      <c r="T1189" s="69"/>
      <c r="U1189" s="69"/>
      <c r="V1189" s="13"/>
      <c r="W1189" s="13"/>
      <c r="X1189" s="379"/>
      <c r="Y1189" s="150"/>
      <c r="Z1189" s="150"/>
      <c r="AA1189" s="150"/>
      <c r="AB1189" s="150"/>
      <c r="AC1189" s="150"/>
      <c r="AD1189" s="381"/>
      <c r="AE1189" s="150"/>
      <c r="AF1189" s="110"/>
      <c r="AG1189" s="105"/>
      <c r="AH1189" s="69"/>
      <c r="AI1189" s="105"/>
      <c r="AJ1189" s="98"/>
      <c r="AK1189" s="110"/>
      <c r="AL1189" s="98"/>
      <c r="AM1189" s="69"/>
      <c r="AN1189" s="13"/>
      <c r="AO1189" s="13"/>
      <c r="AP1189" s="13"/>
      <c r="AQ1189" s="13"/>
      <c r="AR1189" s="13"/>
      <c r="AS1189" s="13"/>
      <c r="AT1189" s="13"/>
      <c r="AU1189" s="13"/>
      <c r="AV1189" s="13"/>
      <c r="AW1189" s="13"/>
      <c r="AX1189" s="13"/>
      <c r="AY1189" s="13"/>
      <c r="AZ1189" s="13"/>
      <c r="BA1189" s="13"/>
      <c r="BB1189" s="13"/>
      <c r="BC1189" s="13"/>
      <c r="BD1189" s="13"/>
      <c r="BE1189" s="13"/>
      <c r="BF1189" s="13"/>
      <c r="BG1189" s="13"/>
    </row>
    <row r="1190">
      <c r="A1190" s="69"/>
      <c r="B1190" s="69"/>
      <c r="C1190" s="7"/>
      <c r="D1190" s="99"/>
      <c r="E1190" s="13"/>
      <c r="F1190" s="99"/>
      <c r="G1190" s="69"/>
      <c r="H1190" s="98"/>
      <c r="J1190" s="69"/>
      <c r="K1190" s="99"/>
      <c r="L1190" s="389"/>
      <c r="M1190" s="182"/>
      <c r="N1190" s="375"/>
      <c r="O1190" s="378"/>
      <c r="P1190" s="13"/>
      <c r="Q1190" s="13"/>
      <c r="R1190" s="13"/>
      <c r="S1190" s="98"/>
      <c r="T1190" s="69"/>
      <c r="U1190" s="69"/>
      <c r="V1190" s="13"/>
      <c r="W1190" s="13"/>
      <c r="X1190" s="379"/>
      <c r="Y1190" s="150"/>
      <c r="Z1190" s="150"/>
      <c r="AA1190" s="150"/>
      <c r="AB1190" s="150"/>
      <c r="AC1190" s="150"/>
      <c r="AD1190" s="381"/>
      <c r="AE1190" s="150"/>
      <c r="AF1190" s="110"/>
      <c r="AG1190" s="105"/>
      <c r="AH1190" s="69"/>
      <c r="AI1190" s="105"/>
      <c r="AJ1190" s="98"/>
      <c r="AK1190" s="110"/>
      <c r="AL1190" s="98"/>
      <c r="AM1190" s="69"/>
      <c r="AN1190" s="13"/>
      <c r="AO1190" s="13"/>
      <c r="AP1190" s="13"/>
      <c r="AQ1190" s="13"/>
      <c r="AR1190" s="13"/>
      <c r="AS1190" s="13"/>
      <c r="AT1190" s="13"/>
      <c r="AU1190" s="13"/>
      <c r="AV1190" s="13"/>
      <c r="AW1190" s="13"/>
      <c r="AX1190" s="13"/>
      <c r="AY1190" s="13"/>
      <c r="AZ1190" s="13"/>
      <c r="BA1190" s="13"/>
      <c r="BB1190" s="13"/>
      <c r="BC1190" s="13"/>
      <c r="BD1190" s="13"/>
      <c r="BE1190" s="13"/>
      <c r="BF1190" s="13"/>
      <c r="BG1190" s="13"/>
    </row>
    <row r="1191">
      <c r="A1191" s="69"/>
      <c r="B1191" s="69"/>
      <c r="C1191" s="7"/>
      <c r="D1191" s="99"/>
      <c r="E1191" s="13"/>
      <c r="F1191" s="99"/>
      <c r="G1191" s="69"/>
      <c r="H1191" s="98"/>
      <c r="J1191" s="69"/>
      <c r="K1191" s="99"/>
      <c r="L1191" s="389"/>
      <c r="M1191" s="182"/>
      <c r="N1191" s="375"/>
      <c r="O1191" s="378"/>
      <c r="P1191" s="13"/>
      <c r="Q1191" s="13"/>
      <c r="R1191" s="13"/>
      <c r="S1191" s="98"/>
      <c r="T1191" s="69"/>
      <c r="U1191" s="69"/>
      <c r="V1191" s="13"/>
      <c r="W1191" s="13"/>
      <c r="X1191" s="379"/>
      <c r="Y1191" s="150"/>
      <c r="Z1191" s="150"/>
      <c r="AA1191" s="150"/>
      <c r="AB1191" s="150"/>
      <c r="AC1191" s="150"/>
      <c r="AD1191" s="381"/>
      <c r="AE1191" s="150"/>
      <c r="AF1191" s="110"/>
      <c r="AG1191" s="105"/>
      <c r="AH1191" s="69"/>
      <c r="AI1191" s="105"/>
      <c r="AJ1191" s="98"/>
      <c r="AK1191" s="110"/>
      <c r="AL1191" s="98"/>
      <c r="AM1191" s="69"/>
      <c r="AN1191" s="13"/>
      <c r="AO1191" s="13"/>
      <c r="AP1191" s="13"/>
      <c r="AQ1191" s="13"/>
      <c r="AR1191" s="13"/>
      <c r="AS1191" s="13"/>
      <c r="AT1191" s="13"/>
      <c r="AU1191" s="13"/>
      <c r="AV1191" s="13"/>
      <c r="AW1191" s="13"/>
      <c r="AX1191" s="13"/>
      <c r="AY1191" s="13"/>
      <c r="AZ1191" s="13"/>
      <c r="BA1191" s="13"/>
      <c r="BB1191" s="13"/>
      <c r="BC1191" s="13"/>
      <c r="BD1191" s="13"/>
      <c r="BE1191" s="13"/>
      <c r="BF1191" s="13"/>
      <c r="BG1191" s="13"/>
    </row>
    <row r="1192">
      <c r="A1192" s="69"/>
      <c r="B1192" s="69"/>
      <c r="C1192" s="7"/>
      <c r="D1192" s="99"/>
      <c r="E1192" s="13"/>
      <c r="F1192" s="99"/>
      <c r="G1192" s="69"/>
      <c r="H1192" s="98"/>
      <c r="J1192" s="69"/>
      <c r="K1192" s="99"/>
      <c r="L1192" s="389"/>
      <c r="M1192" s="182"/>
      <c r="N1192" s="375"/>
      <c r="O1192" s="378"/>
      <c r="P1192" s="13"/>
      <c r="Q1192" s="13"/>
      <c r="R1192" s="13"/>
      <c r="S1192" s="98"/>
      <c r="T1192" s="69"/>
      <c r="U1192" s="69"/>
      <c r="V1192" s="13"/>
      <c r="W1192" s="13"/>
      <c r="X1192" s="379"/>
      <c r="Y1192" s="150"/>
      <c r="Z1192" s="150"/>
      <c r="AA1192" s="150"/>
      <c r="AB1192" s="150"/>
      <c r="AC1192" s="150"/>
      <c r="AD1192" s="381"/>
      <c r="AE1192" s="150"/>
      <c r="AF1192" s="110"/>
      <c r="AG1192" s="105"/>
      <c r="AH1192" s="69"/>
      <c r="AI1192" s="105"/>
      <c r="AJ1192" s="98"/>
      <c r="AK1192" s="110"/>
      <c r="AL1192" s="98"/>
      <c r="AM1192" s="69"/>
      <c r="AN1192" s="13"/>
      <c r="AO1192" s="13"/>
      <c r="AP1192" s="13"/>
      <c r="AQ1192" s="13"/>
      <c r="AR1192" s="13"/>
      <c r="AS1192" s="13"/>
      <c r="AT1192" s="13"/>
      <c r="AU1192" s="13"/>
      <c r="AV1192" s="13"/>
      <c r="AW1192" s="13"/>
      <c r="AX1192" s="13"/>
      <c r="AY1192" s="13"/>
      <c r="AZ1192" s="13"/>
      <c r="BA1192" s="13"/>
      <c r="BB1192" s="13"/>
      <c r="BC1192" s="13"/>
      <c r="BD1192" s="13"/>
      <c r="BE1192" s="13"/>
      <c r="BF1192" s="13"/>
      <c r="BG1192" s="13"/>
    </row>
    <row r="1193">
      <c r="A1193" s="69"/>
      <c r="B1193" s="69"/>
      <c r="C1193" s="7"/>
      <c r="D1193" s="99"/>
      <c r="E1193" s="13"/>
      <c r="F1193" s="99"/>
      <c r="G1193" s="69"/>
      <c r="H1193" s="98"/>
      <c r="J1193" s="69"/>
      <c r="K1193" s="99"/>
      <c r="L1193" s="389"/>
      <c r="M1193" s="182"/>
      <c r="N1193" s="375"/>
      <c r="O1193" s="378"/>
      <c r="P1193" s="13"/>
      <c r="Q1193" s="13"/>
      <c r="R1193" s="13"/>
      <c r="S1193" s="98"/>
      <c r="T1193" s="69"/>
      <c r="U1193" s="69"/>
      <c r="V1193" s="13"/>
      <c r="W1193" s="13"/>
      <c r="X1193" s="379"/>
      <c r="Y1193" s="150"/>
      <c r="Z1193" s="150"/>
      <c r="AA1193" s="150"/>
      <c r="AB1193" s="150"/>
      <c r="AC1193" s="150"/>
      <c r="AD1193" s="381"/>
      <c r="AE1193" s="150"/>
      <c r="AF1193" s="110"/>
      <c r="AG1193" s="105"/>
      <c r="AH1193" s="69"/>
      <c r="AI1193" s="105"/>
      <c r="AJ1193" s="98"/>
      <c r="AK1193" s="110"/>
      <c r="AL1193" s="98"/>
      <c r="AM1193" s="69"/>
      <c r="AN1193" s="13"/>
      <c r="AO1193" s="13"/>
      <c r="AP1193" s="13"/>
      <c r="AQ1193" s="13"/>
      <c r="AR1193" s="13"/>
      <c r="AS1193" s="13"/>
      <c r="AT1193" s="13"/>
      <c r="AU1193" s="13"/>
      <c r="AV1193" s="13"/>
      <c r="AW1193" s="13"/>
      <c r="AX1193" s="13"/>
      <c r="AY1193" s="13"/>
      <c r="AZ1193" s="13"/>
      <c r="BA1193" s="13"/>
      <c r="BB1193" s="13"/>
      <c r="BC1193" s="13"/>
      <c r="BD1193" s="13"/>
      <c r="BE1193" s="13"/>
      <c r="BF1193" s="13"/>
      <c r="BG1193" s="13"/>
    </row>
    <row r="1194">
      <c r="A1194" s="69"/>
      <c r="B1194" s="69"/>
      <c r="C1194" s="13"/>
      <c r="D1194" s="99"/>
      <c r="E1194" s="13"/>
      <c r="F1194" s="99"/>
      <c r="G1194" s="69"/>
      <c r="H1194" s="98"/>
      <c r="J1194" s="69"/>
      <c r="K1194" s="99"/>
      <c r="L1194" s="389"/>
      <c r="M1194" s="182"/>
      <c r="N1194" s="375"/>
      <c r="O1194" s="378"/>
      <c r="P1194" s="13"/>
      <c r="Q1194" s="13"/>
      <c r="R1194" s="13"/>
      <c r="S1194" s="98"/>
      <c r="T1194" s="69"/>
      <c r="U1194" s="69"/>
      <c r="V1194" s="13"/>
      <c r="W1194" s="13"/>
      <c r="X1194" s="379"/>
      <c r="Y1194" s="150"/>
      <c r="Z1194" s="150"/>
      <c r="AA1194" s="150"/>
      <c r="AB1194" s="150"/>
      <c r="AC1194" s="150"/>
      <c r="AD1194" s="381"/>
      <c r="AE1194" s="150"/>
      <c r="AF1194" s="110"/>
      <c r="AG1194" s="105"/>
      <c r="AH1194" s="69"/>
      <c r="AI1194" s="105"/>
      <c r="AJ1194" s="98"/>
      <c r="AK1194" s="110"/>
      <c r="AL1194" s="98"/>
      <c r="AM1194" s="69"/>
      <c r="AN1194" s="13"/>
      <c r="AO1194" s="13"/>
      <c r="AP1194" s="13"/>
      <c r="AQ1194" s="13"/>
      <c r="AR1194" s="13"/>
      <c r="AS1194" s="13"/>
      <c r="AT1194" s="13"/>
      <c r="AU1194" s="13"/>
      <c r="AV1194" s="13"/>
      <c r="AW1194" s="13"/>
      <c r="AX1194" s="13"/>
      <c r="AY1194" s="13"/>
      <c r="AZ1194" s="13"/>
      <c r="BA1194" s="13"/>
      <c r="BB1194" s="13"/>
      <c r="BC1194" s="13"/>
      <c r="BD1194" s="13"/>
      <c r="BE1194" s="13"/>
      <c r="BF1194" s="13"/>
      <c r="BG1194" s="13"/>
    </row>
    <row r="1195">
      <c r="A1195" s="69"/>
      <c r="B1195" s="69"/>
      <c r="C1195" s="13"/>
      <c r="D1195" s="99"/>
      <c r="E1195" s="13"/>
      <c r="F1195" s="99"/>
      <c r="G1195" s="69"/>
      <c r="H1195" s="98"/>
      <c r="J1195" s="69"/>
      <c r="K1195" s="99"/>
      <c r="L1195" s="389"/>
      <c r="M1195" s="182"/>
      <c r="N1195" s="375"/>
      <c r="O1195" s="378"/>
      <c r="P1195" s="13"/>
      <c r="Q1195" s="13"/>
      <c r="R1195" s="13"/>
      <c r="S1195" s="98"/>
      <c r="T1195" s="69"/>
      <c r="U1195" s="69"/>
      <c r="V1195" s="13"/>
      <c r="W1195" s="13"/>
      <c r="X1195" s="379"/>
      <c r="Y1195" s="150"/>
      <c r="Z1195" s="150"/>
      <c r="AA1195" s="150"/>
      <c r="AB1195" s="150"/>
      <c r="AC1195" s="150"/>
      <c r="AD1195" s="381"/>
      <c r="AE1195" s="150"/>
      <c r="AF1195" s="110"/>
      <c r="AG1195" s="105"/>
      <c r="AH1195" s="69"/>
      <c r="AI1195" s="105"/>
      <c r="AJ1195" s="98"/>
      <c r="AK1195" s="110"/>
      <c r="AL1195" s="98"/>
      <c r="AM1195" s="69"/>
      <c r="AN1195" s="13"/>
      <c r="AO1195" s="13"/>
      <c r="AP1195" s="13"/>
      <c r="AQ1195" s="13"/>
      <c r="AR1195" s="13"/>
      <c r="AS1195" s="13"/>
      <c r="AT1195" s="13"/>
      <c r="AU1195" s="13"/>
      <c r="AV1195" s="13"/>
      <c r="AW1195" s="13"/>
      <c r="AX1195" s="13"/>
      <c r="AY1195" s="13"/>
      <c r="AZ1195" s="13"/>
      <c r="BA1195" s="13"/>
      <c r="BB1195" s="13"/>
      <c r="BC1195" s="13"/>
      <c r="BD1195" s="13"/>
      <c r="BE1195" s="13"/>
      <c r="BF1195" s="13"/>
      <c r="BG1195" s="13"/>
    </row>
    <row r="1196">
      <c r="A1196" s="69"/>
      <c r="B1196" s="69"/>
      <c r="C1196" s="13"/>
      <c r="D1196" s="99"/>
      <c r="E1196" s="13"/>
      <c r="F1196" s="99"/>
      <c r="G1196" s="69"/>
      <c r="H1196" s="98"/>
      <c r="J1196" s="69"/>
      <c r="K1196" s="99"/>
      <c r="L1196" s="389"/>
      <c r="M1196" s="182"/>
      <c r="N1196" s="375"/>
      <c r="O1196" s="378"/>
      <c r="P1196" s="13"/>
      <c r="Q1196" s="13"/>
      <c r="R1196" s="13"/>
      <c r="S1196" s="98"/>
      <c r="T1196" s="69"/>
      <c r="U1196" s="69"/>
      <c r="V1196" s="13"/>
      <c r="W1196" s="13"/>
      <c r="X1196" s="379"/>
      <c r="Y1196" s="150"/>
      <c r="Z1196" s="150"/>
      <c r="AA1196" s="150"/>
      <c r="AB1196" s="150"/>
      <c r="AC1196" s="150"/>
      <c r="AD1196" s="381"/>
      <c r="AE1196" s="150"/>
      <c r="AF1196" s="110"/>
      <c r="AG1196" s="105"/>
      <c r="AH1196" s="69"/>
      <c r="AI1196" s="105"/>
      <c r="AJ1196" s="98"/>
      <c r="AK1196" s="110"/>
      <c r="AL1196" s="98"/>
      <c r="AM1196" s="69"/>
      <c r="AN1196" s="13"/>
      <c r="AO1196" s="13"/>
      <c r="AP1196" s="13"/>
      <c r="AQ1196" s="13"/>
      <c r="AR1196" s="13"/>
      <c r="AS1196" s="13"/>
      <c r="AT1196" s="13"/>
      <c r="AU1196" s="13"/>
      <c r="AV1196" s="13"/>
      <c r="AW1196" s="13"/>
      <c r="AX1196" s="13"/>
      <c r="AY1196" s="13"/>
      <c r="AZ1196" s="13"/>
      <c r="BA1196" s="13"/>
      <c r="BB1196" s="13"/>
      <c r="BC1196" s="13"/>
      <c r="BD1196" s="13"/>
      <c r="BE1196" s="13"/>
      <c r="BF1196" s="13"/>
      <c r="BG1196" s="13"/>
    </row>
    <row r="1197">
      <c r="A1197" s="69"/>
      <c r="B1197" s="69"/>
      <c r="C1197" s="13"/>
      <c r="D1197" s="99"/>
      <c r="E1197" s="13"/>
      <c r="F1197" s="99"/>
      <c r="G1197" s="69"/>
      <c r="H1197" s="98"/>
      <c r="J1197" s="69"/>
      <c r="K1197" s="99"/>
      <c r="L1197" s="389"/>
      <c r="M1197" s="182"/>
      <c r="N1197" s="375"/>
      <c r="O1197" s="378"/>
      <c r="P1197" s="13"/>
      <c r="Q1197" s="13"/>
      <c r="R1197" s="13"/>
      <c r="S1197" s="98"/>
      <c r="T1197" s="69"/>
      <c r="U1197" s="69"/>
      <c r="V1197" s="13"/>
      <c r="W1197" s="13"/>
      <c r="X1197" s="379"/>
      <c r="Y1197" s="150"/>
      <c r="Z1197" s="150"/>
      <c r="AA1197" s="150"/>
      <c r="AB1197" s="150"/>
      <c r="AC1197" s="150"/>
      <c r="AD1197" s="381"/>
      <c r="AE1197" s="150"/>
      <c r="AF1197" s="110"/>
      <c r="AG1197" s="105"/>
      <c r="AH1197" s="69"/>
      <c r="AI1197" s="105"/>
      <c r="AJ1197" s="98"/>
      <c r="AK1197" s="110"/>
      <c r="AL1197" s="98"/>
      <c r="AM1197" s="69"/>
      <c r="AN1197" s="13"/>
      <c r="AO1197" s="13"/>
      <c r="AP1197" s="13"/>
      <c r="AQ1197" s="13"/>
      <c r="AR1197" s="13"/>
      <c r="AS1197" s="13"/>
      <c r="AT1197" s="13"/>
      <c r="AU1197" s="13"/>
      <c r="AV1197" s="13"/>
      <c r="AW1197" s="13"/>
      <c r="AX1197" s="13"/>
      <c r="AY1197" s="13"/>
      <c r="AZ1197" s="13"/>
      <c r="BA1197" s="13"/>
      <c r="BB1197" s="13"/>
      <c r="BC1197" s="13"/>
      <c r="BD1197" s="13"/>
      <c r="BE1197" s="13"/>
      <c r="BF1197" s="13"/>
      <c r="BG1197" s="13"/>
    </row>
    <row r="1198">
      <c r="A1198" s="69"/>
      <c r="B1198" s="69"/>
      <c r="C1198" s="13"/>
      <c r="D1198" s="99"/>
      <c r="E1198" s="13"/>
      <c r="F1198" s="99"/>
      <c r="G1198" s="69"/>
      <c r="H1198" s="98"/>
      <c r="J1198" s="69"/>
      <c r="K1198" s="99"/>
      <c r="L1198" s="389"/>
      <c r="M1198" s="182"/>
      <c r="N1198" s="375"/>
      <c r="O1198" s="378"/>
      <c r="P1198" s="13"/>
      <c r="Q1198" s="13"/>
      <c r="R1198" s="13"/>
      <c r="S1198" s="98"/>
      <c r="T1198" s="69"/>
      <c r="U1198" s="69"/>
      <c r="V1198" s="13"/>
      <c r="W1198" s="13"/>
      <c r="X1198" s="379"/>
      <c r="Y1198" s="150"/>
      <c r="Z1198" s="150"/>
      <c r="AA1198" s="150"/>
      <c r="AB1198" s="150"/>
      <c r="AC1198" s="150"/>
      <c r="AD1198" s="381"/>
      <c r="AE1198" s="150"/>
      <c r="AF1198" s="110"/>
      <c r="AG1198" s="105"/>
      <c r="AH1198" s="69"/>
      <c r="AI1198" s="105"/>
      <c r="AJ1198" s="98"/>
      <c r="AK1198" s="110"/>
      <c r="AL1198" s="98"/>
      <c r="AM1198" s="69"/>
      <c r="AN1198" s="13"/>
      <c r="AO1198" s="13"/>
      <c r="AP1198" s="13"/>
      <c r="AQ1198" s="13"/>
      <c r="AR1198" s="13"/>
      <c r="AS1198" s="13"/>
      <c r="AT1198" s="13"/>
      <c r="AU1198" s="13"/>
      <c r="AV1198" s="13"/>
      <c r="AW1198" s="13"/>
      <c r="AX1198" s="13"/>
      <c r="AY1198" s="13"/>
      <c r="AZ1198" s="13"/>
      <c r="BA1198" s="13"/>
      <c r="BB1198" s="13"/>
      <c r="BC1198" s="13"/>
      <c r="BD1198" s="13"/>
      <c r="BE1198" s="13"/>
      <c r="BF1198" s="13"/>
      <c r="BG1198" s="13"/>
    </row>
    <row r="1199">
      <c r="A1199" s="69"/>
      <c r="B1199" s="69"/>
      <c r="C1199" s="13"/>
      <c r="D1199" s="99"/>
      <c r="E1199" s="13"/>
      <c r="F1199" s="99"/>
      <c r="G1199" s="69"/>
      <c r="H1199" s="98"/>
      <c r="J1199" s="69"/>
      <c r="K1199" s="99"/>
      <c r="L1199" s="389"/>
      <c r="M1199" s="182"/>
      <c r="N1199" s="375"/>
      <c r="O1199" s="378"/>
      <c r="P1199" s="13"/>
      <c r="Q1199" s="13"/>
      <c r="R1199" s="13"/>
      <c r="S1199" s="98"/>
      <c r="T1199" s="69"/>
      <c r="U1199" s="69"/>
      <c r="V1199" s="13"/>
      <c r="W1199" s="13"/>
      <c r="X1199" s="379"/>
      <c r="Y1199" s="150"/>
      <c r="Z1199" s="150"/>
      <c r="AA1199" s="150"/>
      <c r="AB1199" s="150"/>
      <c r="AC1199" s="150"/>
      <c r="AD1199" s="381"/>
      <c r="AE1199" s="150"/>
      <c r="AF1199" s="110"/>
      <c r="AG1199" s="105"/>
      <c r="AH1199" s="69"/>
      <c r="AI1199" s="105"/>
      <c r="AJ1199" s="98"/>
      <c r="AK1199" s="110"/>
      <c r="AL1199" s="98"/>
      <c r="AM1199" s="69"/>
      <c r="AN1199" s="13"/>
      <c r="AO1199" s="13"/>
      <c r="AP1199" s="13"/>
      <c r="AQ1199" s="13"/>
      <c r="AR1199" s="13"/>
      <c r="AS1199" s="13"/>
      <c r="AT1199" s="13"/>
      <c r="AU1199" s="13"/>
      <c r="AV1199" s="13"/>
      <c r="AW1199" s="13"/>
      <c r="AX1199" s="13"/>
      <c r="AY1199" s="13"/>
      <c r="AZ1199" s="13"/>
      <c r="BA1199" s="13"/>
      <c r="BB1199" s="13"/>
      <c r="BC1199" s="13"/>
      <c r="BD1199" s="13"/>
      <c r="BE1199" s="13"/>
      <c r="BF1199" s="13"/>
      <c r="BG1199" s="13"/>
    </row>
    <row r="1200">
      <c r="A1200" s="69"/>
      <c r="B1200" s="69"/>
      <c r="C1200" s="13"/>
      <c r="D1200" s="99"/>
      <c r="E1200" s="13"/>
      <c r="F1200" s="99"/>
      <c r="G1200" s="69"/>
      <c r="H1200" s="98"/>
      <c r="J1200" s="69"/>
      <c r="K1200" s="99"/>
      <c r="L1200" s="389"/>
      <c r="M1200" s="182"/>
      <c r="N1200" s="375"/>
      <c r="O1200" s="378"/>
      <c r="P1200" s="13"/>
      <c r="Q1200" s="13"/>
      <c r="R1200" s="13"/>
      <c r="S1200" s="98"/>
      <c r="T1200" s="69"/>
      <c r="U1200" s="69"/>
      <c r="V1200" s="13"/>
      <c r="W1200" s="13"/>
      <c r="X1200" s="379"/>
      <c r="Y1200" s="150"/>
      <c r="Z1200" s="150"/>
      <c r="AA1200" s="150"/>
      <c r="AB1200" s="150"/>
      <c r="AC1200" s="150"/>
      <c r="AD1200" s="381"/>
      <c r="AE1200" s="150"/>
      <c r="AF1200" s="110"/>
      <c r="AG1200" s="105"/>
      <c r="AH1200" s="69"/>
      <c r="AI1200" s="105"/>
      <c r="AJ1200" s="98"/>
      <c r="AK1200" s="110"/>
      <c r="AL1200" s="98"/>
      <c r="AM1200" s="69"/>
      <c r="AN1200" s="13"/>
      <c r="AO1200" s="13"/>
      <c r="AP1200" s="13"/>
      <c r="AQ1200" s="13"/>
      <c r="AR1200" s="13"/>
      <c r="AS1200" s="13"/>
      <c r="AT1200" s="13"/>
      <c r="AU1200" s="13"/>
      <c r="AV1200" s="13"/>
      <c r="AW1200" s="13"/>
      <c r="AX1200" s="13"/>
      <c r="AY1200" s="13"/>
      <c r="AZ1200" s="13"/>
      <c r="BA1200" s="13"/>
      <c r="BB1200" s="13"/>
      <c r="BC1200" s="13"/>
      <c r="BD1200" s="13"/>
      <c r="BE1200" s="13"/>
      <c r="BF1200" s="13"/>
      <c r="BG1200" s="13"/>
    </row>
    <row r="1201">
      <c r="A1201" s="69"/>
      <c r="B1201" s="69"/>
      <c r="C1201" s="13"/>
      <c r="D1201" s="99"/>
      <c r="E1201" s="13"/>
      <c r="F1201" s="99"/>
      <c r="G1201" s="69"/>
      <c r="H1201" s="98"/>
      <c r="J1201" s="69"/>
      <c r="K1201" s="99"/>
      <c r="L1201" s="389"/>
      <c r="M1201" s="182"/>
      <c r="N1201" s="375"/>
      <c r="O1201" s="378"/>
      <c r="P1201" s="13"/>
      <c r="Q1201" s="13"/>
      <c r="R1201" s="13"/>
      <c r="S1201" s="98"/>
      <c r="T1201" s="69"/>
      <c r="U1201" s="69"/>
      <c r="V1201" s="13"/>
      <c r="W1201" s="13"/>
      <c r="X1201" s="379"/>
      <c r="Y1201" s="150"/>
      <c r="Z1201" s="150"/>
      <c r="AA1201" s="150"/>
      <c r="AB1201" s="150"/>
      <c r="AC1201" s="150"/>
      <c r="AD1201" s="381"/>
      <c r="AE1201" s="150"/>
      <c r="AF1201" s="110"/>
      <c r="AG1201" s="105"/>
      <c r="AH1201" s="69"/>
      <c r="AI1201" s="105"/>
      <c r="AJ1201" s="98"/>
      <c r="AK1201" s="110"/>
      <c r="AL1201" s="98"/>
      <c r="AM1201" s="69"/>
      <c r="AN1201" s="13"/>
      <c r="AO1201" s="13"/>
      <c r="AP1201" s="13"/>
      <c r="AQ1201" s="13"/>
      <c r="AR1201" s="13"/>
      <c r="AS1201" s="13"/>
      <c r="AT1201" s="13"/>
      <c r="AU1201" s="13"/>
      <c r="AV1201" s="13"/>
      <c r="AW1201" s="13"/>
      <c r="AX1201" s="13"/>
      <c r="AY1201" s="13"/>
      <c r="AZ1201" s="13"/>
      <c r="BA1201" s="13"/>
      <c r="BB1201" s="13"/>
      <c r="BC1201" s="13"/>
      <c r="BD1201" s="13"/>
      <c r="BE1201" s="13"/>
      <c r="BF1201" s="13"/>
      <c r="BG1201" s="13"/>
    </row>
    <row r="1202">
      <c r="A1202" s="69"/>
      <c r="B1202" s="69"/>
      <c r="C1202" s="13"/>
      <c r="D1202" s="99"/>
      <c r="E1202" s="13"/>
      <c r="F1202" s="99"/>
      <c r="G1202" s="69"/>
      <c r="H1202" s="98"/>
      <c r="J1202" s="69"/>
      <c r="K1202" s="99"/>
      <c r="L1202" s="389"/>
      <c r="M1202" s="182"/>
      <c r="N1202" s="375"/>
      <c r="O1202" s="378"/>
      <c r="P1202" s="13"/>
      <c r="Q1202" s="13"/>
      <c r="R1202" s="13"/>
      <c r="S1202" s="98"/>
      <c r="T1202" s="69"/>
      <c r="U1202" s="69"/>
      <c r="V1202" s="13"/>
      <c r="W1202" s="13"/>
      <c r="X1202" s="379"/>
      <c r="Y1202" s="150"/>
      <c r="Z1202" s="150"/>
      <c r="AA1202" s="150"/>
      <c r="AB1202" s="150"/>
      <c r="AC1202" s="150"/>
      <c r="AD1202" s="381"/>
      <c r="AE1202" s="150"/>
      <c r="AF1202" s="110"/>
      <c r="AG1202" s="105"/>
      <c r="AH1202" s="69"/>
      <c r="AI1202" s="105"/>
      <c r="AJ1202" s="98"/>
      <c r="AK1202" s="110"/>
      <c r="AL1202" s="98"/>
      <c r="AM1202" s="69"/>
      <c r="AN1202" s="13"/>
      <c r="AO1202" s="13"/>
      <c r="AP1202" s="13"/>
      <c r="AQ1202" s="13"/>
      <c r="AR1202" s="13"/>
      <c r="AS1202" s="13"/>
      <c r="AT1202" s="13"/>
      <c r="AU1202" s="13"/>
      <c r="AV1202" s="13"/>
      <c r="AW1202" s="13"/>
      <c r="AX1202" s="13"/>
      <c r="AY1202" s="13"/>
      <c r="AZ1202" s="13"/>
      <c r="BA1202" s="13"/>
      <c r="BB1202" s="13"/>
      <c r="BC1202" s="13"/>
      <c r="BD1202" s="13"/>
      <c r="BE1202" s="13"/>
      <c r="BF1202" s="13"/>
      <c r="BG1202" s="13"/>
    </row>
    <row r="1203">
      <c r="A1203" s="69"/>
      <c r="B1203" s="69"/>
      <c r="C1203" s="13"/>
      <c r="D1203" s="99"/>
      <c r="E1203" s="13"/>
      <c r="F1203" s="99"/>
      <c r="G1203" s="69"/>
      <c r="H1203" s="98"/>
      <c r="J1203" s="69"/>
      <c r="K1203" s="99"/>
      <c r="L1203" s="389"/>
      <c r="M1203" s="182"/>
      <c r="N1203" s="375"/>
      <c r="O1203" s="378"/>
      <c r="P1203" s="13"/>
      <c r="Q1203" s="13"/>
      <c r="R1203" s="13"/>
      <c r="S1203" s="98"/>
      <c r="T1203" s="69"/>
      <c r="U1203" s="69"/>
      <c r="V1203" s="13"/>
      <c r="W1203" s="13"/>
      <c r="X1203" s="379"/>
      <c r="Y1203" s="150"/>
      <c r="Z1203" s="150"/>
      <c r="AA1203" s="150"/>
      <c r="AB1203" s="150"/>
      <c r="AC1203" s="150"/>
      <c r="AD1203" s="381"/>
      <c r="AE1203" s="150"/>
      <c r="AF1203" s="110"/>
      <c r="AG1203" s="105"/>
      <c r="AH1203" s="69"/>
      <c r="AI1203" s="105"/>
      <c r="AJ1203" s="98"/>
      <c r="AK1203" s="110"/>
      <c r="AL1203" s="98"/>
      <c r="AM1203" s="69"/>
      <c r="AN1203" s="13"/>
      <c r="AO1203" s="13"/>
      <c r="AP1203" s="13"/>
      <c r="AQ1203" s="13"/>
      <c r="AR1203" s="13"/>
      <c r="AS1203" s="13"/>
      <c r="AT1203" s="13"/>
      <c r="AU1203" s="13"/>
      <c r="AV1203" s="13"/>
      <c r="AW1203" s="13"/>
      <c r="AX1203" s="13"/>
      <c r="AY1203" s="13"/>
      <c r="AZ1203" s="13"/>
      <c r="BA1203" s="13"/>
      <c r="BB1203" s="13"/>
      <c r="BC1203" s="13"/>
      <c r="BD1203" s="13"/>
      <c r="BE1203" s="13"/>
      <c r="BF1203" s="13"/>
      <c r="BG1203" s="13"/>
    </row>
    <row r="1204">
      <c r="A1204" s="69"/>
      <c r="B1204" s="69"/>
      <c r="C1204" s="13"/>
      <c r="D1204" s="99"/>
      <c r="E1204" s="13"/>
      <c r="F1204" s="99"/>
      <c r="G1204" s="69"/>
      <c r="H1204" s="98"/>
      <c r="J1204" s="69"/>
      <c r="K1204" s="99"/>
      <c r="L1204" s="389"/>
      <c r="M1204" s="182"/>
      <c r="N1204" s="375"/>
      <c r="O1204" s="378"/>
      <c r="P1204" s="13"/>
      <c r="Q1204" s="13"/>
      <c r="R1204" s="13"/>
      <c r="S1204" s="98"/>
      <c r="T1204" s="69"/>
      <c r="U1204" s="69"/>
      <c r="V1204" s="13"/>
      <c r="W1204" s="13"/>
      <c r="X1204" s="379"/>
      <c r="Y1204" s="150"/>
      <c r="Z1204" s="150"/>
      <c r="AA1204" s="150"/>
      <c r="AB1204" s="150"/>
      <c r="AC1204" s="150"/>
      <c r="AD1204" s="381"/>
      <c r="AE1204" s="150"/>
      <c r="AF1204" s="110"/>
      <c r="AG1204" s="105"/>
      <c r="AH1204" s="69"/>
      <c r="AI1204" s="105"/>
      <c r="AJ1204" s="98"/>
      <c r="AK1204" s="110"/>
      <c r="AL1204" s="98"/>
      <c r="AM1204" s="69"/>
      <c r="AN1204" s="13"/>
      <c r="AO1204" s="13"/>
      <c r="AP1204" s="13"/>
      <c r="AQ1204" s="13"/>
      <c r="AR1204" s="13"/>
      <c r="AS1204" s="13"/>
      <c r="AT1204" s="13"/>
      <c r="AU1204" s="13"/>
      <c r="AV1204" s="13"/>
      <c r="AW1204" s="13"/>
      <c r="AX1204" s="13"/>
      <c r="AY1204" s="13"/>
      <c r="AZ1204" s="13"/>
      <c r="BA1204" s="13"/>
      <c r="BB1204" s="13"/>
      <c r="BC1204" s="13"/>
      <c r="BD1204" s="13"/>
      <c r="BE1204" s="13"/>
      <c r="BF1204" s="13"/>
      <c r="BG1204" s="13"/>
    </row>
    <row r="1205">
      <c r="A1205" s="69"/>
      <c r="B1205" s="69"/>
      <c r="C1205" s="13"/>
      <c r="D1205" s="99"/>
      <c r="E1205" s="13"/>
      <c r="F1205" s="99"/>
      <c r="G1205" s="69"/>
      <c r="H1205" s="98"/>
      <c r="J1205" s="69"/>
      <c r="K1205" s="99"/>
      <c r="L1205" s="389"/>
      <c r="M1205" s="182"/>
      <c r="N1205" s="375"/>
      <c r="O1205" s="378"/>
      <c r="P1205" s="13"/>
      <c r="Q1205" s="13"/>
      <c r="R1205" s="13"/>
      <c r="S1205" s="98"/>
      <c r="T1205" s="69"/>
      <c r="U1205" s="69"/>
      <c r="V1205" s="13"/>
      <c r="W1205" s="13"/>
      <c r="X1205" s="379"/>
      <c r="Y1205" s="150"/>
      <c r="Z1205" s="150"/>
      <c r="AA1205" s="150"/>
      <c r="AB1205" s="150"/>
      <c r="AC1205" s="150"/>
      <c r="AD1205" s="381"/>
      <c r="AE1205" s="150"/>
      <c r="AF1205" s="110"/>
      <c r="AG1205" s="105"/>
      <c r="AH1205" s="69"/>
      <c r="AI1205" s="105"/>
      <c r="AJ1205" s="98"/>
      <c r="AK1205" s="110"/>
      <c r="AL1205" s="98"/>
      <c r="AM1205" s="69"/>
      <c r="AN1205" s="13"/>
      <c r="AO1205" s="13"/>
      <c r="AP1205" s="13"/>
      <c r="AQ1205" s="13"/>
      <c r="AR1205" s="13"/>
      <c r="AS1205" s="13"/>
      <c r="AT1205" s="13"/>
      <c r="AU1205" s="13"/>
      <c r="AV1205" s="13"/>
      <c r="AW1205" s="13"/>
      <c r="AX1205" s="13"/>
      <c r="AY1205" s="13"/>
      <c r="AZ1205" s="13"/>
      <c r="BA1205" s="13"/>
      <c r="BB1205" s="13"/>
      <c r="BC1205" s="13"/>
      <c r="BD1205" s="13"/>
      <c r="BE1205" s="13"/>
      <c r="BF1205" s="13"/>
      <c r="BG1205" s="13"/>
    </row>
    <row r="1206">
      <c r="A1206" s="69"/>
      <c r="B1206" s="69"/>
      <c r="C1206" s="13"/>
      <c r="D1206" s="99"/>
      <c r="E1206" s="13"/>
      <c r="F1206" s="99"/>
      <c r="G1206" s="69"/>
      <c r="H1206" s="98"/>
      <c r="J1206" s="69"/>
      <c r="K1206" s="99"/>
      <c r="L1206" s="389"/>
      <c r="M1206" s="182"/>
      <c r="N1206" s="375"/>
      <c r="O1206" s="378"/>
      <c r="P1206" s="13"/>
      <c r="Q1206" s="13"/>
      <c r="R1206" s="13"/>
      <c r="S1206" s="98"/>
      <c r="T1206" s="69"/>
      <c r="U1206" s="69"/>
      <c r="V1206" s="13"/>
      <c r="W1206" s="13"/>
      <c r="X1206" s="379"/>
      <c r="Y1206" s="150"/>
      <c r="Z1206" s="150"/>
      <c r="AA1206" s="150"/>
      <c r="AB1206" s="150"/>
      <c r="AC1206" s="150"/>
      <c r="AD1206" s="381"/>
      <c r="AE1206" s="150"/>
      <c r="AF1206" s="110"/>
      <c r="AG1206" s="105"/>
      <c r="AH1206" s="69"/>
      <c r="AI1206" s="105"/>
      <c r="AJ1206" s="98"/>
      <c r="AK1206" s="110"/>
      <c r="AL1206" s="98"/>
      <c r="AM1206" s="69"/>
      <c r="AN1206" s="13"/>
      <c r="AO1206" s="13"/>
      <c r="AP1206" s="13"/>
      <c r="AQ1206" s="13"/>
      <c r="AR1206" s="13"/>
      <c r="AS1206" s="13"/>
      <c r="AT1206" s="13"/>
      <c r="AU1206" s="13"/>
      <c r="AV1206" s="13"/>
      <c r="AW1206" s="13"/>
      <c r="AX1206" s="13"/>
      <c r="AY1206" s="13"/>
      <c r="AZ1206" s="13"/>
      <c r="BA1206" s="13"/>
      <c r="BB1206" s="13"/>
      <c r="BC1206" s="13"/>
      <c r="BD1206" s="13"/>
      <c r="BE1206" s="13"/>
      <c r="BF1206" s="13"/>
      <c r="BG1206" s="13"/>
    </row>
    <row r="1207">
      <c r="A1207" s="69"/>
      <c r="B1207" s="69"/>
      <c r="C1207" s="13"/>
      <c r="D1207" s="99"/>
      <c r="E1207" s="13"/>
      <c r="F1207" s="99"/>
      <c r="G1207" s="69"/>
      <c r="H1207" s="98"/>
      <c r="J1207" s="69"/>
      <c r="K1207" s="99"/>
      <c r="L1207" s="389"/>
      <c r="M1207" s="182"/>
      <c r="N1207" s="375"/>
      <c r="O1207" s="378"/>
      <c r="P1207" s="13"/>
      <c r="Q1207" s="13"/>
      <c r="R1207" s="13"/>
      <c r="S1207" s="98"/>
      <c r="T1207" s="69"/>
      <c r="U1207" s="69"/>
      <c r="V1207" s="13"/>
      <c r="W1207" s="13"/>
      <c r="X1207" s="379"/>
      <c r="Y1207" s="150"/>
      <c r="Z1207" s="150"/>
      <c r="AA1207" s="150"/>
      <c r="AB1207" s="150"/>
      <c r="AC1207" s="150"/>
      <c r="AD1207" s="381"/>
      <c r="AE1207" s="150"/>
      <c r="AF1207" s="110"/>
      <c r="AG1207" s="105"/>
      <c r="AH1207" s="69"/>
      <c r="AI1207" s="105"/>
      <c r="AJ1207" s="98"/>
      <c r="AK1207" s="110"/>
      <c r="AL1207" s="98"/>
      <c r="AM1207" s="69"/>
      <c r="AN1207" s="13"/>
      <c r="AO1207" s="13"/>
      <c r="AP1207" s="13"/>
      <c r="AQ1207" s="13"/>
      <c r="AR1207" s="13"/>
      <c r="AS1207" s="13"/>
      <c r="AT1207" s="13"/>
      <c r="AU1207" s="13"/>
      <c r="AV1207" s="13"/>
      <c r="AW1207" s="13"/>
      <c r="AX1207" s="13"/>
      <c r="AY1207" s="13"/>
      <c r="AZ1207" s="13"/>
      <c r="BA1207" s="13"/>
      <c r="BB1207" s="13"/>
      <c r="BC1207" s="13"/>
      <c r="BD1207" s="13"/>
      <c r="BE1207" s="13"/>
      <c r="BF1207" s="13"/>
      <c r="BG1207" s="13"/>
    </row>
    <row r="1208">
      <c r="A1208" s="69"/>
      <c r="B1208" s="69"/>
      <c r="C1208" s="13"/>
      <c r="D1208" s="99"/>
      <c r="E1208" s="13"/>
      <c r="F1208" s="99"/>
      <c r="G1208" s="69"/>
      <c r="H1208" s="98"/>
      <c r="J1208" s="69"/>
      <c r="K1208" s="99"/>
      <c r="L1208" s="389"/>
      <c r="M1208" s="182"/>
      <c r="N1208" s="375"/>
      <c r="O1208" s="378"/>
      <c r="P1208" s="13"/>
      <c r="Q1208" s="13"/>
      <c r="R1208" s="13"/>
      <c r="S1208" s="98"/>
      <c r="T1208" s="69"/>
      <c r="U1208" s="69"/>
      <c r="V1208" s="13"/>
      <c r="W1208" s="13"/>
      <c r="X1208" s="379"/>
      <c r="Y1208" s="150"/>
      <c r="Z1208" s="150"/>
      <c r="AA1208" s="150"/>
      <c r="AB1208" s="150"/>
      <c r="AC1208" s="150"/>
      <c r="AD1208" s="381"/>
      <c r="AE1208" s="150"/>
      <c r="AF1208" s="110"/>
      <c r="AG1208" s="105"/>
      <c r="AH1208" s="69"/>
      <c r="AI1208" s="105"/>
      <c r="AJ1208" s="98"/>
      <c r="AK1208" s="110"/>
      <c r="AL1208" s="98"/>
      <c r="AM1208" s="69"/>
      <c r="AN1208" s="13"/>
      <c r="AO1208" s="13"/>
      <c r="AP1208" s="13"/>
      <c r="AQ1208" s="13"/>
      <c r="AR1208" s="13"/>
      <c r="AS1208" s="13"/>
      <c r="AT1208" s="13"/>
      <c r="AU1208" s="13"/>
      <c r="AV1208" s="13"/>
      <c r="AW1208" s="13"/>
      <c r="AX1208" s="13"/>
      <c r="AY1208" s="13"/>
      <c r="AZ1208" s="13"/>
      <c r="BA1208" s="13"/>
      <c r="BB1208" s="13"/>
      <c r="BC1208" s="13"/>
      <c r="BD1208" s="13"/>
      <c r="BE1208" s="13"/>
      <c r="BF1208" s="13"/>
      <c r="BG1208" s="13"/>
    </row>
    <row r="1209">
      <c r="A1209" s="69"/>
      <c r="B1209" s="69"/>
      <c r="C1209" s="13"/>
      <c r="D1209" s="99"/>
      <c r="E1209" s="13"/>
      <c r="F1209" s="99"/>
      <c r="G1209" s="69"/>
      <c r="H1209" s="98"/>
      <c r="J1209" s="69"/>
      <c r="K1209" s="99"/>
      <c r="L1209" s="389"/>
      <c r="M1209" s="182"/>
      <c r="N1209" s="375"/>
      <c r="O1209" s="378"/>
      <c r="P1209" s="13"/>
      <c r="Q1209" s="13"/>
      <c r="R1209" s="13"/>
      <c r="S1209" s="98"/>
      <c r="T1209" s="69"/>
      <c r="U1209" s="69"/>
      <c r="V1209" s="13"/>
      <c r="W1209" s="13"/>
      <c r="X1209" s="379"/>
      <c r="Y1209" s="150"/>
      <c r="Z1209" s="150"/>
      <c r="AA1209" s="150"/>
      <c r="AB1209" s="150"/>
      <c r="AC1209" s="150"/>
      <c r="AD1209" s="381"/>
      <c r="AE1209" s="150"/>
      <c r="AF1209" s="110"/>
      <c r="AG1209" s="105"/>
      <c r="AH1209" s="69"/>
      <c r="AI1209" s="105"/>
      <c r="AJ1209" s="98"/>
      <c r="AK1209" s="110"/>
      <c r="AL1209" s="98"/>
      <c r="AM1209" s="69"/>
      <c r="AN1209" s="13"/>
      <c r="AO1209" s="13"/>
      <c r="AP1209" s="13"/>
      <c r="AQ1209" s="13"/>
      <c r="AR1209" s="13"/>
      <c r="AS1209" s="13"/>
      <c r="AT1209" s="13"/>
      <c r="AU1209" s="13"/>
      <c r="AV1209" s="13"/>
      <c r="AW1209" s="13"/>
      <c r="AX1209" s="13"/>
      <c r="AY1209" s="13"/>
      <c r="AZ1209" s="13"/>
      <c r="BA1209" s="13"/>
      <c r="BB1209" s="13"/>
      <c r="BC1209" s="13"/>
      <c r="BD1209" s="13"/>
      <c r="BE1209" s="13"/>
      <c r="BF1209" s="13"/>
      <c r="BG1209" s="13"/>
    </row>
    <row r="1210">
      <c r="A1210" s="69"/>
      <c r="B1210" s="69"/>
      <c r="C1210" s="13"/>
      <c r="D1210" s="99"/>
      <c r="E1210" s="13"/>
      <c r="F1210" s="99"/>
      <c r="G1210" s="69"/>
      <c r="H1210" s="98"/>
      <c r="J1210" s="69"/>
      <c r="K1210" s="99"/>
      <c r="L1210" s="389"/>
      <c r="M1210" s="182"/>
      <c r="N1210" s="375"/>
      <c r="O1210" s="378"/>
      <c r="P1210" s="13"/>
      <c r="Q1210" s="13"/>
      <c r="R1210" s="13"/>
      <c r="S1210" s="98"/>
      <c r="T1210" s="69"/>
      <c r="U1210" s="69"/>
      <c r="V1210" s="13"/>
      <c r="W1210" s="13"/>
      <c r="X1210" s="379"/>
      <c r="Y1210" s="150"/>
      <c r="Z1210" s="150"/>
      <c r="AA1210" s="150"/>
      <c r="AB1210" s="150"/>
      <c r="AC1210" s="150"/>
      <c r="AD1210" s="381"/>
      <c r="AE1210" s="150"/>
      <c r="AF1210" s="110"/>
      <c r="AG1210" s="105"/>
      <c r="AH1210" s="69"/>
      <c r="AI1210" s="105"/>
      <c r="AJ1210" s="98"/>
      <c r="AK1210" s="110"/>
      <c r="AL1210" s="98"/>
      <c r="AM1210" s="69"/>
      <c r="AN1210" s="13"/>
      <c r="AO1210" s="13"/>
      <c r="AP1210" s="13"/>
      <c r="AQ1210" s="13"/>
      <c r="AR1210" s="13"/>
      <c r="AS1210" s="13"/>
      <c r="AT1210" s="13"/>
      <c r="AU1210" s="13"/>
      <c r="AV1210" s="13"/>
      <c r="AW1210" s="13"/>
      <c r="AX1210" s="13"/>
      <c r="AY1210" s="13"/>
      <c r="AZ1210" s="13"/>
      <c r="BA1210" s="13"/>
      <c r="BB1210" s="13"/>
      <c r="BC1210" s="13"/>
      <c r="BD1210" s="13"/>
      <c r="BE1210" s="13"/>
      <c r="BF1210" s="13"/>
      <c r="BG1210" s="13"/>
    </row>
    <row r="1211">
      <c r="A1211" s="69"/>
      <c r="B1211" s="69"/>
      <c r="C1211" s="13"/>
      <c r="D1211" s="99"/>
      <c r="E1211" s="13"/>
      <c r="F1211" s="99"/>
      <c r="G1211" s="69"/>
      <c r="H1211" s="98"/>
      <c r="J1211" s="69"/>
      <c r="K1211" s="99"/>
      <c r="L1211" s="389"/>
      <c r="M1211" s="182"/>
      <c r="N1211" s="375"/>
      <c r="O1211" s="378"/>
      <c r="P1211" s="13"/>
      <c r="Q1211" s="13"/>
      <c r="R1211" s="13"/>
      <c r="S1211" s="98"/>
      <c r="T1211" s="69"/>
      <c r="U1211" s="69"/>
      <c r="V1211" s="13"/>
      <c r="W1211" s="13"/>
      <c r="X1211" s="379"/>
      <c r="Y1211" s="150"/>
      <c r="Z1211" s="150"/>
      <c r="AA1211" s="150"/>
      <c r="AB1211" s="150"/>
      <c r="AC1211" s="150"/>
      <c r="AD1211" s="381"/>
      <c r="AE1211" s="150"/>
      <c r="AF1211" s="110"/>
      <c r="AG1211" s="105"/>
      <c r="AH1211" s="69"/>
      <c r="AI1211" s="105"/>
      <c r="AJ1211" s="98"/>
      <c r="AK1211" s="110"/>
      <c r="AL1211" s="98"/>
      <c r="AM1211" s="69"/>
      <c r="AN1211" s="13"/>
      <c r="AO1211" s="13"/>
      <c r="AP1211" s="13"/>
      <c r="AQ1211" s="13"/>
      <c r="AR1211" s="13"/>
      <c r="AS1211" s="13"/>
      <c r="AT1211" s="13"/>
      <c r="AU1211" s="13"/>
      <c r="AV1211" s="13"/>
      <c r="AW1211" s="13"/>
      <c r="AX1211" s="13"/>
      <c r="AY1211" s="13"/>
      <c r="AZ1211" s="13"/>
      <c r="BA1211" s="13"/>
      <c r="BB1211" s="13"/>
      <c r="BC1211" s="13"/>
      <c r="BD1211" s="13"/>
      <c r="BE1211" s="13"/>
      <c r="BF1211" s="13"/>
      <c r="BG1211" s="13"/>
    </row>
    <row r="1212">
      <c r="A1212" s="69"/>
      <c r="B1212" s="69"/>
      <c r="C1212" s="13"/>
      <c r="D1212" s="99"/>
      <c r="E1212" s="13"/>
      <c r="F1212" s="99"/>
      <c r="G1212" s="69"/>
      <c r="H1212" s="98"/>
      <c r="J1212" s="69"/>
      <c r="K1212" s="99"/>
      <c r="L1212" s="389"/>
      <c r="M1212" s="182"/>
      <c r="N1212" s="375"/>
      <c r="O1212" s="378"/>
      <c r="P1212" s="13"/>
      <c r="Q1212" s="13"/>
      <c r="R1212" s="13"/>
      <c r="S1212" s="98"/>
      <c r="T1212" s="69"/>
      <c r="U1212" s="69"/>
      <c r="V1212" s="13"/>
      <c r="W1212" s="13"/>
      <c r="X1212" s="379"/>
      <c r="Y1212" s="150"/>
      <c r="Z1212" s="150"/>
      <c r="AA1212" s="150"/>
      <c r="AB1212" s="150"/>
      <c r="AC1212" s="150"/>
      <c r="AD1212" s="381"/>
      <c r="AE1212" s="150"/>
      <c r="AF1212" s="110"/>
      <c r="AG1212" s="105"/>
      <c r="AH1212" s="69"/>
      <c r="AI1212" s="105"/>
      <c r="AJ1212" s="98"/>
      <c r="AK1212" s="110"/>
      <c r="AL1212" s="98"/>
      <c r="AM1212" s="69"/>
      <c r="AN1212" s="13"/>
      <c r="AO1212" s="13"/>
      <c r="AP1212" s="13"/>
      <c r="AQ1212" s="13"/>
      <c r="AR1212" s="13"/>
      <c r="AS1212" s="13"/>
      <c r="AT1212" s="13"/>
      <c r="AU1212" s="13"/>
      <c r="AV1212" s="13"/>
      <c r="AW1212" s="13"/>
      <c r="AX1212" s="13"/>
      <c r="AY1212" s="13"/>
      <c r="AZ1212" s="13"/>
      <c r="BA1212" s="13"/>
      <c r="BB1212" s="13"/>
      <c r="BC1212" s="13"/>
      <c r="BD1212" s="13"/>
      <c r="BE1212" s="13"/>
      <c r="BF1212" s="13"/>
      <c r="BG1212" s="13"/>
    </row>
    <row r="1213">
      <c r="A1213" s="69"/>
      <c r="B1213" s="69"/>
      <c r="C1213" s="13"/>
      <c r="D1213" s="99"/>
      <c r="E1213" s="13"/>
      <c r="F1213" s="99"/>
      <c r="G1213" s="69"/>
      <c r="H1213" s="98"/>
      <c r="J1213" s="69"/>
      <c r="K1213" s="99"/>
      <c r="L1213" s="389"/>
      <c r="M1213" s="182"/>
      <c r="N1213" s="375"/>
      <c r="O1213" s="378"/>
      <c r="P1213" s="13"/>
      <c r="Q1213" s="13"/>
      <c r="R1213" s="13"/>
      <c r="S1213" s="98"/>
      <c r="T1213" s="69"/>
      <c r="U1213" s="69"/>
      <c r="V1213" s="13"/>
      <c r="W1213" s="13"/>
      <c r="X1213" s="379"/>
      <c r="Y1213" s="150"/>
      <c r="Z1213" s="150"/>
      <c r="AA1213" s="150"/>
      <c r="AB1213" s="150"/>
      <c r="AC1213" s="150"/>
      <c r="AD1213" s="381"/>
      <c r="AE1213" s="150"/>
      <c r="AF1213" s="110"/>
      <c r="AG1213" s="105"/>
      <c r="AH1213" s="69"/>
      <c r="AI1213" s="105"/>
      <c r="AJ1213" s="98"/>
      <c r="AK1213" s="110"/>
      <c r="AL1213" s="98"/>
      <c r="AM1213" s="69"/>
      <c r="AN1213" s="13"/>
      <c r="AO1213" s="13"/>
      <c r="AP1213" s="13"/>
      <c r="AQ1213" s="13"/>
      <c r="AR1213" s="13"/>
      <c r="AS1213" s="13"/>
      <c r="AT1213" s="13"/>
      <c r="AU1213" s="13"/>
      <c r="AV1213" s="13"/>
      <c r="AW1213" s="13"/>
      <c r="AX1213" s="13"/>
      <c r="AY1213" s="13"/>
      <c r="AZ1213" s="13"/>
      <c r="BA1213" s="13"/>
      <c r="BB1213" s="13"/>
      <c r="BC1213" s="13"/>
      <c r="BD1213" s="13"/>
      <c r="BE1213" s="13"/>
      <c r="BF1213" s="13"/>
      <c r="BG1213" s="13"/>
    </row>
    <row r="1214">
      <c r="A1214" s="69"/>
      <c r="B1214" s="69"/>
      <c r="C1214" s="13"/>
      <c r="D1214" s="99"/>
      <c r="E1214" s="13"/>
      <c r="F1214" s="99"/>
      <c r="G1214" s="69"/>
      <c r="H1214" s="98"/>
      <c r="J1214" s="69"/>
      <c r="K1214" s="99"/>
      <c r="L1214" s="389"/>
      <c r="M1214" s="182"/>
      <c r="N1214" s="375"/>
      <c r="O1214" s="378"/>
      <c r="P1214" s="13"/>
      <c r="Q1214" s="13"/>
      <c r="R1214" s="13"/>
      <c r="S1214" s="98"/>
      <c r="T1214" s="69"/>
      <c r="U1214" s="69"/>
      <c r="V1214" s="13"/>
      <c r="W1214" s="13"/>
      <c r="X1214" s="379"/>
      <c r="Y1214" s="150"/>
      <c r="Z1214" s="150"/>
      <c r="AA1214" s="150"/>
      <c r="AB1214" s="150"/>
      <c r="AC1214" s="150"/>
      <c r="AD1214" s="381"/>
      <c r="AE1214" s="150"/>
      <c r="AF1214" s="110"/>
      <c r="AG1214" s="105"/>
      <c r="AH1214" s="69"/>
      <c r="AI1214" s="105"/>
      <c r="AJ1214" s="98"/>
      <c r="AK1214" s="110"/>
      <c r="AL1214" s="98"/>
      <c r="AM1214" s="69"/>
      <c r="AN1214" s="13"/>
      <c r="AO1214" s="13"/>
      <c r="AP1214" s="13"/>
      <c r="AQ1214" s="13"/>
      <c r="AR1214" s="13"/>
      <c r="AS1214" s="13"/>
      <c r="AT1214" s="13"/>
      <c r="AU1214" s="13"/>
      <c r="AV1214" s="13"/>
      <c r="AW1214" s="13"/>
      <c r="AX1214" s="13"/>
      <c r="AY1214" s="13"/>
      <c r="AZ1214" s="13"/>
      <c r="BA1214" s="13"/>
      <c r="BB1214" s="13"/>
      <c r="BC1214" s="13"/>
      <c r="BD1214" s="13"/>
      <c r="BE1214" s="13"/>
      <c r="BF1214" s="13"/>
      <c r="BG1214" s="13"/>
    </row>
    <row r="1215">
      <c r="A1215" s="69"/>
      <c r="B1215" s="69"/>
      <c r="C1215" s="13"/>
      <c r="D1215" s="99"/>
      <c r="E1215" s="13"/>
      <c r="F1215" s="99"/>
      <c r="G1215" s="69"/>
      <c r="H1215" s="98"/>
      <c r="J1215" s="69"/>
      <c r="K1215" s="99"/>
      <c r="L1215" s="389"/>
      <c r="M1215" s="182"/>
      <c r="N1215" s="375"/>
      <c r="O1215" s="378"/>
      <c r="P1215" s="13"/>
      <c r="Q1215" s="13"/>
      <c r="R1215" s="13"/>
      <c r="S1215" s="98"/>
      <c r="T1215" s="69"/>
      <c r="U1215" s="69"/>
      <c r="V1215" s="13"/>
      <c r="W1215" s="13"/>
      <c r="X1215" s="379"/>
      <c r="Y1215" s="150"/>
      <c r="Z1215" s="150"/>
      <c r="AA1215" s="150"/>
      <c r="AB1215" s="150"/>
      <c r="AC1215" s="150"/>
      <c r="AD1215" s="381"/>
      <c r="AE1215" s="150"/>
      <c r="AF1215" s="110"/>
      <c r="AG1215" s="105"/>
      <c r="AH1215" s="69"/>
      <c r="AI1215" s="105"/>
      <c r="AJ1215" s="98"/>
      <c r="AK1215" s="110"/>
      <c r="AL1215" s="98"/>
      <c r="AM1215" s="69"/>
      <c r="AN1215" s="13"/>
      <c r="AO1215" s="13"/>
      <c r="AP1215" s="13"/>
      <c r="AQ1215" s="13"/>
      <c r="AR1215" s="13"/>
      <c r="AS1215" s="13"/>
      <c r="AT1215" s="13"/>
      <c r="AU1215" s="13"/>
      <c r="AV1215" s="13"/>
      <c r="AW1215" s="13"/>
      <c r="AX1215" s="13"/>
      <c r="AY1215" s="13"/>
      <c r="AZ1215" s="13"/>
      <c r="BA1215" s="13"/>
      <c r="BB1215" s="13"/>
      <c r="BC1215" s="13"/>
      <c r="BD1215" s="13"/>
      <c r="BE1215" s="13"/>
      <c r="BF1215" s="13"/>
      <c r="BG1215" s="13"/>
    </row>
    <row r="1216">
      <c r="A1216" s="69"/>
      <c r="B1216" s="69"/>
      <c r="C1216" s="13"/>
      <c r="D1216" s="99"/>
      <c r="E1216" s="13"/>
      <c r="F1216" s="99"/>
      <c r="G1216" s="69"/>
      <c r="H1216" s="98"/>
      <c r="J1216" s="69"/>
      <c r="K1216" s="99"/>
      <c r="L1216" s="389"/>
      <c r="M1216" s="182"/>
      <c r="N1216" s="375"/>
      <c r="O1216" s="378"/>
      <c r="P1216" s="13"/>
      <c r="Q1216" s="13"/>
      <c r="R1216" s="13"/>
      <c r="S1216" s="98"/>
      <c r="T1216" s="69"/>
      <c r="U1216" s="69"/>
      <c r="V1216" s="13"/>
      <c r="W1216" s="13"/>
      <c r="X1216" s="379"/>
      <c r="Y1216" s="150"/>
      <c r="Z1216" s="150"/>
      <c r="AA1216" s="150"/>
      <c r="AB1216" s="150"/>
      <c r="AC1216" s="150"/>
      <c r="AD1216" s="381"/>
      <c r="AE1216" s="150"/>
      <c r="AF1216" s="110"/>
      <c r="AG1216" s="105"/>
      <c r="AH1216" s="69"/>
      <c r="AI1216" s="105"/>
      <c r="AJ1216" s="98"/>
      <c r="AK1216" s="110"/>
      <c r="AL1216" s="98"/>
      <c r="AM1216" s="69"/>
      <c r="AN1216" s="13"/>
      <c r="AO1216" s="13"/>
      <c r="AP1216" s="13"/>
      <c r="AQ1216" s="13"/>
      <c r="AR1216" s="13"/>
      <c r="AS1216" s="13"/>
      <c r="AT1216" s="13"/>
      <c r="AU1216" s="13"/>
      <c r="AV1216" s="13"/>
      <c r="AW1216" s="13"/>
      <c r="AX1216" s="13"/>
      <c r="AY1216" s="13"/>
      <c r="AZ1216" s="13"/>
      <c r="BA1216" s="13"/>
      <c r="BB1216" s="13"/>
      <c r="BC1216" s="13"/>
      <c r="BD1216" s="13"/>
      <c r="BE1216" s="13"/>
      <c r="BF1216" s="13"/>
      <c r="BG1216" s="13"/>
    </row>
    <row r="1217">
      <c r="A1217" s="69"/>
      <c r="B1217" s="69"/>
      <c r="C1217" s="13"/>
      <c r="D1217" s="99"/>
      <c r="E1217" s="13"/>
      <c r="F1217" s="99"/>
      <c r="G1217" s="69"/>
      <c r="H1217" s="98"/>
      <c r="J1217" s="69"/>
      <c r="K1217" s="99"/>
      <c r="L1217" s="389"/>
      <c r="M1217" s="182"/>
      <c r="N1217" s="375"/>
      <c r="O1217" s="378"/>
      <c r="P1217" s="13"/>
      <c r="Q1217" s="13"/>
      <c r="R1217" s="13"/>
      <c r="S1217" s="98"/>
      <c r="T1217" s="69"/>
      <c r="U1217" s="69"/>
      <c r="V1217" s="13"/>
      <c r="W1217" s="13"/>
      <c r="X1217" s="379"/>
      <c r="Y1217" s="150"/>
      <c r="Z1217" s="150"/>
      <c r="AA1217" s="150"/>
      <c r="AB1217" s="150"/>
      <c r="AC1217" s="150"/>
      <c r="AD1217" s="381"/>
      <c r="AE1217" s="150"/>
      <c r="AF1217" s="110"/>
      <c r="AG1217" s="105"/>
      <c r="AH1217" s="69"/>
      <c r="AI1217" s="105"/>
      <c r="AJ1217" s="98"/>
      <c r="AK1217" s="110"/>
      <c r="AL1217" s="98"/>
      <c r="AM1217" s="69"/>
      <c r="AN1217" s="13"/>
      <c r="AO1217" s="13"/>
      <c r="AP1217" s="13"/>
      <c r="AQ1217" s="13"/>
      <c r="AR1217" s="13"/>
      <c r="AS1217" s="13"/>
      <c r="AT1217" s="13"/>
      <c r="AU1217" s="13"/>
      <c r="AV1217" s="13"/>
      <c r="AW1217" s="13"/>
      <c r="AX1217" s="13"/>
      <c r="AY1217" s="13"/>
      <c r="AZ1217" s="13"/>
      <c r="BA1217" s="13"/>
      <c r="BB1217" s="13"/>
      <c r="BC1217" s="13"/>
      <c r="BD1217" s="13"/>
      <c r="BE1217" s="13"/>
      <c r="BF1217" s="13"/>
      <c r="BG1217" s="13"/>
    </row>
    <row r="1218">
      <c r="A1218" s="69"/>
      <c r="B1218" s="69"/>
      <c r="C1218" s="13"/>
      <c r="D1218" s="99"/>
      <c r="E1218" s="13"/>
      <c r="F1218" s="99"/>
      <c r="G1218" s="69"/>
      <c r="H1218" s="98"/>
      <c r="J1218" s="69"/>
      <c r="K1218" s="99"/>
      <c r="L1218" s="389"/>
      <c r="M1218" s="182"/>
      <c r="N1218" s="375"/>
      <c r="O1218" s="378"/>
      <c r="P1218" s="13"/>
      <c r="Q1218" s="13"/>
      <c r="R1218" s="13"/>
      <c r="S1218" s="98"/>
      <c r="T1218" s="69"/>
      <c r="U1218" s="69"/>
      <c r="V1218" s="13"/>
      <c r="W1218" s="13"/>
      <c r="X1218" s="379"/>
      <c r="Y1218" s="150"/>
      <c r="Z1218" s="150"/>
      <c r="AA1218" s="150"/>
      <c r="AB1218" s="150"/>
      <c r="AC1218" s="150"/>
      <c r="AD1218" s="381"/>
      <c r="AE1218" s="150"/>
      <c r="AF1218" s="110"/>
      <c r="AG1218" s="105"/>
      <c r="AH1218" s="69"/>
      <c r="AI1218" s="105"/>
      <c r="AJ1218" s="98"/>
      <c r="AK1218" s="110"/>
      <c r="AL1218" s="98"/>
      <c r="AM1218" s="69"/>
      <c r="AN1218" s="13"/>
      <c r="AO1218" s="13"/>
      <c r="AP1218" s="13"/>
      <c r="AQ1218" s="13"/>
      <c r="AR1218" s="13"/>
      <c r="AS1218" s="13"/>
      <c r="AT1218" s="13"/>
      <c r="AU1218" s="13"/>
      <c r="AV1218" s="13"/>
      <c r="AW1218" s="13"/>
      <c r="AX1218" s="13"/>
      <c r="AY1218" s="13"/>
      <c r="AZ1218" s="13"/>
      <c r="BA1218" s="13"/>
      <c r="BB1218" s="13"/>
      <c r="BC1218" s="13"/>
      <c r="BD1218" s="13"/>
      <c r="BE1218" s="13"/>
      <c r="BF1218" s="13"/>
      <c r="BG1218" s="13"/>
    </row>
    <row r="1219">
      <c r="A1219" s="69"/>
      <c r="B1219" s="69"/>
      <c r="C1219" s="13"/>
      <c r="D1219" s="99"/>
      <c r="E1219" s="13"/>
      <c r="F1219" s="99"/>
      <c r="G1219" s="69"/>
      <c r="H1219" s="98"/>
      <c r="J1219" s="69"/>
      <c r="K1219" s="99"/>
      <c r="L1219" s="389"/>
      <c r="M1219" s="182"/>
      <c r="N1219" s="375"/>
      <c r="O1219" s="378"/>
      <c r="P1219" s="13"/>
      <c r="Q1219" s="13"/>
      <c r="R1219" s="13"/>
      <c r="S1219" s="98"/>
      <c r="T1219" s="69"/>
      <c r="U1219" s="69"/>
      <c r="V1219" s="13"/>
      <c r="W1219" s="13"/>
      <c r="X1219" s="379"/>
      <c r="Y1219" s="150"/>
      <c r="Z1219" s="150"/>
      <c r="AA1219" s="150"/>
      <c r="AB1219" s="150"/>
      <c r="AC1219" s="150"/>
      <c r="AD1219" s="381"/>
      <c r="AE1219" s="150"/>
      <c r="AF1219" s="110"/>
      <c r="AG1219" s="105"/>
      <c r="AH1219" s="69"/>
      <c r="AI1219" s="105"/>
      <c r="AJ1219" s="98"/>
      <c r="AK1219" s="110"/>
      <c r="AL1219" s="98"/>
      <c r="AM1219" s="69"/>
      <c r="AN1219" s="13"/>
      <c r="AO1219" s="13"/>
      <c r="AP1219" s="13"/>
      <c r="AQ1219" s="13"/>
      <c r="AR1219" s="13"/>
      <c r="AS1219" s="13"/>
      <c r="AT1219" s="13"/>
      <c r="AU1219" s="13"/>
      <c r="AV1219" s="13"/>
      <c r="AW1219" s="13"/>
      <c r="AX1219" s="13"/>
      <c r="AY1219" s="13"/>
      <c r="AZ1219" s="13"/>
      <c r="BA1219" s="13"/>
      <c r="BB1219" s="13"/>
      <c r="BC1219" s="13"/>
      <c r="BD1219" s="13"/>
      <c r="BE1219" s="13"/>
      <c r="BF1219" s="13"/>
      <c r="BG1219" s="13"/>
    </row>
    <row r="1220">
      <c r="A1220" s="69"/>
      <c r="B1220" s="69"/>
      <c r="C1220" s="13"/>
      <c r="D1220" s="99"/>
      <c r="E1220" s="13"/>
      <c r="F1220" s="99"/>
      <c r="G1220" s="69"/>
      <c r="H1220" s="98"/>
      <c r="J1220" s="69"/>
      <c r="K1220" s="99"/>
      <c r="L1220" s="389"/>
      <c r="M1220" s="182"/>
      <c r="N1220" s="375"/>
      <c r="O1220" s="378"/>
      <c r="P1220" s="13"/>
      <c r="Q1220" s="13"/>
      <c r="R1220" s="13"/>
      <c r="S1220" s="98"/>
      <c r="T1220" s="69"/>
      <c r="U1220" s="69"/>
      <c r="V1220" s="13"/>
      <c r="W1220" s="13"/>
      <c r="X1220" s="379"/>
      <c r="Y1220" s="150"/>
      <c r="Z1220" s="150"/>
      <c r="AA1220" s="150"/>
      <c r="AB1220" s="150"/>
      <c r="AC1220" s="150"/>
      <c r="AD1220" s="381"/>
      <c r="AE1220" s="150"/>
      <c r="AF1220" s="110"/>
      <c r="AG1220" s="105"/>
      <c r="AH1220" s="69"/>
      <c r="AI1220" s="105"/>
      <c r="AJ1220" s="98"/>
      <c r="AK1220" s="110"/>
      <c r="AL1220" s="98"/>
      <c r="AM1220" s="69"/>
      <c r="AN1220" s="13"/>
      <c r="AO1220" s="13"/>
      <c r="AP1220" s="13"/>
      <c r="AQ1220" s="13"/>
      <c r="AR1220" s="13"/>
      <c r="AS1220" s="13"/>
      <c r="AT1220" s="13"/>
      <c r="AU1220" s="13"/>
      <c r="AV1220" s="13"/>
      <c r="AW1220" s="13"/>
      <c r="AX1220" s="13"/>
      <c r="AY1220" s="13"/>
      <c r="AZ1220" s="13"/>
      <c r="BA1220" s="13"/>
      <c r="BB1220" s="13"/>
      <c r="BC1220" s="13"/>
      <c r="BD1220" s="13"/>
      <c r="BE1220" s="13"/>
      <c r="BF1220" s="13"/>
      <c r="BG1220" s="13"/>
    </row>
    <row r="1221">
      <c r="A1221" s="69"/>
      <c r="B1221" s="69"/>
      <c r="C1221" s="13"/>
      <c r="D1221" s="99"/>
      <c r="E1221" s="13"/>
      <c r="F1221" s="99"/>
      <c r="G1221" s="69"/>
      <c r="H1221" s="98"/>
      <c r="J1221" s="69"/>
      <c r="K1221" s="99"/>
      <c r="L1221" s="389"/>
      <c r="M1221" s="182"/>
      <c r="N1221" s="375"/>
      <c r="O1221" s="378"/>
      <c r="P1221" s="13"/>
      <c r="Q1221" s="13"/>
      <c r="R1221" s="13"/>
      <c r="S1221" s="98"/>
      <c r="T1221" s="69"/>
      <c r="U1221" s="69"/>
      <c r="V1221" s="13"/>
      <c r="W1221" s="13"/>
      <c r="X1221" s="379"/>
      <c r="Y1221" s="150"/>
      <c r="Z1221" s="150"/>
      <c r="AA1221" s="150"/>
      <c r="AB1221" s="150"/>
      <c r="AC1221" s="150"/>
      <c r="AD1221" s="381"/>
      <c r="AE1221" s="150"/>
      <c r="AF1221" s="110"/>
      <c r="AG1221" s="105"/>
      <c r="AH1221" s="69"/>
      <c r="AI1221" s="105"/>
      <c r="AJ1221" s="98"/>
      <c r="AK1221" s="110"/>
      <c r="AL1221" s="98"/>
      <c r="AM1221" s="69"/>
      <c r="AN1221" s="13"/>
      <c r="AO1221" s="13"/>
      <c r="AP1221" s="13"/>
      <c r="AQ1221" s="13"/>
      <c r="AR1221" s="13"/>
      <c r="AS1221" s="13"/>
      <c r="AT1221" s="13"/>
      <c r="AU1221" s="13"/>
      <c r="AV1221" s="13"/>
      <c r="AW1221" s="13"/>
      <c r="AX1221" s="13"/>
      <c r="AY1221" s="13"/>
      <c r="AZ1221" s="13"/>
      <c r="BA1221" s="13"/>
      <c r="BB1221" s="13"/>
      <c r="BC1221" s="13"/>
      <c r="BD1221" s="13"/>
      <c r="BE1221" s="13"/>
      <c r="BF1221" s="13"/>
      <c r="BG1221" s="13"/>
    </row>
    <row r="1222">
      <c r="A1222" s="69"/>
      <c r="B1222" s="69"/>
      <c r="C1222" s="13"/>
      <c r="D1222" s="99"/>
      <c r="E1222" s="13"/>
      <c r="F1222" s="99"/>
      <c r="G1222" s="69"/>
      <c r="H1222" s="98"/>
      <c r="J1222" s="69"/>
      <c r="K1222" s="99"/>
      <c r="L1222" s="389"/>
      <c r="M1222" s="182"/>
      <c r="N1222" s="375"/>
      <c r="O1222" s="378"/>
      <c r="P1222" s="13"/>
      <c r="Q1222" s="13"/>
      <c r="R1222" s="13"/>
      <c r="S1222" s="98"/>
      <c r="T1222" s="69"/>
      <c r="U1222" s="69"/>
      <c r="V1222" s="13"/>
      <c r="W1222" s="13"/>
      <c r="X1222" s="379"/>
      <c r="Y1222" s="150"/>
      <c r="Z1222" s="150"/>
      <c r="AA1222" s="150"/>
      <c r="AB1222" s="150"/>
      <c r="AC1222" s="150"/>
      <c r="AD1222" s="381"/>
      <c r="AE1222" s="150"/>
      <c r="AF1222" s="110"/>
      <c r="AG1222" s="105"/>
      <c r="AH1222" s="69"/>
      <c r="AI1222" s="105"/>
      <c r="AJ1222" s="98"/>
      <c r="AK1222" s="110"/>
      <c r="AL1222" s="98"/>
      <c r="AM1222" s="69"/>
      <c r="AN1222" s="13"/>
      <c r="AO1222" s="13"/>
      <c r="AP1222" s="13"/>
      <c r="AQ1222" s="13"/>
      <c r="AR1222" s="13"/>
      <c r="AS1222" s="13"/>
      <c r="AT1222" s="13"/>
      <c r="AU1222" s="13"/>
      <c r="AV1222" s="13"/>
      <c r="AW1222" s="13"/>
      <c r="AX1222" s="13"/>
      <c r="AY1222" s="13"/>
      <c r="AZ1222" s="13"/>
      <c r="BA1222" s="13"/>
      <c r="BB1222" s="13"/>
      <c r="BC1222" s="13"/>
      <c r="BD1222" s="13"/>
      <c r="BE1222" s="13"/>
      <c r="BF1222" s="13"/>
      <c r="BG1222" s="13"/>
    </row>
    <row r="1223">
      <c r="A1223" s="69"/>
      <c r="B1223" s="69"/>
      <c r="C1223" s="13"/>
      <c r="D1223" s="99"/>
      <c r="E1223" s="13"/>
      <c r="F1223" s="99"/>
      <c r="G1223" s="69"/>
      <c r="H1223" s="98"/>
      <c r="J1223" s="69"/>
      <c r="K1223" s="99"/>
      <c r="L1223" s="389"/>
      <c r="M1223" s="182"/>
      <c r="N1223" s="375"/>
      <c r="O1223" s="378"/>
      <c r="P1223" s="13"/>
      <c r="Q1223" s="13"/>
      <c r="R1223" s="13"/>
      <c r="S1223" s="98"/>
      <c r="T1223" s="69"/>
      <c r="U1223" s="69"/>
      <c r="V1223" s="13"/>
      <c r="W1223" s="13"/>
      <c r="X1223" s="379"/>
      <c r="Y1223" s="150"/>
      <c r="Z1223" s="150"/>
      <c r="AA1223" s="150"/>
      <c r="AB1223" s="150"/>
      <c r="AC1223" s="150"/>
      <c r="AD1223" s="381"/>
      <c r="AE1223" s="150"/>
      <c r="AF1223" s="110"/>
      <c r="AG1223" s="105"/>
      <c r="AH1223" s="69"/>
      <c r="AI1223" s="105"/>
      <c r="AJ1223" s="98"/>
      <c r="AK1223" s="110"/>
      <c r="AL1223" s="98"/>
      <c r="AM1223" s="69"/>
      <c r="AN1223" s="13"/>
      <c r="AO1223" s="13"/>
      <c r="AP1223" s="13"/>
      <c r="AQ1223" s="13"/>
      <c r="AR1223" s="13"/>
      <c r="AS1223" s="13"/>
      <c r="AT1223" s="13"/>
      <c r="AU1223" s="13"/>
      <c r="AV1223" s="13"/>
      <c r="AW1223" s="13"/>
      <c r="AX1223" s="13"/>
      <c r="AY1223" s="13"/>
      <c r="AZ1223" s="13"/>
      <c r="BA1223" s="13"/>
      <c r="BB1223" s="13"/>
      <c r="BC1223" s="13"/>
      <c r="BD1223" s="13"/>
      <c r="BE1223" s="13"/>
      <c r="BF1223" s="13"/>
      <c r="BG1223" s="13"/>
    </row>
    <row r="1224">
      <c r="A1224" s="69"/>
      <c r="B1224" s="69"/>
      <c r="C1224" s="13"/>
      <c r="D1224" s="99"/>
      <c r="E1224" s="13"/>
      <c r="F1224" s="99"/>
      <c r="G1224" s="69"/>
      <c r="H1224" s="98"/>
      <c r="J1224" s="69"/>
      <c r="K1224" s="99"/>
      <c r="L1224" s="389"/>
      <c r="M1224" s="182"/>
      <c r="N1224" s="375"/>
      <c r="O1224" s="378"/>
      <c r="P1224" s="13"/>
      <c r="Q1224" s="13"/>
      <c r="R1224" s="13"/>
      <c r="S1224" s="98"/>
      <c r="T1224" s="69"/>
      <c r="U1224" s="69"/>
      <c r="V1224" s="13"/>
      <c r="W1224" s="13"/>
      <c r="X1224" s="379"/>
      <c r="Y1224" s="150"/>
      <c r="Z1224" s="150"/>
      <c r="AA1224" s="150"/>
      <c r="AB1224" s="150"/>
      <c r="AC1224" s="150"/>
      <c r="AD1224" s="381"/>
      <c r="AE1224" s="150"/>
      <c r="AF1224" s="110"/>
      <c r="AG1224" s="105"/>
      <c r="AH1224" s="69"/>
      <c r="AI1224" s="105"/>
      <c r="AJ1224" s="98"/>
      <c r="AK1224" s="110"/>
      <c r="AL1224" s="98"/>
      <c r="AM1224" s="69"/>
      <c r="AN1224" s="13"/>
      <c r="AO1224" s="13"/>
      <c r="AP1224" s="13"/>
      <c r="AQ1224" s="13"/>
      <c r="AR1224" s="13"/>
      <c r="AS1224" s="13"/>
      <c r="AT1224" s="13"/>
      <c r="AU1224" s="13"/>
      <c r="AV1224" s="13"/>
      <c r="AW1224" s="13"/>
      <c r="AX1224" s="13"/>
      <c r="AY1224" s="13"/>
      <c r="AZ1224" s="13"/>
      <c r="BA1224" s="13"/>
      <c r="BB1224" s="13"/>
      <c r="BC1224" s="13"/>
      <c r="BD1224" s="13"/>
      <c r="BE1224" s="13"/>
      <c r="BF1224" s="13"/>
      <c r="BG1224" s="13"/>
    </row>
    <row r="1225">
      <c r="A1225" s="69"/>
      <c r="B1225" s="69"/>
      <c r="C1225" s="13"/>
      <c r="D1225" s="99"/>
      <c r="E1225" s="13"/>
      <c r="F1225" s="99"/>
      <c r="G1225" s="69"/>
      <c r="H1225" s="98"/>
      <c r="J1225" s="69"/>
      <c r="K1225" s="99"/>
      <c r="L1225" s="389"/>
      <c r="M1225" s="182"/>
      <c r="N1225" s="375"/>
      <c r="O1225" s="378"/>
      <c r="P1225" s="13"/>
      <c r="Q1225" s="13"/>
      <c r="R1225" s="13"/>
      <c r="S1225" s="98"/>
      <c r="T1225" s="69"/>
      <c r="U1225" s="69"/>
      <c r="V1225" s="13"/>
      <c r="W1225" s="13"/>
      <c r="X1225" s="379"/>
      <c r="Y1225" s="150"/>
      <c r="Z1225" s="150"/>
      <c r="AA1225" s="150"/>
      <c r="AB1225" s="150"/>
      <c r="AC1225" s="150"/>
      <c r="AD1225" s="381"/>
      <c r="AE1225" s="150"/>
      <c r="AF1225" s="110"/>
      <c r="AG1225" s="105"/>
      <c r="AH1225" s="69"/>
      <c r="AI1225" s="105"/>
      <c r="AJ1225" s="98"/>
      <c r="AK1225" s="110"/>
      <c r="AL1225" s="98"/>
      <c r="AM1225" s="69"/>
      <c r="AN1225" s="13"/>
      <c r="AO1225" s="13"/>
      <c r="AP1225" s="13"/>
      <c r="AQ1225" s="13"/>
      <c r="AR1225" s="13"/>
      <c r="AS1225" s="13"/>
      <c r="AT1225" s="13"/>
      <c r="AU1225" s="13"/>
      <c r="AV1225" s="13"/>
      <c r="AW1225" s="13"/>
      <c r="AX1225" s="13"/>
      <c r="AY1225" s="13"/>
      <c r="AZ1225" s="13"/>
      <c r="BA1225" s="13"/>
      <c r="BB1225" s="13"/>
      <c r="BC1225" s="13"/>
      <c r="BD1225" s="13"/>
      <c r="BE1225" s="13"/>
      <c r="BF1225" s="13"/>
      <c r="BG1225" s="13"/>
    </row>
    <row r="1226">
      <c r="A1226" s="69"/>
      <c r="B1226" s="69"/>
      <c r="C1226" s="13"/>
      <c r="D1226" s="99"/>
      <c r="E1226" s="13"/>
      <c r="F1226" s="99"/>
      <c r="G1226" s="69"/>
      <c r="H1226" s="98"/>
      <c r="J1226" s="69"/>
      <c r="K1226" s="99"/>
      <c r="L1226" s="389"/>
      <c r="M1226" s="182"/>
      <c r="N1226" s="375"/>
      <c r="O1226" s="378"/>
      <c r="P1226" s="13"/>
      <c r="Q1226" s="13"/>
      <c r="R1226" s="13"/>
      <c r="S1226" s="98"/>
      <c r="T1226" s="69"/>
      <c r="U1226" s="69"/>
      <c r="V1226" s="13"/>
      <c r="W1226" s="13"/>
      <c r="X1226" s="379"/>
      <c r="Y1226" s="150"/>
      <c r="Z1226" s="150"/>
      <c r="AA1226" s="150"/>
      <c r="AB1226" s="150"/>
      <c r="AC1226" s="150"/>
      <c r="AD1226" s="381"/>
      <c r="AE1226" s="150"/>
      <c r="AF1226" s="110"/>
      <c r="AG1226" s="105"/>
      <c r="AH1226" s="69"/>
      <c r="AI1226" s="105"/>
      <c r="AJ1226" s="98"/>
      <c r="AK1226" s="110"/>
      <c r="AL1226" s="98"/>
      <c r="AM1226" s="69"/>
      <c r="AN1226" s="13"/>
      <c r="AO1226" s="13"/>
      <c r="AP1226" s="13"/>
      <c r="AQ1226" s="13"/>
      <c r="AR1226" s="13"/>
      <c r="AS1226" s="13"/>
      <c r="AT1226" s="13"/>
      <c r="AU1226" s="13"/>
      <c r="AV1226" s="13"/>
      <c r="AW1226" s="13"/>
      <c r="AX1226" s="13"/>
      <c r="AY1226" s="13"/>
      <c r="AZ1226" s="13"/>
      <c r="BA1226" s="13"/>
      <c r="BB1226" s="13"/>
      <c r="BC1226" s="13"/>
      <c r="BD1226" s="13"/>
      <c r="BE1226" s="13"/>
      <c r="BF1226" s="13"/>
      <c r="BG1226" s="13"/>
    </row>
    <row r="1227">
      <c r="A1227" s="69"/>
      <c r="B1227" s="69"/>
      <c r="C1227" s="13"/>
      <c r="D1227" s="99"/>
      <c r="E1227" s="13"/>
      <c r="F1227" s="99"/>
      <c r="G1227" s="69"/>
      <c r="H1227" s="98"/>
      <c r="J1227" s="69"/>
      <c r="K1227" s="99"/>
      <c r="L1227" s="389"/>
      <c r="M1227" s="182"/>
      <c r="N1227" s="375"/>
      <c r="O1227" s="378"/>
      <c r="P1227" s="13"/>
      <c r="Q1227" s="13"/>
      <c r="R1227" s="13"/>
      <c r="S1227" s="98"/>
      <c r="T1227" s="69"/>
      <c r="U1227" s="69"/>
      <c r="V1227" s="13"/>
      <c r="W1227" s="13"/>
      <c r="X1227" s="379"/>
      <c r="Y1227" s="150"/>
      <c r="Z1227" s="150"/>
      <c r="AA1227" s="150"/>
      <c r="AB1227" s="150"/>
      <c r="AC1227" s="150"/>
      <c r="AD1227" s="381"/>
      <c r="AE1227" s="150"/>
      <c r="AF1227" s="110"/>
      <c r="AG1227" s="105"/>
      <c r="AH1227" s="69"/>
      <c r="AI1227" s="105"/>
      <c r="AJ1227" s="98"/>
      <c r="AK1227" s="110"/>
      <c r="AL1227" s="98"/>
      <c r="AM1227" s="69"/>
      <c r="AN1227" s="13"/>
      <c r="AO1227" s="13"/>
      <c r="AP1227" s="13"/>
      <c r="AQ1227" s="13"/>
      <c r="AR1227" s="13"/>
      <c r="AS1227" s="13"/>
      <c r="AT1227" s="13"/>
      <c r="AU1227" s="13"/>
      <c r="AV1227" s="13"/>
      <c r="AW1227" s="13"/>
      <c r="AX1227" s="13"/>
      <c r="AY1227" s="13"/>
      <c r="AZ1227" s="13"/>
      <c r="BA1227" s="13"/>
      <c r="BB1227" s="13"/>
      <c r="BC1227" s="13"/>
      <c r="BD1227" s="13"/>
      <c r="BE1227" s="13"/>
      <c r="BF1227" s="13"/>
      <c r="BG1227" s="13"/>
    </row>
    <row r="1228">
      <c r="A1228" s="69"/>
      <c r="B1228" s="69"/>
      <c r="C1228" s="13"/>
      <c r="D1228" s="99"/>
      <c r="E1228" s="13"/>
      <c r="F1228" s="99"/>
      <c r="G1228" s="69"/>
      <c r="H1228" s="98"/>
      <c r="J1228" s="69"/>
      <c r="K1228" s="99"/>
      <c r="L1228" s="389"/>
      <c r="M1228" s="182"/>
      <c r="N1228" s="375"/>
      <c r="O1228" s="378"/>
      <c r="P1228" s="13"/>
      <c r="Q1228" s="13"/>
      <c r="R1228" s="13"/>
      <c r="S1228" s="98"/>
      <c r="T1228" s="69"/>
      <c r="U1228" s="69"/>
      <c r="V1228" s="13"/>
      <c r="W1228" s="13"/>
      <c r="X1228" s="379"/>
      <c r="Y1228" s="150"/>
      <c r="Z1228" s="150"/>
      <c r="AA1228" s="150"/>
      <c r="AB1228" s="150"/>
      <c r="AC1228" s="150"/>
      <c r="AD1228" s="381"/>
      <c r="AE1228" s="150"/>
      <c r="AF1228" s="110"/>
      <c r="AG1228" s="105"/>
      <c r="AH1228" s="69"/>
      <c r="AI1228" s="105"/>
      <c r="AJ1228" s="98"/>
      <c r="AK1228" s="110"/>
      <c r="AL1228" s="98"/>
      <c r="AM1228" s="69"/>
      <c r="AN1228" s="13"/>
      <c r="AO1228" s="13"/>
      <c r="AP1228" s="13"/>
      <c r="AQ1228" s="13"/>
      <c r="AR1228" s="13"/>
      <c r="AS1228" s="13"/>
      <c r="AT1228" s="13"/>
      <c r="AU1228" s="13"/>
      <c r="AV1228" s="13"/>
      <c r="AW1228" s="13"/>
      <c r="AX1228" s="13"/>
      <c r="AY1228" s="13"/>
      <c r="AZ1228" s="13"/>
      <c r="BA1228" s="13"/>
      <c r="BB1228" s="13"/>
      <c r="BC1228" s="13"/>
      <c r="BD1228" s="13"/>
      <c r="BE1228" s="13"/>
      <c r="BF1228" s="13"/>
      <c r="BG1228" s="13"/>
    </row>
    <row r="1229">
      <c r="A1229" s="69"/>
      <c r="B1229" s="69"/>
      <c r="C1229" s="13"/>
      <c r="D1229" s="99"/>
      <c r="E1229" s="13"/>
      <c r="F1229" s="99"/>
      <c r="G1229" s="69"/>
      <c r="H1229" s="98"/>
      <c r="J1229" s="69"/>
      <c r="K1229" s="99"/>
      <c r="L1229" s="389"/>
      <c r="M1229" s="182"/>
      <c r="N1229" s="375"/>
      <c r="O1229" s="378"/>
      <c r="P1229" s="13"/>
      <c r="Q1229" s="13"/>
      <c r="R1229" s="13"/>
      <c r="S1229" s="98"/>
      <c r="T1229" s="69"/>
      <c r="U1229" s="69"/>
      <c r="V1229" s="13"/>
      <c r="W1229" s="13"/>
      <c r="X1229" s="379"/>
      <c r="Y1229" s="150"/>
      <c r="Z1229" s="150"/>
      <c r="AA1229" s="150"/>
      <c r="AB1229" s="150"/>
      <c r="AC1229" s="150"/>
      <c r="AD1229" s="381"/>
      <c r="AE1229" s="150"/>
      <c r="AF1229" s="110"/>
      <c r="AG1229" s="105"/>
      <c r="AH1229" s="69"/>
      <c r="AI1229" s="105"/>
      <c r="AJ1229" s="98"/>
      <c r="AK1229" s="110"/>
      <c r="AL1229" s="98"/>
      <c r="AM1229" s="69"/>
      <c r="AN1229" s="13"/>
      <c r="AO1229" s="13"/>
      <c r="AP1229" s="13"/>
      <c r="AQ1229" s="13"/>
      <c r="AR1229" s="13"/>
      <c r="AS1229" s="13"/>
      <c r="AT1229" s="13"/>
      <c r="AU1229" s="13"/>
      <c r="AV1229" s="13"/>
      <c r="AW1229" s="13"/>
      <c r="AX1229" s="13"/>
      <c r="AY1229" s="13"/>
      <c r="AZ1229" s="13"/>
      <c r="BA1229" s="13"/>
      <c r="BB1229" s="13"/>
      <c r="BC1229" s="13"/>
      <c r="BD1229" s="13"/>
      <c r="BE1229" s="13"/>
      <c r="BF1229" s="13"/>
      <c r="BG1229" s="13"/>
    </row>
    <row r="1230">
      <c r="A1230" s="69"/>
      <c r="B1230" s="69"/>
      <c r="C1230" s="13"/>
      <c r="D1230" s="99"/>
      <c r="E1230" s="13"/>
      <c r="F1230" s="99"/>
      <c r="G1230" s="69"/>
      <c r="H1230" s="98"/>
      <c r="J1230" s="69"/>
      <c r="K1230" s="99"/>
      <c r="L1230" s="389"/>
      <c r="M1230" s="182"/>
      <c r="N1230" s="375"/>
      <c r="O1230" s="378"/>
      <c r="P1230" s="13"/>
      <c r="Q1230" s="13"/>
      <c r="R1230" s="13"/>
      <c r="S1230" s="98"/>
      <c r="T1230" s="69"/>
      <c r="U1230" s="69"/>
      <c r="V1230" s="13"/>
      <c r="W1230" s="13"/>
      <c r="X1230" s="379"/>
      <c r="Y1230" s="150"/>
      <c r="Z1230" s="150"/>
      <c r="AA1230" s="150"/>
      <c r="AB1230" s="150"/>
      <c r="AC1230" s="150"/>
      <c r="AD1230" s="381"/>
      <c r="AE1230" s="150"/>
      <c r="AF1230" s="110"/>
      <c r="AG1230" s="105"/>
      <c r="AH1230" s="69"/>
      <c r="AI1230" s="105"/>
      <c r="AJ1230" s="98"/>
      <c r="AK1230" s="110"/>
      <c r="AL1230" s="98"/>
      <c r="AM1230" s="69"/>
      <c r="AN1230" s="13"/>
      <c r="AO1230" s="13"/>
      <c r="AP1230" s="13"/>
      <c r="AQ1230" s="13"/>
      <c r="AR1230" s="13"/>
      <c r="AS1230" s="13"/>
      <c r="AT1230" s="13"/>
      <c r="AU1230" s="13"/>
      <c r="AV1230" s="13"/>
      <c r="AW1230" s="13"/>
      <c r="AX1230" s="13"/>
      <c r="AY1230" s="13"/>
      <c r="AZ1230" s="13"/>
      <c r="BA1230" s="13"/>
      <c r="BB1230" s="13"/>
      <c r="BC1230" s="13"/>
      <c r="BD1230" s="13"/>
      <c r="BE1230" s="13"/>
      <c r="BF1230" s="13"/>
      <c r="BG1230" s="13"/>
    </row>
    <row r="1231">
      <c r="A1231" s="69"/>
      <c r="B1231" s="69"/>
      <c r="C1231" s="13"/>
      <c r="D1231" s="99"/>
      <c r="E1231" s="13"/>
      <c r="F1231" s="99"/>
      <c r="G1231" s="69"/>
      <c r="H1231" s="98"/>
      <c r="J1231" s="69"/>
      <c r="K1231" s="99"/>
      <c r="L1231" s="389"/>
      <c r="M1231" s="182"/>
      <c r="N1231" s="375"/>
      <c r="O1231" s="378"/>
      <c r="P1231" s="13"/>
      <c r="Q1231" s="13"/>
      <c r="R1231" s="13"/>
      <c r="S1231" s="98"/>
      <c r="T1231" s="69"/>
      <c r="U1231" s="69"/>
      <c r="V1231" s="13"/>
      <c r="W1231" s="13"/>
      <c r="X1231" s="379"/>
      <c r="Y1231" s="150"/>
      <c r="Z1231" s="150"/>
      <c r="AA1231" s="150"/>
      <c r="AB1231" s="150"/>
      <c r="AC1231" s="150"/>
      <c r="AD1231" s="381"/>
      <c r="AE1231" s="150"/>
      <c r="AF1231" s="110"/>
      <c r="AG1231" s="105"/>
      <c r="AH1231" s="69"/>
      <c r="AI1231" s="105"/>
      <c r="AJ1231" s="98"/>
      <c r="AK1231" s="110"/>
      <c r="AL1231" s="98"/>
      <c r="AM1231" s="69"/>
      <c r="AN1231" s="13"/>
      <c r="AO1231" s="13"/>
      <c r="AP1231" s="13"/>
      <c r="AQ1231" s="13"/>
      <c r="AR1231" s="13"/>
      <c r="AS1231" s="13"/>
      <c r="AT1231" s="13"/>
      <c r="AU1231" s="13"/>
      <c r="AV1231" s="13"/>
      <c r="AW1231" s="13"/>
      <c r="AX1231" s="13"/>
      <c r="AY1231" s="13"/>
      <c r="AZ1231" s="13"/>
      <c r="BA1231" s="13"/>
      <c r="BB1231" s="13"/>
      <c r="BC1231" s="13"/>
      <c r="BD1231" s="13"/>
      <c r="BE1231" s="13"/>
      <c r="BF1231" s="13"/>
      <c r="BG1231" s="13"/>
    </row>
    <row r="1232">
      <c r="A1232" s="69"/>
      <c r="B1232" s="69"/>
      <c r="C1232" s="13"/>
      <c r="D1232" s="99"/>
      <c r="E1232" s="13"/>
      <c r="F1232" s="99"/>
      <c r="G1232" s="69"/>
      <c r="H1232" s="98"/>
      <c r="J1232" s="69"/>
      <c r="K1232" s="99"/>
      <c r="L1232" s="389"/>
      <c r="M1232" s="182"/>
      <c r="N1232" s="375"/>
      <c r="O1232" s="378"/>
      <c r="P1232" s="13"/>
      <c r="Q1232" s="13"/>
      <c r="R1232" s="13"/>
      <c r="S1232" s="98"/>
      <c r="T1232" s="69"/>
      <c r="U1232" s="69"/>
      <c r="V1232" s="13"/>
      <c r="W1232" s="13"/>
      <c r="X1232" s="379"/>
      <c r="Y1232" s="150"/>
      <c r="Z1232" s="150"/>
      <c r="AA1232" s="150"/>
      <c r="AB1232" s="150"/>
      <c r="AC1232" s="150"/>
      <c r="AD1232" s="381"/>
      <c r="AE1232" s="150"/>
      <c r="AF1232" s="110"/>
      <c r="AG1232" s="105"/>
      <c r="AH1232" s="69"/>
      <c r="AI1232" s="105"/>
      <c r="AJ1232" s="98"/>
      <c r="AK1232" s="110"/>
      <c r="AL1232" s="98"/>
      <c r="AM1232" s="69"/>
      <c r="AN1232" s="13"/>
      <c r="AO1232" s="13"/>
      <c r="AP1232" s="13"/>
      <c r="AQ1232" s="13"/>
      <c r="AR1232" s="13"/>
      <c r="AS1232" s="13"/>
      <c r="AT1232" s="13"/>
      <c r="AU1232" s="13"/>
      <c r="AV1232" s="13"/>
      <c r="AW1232" s="13"/>
      <c r="AX1232" s="13"/>
      <c r="AY1232" s="13"/>
      <c r="AZ1232" s="13"/>
      <c r="BA1232" s="13"/>
      <c r="BB1232" s="13"/>
      <c r="BC1232" s="13"/>
      <c r="BD1232" s="13"/>
      <c r="BE1232" s="13"/>
      <c r="BF1232" s="13"/>
      <c r="BG1232" s="13"/>
    </row>
    <row r="1233">
      <c r="A1233" s="69"/>
      <c r="B1233" s="69"/>
      <c r="C1233" s="13"/>
      <c r="D1233" s="99"/>
      <c r="E1233" s="13"/>
      <c r="F1233" s="99"/>
      <c r="G1233" s="69"/>
      <c r="H1233" s="98"/>
      <c r="J1233" s="69"/>
      <c r="K1233" s="99"/>
      <c r="L1233" s="389"/>
      <c r="M1233" s="182"/>
      <c r="N1233" s="375"/>
      <c r="O1233" s="378"/>
      <c r="P1233" s="13"/>
      <c r="Q1233" s="13"/>
      <c r="R1233" s="13"/>
      <c r="S1233" s="98"/>
      <c r="T1233" s="69"/>
      <c r="U1233" s="69"/>
      <c r="V1233" s="13"/>
      <c r="W1233" s="13"/>
      <c r="X1233" s="379"/>
      <c r="Y1233" s="150"/>
      <c r="Z1233" s="150"/>
      <c r="AA1233" s="150"/>
      <c r="AB1233" s="150"/>
      <c r="AC1233" s="150"/>
      <c r="AD1233" s="381"/>
      <c r="AE1233" s="150"/>
      <c r="AF1233" s="110"/>
      <c r="AG1233" s="105"/>
      <c r="AH1233" s="69"/>
      <c r="AI1233" s="105"/>
      <c r="AJ1233" s="98"/>
      <c r="AK1233" s="110"/>
      <c r="AL1233" s="98"/>
      <c r="AM1233" s="69"/>
      <c r="AN1233" s="13"/>
      <c r="AO1233" s="13"/>
      <c r="AP1233" s="13"/>
      <c r="AQ1233" s="13"/>
      <c r="AR1233" s="13"/>
      <c r="AS1233" s="13"/>
      <c r="AT1233" s="13"/>
      <c r="AU1233" s="13"/>
      <c r="AV1233" s="13"/>
      <c r="AW1233" s="13"/>
      <c r="AX1233" s="13"/>
      <c r="AY1233" s="13"/>
      <c r="AZ1233" s="13"/>
      <c r="BA1233" s="13"/>
      <c r="BB1233" s="13"/>
      <c r="BC1233" s="13"/>
      <c r="BD1233" s="13"/>
      <c r="BE1233" s="13"/>
      <c r="BF1233" s="13"/>
      <c r="BG1233" s="13"/>
    </row>
    <row r="1234">
      <c r="A1234" s="69"/>
      <c r="B1234" s="69"/>
      <c r="C1234" s="13"/>
      <c r="D1234" s="99"/>
      <c r="E1234" s="13"/>
      <c r="F1234" s="99"/>
      <c r="G1234" s="69"/>
      <c r="H1234" s="98"/>
      <c r="J1234" s="69"/>
      <c r="K1234" s="99"/>
      <c r="L1234" s="389"/>
      <c r="M1234" s="182"/>
      <c r="N1234" s="375"/>
      <c r="O1234" s="378"/>
      <c r="P1234" s="13"/>
      <c r="Q1234" s="13"/>
      <c r="R1234" s="13"/>
      <c r="S1234" s="98"/>
      <c r="T1234" s="69"/>
      <c r="U1234" s="69"/>
      <c r="V1234" s="13"/>
      <c r="W1234" s="13"/>
      <c r="X1234" s="379"/>
      <c r="Y1234" s="150"/>
      <c r="Z1234" s="150"/>
      <c r="AA1234" s="150"/>
      <c r="AB1234" s="150"/>
      <c r="AC1234" s="150"/>
      <c r="AD1234" s="381"/>
      <c r="AE1234" s="150"/>
      <c r="AF1234" s="110"/>
      <c r="AG1234" s="105"/>
      <c r="AH1234" s="69"/>
      <c r="AI1234" s="105"/>
      <c r="AJ1234" s="98"/>
      <c r="AK1234" s="110"/>
      <c r="AL1234" s="98"/>
      <c r="AM1234" s="69"/>
      <c r="AN1234" s="13"/>
      <c r="AO1234" s="13"/>
      <c r="AP1234" s="13"/>
      <c r="AQ1234" s="13"/>
      <c r="AR1234" s="13"/>
      <c r="AS1234" s="13"/>
      <c r="AT1234" s="13"/>
      <c r="AU1234" s="13"/>
      <c r="AV1234" s="13"/>
      <c r="AW1234" s="13"/>
      <c r="AX1234" s="13"/>
      <c r="AY1234" s="13"/>
      <c r="AZ1234" s="13"/>
      <c r="BA1234" s="13"/>
      <c r="BB1234" s="13"/>
      <c r="BC1234" s="13"/>
      <c r="BD1234" s="13"/>
      <c r="BE1234" s="13"/>
      <c r="BF1234" s="13"/>
      <c r="BG1234" s="13"/>
    </row>
    <row r="1235">
      <c r="A1235" s="69"/>
      <c r="B1235" s="69"/>
      <c r="C1235" s="13"/>
      <c r="D1235" s="99"/>
      <c r="E1235" s="13"/>
      <c r="F1235" s="99"/>
      <c r="G1235" s="69"/>
      <c r="H1235" s="98"/>
      <c r="J1235" s="69"/>
      <c r="K1235" s="99"/>
      <c r="L1235" s="389"/>
      <c r="M1235" s="182"/>
      <c r="N1235" s="375"/>
      <c r="O1235" s="378"/>
      <c r="P1235" s="13"/>
      <c r="Q1235" s="13"/>
      <c r="R1235" s="13"/>
      <c r="S1235" s="98"/>
      <c r="T1235" s="69"/>
      <c r="U1235" s="69"/>
      <c r="V1235" s="13"/>
      <c r="W1235" s="13"/>
      <c r="X1235" s="379"/>
      <c r="Y1235" s="150"/>
      <c r="Z1235" s="150"/>
      <c r="AA1235" s="150"/>
      <c r="AB1235" s="150"/>
      <c r="AC1235" s="150"/>
      <c r="AD1235" s="381"/>
      <c r="AE1235" s="150"/>
      <c r="AF1235" s="110"/>
      <c r="AG1235" s="105"/>
      <c r="AH1235" s="69"/>
      <c r="AI1235" s="105"/>
      <c r="AJ1235" s="98"/>
      <c r="AK1235" s="110"/>
      <c r="AL1235" s="98"/>
      <c r="AM1235" s="69"/>
      <c r="AN1235" s="13"/>
      <c r="AO1235" s="13"/>
      <c r="AP1235" s="13"/>
      <c r="AQ1235" s="13"/>
      <c r="AR1235" s="13"/>
      <c r="AS1235" s="13"/>
      <c r="AT1235" s="13"/>
      <c r="AU1235" s="13"/>
      <c r="AV1235" s="13"/>
      <c r="AW1235" s="13"/>
      <c r="AX1235" s="13"/>
      <c r="AY1235" s="13"/>
      <c r="AZ1235" s="13"/>
      <c r="BA1235" s="13"/>
      <c r="BB1235" s="13"/>
      <c r="BC1235" s="13"/>
      <c r="BD1235" s="13"/>
      <c r="BE1235" s="13"/>
      <c r="BF1235" s="13"/>
      <c r="BG1235" s="13"/>
    </row>
    <row r="1236">
      <c r="A1236" s="69"/>
      <c r="B1236" s="69"/>
      <c r="C1236" s="13"/>
      <c r="D1236" s="99"/>
      <c r="E1236" s="13"/>
      <c r="F1236" s="99"/>
      <c r="G1236" s="69"/>
      <c r="H1236" s="98"/>
      <c r="J1236" s="69"/>
      <c r="K1236" s="99"/>
      <c r="L1236" s="389"/>
      <c r="M1236" s="182"/>
      <c r="N1236" s="375"/>
      <c r="O1236" s="378"/>
      <c r="P1236" s="13"/>
      <c r="Q1236" s="13"/>
      <c r="R1236" s="13"/>
      <c r="S1236" s="98"/>
      <c r="T1236" s="69"/>
      <c r="U1236" s="69"/>
      <c r="V1236" s="13"/>
      <c r="W1236" s="13"/>
      <c r="X1236" s="379"/>
      <c r="Y1236" s="150"/>
      <c r="Z1236" s="150"/>
      <c r="AA1236" s="150"/>
      <c r="AB1236" s="150"/>
      <c r="AC1236" s="150"/>
      <c r="AD1236" s="381"/>
      <c r="AE1236" s="150"/>
      <c r="AF1236" s="110"/>
      <c r="AG1236" s="105"/>
      <c r="AH1236" s="69"/>
      <c r="AI1236" s="105"/>
      <c r="AJ1236" s="98"/>
      <c r="AK1236" s="110"/>
      <c r="AL1236" s="98"/>
      <c r="AM1236" s="69"/>
      <c r="AN1236" s="13"/>
      <c r="AO1236" s="13"/>
      <c r="AP1236" s="13"/>
      <c r="AQ1236" s="13"/>
      <c r="AR1236" s="13"/>
      <c r="AS1236" s="13"/>
      <c r="AT1236" s="13"/>
      <c r="AU1236" s="13"/>
      <c r="AV1236" s="13"/>
      <c r="AW1236" s="13"/>
      <c r="AX1236" s="13"/>
      <c r="AY1236" s="13"/>
      <c r="AZ1236" s="13"/>
      <c r="BA1236" s="13"/>
      <c r="BB1236" s="13"/>
      <c r="BC1236" s="13"/>
      <c r="BD1236" s="13"/>
      <c r="BE1236" s="13"/>
      <c r="BF1236" s="13"/>
      <c r="BG1236" s="13"/>
    </row>
    <row r="1237">
      <c r="A1237" s="69"/>
      <c r="B1237" s="69"/>
      <c r="C1237" s="13"/>
      <c r="D1237" s="99"/>
      <c r="E1237" s="13"/>
      <c r="F1237" s="99"/>
      <c r="G1237" s="69"/>
      <c r="H1237" s="98"/>
      <c r="J1237" s="69"/>
      <c r="K1237" s="99"/>
      <c r="L1237" s="389"/>
      <c r="M1237" s="182"/>
      <c r="N1237" s="375"/>
      <c r="O1237" s="378"/>
      <c r="P1237" s="13"/>
      <c r="Q1237" s="13"/>
      <c r="R1237" s="13"/>
      <c r="S1237" s="98"/>
      <c r="T1237" s="69"/>
      <c r="U1237" s="69"/>
      <c r="V1237" s="13"/>
      <c r="W1237" s="13"/>
      <c r="X1237" s="379"/>
      <c r="Y1237" s="150"/>
      <c r="Z1237" s="150"/>
      <c r="AA1237" s="150"/>
      <c r="AB1237" s="150"/>
      <c r="AC1237" s="150"/>
      <c r="AD1237" s="381"/>
      <c r="AE1237" s="150"/>
      <c r="AF1237" s="110"/>
      <c r="AG1237" s="105"/>
      <c r="AH1237" s="69"/>
      <c r="AI1237" s="105"/>
      <c r="AJ1237" s="98"/>
      <c r="AK1237" s="110"/>
      <c r="AL1237" s="98"/>
      <c r="AM1237" s="69"/>
      <c r="AN1237" s="13"/>
      <c r="AO1237" s="13"/>
      <c r="AP1237" s="13"/>
      <c r="AQ1237" s="13"/>
      <c r="AR1237" s="13"/>
      <c r="AS1237" s="13"/>
      <c r="AT1237" s="13"/>
      <c r="AU1237" s="13"/>
      <c r="AV1237" s="13"/>
      <c r="AW1237" s="13"/>
      <c r="AX1237" s="13"/>
      <c r="AY1237" s="13"/>
      <c r="AZ1237" s="13"/>
      <c r="BA1237" s="13"/>
      <c r="BB1237" s="13"/>
      <c r="BC1237" s="13"/>
      <c r="BD1237" s="13"/>
      <c r="BE1237" s="13"/>
      <c r="BF1237" s="13"/>
      <c r="BG1237" s="13"/>
    </row>
    <row r="1238">
      <c r="A1238" s="69"/>
      <c r="B1238" s="69"/>
      <c r="C1238" s="13"/>
      <c r="D1238" s="99"/>
      <c r="E1238" s="13"/>
      <c r="F1238" s="99"/>
      <c r="G1238" s="69"/>
      <c r="H1238" s="98"/>
      <c r="J1238" s="69"/>
      <c r="K1238" s="99"/>
      <c r="L1238" s="389"/>
      <c r="M1238" s="182"/>
      <c r="N1238" s="375"/>
      <c r="O1238" s="378"/>
      <c r="P1238" s="13"/>
      <c r="Q1238" s="13"/>
      <c r="R1238" s="13"/>
      <c r="S1238" s="98"/>
      <c r="T1238" s="69"/>
      <c r="U1238" s="69"/>
      <c r="V1238" s="13"/>
      <c r="W1238" s="13"/>
      <c r="X1238" s="379"/>
      <c r="Y1238" s="150"/>
      <c r="Z1238" s="150"/>
      <c r="AA1238" s="150"/>
      <c r="AB1238" s="150"/>
      <c r="AC1238" s="150"/>
      <c r="AD1238" s="381"/>
      <c r="AE1238" s="150"/>
      <c r="AF1238" s="110"/>
      <c r="AG1238" s="105"/>
      <c r="AH1238" s="69"/>
      <c r="AI1238" s="105"/>
      <c r="AJ1238" s="98"/>
      <c r="AK1238" s="110"/>
      <c r="AL1238" s="98"/>
      <c r="AM1238" s="69"/>
      <c r="AN1238" s="13"/>
      <c r="AO1238" s="13"/>
      <c r="AP1238" s="13"/>
      <c r="AQ1238" s="13"/>
      <c r="AR1238" s="13"/>
      <c r="AS1238" s="13"/>
      <c r="AT1238" s="13"/>
      <c r="AU1238" s="13"/>
      <c r="AV1238" s="13"/>
      <c r="AW1238" s="13"/>
      <c r="AX1238" s="13"/>
      <c r="AY1238" s="13"/>
      <c r="AZ1238" s="13"/>
      <c r="BA1238" s="13"/>
      <c r="BB1238" s="13"/>
      <c r="BC1238" s="13"/>
      <c r="BD1238" s="13"/>
      <c r="BE1238" s="13"/>
      <c r="BF1238" s="13"/>
      <c r="BG1238" s="13"/>
    </row>
    <row r="1239">
      <c r="A1239" s="69"/>
      <c r="B1239" s="69"/>
      <c r="C1239" s="13"/>
      <c r="D1239" s="99"/>
      <c r="E1239" s="13"/>
      <c r="F1239" s="99"/>
      <c r="G1239" s="69"/>
      <c r="H1239" s="98"/>
      <c r="J1239" s="69"/>
      <c r="K1239" s="99"/>
      <c r="L1239" s="389"/>
      <c r="M1239" s="182"/>
      <c r="N1239" s="375"/>
      <c r="O1239" s="378"/>
      <c r="P1239" s="13"/>
      <c r="Q1239" s="13"/>
      <c r="R1239" s="13"/>
      <c r="S1239" s="98"/>
      <c r="T1239" s="69"/>
      <c r="U1239" s="69"/>
      <c r="V1239" s="13"/>
      <c r="W1239" s="13"/>
      <c r="X1239" s="379"/>
      <c r="Y1239" s="150"/>
      <c r="Z1239" s="150"/>
      <c r="AA1239" s="150"/>
      <c r="AB1239" s="150"/>
      <c r="AC1239" s="150"/>
      <c r="AD1239" s="381"/>
      <c r="AE1239" s="150"/>
      <c r="AF1239" s="110"/>
      <c r="AG1239" s="105"/>
      <c r="AH1239" s="69"/>
      <c r="AI1239" s="105"/>
      <c r="AJ1239" s="98"/>
      <c r="AK1239" s="110"/>
      <c r="AL1239" s="98"/>
      <c r="AM1239" s="69"/>
      <c r="AN1239" s="13"/>
      <c r="AO1239" s="13"/>
      <c r="AP1239" s="13"/>
      <c r="AQ1239" s="13"/>
      <c r="AR1239" s="13"/>
      <c r="AS1239" s="13"/>
      <c r="AT1239" s="13"/>
      <c r="AU1239" s="13"/>
      <c r="AV1239" s="13"/>
      <c r="AW1239" s="13"/>
      <c r="AX1239" s="13"/>
      <c r="AY1239" s="13"/>
      <c r="AZ1239" s="13"/>
      <c r="BA1239" s="13"/>
      <c r="BB1239" s="13"/>
      <c r="BC1239" s="13"/>
      <c r="BD1239" s="13"/>
      <c r="BE1239" s="13"/>
      <c r="BF1239" s="13"/>
      <c r="BG1239" s="13"/>
    </row>
    <row r="1240">
      <c r="A1240" s="69"/>
      <c r="B1240" s="69"/>
      <c r="C1240" s="13"/>
      <c r="D1240" s="99"/>
      <c r="E1240" s="13"/>
      <c r="F1240" s="99"/>
      <c r="G1240" s="69"/>
      <c r="H1240" s="98"/>
      <c r="J1240" s="69"/>
      <c r="K1240" s="99"/>
      <c r="L1240" s="389"/>
      <c r="M1240" s="182"/>
      <c r="N1240" s="375"/>
      <c r="O1240" s="378"/>
      <c r="P1240" s="13"/>
      <c r="Q1240" s="13"/>
      <c r="R1240" s="13"/>
      <c r="S1240" s="98"/>
      <c r="T1240" s="69"/>
      <c r="U1240" s="69"/>
      <c r="V1240" s="13"/>
      <c r="W1240" s="13"/>
      <c r="X1240" s="379"/>
      <c r="Y1240" s="150"/>
      <c r="Z1240" s="150"/>
      <c r="AA1240" s="150"/>
      <c r="AB1240" s="150"/>
      <c r="AC1240" s="150"/>
      <c r="AD1240" s="381"/>
      <c r="AE1240" s="150"/>
      <c r="AF1240" s="110"/>
      <c r="AG1240" s="105"/>
      <c r="AH1240" s="69"/>
      <c r="AI1240" s="105"/>
      <c r="AJ1240" s="98"/>
      <c r="AK1240" s="110"/>
      <c r="AL1240" s="98"/>
      <c r="AM1240" s="69"/>
      <c r="AN1240" s="13"/>
      <c r="AO1240" s="13"/>
      <c r="AP1240" s="13"/>
      <c r="AQ1240" s="13"/>
      <c r="AR1240" s="13"/>
      <c r="AS1240" s="13"/>
      <c r="AT1240" s="13"/>
      <c r="AU1240" s="13"/>
      <c r="AV1240" s="13"/>
      <c r="AW1240" s="13"/>
      <c r="AX1240" s="13"/>
      <c r="AY1240" s="13"/>
      <c r="AZ1240" s="13"/>
      <c r="BA1240" s="13"/>
      <c r="BB1240" s="13"/>
      <c r="BC1240" s="13"/>
      <c r="BD1240" s="13"/>
      <c r="BE1240" s="13"/>
      <c r="BF1240" s="13"/>
      <c r="BG1240" s="13"/>
    </row>
    <row r="1241">
      <c r="A1241" s="69"/>
      <c r="B1241" s="69"/>
      <c r="C1241" s="13"/>
      <c r="D1241" s="99"/>
      <c r="E1241" s="13"/>
      <c r="F1241" s="99"/>
      <c r="G1241" s="69"/>
      <c r="H1241" s="98"/>
      <c r="J1241" s="69"/>
      <c r="K1241" s="99"/>
      <c r="L1241" s="389"/>
      <c r="M1241" s="182"/>
      <c r="N1241" s="375"/>
      <c r="O1241" s="378"/>
      <c r="P1241" s="13"/>
      <c r="Q1241" s="13"/>
      <c r="R1241" s="13"/>
      <c r="S1241" s="98"/>
      <c r="T1241" s="69"/>
      <c r="U1241" s="69"/>
      <c r="V1241" s="13"/>
      <c r="W1241" s="13"/>
      <c r="X1241" s="379"/>
      <c r="Y1241" s="150"/>
      <c r="Z1241" s="150"/>
      <c r="AA1241" s="150"/>
      <c r="AB1241" s="150"/>
      <c r="AC1241" s="150"/>
      <c r="AD1241" s="381"/>
      <c r="AE1241" s="150"/>
      <c r="AF1241" s="110"/>
      <c r="AG1241" s="105"/>
      <c r="AH1241" s="69"/>
      <c r="AI1241" s="105"/>
      <c r="AJ1241" s="98"/>
      <c r="AK1241" s="110"/>
      <c r="AL1241" s="98"/>
      <c r="AM1241" s="69"/>
      <c r="AN1241" s="13"/>
      <c r="AO1241" s="13"/>
      <c r="AP1241" s="13"/>
      <c r="AQ1241" s="13"/>
      <c r="AR1241" s="13"/>
      <c r="AS1241" s="13"/>
      <c r="AT1241" s="13"/>
      <c r="AU1241" s="13"/>
      <c r="AV1241" s="13"/>
      <c r="AW1241" s="13"/>
      <c r="AX1241" s="13"/>
      <c r="AY1241" s="13"/>
      <c r="AZ1241" s="13"/>
      <c r="BA1241" s="13"/>
      <c r="BB1241" s="13"/>
      <c r="BC1241" s="13"/>
      <c r="BD1241" s="13"/>
      <c r="BE1241" s="13"/>
      <c r="BF1241" s="13"/>
      <c r="BG1241" s="13"/>
    </row>
    <row r="1242">
      <c r="A1242" s="69"/>
      <c r="B1242" s="69"/>
      <c r="C1242" s="13"/>
      <c r="D1242" s="99"/>
      <c r="E1242" s="13"/>
      <c r="F1242" s="99"/>
      <c r="G1242" s="69"/>
      <c r="H1242" s="98"/>
      <c r="J1242" s="69"/>
      <c r="K1242" s="99"/>
      <c r="L1242" s="389"/>
      <c r="M1242" s="182"/>
      <c r="N1242" s="375"/>
      <c r="O1242" s="378"/>
      <c r="P1242" s="13"/>
      <c r="Q1242" s="13"/>
      <c r="R1242" s="13"/>
      <c r="S1242" s="98"/>
      <c r="T1242" s="69"/>
      <c r="U1242" s="69"/>
      <c r="V1242" s="13"/>
      <c r="W1242" s="13"/>
      <c r="X1242" s="379"/>
      <c r="Y1242" s="150"/>
      <c r="Z1242" s="150"/>
      <c r="AA1242" s="150"/>
      <c r="AB1242" s="150"/>
      <c r="AC1242" s="150"/>
      <c r="AD1242" s="381"/>
      <c r="AE1242" s="150"/>
      <c r="AF1242" s="110"/>
      <c r="AG1242" s="105"/>
      <c r="AH1242" s="69"/>
      <c r="AI1242" s="105"/>
      <c r="AJ1242" s="98"/>
      <c r="AK1242" s="110"/>
      <c r="AL1242" s="98"/>
      <c r="AM1242" s="69"/>
      <c r="AN1242" s="13"/>
      <c r="AO1242" s="13"/>
      <c r="AP1242" s="13"/>
      <c r="AQ1242" s="13"/>
      <c r="AR1242" s="13"/>
      <c r="AS1242" s="13"/>
      <c r="AT1242" s="13"/>
      <c r="AU1242" s="13"/>
      <c r="AV1242" s="13"/>
      <c r="AW1242" s="13"/>
      <c r="AX1242" s="13"/>
      <c r="AY1242" s="13"/>
      <c r="AZ1242" s="13"/>
      <c r="BA1242" s="13"/>
      <c r="BB1242" s="13"/>
      <c r="BC1242" s="13"/>
      <c r="BD1242" s="13"/>
      <c r="BE1242" s="13"/>
      <c r="BF1242" s="13"/>
      <c r="BG1242" s="13"/>
    </row>
    <row r="1243">
      <c r="A1243" s="69"/>
      <c r="B1243" s="69"/>
      <c r="C1243" s="13"/>
      <c r="D1243" s="99"/>
      <c r="E1243" s="13"/>
      <c r="F1243" s="99"/>
      <c r="G1243" s="69"/>
      <c r="H1243" s="98"/>
      <c r="J1243" s="69"/>
      <c r="K1243" s="99"/>
      <c r="L1243" s="389"/>
      <c r="M1243" s="182"/>
      <c r="N1243" s="375"/>
      <c r="O1243" s="378"/>
      <c r="P1243" s="13"/>
      <c r="Q1243" s="13"/>
      <c r="R1243" s="13"/>
      <c r="S1243" s="98"/>
      <c r="T1243" s="69"/>
      <c r="U1243" s="69"/>
      <c r="V1243" s="13"/>
      <c r="W1243" s="13"/>
      <c r="X1243" s="379"/>
      <c r="Y1243" s="150"/>
      <c r="Z1243" s="150"/>
      <c r="AA1243" s="150"/>
      <c r="AB1243" s="150"/>
      <c r="AC1243" s="150"/>
      <c r="AD1243" s="381"/>
      <c r="AE1243" s="150"/>
      <c r="AF1243" s="110"/>
      <c r="AG1243" s="105"/>
      <c r="AH1243" s="69"/>
      <c r="AI1243" s="105"/>
      <c r="AJ1243" s="98"/>
      <c r="AK1243" s="110"/>
      <c r="AL1243" s="98"/>
      <c r="AM1243" s="69"/>
      <c r="AN1243" s="13"/>
      <c r="AO1243" s="13"/>
      <c r="AP1243" s="13"/>
      <c r="AQ1243" s="13"/>
      <c r="AR1243" s="13"/>
      <c r="AS1243" s="13"/>
      <c r="AT1243" s="13"/>
      <c r="AU1243" s="13"/>
      <c r="AV1243" s="13"/>
      <c r="AW1243" s="13"/>
      <c r="AX1243" s="13"/>
      <c r="AY1243" s="13"/>
      <c r="AZ1243" s="13"/>
      <c r="BA1243" s="13"/>
      <c r="BB1243" s="13"/>
      <c r="BC1243" s="13"/>
      <c r="BD1243" s="13"/>
      <c r="BE1243" s="13"/>
      <c r="BF1243" s="13"/>
      <c r="BG1243" s="13"/>
    </row>
    <row r="1244">
      <c r="A1244" s="69"/>
      <c r="B1244" s="69"/>
      <c r="C1244" s="13"/>
      <c r="D1244" s="99"/>
      <c r="E1244" s="13"/>
      <c r="F1244" s="99"/>
      <c r="G1244" s="69"/>
      <c r="H1244" s="98"/>
      <c r="J1244" s="69"/>
      <c r="K1244" s="99"/>
      <c r="L1244" s="389"/>
      <c r="M1244" s="182"/>
      <c r="N1244" s="375"/>
      <c r="O1244" s="378"/>
      <c r="P1244" s="13"/>
      <c r="Q1244" s="13"/>
      <c r="R1244" s="13"/>
      <c r="S1244" s="98"/>
      <c r="T1244" s="69"/>
      <c r="U1244" s="69"/>
      <c r="V1244" s="13"/>
      <c r="W1244" s="13"/>
      <c r="X1244" s="379"/>
      <c r="Y1244" s="150"/>
      <c r="Z1244" s="150"/>
      <c r="AA1244" s="150"/>
      <c r="AB1244" s="150"/>
      <c r="AC1244" s="150"/>
      <c r="AD1244" s="381"/>
      <c r="AE1244" s="150"/>
      <c r="AF1244" s="110"/>
      <c r="AG1244" s="105"/>
      <c r="AH1244" s="69"/>
      <c r="AI1244" s="105"/>
      <c r="AJ1244" s="98"/>
      <c r="AK1244" s="110"/>
      <c r="AL1244" s="98"/>
      <c r="AM1244" s="69"/>
      <c r="AN1244" s="13"/>
      <c r="AO1244" s="13"/>
      <c r="AP1244" s="13"/>
      <c r="AQ1244" s="13"/>
      <c r="AR1244" s="13"/>
      <c r="AS1244" s="13"/>
      <c r="AT1244" s="13"/>
      <c r="AU1244" s="13"/>
      <c r="AV1244" s="13"/>
      <c r="AW1244" s="13"/>
      <c r="AX1244" s="13"/>
      <c r="AY1244" s="13"/>
      <c r="AZ1244" s="13"/>
      <c r="BA1244" s="13"/>
      <c r="BB1244" s="13"/>
      <c r="BC1244" s="13"/>
      <c r="BD1244" s="13"/>
      <c r="BE1244" s="13"/>
      <c r="BF1244" s="13"/>
      <c r="BG1244" s="13"/>
    </row>
    <row r="1245">
      <c r="A1245" s="69"/>
      <c r="B1245" s="69"/>
      <c r="C1245" s="13"/>
      <c r="D1245" s="99"/>
      <c r="E1245" s="13"/>
      <c r="F1245" s="99"/>
      <c r="G1245" s="69"/>
      <c r="H1245" s="98"/>
      <c r="J1245" s="69"/>
      <c r="K1245" s="99"/>
      <c r="L1245" s="389"/>
      <c r="M1245" s="182"/>
      <c r="N1245" s="375"/>
      <c r="O1245" s="378"/>
      <c r="P1245" s="13"/>
      <c r="Q1245" s="13"/>
      <c r="R1245" s="13"/>
      <c r="S1245" s="98"/>
      <c r="T1245" s="69"/>
      <c r="U1245" s="69"/>
      <c r="V1245" s="13"/>
      <c r="W1245" s="13"/>
      <c r="X1245" s="379"/>
      <c r="Y1245" s="150"/>
      <c r="Z1245" s="150"/>
      <c r="AA1245" s="150"/>
      <c r="AB1245" s="150"/>
      <c r="AC1245" s="150"/>
      <c r="AD1245" s="381"/>
      <c r="AE1245" s="150"/>
      <c r="AF1245" s="110"/>
      <c r="AG1245" s="105"/>
      <c r="AH1245" s="69"/>
      <c r="AI1245" s="105"/>
      <c r="AJ1245" s="98"/>
      <c r="AK1245" s="110"/>
      <c r="AL1245" s="98"/>
      <c r="AM1245" s="69"/>
      <c r="AN1245" s="13"/>
      <c r="AO1245" s="13"/>
      <c r="AP1245" s="13"/>
      <c r="AQ1245" s="13"/>
      <c r="AR1245" s="13"/>
      <c r="AS1245" s="13"/>
      <c r="AT1245" s="13"/>
      <c r="AU1245" s="13"/>
      <c r="AV1245" s="13"/>
      <c r="AW1245" s="13"/>
      <c r="AX1245" s="13"/>
      <c r="AY1245" s="13"/>
      <c r="AZ1245" s="13"/>
      <c r="BA1245" s="13"/>
      <c r="BB1245" s="13"/>
      <c r="BC1245" s="13"/>
      <c r="BD1245" s="13"/>
      <c r="BE1245" s="13"/>
      <c r="BF1245" s="13"/>
      <c r="BG1245" s="13"/>
    </row>
    <row r="1246">
      <c r="A1246" s="69"/>
      <c r="B1246" s="69"/>
      <c r="C1246" s="13"/>
      <c r="D1246" s="99"/>
      <c r="E1246" s="13"/>
      <c r="F1246" s="99"/>
      <c r="G1246" s="69"/>
      <c r="H1246" s="98"/>
      <c r="J1246" s="69"/>
      <c r="K1246" s="99"/>
      <c r="L1246" s="389"/>
      <c r="M1246" s="182"/>
      <c r="N1246" s="375"/>
      <c r="O1246" s="378"/>
      <c r="P1246" s="13"/>
      <c r="Q1246" s="13"/>
      <c r="R1246" s="13"/>
      <c r="S1246" s="98"/>
      <c r="T1246" s="69"/>
      <c r="U1246" s="69"/>
      <c r="V1246" s="13"/>
      <c r="W1246" s="13"/>
      <c r="X1246" s="379"/>
      <c r="Y1246" s="150"/>
      <c r="Z1246" s="150"/>
      <c r="AA1246" s="150"/>
      <c r="AB1246" s="150"/>
      <c r="AC1246" s="150"/>
      <c r="AD1246" s="381"/>
      <c r="AE1246" s="150"/>
      <c r="AF1246" s="110"/>
      <c r="AG1246" s="105"/>
      <c r="AH1246" s="69"/>
      <c r="AI1246" s="105"/>
      <c r="AJ1246" s="98"/>
      <c r="AK1246" s="110"/>
      <c r="AL1246" s="98"/>
      <c r="AM1246" s="69"/>
      <c r="AN1246" s="13"/>
      <c r="AO1246" s="13"/>
      <c r="AP1246" s="13"/>
      <c r="AQ1246" s="13"/>
      <c r="AR1246" s="13"/>
      <c r="AS1246" s="13"/>
      <c r="AT1246" s="13"/>
      <c r="AU1246" s="13"/>
      <c r="AV1246" s="13"/>
      <c r="AW1246" s="13"/>
      <c r="AX1246" s="13"/>
      <c r="AY1246" s="13"/>
      <c r="AZ1246" s="13"/>
      <c r="BA1246" s="13"/>
      <c r="BB1246" s="13"/>
      <c r="BC1246" s="13"/>
      <c r="BD1246" s="13"/>
      <c r="BE1246" s="13"/>
      <c r="BF1246" s="13"/>
      <c r="BG1246" s="13"/>
    </row>
    <row r="1247">
      <c r="A1247" s="69"/>
      <c r="B1247" s="69"/>
      <c r="C1247" s="13"/>
      <c r="D1247" s="99"/>
      <c r="E1247" s="13"/>
      <c r="F1247" s="99"/>
      <c r="G1247" s="69"/>
      <c r="H1247" s="98"/>
      <c r="J1247" s="69"/>
      <c r="K1247" s="99"/>
      <c r="L1247" s="389"/>
      <c r="M1247" s="182"/>
      <c r="N1247" s="375"/>
      <c r="O1247" s="378"/>
      <c r="P1247" s="13"/>
      <c r="Q1247" s="13"/>
      <c r="R1247" s="13"/>
      <c r="S1247" s="98"/>
      <c r="T1247" s="69"/>
      <c r="U1247" s="69"/>
      <c r="V1247" s="13"/>
      <c r="W1247" s="13"/>
      <c r="X1247" s="379"/>
      <c r="Y1247" s="150"/>
      <c r="Z1247" s="150"/>
      <c r="AA1247" s="150"/>
      <c r="AB1247" s="150"/>
      <c r="AC1247" s="150"/>
      <c r="AD1247" s="381"/>
      <c r="AE1247" s="150"/>
      <c r="AF1247" s="110"/>
      <c r="AG1247" s="105"/>
      <c r="AH1247" s="69"/>
      <c r="AI1247" s="105"/>
      <c r="AJ1247" s="98"/>
      <c r="AK1247" s="110"/>
      <c r="AL1247" s="98"/>
      <c r="AM1247" s="69"/>
      <c r="AN1247" s="13"/>
      <c r="AO1247" s="13"/>
      <c r="AP1247" s="13"/>
      <c r="AQ1247" s="13"/>
      <c r="AR1247" s="13"/>
      <c r="AS1247" s="13"/>
      <c r="AT1247" s="13"/>
      <c r="AU1247" s="13"/>
      <c r="AV1247" s="13"/>
      <c r="AW1247" s="13"/>
      <c r="AX1247" s="13"/>
      <c r="AY1247" s="13"/>
      <c r="AZ1247" s="13"/>
      <c r="BA1247" s="13"/>
      <c r="BB1247" s="13"/>
      <c r="BC1247" s="13"/>
      <c r="BD1247" s="13"/>
      <c r="BE1247" s="13"/>
      <c r="BF1247" s="13"/>
      <c r="BG1247" s="13"/>
    </row>
    <row r="1248">
      <c r="A1248" s="69"/>
      <c r="B1248" s="69"/>
      <c r="C1248" s="13"/>
      <c r="D1248" s="99"/>
      <c r="E1248" s="13"/>
      <c r="F1248" s="99"/>
      <c r="G1248" s="69"/>
      <c r="H1248" s="98"/>
      <c r="J1248" s="69"/>
      <c r="K1248" s="99"/>
      <c r="L1248" s="389"/>
      <c r="M1248" s="182"/>
      <c r="N1248" s="375"/>
      <c r="O1248" s="378"/>
      <c r="P1248" s="13"/>
      <c r="Q1248" s="13"/>
      <c r="R1248" s="13"/>
      <c r="S1248" s="98"/>
      <c r="T1248" s="69"/>
      <c r="U1248" s="69"/>
      <c r="V1248" s="13"/>
      <c r="W1248" s="13"/>
      <c r="X1248" s="379"/>
      <c r="Y1248" s="150"/>
      <c r="Z1248" s="150"/>
      <c r="AA1248" s="150"/>
      <c r="AB1248" s="150"/>
      <c r="AC1248" s="150"/>
      <c r="AD1248" s="381"/>
      <c r="AE1248" s="150"/>
      <c r="AF1248" s="110"/>
      <c r="AG1248" s="105"/>
      <c r="AH1248" s="69"/>
      <c r="AI1248" s="105"/>
      <c r="AJ1248" s="98"/>
      <c r="AK1248" s="110"/>
      <c r="AL1248" s="98"/>
      <c r="AM1248" s="69"/>
      <c r="AN1248" s="13"/>
      <c r="AO1248" s="13"/>
      <c r="AP1248" s="13"/>
      <c r="AQ1248" s="13"/>
      <c r="AR1248" s="13"/>
      <c r="AS1248" s="13"/>
      <c r="AT1248" s="13"/>
      <c r="AU1248" s="13"/>
      <c r="AV1248" s="13"/>
      <c r="AW1248" s="13"/>
      <c r="AX1248" s="13"/>
      <c r="AY1248" s="13"/>
      <c r="AZ1248" s="13"/>
      <c r="BA1248" s="13"/>
      <c r="BB1248" s="13"/>
      <c r="BC1248" s="13"/>
      <c r="BD1248" s="13"/>
      <c r="BE1248" s="13"/>
      <c r="BF1248" s="13"/>
      <c r="BG1248" s="13"/>
    </row>
    <row r="1249">
      <c r="A1249" s="69"/>
      <c r="B1249" s="69"/>
      <c r="C1249" s="13"/>
      <c r="D1249" s="99"/>
      <c r="E1249" s="13"/>
      <c r="F1249" s="99"/>
      <c r="G1249" s="69"/>
      <c r="H1249" s="98"/>
      <c r="J1249" s="69"/>
      <c r="K1249" s="99"/>
      <c r="L1249" s="389"/>
      <c r="M1249" s="182"/>
      <c r="N1249" s="375"/>
      <c r="O1249" s="378"/>
      <c r="P1249" s="13"/>
      <c r="Q1249" s="13"/>
      <c r="R1249" s="13"/>
      <c r="S1249" s="98"/>
      <c r="T1249" s="69"/>
      <c r="U1249" s="69"/>
      <c r="V1249" s="13"/>
      <c r="W1249" s="13"/>
      <c r="X1249" s="379"/>
      <c r="Y1249" s="150"/>
      <c r="Z1249" s="150"/>
      <c r="AA1249" s="150"/>
      <c r="AB1249" s="150"/>
      <c r="AC1249" s="150"/>
      <c r="AD1249" s="381"/>
      <c r="AE1249" s="150"/>
      <c r="AF1249" s="110"/>
      <c r="AG1249" s="105"/>
      <c r="AH1249" s="69"/>
      <c r="AI1249" s="105"/>
      <c r="AJ1249" s="98"/>
      <c r="AK1249" s="110"/>
      <c r="AL1249" s="98"/>
      <c r="AM1249" s="69"/>
      <c r="AN1249" s="13"/>
      <c r="AO1249" s="13"/>
      <c r="AP1249" s="13"/>
      <c r="AQ1249" s="13"/>
      <c r="AR1249" s="13"/>
      <c r="AS1249" s="13"/>
      <c r="AT1249" s="13"/>
      <c r="AU1249" s="13"/>
      <c r="AV1249" s="13"/>
      <c r="AW1249" s="13"/>
      <c r="AX1249" s="13"/>
      <c r="AY1249" s="13"/>
      <c r="AZ1249" s="13"/>
      <c r="BA1249" s="13"/>
      <c r="BB1249" s="13"/>
      <c r="BC1249" s="13"/>
      <c r="BD1249" s="13"/>
      <c r="BE1249" s="13"/>
      <c r="BF1249" s="13"/>
      <c r="BG1249" s="13"/>
    </row>
    <row r="1250">
      <c r="A1250" s="69"/>
      <c r="B1250" s="69"/>
      <c r="C1250" s="13"/>
      <c r="D1250" s="99"/>
      <c r="E1250" s="13"/>
      <c r="F1250" s="99"/>
      <c r="G1250" s="69"/>
      <c r="H1250" s="98"/>
      <c r="J1250" s="69"/>
      <c r="K1250" s="99"/>
      <c r="L1250" s="389"/>
      <c r="M1250" s="182"/>
      <c r="N1250" s="375"/>
      <c r="O1250" s="378"/>
      <c r="P1250" s="13"/>
      <c r="Q1250" s="13"/>
      <c r="R1250" s="13"/>
      <c r="S1250" s="98"/>
      <c r="T1250" s="69"/>
      <c r="U1250" s="69"/>
      <c r="V1250" s="13"/>
      <c r="W1250" s="13"/>
      <c r="X1250" s="379"/>
      <c r="Y1250" s="150"/>
      <c r="Z1250" s="150"/>
      <c r="AA1250" s="150"/>
      <c r="AB1250" s="150"/>
      <c r="AC1250" s="150"/>
      <c r="AD1250" s="381"/>
      <c r="AE1250" s="150"/>
      <c r="AF1250" s="110"/>
      <c r="AG1250" s="105"/>
      <c r="AH1250" s="69"/>
      <c r="AI1250" s="105"/>
      <c r="AJ1250" s="98"/>
      <c r="AK1250" s="110"/>
      <c r="AL1250" s="98"/>
      <c r="AM1250" s="69"/>
      <c r="AN1250" s="13"/>
      <c r="AO1250" s="13"/>
      <c r="AP1250" s="13"/>
      <c r="AQ1250" s="13"/>
      <c r="AR1250" s="13"/>
      <c r="AS1250" s="13"/>
      <c r="AT1250" s="13"/>
      <c r="AU1250" s="13"/>
      <c r="AV1250" s="13"/>
      <c r="AW1250" s="13"/>
      <c r="AX1250" s="13"/>
      <c r="AY1250" s="13"/>
      <c r="AZ1250" s="13"/>
      <c r="BA1250" s="13"/>
      <c r="BB1250" s="13"/>
      <c r="BC1250" s="13"/>
      <c r="BD1250" s="13"/>
      <c r="BE1250" s="13"/>
      <c r="BF1250" s="13"/>
      <c r="BG1250" s="13"/>
    </row>
    <row r="1251">
      <c r="A1251" s="69"/>
      <c r="B1251" s="69"/>
      <c r="C1251" s="13"/>
      <c r="D1251" s="99"/>
      <c r="E1251" s="13"/>
      <c r="F1251" s="99"/>
      <c r="G1251" s="69"/>
      <c r="H1251" s="98"/>
      <c r="J1251" s="69"/>
      <c r="K1251" s="99"/>
      <c r="L1251" s="389"/>
      <c r="M1251" s="182"/>
      <c r="N1251" s="375"/>
      <c r="O1251" s="378"/>
      <c r="P1251" s="13"/>
      <c r="Q1251" s="13"/>
      <c r="R1251" s="13"/>
      <c r="S1251" s="98"/>
      <c r="T1251" s="69"/>
      <c r="U1251" s="69"/>
      <c r="V1251" s="13"/>
      <c r="W1251" s="13"/>
      <c r="X1251" s="379"/>
      <c r="Y1251" s="150"/>
      <c r="Z1251" s="150"/>
      <c r="AA1251" s="150"/>
      <c r="AB1251" s="150"/>
      <c r="AC1251" s="150"/>
      <c r="AD1251" s="381"/>
      <c r="AE1251" s="150"/>
      <c r="AF1251" s="110"/>
      <c r="AG1251" s="105"/>
      <c r="AH1251" s="69"/>
      <c r="AI1251" s="105"/>
      <c r="AJ1251" s="98"/>
      <c r="AK1251" s="110"/>
      <c r="AL1251" s="98"/>
      <c r="AM1251" s="69"/>
      <c r="AN1251" s="13"/>
      <c r="AO1251" s="13"/>
      <c r="AP1251" s="13"/>
      <c r="AQ1251" s="13"/>
      <c r="AR1251" s="13"/>
      <c r="AS1251" s="13"/>
      <c r="AT1251" s="13"/>
      <c r="AU1251" s="13"/>
      <c r="AV1251" s="13"/>
      <c r="AW1251" s="13"/>
      <c r="AX1251" s="13"/>
      <c r="AY1251" s="13"/>
      <c r="AZ1251" s="13"/>
      <c r="BA1251" s="13"/>
      <c r="BB1251" s="13"/>
      <c r="BC1251" s="13"/>
      <c r="BD1251" s="13"/>
      <c r="BE1251" s="13"/>
      <c r="BF1251" s="13"/>
      <c r="BG1251" s="13"/>
    </row>
    <row r="1252">
      <c r="A1252" s="69"/>
      <c r="B1252" s="69"/>
      <c r="C1252" s="13"/>
      <c r="D1252" s="99"/>
      <c r="E1252" s="13"/>
      <c r="F1252" s="99"/>
      <c r="G1252" s="69"/>
      <c r="H1252" s="98"/>
      <c r="J1252" s="69"/>
      <c r="K1252" s="99"/>
      <c r="L1252" s="389"/>
      <c r="M1252" s="182"/>
      <c r="N1252" s="375"/>
      <c r="O1252" s="378"/>
      <c r="P1252" s="13"/>
      <c r="Q1252" s="13"/>
      <c r="R1252" s="13"/>
      <c r="S1252" s="98"/>
      <c r="T1252" s="69"/>
      <c r="U1252" s="69"/>
      <c r="V1252" s="13"/>
      <c r="W1252" s="13"/>
      <c r="X1252" s="379"/>
      <c r="Y1252" s="150"/>
      <c r="Z1252" s="150"/>
      <c r="AA1252" s="150"/>
      <c r="AB1252" s="150"/>
      <c r="AC1252" s="150"/>
      <c r="AD1252" s="381"/>
      <c r="AE1252" s="150"/>
      <c r="AF1252" s="110"/>
      <c r="AG1252" s="105"/>
      <c r="AH1252" s="69"/>
      <c r="AI1252" s="105"/>
      <c r="AJ1252" s="98"/>
      <c r="AK1252" s="110"/>
      <c r="AL1252" s="98"/>
      <c r="AM1252" s="69"/>
      <c r="AN1252" s="13"/>
      <c r="AO1252" s="13"/>
      <c r="AP1252" s="13"/>
      <c r="AQ1252" s="13"/>
      <c r="AR1252" s="13"/>
      <c r="AS1252" s="13"/>
      <c r="AT1252" s="13"/>
      <c r="AU1252" s="13"/>
      <c r="AV1252" s="13"/>
      <c r="AW1252" s="13"/>
      <c r="AX1252" s="13"/>
      <c r="AY1252" s="13"/>
      <c r="AZ1252" s="13"/>
      <c r="BA1252" s="13"/>
      <c r="BB1252" s="13"/>
      <c r="BC1252" s="13"/>
      <c r="BD1252" s="13"/>
      <c r="BE1252" s="13"/>
      <c r="BF1252" s="13"/>
      <c r="BG1252" s="13"/>
    </row>
    <row r="1253">
      <c r="A1253" s="69"/>
      <c r="B1253" s="69"/>
      <c r="C1253" s="13"/>
      <c r="D1253" s="99"/>
      <c r="E1253" s="13"/>
      <c r="F1253" s="99"/>
      <c r="G1253" s="69"/>
      <c r="H1253" s="98"/>
      <c r="J1253" s="69"/>
      <c r="K1253" s="99"/>
      <c r="L1253" s="389"/>
      <c r="M1253" s="182"/>
      <c r="N1253" s="375"/>
      <c r="O1253" s="378"/>
      <c r="P1253" s="13"/>
      <c r="Q1253" s="13"/>
      <c r="R1253" s="13"/>
      <c r="S1253" s="98"/>
      <c r="T1253" s="69"/>
      <c r="U1253" s="69"/>
      <c r="V1253" s="13"/>
      <c r="W1253" s="13"/>
      <c r="X1253" s="379"/>
      <c r="Y1253" s="150"/>
      <c r="Z1253" s="150"/>
      <c r="AA1253" s="150"/>
      <c r="AB1253" s="150"/>
      <c r="AC1253" s="150"/>
      <c r="AD1253" s="381"/>
      <c r="AE1253" s="150"/>
      <c r="AF1253" s="110"/>
      <c r="AG1253" s="105"/>
      <c r="AH1253" s="69"/>
      <c r="AI1253" s="105"/>
      <c r="AJ1253" s="98"/>
      <c r="AK1253" s="110"/>
      <c r="AL1253" s="98"/>
      <c r="AM1253" s="69"/>
      <c r="AN1253" s="13"/>
      <c r="AO1253" s="13"/>
      <c r="AP1253" s="13"/>
      <c r="AQ1253" s="13"/>
      <c r="AR1253" s="13"/>
      <c r="AS1253" s="13"/>
      <c r="AT1253" s="13"/>
      <c r="AU1253" s="13"/>
      <c r="AV1253" s="13"/>
      <c r="AW1253" s="13"/>
      <c r="AX1253" s="13"/>
      <c r="AY1253" s="13"/>
      <c r="AZ1253" s="13"/>
      <c r="BA1253" s="13"/>
      <c r="BB1253" s="13"/>
      <c r="BC1253" s="13"/>
      <c r="BD1253" s="13"/>
      <c r="BE1253" s="13"/>
      <c r="BF1253" s="13"/>
      <c r="BG1253" s="13"/>
    </row>
    <row r="1254">
      <c r="A1254" s="69"/>
      <c r="B1254" s="69"/>
      <c r="C1254" s="13"/>
      <c r="D1254" s="99"/>
      <c r="E1254" s="13"/>
      <c r="F1254" s="99"/>
      <c r="G1254" s="69"/>
      <c r="H1254" s="98"/>
      <c r="J1254" s="69"/>
      <c r="K1254" s="99"/>
      <c r="L1254" s="389"/>
      <c r="M1254" s="182"/>
      <c r="N1254" s="375"/>
      <c r="O1254" s="378"/>
      <c r="P1254" s="13"/>
      <c r="Q1254" s="13"/>
      <c r="R1254" s="13"/>
      <c r="S1254" s="98"/>
      <c r="T1254" s="69"/>
      <c r="U1254" s="69"/>
      <c r="V1254" s="13"/>
      <c r="W1254" s="13"/>
      <c r="X1254" s="379"/>
      <c r="Y1254" s="150"/>
      <c r="Z1254" s="150"/>
      <c r="AA1254" s="150"/>
      <c r="AB1254" s="150"/>
      <c r="AC1254" s="150"/>
      <c r="AD1254" s="381"/>
      <c r="AE1254" s="150"/>
      <c r="AF1254" s="110"/>
      <c r="AG1254" s="105"/>
      <c r="AH1254" s="69"/>
      <c r="AI1254" s="105"/>
      <c r="AJ1254" s="98"/>
      <c r="AK1254" s="110"/>
      <c r="AL1254" s="98"/>
      <c r="AM1254" s="69"/>
      <c r="AN1254" s="13"/>
      <c r="AO1254" s="13"/>
      <c r="AP1254" s="13"/>
      <c r="AQ1254" s="13"/>
      <c r="AR1254" s="13"/>
      <c r="AS1254" s="13"/>
      <c r="AT1254" s="13"/>
      <c r="AU1254" s="13"/>
      <c r="AV1254" s="13"/>
      <c r="AW1254" s="13"/>
      <c r="AX1254" s="13"/>
      <c r="AY1254" s="13"/>
      <c r="AZ1254" s="13"/>
      <c r="BA1254" s="13"/>
      <c r="BB1254" s="13"/>
      <c r="BC1254" s="13"/>
      <c r="BD1254" s="13"/>
      <c r="BE1254" s="13"/>
      <c r="BF1254" s="13"/>
      <c r="BG1254" s="13"/>
    </row>
    <row r="1255">
      <c r="A1255" s="69"/>
      <c r="B1255" s="69"/>
      <c r="C1255" s="13"/>
      <c r="D1255" s="99"/>
      <c r="E1255" s="13"/>
      <c r="F1255" s="99"/>
      <c r="G1255" s="69"/>
      <c r="H1255" s="98"/>
      <c r="J1255" s="69"/>
      <c r="K1255" s="99"/>
      <c r="L1255" s="389"/>
      <c r="M1255" s="182"/>
      <c r="N1255" s="375"/>
      <c r="O1255" s="378"/>
      <c r="P1255" s="13"/>
      <c r="Q1255" s="13"/>
      <c r="R1255" s="13"/>
      <c r="S1255" s="98"/>
      <c r="T1255" s="69"/>
      <c r="U1255" s="69"/>
      <c r="V1255" s="13"/>
      <c r="W1255" s="13"/>
      <c r="X1255" s="379"/>
      <c r="Y1255" s="150"/>
      <c r="Z1255" s="150"/>
      <c r="AA1255" s="150"/>
      <c r="AB1255" s="150"/>
      <c r="AC1255" s="150"/>
      <c r="AD1255" s="381"/>
      <c r="AE1255" s="150"/>
      <c r="AF1255" s="110"/>
      <c r="AG1255" s="105"/>
      <c r="AH1255" s="69"/>
      <c r="AI1255" s="105"/>
      <c r="AJ1255" s="98"/>
      <c r="AK1255" s="110"/>
      <c r="AL1255" s="98"/>
      <c r="AM1255" s="69"/>
      <c r="AN1255" s="13"/>
      <c r="AO1255" s="13"/>
      <c r="AP1255" s="13"/>
      <c r="AQ1255" s="13"/>
      <c r="AR1255" s="13"/>
      <c r="AS1255" s="13"/>
      <c r="AT1255" s="13"/>
      <c r="AU1255" s="13"/>
      <c r="AV1255" s="13"/>
      <c r="AW1255" s="13"/>
      <c r="AX1255" s="13"/>
      <c r="AY1255" s="13"/>
      <c r="AZ1255" s="13"/>
      <c r="BA1255" s="13"/>
      <c r="BB1255" s="13"/>
      <c r="BC1255" s="13"/>
      <c r="BD1255" s="13"/>
      <c r="BE1255" s="13"/>
      <c r="BF1255" s="13"/>
      <c r="BG1255" s="13"/>
    </row>
    <row r="1256">
      <c r="A1256" s="69"/>
      <c r="B1256" s="69"/>
      <c r="C1256" s="13"/>
      <c r="D1256" s="99"/>
      <c r="E1256" s="13"/>
      <c r="F1256" s="99"/>
      <c r="G1256" s="69"/>
      <c r="H1256" s="98"/>
      <c r="J1256" s="69"/>
      <c r="K1256" s="99"/>
      <c r="L1256" s="389"/>
      <c r="M1256" s="182"/>
      <c r="N1256" s="375"/>
      <c r="O1256" s="378"/>
      <c r="P1256" s="13"/>
      <c r="Q1256" s="13"/>
      <c r="R1256" s="13"/>
      <c r="S1256" s="98"/>
      <c r="T1256" s="69"/>
      <c r="U1256" s="69"/>
      <c r="V1256" s="13"/>
      <c r="W1256" s="13"/>
      <c r="X1256" s="379"/>
      <c r="Y1256" s="150"/>
      <c r="Z1256" s="150"/>
      <c r="AA1256" s="150"/>
      <c r="AB1256" s="150"/>
      <c r="AC1256" s="150"/>
      <c r="AD1256" s="381"/>
      <c r="AE1256" s="150"/>
      <c r="AF1256" s="110"/>
      <c r="AG1256" s="105"/>
      <c r="AH1256" s="69"/>
      <c r="AI1256" s="105"/>
      <c r="AJ1256" s="98"/>
      <c r="AK1256" s="110"/>
      <c r="AL1256" s="98"/>
      <c r="AM1256" s="69"/>
      <c r="AN1256" s="13"/>
      <c r="AO1256" s="13"/>
      <c r="AP1256" s="13"/>
      <c r="AQ1256" s="13"/>
      <c r="AR1256" s="13"/>
      <c r="AS1256" s="13"/>
      <c r="AT1256" s="13"/>
      <c r="AU1256" s="13"/>
      <c r="AV1256" s="13"/>
      <c r="AW1256" s="13"/>
      <c r="AX1256" s="13"/>
      <c r="AY1256" s="13"/>
      <c r="AZ1256" s="13"/>
      <c r="BA1256" s="13"/>
      <c r="BB1256" s="13"/>
      <c r="BC1256" s="13"/>
      <c r="BD1256" s="13"/>
      <c r="BE1256" s="13"/>
      <c r="BF1256" s="13"/>
      <c r="BG1256" s="13"/>
    </row>
    <row r="1257">
      <c r="A1257" s="69"/>
      <c r="B1257" s="69"/>
      <c r="C1257" s="13"/>
      <c r="D1257" s="99"/>
      <c r="E1257" s="13"/>
      <c r="F1257" s="99"/>
      <c r="G1257" s="69"/>
      <c r="H1257" s="98"/>
      <c r="J1257" s="69"/>
      <c r="K1257" s="99"/>
      <c r="L1257" s="389"/>
      <c r="M1257" s="182"/>
      <c r="N1257" s="375"/>
      <c r="O1257" s="378"/>
      <c r="P1257" s="13"/>
      <c r="Q1257" s="13"/>
      <c r="R1257" s="13"/>
      <c r="S1257" s="98"/>
      <c r="T1257" s="69"/>
      <c r="U1257" s="69"/>
      <c r="V1257" s="13"/>
      <c r="W1257" s="13"/>
      <c r="X1257" s="379"/>
      <c r="Y1257" s="150"/>
      <c r="Z1257" s="150"/>
      <c r="AA1257" s="150"/>
      <c r="AB1257" s="150"/>
      <c r="AC1257" s="150"/>
      <c r="AD1257" s="381"/>
      <c r="AE1257" s="150"/>
      <c r="AF1257" s="110"/>
      <c r="AG1257" s="105"/>
      <c r="AH1257" s="69"/>
      <c r="AI1257" s="105"/>
      <c r="AJ1257" s="98"/>
      <c r="AK1257" s="110"/>
      <c r="AL1257" s="98"/>
      <c r="AM1257" s="69"/>
      <c r="AN1257" s="13"/>
      <c r="AO1257" s="13"/>
      <c r="AP1257" s="13"/>
      <c r="AQ1257" s="13"/>
      <c r="AR1257" s="13"/>
      <c r="AS1257" s="13"/>
      <c r="AT1257" s="13"/>
      <c r="AU1257" s="13"/>
      <c r="AV1257" s="13"/>
      <c r="AW1257" s="13"/>
      <c r="AX1257" s="13"/>
      <c r="AY1257" s="13"/>
      <c r="AZ1257" s="13"/>
      <c r="BA1257" s="13"/>
      <c r="BB1257" s="13"/>
      <c r="BC1257" s="13"/>
      <c r="BD1257" s="13"/>
      <c r="BE1257" s="13"/>
      <c r="BF1257" s="13"/>
      <c r="BG1257" s="13"/>
    </row>
    <row r="1258">
      <c r="A1258" s="69"/>
      <c r="B1258" s="69"/>
      <c r="C1258" s="13"/>
      <c r="D1258" s="99"/>
      <c r="E1258" s="13"/>
      <c r="F1258" s="99"/>
      <c r="G1258" s="69"/>
      <c r="H1258" s="98"/>
      <c r="J1258" s="69"/>
      <c r="K1258" s="99"/>
      <c r="L1258" s="389"/>
      <c r="M1258" s="182"/>
      <c r="N1258" s="375"/>
      <c r="O1258" s="378"/>
      <c r="P1258" s="13"/>
      <c r="Q1258" s="13"/>
      <c r="R1258" s="13"/>
      <c r="S1258" s="98"/>
      <c r="T1258" s="69"/>
      <c r="U1258" s="69"/>
      <c r="V1258" s="13"/>
      <c r="W1258" s="13"/>
      <c r="X1258" s="379"/>
      <c r="Y1258" s="150"/>
      <c r="Z1258" s="150"/>
      <c r="AA1258" s="150"/>
      <c r="AB1258" s="150"/>
      <c r="AC1258" s="150"/>
      <c r="AD1258" s="381"/>
      <c r="AE1258" s="150"/>
      <c r="AF1258" s="110"/>
      <c r="AG1258" s="105"/>
      <c r="AH1258" s="69"/>
      <c r="AI1258" s="105"/>
      <c r="AJ1258" s="98"/>
      <c r="AK1258" s="110"/>
      <c r="AL1258" s="98"/>
      <c r="AM1258" s="69"/>
      <c r="AN1258" s="13"/>
      <c r="AO1258" s="13"/>
      <c r="AP1258" s="13"/>
      <c r="AQ1258" s="13"/>
      <c r="AR1258" s="13"/>
      <c r="AS1258" s="13"/>
      <c r="AT1258" s="13"/>
      <c r="AU1258" s="13"/>
      <c r="AV1258" s="13"/>
      <c r="AW1258" s="13"/>
      <c r="AX1258" s="13"/>
      <c r="AY1258" s="13"/>
      <c r="AZ1258" s="13"/>
      <c r="BA1258" s="13"/>
      <c r="BB1258" s="13"/>
      <c r="BC1258" s="13"/>
      <c r="BD1258" s="13"/>
      <c r="BE1258" s="13"/>
      <c r="BF1258" s="13"/>
      <c r="BG1258" s="13"/>
    </row>
    <row r="1259">
      <c r="A1259" s="69"/>
      <c r="B1259" s="69"/>
      <c r="C1259" s="13"/>
      <c r="D1259" s="99"/>
      <c r="E1259" s="13"/>
      <c r="F1259" s="99"/>
      <c r="G1259" s="69"/>
      <c r="H1259" s="98"/>
      <c r="J1259" s="69"/>
      <c r="K1259" s="99"/>
      <c r="L1259" s="389"/>
      <c r="M1259" s="182"/>
      <c r="N1259" s="375"/>
      <c r="O1259" s="378"/>
      <c r="P1259" s="13"/>
      <c r="Q1259" s="13"/>
      <c r="R1259" s="13"/>
      <c r="S1259" s="98"/>
      <c r="T1259" s="69"/>
      <c r="U1259" s="69"/>
      <c r="V1259" s="13"/>
      <c r="W1259" s="13"/>
      <c r="X1259" s="379"/>
      <c r="Y1259" s="150"/>
      <c r="Z1259" s="150"/>
      <c r="AA1259" s="150"/>
      <c r="AB1259" s="150"/>
      <c r="AC1259" s="150"/>
      <c r="AD1259" s="381"/>
      <c r="AE1259" s="150"/>
      <c r="AF1259" s="110"/>
      <c r="AG1259" s="105"/>
      <c r="AH1259" s="69"/>
      <c r="AI1259" s="105"/>
      <c r="AJ1259" s="98"/>
      <c r="AK1259" s="110"/>
      <c r="AL1259" s="98"/>
      <c r="AM1259" s="69"/>
      <c r="AN1259" s="13"/>
      <c r="AO1259" s="13"/>
      <c r="AP1259" s="13"/>
      <c r="AQ1259" s="13"/>
      <c r="AR1259" s="13"/>
      <c r="AS1259" s="13"/>
      <c r="AT1259" s="13"/>
      <c r="AU1259" s="13"/>
      <c r="AV1259" s="13"/>
      <c r="AW1259" s="13"/>
      <c r="AX1259" s="13"/>
      <c r="AY1259" s="13"/>
      <c r="AZ1259" s="13"/>
      <c r="BA1259" s="13"/>
      <c r="BB1259" s="13"/>
      <c r="BC1259" s="13"/>
      <c r="BD1259" s="13"/>
      <c r="BE1259" s="13"/>
      <c r="BF1259" s="13"/>
      <c r="BG1259" s="13"/>
    </row>
    <row r="1260">
      <c r="A1260" s="69"/>
      <c r="B1260" s="69"/>
      <c r="C1260" s="13"/>
      <c r="D1260" s="99"/>
      <c r="E1260" s="13"/>
      <c r="F1260" s="99"/>
      <c r="G1260" s="69"/>
      <c r="H1260" s="98"/>
      <c r="J1260" s="69"/>
      <c r="K1260" s="99"/>
      <c r="L1260" s="389"/>
      <c r="M1260" s="182"/>
      <c r="N1260" s="375"/>
      <c r="O1260" s="378"/>
      <c r="P1260" s="13"/>
      <c r="Q1260" s="13"/>
      <c r="R1260" s="13"/>
      <c r="S1260" s="98"/>
      <c r="T1260" s="69"/>
      <c r="U1260" s="69"/>
      <c r="V1260" s="13"/>
      <c r="W1260" s="13"/>
      <c r="X1260" s="379"/>
      <c r="Y1260" s="150"/>
      <c r="Z1260" s="150"/>
      <c r="AA1260" s="150"/>
      <c r="AB1260" s="150"/>
      <c r="AC1260" s="150"/>
      <c r="AD1260" s="381"/>
      <c r="AE1260" s="150"/>
      <c r="AF1260" s="110"/>
      <c r="AG1260" s="105"/>
      <c r="AH1260" s="69"/>
      <c r="AI1260" s="105"/>
      <c r="AJ1260" s="98"/>
      <c r="AK1260" s="110"/>
      <c r="AL1260" s="98"/>
      <c r="AM1260" s="69"/>
      <c r="AN1260" s="13"/>
      <c r="AO1260" s="13"/>
      <c r="AP1260" s="13"/>
      <c r="AQ1260" s="13"/>
      <c r="AR1260" s="13"/>
      <c r="AS1260" s="13"/>
      <c r="AT1260" s="13"/>
      <c r="AU1260" s="13"/>
      <c r="AV1260" s="13"/>
      <c r="AW1260" s="13"/>
      <c r="AX1260" s="13"/>
      <c r="AY1260" s="13"/>
      <c r="AZ1260" s="13"/>
      <c r="BA1260" s="13"/>
      <c r="BB1260" s="13"/>
      <c r="BC1260" s="13"/>
      <c r="BD1260" s="13"/>
      <c r="BE1260" s="13"/>
      <c r="BF1260" s="13"/>
      <c r="BG1260" s="13"/>
    </row>
    <row r="1261">
      <c r="A1261" s="69"/>
      <c r="B1261" s="69"/>
      <c r="C1261" s="13"/>
      <c r="D1261" s="99"/>
      <c r="E1261" s="13"/>
      <c r="F1261" s="99"/>
      <c r="G1261" s="69"/>
      <c r="H1261" s="98"/>
      <c r="J1261" s="69"/>
      <c r="K1261" s="99"/>
      <c r="L1261" s="389"/>
      <c r="M1261" s="182"/>
      <c r="N1261" s="375"/>
      <c r="O1261" s="378"/>
      <c r="P1261" s="13"/>
      <c r="Q1261" s="13"/>
      <c r="R1261" s="13"/>
      <c r="S1261" s="98"/>
      <c r="T1261" s="69"/>
      <c r="U1261" s="69"/>
      <c r="V1261" s="13"/>
      <c r="W1261" s="13"/>
      <c r="X1261" s="379"/>
      <c r="Y1261" s="150"/>
      <c r="Z1261" s="150"/>
      <c r="AA1261" s="150"/>
      <c r="AB1261" s="150"/>
      <c r="AC1261" s="150"/>
      <c r="AD1261" s="381"/>
      <c r="AE1261" s="150"/>
      <c r="AF1261" s="110"/>
      <c r="AG1261" s="105"/>
      <c r="AH1261" s="69"/>
      <c r="AI1261" s="105"/>
      <c r="AJ1261" s="98"/>
      <c r="AK1261" s="110"/>
      <c r="AL1261" s="98"/>
      <c r="AM1261" s="69"/>
      <c r="AN1261" s="13"/>
      <c r="AO1261" s="13"/>
      <c r="AP1261" s="13"/>
      <c r="AQ1261" s="13"/>
      <c r="AR1261" s="13"/>
      <c r="AS1261" s="13"/>
      <c r="AT1261" s="13"/>
      <c r="AU1261" s="13"/>
      <c r="AV1261" s="13"/>
      <c r="AW1261" s="13"/>
      <c r="AX1261" s="13"/>
      <c r="AY1261" s="13"/>
      <c r="AZ1261" s="13"/>
      <c r="BA1261" s="13"/>
      <c r="BB1261" s="13"/>
      <c r="BC1261" s="13"/>
      <c r="BD1261" s="13"/>
      <c r="BE1261" s="13"/>
      <c r="BF1261" s="13"/>
      <c r="BG1261" s="13"/>
    </row>
    <row r="1262">
      <c r="A1262" s="69"/>
      <c r="B1262" s="69"/>
      <c r="C1262" s="13"/>
      <c r="D1262" s="99"/>
      <c r="E1262" s="13"/>
      <c r="F1262" s="99"/>
      <c r="G1262" s="69"/>
      <c r="H1262" s="98"/>
      <c r="J1262" s="69"/>
      <c r="K1262" s="99"/>
      <c r="L1262" s="389"/>
      <c r="M1262" s="182"/>
      <c r="N1262" s="375"/>
      <c r="O1262" s="378"/>
      <c r="P1262" s="13"/>
      <c r="Q1262" s="13"/>
      <c r="R1262" s="13"/>
      <c r="S1262" s="98"/>
      <c r="T1262" s="69"/>
      <c r="U1262" s="69"/>
      <c r="V1262" s="13"/>
      <c r="W1262" s="13"/>
      <c r="X1262" s="379"/>
      <c r="Y1262" s="150"/>
      <c r="Z1262" s="150"/>
      <c r="AA1262" s="150"/>
      <c r="AB1262" s="150"/>
      <c r="AC1262" s="150"/>
      <c r="AD1262" s="381"/>
      <c r="AE1262" s="150"/>
      <c r="AF1262" s="110"/>
      <c r="AG1262" s="105"/>
      <c r="AH1262" s="69"/>
      <c r="AI1262" s="105"/>
      <c r="AJ1262" s="98"/>
      <c r="AK1262" s="110"/>
      <c r="AL1262" s="98"/>
      <c r="AM1262" s="69"/>
      <c r="AN1262" s="13"/>
      <c r="AO1262" s="13"/>
      <c r="AP1262" s="13"/>
      <c r="AQ1262" s="13"/>
      <c r="AR1262" s="13"/>
      <c r="AS1262" s="13"/>
      <c r="AT1262" s="13"/>
      <c r="AU1262" s="13"/>
      <c r="AV1262" s="13"/>
      <c r="AW1262" s="13"/>
      <c r="AX1262" s="13"/>
      <c r="AY1262" s="13"/>
      <c r="AZ1262" s="13"/>
      <c r="BA1262" s="13"/>
      <c r="BB1262" s="13"/>
      <c r="BC1262" s="13"/>
      <c r="BD1262" s="13"/>
      <c r="BE1262" s="13"/>
      <c r="BF1262" s="13"/>
      <c r="BG1262" s="13"/>
    </row>
    <row r="1263">
      <c r="A1263" s="69"/>
      <c r="B1263" s="69"/>
      <c r="C1263" s="13"/>
      <c r="D1263" s="99"/>
      <c r="E1263" s="13"/>
      <c r="F1263" s="99"/>
      <c r="G1263" s="69"/>
      <c r="H1263" s="98"/>
      <c r="J1263" s="69"/>
      <c r="K1263" s="99"/>
      <c r="L1263" s="389"/>
      <c r="M1263" s="182"/>
      <c r="N1263" s="375"/>
      <c r="O1263" s="378"/>
      <c r="P1263" s="13"/>
      <c r="Q1263" s="13"/>
      <c r="R1263" s="13"/>
      <c r="S1263" s="98"/>
      <c r="T1263" s="69"/>
      <c r="U1263" s="69"/>
      <c r="V1263" s="13"/>
      <c r="W1263" s="13"/>
      <c r="X1263" s="379"/>
      <c r="Y1263" s="150"/>
      <c r="Z1263" s="150"/>
      <c r="AA1263" s="150"/>
      <c r="AB1263" s="150"/>
      <c r="AC1263" s="150"/>
      <c r="AD1263" s="381"/>
      <c r="AE1263" s="150"/>
      <c r="AF1263" s="110"/>
      <c r="AG1263" s="105"/>
      <c r="AH1263" s="69"/>
      <c r="AI1263" s="105"/>
      <c r="AJ1263" s="98"/>
      <c r="AK1263" s="110"/>
      <c r="AL1263" s="98"/>
      <c r="AM1263" s="69"/>
      <c r="AN1263" s="13"/>
      <c r="AO1263" s="13"/>
      <c r="AP1263" s="13"/>
      <c r="AQ1263" s="13"/>
      <c r="AR1263" s="13"/>
      <c r="AS1263" s="13"/>
      <c r="AT1263" s="13"/>
      <c r="AU1263" s="13"/>
      <c r="AV1263" s="13"/>
      <c r="AW1263" s="13"/>
      <c r="AX1263" s="13"/>
      <c r="AY1263" s="13"/>
      <c r="AZ1263" s="13"/>
      <c r="BA1263" s="13"/>
      <c r="BB1263" s="13"/>
      <c r="BC1263" s="13"/>
      <c r="BD1263" s="13"/>
      <c r="BE1263" s="13"/>
      <c r="BF1263" s="13"/>
      <c r="BG1263" s="13"/>
    </row>
    <row r="1264">
      <c r="A1264" s="69"/>
      <c r="B1264" s="69"/>
      <c r="C1264" s="13"/>
      <c r="D1264" s="99"/>
      <c r="E1264" s="13"/>
      <c r="F1264" s="99"/>
      <c r="G1264" s="69"/>
      <c r="H1264" s="98"/>
      <c r="J1264" s="69"/>
      <c r="K1264" s="99"/>
      <c r="L1264" s="389"/>
      <c r="M1264" s="182"/>
      <c r="N1264" s="375"/>
      <c r="O1264" s="378"/>
      <c r="P1264" s="13"/>
      <c r="Q1264" s="13"/>
      <c r="R1264" s="13"/>
      <c r="S1264" s="98"/>
      <c r="T1264" s="69"/>
      <c r="U1264" s="69"/>
      <c r="V1264" s="13"/>
      <c r="W1264" s="13"/>
      <c r="X1264" s="379"/>
      <c r="Y1264" s="150"/>
      <c r="Z1264" s="150"/>
      <c r="AA1264" s="150"/>
      <c r="AB1264" s="150"/>
      <c r="AC1264" s="150"/>
      <c r="AD1264" s="381"/>
      <c r="AE1264" s="150"/>
      <c r="AF1264" s="110"/>
      <c r="AG1264" s="105"/>
      <c r="AH1264" s="69"/>
      <c r="AI1264" s="105"/>
      <c r="AJ1264" s="98"/>
      <c r="AK1264" s="110"/>
      <c r="AL1264" s="98"/>
      <c r="AM1264" s="69"/>
      <c r="AN1264" s="13"/>
      <c r="AO1264" s="13"/>
      <c r="AP1264" s="13"/>
      <c r="AQ1264" s="13"/>
      <c r="AR1264" s="13"/>
      <c r="AS1264" s="13"/>
      <c r="AT1264" s="13"/>
      <c r="AU1264" s="13"/>
      <c r="AV1264" s="13"/>
      <c r="AW1264" s="13"/>
      <c r="AX1264" s="13"/>
      <c r="AY1264" s="13"/>
      <c r="AZ1264" s="13"/>
      <c r="BA1264" s="13"/>
      <c r="BB1264" s="13"/>
      <c r="BC1264" s="13"/>
      <c r="BD1264" s="13"/>
      <c r="BE1264" s="13"/>
      <c r="BF1264" s="13"/>
      <c r="BG1264" s="13"/>
    </row>
    <row r="1265">
      <c r="A1265" s="69"/>
      <c r="B1265" s="69"/>
      <c r="C1265" s="13"/>
      <c r="D1265" s="99"/>
      <c r="E1265" s="13"/>
      <c r="F1265" s="99"/>
      <c r="G1265" s="69"/>
      <c r="H1265" s="98"/>
      <c r="J1265" s="69"/>
      <c r="K1265" s="99"/>
      <c r="L1265" s="389"/>
      <c r="M1265" s="182"/>
      <c r="N1265" s="375"/>
      <c r="O1265" s="378"/>
      <c r="P1265" s="13"/>
      <c r="Q1265" s="13"/>
      <c r="R1265" s="13"/>
      <c r="S1265" s="98"/>
      <c r="T1265" s="69"/>
      <c r="U1265" s="69"/>
      <c r="V1265" s="13"/>
      <c r="W1265" s="13"/>
      <c r="X1265" s="379"/>
      <c r="Y1265" s="150"/>
      <c r="Z1265" s="150"/>
      <c r="AA1265" s="150"/>
      <c r="AB1265" s="150"/>
      <c r="AC1265" s="150"/>
      <c r="AD1265" s="381"/>
      <c r="AE1265" s="150"/>
      <c r="AF1265" s="110"/>
      <c r="AG1265" s="105"/>
      <c r="AH1265" s="69"/>
      <c r="AI1265" s="105"/>
      <c r="AJ1265" s="98"/>
      <c r="AK1265" s="110"/>
      <c r="AL1265" s="98"/>
      <c r="AM1265" s="69"/>
      <c r="AN1265" s="13"/>
      <c r="AO1265" s="13"/>
      <c r="AP1265" s="13"/>
      <c r="AQ1265" s="13"/>
      <c r="AR1265" s="13"/>
      <c r="AS1265" s="13"/>
      <c r="AT1265" s="13"/>
      <c r="AU1265" s="13"/>
      <c r="AV1265" s="13"/>
      <c r="AW1265" s="13"/>
      <c r="AX1265" s="13"/>
      <c r="AY1265" s="13"/>
      <c r="AZ1265" s="13"/>
      <c r="BA1265" s="13"/>
      <c r="BB1265" s="13"/>
      <c r="BC1265" s="13"/>
      <c r="BD1265" s="13"/>
      <c r="BE1265" s="13"/>
      <c r="BF1265" s="13"/>
      <c r="BG1265" s="13"/>
    </row>
    <row r="1266">
      <c r="A1266" s="69"/>
      <c r="B1266" s="69"/>
      <c r="C1266" s="13"/>
      <c r="D1266" s="99"/>
      <c r="E1266" s="13"/>
      <c r="F1266" s="99"/>
      <c r="G1266" s="69"/>
      <c r="H1266" s="98"/>
      <c r="J1266" s="69"/>
      <c r="K1266" s="99"/>
      <c r="L1266" s="389"/>
      <c r="M1266" s="182"/>
      <c r="N1266" s="375"/>
      <c r="O1266" s="378"/>
      <c r="P1266" s="13"/>
      <c r="Q1266" s="13"/>
      <c r="R1266" s="13"/>
      <c r="S1266" s="98"/>
      <c r="T1266" s="69"/>
      <c r="U1266" s="69"/>
      <c r="V1266" s="13"/>
      <c r="W1266" s="13"/>
      <c r="X1266" s="379"/>
      <c r="Y1266" s="150"/>
      <c r="Z1266" s="150"/>
      <c r="AA1266" s="150"/>
      <c r="AB1266" s="150"/>
      <c r="AC1266" s="150"/>
      <c r="AD1266" s="381"/>
      <c r="AE1266" s="150"/>
      <c r="AF1266" s="110"/>
      <c r="AG1266" s="105"/>
      <c r="AH1266" s="69"/>
      <c r="AI1266" s="105"/>
      <c r="AJ1266" s="98"/>
      <c r="AK1266" s="110"/>
      <c r="AL1266" s="98"/>
      <c r="AM1266" s="69"/>
      <c r="AN1266" s="13"/>
      <c r="AO1266" s="13"/>
      <c r="AP1266" s="13"/>
      <c r="AQ1266" s="13"/>
      <c r="AR1266" s="13"/>
      <c r="AS1266" s="13"/>
      <c r="AT1266" s="13"/>
      <c r="AU1266" s="13"/>
      <c r="AV1266" s="13"/>
      <c r="AW1266" s="13"/>
      <c r="AX1266" s="13"/>
      <c r="AY1266" s="13"/>
      <c r="AZ1266" s="13"/>
      <c r="BA1266" s="13"/>
      <c r="BB1266" s="13"/>
      <c r="BC1266" s="13"/>
      <c r="BD1266" s="13"/>
      <c r="BE1266" s="13"/>
      <c r="BF1266" s="13"/>
      <c r="BG1266" s="13"/>
    </row>
    <row r="1267">
      <c r="A1267" s="69"/>
      <c r="B1267" s="69"/>
      <c r="C1267" s="13"/>
      <c r="D1267" s="99"/>
      <c r="E1267" s="13"/>
      <c r="F1267" s="99"/>
      <c r="G1267" s="69"/>
      <c r="H1267" s="98"/>
      <c r="J1267" s="69"/>
      <c r="K1267" s="99"/>
      <c r="L1267" s="389"/>
      <c r="M1267" s="182"/>
      <c r="N1267" s="375"/>
      <c r="O1267" s="378"/>
      <c r="P1267" s="13"/>
      <c r="Q1267" s="13"/>
      <c r="R1267" s="13"/>
      <c r="S1267" s="98"/>
      <c r="T1267" s="69"/>
      <c r="U1267" s="69"/>
      <c r="V1267" s="13"/>
      <c r="W1267" s="13"/>
      <c r="X1267" s="379"/>
      <c r="Y1267" s="150"/>
      <c r="Z1267" s="150"/>
      <c r="AA1267" s="150"/>
      <c r="AB1267" s="150"/>
      <c r="AC1267" s="150"/>
      <c r="AD1267" s="381"/>
      <c r="AE1267" s="150"/>
      <c r="AF1267" s="110"/>
      <c r="AG1267" s="105"/>
      <c r="AH1267" s="69"/>
      <c r="AI1267" s="105"/>
      <c r="AJ1267" s="98"/>
      <c r="AK1267" s="110"/>
      <c r="AL1267" s="98"/>
      <c r="AM1267" s="69"/>
      <c r="AN1267" s="13"/>
      <c r="AO1267" s="13"/>
      <c r="AP1267" s="13"/>
      <c r="AQ1267" s="13"/>
      <c r="AR1267" s="13"/>
      <c r="AS1267" s="13"/>
      <c r="AT1267" s="13"/>
      <c r="AU1267" s="13"/>
      <c r="AV1267" s="13"/>
      <c r="AW1267" s="13"/>
      <c r="AX1267" s="13"/>
      <c r="AY1267" s="13"/>
      <c r="AZ1267" s="13"/>
      <c r="BA1267" s="13"/>
      <c r="BB1267" s="13"/>
      <c r="BC1267" s="13"/>
      <c r="BD1267" s="13"/>
      <c r="BE1267" s="13"/>
      <c r="BF1267" s="13"/>
      <c r="BG1267" s="13"/>
    </row>
    <row r="1268">
      <c r="A1268" s="69"/>
      <c r="B1268" s="69"/>
      <c r="C1268" s="13"/>
      <c r="D1268" s="99"/>
      <c r="E1268" s="13"/>
      <c r="F1268" s="99"/>
      <c r="G1268" s="69"/>
      <c r="H1268" s="98"/>
      <c r="J1268" s="69"/>
      <c r="K1268" s="99"/>
      <c r="L1268" s="389"/>
      <c r="M1268" s="182"/>
      <c r="N1268" s="375"/>
      <c r="O1268" s="378"/>
      <c r="P1268" s="13"/>
      <c r="Q1268" s="13"/>
      <c r="R1268" s="13"/>
      <c r="S1268" s="98"/>
      <c r="T1268" s="69"/>
      <c r="U1268" s="69"/>
      <c r="V1268" s="13"/>
      <c r="W1268" s="13"/>
      <c r="X1268" s="379"/>
      <c r="Y1268" s="150"/>
      <c r="Z1268" s="150"/>
      <c r="AA1268" s="150"/>
      <c r="AB1268" s="150"/>
      <c r="AC1268" s="150"/>
      <c r="AD1268" s="381"/>
      <c r="AE1268" s="150"/>
      <c r="AF1268" s="110"/>
      <c r="AG1268" s="105"/>
      <c r="AH1268" s="69"/>
      <c r="AI1268" s="105"/>
      <c r="AJ1268" s="98"/>
      <c r="AK1268" s="110"/>
      <c r="AL1268" s="98"/>
      <c r="AM1268" s="69"/>
      <c r="AN1268" s="13"/>
      <c r="AO1268" s="13"/>
      <c r="AP1268" s="13"/>
      <c r="AQ1268" s="13"/>
      <c r="AR1268" s="13"/>
      <c r="AS1268" s="13"/>
      <c r="AT1268" s="13"/>
      <c r="AU1268" s="13"/>
      <c r="AV1268" s="13"/>
      <c r="AW1268" s="13"/>
      <c r="AX1268" s="13"/>
      <c r="AY1268" s="13"/>
      <c r="AZ1268" s="13"/>
      <c r="BA1268" s="13"/>
      <c r="BB1268" s="13"/>
      <c r="BC1268" s="13"/>
      <c r="BD1268" s="13"/>
      <c r="BE1268" s="13"/>
      <c r="BF1268" s="13"/>
      <c r="BG1268" s="13"/>
    </row>
    <row r="1269">
      <c r="A1269" s="69"/>
      <c r="B1269" s="69"/>
      <c r="C1269" s="13"/>
      <c r="D1269" s="99"/>
      <c r="E1269" s="13"/>
      <c r="F1269" s="99"/>
      <c r="G1269" s="69"/>
      <c r="H1269" s="98"/>
      <c r="J1269" s="69"/>
      <c r="K1269" s="99"/>
      <c r="L1269" s="389"/>
      <c r="M1269" s="182"/>
      <c r="N1269" s="375"/>
      <c r="O1269" s="378"/>
      <c r="P1269" s="13"/>
      <c r="Q1269" s="13"/>
      <c r="R1269" s="13"/>
      <c r="S1269" s="98"/>
      <c r="T1269" s="69"/>
      <c r="U1269" s="69"/>
      <c r="V1269" s="13"/>
      <c r="W1269" s="13"/>
      <c r="X1269" s="379"/>
      <c r="Y1269" s="150"/>
      <c r="Z1269" s="150"/>
      <c r="AA1269" s="150"/>
      <c r="AB1269" s="150"/>
      <c r="AC1269" s="150"/>
      <c r="AD1269" s="381"/>
      <c r="AE1269" s="150"/>
      <c r="AF1269" s="110"/>
      <c r="AG1269" s="105"/>
      <c r="AH1269" s="69"/>
      <c r="AI1269" s="105"/>
      <c r="AJ1269" s="98"/>
      <c r="AK1269" s="110"/>
      <c r="AL1269" s="98"/>
      <c r="AM1269" s="69"/>
      <c r="AN1269" s="13"/>
      <c r="AO1269" s="13"/>
      <c r="AP1269" s="13"/>
      <c r="AQ1269" s="13"/>
      <c r="AR1269" s="13"/>
      <c r="AS1269" s="13"/>
      <c r="AT1269" s="13"/>
      <c r="AU1269" s="13"/>
      <c r="AV1269" s="13"/>
      <c r="AW1269" s="13"/>
      <c r="AX1269" s="13"/>
      <c r="AY1269" s="13"/>
      <c r="AZ1269" s="13"/>
      <c r="BA1269" s="13"/>
      <c r="BB1269" s="13"/>
      <c r="BC1269" s="13"/>
      <c r="BD1269" s="13"/>
      <c r="BE1269" s="13"/>
      <c r="BF1269" s="13"/>
      <c r="BG1269" s="13"/>
    </row>
    <row r="1270">
      <c r="A1270" s="69"/>
      <c r="B1270" s="69"/>
      <c r="C1270" s="13"/>
      <c r="D1270" s="99"/>
      <c r="E1270" s="13"/>
      <c r="F1270" s="99"/>
      <c r="G1270" s="69"/>
      <c r="H1270" s="98"/>
      <c r="J1270" s="69"/>
      <c r="K1270" s="99"/>
      <c r="L1270" s="389"/>
      <c r="M1270" s="182"/>
      <c r="N1270" s="375"/>
      <c r="O1270" s="378"/>
      <c r="P1270" s="13"/>
      <c r="Q1270" s="13"/>
      <c r="R1270" s="13"/>
      <c r="S1270" s="98"/>
      <c r="T1270" s="69"/>
      <c r="U1270" s="69"/>
      <c r="V1270" s="13"/>
      <c r="W1270" s="13"/>
      <c r="X1270" s="379"/>
      <c r="Y1270" s="150"/>
      <c r="Z1270" s="150"/>
      <c r="AA1270" s="150"/>
      <c r="AB1270" s="150"/>
      <c r="AC1270" s="150"/>
      <c r="AD1270" s="381"/>
      <c r="AE1270" s="150"/>
      <c r="AF1270" s="110"/>
      <c r="AG1270" s="105"/>
      <c r="AH1270" s="69"/>
      <c r="AI1270" s="105"/>
      <c r="AJ1270" s="98"/>
      <c r="AK1270" s="110"/>
      <c r="AL1270" s="98"/>
      <c r="AM1270" s="69"/>
      <c r="AN1270" s="13"/>
      <c r="AO1270" s="13"/>
      <c r="AP1270" s="13"/>
      <c r="AQ1270" s="13"/>
      <c r="AR1270" s="13"/>
      <c r="AS1270" s="13"/>
      <c r="AT1270" s="13"/>
      <c r="AU1270" s="13"/>
      <c r="AV1270" s="13"/>
      <c r="AW1270" s="13"/>
      <c r="AX1270" s="13"/>
      <c r="AY1270" s="13"/>
      <c r="AZ1270" s="13"/>
      <c r="BA1270" s="13"/>
      <c r="BB1270" s="13"/>
      <c r="BC1270" s="13"/>
      <c r="BD1270" s="13"/>
      <c r="BE1270" s="13"/>
      <c r="BF1270" s="13"/>
      <c r="BG1270" s="13"/>
    </row>
    <row r="1271">
      <c r="A1271" s="69"/>
      <c r="B1271" s="69"/>
      <c r="C1271" s="13"/>
      <c r="D1271" s="99"/>
      <c r="E1271" s="13"/>
      <c r="F1271" s="99"/>
      <c r="G1271" s="69"/>
      <c r="H1271" s="98"/>
      <c r="J1271" s="69"/>
      <c r="K1271" s="99"/>
      <c r="L1271" s="389"/>
      <c r="M1271" s="182"/>
      <c r="N1271" s="375"/>
      <c r="O1271" s="378"/>
      <c r="P1271" s="13"/>
      <c r="Q1271" s="13"/>
      <c r="R1271" s="13"/>
      <c r="S1271" s="98"/>
      <c r="T1271" s="69"/>
      <c r="U1271" s="69"/>
      <c r="V1271" s="13"/>
      <c r="W1271" s="13"/>
      <c r="X1271" s="379"/>
      <c r="Y1271" s="150"/>
      <c r="Z1271" s="150"/>
      <c r="AA1271" s="150"/>
      <c r="AB1271" s="150"/>
      <c r="AC1271" s="150"/>
      <c r="AD1271" s="381"/>
      <c r="AE1271" s="150"/>
      <c r="AF1271" s="110"/>
      <c r="AG1271" s="105"/>
      <c r="AH1271" s="69"/>
      <c r="AI1271" s="105"/>
      <c r="AJ1271" s="98"/>
      <c r="AK1271" s="110"/>
      <c r="AL1271" s="98"/>
      <c r="AM1271" s="69"/>
      <c r="AN1271" s="13"/>
      <c r="AO1271" s="13"/>
      <c r="AP1271" s="13"/>
      <c r="AQ1271" s="13"/>
      <c r="AR1271" s="13"/>
      <c r="AS1271" s="13"/>
      <c r="AT1271" s="13"/>
      <c r="AU1271" s="13"/>
      <c r="AV1271" s="13"/>
      <c r="AW1271" s="13"/>
      <c r="AX1271" s="13"/>
      <c r="AY1271" s="13"/>
      <c r="AZ1271" s="13"/>
      <c r="BA1271" s="13"/>
      <c r="BB1271" s="13"/>
      <c r="BC1271" s="13"/>
      <c r="BD1271" s="13"/>
      <c r="BE1271" s="13"/>
      <c r="BF1271" s="13"/>
      <c r="BG1271" s="13"/>
    </row>
    <row r="1272">
      <c r="A1272" s="69"/>
      <c r="B1272" s="69"/>
      <c r="C1272" s="13"/>
      <c r="D1272" s="99"/>
      <c r="E1272" s="13"/>
      <c r="F1272" s="99"/>
      <c r="G1272" s="69"/>
      <c r="H1272" s="98"/>
      <c r="J1272" s="69"/>
      <c r="K1272" s="99"/>
      <c r="L1272" s="389"/>
      <c r="M1272" s="182"/>
      <c r="N1272" s="375"/>
      <c r="O1272" s="378"/>
      <c r="P1272" s="13"/>
      <c r="Q1272" s="13"/>
      <c r="R1272" s="13"/>
      <c r="S1272" s="98"/>
      <c r="T1272" s="69"/>
      <c r="U1272" s="69"/>
      <c r="V1272" s="13"/>
      <c r="W1272" s="13"/>
      <c r="X1272" s="379"/>
      <c r="Y1272" s="150"/>
      <c r="Z1272" s="150"/>
      <c r="AA1272" s="150"/>
      <c r="AB1272" s="150"/>
      <c r="AC1272" s="150"/>
      <c r="AD1272" s="381"/>
      <c r="AE1272" s="150"/>
      <c r="AF1272" s="110"/>
      <c r="AG1272" s="105"/>
      <c r="AH1272" s="69"/>
      <c r="AI1272" s="105"/>
      <c r="AJ1272" s="98"/>
      <c r="AK1272" s="110"/>
      <c r="AL1272" s="98"/>
      <c r="AM1272" s="69"/>
      <c r="AN1272" s="13"/>
      <c r="AO1272" s="13"/>
      <c r="AP1272" s="13"/>
      <c r="AQ1272" s="13"/>
      <c r="AR1272" s="13"/>
      <c r="AS1272" s="13"/>
      <c r="AT1272" s="13"/>
      <c r="AU1272" s="13"/>
      <c r="AV1272" s="13"/>
      <c r="AW1272" s="13"/>
      <c r="AX1272" s="13"/>
      <c r="AY1272" s="13"/>
      <c r="AZ1272" s="13"/>
      <c r="BA1272" s="13"/>
      <c r="BB1272" s="13"/>
      <c r="BC1272" s="13"/>
      <c r="BD1272" s="13"/>
      <c r="BE1272" s="13"/>
      <c r="BF1272" s="13"/>
      <c r="BG1272" s="13"/>
    </row>
    <row r="1273">
      <c r="A1273" s="69"/>
      <c r="B1273" s="69"/>
      <c r="C1273" s="13"/>
      <c r="D1273" s="99"/>
      <c r="E1273" s="13"/>
      <c r="F1273" s="99"/>
      <c r="G1273" s="69"/>
      <c r="H1273" s="98"/>
      <c r="J1273" s="69"/>
      <c r="K1273" s="99"/>
      <c r="L1273" s="389"/>
      <c r="M1273" s="182"/>
      <c r="N1273" s="375"/>
      <c r="O1273" s="378"/>
      <c r="P1273" s="13"/>
      <c r="Q1273" s="13"/>
      <c r="R1273" s="13"/>
      <c r="S1273" s="98"/>
      <c r="T1273" s="69"/>
      <c r="U1273" s="69"/>
      <c r="V1273" s="13"/>
      <c r="W1273" s="13"/>
      <c r="X1273" s="379"/>
      <c r="Y1273" s="150"/>
      <c r="Z1273" s="150"/>
      <c r="AA1273" s="150"/>
      <c r="AB1273" s="150"/>
      <c r="AC1273" s="150"/>
      <c r="AD1273" s="381"/>
      <c r="AE1273" s="150"/>
      <c r="AF1273" s="110"/>
      <c r="AG1273" s="105"/>
      <c r="AH1273" s="69"/>
      <c r="AI1273" s="105"/>
      <c r="AJ1273" s="98"/>
      <c r="AK1273" s="110"/>
      <c r="AL1273" s="98"/>
      <c r="AM1273" s="69"/>
      <c r="AN1273" s="13"/>
      <c r="AO1273" s="13"/>
      <c r="AP1273" s="13"/>
      <c r="AQ1273" s="13"/>
      <c r="AR1273" s="13"/>
      <c r="AS1273" s="13"/>
      <c r="AT1273" s="13"/>
      <c r="AU1273" s="13"/>
      <c r="AV1273" s="13"/>
      <c r="AW1273" s="13"/>
      <c r="AX1273" s="13"/>
      <c r="AY1273" s="13"/>
      <c r="AZ1273" s="13"/>
      <c r="BA1273" s="13"/>
      <c r="BB1273" s="13"/>
      <c r="BC1273" s="13"/>
      <c r="BD1273" s="13"/>
      <c r="BE1273" s="13"/>
      <c r="BF1273" s="13"/>
      <c r="BG1273" s="13"/>
    </row>
    <row r="1274">
      <c r="A1274" s="69"/>
      <c r="B1274" s="69"/>
      <c r="C1274" s="13"/>
      <c r="D1274" s="99"/>
      <c r="E1274" s="13"/>
      <c r="F1274" s="99"/>
      <c r="G1274" s="69"/>
      <c r="H1274" s="98"/>
      <c r="J1274" s="69"/>
      <c r="K1274" s="99"/>
      <c r="L1274" s="389"/>
      <c r="M1274" s="182"/>
      <c r="N1274" s="375"/>
      <c r="O1274" s="378"/>
      <c r="P1274" s="13"/>
      <c r="Q1274" s="13"/>
      <c r="R1274" s="13"/>
      <c r="S1274" s="98"/>
      <c r="T1274" s="69"/>
      <c r="U1274" s="69"/>
      <c r="V1274" s="13"/>
      <c r="W1274" s="13"/>
      <c r="X1274" s="379"/>
      <c r="Y1274" s="150"/>
      <c r="Z1274" s="150"/>
      <c r="AA1274" s="150"/>
      <c r="AB1274" s="150"/>
      <c r="AC1274" s="150"/>
      <c r="AD1274" s="381"/>
      <c r="AE1274" s="150"/>
      <c r="AF1274" s="110"/>
      <c r="AG1274" s="105"/>
      <c r="AH1274" s="69"/>
      <c r="AI1274" s="105"/>
      <c r="AJ1274" s="98"/>
      <c r="AK1274" s="110"/>
      <c r="AL1274" s="98"/>
      <c r="AM1274" s="69"/>
      <c r="AN1274" s="13"/>
      <c r="AO1274" s="13"/>
      <c r="AP1274" s="13"/>
      <c r="AQ1274" s="13"/>
      <c r="AR1274" s="13"/>
      <c r="AS1274" s="13"/>
      <c r="AT1274" s="13"/>
      <c r="AU1274" s="13"/>
      <c r="AV1274" s="13"/>
      <c r="AW1274" s="13"/>
      <c r="AX1274" s="13"/>
      <c r="AY1274" s="13"/>
      <c r="AZ1274" s="13"/>
      <c r="BA1274" s="13"/>
      <c r="BB1274" s="13"/>
      <c r="BC1274" s="13"/>
      <c r="BD1274" s="13"/>
      <c r="BE1274" s="13"/>
      <c r="BF1274" s="13"/>
      <c r="BG1274" s="13"/>
    </row>
    <row r="1275">
      <c r="A1275" s="69"/>
      <c r="B1275" s="69"/>
      <c r="C1275" s="13"/>
      <c r="D1275" s="99"/>
      <c r="E1275" s="13"/>
      <c r="F1275" s="99"/>
      <c r="G1275" s="69"/>
      <c r="H1275" s="98"/>
      <c r="J1275" s="69"/>
      <c r="K1275" s="99"/>
      <c r="L1275" s="389"/>
      <c r="M1275" s="182"/>
      <c r="N1275" s="375"/>
      <c r="O1275" s="378"/>
      <c r="P1275" s="13"/>
      <c r="Q1275" s="13"/>
      <c r="R1275" s="13"/>
      <c r="S1275" s="98"/>
      <c r="T1275" s="69"/>
      <c r="U1275" s="69"/>
      <c r="V1275" s="13"/>
      <c r="W1275" s="13"/>
      <c r="X1275" s="379"/>
      <c r="Y1275" s="150"/>
      <c r="Z1275" s="150"/>
      <c r="AA1275" s="150"/>
      <c r="AB1275" s="150"/>
      <c r="AC1275" s="150"/>
      <c r="AD1275" s="381"/>
      <c r="AE1275" s="150"/>
      <c r="AF1275" s="110"/>
      <c r="AG1275" s="105"/>
      <c r="AH1275" s="69"/>
      <c r="AI1275" s="105"/>
      <c r="AJ1275" s="98"/>
      <c r="AK1275" s="110"/>
      <c r="AL1275" s="98"/>
      <c r="AM1275" s="69"/>
      <c r="AN1275" s="13"/>
      <c r="AO1275" s="13"/>
      <c r="AP1275" s="13"/>
      <c r="AQ1275" s="13"/>
      <c r="AR1275" s="13"/>
      <c r="AS1275" s="13"/>
      <c r="AT1275" s="13"/>
      <c r="AU1275" s="13"/>
      <c r="AV1275" s="13"/>
      <c r="AW1275" s="13"/>
      <c r="AX1275" s="13"/>
      <c r="AY1275" s="13"/>
      <c r="AZ1275" s="13"/>
      <c r="BA1275" s="13"/>
      <c r="BB1275" s="13"/>
      <c r="BC1275" s="13"/>
      <c r="BD1275" s="13"/>
      <c r="BE1275" s="13"/>
      <c r="BF1275" s="13"/>
      <c r="BG1275" s="13"/>
    </row>
    <row r="1276">
      <c r="A1276" s="69"/>
      <c r="B1276" s="69"/>
      <c r="C1276" s="13"/>
      <c r="D1276" s="99"/>
      <c r="E1276" s="13"/>
      <c r="F1276" s="99"/>
      <c r="G1276" s="69"/>
      <c r="H1276" s="98"/>
      <c r="J1276" s="69"/>
      <c r="K1276" s="99"/>
      <c r="L1276" s="389"/>
      <c r="M1276" s="182"/>
      <c r="N1276" s="375"/>
      <c r="O1276" s="378"/>
      <c r="P1276" s="13"/>
      <c r="Q1276" s="13"/>
      <c r="R1276" s="13"/>
      <c r="S1276" s="98"/>
      <c r="T1276" s="69"/>
      <c r="U1276" s="69"/>
      <c r="V1276" s="13"/>
      <c r="W1276" s="13"/>
      <c r="X1276" s="379"/>
      <c r="Y1276" s="150"/>
      <c r="Z1276" s="150"/>
      <c r="AA1276" s="150"/>
      <c r="AB1276" s="150"/>
      <c r="AC1276" s="150"/>
      <c r="AD1276" s="381"/>
      <c r="AE1276" s="150"/>
      <c r="AF1276" s="110"/>
      <c r="AG1276" s="105"/>
      <c r="AH1276" s="69"/>
      <c r="AI1276" s="105"/>
      <c r="AJ1276" s="98"/>
      <c r="AK1276" s="110"/>
      <c r="AL1276" s="98"/>
      <c r="AM1276" s="69"/>
      <c r="AN1276" s="13"/>
      <c r="AO1276" s="13"/>
      <c r="AP1276" s="13"/>
      <c r="AQ1276" s="13"/>
      <c r="AR1276" s="13"/>
      <c r="AS1276" s="13"/>
      <c r="AT1276" s="13"/>
      <c r="AU1276" s="13"/>
      <c r="AV1276" s="13"/>
      <c r="AW1276" s="13"/>
      <c r="AX1276" s="13"/>
      <c r="AY1276" s="13"/>
      <c r="AZ1276" s="13"/>
      <c r="BA1276" s="13"/>
      <c r="BB1276" s="13"/>
      <c r="BC1276" s="13"/>
      <c r="BD1276" s="13"/>
      <c r="BE1276" s="13"/>
      <c r="BF1276" s="13"/>
      <c r="BG1276" s="13"/>
    </row>
    <row r="1277">
      <c r="A1277" s="69"/>
      <c r="B1277" s="69"/>
      <c r="C1277" s="13"/>
      <c r="D1277" s="99"/>
      <c r="E1277" s="13"/>
      <c r="F1277" s="99"/>
      <c r="G1277" s="69"/>
      <c r="H1277" s="98"/>
      <c r="J1277" s="69"/>
      <c r="K1277" s="99"/>
      <c r="L1277" s="389"/>
      <c r="M1277" s="182"/>
      <c r="N1277" s="375"/>
      <c r="O1277" s="378"/>
      <c r="P1277" s="13"/>
      <c r="Q1277" s="13"/>
      <c r="R1277" s="13"/>
      <c r="S1277" s="98"/>
      <c r="T1277" s="69"/>
      <c r="U1277" s="69"/>
      <c r="V1277" s="13"/>
      <c r="W1277" s="13"/>
      <c r="X1277" s="379"/>
      <c r="Y1277" s="150"/>
      <c r="Z1277" s="150"/>
      <c r="AA1277" s="150"/>
      <c r="AB1277" s="150"/>
      <c r="AC1277" s="150"/>
      <c r="AD1277" s="381"/>
      <c r="AE1277" s="150"/>
      <c r="AF1277" s="110"/>
      <c r="AG1277" s="105"/>
      <c r="AH1277" s="69"/>
      <c r="AI1277" s="105"/>
      <c r="AJ1277" s="98"/>
      <c r="AK1277" s="110"/>
      <c r="AL1277" s="98"/>
      <c r="AM1277" s="69"/>
      <c r="AN1277" s="13"/>
      <c r="AO1277" s="13"/>
      <c r="AP1277" s="13"/>
      <c r="AQ1277" s="13"/>
      <c r="AR1277" s="13"/>
      <c r="AS1277" s="13"/>
      <c r="AT1277" s="13"/>
      <c r="AU1277" s="13"/>
      <c r="AV1277" s="13"/>
      <c r="AW1277" s="13"/>
      <c r="AX1277" s="13"/>
      <c r="AY1277" s="13"/>
      <c r="AZ1277" s="13"/>
      <c r="BA1277" s="13"/>
      <c r="BB1277" s="13"/>
      <c r="BC1277" s="13"/>
      <c r="BD1277" s="13"/>
      <c r="BE1277" s="13"/>
      <c r="BF1277" s="13"/>
      <c r="BG1277" s="13"/>
    </row>
    <row r="1278">
      <c r="A1278" s="69"/>
      <c r="B1278" s="69"/>
      <c r="C1278" s="13"/>
      <c r="D1278" s="99"/>
      <c r="E1278" s="13"/>
      <c r="F1278" s="99"/>
      <c r="G1278" s="69"/>
      <c r="H1278" s="98"/>
      <c r="J1278" s="69"/>
      <c r="K1278" s="99"/>
      <c r="L1278" s="389"/>
      <c r="M1278" s="182"/>
      <c r="N1278" s="375"/>
      <c r="O1278" s="378"/>
      <c r="P1278" s="13"/>
      <c r="Q1278" s="13"/>
      <c r="R1278" s="13"/>
      <c r="S1278" s="98"/>
      <c r="T1278" s="69"/>
      <c r="U1278" s="69"/>
      <c r="V1278" s="13"/>
      <c r="W1278" s="13"/>
      <c r="X1278" s="379"/>
      <c r="Y1278" s="150"/>
      <c r="Z1278" s="150"/>
      <c r="AA1278" s="150"/>
      <c r="AB1278" s="150"/>
      <c r="AC1278" s="150"/>
      <c r="AD1278" s="381"/>
      <c r="AE1278" s="150"/>
      <c r="AF1278" s="110"/>
      <c r="AG1278" s="105"/>
      <c r="AH1278" s="69"/>
      <c r="AI1278" s="105"/>
      <c r="AJ1278" s="98"/>
      <c r="AK1278" s="110"/>
      <c r="AL1278" s="98"/>
      <c r="AM1278" s="69"/>
      <c r="AN1278" s="13"/>
      <c r="AO1278" s="13"/>
      <c r="AP1278" s="13"/>
      <c r="AQ1278" s="13"/>
      <c r="AR1278" s="13"/>
      <c r="AS1278" s="13"/>
      <c r="AT1278" s="13"/>
      <c r="AU1278" s="13"/>
      <c r="AV1278" s="13"/>
      <c r="AW1278" s="13"/>
      <c r="AX1278" s="13"/>
      <c r="AY1278" s="13"/>
      <c r="AZ1278" s="13"/>
      <c r="BA1278" s="13"/>
      <c r="BB1278" s="13"/>
      <c r="BC1278" s="13"/>
      <c r="BD1278" s="13"/>
      <c r="BE1278" s="13"/>
      <c r="BF1278" s="13"/>
      <c r="BG1278" s="13"/>
    </row>
    <row r="1279">
      <c r="A1279" s="69"/>
      <c r="B1279" s="69"/>
      <c r="C1279" s="13"/>
      <c r="D1279" s="99"/>
      <c r="E1279" s="13"/>
      <c r="F1279" s="99"/>
      <c r="G1279" s="69"/>
      <c r="H1279" s="98"/>
      <c r="J1279" s="69"/>
      <c r="K1279" s="99"/>
      <c r="L1279" s="389"/>
      <c r="M1279" s="182"/>
      <c r="N1279" s="375"/>
      <c r="O1279" s="378"/>
      <c r="P1279" s="13"/>
      <c r="Q1279" s="13"/>
      <c r="R1279" s="13"/>
      <c r="S1279" s="98"/>
      <c r="T1279" s="69"/>
      <c r="U1279" s="69"/>
      <c r="V1279" s="13"/>
      <c r="W1279" s="13"/>
      <c r="X1279" s="379"/>
      <c r="Y1279" s="150"/>
      <c r="Z1279" s="150"/>
      <c r="AA1279" s="150"/>
      <c r="AB1279" s="150"/>
      <c r="AC1279" s="150"/>
      <c r="AD1279" s="381"/>
      <c r="AE1279" s="150"/>
      <c r="AF1279" s="110"/>
      <c r="AG1279" s="105"/>
      <c r="AH1279" s="69"/>
      <c r="AI1279" s="105"/>
      <c r="AJ1279" s="98"/>
      <c r="AK1279" s="110"/>
      <c r="AL1279" s="98"/>
      <c r="AM1279" s="69"/>
      <c r="AN1279" s="13"/>
      <c r="AO1279" s="13"/>
      <c r="AP1279" s="13"/>
      <c r="AQ1279" s="13"/>
      <c r="AR1279" s="13"/>
      <c r="AS1279" s="13"/>
      <c r="AT1279" s="13"/>
      <c r="AU1279" s="13"/>
      <c r="AV1279" s="13"/>
      <c r="AW1279" s="13"/>
      <c r="AX1279" s="13"/>
      <c r="AY1279" s="13"/>
      <c r="AZ1279" s="13"/>
      <c r="BA1279" s="13"/>
      <c r="BB1279" s="13"/>
      <c r="BC1279" s="13"/>
      <c r="BD1279" s="13"/>
      <c r="BE1279" s="13"/>
      <c r="BF1279" s="13"/>
      <c r="BG1279" s="13"/>
    </row>
    <row r="1280">
      <c r="A1280" s="69"/>
      <c r="B1280" s="69"/>
      <c r="C1280" s="13"/>
      <c r="D1280" s="99"/>
      <c r="E1280" s="13"/>
      <c r="F1280" s="99"/>
      <c r="G1280" s="69"/>
      <c r="H1280" s="98"/>
      <c r="J1280" s="69"/>
      <c r="K1280" s="99"/>
      <c r="L1280" s="389"/>
      <c r="M1280" s="182"/>
      <c r="N1280" s="375"/>
      <c r="O1280" s="378"/>
      <c r="P1280" s="13"/>
      <c r="Q1280" s="13"/>
      <c r="R1280" s="13"/>
      <c r="S1280" s="98"/>
      <c r="T1280" s="69"/>
      <c r="U1280" s="69"/>
      <c r="V1280" s="13"/>
      <c r="W1280" s="13"/>
      <c r="X1280" s="379"/>
      <c r="Y1280" s="150"/>
      <c r="Z1280" s="150"/>
      <c r="AA1280" s="150"/>
      <c r="AB1280" s="150"/>
      <c r="AC1280" s="150"/>
      <c r="AD1280" s="381"/>
      <c r="AE1280" s="150"/>
      <c r="AF1280" s="110"/>
      <c r="AG1280" s="105"/>
      <c r="AH1280" s="69"/>
      <c r="AI1280" s="105"/>
      <c r="AJ1280" s="98"/>
      <c r="AK1280" s="110"/>
      <c r="AL1280" s="98"/>
      <c r="AM1280" s="69"/>
      <c r="AN1280" s="13"/>
      <c r="AO1280" s="13"/>
      <c r="AP1280" s="13"/>
      <c r="AQ1280" s="13"/>
      <c r="AR1280" s="13"/>
      <c r="AS1280" s="13"/>
      <c r="AT1280" s="13"/>
      <c r="AU1280" s="13"/>
      <c r="AV1280" s="13"/>
      <c r="AW1280" s="13"/>
      <c r="AX1280" s="13"/>
      <c r="AY1280" s="13"/>
      <c r="AZ1280" s="13"/>
      <c r="BA1280" s="13"/>
      <c r="BB1280" s="13"/>
      <c r="BC1280" s="13"/>
      <c r="BD1280" s="13"/>
      <c r="BE1280" s="13"/>
      <c r="BF1280" s="13"/>
      <c r="BG1280" s="13"/>
    </row>
    <row r="1281">
      <c r="A1281" s="69"/>
      <c r="B1281" s="69"/>
      <c r="C1281" s="13"/>
      <c r="D1281" s="99"/>
      <c r="E1281" s="13"/>
      <c r="F1281" s="99"/>
      <c r="G1281" s="69"/>
      <c r="H1281" s="98"/>
      <c r="J1281" s="69"/>
      <c r="K1281" s="99"/>
      <c r="L1281" s="389"/>
      <c r="M1281" s="182"/>
      <c r="N1281" s="375"/>
      <c r="O1281" s="378"/>
      <c r="P1281" s="13"/>
      <c r="Q1281" s="13"/>
      <c r="R1281" s="13"/>
      <c r="S1281" s="98"/>
      <c r="T1281" s="69"/>
      <c r="U1281" s="69"/>
      <c r="V1281" s="13"/>
      <c r="W1281" s="13"/>
      <c r="X1281" s="379"/>
      <c r="Y1281" s="150"/>
      <c r="Z1281" s="150"/>
      <c r="AA1281" s="150"/>
      <c r="AB1281" s="150"/>
      <c r="AC1281" s="150"/>
      <c r="AD1281" s="381"/>
      <c r="AE1281" s="150"/>
      <c r="AF1281" s="110"/>
      <c r="AG1281" s="105"/>
      <c r="AH1281" s="69"/>
      <c r="AI1281" s="105"/>
      <c r="AJ1281" s="98"/>
      <c r="AK1281" s="110"/>
      <c r="AL1281" s="98"/>
      <c r="AM1281" s="69"/>
      <c r="AN1281" s="13"/>
      <c r="AO1281" s="13"/>
      <c r="AP1281" s="13"/>
      <c r="AQ1281" s="13"/>
      <c r="AR1281" s="13"/>
      <c r="AS1281" s="13"/>
      <c r="AT1281" s="13"/>
      <c r="AU1281" s="13"/>
      <c r="AV1281" s="13"/>
      <c r="AW1281" s="13"/>
      <c r="AX1281" s="13"/>
      <c r="AY1281" s="13"/>
      <c r="AZ1281" s="13"/>
      <c r="BA1281" s="13"/>
      <c r="BB1281" s="13"/>
      <c r="BC1281" s="13"/>
      <c r="BD1281" s="13"/>
      <c r="BE1281" s="13"/>
      <c r="BF1281" s="13"/>
      <c r="BG1281" s="13"/>
    </row>
    <row r="1282">
      <c r="A1282" s="69"/>
      <c r="B1282" s="69"/>
      <c r="C1282" s="13"/>
      <c r="D1282" s="99"/>
      <c r="E1282" s="13"/>
      <c r="F1282" s="99"/>
      <c r="G1282" s="69"/>
      <c r="H1282" s="98"/>
      <c r="J1282" s="69"/>
      <c r="K1282" s="99"/>
      <c r="L1282" s="389"/>
      <c r="M1282" s="182"/>
      <c r="N1282" s="375"/>
      <c r="O1282" s="378"/>
      <c r="P1282" s="13"/>
      <c r="Q1282" s="13"/>
      <c r="R1282" s="13"/>
      <c r="S1282" s="98"/>
      <c r="T1282" s="69"/>
      <c r="U1282" s="69"/>
      <c r="V1282" s="13"/>
      <c r="W1282" s="13"/>
      <c r="X1282" s="379"/>
      <c r="Y1282" s="150"/>
      <c r="Z1282" s="150"/>
      <c r="AA1282" s="150"/>
      <c r="AB1282" s="150"/>
      <c r="AC1282" s="150"/>
      <c r="AD1282" s="381"/>
      <c r="AE1282" s="150"/>
      <c r="AF1282" s="110"/>
      <c r="AG1282" s="105"/>
      <c r="AH1282" s="69"/>
      <c r="AI1282" s="105"/>
      <c r="AJ1282" s="98"/>
      <c r="AK1282" s="110"/>
      <c r="AL1282" s="98"/>
      <c r="AM1282" s="69"/>
      <c r="AN1282" s="13"/>
      <c r="AO1282" s="13"/>
      <c r="AP1282" s="13"/>
      <c r="AQ1282" s="13"/>
      <c r="AR1282" s="13"/>
      <c r="AS1282" s="13"/>
      <c r="AT1282" s="13"/>
      <c r="AU1282" s="13"/>
      <c r="AV1282" s="13"/>
      <c r="AW1282" s="13"/>
      <c r="AX1282" s="13"/>
      <c r="AY1282" s="13"/>
      <c r="AZ1282" s="13"/>
      <c r="BA1282" s="13"/>
      <c r="BB1282" s="13"/>
      <c r="BC1282" s="13"/>
      <c r="BD1282" s="13"/>
      <c r="BE1282" s="13"/>
      <c r="BF1282" s="13"/>
      <c r="BG1282" s="13"/>
    </row>
    <row r="1283">
      <c r="A1283" s="69"/>
      <c r="B1283" s="69"/>
      <c r="C1283" s="13"/>
      <c r="D1283" s="99"/>
      <c r="E1283" s="13"/>
      <c r="F1283" s="99"/>
      <c r="G1283" s="69"/>
      <c r="H1283" s="98"/>
      <c r="J1283" s="69"/>
      <c r="K1283" s="99"/>
      <c r="L1283" s="389"/>
      <c r="M1283" s="182"/>
      <c r="N1283" s="375"/>
      <c r="O1283" s="378"/>
      <c r="P1283" s="13"/>
      <c r="Q1283" s="13"/>
      <c r="R1283" s="13"/>
      <c r="S1283" s="98"/>
      <c r="T1283" s="69"/>
      <c r="U1283" s="69"/>
      <c r="V1283" s="13"/>
      <c r="W1283" s="13"/>
      <c r="X1283" s="379"/>
      <c r="Y1283" s="150"/>
      <c r="Z1283" s="150"/>
      <c r="AA1283" s="150"/>
      <c r="AB1283" s="150"/>
      <c r="AC1283" s="150"/>
      <c r="AD1283" s="381"/>
      <c r="AE1283" s="150"/>
      <c r="AF1283" s="110"/>
      <c r="AG1283" s="105"/>
      <c r="AH1283" s="69"/>
      <c r="AI1283" s="105"/>
      <c r="AJ1283" s="98"/>
      <c r="AK1283" s="110"/>
      <c r="AL1283" s="98"/>
      <c r="AM1283" s="69"/>
      <c r="AN1283" s="13"/>
      <c r="AO1283" s="13"/>
      <c r="AP1283" s="13"/>
      <c r="AQ1283" s="13"/>
      <c r="AR1283" s="13"/>
      <c r="AS1283" s="13"/>
      <c r="AT1283" s="13"/>
      <c r="AU1283" s="13"/>
      <c r="AV1283" s="13"/>
      <c r="AW1283" s="13"/>
      <c r="AX1283" s="13"/>
      <c r="AY1283" s="13"/>
      <c r="AZ1283" s="13"/>
      <c r="BA1283" s="13"/>
      <c r="BB1283" s="13"/>
      <c r="BC1283" s="13"/>
      <c r="BD1283" s="13"/>
      <c r="BE1283" s="13"/>
      <c r="BF1283" s="13"/>
      <c r="BG1283" s="13"/>
    </row>
    <row r="1284">
      <c r="A1284" s="69"/>
      <c r="B1284" s="69"/>
      <c r="C1284" s="13"/>
      <c r="D1284" s="99"/>
      <c r="E1284" s="13"/>
      <c r="F1284" s="99"/>
      <c r="G1284" s="69"/>
      <c r="H1284" s="98"/>
      <c r="J1284" s="69"/>
      <c r="K1284" s="99"/>
      <c r="L1284" s="389"/>
      <c r="M1284" s="182"/>
      <c r="N1284" s="375"/>
      <c r="O1284" s="378"/>
      <c r="P1284" s="13"/>
      <c r="Q1284" s="13"/>
      <c r="R1284" s="13"/>
      <c r="S1284" s="98"/>
      <c r="T1284" s="69"/>
      <c r="U1284" s="69"/>
      <c r="V1284" s="13"/>
      <c r="W1284" s="13"/>
      <c r="X1284" s="379"/>
      <c r="Y1284" s="150"/>
      <c r="Z1284" s="150"/>
      <c r="AA1284" s="150"/>
      <c r="AB1284" s="150"/>
      <c r="AC1284" s="150"/>
      <c r="AD1284" s="381"/>
      <c r="AE1284" s="150"/>
      <c r="AF1284" s="110"/>
      <c r="AG1284" s="105"/>
      <c r="AH1284" s="69"/>
      <c r="AI1284" s="105"/>
      <c r="AJ1284" s="98"/>
      <c r="AK1284" s="110"/>
      <c r="AL1284" s="98"/>
      <c r="AM1284" s="69"/>
      <c r="AN1284" s="13"/>
      <c r="AO1284" s="13"/>
      <c r="AP1284" s="13"/>
      <c r="AQ1284" s="13"/>
      <c r="AR1284" s="13"/>
      <c r="AS1284" s="13"/>
      <c r="AT1284" s="13"/>
      <c r="AU1284" s="13"/>
      <c r="AV1284" s="13"/>
      <c r="AW1284" s="13"/>
      <c r="AX1284" s="13"/>
      <c r="AY1284" s="13"/>
      <c r="AZ1284" s="13"/>
      <c r="BA1284" s="13"/>
      <c r="BB1284" s="13"/>
      <c r="BC1284" s="13"/>
      <c r="BD1284" s="13"/>
      <c r="BE1284" s="13"/>
      <c r="BF1284" s="13"/>
      <c r="BG1284" s="13"/>
    </row>
    <row r="1285">
      <c r="A1285" s="69"/>
      <c r="B1285" s="69"/>
      <c r="C1285" s="13"/>
      <c r="D1285" s="99"/>
      <c r="E1285" s="13"/>
      <c r="F1285" s="99"/>
      <c r="G1285" s="69"/>
      <c r="H1285" s="98"/>
      <c r="J1285" s="69"/>
      <c r="K1285" s="99"/>
      <c r="L1285" s="389"/>
      <c r="M1285" s="182"/>
      <c r="N1285" s="375"/>
      <c r="O1285" s="378"/>
      <c r="P1285" s="13"/>
      <c r="Q1285" s="13"/>
      <c r="R1285" s="13"/>
      <c r="S1285" s="98"/>
      <c r="T1285" s="69"/>
      <c r="U1285" s="69"/>
      <c r="V1285" s="13"/>
      <c r="W1285" s="13"/>
      <c r="X1285" s="379"/>
      <c r="Y1285" s="150"/>
      <c r="Z1285" s="150"/>
      <c r="AA1285" s="150"/>
      <c r="AB1285" s="150"/>
      <c r="AC1285" s="150"/>
      <c r="AD1285" s="381"/>
      <c r="AE1285" s="150"/>
      <c r="AF1285" s="110"/>
      <c r="AG1285" s="105"/>
      <c r="AH1285" s="69"/>
      <c r="AI1285" s="105"/>
      <c r="AJ1285" s="98"/>
      <c r="AK1285" s="110"/>
      <c r="AL1285" s="98"/>
      <c r="AM1285" s="69"/>
      <c r="AN1285" s="13"/>
      <c r="AO1285" s="13"/>
      <c r="AP1285" s="13"/>
      <c r="AQ1285" s="13"/>
      <c r="AR1285" s="13"/>
      <c r="AS1285" s="13"/>
      <c r="AT1285" s="13"/>
      <c r="AU1285" s="13"/>
      <c r="AV1285" s="13"/>
      <c r="AW1285" s="13"/>
      <c r="AX1285" s="13"/>
      <c r="AY1285" s="13"/>
      <c r="AZ1285" s="13"/>
      <c r="BA1285" s="13"/>
      <c r="BB1285" s="13"/>
      <c r="BC1285" s="13"/>
      <c r="BD1285" s="13"/>
      <c r="BE1285" s="13"/>
      <c r="BF1285" s="13"/>
      <c r="BG1285" s="13"/>
    </row>
    <row r="1286">
      <c r="A1286" s="69"/>
      <c r="B1286" s="69"/>
      <c r="C1286" s="13"/>
      <c r="D1286" s="99"/>
      <c r="E1286" s="13"/>
      <c r="F1286" s="99"/>
      <c r="G1286" s="69"/>
      <c r="H1286" s="98"/>
      <c r="J1286" s="69"/>
      <c r="K1286" s="99"/>
      <c r="L1286" s="389"/>
      <c r="M1286" s="182"/>
      <c r="N1286" s="375"/>
      <c r="O1286" s="378"/>
      <c r="P1286" s="13"/>
      <c r="Q1286" s="13"/>
      <c r="R1286" s="13"/>
      <c r="S1286" s="98"/>
      <c r="T1286" s="69"/>
      <c r="U1286" s="69"/>
      <c r="V1286" s="13"/>
      <c r="W1286" s="13"/>
      <c r="X1286" s="379"/>
      <c r="Y1286" s="150"/>
      <c r="Z1286" s="150"/>
      <c r="AA1286" s="150"/>
      <c r="AB1286" s="150"/>
      <c r="AC1286" s="150"/>
      <c r="AD1286" s="381"/>
      <c r="AE1286" s="150"/>
      <c r="AF1286" s="110"/>
      <c r="AG1286" s="105"/>
      <c r="AH1286" s="69"/>
      <c r="AI1286" s="105"/>
      <c r="AJ1286" s="98"/>
      <c r="AK1286" s="110"/>
      <c r="AL1286" s="98"/>
      <c r="AM1286" s="69"/>
      <c r="AN1286" s="13"/>
      <c r="AO1286" s="13"/>
      <c r="AP1286" s="13"/>
      <c r="AQ1286" s="13"/>
      <c r="AR1286" s="13"/>
      <c r="AS1286" s="13"/>
      <c r="AT1286" s="13"/>
      <c r="AU1286" s="13"/>
      <c r="AV1286" s="13"/>
      <c r="AW1286" s="13"/>
      <c r="AX1286" s="13"/>
      <c r="AY1286" s="13"/>
      <c r="AZ1286" s="13"/>
      <c r="BA1286" s="13"/>
      <c r="BB1286" s="13"/>
      <c r="BC1286" s="13"/>
      <c r="BD1286" s="13"/>
      <c r="BE1286" s="13"/>
      <c r="BF1286" s="13"/>
      <c r="BG1286" s="13"/>
    </row>
    <row r="1287">
      <c r="A1287" s="69"/>
      <c r="B1287" s="69"/>
      <c r="C1287" s="13"/>
      <c r="D1287" s="99"/>
      <c r="E1287" s="13"/>
      <c r="F1287" s="99"/>
      <c r="G1287" s="69"/>
      <c r="H1287" s="98"/>
      <c r="J1287" s="69"/>
      <c r="K1287" s="99"/>
      <c r="L1287" s="389"/>
      <c r="M1287" s="182"/>
      <c r="N1287" s="375"/>
      <c r="O1287" s="378"/>
      <c r="P1287" s="13"/>
      <c r="Q1287" s="13"/>
      <c r="R1287" s="13"/>
      <c r="S1287" s="98"/>
      <c r="T1287" s="69"/>
      <c r="U1287" s="69"/>
      <c r="V1287" s="13"/>
      <c r="W1287" s="13"/>
      <c r="X1287" s="379"/>
      <c r="Y1287" s="150"/>
      <c r="Z1287" s="150"/>
      <c r="AA1287" s="150"/>
      <c r="AB1287" s="150"/>
      <c r="AC1287" s="150"/>
      <c r="AD1287" s="381"/>
      <c r="AE1287" s="150"/>
      <c r="AF1287" s="110"/>
      <c r="AG1287" s="110"/>
      <c r="AH1287" s="69"/>
      <c r="AI1287" s="105"/>
      <c r="AJ1287" s="98"/>
      <c r="AK1287" s="110"/>
      <c r="AL1287" s="98"/>
      <c r="AM1287" s="69"/>
      <c r="AN1287" s="13"/>
      <c r="AO1287" s="13"/>
      <c r="AP1287" s="13"/>
      <c r="AQ1287" s="13"/>
      <c r="AR1287" s="13"/>
      <c r="AS1287" s="13"/>
      <c r="AT1287" s="13"/>
      <c r="AU1287" s="13"/>
      <c r="AV1287" s="13"/>
      <c r="AW1287" s="13"/>
      <c r="AX1287" s="13"/>
      <c r="AY1287" s="13"/>
      <c r="AZ1287" s="13"/>
      <c r="BA1287" s="13"/>
      <c r="BB1287" s="13"/>
      <c r="BC1287" s="13"/>
      <c r="BD1287" s="13"/>
      <c r="BE1287" s="13"/>
      <c r="BF1287" s="13"/>
      <c r="BG1287" s="13"/>
    </row>
    <row r="1288">
      <c r="A1288" s="69"/>
      <c r="B1288" s="69"/>
      <c r="C1288" s="13"/>
      <c r="D1288" s="99"/>
      <c r="E1288" s="13"/>
      <c r="F1288" s="99"/>
      <c r="G1288" s="69"/>
      <c r="H1288" s="98"/>
      <c r="J1288" s="69"/>
      <c r="K1288" s="99"/>
      <c r="L1288" s="389"/>
      <c r="M1288" s="182"/>
      <c r="N1288" s="375"/>
      <c r="O1288" s="378"/>
      <c r="P1288" s="13"/>
      <c r="Q1288" s="13"/>
      <c r="R1288" s="13"/>
      <c r="S1288" s="98"/>
      <c r="T1288" s="69"/>
      <c r="U1288" s="69"/>
      <c r="V1288" s="13"/>
      <c r="W1288" s="13"/>
      <c r="X1288" s="379"/>
      <c r="Y1288" s="150"/>
      <c r="Z1288" s="150"/>
      <c r="AA1288" s="150"/>
      <c r="AB1288" s="150"/>
      <c r="AC1288" s="150"/>
      <c r="AD1288" s="381"/>
      <c r="AE1288" s="150"/>
      <c r="AF1288" s="110"/>
      <c r="AG1288" s="110"/>
      <c r="AH1288" s="69"/>
      <c r="AI1288" s="105"/>
      <c r="AJ1288" s="98"/>
      <c r="AK1288" s="110"/>
      <c r="AL1288" s="98"/>
      <c r="AM1288" s="69"/>
      <c r="AN1288" s="13"/>
      <c r="AO1288" s="13"/>
      <c r="AP1288" s="13"/>
      <c r="AQ1288" s="13"/>
      <c r="AR1288" s="13"/>
      <c r="AS1288" s="13"/>
      <c r="AT1288" s="13"/>
      <c r="AU1288" s="13"/>
      <c r="AV1288" s="13"/>
      <c r="AW1288" s="13"/>
      <c r="AX1288" s="13"/>
      <c r="AY1288" s="13"/>
      <c r="AZ1288" s="13"/>
      <c r="BA1288" s="13"/>
      <c r="BB1288" s="13"/>
      <c r="BC1288" s="13"/>
      <c r="BD1288" s="13"/>
      <c r="BE1288" s="13"/>
      <c r="BF1288" s="13"/>
      <c r="BG1288" s="13"/>
    </row>
    <row r="1289">
      <c r="A1289" s="69"/>
      <c r="B1289" s="69"/>
      <c r="C1289" s="13"/>
      <c r="D1289" s="99"/>
      <c r="E1289" s="13"/>
      <c r="F1289" s="99"/>
      <c r="G1289" s="69"/>
      <c r="H1289" s="98"/>
      <c r="J1289" s="69"/>
      <c r="K1289" s="99"/>
      <c r="L1289" s="389"/>
      <c r="M1289" s="182"/>
      <c r="N1289" s="375"/>
      <c r="O1289" s="378"/>
      <c r="P1289" s="13"/>
      <c r="Q1289" s="13"/>
      <c r="R1289" s="13"/>
      <c r="S1289" s="98"/>
      <c r="T1289" s="69"/>
      <c r="U1289" s="69"/>
      <c r="V1289" s="13"/>
      <c r="W1289" s="13"/>
      <c r="X1289" s="379"/>
      <c r="Y1289" s="150"/>
      <c r="Z1289" s="150"/>
      <c r="AA1289" s="150"/>
      <c r="AB1289" s="150"/>
      <c r="AC1289" s="150"/>
      <c r="AD1289" s="381"/>
      <c r="AE1289" s="150"/>
      <c r="AF1289" s="110"/>
      <c r="AG1289" s="110"/>
      <c r="AH1289" s="69"/>
      <c r="AI1289" s="105"/>
      <c r="AJ1289" s="98"/>
      <c r="AK1289" s="110"/>
      <c r="AL1289" s="98"/>
      <c r="AM1289" s="69"/>
      <c r="AN1289" s="13"/>
      <c r="AO1289" s="13"/>
      <c r="AP1289" s="13"/>
      <c r="AQ1289" s="13"/>
      <c r="AR1289" s="13"/>
      <c r="AS1289" s="13"/>
      <c r="AT1289" s="13"/>
      <c r="AU1289" s="13"/>
      <c r="AV1289" s="13"/>
      <c r="AW1289" s="13"/>
      <c r="AX1289" s="13"/>
      <c r="AY1289" s="13"/>
      <c r="AZ1289" s="13"/>
      <c r="BA1289" s="13"/>
      <c r="BB1289" s="13"/>
      <c r="BC1289" s="13"/>
      <c r="BD1289" s="13"/>
      <c r="BE1289" s="13"/>
      <c r="BF1289" s="13"/>
      <c r="BG1289" s="13"/>
    </row>
    <row r="1290">
      <c r="A1290" s="69"/>
      <c r="B1290" s="69"/>
      <c r="C1290" s="13"/>
      <c r="D1290" s="99"/>
      <c r="E1290" s="13"/>
      <c r="F1290" s="99"/>
      <c r="G1290" s="69"/>
      <c r="H1290" s="98"/>
      <c r="J1290" s="69"/>
      <c r="K1290" s="99"/>
      <c r="L1290" s="389"/>
      <c r="M1290" s="182"/>
      <c r="N1290" s="375"/>
      <c r="O1290" s="378"/>
      <c r="P1290" s="13"/>
      <c r="Q1290" s="13"/>
      <c r="R1290" s="13"/>
      <c r="S1290" s="98"/>
      <c r="T1290" s="69"/>
      <c r="U1290" s="69"/>
      <c r="V1290" s="13"/>
      <c r="W1290" s="13"/>
      <c r="X1290" s="379"/>
      <c r="Y1290" s="150"/>
      <c r="Z1290" s="150"/>
      <c r="AA1290" s="150"/>
      <c r="AB1290" s="150"/>
      <c r="AC1290" s="150"/>
      <c r="AD1290" s="381"/>
      <c r="AE1290" s="150"/>
      <c r="AF1290" s="110"/>
      <c r="AG1290" s="110"/>
      <c r="AH1290" s="69"/>
      <c r="AI1290" s="105"/>
      <c r="AJ1290" s="98"/>
      <c r="AK1290" s="110"/>
      <c r="AL1290" s="98"/>
      <c r="AM1290" s="69"/>
      <c r="AN1290" s="13"/>
      <c r="AO1290" s="13"/>
      <c r="AP1290" s="13"/>
      <c r="AQ1290" s="13"/>
      <c r="AR1290" s="13"/>
      <c r="AS1290" s="13"/>
      <c r="AT1290" s="13"/>
      <c r="AU1290" s="13"/>
      <c r="AV1290" s="13"/>
      <c r="AW1290" s="13"/>
      <c r="AX1290" s="13"/>
      <c r="AY1290" s="13"/>
      <c r="AZ1290" s="13"/>
      <c r="BA1290" s="13"/>
      <c r="BB1290" s="13"/>
      <c r="BC1290" s="13"/>
      <c r="BD1290" s="13"/>
      <c r="BE1290" s="13"/>
      <c r="BF1290" s="13"/>
      <c r="BG1290" s="13"/>
    </row>
    <row r="1291">
      <c r="A1291" s="69"/>
      <c r="B1291" s="69"/>
      <c r="C1291" s="13"/>
      <c r="D1291" s="99"/>
      <c r="E1291" s="13"/>
      <c r="F1291" s="99"/>
      <c r="G1291" s="69"/>
      <c r="H1291" s="98"/>
      <c r="J1291" s="69"/>
      <c r="K1291" s="99"/>
      <c r="L1291" s="389"/>
      <c r="M1291" s="182"/>
      <c r="N1291" s="375"/>
      <c r="O1291" s="378"/>
      <c r="P1291" s="13"/>
      <c r="Q1291" s="13"/>
      <c r="R1291" s="13"/>
      <c r="S1291" s="98"/>
      <c r="T1291" s="69"/>
      <c r="U1291" s="69"/>
      <c r="V1291" s="13"/>
      <c r="W1291" s="13"/>
      <c r="X1291" s="379"/>
      <c r="Y1291" s="150"/>
      <c r="Z1291" s="150"/>
      <c r="AA1291" s="150"/>
      <c r="AB1291" s="150"/>
      <c r="AC1291" s="150"/>
      <c r="AD1291" s="381"/>
      <c r="AE1291" s="150"/>
      <c r="AF1291" s="110"/>
      <c r="AG1291" s="110"/>
      <c r="AH1291" s="69"/>
      <c r="AI1291" s="105"/>
      <c r="AJ1291" s="98"/>
      <c r="AK1291" s="110"/>
      <c r="AL1291" s="98"/>
      <c r="AM1291" s="69"/>
      <c r="AN1291" s="13"/>
      <c r="AO1291" s="13"/>
      <c r="AP1291" s="13"/>
      <c r="AQ1291" s="13"/>
      <c r="AR1291" s="13"/>
      <c r="AS1291" s="13"/>
      <c r="AT1291" s="13"/>
      <c r="AU1291" s="13"/>
      <c r="AV1291" s="13"/>
      <c r="AW1291" s="13"/>
      <c r="AX1291" s="13"/>
      <c r="AY1291" s="13"/>
      <c r="AZ1291" s="13"/>
      <c r="BA1291" s="13"/>
      <c r="BB1291" s="13"/>
      <c r="BC1291" s="13"/>
      <c r="BD1291" s="13"/>
      <c r="BE1291" s="13"/>
      <c r="BF1291" s="13"/>
      <c r="BG1291" s="13"/>
    </row>
    <row r="1292">
      <c r="A1292" s="69"/>
      <c r="B1292" s="69"/>
      <c r="C1292" s="13"/>
      <c r="D1292" s="99"/>
      <c r="E1292" s="13"/>
      <c r="F1292" s="99"/>
      <c r="G1292" s="69"/>
      <c r="H1292" s="98"/>
      <c r="J1292" s="69"/>
      <c r="K1292" s="99"/>
      <c r="L1292" s="389"/>
      <c r="M1292" s="182"/>
      <c r="N1292" s="375"/>
      <c r="O1292" s="378"/>
      <c r="P1292" s="13"/>
      <c r="Q1292" s="13"/>
      <c r="R1292" s="13"/>
      <c r="S1292" s="98"/>
      <c r="T1292" s="69"/>
      <c r="U1292" s="69"/>
      <c r="V1292" s="13"/>
      <c r="W1292" s="13"/>
      <c r="X1292" s="379"/>
      <c r="Y1292" s="150"/>
      <c r="Z1292" s="150"/>
      <c r="AA1292" s="150"/>
      <c r="AB1292" s="150"/>
      <c r="AC1292" s="150"/>
      <c r="AD1292" s="381"/>
      <c r="AE1292" s="150"/>
      <c r="AF1292" s="110"/>
      <c r="AG1292" s="110"/>
      <c r="AH1292" s="69"/>
      <c r="AI1292" s="105"/>
      <c r="AJ1292" s="98"/>
      <c r="AK1292" s="110"/>
      <c r="AL1292" s="98"/>
      <c r="AM1292" s="69"/>
      <c r="AN1292" s="13"/>
      <c r="AO1292" s="13"/>
      <c r="AP1292" s="13"/>
      <c r="AQ1292" s="13"/>
      <c r="AR1292" s="13"/>
      <c r="AS1292" s="13"/>
      <c r="AT1292" s="13"/>
      <c r="AU1292" s="13"/>
      <c r="AV1292" s="13"/>
      <c r="AW1292" s="13"/>
      <c r="AX1292" s="13"/>
      <c r="AY1292" s="13"/>
      <c r="AZ1292" s="13"/>
      <c r="BA1292" s="13"/>
      <c r="BB1292" s="13"/>
      <c r="BC1292" s="13"/>
      <c r="BD1292" s="13"/>
      <c r="BE1292" s="13"/>
      <c r="BF1292" s="13"/>
      <c r="BG1292" s="13"/>
    </row>
    <row r="1293">
      <c r="A1293" s="69"/>
      <c r="B1293" s="69"/>
      <c r="C1293" s="13"/>
      <c r="D1293" s="99"/>
      <c r="E1293" s="13"/>
      <c r="F1293" s="99"/>
      <c r="G1293" s="69"/>
      <c r="H1293" s="98"/>
      <c r="J1293" s="69"/>
      <c r="K1293" s="99"/>
      <c r="L1293" s="389"/>
      <c r="M1293" s="182"/>
      <c r="N1293" s="375"/>
      <c r="O1293" s="378"/>
      <c r="P1293" s="13"/>
      <c r="Q1293" s="13"/>
      <c r="R1293" s="13"/>
      <c r="S1293" s="98"/>
      <c r="T1293" s="69"/>
      <c r="U1293" s="69"/>
      <c r="V1293" s="13"/>
      <c r="W1293" s="13"/>
      <c r="X1293" s="379"/>
      <c r="Y1293" s="150"/>
      <c r="Z1293" s="150"/>
      <c r="AA1293" s="150"/>
      <c r="AB1293" s="150"/>
      <c r="AC1293" s="150"/>
      <c r="AD1293" s="381"/>
      <c r="AE1293" s="150"/>
      <c r="AF1293" s="110"/>
      <c r="AG1293" s="110"/>
      <c r="AH1293" s="69"/>
      <c r="AI1293" s="105"/>
      <c r="AJ1293" s="98"/>
      <c r="AK1293" s="110"/>
      <c r="AL1293" s="98"/>
      <c r="AM1293" s="69"/>
      <c r="AN1293" s="13"/>
      <c r="AO1293" s="13"/>
      <c r="AP1293" s="13"/>
      <c r="AQ1293" s="13"/>
      <c r="AR1293" s="13"/>
      <c r="AS1293" s="13"/>
      <c r="AT1293" s="13"/>
      <c r="AU1293" s="13"/>
      <c r="AV1293" s="13"/>
      <c r="AW1293" s="13"/>
      <c r="AX1293" s="13"/>
      <c r="AY1293" s="13"/>
      <c r="AZ1293" s="13"/>
      <c r="BA1293" s="13"/>
      <c r="BB1293" s="13"/>
      <c r="BC1293" s="13"/>
      <c r="BD1293" s="13"/>
      <c r="BE1293" s="13"/>
      <c r="BF1293" s="13"/>
      <c r="BG1293" s="13"/>
    </row>
    <row r="1294">
      <c r="A1294" s="69"/>
      <c r="B1294" s="69"/>
      <c r="C1294" s="13"/>
      <c r="D1294" s="99"/>
      <c r="E1294" s="13"/>
      <c r="F1294" s="99"/>
      <c r="G1294" s="69"/>
      <c r="H1294" s="98"/>
      <c r="J1294" s="69"/>
      <c r="K1294" s="99"/>
      <c r="L1294" s="389"/>
      <c r="M1294" s="182"/>
      <c r="N1294" s="375"/>
      <c r="O1294" s="378"/>
      <c r="P1294" s="13"/>
      <c r="Q1294" s="13"/>
      <c r="R1294" s="13"/>
      <c r="S1294" s="98"/>
      <c r="T1294" s="69"/>
      <c r="U1294" s="69"/>
      <c r="V1294" s="13"/>
      <c r="W1294" s="13"/>
      <c r="X1294" s="379"/>
      <c r="Y1294" s="150"/>
      <c r="Z1294" s="150"/>
      <c r="AA1294" s="150"/>
      <c r="AB1294" s="150"/>
      <c r="AC1294" s="150"/>
      <c r="AD1294" s="381"/>
      <c r="AE1294" s="150"/>
      <c r="AF1294" s="110"/>
      <c r="AG1294" s="110"/>
      <c r="AH1294" s="69"/>
      <c r="AI1294" s="105"/>
      <c r="AJ1294" s="98"/>
      <c r="AK1294" s="110"/>
      <c r="AL1294" s="98"/>
      <c r="AM1294" s="69"/>
      <c r="AN1294" s="13"/>
      <c r="AO1294" s="13"/>
      <c r="AP1294" s="13"/>
      <c r="AQ1294" s="13"/>
      <c r="AR1294" s="13"/>
      <c r="AS1294" s="13"/>
      <c r="AT1294" s="13"/>
      <c r="AU1294" s="13"/>
      <c r="AV1294" s="13"/>
      <c r="AW1294" s="13"/>
      <c r="AX1294" s="13"/>
      <c r="AY1294" s="13"/>
      <c r="AZ1294" s="13"/>
      <c r="BA1294" s="13"/>
      <c r="BB1294" s="13"/>
      <c r="BC1294" s="13"/>
      <c r="BD1294" s="13"/>
      <c r="BE1294" s="13"/>
      <c r="BF1294" s="13"/>
      <c r="BG1294" s="13"/>
    </row>
    <row r="1295">
      <c r="A1295" s="69"/>
      <c r="B1295" s="69"/>
      <c r="C1295" s="13"/>
      <c r="D1295" s="99"/>
      <c r="E1295" s="13"/>
      <c r="F1295" s="99"/>
      <c r="G1295" s="69"/>
      <c r="H1295" s="98"/>
      <c r="J1295" s="69"/>
      <c r="K1295" s="99"/>
      <c r="L1295" s="389"/>
      <c r="M1295" s="182"/>
      <c r="N1295" s="375"/>
      <c r="O1295" s="378"/>
      <c r="P1295" s="13"/>
      <c r="Q1295" s="13"/>
      <c r="R1295" s="13"/>
      <c r="S1295" s="98"/>
      <c r="T1295" s="69"/>
      <c r="U1295" s="69"/>
      <c r="V1295" s="13"/>
      <c r="W1295" s="13"/>
      <c r="X1295" s="379"/>
      <c r="Y1295" s="150"/>
      <c r="Z1295" s="150"/>
      <c r="AA1295" s="150"/>
      <c r="AB1295" s="150"/>
      <c r="AC1295" s="150"/>
      <c r="AD1295" s="381"/>
      <c r="AE1295" s="150"/>
      <c r="AF1295" s="110"/>
      <c r="AG1295" s="110"/>
      <c r="AH1295" s="69"/>
      <c r="AI1295" s="105"/>
      <c r="AJ1295" s="98"/>
      <c r="AK1295" s="110"/>
      <c r="AL1295" s="98"/>
      <c r="AM1295" s="69"/>
      <c r="AN1295" s="13"/>
      <c r="AO1295" s="13"/>
      <c r="AP1295" s="13"/>
      <c r="AQ1295" s="13"/>
      <c r="AR1295" s="13"/>
      <c r="AS1295" s="13"/>
      <c r="AT1295" s="13"/>
      <c r="AU1295" s="13"/>
      <c r="AV1295" s="13"/>
      <c r="AW1295" s="13"/>
      <c r="AX1295" s="13"/>
      <c r="AY1295" s="13"/>
      <c r="AZ1295" s="13"/>
      <c r="BA1295" s="13"/>
      <c r="BB1295" s="13"/>
      <c r="BC1295" s="13"/>
      <c r="BD1295" s="13"/>
      <c r="BE1295" s="13"/>
      <c r="BF1295" s="13"/>
      <c r="BG1295" s="13"/>
    </row>
    <row r="1296">
      <c r="A1296" s="69"/>
      <c r="B1296" s="69"/>
      <c r="C1296" s="13"/>
      <c r="D1296" s="99"/>
      <c r="E1296" s="13"/>
      <c r="F1296" s="99"/>
      <c r="G1296" s="69"/>
      <c r="H1296" s="98"/>
      <c r="J1296" s="69"/>
      <c r="K1296" s="99"/>
      <c r="L1296" s="389"/>
      <c r="M1296" s="182"/>
      <c r="N1296" s="375"/>
      <c r="O1296" s="378"/>
      <c r="P1296" s="13"/>
      <c r="Q1296" s="13"/>
      <c r="R1296" s="13"/>
      <c r="S1296" s="98"/>
      <c r="T1296" s="69"/>
      <c r="U1296" s="69"/>
      <c r="V1296" s="13"/>
      <c r="W1296" s="13"/>
      <c r="X1296" s="379"/>
      <c r="Y1296" s="150"/>
      <c r="Z1296" s="150"/>
      <c r="AA1296" s="150"/>
      <c r="AB1296" s="150"/>
      <c r="AC1296" s="150"/>
      <c r="AD1296" s="381"/>
      <c r="AE1296" s="150"/>
      <c r="AF1296" s="110"/>
      <c r="AG1296" s="110"/>
      <c r="AH1296" s="69"/>
      <c r="AI1296" s="105"/>
      <c r="AJ1296" s="98"/>
      <c r="AK1296" s="110"/>
      <c r="AL1296" s="98"/>
      <c r="AM1296" s="69"/>
      <c r="AN1296" s="13"/>
      <c r="AO1296" s="13"/>
      <c r="AP1296" s="13"/>
      <c r="AQ1296" s="13"/>
      <c r="AR1296" s="13"/>
      <c r="AS1296" s="13"/>
      <c r="AT1296" s="13"/>
      <c r="AU1296" s="13"/>
      <c r="AV1296" s="13"/>
      <c r="AW1296" s="13"/>
      <c r="AX1296" s="13"/>
      <c r="AY1296" s="13"/>
      <c r="AZ1296" s="13"/>
      <c r="BA1296" s="13"/>
      <c r="BB1296" s="13"/>
      <c r="BC1296" s="13"/>
      <c r="BD1296" s="13"/>
      <c r="BE1296" s="13"/>
      <c r="BF1296" s="13"/>
      <c r="BG1296" s="13"/>
    </row>
    <row r="1297">
      <c r="A1297" s="69"/>
      <c r="B1297" s="69"/>
      <c r="C1297" s="13"/>
      <c r="D1297" s="99"/>
      <c r="E1297" s="13"/>
      <c r="F1297" s="99"/>
      <c r="G1297" s="69"/>
      <c r="H1297" s="98"/>
      <c r="J1297" s="69"/>
      <c r="K1297" s="99"/>
      <c r="L1297" s="389"/>
      <c r="M1297" s="182"/>
      <c r="N1297" s="375"/>
      <c r="O1297" s="378"/>
      <c r="P1297" s="13"/>
      <c r="Q1297" s="13"/>
      <c r="R1297" s="13"/>
      <c r="S1297" s="98"/>
      <c r="T1297" s="69"/>
      <c r="U1297" s="69"/>
      <c r="V1297" s="13"/>
      <c r="W1297" s="13"/>
      <c r="X1297" s="379"/>
      <c r="Y1297" s="150"/>
      <c r="Z1297" s="150"/>
      <c r="AA1297" s="150"/>
      <c r="AB1297" s="150"/>
      <c r="AC1297" s="150"/>
      <c r="AD1297" s="381"/>
      <c r="AE1297" s="150"/>
      <c r="AF1297" s="110"/>
      <c r="AG1297" s="110"/>
      <c r="AH1297" s="69"/>
      <c r="AI1297" s="105"/>
      <c r="AJ1297" s="98"/>
      <c r="AK1297" s="110"/>
      <c r="AL1297" s="98"/>
      <c r="AM1297" s="69"/>
      <c r="AN1297" s="13"/>
      <c r="AO1297" s="13"/>
      <c r="AP1297" s="13"/>
      <c r="AQ1297" s="13"/>
      <c r="AR1297" s="13"/>
      <c r="AS1297" s="13"/>
      <c r="AT1297" s="13"/>
      <c r="AU1297" s="13"/>
      <c r="AV1297" s="13"/>
      <c r="AW1297" s="13"/>
      <c r="AX1297" s="13"/>
      <c r="AY1297" s="13"/>
      <c r="AZ1297" s="13"/>
      <c r="BA1297" s="13"/>
      <c r="BB1297" s="13"/>
      <c r="BC1297" s="13"/>
      <c r="BD1297" s="13"/>
      <c r="BE1297" s="13"/>
      <c r="BF1297" s="13"/>
      <c r="BG1297" s="13"/>
    </row>
    <row r="1298">
      <c r="A1298" s="69"/>
      <c r="B1298" s="69"/>
      <c r="C1298" s="13"/>
      <c r="D1298" s="99"/>
      <c r="E1298" s="13"/>
      <c r="F1298" s="99"/>
      <c r="G1298" s="69"/>
      <c r="H1298" s="98"/>
      <c r="J1298" s="69"/>
      <c r="K1298" s="99"/>
      <c r="L1298" s="389"/>
      <c r="M1298" s="182"/>
      <c r="N1298" s="375"/>
      <c r="O1298" s="378"/>
      <c r="P1298" s="13"/>
      <c r="Q1298" s="13"/>
      <c r="R1298" s="13"/>
      <c r="S1298" s="98"/>
      <c r="T1298" s="69"/>
      <c r="U1298" s="69"/>
      <c r="V1298" s="13"/>
      <c r="W1298" s="13"/>
      <c r="X1298" s="379"/>
      <c r="Y1298" s="150"/>
      <c r="Z1298" s="150"/>
      <c r="AA1298" s="150"/>
      <c r="AB1298" s="150"/>
      <c r="AC1298" s="150"/>
      <c r="AD1298" s="381"/>
      <c r="AE1298" s="150"/>
      <c r="AF1298" s="110"/>
      <c r="AG1298" s="110"/>
      <c r="AH1298" s="69"/>
      <c r="AI1298" s="105"/>
      <c r="AJ1298" s="98"/>
      <c r="AK1298" s="110"/>
      <c r="AL1298" s="98"/>
      <c r="AM1298" s="69"/>
      <c r="AN1298" s="13"/>
      <c r="AO1298" s="13"/>
      <c r="AP1298" s="13"/>
      <c r="AQ1298" s="13"/>
      <c r="AR1298" s="13"/>
      <c r="AS1298" s="13"/>
      <c r="AT1298" s="13"/>
      <c r="AU1298" s="13"/>
      <c r="AV1298" s="13"/>
      <c r="AW1298" s="13"/>
      <c r="AX1298" s="13"/>
      <c r="AY1298" s="13"/>
      <c r="AZ1298" s="13"/>
      <c r="BA1298" s="13"/>
      <c r="BB1298" s="13"/>
      <c r="BC1298" s="13"/>
      <c r="BD1298" s="13"/>
      <c r="BE1298" s="13"/>
      <c r="BF1298" s="13"/>
      <c r="BG1298" s="13"/>
    </row>
    <row r="1299">
      <c r="A1299" s="69"/>
      <c r="B1299" s="69"/>
      <c r="C1299" s="13"/>
      <c r="D1299" s="99"/>
      <c r="E1299" s="13"/>
      <c r="F1299" s="99"/>
      <c r="G1299" s="69"/>
      <c r="H1299" s="98"/>
      <c r="J1299" s="69"/>
      <c r="K1299" s="99"/>
      <c r="L1299" s="389"/>
      <c r="M1299" s="182"/>
      <c r="N1299" s="375"/>
      <c r="O1299" s="378"/>
      <c r="P1299" s="13"/>
      <c r="Q1299" s="13"/>
      <c r="R1299" s="13"/>
      <c r="S1299" s="98"/>
      <c r="T1299" s="69"/>
      <c r="U1299" s="69"/>
      <c r="V1299" s="13"/>
      <c r="W1299" s="13"/>
      <c r="X1299" s="379"/>
      <c r="Y1299" s="150"/>
      <c r="Z1299" s="150"/>
      <c r="AA1299" s="150"/>
      <c r="AB1299" s="150"/>
      <c r="AC1299" s="150"/>
      <c r="AD1299" s="381"/>
      <c r="AE1299" s="150"/>
      <c r="AF1299" s="110"/>
      <c r="AG1299" s="110"/>
      <c r="AH1299" s="69"/>
      <c r="AI1299" s="105"/>
      <c r="AJ1299" s="98"/>
      <c r="AK1299" s="110"/>
      <c r="AL1299" s="98"/>
      <c r="AM1299" s="69"/>
      <c r="AN1299" s="13"/>
      <c r="AO1299" s="13"/>
      <c r="AP1299" s="13"/>
      <c r="AQ1299" s="13"/>
      <c r="AR1299" s="13"/>
      <c r="AS1299" s="13"/>
      <c r="AT1299" s="13"/>
      <c r="AU1299" s="13"/>
      <c r="AV1299" s="13"/>
      <c r="AW1299" s="13"/>
      <c r="AX1299" s="13"/>
      <c r="AY1299" s="13"/>
      <c r="AZ1299" s="13"/>
      <c r="BA1299" s="13"/>
      <c r="BB1299" s="13"/>
      <c r="BC1299" s="13"/>
      <c r="BD1299" s="13"/>
      <c r="BE1299" s="13"/>
      <c r="BF1299" s="13"/>
      <c r="BG1299" s="13"/>
    </row>
    <row r="1300">
      <c r="A1300" s="69"/>
      <c r="B1300" s="69"/>
      <c r="C1300" s="13"/>
      <c r="D1300" s="99"/>
      <c r="E1300" s="13"/>
      <c r="F1300" s="99"/>
      <c r="G1300" s="69"/>
      <c r="H1300" s="98"/>
      <c r="J1300" s="69"/>
      <c r="K1300" s="99"/>
      <c r="L1300" s="389"/>
      <c r="M1300" s="182"/>
      <c r="N1300" s="375"/>
      <c r="O1300" s="378"/>
      <c r="P1300" s="13"/>
      <c r="Q1300" s="13"/>
      <c r="R1300" s="13"/>
      <c r="S1300" s="98"/>
      <c r="T1300" s="69"/>
      <c r="U1300" s="69"/>
      <c r="V1300" s="13"/>
      <c r="W1300" s="13"/>
      <c r="X1300" s="379"/>
      <c r="Y1300" s="150"/>
      <c r="Z1300" s="150"/>
      <c r="AA1300" s="150"/>
      <c r="AB1300" s="150"/>
      <c r="AC1300" s="150"/>
      <c r="AD1300" s="381"/>
      <c r="AE1300" s="150"/>
      <c r="AF1300" s="110"/>
      <c r="AG1300" s="110"/>
      <c r="AH1300" s="69"/>
      <c r="AI1300" s="105"/>
      <c r="AJ1300" s="98"/>
      <c r="AK1300" s="110"/>
      <c r="AL1300" s="98"/>
      <c r="AM1300" s="69"/>
      <c r="AN1300" s="13"/>
      <c r="AO1300" s="13"/>
      <c r="AP1300" s="13"/>
      <c r="AQ1300" s="13"/>
      <c r="AR1300" s="13"/>
      <c r="AS1300" s="13"/>
      <c r="AT1300" s="13"/>
      <c r="AU1300" s="13"/>
      <c r="AV1300" s="13"/>
      <c r="AW1300" s="13"/>
      <c r="AX1300" s="13"/>
      <c r="AY1300" s="13"/>
      <c r="AZ1300" s="13"/>
      <c r="BA1300" s="13"/>
      <c r="BB1300" s="13"/>
      <c r="BC1300" s="13"/>
      <c r="BD1300" s="13"/>
      <c r="BE1300" s="13"/>
      <c r="BF1300" s="13"/>
      <c r="BG1300" s="13"/>
    </row>
    <row r="1301">
      <c r="A1301" s="69"/>
      <c r="B1301" s="69"/>
      <c r="C1301" s="13"/>
      <c r="D1301" s="99"/>
      <c r="E1301" s="13"/>
      <c r="F1301" s="99"/>
      <c r="G1301" s="69"/>
      <c r="H1301" s="98"/>
      <c r="J1301" s="69"/>
      <c r="K1301" s="99"/>
      <c r="L1301" s="389"/>
      <c r="M1301" s="182"/>
      <c r="N1301" s="375"/>
      <c r="O1301" s="378"/>
      <c r="P1301" s="13"/>
      <c r="Q1301" s="13"/>
      <c r="R1301" s="13"/>
      <c r="S1301" s="98"/>
      <c r="T1301" s="69"/>
      <c r="U1301" s="69"/>
      <c r="V1301" s="13"/>
      <c r="W1301" s="13"/>
      <c r="X1301" s="379"/>
      <c r="Y1301" s="150"/>
      <c r="Z1301" s="150"/>
      <c r="AA1301" s="150"/>
      <c r="AB1301" s="150"/>
      <c r="AC1301" s="150"/>
      <c r="AD1301" s="381"/>
      <c r="AE1301" s="150"/>
      <c r="AF1301" s="110"/>
      <c r="AG1301" s="110"/>
      <c r="AH1301" s="69"/>
      <c r="AI1301" s="105"/>
      <c r="AJ1301" s="98"/>
      <c r="AK1301" s="110"/>
      <c r="AL1301" s="98"/>
      <c r="AM1301" s="69"/>
      <c r="AN1301" s="13"/>
      <c r="AO1301" s="13"/>
      <c r="AP1301" s="13"/>
      <c r="AQ1301" s="13"/>
      <c r="AR1301" s="13"/>
      <c r="AS1301" s="13"/>
      <c r="AT1301" s="13"/>
      <c r="AU1301" s="13"/>
      <c r="AV1301" s="13"/>
      <c r="AW1301" s="13"/>
      <c r="AX1301" s="13"/>
      <c r="AY1301" s="13"/>
      <c r="AZ1301" s="13"/>
      <c r="BA1301" s="13"/>
      <c r="BB1301" s="13"/>
      <c r="BC1301" s="13"/>
      <c r="BD1301" s="13"/>
      <c r="BE1301" s="13"/>
      <c r="BF1301" s="13"/>
      <c r="BG1301" s="13"/>
    </row>
    <row r="1302">
      <c r="A1302" s="69"/>
      <c r="B1302" s="69"/>
      <c r="C1302" s="13"/>
      <c r="D1302" s="99"/>
      <c r="E1302" s="13"/>
      <c r="F1302" s="99"/>
      <c r="G1302" s="69"/>
      <c r="H1302" s="98"/>
      <c r="J1302" s="69"/>
      <c r="K1302" s="99"/>
      <c r="L1302" s="389"/>
      <c r="M1302" s="182"/>
      <c r="N1302" s="375"/>
      <c r="O1302" s="378"/>
      <c r="P1302" s="13"/>
      <c r="Q1302" s="13"/>
      <c r="R1302" s="13"/>
      <c r="S1302" s="98"/>
      <c r="T1302" s="69"/>
      <c r="U1302" s="69"/>
      <c r="V1302" s="13"/>
      <c r="W1302" s="13"/>
      <c r="X1302" s="379"/>
      <c r="Y1302" s="150"/>
      <c r="Z1302" s="150"/>
      <c r="AA1302" s="150"/>
      <c r="AB1302" s="150"/>
      <c r="AC1302" s="150"/>
      <c r="AD1302" s="381"/>
      <c r="AE1302" s="150"/>
      <c r="AF1302" s="110"/>
      <c r="AG1302" s="110"/>
      <c r="AH1302" s="69"/>
      <c r="AI1302" s="105"/>
      <c r="AJ1302" s="98"/>
      <c r="AK1302" s="110"/>
      <c r="AL1302" s="98"/>
      <c r="AM1302" s="69"/>
      <c r="AN1302" s="13"/>
      <c r="AO1302" s="13"/>
      <c r="AP1302" s="13"/>
      <c r="AQ1302" s="13"/>
      <c r="AR1302" s="13"/>
      <c r="AS1302" s="13"/>
      <c r="AT1302" s="13"/>
      <c r="AU1302" s="13"/>
      <c r="AV1302" s="13"/>
      <c r="AW1302" s="13"/>
      <c r="AX1302" s="13"/>
      <c r="AY1302" s="13"/>
      <c r="AZ1302" s="13"/>
      <c r="BA1302" s="13"/>
      <c r="BB1302" s="13"/>
      <c r="BC1302" s="13"/>
      <c r="BD1302" s="13"/>
      <c r="BE1302" s="13"/>
      <c r="BF1302" s="13"/>
      <c r="BG1302" s="13"/>
    </row>
    <row r="1303">
      <c r="A1303" s="69"/>
      <c r="B1303" s="69"/>
      <c r="C1303" s="13"/>
      <c r="D1303" s="99"/>
      <c r="E1303" s="13"/>
      <c r="F1303" s="99"/>
      <c r="G1303" s="69"/>
      <c r="H1303" s="98"/>
      <c r="J1303" s="69"/>
      <c r="K1303" s="99"/>
      <c r="L1303" s="389"/>
      <c r="M1303" s="182"/>
      <c r="N1303" s="375"/>
      <c r="O1303" s="378"/>
      <c r="P1303" s="13"/>
      <c r="Q1303" s="13"/>
      <c r="R1303" s="13"/>
      <c r="S1303" s="98"/>
      <c r="T1303" s="69"/>
      <c r="U1303" s="69"/>
      <c r="V1303" s="13"/>
      <c r="W1303" s="13"/>
      <c r="X1303" s="379"/>
      <c r="Y1303" s="150"/>
      <c r="Z1303" s="150"/>
      <c r="AA1303" s="150"/>
      <c r="AB1303" s="150"/>
      <c r="AC1303" s="150"/>
      <c r="AD1303" s="381"/>
      <c r="AE1303" s="150"/>
      <c r="AF1303" s="110"/>
      <c r="AG1303" s="110"/>
      <c r="AH1303" s="69"/>
      <c r="AI1303" s="105"/>
      <c r="AJ1303" s="98"/>
      <c r="AK1303" s="110"/>
      <c r="AL1303" s="98"/>
      <c r="AM1303" s="69"/>
      <c r="AN1303" s="13"/>
      <c r="AO1303" s="13"/>
      <c r="AP1303" s="13"/>
      <c r="AQ1303" s="13"/>
      <c r="AR1303" s="13"/>
      <c r="AS1303" s="13"/>
      <c r="AT1303" s="13"/>
      <c r="AU1303" s="13"/>
      <c r="AV1303" s="13"/>
      <c r="AW1303" s="13"/>
      <c r="AX1303" s="13"/>
      <c r="AY1303" s="13"/>
      <c r="AZ1303" s="13"/>
      <c r="BA1303" s="13"/>
      <c r="BB1303" s="13"/>
      <c r="BC1303" s="13"/>
      <c r="BD1303" s="13"/>
      <c r="BE1303" s="13"/>
      <c r="BF1303" s="13"/>
      <c r="BG1303" s="13"/>
    </row>
    <row r="1304">
      <c r="A1304" s="69"/>
      <c r="B1304" s="69"/>
      <c r="C1304" s="13"/>
      <c r="D1304" s="99"/>
      <c r="E1304" s="13"/>
      <c r="F1304" s="99"/>
      <c r="G1304" s="69"/>
      <c r="H1304" s="98"/>
      <c r="J1304" s="69"/>
      <c r="K1304" s="99"/>
      <c r="L1304" s="389"/>
      <c r="M1304" s="182"/>
      <c r="N1304" s="375"/>
      <c r="O1304" s="378"/>
      <c r="P1304" s="13"/>
      <c r="Q1304" s="13"/>
      <c r="R1304" s="13"/>
      <c r="S1304" s="98"/>
      <c r="T1304" s="69"/>
      <c r="U1304" s="69"/>
      <c r="V1304" s="13"/>
      <c r="W1304" s="13"/>
      <c r="X1304" s="379"/>
      <c r="Y1304" s="150"/>
      <c r="Z1304" s="150"/>
      <c r="AA1304" s="150"/>
      <c r="AB1304" s="150"/>
      <c r="AC1304" s="150"/>
      <c r="AD1304" s="381"/>
      <c r="AE1304" s="150"/>
      <c r="AF1304" s="110"/>
      <c r="AG1304" s="110"/>
      <c r="AH1304" s="69"/>
      <c r="AI1304" s="105"/>
      <c r="AJ1304" s="98"/>
      <c r="AK1304" s="110"/>
      <c r="AL1304" s="98"/>
      <c r="AM1304" s="69"/>
      <c r="AN1304" s="13"/>
      <c r="AO1304" s="13"/>
      <c r="AP1304" s="13"/>
      <c r="AQ1304" s="13"/>
      <c r="AR1304" s="13"/>
      <c r="AS1304" s="13"/>
      <c r="AT1304" s="13"/>
      <c r="AU1304" s="13"/>
      <c r="AV1304" s="13"/>
      <c r="AW1304" s="13"/>
      <c r="AX1304" s="13"/>
      <c r="AY1304" s="13"/>
      <c r="AZ1304" s="13"/>
      <c r="BA1304" s="13"/>
      <c r="BB1304" s="13"/>
      <c r="BC1304" s="13"/>
      <c r="BD1304" s="13"/>
      <c r="BE1304" s="13"/>
      <c r="BF1304" s="13"/>
      <c r="BG1304" s="13"/>
    </row>
    <row r="1305">
      <c r="A1305" s="69"/>
      <c r="B1305" s="69"/>
      <c r="C1305" s="13"/>
      <c r="D1305" s="99"/>
      <c r="E1305" s="13"/>
      <c r="F1305" s="99"/>
      <c r="G1305" s="69"/>
      <c r="H1305" s="98"/>
      <c r="J1305" s="69"/>
      <c r="K1305" s="99"/>
      <c r="L1305" s="389"/>
      <c r="M1305" s="182"/>
      <c r="N1305" s="375"/>
      <c r="O1305" s="378"/>
      <c r="P1305" s="13"/>
      <c r="Q1305" s="13"/>
      <c r="R1305" s="13"/>
      <c r="S1305" s="98"/>
      <c r="T1305" s="69"/>
      <c r="U1305" s="69"/>
      <c r="V1305" s="13"/>
      <c r="W1305" s="13"/>
      <c r="X1305" s="379"/>
      <c r="Y1305" s="150"/>
      <c r="Z1305" s="150"/>
      <c r="AA1305" s="150"/>
      <c r="AB1305" s="150"/>
      <c r="AC1305" s="150"/>
      <c r="AD1305" s="381"/>
      <c r="AE1305" s="150"/>
      <c r="AF1305" s="110"/>
      <c r="AG1305" s="110"/>
      <c r="AH1305" s="69"/>
      <c r="AI1305" s="105"/>
      <c r="AJ1305" s="98"/>
      <c r="AK1305" s="110"/>
      <c r="AL1305" s="98"/>
      <c r="AM1305" s="69"/>
      <c r="AN1305" s="13"/>
      <c r="AO1305" s="13"/>
      <c r="AP1305" s="13"/>
      <c r="AQ1305" s="13"/>
      <c r="AR1305" s="13"/>
      <c r="AS1305" s="13"/>
      <c r="AT1305" s="13"/>
      <c r="AU1305" s="13"/>
      <c r="AV1305" s="13"/>
      <c r="AW1305" s="13"/>
      <c r="AX1305" s="13"/>
      <c r="AY1305" s="13"/>
      <c r="AZ1305" s="13"/>
      <c r="BA1305" s="13"/>
      <c r="BB1305" s="13"/>
      <c r="BC1305" s="13"/>
      <c r="BD1305" s="13"/>
      <c r="BE1305" s="13"/>
      <c r="BF1305" s="13"/>
      <c r="BG1305" s="13"/>
    </row>
    <row r="1306">
      <c r="A1306" s="69"/>
      <c r="B1306" s="69"/>
      <c r="C1306" s="13"/>
      <c r="D1306" s="99"/>
      <c r="E1306" s="13"/>
      <c r="F1306" s="99"/>
      <c r="G1306" s="69"/>
      <c r="H1306" s="98"/>
      <c r="J1306" s="69"/>
      <c r="K1306" s="99"/>
      <c r="L1306" s="389"/>
      <c r="M1306" s="182"/>
      <c r="N1306" s="375"/>
      <c r="O1306" s="378"/>
      <c r="P1306" s="13"/>
      <c r="Q1306" s="13"/>
      <c r="R1306" s="13"/>
      <c r="S1306" s="98"/>
      <c r="T1306" s="69"/>
      <c r="U1306" s="69"/>
      <c r="V1306" s="13"/>
      <c r="W1306" s="13"/>
      <c r="X1306" s="379"/>
      <c r="Y1306" s="150"/>
      <c r="Z1306" s="150"/>
      <c r="AA1306" s="150"/>
      <c r="AB1306" s="150"/>
      <c r="AC1306" s="150"/>
      <c r="AD1306" s="381"/>
      <c r="AE1306" s="150"/>
      <c r="AF1306" s="110"/>
      <c r="AG1306" s="110"/>
      <c r="AH1306" s="69"/>
      <c r="AI1306" s="105"/>
      <c r="AJ1306" s="98"/>
      <c r="AK1306" s="110"/>
      <c r="AL1306" s="98"/>
      <c r="AM1306" s="69"/>
      <c r="AN1306" s="13"/>
      <c r="AO1306" s="13"/>
      <c r="AP1306" s="13"/>
      <c r="AQ1306" s="13"/>
      <c r="AR1306" s="13"/>
      <c r="AS1306" s="13"/>
      <c r="AT1306" s="13"/>
      <c r="AU1306" s="13"/>
      <c r="AV1306" s="13"/>
      <c r="AW1306" s="13"/>
      <c r="AX1306" s="13"/>
      <c r="AY1306" s="13"/>
      <c r="AZ1306" s="13"/>
      <c r="BA1306" s="13"/>
      <c r="BB1306" s="13"/>
      <c r="BC1306" s="13"/>
      <c r="BD1306" s="13"/>
      <c r="BE1306" s="13"/>
      <c r="BF1306" s="13"/>
      <c r="BG1306" s="13"/>
    </row>
    <row r="1307">
      <c r="A1307" s="69"/>
      <c r="B1307" s="69"/>
      <c r="C1307" s="13"/>
      <c r="D1307" s="99"/>
      <c r="E1307" s="13"/>
      <c r="F1307" s="99"/>
      <c r="G1307" s="69"/>
      <c r="H1307" s="98"/>
      <c r="J1307" s="69"/>
      <c r="K1307" s="99"/>
      <c r="L1307" s="389"/>
      <c r="M1307" s="182"/>
      <c r="N1307" s="375"/>
      <c r="O1307" s="378"/>
      <c r="P1307" s="13"/>
      <c r="Q1307" s="13"/>
      <c r="R1307" s="13"/>
      <c r="S1307" s="98"/>
      <c r="T1307" s="69"/>
      <c r="U1307" s="69"/>
      <c r="V1307" s="13"/>
      <c r="W1307" s="13"/>
      <c r="X1307" s="379"/>
      <c r="Y1307" s="150"/>
      <c r="Z1307" s="150"/>
      <c r="AA1307" s="150"/>
      <c r="AB1307" s="150"/>
      <c r="AC1307" s="150"/>
      <c r="AD1307" s="381"/>
      <c r="AE1307" s="150"/>
      <c r="AF1307" s="110"/>
      <c r="AG1307" s="110"/>
      <c r="AH1307" s="69"/>
      <c r="AI1307" s="105"/>
      <c r="AJ1307" s="98"/>
      <c r="AK1307" s="110"/>
      <c r="AL1307" s="98"/>
      <c r="AM1307" s="69"/>
      <c r="AN1307" s="13"/>
      <c r="AO1307" s="13"/>
      <c r="AP1307" s="13"/>
      <c r="AQ1307" s="13"/>
      <c r="AR1307" s="13"/>
      <c r="AS1307" s="13"/>
      <c r="AT1307" s="13"/>
      <c r="AU1307" s="13"/>
      <c r="AV1307" s="13"/>
      <c r="AW1307" s="13"/>
      <c r="AX1307" s="13"/>
      <c r="AY1307" s="13"/>
      <c r="AZ1307" s="13"/>
      <c r="BA1307" s="13"/>
      <c r="BB1307" s="13"/>
      <c r="BC1307" s="13"/>
      <c r="BD1307" s="13"/>
      <c r="BE1307" s="13"/>
      <c r="BF1307" s="13"/>
      <c r="BG1307" s="13"/>
    </row>
    <row r="1308">
      <c r="A1308" s="69"/>
      <c r="B1308" s="69"/>
      <c r="C1308" s="13"/>
      <c r="D1308" s="99"/>
      <c r="E1308" s="13"/>
      <c r="F1308" s="99"/>
      <c r="G1308" s="69"/>
      <c r="H1308" s="98"/>
      <c r="J1308" s="69"/>
      <c r="K1308" s="99"/>
      <c r="L1308" s="389"/>
      <c r="M1308" s="182"/>
      <c r="N1308" s="375"/>
      <c r="O1308" s="378"/>
      <c r="P1308" s="13"/>
      <c r="Q1308" s="13"/>
      <c r="R1308" s="13"/>
      <c r="S1308" s="98"/>
      <c r="T1308" s="69"/>
      <c r="U1308" s="69"/>
      <c r="V1308" s="13"/>
      <c r="W1308" s="13"/>
      <c r="X1308" s="379"/>
      <c r="Y1308" s="150"/>
      <c r="Z1308" s="150"/>
      <c r="AA1308" s="150"/>
      <c r="AB1308" s="150"/>
      <c r="AC1308" s="150"/>
      <c r="AD1308" s="381"/>
      <c r="AE1308" s="150"/>
      <c r="AF1308" s="110"/>
      <c r="AG1308" s="110"/>
      <c r="AH1308" s="69"/>
      <c r="AI1308" s="105"/>
      <c r="AJ1308" s="98"/>
      <c r="AK1308" s="110"/>
      <c r="AL1308" s="98"/>
      <c r="AM1308" s="69"/>
      <c r="AN1308" s="13"/>
      <c r="AO1308" s="13"/>
      <c r="AP1308" s="13"/>
      <c r="AQ1308" s="13"/>
      <c r="AR1308" s="13"/>
      <c r="AS1308" s="13"/>
      <c r="AT1308" s="13"/>
      <c r="AU1308" s="13"/>
      <c r="AV1308" s="13"/>
      <c r="AW1308" s="13"/>
      <c r="AX1308" s="13"/>
      <c r="AY1308" s="13"/>
      <c r="AZ1308" s="13"/>
      <c r="BA1308" s="13"/>
      <c r="BB1308" s="13"/>
      <c r="BC1308" s="13"/>
      <c r="BD1308" s="13"/>
      <c r="BE1308" s="13"/>
      <c r="BF1308" s="13"/>
      <c r="BG1308" s="13"/>
    </row>
    <row r="1309">
      <c r="A1309" s="69"/>
      <c r="B1309" s="69"/>
      <c r="C1309" s="13"/>
      <c r="D1309" s="99"/>
      <c r="E1309" s="13"/>
      <c r="F1309" s="99"/>
      <c r="G1309" s="69"/>
      <c r="H1309" s="98"/>
      <c r="J1309" s="69"/>
      <c r="K1309" s="99"/>
      <c r="L1309" s="389"/>
      <c r="M1309" s="182"/>
      <c r="N1309" s="375"/>
      <c r="O1309" s="378"/>
      <c r="P1309" s="13"/>
      <c r="Q1309" s="13"/>
      <c r="R1309" s="13"/>
      <c r="S1309" s="98"/>
      <c r="T1309" s="69"/>
      <c r="U1309" s="69"/>
      <c r="V1309" s="13"/>
      <c r="W1309" s="13"/>
      <c r="X1309" s="379"/>
      <c r="Y1309" s="150"/>
      <c r="Z1309" s="150"/>
      <c r="AA1309" s="150"/>
      <c r="AB1309" s="150"/>
      <c r="AC1309" s="150"/>
      <c r="AD1309" s="381"/>
      <c r="AE1309" s="150"/>
      <c r="AF1309" s="110"/>
      <c r="AG1309" s="110"/>
      <c r="AH1309" s="69"/>
      <c r="AI1309" s="105"/>
      <c r="AJ1309" s="98"/>
      <c r="AK1309" s="110"/>
      <c r="AL1309" s="98"/>
      <c r="AM1309" s="69"/>
      <c r="AN1309" s="13"/>
      <c r="AO1309" s="13"/>
      <c r="AP1309" s="13"/>
      <c r="AQ1309" s="13"/>
      <c r="AR1309" s="13"/>
      <c r="AS1309" s="13"/>
      <c r="AT1309" s="13"/>
      <c r="AU1309" s="13"/>
      <c r="AV1309" s="13"/>
      <c r="AW1309" s="13"/>
      <c r="AX1309" s="13"/>
      <c r="AY1309" s="13"/>
      <c r="AZ1309" s="13"/>
      <c r="BA1309" s="13"/>
      <c r="BB1309" s="13"/>
      <c r="BC1309" s="13"/>
      <c r="BD1309" s="13"/>
      <c r="BE1309" s="13"/>
      <c r="BF1309" s="13"/>
      <c r="BG1309" s="13"/>
    </row>
    <row r="1310">
      <c r="A1310" s="69"/>
      <c r="B1310" s="69"/>
      <c r="C1310" s="13"/>
      <c r="D1310" s="99"/>
      <c r="E1310" s="13"/>
      <c r="F1310" s="99"/>
      <c r="G1310" s="69"/>
      <c r="H1310" s="98"/>
      <c r="J1310" s="69"/>
      <c r="K1310" s="99"/>
      <c r="L1310" s="389"/>
      <c r="M1310" s="182"/>
      <c r="N1310" s="375"/>
      <c r="O1310" s="378"/>
      <c r="P1310" s="13"/>
      <c r="Q1310" s="13"/>
      <c r="R1310" s="13"/>
      <c r="S1310" s="98"/>
      <c r="T1310" s="69"/>
      <c r="U1310" s="69"/>
      <c r="V1310" s="13"/>
      <c r="W1310" s="13"/>
      <c r="X1310" s="379"/>
      <c r="Y1310" s="150"/>
      <c r="Z1310" s="150"/>
      <c r="AA1310" s="150"/>
      <c r="AB1310" s="150"/>
      <c r="AC1310" s="150"/>
      <c r="AD1310" s="381"/>
      <c r="AE1310" s="150"/>
      <c r="AF1310" s="110"/>
      <c r="AG1310" s="110"/>
      <c r="AH1310" s="69"/>
      <c r="AI1310" s="105"/>
      <c r="AJ1310" s="98"/>
      <c r="AK1310" s="110"/>
      <c r="AL1310" s="98"/>
      <c r="AM1310" s="69"/>
      <c r="AN1310" s="13"/>
      <c r="AO1310" s="13"/>
      <c r="AP1310" s="13"/>
      <c r="AQ1310" s="13"/>
      <c r="AR1310" s="13"/>
      <c r="AS1310" s="13"/>
      <c r="AT1310" s="13"/>
      <c r="AU1310" s="13"/>
      <c r="AV1310" s="13"/>
      <c r="AW1310" s="13"/>
      <c r="AX1310" s="13"/>
      <c r="AY1310" s="13"/>
      <c r="AZ1310" s="13"/>
      <c r="BA1310" s="13"/>
      <c r="BB1310" s="13"/>
      <c r="BC1310" s="13"/>
      <c r="BD1310" s="13"/>
      <c r="BE1310" s="13"/>
      <c r="BF1310" s="13"/>
      <c r="BG1310" s="13"/>
    </row>
    <row r="1311">
      <c r="A1311" s="69"/>
      <c r="B1311" s="69"/>
      <c r="C1311" s="13"/>
      <c r="D1311" s="99"/>
      <c r="E1311" s="13"/>
      <c r="F1311" s="99"/>
      <c r="G1311" s="69"/>
      <c r="H1311" s="98"/>
      <c r="J1311" s="69"/>
      <c r="K1311" s="99"/>
      <c r="L1311" s="389"/>
      <c r="M1311" s="182"/>
      <c r="N1311" s="375"/>
      <c r="O1311" s="378"/>
      <c r="P1311" s="13"/>
      <c r="Q1311" s="13"/>
      <c r="R1311" s="13"/>
      <c r="S1311" s="98"/>
      <c r="T1311" s="69"/>
      <c r="U1311" s="69"/>
      <c r="V1311" s="13"/>
      <c r="W1311" s="13"/>
      <c r="X1311" s="379"/>
      <c r="Y1311" s="150"/>
      <c r="Z1311" s="150"/>
      <c r="AA1311" s="150"/>
      <c r="AB1311" s="150"/>
      <c r="AC1311" s="150"/>
      <c r="AD1311" s="381"/>
      <c r="AE1311" s="150"/>
      <c r="AF1311" s="110"/>
      <c r="AG1311" s="110"/>
      <c r="AH1311" s="69"/>
      <c r="AI1311" s="105"/>
      <c r="AJ1311" s="98"/>
      <c r="AK1311" s="110"/>
      <c r="AL1311" s="98"/>
      <c r="AM1311" s="69"/>
      <c r="AN1311" s="13"/>
      <c r="AO1311" s="13"/>
      <c r="AP1311" s="13"/>
      <c r="AQ1311" s="13"/>
      <c r="AR1311" s="13"/>
      <c r="AS1311" s="13"/>
      <c r="AT1311" s="13"/>
      <c r="AU1311" s="13"/>
      <c r="AV1311" s="13"/>
      <c r="AW1311" s="13"/>
      <c r="AX1311" s="13"/>
      <c r="AY1311" s="13"/>
      <c r="AZ1311" s="13"/>
      <c r="BA1311" s="13"/>
      <c r="BB1311" s="13"/>
      <c r="BC1311" s="13"/>
      <c r="BD1311" s="13"/>
      <c r="BE1311" s="13"/>
      <c r="BF1311" s="13"/>
      <c r="BG1311" s="13"/>
    </row>
    <row r="1312">
      <c r="A1312" s="69"/>
      <c r="B1312" s="69"/>
      <c r="C1312" s="13"/>
      <c r="D1312" s="99"/>
      <c r="E1312" s="13"/>
      <c r="F1312" s="99"/>
      <c r="G1312" s="69"/>
      <c r="H1312" s="98"/>
      <c r="J1312" s="69"/>
      <c r="K1312" s="99"/>
      <c r="L1312" s="389"/>
      <c r="M1312" s="182"/>
      <c r="N1312" s="375"/>
      <c r="O1312" s="378"/>
      <c r="P1312" s="13"/>
      <c r="Q1312" s="13"/>
      <c r="R1312" s="13"/>
      <c r="S1312" s="98"/>
      <c r="T1312" s="69"/>
      <c r="U1312" s="69"/>
      <c r="V1312" s="13"/>
      <c r="W1312" s="13"/>
      <c r="X1312" s="379"/>
      <c r="Y1312" s="150"/>
      <c r="Z1312" s="150"/>
      <c r="AA1312" s="150"/>
      <c r="AB1312" s="150"/>
      <c r="AC1312" s="150"/>
      <c r="AD1312" s="381"/>
      <c r="AE1312" s="150"/>
      <c r="AF1312" s="110"/>
      <c r="AG1312" s="110"/>
      <c r="AH1312" s="69"/>
      <c r="AI1312" s="105"/>
      <c r="AJ1312" s="98"/>
      <c r="AK1312" s="110"/>
      <c r="AL1312" s="98"/>
      <c r="AM1312" s="69"/>
      <c r="AN1312" s="13"/>
      <c r="AO1312" s="13"/>
      <c r="AP1312" s="13"/>
      <c r="AQ1312" s="13"/>
      <c r="AR1312" s="13"/>
      <c r="AS1312" s="13"/>
      <c r="AT1312" s="13"/>
      <c r="AU1312" s="13"/>
      <c r="AV1312" s="13"/>
      <c r="AW1312" s="13"/>
      <c r="AX1312" s="13"/>
      <c r="AY1312" s="13"/>
      <c r="AZ1312" s="13"/>
      <c r="BA1312" s="13"/>
      <c r="BB1312" s="13"/>
      <c r="BC1312" s="13"/>
      <c r="BD1312" s="13"/>
      <c r="BE1312" s="13"/>
      <c r="BF1312" s="13"/>
      <c r="BG1312" s="13"/>
    </row>
    <row r="1313">
      <c r="A1313" s="69"/>
      <c r="B1313" s="69"/>
      <c r="C1313" s="13"/>
      <c r="D1313" s="99"/>
      <c r="E1313" s="13"/>
      <c r="F1313" s="99"/>
      <c r="G1313" s="69"/>
      <c r="H1313" s="98"/>
      <c r="J1313" s="69"/>
      <c r="K1313" s="99"/>
      <c r="L1313" s="389"/>
      <c r="M1313" s="182"/>
      <c r="N1313" s="375"/>
      <c r="O1313" s="378"/>
      <c r="P1313" s="13"/>
      <c r="Q1313" s="13"/>
      <c r="R1313" s="13"/>
      <c r="S1313" s="98"/>
      <c r="T1313" s="69"/>
      <c r="U1313" s="69"/>
      <c r="V1313" s="13"/>
      <c r="W1313" s="13"/>
      <c r="X1313" s="379"/>
      <c r="Y1313" s="150"/>
      <c r="Z1313" s="150"/>
      <c r="AA1313" s="150"/>
      <c r="AB1313" s="150"/>
      <c r="AC1313" s="150"/>
      <c r="AD1313" s="381"/>
      <c r="AE1313" s="150"/>
      <c r="AF1313" s="110"/>
      <c r="AG1313" s="110"/>
      <c r="AH1313" s="69"/>
      <c r="AI1313" s="105"/>
      <c r="AJ1313" s="98"/>
      <c r="AK1313" s="110"/>
      <c r="AL1313" s="98"/>
      <c r="AM1313" s="69"/>
      <c r="AN1313" s="13"/>
      <c r="AO1313" s="13"/>
      <c r="AP1313" s="13"/>
      <c r="AQ1313" s="13"/>
      <c r="AR1313" s="13"/>
      <c r="AS1313" s="13"/>
      <c r="AT1313" s="13"/>
      <c r="AU1313" s="13"/>
      <c r="AV1313" s="13"/>
      <c r="AW1313" s="13"/>
      <c r="AX1313" s="13"/>
      <c r="AY1313" s="13"/>
      <c r="AZ1313" s="13"/>
      <c r="BA1313" s="13"/>
      <c r="BB1313" s="13"/>
      <c r="BC1313" s="13"/>
      <c r="BD1313" s="13"/>
      <c r="BE1313" s="13"/>
      <c r="BF1313" s="13"/>
      <c r="BG1313" s="13"/>
    </row>
    <row r="1314">
      <c r="A1314" s="69"/>
      <c r="B1314" s="69"/>
      <c r="C1314" s="13"/>
      <c r="D1314" s="99"/>
      <c r="E1314" s="13"/>
      <c r="F1314" s="99"/>
      <c r="G1314" s="69"/>
      <c r="H1314" s="98"/>
      <c r="J1314" s="69"/>
      <c r="K1314" s="99"/>
      <c r="L1314" s="389"/>
      <c r="M1314" s="182"/>
      <c r="N1314" s="375"/>
      <c r="O1314" s="378"/>
      <c r="P1314" s="13"/>
      <c r="Q1314" s="13"/>
      <c r="R1314" s="13"/>
      <c r="S1314" s="98"/>
      <c r="T1314" s="69"/>
      <c r="U1314" s="69"/>
      <c r="V1314" s="13"/>
      <c r="W1314" s="13"/>
      <c r="X1314" s="379"/>
      <c r="Y1314" s="150"/>
      <c r="Z1314" s="150"/>
      <c r="AA1314" s="150"/>
      <c r="AB1314" s="150"/>
      <c r="AC1314" s="150"/>
      <c r="AD1314" s="381"/>
      <c r="AE1314" s="150"/>
      <c r="AF1314" s="110"/>
      <c r="AG1314" s="110"/>
      <c r="AH1314" s="69"/>
      <c r="AI1314" s="105"/>
      <c r="AJ1314" s="98"/>
      <c r="AK1314" s="110"/>
      <c r="AL1314" s="98"/>
      <c r="AM1314" s="69"/>
      <c r="AN1314" s="13"/>
      <c r="AO1314" s="13"/>
      <c r="AP1314" s="13"/>
      <c r="AQ1314" s="13"/>
      <c r="AR1314" s="13"/>
      <c r="AS1314" s="13"/>
      <c r="AT1314" s="13"/>
      <c r="AU1314" s="13"/>
      <c r="AV1314" s="13"/>
      <c r="AW1314" s="13"/>
      <c r="AX1314" s="13"/>
      <c r="AY1314" s="13"/>
      <c r="AZ1314" s="13"/>
      <c r="BA1314" s="13"/>
      <c r="BB1314" s="13"/>
      <c r="BC1314" s="13"/>
      <c r="BD1314" s="13"/>
      <c r="BE1314" s="13"/>
      <c r="BF1314" s="13"/>
      <c r="BG1314" s="13"/>
    </row>
    <row r="1315">
      <c r="A1315" s="69"/>
      <c r="B1315" s="69"/>
      <c r="C1315" s="13"/>
      <c r="D1315" s="99"/>
      <c r="E1315" s="13"/>
      <c r="F1315" s="99"/>
      <c r="G1315" s="69"/>
      <c r="H1315" s="98"/>
      <c r="J1315" s="69"/>
      <c r="K1315" s="99"/>
      <c r="L1315" s="389"/>
      <c r="M1315" s="182"/>
      <c r="N1315" s="375"/>
      <c r="O1315" s="378"/>
      <c r="P1315" s="13"/>
      <c r="Q1315" s="13"/>
      <c r="R1315" s="13"/>
      <c r="S1315" s="98"/>
      <c r="T1315" s="69"/>
      <c r="U1315" s="69"/>
      <c r="V1315" s="13"/>
      <c r="W1315" s="13"/>
      <c r="X1315" s="379"/>
      <c r="Y1315" s="150"/>
      <c r="Z1315" s="150"/>
      <c r="AA1315" s="150"/>
      <c r="AB1315" s="150"/>
      <c r="AC1315" s="150"/>
      <c r="AD1315" s="381"/>
      <c r="AE1315" s="150"/>
      <c r="AF1315" s="110"/>
      <c r="AG1315" s="110"/>
      <c r="AH1315" s="69"/>
      <c r="AI1315" s="105"/>
      <c r="AJ1315" s="98"/>
      <c r="AK1315" s="110"/>
      <c r="AL1315" s="98"/>
      <c r="AM1315" s="69"/>
      <c r="AN1315" s="13"/>
      <c r="AO1315" s="13"/>
      <c r="AP1315" s="13"/>
      <c r="AQ1315" s="13"/>
      <c r="AR1315" s="13"/>
      <c r="AS1315" s="13"/>
      <c r="AT1315" s="13"/>
      <c r="AU1315" s="13"/>
      <c r="AV1315" s="13"/>
      <c r="AW1315" s="13"/>
      <c r="AX1315" s="13"/>
      <c r="AY1315" s="13"/>
      <c r="AZ1315" s="13"/>
      <c r="BA1315" s="13"/>
      <c r="BB1315" s="13"/>
      <c r="BC1315" s="13"/>
      <c r="BD1315" s="13"/>
      <c r="BE1315" s="13"/>
      <c r="BF1315" s="13"/>
      <c r="BG1315" s="13"/>
    </row>
    <row r="1316">
      <c r="A1316" s="69"/>
      <c r="B1316" s="69"/>
      <c r="C1316" s="13"/>
      <c r="D1316" s="99"/>
      <c r="E1316" s="13"/>
      <c r="F1316" s="99"/>
      <c r="G1316" s="69"/>
      <c r="H1316" s="98"/>
      <c r="J1316" s="69"/>
      <c r="K1316" s="99"/>
      <c r="L1316" s="389"/>
      <c r="M1316" s="182"/>
      <c r="N1316" s="375"/>
      <c r="O1316" s="378"/>
      <c r="P1316" s="13"/>
      <c r="Q1316" s="13"/>
      <c r="R1316" s="13"/>
      <c r="S1316" s="98"/>
      <c r="T1316" s="69"/>
      <c r="U1316" s="69"/>
      <c r="V1316" s="13"/>
      <c r="W1316" s="13"/>
      <c r="X1316" s="379"/>
      <c r="Y1316" s="150"/>
      <c r="Z1316" s="150"/>
      <c r="AA1316" s="150"/>
      <c r="AB1316" s="150"/>
      <c r="AC1316" s="150"/>
      <c r="AD1316" s="381"/>
      <c r="AE1316" s="150"/>
      <c r="AF1316" s="110"/>
      <c r="AG1316" s="110"/>
      <c r="AH1316" s="69"/>
      <c r="AI1316" s="105"/>
      <c r="AJ1316" s="98"/>
      <c r="AK1316" s="110"/>
      <c r="AL1316" s="98"/>
      <c r="AM1316" s="69"/>
      <c r="AN1316" s="13"/>
      <c r="AO1316" s="13"/>
      <c r="AP1316" s="13"/>
      <c r="AQ1316" s="13"/>
      <c r="AR1316" s="13"/>
      <c r="AS1316" s="13"/>
      <c r="AT1316" s="13"/>
      <c r="AU1316" s="13"/>
      <c r="AV1316" s="13"/>
      <c r="AW1316" s="13"/>
      <c r="AX1316" s="13"/>
      <c r="AY1316" s="13"/>
      <c r="AZ1316" s="13"/>
      <c r="BA1316" s="13"/>
      <c r="BB1316" s="13"/>
      <c r="BC1316" s="13"/>
      <c r="BD1316" s="13"/>
      <c r="BE1316" s="13"/>
      <c r="BF1316" s="13"/>
      <c r="BG1316" s="13"/>
    </row>
    <row r="1317">
      <c r="A1317" s="69"/>
      <c r="B1317" s="69"/>
      <c r="C1317" s="13"/>
      <c r="D1317" s="99"/>
      <c r="E1317" s="13"/>
      <c r="F1317" s="99"/>
      <c r="G1317" s="69"/>
      <c r="H1317" s="98"/>
      <c r="J1317" s="69"/>
      <c r="K1317" s="99"/>
      <c r="L1317" s="389"/>
      <c r="M1317" s="182"/>
      <c r="N1317" s="375"/>
      <c r="O1317" s="378"/>
      <c r="P1317" s="13"/>
      <c r="Q1317" s="13"/>
      <c r="R1317" s="13"/>
      <c r="S1317" s="98"/>
      <c r="T1317" s="69"/>
      <c r="U1317" s="69"/>
      <c r="V1317" s="13"/>
      <c r="W1317" s="13"/>
      <c r="X1317" s="379"/>
      <c r="Y1317" s="150"/>
      <c r="Z1317" s="150"/>
      <c r="AA1317" s="150"/>
      <c r="AB1317" s="150"/>
      <c r="AC1317" s="150"/>
      <c r="AD1317" s="381"/>
      <c r="AE1317" s="150"/>
      <c r="AF1317" s="110"/>
      <c r="AG1317" s="110"/>
      <c r="AH1317" s="69"/>
      <c r="AI1317" s="105"/>
      <c r="AJ1317" s="98"/>
      <c r="AK1317" s="110"/>
      <c r="AL1317" s="98"/>
      <c r="AM1317" s="69"/>
      <c r="AN1317" s="13"/>
      <c r="AO1317" s="13"/>
      <c r="AP1317" s="13"/>
      <c r="AQ1317" s="13"/>
      <c r="AR1317" s="13"/>
      <c r="AS1317" s="13"/>
      <c r="AT1317" s="13"/>
      <c r="AU1317" s="13"/>
      <c r="AV1317" s="13"/>
      <c r="AW1317" s="13"/>
      <c r="AX1317" s="13"/>
      <c r="AY1317" s="13"/>
      <c r="AZ1317" s="13"/>
      <c r="BA1317" s="13"/>
      <c r="BB1317" s="13"/>
      <c r="BC1317" s="13"/>
      <c r="BD1317" s="13"/>
      <c r="BE1317" s="13"/>
      <c r="BF1317" s="13"/>
      <c r="BG1317" s="13"/>
    </row>
    <row r="1318">
      <c r="A1318" s="69"/>
      <c r="B1318" s="69"/>
      <c r="C1318" s="13"/>
      <c r="D1318" s="99"/>
      <c r="E1318" s="13"/>
      <c r="F1318" s="99"/>
      <c r="G1318" s="69"/>
      <c r="H1318" s="98"/>
      <c r="J1318" s="69"/>
      <c r="K1318" s="99"/>
      <c r="L1318" s="389"/>
      <c r="M1318" s="182"/>
      <c r="N1318" s="375"/>
      <c r="O1318" s="378"/>
      <c r="P1318" s="13"/>
      <c r="Q1318" s="13"/>
      <c r="R1318" s="13"/>
      <c r="S1318" s="98"/>
      <c r="T1318" s="69"/>
      <c r="U1318" s="69"/>
      <c r="V1318" s="13"/>
      <c r="W1318" s="13"/>
      <c r="X1318" s="379"/>
      <c r="Y1318" s="150"/>
      <c r="Z1318" s="150"/>
      <c r="AA1318" s="150"/>
      <c r="AB1318" s="150"/>
      <c r="AC1318" s="150"/>
      <c r="AD1318" s="381"/>
      <c r="AE1318" s="150"/>
      <c r="AF1318" s="110"/>
      <c r="AG1318" s="110"/>
      <c r="AH1318" s="69"/>
      <c r="AI1318" s="105"/>
      <c r="AJ1318" s="98"/>
      <c r="AK1318" s="110"/>
      <c r="AL1318" s="98"/>
      <c r="AM1318" s="69"/>
      <c r="AN1318" s="13"/>
      <c r="AO1318" s="13"/>
      <c r="AP1318" s="13"/>
      <c r="AQ1318" s="13"/>
      <c r="AR1318" s="13"/>
      <c r="AS1318" s="13"/>
      <c r="AT1318" s="13"/>
      <c r="AU1318" s="13"/>
      <c r="AV1318" s="13"/>
      <c r="AW1318" s="13"/>
      <c r="AX1318" s="13"/>
      <c r="AY1318" s="13"/>
      <c r="AZ1318" s="13"/>
      <c r="BA1318" s="13"/>
      <c r="BB1318" s="13"/>
      <c r="BC1318" s="13"/>
      <c r="BD1318" s="13"/>
      <c r="BE1318" s="13"/>
      <c r="BF1318" s="13"/>
      <c r="BG1318" s="13"/>
    </row>
    <row r="1319">
      <c r="A1319" s="69"/>
      <c r="B1319" s="69"/>
      <c r="C1319" s="13"/>
      <c r="D1319" s="99"/>
      <c r="E1319" s="13"/>
      <c r="F1319" s="99"/>
      <c r="G1319" s="69"/>
      <c r="H1319" s="98"/>
      <c r="J1319" s="69"/>
      <c r="K1319" s="99"/>
      <c r="L1319" s="389"/>
      <c r="M1319" s="182"/>
      <c r="N1319" s="375"/>
      <c r="O1319" s="378"/>
      <c r="P1319" s="13"/>
      <c r="Q1319" s="13"/>
      <c r="R1319" s="13"/>
      <c r="S1319" s="98"/>
      <c r="T1319" s="69"/>
      <c r="U1319" s="69"/>
      <c r="V1319" s="13"/>
      <c r="W1319" s="13"/>
      <c r="X1319" s="379"/>
      <c r="Y1319" s="150"/>
      <c r="Z1319" s="150"/>
      <c r="AA1319" s="150"/>
      <c r="AB1319" s="150"/>
      <c r="AC1319" s="150"/>
      <c r="AD1319" s="381"/>
      <c r="AE1319" s="150"/>
      <c r="AF1319" s="110"/>
      <c r="AG1319" s="110"/>
      <c r="AH1319" s="69"/>
      <c r="AI1319" s="105"/>
      <c r="AJ1319" s="98"/>
      <c r="AK1319" s="110"/>
      <c r="AL1319" s="98"/>
      <c r="AM1319" s="69"/>
      <c r="AN1319" s="13"/>
      <c r="AO1319" s="13"/>
      <c r="AP1319" s="13"/>
      <c r="AQ1319" s="13"/>
      <c r="AR1319" s="13"/>
      <c r="AS1319" s="13"/>
      <c r="AT1319" s="13"/>
      <c r="AU1319" s="13"/>
      <c r="AV1319" s="13"/>
      <c r="AW1319" s="13"/>
      <c r="AX1319" s="13"/>
      <c r="AY1319" s="13"/>
      <c r="AZ1319" s="13"/>
      <c r="BA1319" s="13"/>
      <c r="BB1319" s="13"/>
      <c r="BC1319" s="13"/>
      <c r="BD1319" s="13"/>
      <c r="BE1319" s="13"/>
      <c r="BF1319" s="13"/>
      <c r="BG1319" s="13"/>
    </row>
    <row r="1320">
      <c r="A1320" s="69"/>
      <c r="B1320" s="69"/>
      <c r="C1320" s="13"/>
      <c r="D1320" s="99"/>
      <c r="E1320" s="13"/>
      <c r="F1320" s="99"/>
      <c r="G1320" s="69"/>
      <c r="H1320" s="98"/>
      <c r="J1320" s="69"/>
      <c r="K1320" s="99"/>
      <c r="L1320" s="389"/>
      <c r="M1320" s="182"/>
      <c r="N1320" s="375"/>
      <c r="O1320" s="378"/>
      <c r="P1320" s="13"/>
      <c r="Q1320" s="13"/>
      <c r="R1320" s="13"/>
      <c r="S1320" s="98"/>
      <c r="T1320" s="69"/>
      <c r="U1320" s="69"/>
      <c r="V1320" s="13"/>
      <c r="W1320" s="13"/>
      <c r="X1320" s="379"/>
      <c r="Y1320" s="150"/>
      <c r="Z1320" s="150"/>
      <c r="AA1320" s="150"/>
      <c r="AB1320" s="150"/>
      <c r="AC1320" s="150"/>
      <c r="AD1320" s="381"/>
      <c r="AE1320" s="150"/>
      <c r="AF1320" s="110"/>
      <c r="AG1320" s="110"/>
      <c r="AH1320" s="69"/>
      <c r="AI1320" s="105"/>
      <c r="AJ1320" s="98"/>
      <c r="AK1320" s="110"/>
      <c r="AL1320" s="98"/>
      <c r="AM1320" s="69"/>
      <c r="AN1320" s="13"/>
      <c r="AO1320" s="13"/>
      <c r="AP1320" s="13"/>
      <c r="AQ1320" s="13"/>
      <c r="AR1320" s="13"/>
      <c r="AS1320" s="13"/>
      <c r="AT1320" s="13"/>
      <c r="AU1320" s="13"/>
      <c r="AV1320" s="13"/>
      <c r="AW1320" s="13"/>
      <c r="AX1320" s="13"/>
      <c r="AY1320" s="13"/>
      <c r="AZ1320" s="13"/>
      <c r="BA1320" s="13"/>
      <c r="BB1320" s="13"/>
      <c r="BC1320" s="13"/>
      <c r="BD1320" s="13"/>
      <c r="BE1320" s="13"/>
      <c r="BF1320" s="13"/>
      <c r="BG1320" s="13"/>
    </row>
    <row r="1321">
      <c r="A1321" s="69"/>
      <c r="B1321" s="69"/>
      <c r="C1321" s="13"/>
      <c r="D1321" s="99"/>
      <c r="E1321" s="13"/>
      <c r="F1321" s="99"/>
      <c r="G1321" s="69"/>
      <c r="H1321" s="98"/>
      <c r="J1321" s="69"/>
      <c r="K1321" s="99"/>
      <c r="L1321" s="389"/>
      <c r="M1321" s="182"/>
      <c r="N1321" s="375"/>
      <c r="O1321" s="378"/>
      <c r="P1321" s="13"/>
      <c r="Q1321" s="13"/>
      <c r="R1321" s="13"/>
      <c r="S1321" s="98"/>
      <c r="T1321" s="69"/>
      <c r="U1321" s="69"/>
      <c r="V1321" s="13"/>
      <c r="W1321" s="13"/>
      <c r="X1321" s="379"/>
      <c r="Y1321" s="150"/>
      <c r="Z1321" s="150"/>
      <c r="AA1321" s="150"/>
      <c r="AB1321" s="150"/>
      <c r="AC1321" s="150"/>
      <c r="AD1321" s="381"/>
      <c r="AE1321" s="150"/>
      <c r="AF1321" s="110"/>
      <c r="AG1321" s="110"/>
      <c r="AH1321" s="69"/>
      <c r="AI1321" s="105"/>
      <c r="AJ1321" s="98"/>
      <c r="AK1321" s="110"/>
      <c r="AL1321" s="98"/>
      <c r="AM1321" s="69"/>
      <c r="AN1321" s="13"/>
      <c r="AO1321" s="13"/>
      <c r="AP1321" s="13"/>
      <c r="AQ1321" s="13"/>
      <c r="AR1321" s="13"/>
      <c r="AS1321" s="13"/>
      <c r="AT1321" s="13"/>
      <c r="AU1321" s="13"/>
      <c r="AV1321" s="13"/>
      <c r="AW1321" s="13"/>
      <c r="AX1321" s="13"/>
      <c r="AY1321" s="13"/>
      <c r="AZ1321" s="13"/>
      <c r="BA1321" s="13"/>
      <c r="BB1321" s="13"/>
      <c r="BC1321" s="13"/>
      <c r="BD1321" s="13"/>
      <c r="BE1321" s="13"/>
      <c r="BF1321" s="13"/>
      <c r="BG1321" s="13"/>
    </row>
    <row r="1322">
      <c r="A1322" s="69"/>
      <c r="B1322" s="69"/>
      <c r="C1322" s="13"/>
      <c r="D1322" s="99"/>
      <c r="E1322" s="13"/>
      <c r="F1322" s="99"/>
      <c r="G1322" s="69"/>
      <c r="H1322" s="98"/>
      <c r="J1322" s="69"/>
      <c r="K1322" s="99"/>
      <c r="L1322" s="389"/>
      <c r="M1322" s="182"/>
      <c r="N1322" s="375"/>
      <c r="O1322" s="378"/>
      <c r="P1322" s="13"/>
      <c r="Q1322" s="13"/>
      <c r="R1322" s="13"/>
      <c r="S1322" s="98"/>
      <c r="T1322" s="69"/>
      <c r="U1322" s="69"/>
      <c r="V1322" s="13"/>
      <c r="W1322" s="13"/>
      <c r="X1322" s="379"/>
      <c r="Y1322" s="150"/>
      <c r="Z1322" s="150"/>
      <c r="AA1322" s="150"/>
      <c r="AB1322" s="150"/>
      <c r="AC1322" s="150"/>
      <c r="AD1322" s="381"/>
      <c r="AE1322" s="150"/>
      <c r="AF1322" s="110"/>
      <c r="AG1322" s="110"/>
      <c r="AH1322" s="69"/>
      <c r="AI1322" s="105"/>
      <c r="AJ1322" s="98"/>
      <c r="AK1322" s="110"/>
      <c r="AL1322" s="98"/>
      <c r="AM1322" s="69"/>
      <c r="AN1322" s="13"/>
      <c r="AO1322" s="13"/>
      <c r="AP1322" s="13"/>
      <c r="AQ1322" s="13"/>
      <c r="AR1322" s="13"/>
      <c r="AS1322" s="13"/>
      <c r="AT1322" s="13"/>
      <c r="AU1322" s="13"/>
      <c r="AV1322" s="13"/>
      <c r="AW1322" s="13"/>
      <c r="AX1322" s="13"/>
      <c r="AY1322" s="13"/>
      <c r="AZ1322" s="13"/>
      <c r="BA1322" s="13"/>
      <c r="BB1322" s="13"/>
      <c r="BC1322" s="13"/>
      <c r="BD1322" s="13"/>
      <c r="BE1322" s="13"/>
      <c r="BF1322" s="13"/>
      <c r="BG1322" s="13"/>
    </row>
    <row r="1323">
      <c r="A1323" s="69"/>
      <c r="B1323" s="69"/>
      <c r="C1323" s="13"/>
      <c r="D1323" s="99"/>
      <c r="E1323" s="13"/>
      <c r="F1323" s="99"/>
      <c r="G1323" s="69"/>
      <c r="H1323" s="98"/>
      <c r="J1323" s="69"/>
      <c r="K1323" s="99"/>
      <c r="L1323" s="389"/>
      <c r="M1323" s="182"/>
      <c r="N1323" s="375"/>
      <c r="O1323" s="378"/>
      <c r="P1323" s="13"/>
      <c r="Q1323" s="13"/>
      <c r="R1323" s="13"/>
      <c r="S1323" s="98"/>
      <c r="T1323" s="69"/>
      <c r="U1323" s="69"/>
      <c r="V1323" s="13"/>
      <c r="W1323" s="13"/>
      <c r="X1323" s="379"/>
      <c r="Y1323" s="150"/>
      <c r="Z1323" s="150"/>
      <c r="AA1323" s="150"/>
      <c r="AB1323" s="150"/>
      <c r="AC1323" s="150"/>
      <c r="AD1323" s="381"/>
      <c r="AE1323" s="150"/>
      <c r="AF1323" s="110"/>
      <c r="AG1323" s="110"/>
      <c r="AH1323" s="69"/>
      <c r="AI1323" s="105"/>
      <c r="AJ1323" s="98"/>
      <c r="AK1323" s="110"/>
      <c r="AL1323" s="98"/>
      <c r="AM1323" s="69"/>
      <c r="AN1323" s="13"/>
      <c r="AO1323" s="13"/>
      <c r="AP1323" s="13"/>
      <c r="AQ1323" s="13"/>
      <c r="AR1323" s="13"/>
      <c r="AS1323" s="13"/>
      <c r="AT1323" s="13"/>
      <c r="AU1323" s="13"/>
      <c r="AV1323" s="13"/>
      <c r="AW1323" s="13"/>
      <c r="AX1323" s="13"/>
      <c r="AY1323" s="13"/>
      <c r="AZ1323" s="13"/>
      <c r="BA1323" s="13"/>
      <c r="BB1323" s="13"/>
      <c r="BC1323" s="13"/>
      <c r="BD1323" s="13"/>
      <c r="BE1323" s="13"/>
      <c r="BF1323" s="13"/>
      <c r="BG1323" s="13"/>
    </row>
    <row r="1324">
      <c r="A1324" s="69"/>
      <c r="B1324" s="69"/>
      <c r="C1324" s="13"/>
      <c r="D1324" s="99"/>
      <c r="E1324" s="13"/>
      <c r="F1324" s="99"/>
      <c r="G1324" s="69"/>
      <c r="H1324" s="98"/>
      <c r="J1324" s="69"/>
      <c r="K1324" s="99"/>
      <c r="L1324" s="389"/>
      <c r="M1324" s="182"/>
      <c r="N1324" s="375"/>
      <c r="O1324" s="378"/>
      <c r="P1324" s="13"/>
      <c r="Q1324" s="13"/>
      <c r="R1324" s="13"/>
      <c r="S1324" s="98"/>
      <c r="T1324" s="69"/>
      <c r="U1324" s="69"/>
      <c r="V1324" s="13"/>
      <c r="W1324" s="13"/>
      <c r="X1324" s="379"/>
      <c r="Y1324" s="150"/>
      <c r="Z1324" s="150"/>
      <c r="AA1324" s="150"/>
      <c r="AB1324" s="150"/>
      <c r="AC1324" s="150"/>
      <c r="AD1324" s="381"/>
      <c r="AE1324" s="150"/>
      <c r="AF1324" s="110"/>
      <c r="AG1324" s="110"/>
      <c r="AH1324" s="69"/>
      <c r="AI1324" s="105"/>
      <c r="AJ1324" s="98"/>
      <c r="AK1324" s="110"/>
      <c r="AL1324" s="98"/>
      <c r="AM1324" s="69"/>
      <c r="AN1324" s="13"/>
      <c r="AO1324" s="13"/>
      <c r="AP1324" s="13"/>
      <c r="AQ1324" s="13"/>
      <c r="AR1324" s="13"/>
      <c r="AS1324" s="13"/>
      <c r="AT1324" s="13"/>
      <c r="AU1324" s="13"/>
      <c r="AV1324" s="13"/>
      <c r="AW1324" s="13"/>
      <c r="AX1324" s="13"/>
      <c r="AY1324" s="13"/>
      <c r="AZ1324" s="13"/>
      <c r="BA1324" s="13"/>
      <c r="BB1324" s="13"/>
      <c r="BC1324" s="13"/>
      <c r="BD1324" s="13"/>
      <c r="BE1324" s="13"/>
      <c r="BF1324" s="13"/>
      <c r="BG1324" s="13"/>
    </row>
    <row r="1325">
      <c r="A1325" s="69"/>
      <c r="B1325" s="69"/>
      <c r="C1325" s="13"/>
      <c r="D1325" s="99"/>
      <c r="E1325" s="13"/>
      <c r="F1325" s="99"/>
      <c r="G1325" s="69"/>
      <c r="H1325" s="98"/>
      <c r="J1325" s="69"/>
      <c r="K1325" s="99"/>
      <c r="L1325" s="389"/>
      <c r="M1325" s="182"/>
      <c r="N1325" s="375"/>
      <c r="O1325" s="378"/>
      <c r="P1325" s="13"/>
      <c r="Q1325" s="13"/>
      <c r="R1325" s="13"/>
      <c r="S1325" s="98"/>
      <c r="T1325" s="69"/>
      <c r="U1325" s="69"/>
      <c r="V1325" s="13"/>
      <c r="W1325" s="13"/>
      <c r="X1325" s="379"/>
      <c r="Y1325" s="150"/>
      <c r="Z1325" s="150"/>
      <c r="AA1325" s="150"/>
      <c r="AB1325" s="150"/>
      <c r="AC1325" s="150"/>
      <c r="AD1325" s="381"/>
      <c r="AE1325" s="150"/>
      <c r="AF1325" s="110"/>
      <c r="AG1325" s="110"/>
      <c r="AH1325" s="69"/>
      <c r="AI1325" s="105"/>
      <c r="AJ1325" s="98"/>
      <c r="AK1325" s="110"/>
      <c r="AL1325" s="98"/>
      <c r="AM1325" s="69"/>
      <c r="AN1325" s="13"/>
      <c r="AO1325" s="13"/>
      <c r="AP1325" s="13"/>
      <c r="AQ1325" s="13"/>
      <c r="AR1325" s="13"/>
      <c r="AS1325" s="13"/>
      <c r="AT1325" s="13"/>
      <c r="AU1325" s="13"/>
      <c r="AV1325" s="13"/>
      <c r="AW1325" s="13"/>
      <c r="AX1325" s="13"/>
      <c r="AY1325" s="13"/>
      <c r="AZ1325" s="13"/>
      <c r="BA1325" s="13"/>
      <c r="BB1325" s="13"/>
      <c r="BC1325" s="13"/>
      <c r="BD1325" s="13"/>
      <c r="BE1325" s="13"/>
      <c r="BF1325" s="13"/>
      <c r="BG1325" s="13"/>
    </row>
    <row r="1326">
      <c r="A1326" s="69"/>
      <c r="B1326" s="69"/>
      <c r="C1326" s="13"/>
      <c r="D1326" s="99"/>
      <c r="E1326" s="13"/>
      <c r="F1326" s="99"/>
      <c r="G1326" s="69"/>
      <c r="H1326" s="98"/>
      <c r="J1326" s="69"/>
      <c r="K1326" s="99"/>
      <c r="L1326" s="389"/>
      <c r="M1326" s="182"/>
      <c r="N1326" s="375"/>
      <c r="O1326" s="378"/>
      <c r="P1326" s="13"/>
      <c r="Q1326" s="13"/>
      <c r="R1326" s="13"/>
      <c r="S1326" s="98"/>
      <c r="T1326" s="69"/>
      <c r="U1326" s="69"/>
      <c r="V1326" s="13"/>
      <c r="W1326" s="13"/>
      <c r="X1326" s="379"/>
      <c r="Y1326" s="150"/>
      <c r="Z1326" s="150"/>
      <c r="AA1326" s="150"/>
      <c r="AB1326" s="150"/>
      <c r="AC1326" s="150"/>
      <c r="AD1326" s="381"/>
      <c r="AE1326" s="150"/>
      <c r="AF1326" s="110"/>
      <c r="AG1326" s="110"/>
      <c r="AH1326" s="69"/>
      <c r="AI1326" s="105"/>
      <c r="AJ1326" s="98"/>
      <c r="AK1326" s="110"/>
      <c r="AL1326" s="98"/>
      <c r="AM1326" s="69"/>
      <c r="AN1326" s="13"/>
      <c r="AO1326" s="13"/>
      <c r="AP1326" s="13"/>
      <c r="AQ1326" s="13"/>
      <c r="AR1326" s="13"/>
      <c r="AS1326" s="13"/>
      <c r="AT1326" s="13"/>
      <c r="AU1326" s="13"/>
      <c r="AV1326" s="13"/>
      <c r="AW1326" s="13"/>
      <c r="AX1326" s="13"/>
      <c r="AY1326" s="13"/>
      <c r="AZ1326" s="13"/>
      <c r="BA1326" s="13"/>
      <c r="BB1326" s="13"/>
      <c r="BC1326" s="13"/>
      <c r="BD1326" s="13"/>
      <c r="BE1326" s="13"/>
      <c r="BF1326" s="13"/>
      <c r="BG1326" s="13"/>
    </row>
    <row r="1327">
      <c r="A1327" s="69"/>
      <c r="B1327" s="69"/>
      <c r="C1327" s="13"/>
      <c r="D1327" s="99"/>
      <c r="E1327" s="13"/>
      <c r="F1327" s="99"/>
      <c r="G1327" s="69"/>
      <c r="H1327" s="98"/>
      <c r="J1327" s="69"/>
      <c r="K1327" s="99"/>
      <c r="L1327" s="389"/>
      <c r="M1327" s="182"/>
      <c r="N1327" s="375"/>
      <c r="O1327" s="378"/>
      <c r="P1327" s="13"/>
      <c r="Q1327" s="13"/>
      <c r="R1327" s="13"/>
      <c r="S1327" s="98"/>
      <c r="T1327" s="69"/>
      <c r="U1327" s="69"/>
      <c r="V1327" s="13"/>
      <c r="W1327" s="13"/>
      <c r="X1327" s="379"/>
      <c r="Y1327" s="150"/>
      <c r="Z1327" s="150"/>
      <c r="AA1327" s="150"/>
      <c r="AB1327" s="150"/>
      <c r="AC1327" s="150"/>
      <c r="AD1327" s="381"/>
      <c r="AE1327" s="150"/>
      <c r="AF1327" s="110"/>
      <c r="AG1327" s="110"/>
      <c r="AH1327" s="69"/>
      <c r="AI1327" s="105"/>
      <c r="AJ1327" s="98"/>
      <c r="AK1327" s="110"/>
      <c r="AL1327" s="98"/>
      <c r="AM1327" s="69"/>
      <c r="AN1327" s="13"/>
      <c r="AO1327" s="13"/>
      <c r="AP1327" s="13"/>
      <c r="AQ1327" s="13"/>
      <c r="AR1327" s="13"/>
      <c r="AS1327" s="13"/>
      <c r="AT1327" s="13"/>
      <c r="AU1327" s="13"/>
      <c r="AV1327" s="13"/>
      <c r="AW1327" s="13"/>
      <c r="AX1327" s="13"/>
      <c r="AY1327" s="13"/>
      <c r="AZ1327" s="13"/>
      <c r="BA1327" s="13"/>
      <c r="BB1327" s="13"/>
      <c r="BC1327" s="13"/>
      <c r="BD1327" s="13"/>
      <c r="BE1327" s="13"/>
      <c r="BF1327" s="13"/>
      <c r="BG1327" s="13"/>
    </row>
    <row r="1328">
      <c r="A1328" s="69"/>
      <c r="B1328" s="69"/>
      <c r="C1328" s="13"/>
      <c r="D1328" s="99"/>
      <c r="E1328" s="13"/>
      <c r="F1328" s="99"/>
      <c r="G1328" s="69"/>
      <c r="H1328" s="98"/>
      <c r="J1328" s="69"/>
      <c r="K1328" s="99"/>
      <c r="L1328" s="389"/>
      <c r="M1328" s="182"/>
      <c r="N1328" s="375"/>
      <c r="O1328" s="378"/>
      <c r="P1328" s="13"/>
      <c r="Q1328" s="13"/>
      <c r="R1328" s="13"/>
      <c r="S1328" s="98"/>
      <c r="T1328" s="69"/>
      <c r="U1328" s="69"/>
      <c r="V1328" s="13"/>
      <c r="W1328" s="13"/>
      <c r="X1328" s="379"/>
      <c r="Y1328" s="150"/>
      <c r="Z1328" s="150"/>
      <c r="AA1328" s="150"/>
      <c r="AB1328" s="150"/>
      <c r="AC1328" s="150"/>
      <c r="AD1328" s="381"/>
      <c r="AE1328" s="150"/>
      <c r="AF1328" s="110"/>
      <c r="AG1328" s="110"/>
      <c r="AH1328" s="69"/>
      <c r="AI1328" s="105"/>
      <c r="AJ1328" s="98"/>
      <c r="AK1328" s="110"/>
      <c r="AL1328" s="98"/>
      <c r="AM1328" s="69"/>
      <c r="AN1328" s="13"/>
      <c r="AO1328" s="13"/>
      <c r="AP1328" s="13"/>
      <c r="AQ1328" s="13"/>
      <c r="AR1328" s="13"/>
      <c r="AS1328" s="13"/>
      <c r="AT1328" s="13"/>
      <c r="AU1328" s="13"/>
      <c r="AV1328" s="13"/>
      <c r="AW1328" s="13"/>
      <c r="AX1328" s="13"/>
      <c r="AY1328" s="13"/>
      <c r="AZ1328" s="13"/>
      <c r="BA1328" s="13"/>
      <c r="BB1328" s="13"/>
      <c r="BC1328" s="13"/>
      <c r="BD1328" s="13"/>
      <c r="BE1328" s="13"/>
      <c r="BF1328" s="13"/>
      <c r="BG1328" s="13"/>
    </row>
    <row r="1329">
      <c r="A1329" s="69"/>
      <c r="B1329" s="69"/>
      <c r="C1329" s="13"/>
      <c r="D1329" s="99"/>
      <c r="E1329" s="13"/>
      <c r="F1329" s="99"/>
      <c r="G1329" s="69"/>
      <c r="H1329" s="98"/>
      <c r="J1329" s="69"/>
      <c r="K1329" s="99"/>
      <c r="L1329" s="389"/>
      <c r="M1329" s="182"/>
      <c r="N1329" s="375"/>
      <c r="O1329" s="378"/>
      <c r="P1329" s="13"/>
      <c r="Q1329" s="13"/>
      <c r="R1329" s="13"/>
      <c r="S1329" s="98"/>
      <c r="T1329" s="69"/>
      <c r="U1329" s="69"/>
      <c r="V1329" s="13"/>
      <c r="W1329" s="13"/>
      <c r="X1329" s="379"/>
      <c r="Y1329" s="150"/>
      <c r="Z1329" s="150"/>
      <c r="AA1329" s="150"/>
      <c r="AB1329" s="150"/>
      <c r="AC1329" s="150"/>
      <c r="AD1329" s="381"/>
      <c r="AE1329" s="150"/>
      <c r="AF1329" s="110"/>
      <c r="AG1329" s="110"/>
      <c r="AH1329" s="69"/>
      <c r="AI1329" s="105"/>
      <c r="AJ1329" s="98"/>
      <c r="AK1329" s="110"/>
      <c r="AL1329" s="98"/>
      <c r="AM1329" s="69"/>
      <c r="AN1329" s="13"/>
      <c r="AO1329" s="13"/>
      <c r="AP1329" s="13"/>
      <c r="AQ1329" s="13"/>
      <c r="AR1329" s="13"/>
      <c r="AS1329" s="13"/>
      <c r="AT1329" s="13"/>
      <c r="AU1329" s="13"/>
      <c r="AV1329" s="13"/>
      <c r="AW1329" s="13"/>
      <c r="AX1329" s="13"/>
      <c r="AY1329" s="13"/>
      <c r="AZ1329" s="13"/>
      <c r="BA1329" s="13"/>
      <c r="BB1329" s="13"/>
      <c r="BC1329" s="13"/>
      <c r="BD1329" s="13"/>
      <c r="BE1329" s="13"/>
      <c r="BF1329" s="13"/>
      <c r="BG1329" s="13"/>
    </row>
    <row r="1330">
      <c r="A1330" s="69"/>
      <c r="B1330" s="69"/>
      <c r="C1330" s="13"/>
      <c r="D1330" s="99"/>
      <c r="E1330" s="13"/>
      <c r="F1330" s="99"/>
      <c r="G1330" s="69"/>
      <c r="H1330" s="98"/>
      <c r="J1330" s="69"/>
      <c r="K1330" s="99"/>
      <c r="L1330" s="389"/>
      <c r="M1330" s="182"/>
      <c r="N1330" s="375"/>
      <c r="O1330" s="378"/>
      <c r="P1330" s="13"/>
      <c r="Q1330" s="13"/>
      <c r="R1330" s="13"/>
      <c r="S1330" s="98"/>
      <c r="T1330" s="69"/>
      <c r="U1330" s="69"/>
      <c r="V1330" s="13"/>
      <c r="W1330" s="13"/>
      <c r="X1330" s="379"/>
      <c r="Y1330" s="150"/>
      <c r="Z1330" s="150"/>
      <c r="AA1330" s="150"/>
      <c r="AB1330" s="150"/>
      <c r="AC1330" s="150"/>
      <c r="AD1330" s="381"/>
      <c r="AE1330" s="150"/>
      <c r="AF1330" s="110"/>
      <c r="AG1330" s="110"/>
      <c r="AH1330" s="69"/>
      <c r="AI1330" s="105"/>
      <c r="AJ1330" s="98"/>
      <c r="AK1330" s="110"/>
      <c r="AL1330" s="98"/>
      <c r="AM1330" s="69"/>
      <c r="AN1330" s="13"/>
      <c r="AO1330" s="13"/>
      <c r="AP1330" s="13"/>
      <c r="AQ1330" s="13"/>
      <c r="AR1330" s="13"/>
      <c r="AS1330" s="13"/>
      <c r="AT1330" s="13"/>
      <c r="AU1330" s="13"/>
      <c r="AV1330" s="13"/>
      <c r="AW1330" s="13"/>
      <c r="AX1330" s="13"/>
      <c r="AY1330" s="13"/>
      <c r="AZ1330" s="13"/>
      <c r="BA1330" s="13"/>
      <c r="BB1330" s="13"/>
      <c r="BC1330" s="13"/>
      <c r="BD1330" s="13"/>
      <c r="BE1330" s="13"/>
      <c r="BF1330" s="13"/>
      <c r="BG1330" s="13"/>
    </row>
    <row r="1331">
      <c r="A1331" s="69"/>
      <c r="B1331" s="69"/>
      <c r="C1331" s="13"/>
      <c r="D1331" s="99"/>
      <c r="E1331" s="13"/>
      <c r="F1331" s="99"/>
      <c r="G1331" s="69"/>
      <c r="H1331" s="98"/>
      <c r="J1331" s="69"/>
      <c r="K1331" s="99"/>
      <c r="L1331" s="389"/>
      <c r="M1331" s="182"/>
      <c r="N1331" s="375"/>
      <c r="O1331" s="378"/>
      <c r="P1331" s="13"/>
      <c r="Q1331" s="13"/>
      <c r="R1331" s="13"/>
      <c r="S1331" s="98"/>
      <c r="T1331" s="69"/>
      <c r="U1331" s="69"/>
      <c r="V1331" s="13"/>
      <c r="W1331" s="13"/>
      <c r="X1331" s="379"/>
      <c r="Y1331" s="150"/>
      <c r="Z1331" s="150"/>
      <c r="AA1331" s="150"/>
      <c r="AB1331" s="150"/>
      <c r="AC1331" s="150"/>
      <c r="AD1331" s="381"/>
      <c r="AE1331" s="150"/>
      <c r="AF1331" s="110"/>
      <c r="AG1331" s="110"/>
      <c r="AH1331" s="69"/>
      <c r="AI1331" s="105"/>
      <c r="AJ1331" s="98"/>
      <c r="AK1331" s="110"/>
      <c r="AL1331" s="98"/>
      <c r="AM1331" s="69"/>
      <c r="AN1331" s="13"/>
      <c r="AO1331" s="13"/>
      <c r="AP1331" s="13"/>
      <c r="AQ1331" s="13"/>
      <c r="AR1331" s="13"/>
      <c r="AS1331" s="13"/>
      <c r="AT1331" s="13"/>
      <c r="AU1331" s="13"/>
      <c r="AV1331" s="13"/>
      <c r="AW1331" s="13"/>
      <c r="AX1331" s="13"/>
      <c r="AY1331" s="13"/>
      <c r="AZ1331" s="13"/>
      <c r="BA1331" s="13"/>
      <c r="BB1331" s="13"/>
      <c r="BC1331" s="13"/>
      <c r="BD1331" s="13"/>
      <c r="BE1331" s="13"/>
      <c r="BF1331" s="13"/>
      <c r="BG1331" s="13"/>
    </row>
    <row r="1332">
      <c r="A1332" s="69"/>
      <c r="B1332" s="69"/>
      <c r="C1332" s="13"/>
      <c r="D1332" s="99"/>
      <c r="E1332" s="13"/>
      <c r="F1332" s="99"/>
      <c r="G1332" s="69"/>
      <c r="H1332" s="98"/>
      <c r="J1332" s="69"/>
      <c r="K1332" s="99"/>
      <c r="L1332" s="389"/>
      <c r="M1332" s="182"/>
      <c r="N1332" s="375"/>
      <c r="O1332" s="378"/>
      <c r="P1332" s="13"/>
      <c r="Q1332" s="13"/>
      <c r="R1332" s="13"/>
      <c r="S1332" s="98"/>
      <c r="T1332" s="69"/>
      <c r="U1332" s="69"/>
      <c r="V1332" s="13"/>
      <c r="W1332" s="13"/>
      <c r="X1332" s="379"/>
      <c r="Y1332" s="150"/>
      <c r="Z1332" s="150"/>
      <c r="AA1332" s="150"/>
      <c r="AB1332" s="150"/>
      <c r="AC1332" s="150"/>
      <c r="AD1332" s="381"/>
      <c r="AE1332" s="150"/>
      <c r="AF1332" s="110"/>
      <c r="AG1332" s="110"/>
      <c r="AH1332" s="69"/>
      <c r="AI1332" s="105"/>
      <c r="AJ1332" s="98"/>
      <c r="AK1332" s="110"/>
      <c r="AL1332" s="98"/>
      <c r="AM1332" s="69"/>
      <c r="AN1332" s="13"/>
      <c r="AO1332" s="13"/>
      <c r="AP1332" s="13"/>
      <c r="AQ1332" s="13"/>
      <c r="AR1332" s="13"/>
      <c r="AS1332" s="13"/>
      <c r="AT1332" s="13"/>
      <c r="AU1332" s="13"/>
      <c r="AV1332" s="13"/>
      <c r="AW1332" s="13"/>
      <c r="AX1332" s="13"/>
      <c r="AY1332" s="13"/>
      <c r="AZ1332" s="13"/>
      <c r="BA1332" s="13"/>
      <c r="BB1332" s="13"/>
      <c r="BC1332" s="13"/>
      <c r="BD1332" s="13"/>
      <c r="BE1332" s="13"/>
      <c r="BF1332" s="13"/>
      <c r="BG1332" s="13"/>
    </row>
    <row r="1333">
      <c r="A1333" s="69"/>
      <c r="B1333" s="69"/>
      <c r="C1333" s="13"/>
      <c r="D1333" s="99"/>
      <c r="E1333" s="13"/>
      <c r="F1333" s="99"/>
      <c r="G1333" s="69"/>
      <c r="H1333" s="98"/>
      <c r="J1333" s="69"/>
      <c r="K1333" s="99"/>
      <c r="L1333" s="389"/>
      <c r="M1333" s="182"/>
      <c r="N1333" s="375"/>
      <c r="O1333" s="378"/>
      <c r="P1333" s="13"/>
      <c r="Q1333" s="13"/>
      <c r="R1333" s="13"/>
      <c r="S1333" s="98"/>
      <c r="T1333" s="69"/>
      <c r="U1333" s="69"/>
      <c r="V1333" s="13"/>
      <c r="W1333" s="13"/>
      <c r="X1333" s="379"/>
      <c r="Y1333" s="150"/>
      <c r="Z1333" s="150"/>
      <c r="AA1333" s="150"/>
      <c r="AB1333" s="150"/>
      <c r="AC1333" s="150"/>
      <c r="AD1333" s="381"/>
      <c r="AE1333" s="150"/>
      <c r="AF1333" s="110"/>
      <c r="AG1333" s="110"/>
      <c r="AH1333" s="69"/>
      <c r="AI1333" s="105"/>
      <c r="AJ1333" s="98"/>
      <c r="AK1333" s="110"/>
      <c r="AL1333" s="98"/>
      <c r="AM1333" s="69"/>
      <c r="AN1333" s="13"/>
      <c r="AO1333" s="13"/>
      <c r="AP1333" s="13"/>
      <c r="AQ1333" s="13"/>
      <c r="AR1333" s="13"/>
      <c r="AS1333" s="13"/>
      <c r="AT1333" s="13"/>
      <c r="AU1333" s="13"/>
      <c r="AV1333" s="13"/>
      <c r="AW1333" s="13"/>
      <c r="AX1333" s="13"/>
      <c r="AY1333" s="13"/>
      <c r="AZ1333" s="13"/>
      <c r="BA1333" s="13"/>
      <c r="BB1333" s="13"/>
      <c r="BC1333" s="13"/>
      <c r="BD1333" s="13"/>
      <c r="BE1333" s="13"/>
      <c r="BF1333" s="13"/>
      <c r="BG1333" s="13"/>
    </row>
    <row r="1334">
      <c r="A1334" s="69"/>
      <c r="B1334" s="69"/>
      <c r="C1334" s="13"/>
      <c r="D1334" s="99"/>
      <c r="E1334" s="13"/>
      <c r="F1334" s="99"/>
      <c r="G1334" s="69"/>
      <c r="H1334" s="98"/>
      <c r="J1334" s="69"/>
      <c r="K1334" s="99"/>
      <c r="L1334" s="389"/>
      <c r="M1334" s="182"/>
      <c r="N1334" s="375"/>
      <c r="O1334" s="378"/>
      <c r="P1334" s="13"/>
      <c r="Q1334" s="13"/>
      <c r="R1334" s="13"/>
      <c r="S1334" s="98"/>
      <c r="T1334" s="69"/>
      <c r="U1334" s="69"/>
      <c r="V1334" s="13"/>
      <c r="W1334" s="13"/>
      <c r="X1334" s="379"/>
      <c r="Y1334" s="150"/>
      <c r="Z1334" s="150"/>
      <c r="AA1334" s="150"/>
      <c r="AB1334" s="150"/>
      <c r="AC1334" s="150"/>
      <c r="AD1334" s="381"/>
      <c r="AE1334" s="150"/>
      <c r="AF1334" s="110"/>
      <c r="AG1334" s="110"/>
      <c r="AH1334" s="69"/>
      <c r="AI1334" s="105"/>
      <c r="AJ1334" s="98"/>
      <c r="AK1334" s="110"/>
      <c r="AL1334" s="98"/>
      <c r="AM1334" s="69"/>
      <c r="AN1334" s="13"/>
      <c r="AO1334" s="13"/>
      <c r="AP1334" s="13"/>
      <c r="AQ1334" s="13"/>
      <c r="AR1334" s="13"/>
      <c r="AS1334" s="13"/>
      <c r="AT1334" s="13"/>
      <c r="AU1334" s="13"/>
      <c r="AV1334" s="13"/>
      <c r="AW1334" s="13"/>
      <c r="AX1334" s="13"/>
      <c r="AY1334" s="13"/>
      <c r="AZ1334" s="13"/>
      <c r="BA1334" s="13"/>
      <c r="BB1334" s="13"/>
      <c r="BC1334" s="13"/>
      <c r="BD1334" s="13"/>
      <c r="BE1334" s="13"/>
      <c r="BF1334" s="13"/>
      <c r="BG1334" s="13"/>
    </row>
    <row r="1335">
      <c r="A1335" s="69"/>
      <c r="B1335" s="69"/>
      <c r="C1335" s="13"/>
      <c r="D1335" s="99"/>
      <c r="E1335" s="13"/>
      <c r="F1335" s="99"/>
      <c r="G1335" s="69"/>
      <c r="H1335" s="98"/>
      <c r="J1335" s="69"/>
      <c r="K1335" s="99"/>
      <c r="L1335" s="389"/>
      <c r="M1335" s="182"/>
      <c r="N1335" s="375"/>
      <c r="O1335" s="378"/>
      <c r="P1335" s="13"/>
      <c r="Q1335" s="13"/>
      <c r="R1335" s="13"/>
      <c r="S1335" s="98"/>
      <c r="T1335" s="69"/>
      <c r="U1335" s="69"/>
      <c r="V1335" s="13"/>
      <c r="W1335" s="13"/>
      <c r="X1335" s="379"/>
      <c r="Y1335" s="150"/>
      <c r="Z1335" s="150"/>
      <c r="AA1335" s="150"/>
      <c r="AB1335" s="150"/>
      <c r="AC1335" s="150"/>
      <c r="AD1335" s="381"/>
      <c r="AE1335" s="150"/>
      <c r="AF1335" s="110"/>
      <c r="AG1335" s="110"/>
      <c r="AH1335" s="69"/>
      <c r="AI1335" s="105"/>
      <c r="AJ1335" s="98"/>
      <c r="AK1335" s="110"/>
      <c r="AL1335" s="98"/>
      <c r="AM1335" s="69"/>
      <c r="AN1335" s="13"/>
      <c r="AO1335" s="13"/>
      <c r="AP1335" s="13"/>
      <c r="AQ1335" s="13"/>
      <c r="AR1335" s="13"/>
      <c r="AS1335" s="13"/>
      <c r="AT1335" s="13"/>
      <c r="AU1335" s="13"/>
      <c r="AV1335" s="13"/>
      <c r="AW1335" s="13"/>
      <c r="AX1335" s="13"/>
      <c r="AY1335" s="13"/>
      <c r="AZ1335" s="13"/>
      <c r="BA1335" s="13"/>
      <c r="BB1335" s="13"/>
      <c r="BC1335" s="13"/>
      <c r="BD1335" s="13"/>
      <c r="BE1335" s="13"/>
      <c r="BF1335" s="13"/>
      <c r="BG1335" s="13"/>
    </row>
    <row r="1336">
      <c r="A1336" s="69"/>
      <c r="B1336" s="69"/>
      <c r="C1336" s="13"/>
      <c r="D1336" s="99"/>
      <c r="E1336" s="13"/>
      <c r="F1336" s="99"/>
      <c r="G1336" s="69"/>
      <c r="H1336" s="98"/>
      <c r="J1336" s="69"/>
      <c r="K1336" s="99"/>
      <c r="L1336" s="389"/>
      <c r="M1336" s="182"/>
      <c r="N1336" s="375"/>
      <c r="O1336" s="378"/>
      <c r="P1336" s="13"/>
      <c r="Q1336" s="13"/>
      <c r="R1336" s="13"/>
      <c r="S1336" s="98"/>
      <c r="T1336" s="69"/>
      <c r="U1336" s="69"/>
      <c r="V1336" s="13"/>
      <c r="W1336" s="13"/>
      <c r="X1336" s="379"/>
      <c r="Y1336" s="150"/>
      <c r="Z1336" s="150"/>
      <c r="AA1336" s="150"/>
      <c r="AB1336" s="150"/>
      <c r="AC1336" s="150"/>
      <c r="AD1336" s="381"/>
      <c r="AE1336" s="150"/>
      <c r="AF1336" s="110"/>
      <c r="AG1336" s="110"/>
      <c r="AH1336" s="69"/>
      <c r="AI1336" s="105"/>
      <c r="AJ1336" s="98"/>
      <c r="AK1336" s="110"/>
      <c r="AL1336" s="98"/>
      <c r="AM1336" s="69"/>
      <c r="AN1336" s="13"/>
      <c r="AO1336" s="13"/>
      <c r="AP1336" s="13"/>
      <c r="AQ1336" s="13"/>
      <c r="AR1336" s="13"/>
      <c r="AS1336" s="13"/>
      <c r="AT1336" s="13"/>
      <c r="AU1336" s="13"/>
      <c r="AV1336" s="13"/>
      <c r="AW1336" s="13"/>
      <c r="AX1336" s="13"/>
      <c r="AY1336" s="13"/>
      <c r="AZ1336" s="13"/>
      <c r="BA1336" s="13"/>
      <c r="BB1336" s="13"/>
      <c r="BC1336" s="13"/>
      <c r="BD1336" s="13"/>
      <c r="BE1336" s="13"/>
      <c r="BF1336" s="13"/>
      <c r="BG1336" s="13"/>
    </row>
    <row r="1337">
      <c r="A1337" s="69"/>
      <c r="B1337" s="69"/>
      <c r="C1337" s="13"/>
      <c r="D1337" s="99"/>
      <c r="E1337" s="13"/>
      <c r="F1337" s="99"/>
      <c r="G1337" s="69"/>
      <c r="H1337" s="98"/>
      <c r="J1337" s="69"/>
      <c r="K1337" s="99"/>
      <c r="L1337" s="389"/>
      <c r="M1337" s="182"/>
      <c r="N1337" s="375"/>
      <c r="O1337" s="378"/>
      <c r="P1337" s="13"/>
      <c r="Q1337" s="13"/>
      <c r="R1337" s="13"/>
      <c r="S1337" s="98"/>
      <c r="T1337" s="69"/>
      <c r="U1337" s="69"/>
      <c r="V1337" s="13"/>
      <c r="W1337" s="13"/>
      <c r="X1337" s="379"/>
      <c r="Y1337" s="150"/>
      <c r="Z1337" s="150"/>
      <c r="AA1337" s="150"/>
      <c r="AB1337" s="150"/>
      <c r="AC1337" s="150"/>
      <c r="AD1337" s="381"/>
      <c r="AE1337" s="150"/>
      <c r="AF1337" s="110"/>
      <c r="AG1337" s="110"/>
      <c r="AH1337" s="69"/>
      <c r="AI1337" s="105"/>
      <c r="AJ1337" s="98"/>
      <c r="AK1337" s="110"/>
      <c r="AL1337" s="98"/>
      <c r="AM1337" s="69"/>
      <c r="AN1337" s="13"/>
      <c r="AO1337" s="13"/>
      <c r="AP1337" s="13"/>
      <c r="AQ1337" s="13"/>
      <c r="AR1337" s="13"/>
      <c r="AS1337" s="13"/>
      <c r="AT1337" s="13"/>
      <c r="AU1337" s="13"/>
      <c r="AV1337" s="13"/>
      <c r="AW1337" s="13"/>
      <c r="AX1337" s="13"/>
      <c r="AY1337" s="13"/>
      <c r="AZ1337" s="13"/>
      <c r="BA1337" s="13"/>
      <c r="BB1337" s="13"/>
      <c r="BC1337" s="13"/>
      <c r="BD1337" s="13"/>
      <c r="BE1337" s="13"/>
      <c r="BF1337" s="13"/>
      <c r="BG1337" s="13"/>
    </row>
    <row r="1338">
      <c r="A1338" s="69"/>
      <c r="B1338" s="69"/>
      <c r="C1338" s="13"/>
      <c r="D1338" s="99"/>
      <c r="E1338" s="13"/>
      <c r="F1338" s="99"/>
      <c r="G1338" s="69"/>
      <c r="H1338" s="98"/>
      <c r="J1338" s="69"/>
      <c r="K1338" s="99"/>
      <c r="L1338" s="389"/>
      <c r="M1338" s="182"/>
      <c r="N1338" s="375"/>
      <c r="O1338" s="378"/>
      <c r="P1338" s="13"/>
      <c r="Q1338" s="13"/>
      <c r="R1338" s="13"/>
      <c r="S1338" s="98"/>
      <c r="T1338" s="69"/>
      <c r="U1338" s="69"/>
      <c r="V1338" s="13"/>
      <c r="W1338" s="13"/>
      <c r="X1338" s="379"/>
      <c r="Y1338" s="150"/>
      <c r="Z1338" s="150"/>
      <c r="AA1338" s="150"/>
      <c r="AB1338" s="150"/>
      <c r="AC1338" s="150"/>
      <c r="AD1338" s="381"/>
      <c r="AE1338" s="150"/>
      <c r="AF1338" s="110"/>
      <c r="AG1338" s="110"/>
      <c r="AH1338" s="69"/>
      <c r="AI1338" s="105"/>
      <c r="AJ1338" s="98"/>
      <c r="AK1338" s="110"/>
      <c r="AL1338" s="98"/>
      <c r="AM1338" s="69"/>
      <c r="AN1338" s="13"/>
      <c r="AO1338" s="13"/>
      <c r="AP1338" s="13"/>
      <c r="AQ1338" s="13"/>
      <c r="AR1338" s="13"/>
      <c r="AS1338" s="13"/>
      <c r="AT1338" s="13"/>
      <c r="AU1338" s="13"/>
      <c r="AV1338" s="13"/>
      <c r="AW1338" s="13"/>
      <c r="AX1338" s="13"/>
      <c r="AY1338" s="13"/>
      <c r="AZ1338" s="13"/>
      <c r="BA1338" s="13"/>
      <c r="BB1338" s="13"/>
      <c r="BC1338" s="13"/>
      <c r="BD1338" s="13"/>
      <c r="BE1338" s="13"/>
      <c r="BF1338" s="13"/>
      <c r="BG1338" s="13"/>
    </row>
    <row r="1339">
      <c r="A1339" s="69"/>
      <c r="B1339" s="69"/>
      <c r="C1339" s="13"/>
      <c r="D1339" s="99"/>
      <c r="E1339" s="13"/>
      <c r="F1339" s="99"/>
      <c r="G1339" s="69"/>
      <c r="H1339" s="98"/>
      <c r="J1339" s="69"/>
      <c r="K1339" s="99"/>
      <c r="L1339" s="389"/>
      <c r="M1339" s="182"/>
      <c r="N1339" s="375"/>
      <c r="O1339" s="378"/>
      <c r="P1339" s="13"/>
      <c r="Q1339" s="13"/>
      <c r="R1339" s="13"/>
      <c r="S1339" s="98"/>
      <c r="T1339" s="69"/>
      <c r="U1339" s="69"/>
      <c r="V1339" s="13"/>
      <c r="W1339" s="13"/>
      <c r="X1339" s="379"/>
      <c r="Y1339" s="150"/>
      <c r="Z1339" s="150"/>
      <c r="AA1339" s="150"/>
      <c r="AB1339" s="150"/>
      <c r="AC1339" s="150"/>
      <c r="AD1339" s="381"/>
      <c r="AE1339" s="150"/>
      <c r="AF1339" s="110"/>
      <c r="AG1339" s="110"/>
      <c r="AH1339" s="69"/>
      <c r="AI1339" s="105"/>
      <c r="AJ1339" s="98"/>
      <c r="AK1339" s="110"/>
      <c r="AL1339" s="98"/>
      <c r="AM1339" s="69"/>
      <c r="AN1339" s="13"/>
      <c r="AO1339" s="13"/>
      <c r="AP1339" s="13"/>
      <c r="AQ1339" s="13"/>
      <c r="AR1339" s="13"/>
      <c r="AS1339" s="13"/>
      <c r="AT1339" s="13"/>
      <c r="AU1339" s="13"/>
      <c r="AV1339" s="13"/>
      <c r="AW1339" s="13"/>
      <c r="AX1339" s="13"/>
      <c r="AY1339" s="13"/>
      <c r="AZ1339" s="13"/>
      <c r="BA1339" s="13"/>
      <c r="BB1339" s="13"/>
      <c r="BC1339" s="13"/>
      <c r="BD1339" s="13"/>
      <c r="BE1339" s="13"/>
      <c r="BF1339" s="13"/>
      <c r="BG1339" s="13"/>
    </row>
    <row r="1340">
      <c r="A1340" s="69"/>
      <c r="B1340" s="69"/>
      <c r="C1340" s="13"/>
      <c r="D1340" s="99"/>
      <c r="E1340" s="13"/>
      <c r="F1340" s="99"/>
      <c r="G1340" s="69"/>
      <c r="H1340" s="98"/>
      <c r="J1340" s="69"/>
      <c r="K1340" s="99"/>
      <c r="L1340" s="389"/>
      <c r="M1340" s="182"/>
      <c r="N1340" s="375"/>
      <c r="O1340" s="378"/>
      <c r="P1340" s="13"/>
      <c r="Q1340" s="13"/>
      <c r="R1340" s="13"/>
      <c r="S1340" s="98"/>
      <c r="T1340" s="69"/>
      <c r="U1340" s="69"/>
      <c r="V1340" s="13"/>
      <c r="W1340" s="13"/>
      <c r="X1340" s="379"/>
      <c r="Y1340" s="150"/>
      <c r="Z1340" s="150"/>
      <c r="AA1340" s="150"/>
      <c r="AB1340" s="150"/>
      <c r="AC1340" s="150"/>
      <c r="AD1340" s="381"/>
      <c r="AE1340" s="150"/>
      <c r="AF1340" s="110"/>
      <c r="AG1340" s="110"/>
      <c r="AH1340" s="69"/>
      <c r="AI1340" s="105"/>
      <c r="AJ1340" s="98"/>
      <c r="AK1340" s="110"/>
      <c r="AL1340" s="98"/>
      <c r="AM1340" s="69"/>
      <c r="AN1340" s="13"/>
      <c r="AO1340" s="13"/>
      <c r="AP1340" s="13"/>
      <c r="AQ1340" s="13"/>
      <c r="AR1340" s="13"/>
      <c r="AS1340" s="13"/>
      <c r="AT1340" s="13"/>
      <c r="AU1340" s="13"/>
      <c r="AV1340" s="13"/>
      <c r="AW1340" s="13"/>
      <c r="AX1340" s="13"/>
      <c r="AY1340" s="13"/>
      <c r="AZ1340" s="13"/>
      <c r="BA1340" s="13"/>
      <c r="BB1340" s="13"/>
      <c r="BC1340" s="13"/>
      <c r="BD1340" s="13"/>
      <c r="BE1340" s="13"/>
      <c r="BF1340" s="13"/>
      <c r="BG1340" s="13"/>
    </row>
    <row r="1341">
      <c r="A1341" s="69"/>
      <c r="B1341" s="69"/>
      <c r="C1341" s="13"/>
      <c r="D1341" s="99"/>
      <c r="E1341" s="13"/>
      <c r="F1341" s="99"/>
      <c r="G1341" s="69"/>
      <c r="H1341" s="98"/>
      <c r="J1341" s="69"/>
      <c r="K1341" s="99"/>
      <c r="L1341" s="389"/>
      <c r="M1341" s="182"/>
      <c r="N1341" s="375"/>
      <c r="O1341" s="378"/>
      <c r="P1341" s="13"/>
      <c r="Q1341" s="13"/>
      <c r="R1341" s="13"/>
      <c r="S1341" s="98"/>
      <c r="T1341" s="69"/>
      <c r="U1341" s="69"/>
      <c r="V1341" s="13"/>
      <c r="W1341" s="13"/>
      <c r="X1341" s="379"/>
      <c r="Y1341" s="150"/>
      <c r="Z1341" s="150"/>
      <c r="AA1341" s="150"/>
      <c r="AB1341" s="150"/>
      <c r="AC1341" s="150"/>
      <c r="AD1341" s="381"/>
      <c r="AE1341" s="150"/>
      <c r="AF1341" s="110"/>
      <c r="AG1341" s="110"/>
      <c r="AH1341" s="69"/>
      <c r="AI1341" s="105"/>
      <c r="AJ1341" s="98"/>
      <c r="AK1341" s="110"/>
      <c r="AL1341" s="98"/>
      <c r="AM1341" s="69"/>
      <c r="AN1341" s="13"/>
      <c r="AO1341" s="13"/>
      <c r="AP1341" s="13"/>
      <c r="AQ1341" s="13"/>
      <c r="AR1341" s="13"/>
      <c r="AS1341" s="13"/>
      <c r="AT1341" s="13"/>
      <c r="AU1341" s="13"/>
      <c r="AV1341" s="13"/>
      <c r="AW1341" s="13"/>
      <c r="AX1341" s="13"/>
      <c r="AY1341" s="13"/>
      <c r="AZ1341" s="13"/>
      <c r="BA1341" s="13"/>
      <c r="BB1341" s="13"/>
      <c r="BC1341" s="13"/>
      <c r="BD1341" s="13"/>
      <c r="BE1341" s="13"/>
      <c r="BF1341" s="13"/>
      <c r="BG1341" s="13"/>
    </row>
    <row r="1342">
      <c r="A1342" s="69"/>
      <c r="B1342" s="69"/>
      <c r="C1342" s="13"/>
      <c r="D1342" s="99"/>
      <c r="E1342" s="13"/>
      <c r="F1342" s="99"/>
      <c r="G1342" s="69"/>
      <c r="H1342" s="98"/>
      <c r="J1342" s="69"/>
      <c r="K1342" s="99"/>
      <c r="L1342" s="389"/>
      <c r="M1342" s="182"/>
      <c r="N1342" s="375"/>
      <c r="O1342" s="378"/>
      <c r="P1342" s="13"/>
      <c r="Q1342" s="13"/>
      <c r="R1342" s="13"/>
      <c r="S1342" s="98"/>
      <c r="T1342" s="69"/>
      <c r="U1342" s="69"/>
      <c r="V1342" s="13"/>
      <c r="W1342" s="13"/>
      <c r="X1342" s="379"/>
      <c r="Y1342" s="150"/>
      <c r="Z1342" s="150"/>
      <c r="AA1342" s="150"/>
      <c r="AB1342" s="150"/>
      <c r="AC1342" s="150"/>
      <c r="AD1342" s="381"/>
      <c r="AE1342" s="150"/>
      <c r="AF1342" s="110"/>
      <c r="AG1342" s="110"/>
      <c r="AH1342" s="69"/>
      <c r="AI1342" s="105"/>
      <c r="AJ1342" s="98"/>
      <c r="AK1342" s="110"/>
      <c r="AL1342" s="98"/>
      <c r="AM1342" s="69"/>
      <c r="AN1342" s="13"/>
      <c r="AO1342" s="13"/>
      <c r="AP1342" s="13"/>
      <c r="AQ1342" s="13"/>
      <c r="AR1342" s="13"/>
      <c r="AS1342" s="13"/>
      <c r="AT1342" s="13"/>
      <c r="AU1342" s="13"/>
      <c r="AV1342" s="13"/>
      <c r="AW1342" s="13"/>
      <c r="AX1342" s="13"/>
      <c r="AY1342" s="13"/>
      <c r="AZ1342" s="13"/>
      <c r="BA1342" s="13"/>
      <c r="BB1342" s="13"/>
      <c r="BC1342" s="13"/>
      <c r="BD1342" s="13"/>
      <c r="BE1342" s="13"/>
      <c r="BF1342" s="13"/>
      <c r="BG1342" s="13"/>
    </row>
    <row r="1343">
      <c r="A1343" s="69"/>
      <c r="B1343" s="69"/>
      <c r="C1343" s="13"/>
      <c r="D1343" s="99"/>
      <c r="E1343" s="13"/>
      <c r="F1343" s="99"/>
      <c r="G1343" s="69"/>
      <c r="H1343" s="98"/>
      <c r="J1343" s="69"/>
      <c r="K1343" s="99"/>
      <c r="L1343" s="389"/>
      <c r="M1343" s="182"/>
      <c r="N1343" s="375"/>
      <c r="O1343" s="378"/>
      <c r="P1343" s="13"/>
      <c r="Q1343" s="13"/>
      <c r="R1343" s="13"/>
      <c r="S1343" s="98"/>
      <c r="T1343" s="69"/>
      <c r="U1343" s="69"/>
      <c r="V1343" s="13"/>
      <c r="W1343" s="13"/>
      <c r="X1343" s="379"/>
      <c r="Y1343" s="150"/>
      <c r="Z1343" s="150"/>
      <c r="AA1343" s="150"/>
      <c r="AB1343" s="150"/>
      <c r="AC1343" s="150"/>
      <c r="AD1343" s="381"/>
      <c r="AE1343" s="150"/>
      <c r="AF1343" s="110"/>
      <c r="AG1343" s="110"/>
      <c r="AH1343" s="69"/>
      <c r="AI1343" s="105"/>
      <c r="AJ1343" s="98"/>
      <c r="AK1343" s="110"/>
      <c r="AL1343" s="98"/>
      <c r="AM1343" s="69"/>
      <c r="AN1343" s="13"/>
      <c r="AO1343" s="13"/>
      <c r="AP1343" s="13"/>
      <c r="AQ1343" s="13"/>
      <c r="AR1343" s="13"/>
      <c r="AS1343" s="13"/>
      <c r="AT1343" s="13"/>
      <c r="AU1343" s="13"/>
      <c r="AV1343" s="13"/>
      <c r="AW1343" s="13"/>
      <c r="AX1343" s="13"/>
      <c r="AY1343" s="13"/>
      <c r="AZ1343" s="13"/>
      <c r="BA1343" s="13"/>
      <c r="BB1343" s="13"/>
      <c r="BC1343" s="13"/>
      <c r="BD1343" s="13"/>
      <c r="BE1343" s="13"/>
      <c r="BF1343" s="13"/>
      <c r="BG1343" s="13"/>
    </row>
    <row r="1344">
      <c r="A1344" s="69"/>
      <c r="B1344" s="69"/>
      <c r="C1344" s="13"/>
      <c r="D1344" s="99"/>
      <c r="E1344" s="13"/>
      <c r="F1344" s="99"/>
      <c r="G1344" s="69"/>
      <c r="H1344" s="98"/>
      <c r="J1344" s="69"/>
      <c r="K1344" s="99"/>
      <c r="L1344" s="389"/>
      <c r="M1344" s="182"/>
      <c r="N1344" s="375"/>
      <c r="O1344" s="378"/>
      <c r="P1344" s="13"/>
      <c r="Q1344" s="13"/>
      <c r="R1344" s="13"/>
      <c r="S1344" s="98"/>
      <c r="T1344" s="69"/>
      <c r="U1344" s="69"/>
      <c r="V1344" s="13"/>
      <c r="W1344" s="13"/>
      <c r="X1344" s="379"/>
      <c r="Y1344" s="150"/>
      <c r="Z1344" s="150"/>
      <c r="AA1344" s="150"/>
      <c r="AB1344" s="150"/>
      <c r="AC1344" s="150"/>
      <c r="AD1344" s="381"/>
      <c r="AE1344" s="150"/>
      <c r="AF1344" s="110"/>
      <c r="AG1344" s="110"/>
      <c r="AH1344" s="69"/>
      <c r="AI1344" s="105"/>
      <c r="AJ1344" s="98"/>
      <c r="AK1344" s="110"/>
      <c r="AL1344" s="98"/>
      <c r="AM1344" s="69"/>
      <c r="AN1344" s="13"/>
      <c r="AO1344" s="13"/>
      <c r="AP1344" s="13"/>
      <c r="AQ1344" s="13"/>
      <c r="AR1344" s="13"/>
      <c r="AS1344" s="13"/>
      <c r="AT1344" s="13"/>
      <c r="AU1344" s="13"/>
      <c r="AV1344" s="13"/>
      <c r="AW1344" s="13"/>
      <c r="AX1344" s="13"/>
      <c r="AY1344" s="13"/>
      <c r="AZ1344" s="13"/>
      <c r="BA1344" s="13"/>
      <c r="BB1344" s="13"/>
      <c r="BC1344" s="13"/>
      <c r="BD1344" s="13"/>
      <c r="BE1344" s="13"/>
      <c r="BF1344" s="13"/>
      <c r="BG1344" s="13"/>
    </row>
    <row r="1345">
      <c r="A1345" s="69"/>
      <c r="B1345" s="69"/>
      <c r="C1345" s="13"/>
      <c r="D1345" s="99"/>
      <c r="E1345" s="13"/>
      <c r="F1345" s="99"/>
      <c r="G1345" s="69"/>
      <c r="H1345" s="98"/>
      <c r="J1345" s="69"/>
      <c r="K1345" s="99"/>
      <c r="L1345" s="389"/>
      <c r="M1345" s="182"/>
      <c r="N1345" s="375"/>
      <c r="O1345" s="378"/>
      <c r="P1345" s="13"/>
      <c r="Q1345" s="13"/>
      <c r="R1345" s="13"/>
      <c r="S1345" s="98"/>
      <c r="T1345" s="69"/>
      <c r="U1345" s="69"/>
      <c r="V1345" s="13"/>
      <c r="W1345" s="13"/>
      <c r="X1345" s="379"/>
      <c r="Y1345" s="150"/>
      <c r="Z1345" s="150"/>
      <c r="AA1345" s="150"/>
      <c r="AB1345" s="150"/>
      <c r="AC1345" s="150"/>
      <c r="AD1345" s="381"/>
      <c r="AE1345" s="150"/>
      <c r="AF1345" s="110"/>
      <c r="AG1345" s="110"/>
      <c r="AH1345" s="69"/>
      <c r="AI1345" s="105"/>
      <c r="AJ1345" s="98"/>
      <c r="AK1345" s="110"/>
      <c r="AL1345" s="98"/>
      <c r="AM1345" s="69"/>
      <c r="AN1345" s="13"/>
      <c r="AO1345" s="13"/>
      <c r="AP1345" s="13"/>
      <c r="AQ1345" s="13"/>
      <c r="AR1345" s="13"/>
      <c r="AS1345" s="13"/>
      <c r="AT1345" s="13"/>
      <c r="AU1345" s="13"/>
      <c r="AV1345" s="13"/>
      <c r="AW1345" s="13"/>
      <c r="AX1345" s="13"/>
      <c r="AY1345" s="13"/>
      <c r="AZ1345" s="13"/>
      <c r="BA1345" s="13"/>
      <c r="BB1345" s="13"/>
      <c r="BC1345" s="13"/>
      <c r="BD1345" s="13"/>
      <c r="BE1345" s="13"/>
      <c r="BF1345" s="13"/>
      <c r="BG1345" s="13"/>
    </row>
    <row r="1346">
      <c r="A1346" s="69"/>
      <c r="B1346" s="69"/>
      <c r="C1346" s="13"/>
      <c r="D1346" s="99"/>
      <c r="E1346" s="13"/>
      <c r="F1346" s="99"/>
      <c r="G1346" s="69"/>
      <c r="H1346" s="98"/>
      <c r="J1346" s="69"/>
      <c r="K1346" s="99"/>
      <c r="L1346" s="389"/>
      <c r="M1346" s="182"/>
      <c r="N1346" s="375"/>
      <c r="O1346" s="378"/>
      <c r="P1346" s="13"/>
      <c r="Q1346" s="13"/>
      <c r="R1346" s="13"/>
      <c r="S1346" s="98"/>
      <c r="T1346" s="69"/>
      <c r="U1346" s="69"/>
      <c r="V1346" s="13"/>
      <c r="W1346" s="13"/>
      <c r="X1346" s="379"/>
      <c r="Y1346" s="150"/>
      <c r="Z1346" s="150"/>
      <c r="AA1346" s="150"/>
      <c r="AB1346" s="150"/>
      <c r="AC1346" s="150"/>
      <c r="AD1346" s="381"/>
      <c r="AE1346" s="150"/>
      <c r="AF1346" s="110"/>
      <c r="AG1346" s="110"/>
      <c r="AH1346" s="69"/>
      <c r="AI1346" s="105"/>
      <c r="AJ1346" s="98"/>
      <c r="AK1346" s="110"/>
      <c r="AL1346" s="98"/>
      <c r="AM1346" s="69"/>
      <c r="AN1346" s="13"/>
      <c r="AO1346" s="13"/>
      <c r="AP1346" s="13"/>
      <c r="AQ1346" s="13"/>
      <c r="AR1346" s="13"/>
      <c r="AS1346" s="13"/>
      <c r="AT1346" s="13"/>
      <c r="AU1346" s="13"/>
      <c r="AV1346" s="13"/>
      <c r="AW1346" s="13"/>
      <c r="AX1346" s="13"/>
      <c r="AY1346" s="13"/>
      <c r="AZ1346" s="13"/>
      <c r="BA1346" s="13"/>
      <c r="BB1346" s="13"/>
      <c r="BC1346" s="13"/>
      <c r="BD1346" s="13"/>
      <c r="BE1346" s="13"/>
      <c r="BF1346" s="13"/>
      <c r="BG1346" s="13"/>
    </row>
    <row r="1347">
      <c r="A1347" s="69"/>
      <c r="B1347" s="69"/>
      <c r="C1347" s="13"/>
      <c r="D1347" s="99"/>
      <c r="E1347" s="13"/>
      <c r="F1347" s="99"/>
      <c r="G1347" s="69"/>
      <c r="H1347" s="98"/>
      <c r="J1347" s="69"/>
      <c r="K1347" s="99"/>
      <c r="L1347" s="389"/>
      <c r="M1347" s="182"/>
      <c r="N1347" s="375"/>
      <c r="O1347" s="378"/>
      <c r="P1347" s="13"/>
      <c r="Q1347" s="13"/>
      <c r="R1347" s="13"/>
      <c r="S1347" s="98"/>
      <c r="T1347" s="69"/>
      <c r="U1347" s="69"/>
      <c r="V1347" s="13"/>
      <c r="W1347" s="13"/>
      <c r="X1347" s="379"/>
      <c r="Y1347" s="150"/>
      <c r="Z1347" s="150"/>
      <c r="AA1347" s="150"/>
      <c r="AB1347" s="150"/>
      <c r="AC1347" s="150"/>
      <c r="AD1347" s="381"/>
      <c r="AE1347" s="150"/>
      <c r="AF1347" s="110"/>
      <c r="AG1347" s="110"/>
      <c r="AH1347" s="69"/>
      <c r="AI1347" s="105"/>
      <c r="AJ1347" s="98"/>
      <c r="AK1347" s="110"/>
      <c r="AL1347" s="98"/>
      <c r="AM1347" s="69"/>
      <c r="AN1347" s="13"/>
      <c r="AO1347" s="13"/>
      <c r="AP1347" s="13"/>
      <c r="AQ1347" s="13"/>
      <c r="AR1347" s="13"/>
      <c r="AS1347" s="13"/>
      <c r="AT1347" s="13"/>
      <c r="AU1347" s="13"/>
      <c r="AV1347" s="13"/>
      <c r="AW1347" s="13"/>
      <c r="AX1347" s="13"/>
      <c r="AY1347" s="13"/>
      <c r="AZ1347" s="13"/>
      <c r="BA1347" s="13"/>
      <c r="BB1347" s="13"/>
      <c r="BC1347" s="13"/>
      <c r="BD1347" s="13"/>
      <c r="BE1347" s="13"/>
      <c r="BF1347" s="13"/>
      <c r="BG1347" s="13"/>
    </row>
    <row r="1348">
      <c r="A1348" s="69"/>
      <c r="B1348" s="69"/>
      <c r="C1348" s="13"/>
      <c r="D1348" s="99"/>
      <c r="E1348" s="13"/>
      <c r="F1348" s="99"/>
      <c r="G1348" s="69"/>
      <c r="H1348" s="98"/>
      <c r="J1348" s="69"/>
      <c r="K1348" s="99"/>
      <c r="L1348" s="389"/>
      <c r="M1348" s="182"/>
      <c r="N1348" s="375"/>
      <c r="O1348" s="378"/>
      <c r="P1348" s="13"/>
      <c r="Q1348" s="13"/>
      <c r="R1348" s="13"/>
      <c r="S1348" s="98"/>
      <c r="T1348" s="69"/>
      <c r="U1348" s="69"/>
      <c r="V1348" s="13"/>
      <c r="W1348" s="13"/>
      <c r="X1348" s="379"/>
      <c r="Y1348" s="150"/>
      <c r="Z1348" s="150"/>
      <c r="AA1348" s="150"/>
      <c r="AB1348" s="150"/>
      <c r="AC1348" s="150"/>
      <c r="AD1348" s="381"/>
      <c r="AE1348" s="150"/>
      <c r="AF1348" s="110"/>
      <c r="AG1348" s="110"/>
      <c r="AH1348" s="69"/>
      <c r="AI1348" s="105"/>
      <c r="AJ1348" s="98"/>
      <c r="AK1348" s="110"/>
      <c r="AL1348" s="98"/>
      <c r="AM1348" s="69"/>
      <c r="AN1348" s="13"/>
      <c r="AO1348" s="13"/>
      <c r="AP1348" s="13"/>
      <c r="AQ1348" s="13"/>
      <c r="AR1348" s="13"/>
      <c r="AS1348" s="13"/>
      <c r="AT1348" s="13"/>
      <c r="AU1348" s="13"/>
      <c r="AV1348" s="13"/>
      <c r="AW1348" s="13"/>
      <c r="AX1348" s="13"/>
      <c r="AY1348" s="13"/>
      <c r="AZ1348" s="13"/>
      <c r="BA1348" s="13"/>
      <c r="BB1348" s="13"/>
      <c r="BC1348" s="13"/>
      <c r="BD1348" s="13"/>
      <c r="BE1348" s="13"/>
      <c r="BF1348" s="13"/>
      <c r="BG1348" s="13"/>
    </row>
    <row r="1349">
      <c r="A1349" s="69"/>
      <c r="B1349" s="69"/>
      <c r="C1349" s="13"/>
      <c r="D1349" s="99"/>
      <c r="E1349" s="13"/>
      <c r="F1349" s="99"/>
      <c r="G1349" s="69"/>
      <c r="H1349" s="98"/>
      <c r="J1349" s="69"/>
      <c r="K1349" s="99"/>
      <c r="L1349" s="389"/>
      <c r="M1349" s="182"/>
      <c r="N1349" s="375"/>
      <c r="O1349" s="378"/>
      <c r="P1349" s="13"/>
      <c r="Q1349" s="13"/>
      <c r="R1349" s="13"/>
      <c r="S1349" s="98"/>
      <c r="T1349" s="69"/>
      <c r="U1349" s="69"/>
      <c r="V1349" s="13"/>
      <c r="W1349" s="13"/>
      <c r="X1349" s="379"/>
      <c r="Y1349" s="150"/>
      <c r="Z1349" s="150"/>
      <c r="AA1349" s="150"/>
      <c r="AB1349" s="150"/>
      <c r="AC1349" s="150"/>
      <c r="AD1349" s="381"/>
      <c r="AE1349" s="150"/>
      <c r="AF1349" s="110"/>
      <c r="AG1349" s="110"/>
      <c r="AH1349" s="69"/>
      <c r="AI1349" s="105"/>
      <c r="AJ1349" s="98"/>
      <c r="AK1349" s="110"/>
      <c r="AL1349" s="98"/>
      <c r="AM1349" s="69"/>
      <c r="AN1349" s="13"/>
      <c r="AO1349" s="13"/>
      <c r="AP1349" s="13"/>
      <c r="AQ1349" s="13"/>
      <c r="AR1349" s="13"/>
      <c r="AS1349" s="13"/>
      <c r="AT1349" s="13"/>
      <c r="AU1349" s="13"/>
      <c r="AV1349" s="13"/>
      <c r="AW1349" s="13"/>
      <c r="AX1349" s="13"/>
      <c r="AY1349" s="13"/>
      <c r="AZ1349" s="13"/>
      <c r="BA1349" s="13"/>
      <c r="BB1349" s="13"/>
      <c r="BC1349" s="13"/>
      <c r="BD1349" s="13"/>
      <c r="BE1349" s="13"/>
      <c r="BF1349" s="13"/>
      <c r="BG1349" s="13"/>
    </row>
    <row r="1350">
      <c r="A1350" s="69"/>
      <c r="B1350" s="69"/>
      <c r="C1350" s="13"/>
      <c r="D1350" s="99"/>
      <c r="E1350" s="13"/>
      <c r="F1350" s="99"/>
      <c r="G1350" s="69"/>
      <c r="H1350" s="98"/>
      <c r="J1350" s="69"/>
      <c r="K1350" s="99"/>
      <c r="L1350" s="389"/>
      <c r="M1350" s="182"/>
      <c r="N1350" s="375"/>
      <c r="O1350" s="378"/>
      <c r="P1350" s="13"/>
      <c r="Q1350" s="13"/>
      <c r="R1350" s="13"/>
      <c r="S1350" s="98"/>
      <c r="T1350" s="69"/>
      <c r="U1350" s="69"/>
      <c r="V1350" s="13"/>
      <c r="W1350" s="13"/>
      <c r="X1350" s="379"/>
      <c r="Y1350" s="150"/>
      <c r="Z1350" s="150"/>
      <c r="AA1350" s="150"/>
      <c r="AB1350" s="150"/>
      <c r="AC1350" s="150"/>
      <c r="AD1350" s="381"/>
      <c r="AE1350" s="150"/>
      <c r="AF1350" s="110"/>
      <c r="AG1350" s="110"/>
      <c r="AH1350" s="69"/>
      <c r="AI1350" s="105"/>
      <c r="AJ1350" s="98"/>
      <c r="AK1350" s="110"/>
      <c r="AL1350" s="98"/>
      <c r="AM1350" s="69"/>
      <c r="AN1350" s="13"/>
      <c r="AO1350" s="13"/>
      <c r="AP1350" s="13"/>
      <c r="AQ1350" s="13"/>
      <c r="AR1350" s="13"/>
      <c r="AS1350" s="13"/>
      <c r="AT1350" s="13"/>
      <c r="AU1350" s="13"/>
      <c r="AV1350" s="13"/>
      <c r="AW1350" s="13"/>
      <c r="AX1350" s="13"/>
      <c r="AY1350" s="13"/>
      <c r="AZ1350" s="13"/>
      <c r="BA1350" s="13"/>
      <c r="BB1350" s="13"/>
      <c r="BC1350" s="13"/>
      <c r="BD1350" s="13"/>
      <c r="BE1350" s="13"/>
      <c r="BF1350" s="13"/>
      <c r="BG1350" s="13"/>
    </row>
    <row r="1351">
      <c r="A1351" s="69"/>
      <c r="B1351" s="69"/>
      <c r="C1351" s="13"/>
      <c r="D1351" s="99"/>
      <c r="E1351" s="13"/>
      <c r="F1351" s="99"/>
      <c r="G1351" s="69"/>
      <c r="H1351" s="98"/>
      <c r="J1351" s="69"/>
      <c r="K1351" s="99"/>
      <c r="L1351" s="389"/>
      <c r="M1351" s="182"/>
      <c r="N1351" s="375"/>
      <c r="O1351" s="378"/>
      <c r="P1351" s="13"/>
      <c r="Q1351" s="13"/>
      <c r="R1351" s="13"/>
      <c r="S1351" s="98"/>
      <c r="T1351" s="69"/>
      <c r="U1351" s="69"/>
      <c r="V1351" s="13"/>
      <c r="W1351" s="13"/>
      <c r="X1351" s="379"/>
      <c r="Y1351" s="150"/>
      <c r="Z1351" s="150"/>
      <c r="AA1351" s="150"/>
      <c r="AB1351" s="150"/>
      <c r="AC1351" s="150"/>
      <c r="AD1351" s="381"/>
      <c r="AE1351" s="150"/>
      <c r="AF1351" s="110"/>
      <c r="AG1351" s="110"/>
      <c r="AH1351" s="69"/>
      <c r="AI1351" s="105"/>
      <c r="AJ1351" s="98"/>
      <c r="AK1351" s="110"/>
      <c r="AL1351" s="98"/>
      <c r="AM1351" s="69"/>
      <c r="AN1351" s="13"/>
      <c r="AO1351" s="13"/>
      <c r="AP1351" s="13"/>
      <c r="AQ1351" s="13"/>
      <c r="AR1351" s="13"/>
      <c r="AS1351" s="13"/>
      <c r="AT1351" s="13"/>
      <c r="AU1351" s="13"/>
      <c r="AV1351" s="13"/>
      <c r="AW1351" s="13"/>
      <c r="AX1351" s="13"/>
      <c r="AY1351" s="13"/>
      <c r="AZ1351" s="13"/>
      <c r="BA1351" s="13"/>
      <c r="BB1351" s="13"/>
      <c r="BC1351" s="13"/>
      <c r="BD1351" s="13"/>
      <c r="BE1351" s="13"/>
      <c r="BF1351" s="13"/>
      <c r="BG1351" s="13"/>
    </row>
    <row r="1352">
      <c r="A1352" s="69"/>
      <c r="B1352" s="69"/>
      <c r="C1352" s="13"/>
      <c r="D1352" s="99"/>
      <c r="E1352" s="13"/>
      <c r="F1352" s="99"/>
      <c r="G1352" s="69"/>
      <c r="H1352" s="98"/>
      <c r="J1352" s="69"/>
      <c r="K1352" s="99"/>
      <c r="L1352" s="389"/>
      <c r="M1352" s="182"/>
      <c r="N1352" s="375"/>
      <c r="O1352" s="378"/>
      <c r="P1352" s="13"/>
      <c r="Q1352" s="13"/>
      <c r="R1352" s="13"/>
      <c r="S1352" s="98"/>
      <c r="T1352" s="69"/>
      <c r="U1352" s="69"/>
      <c r="V1352" s="13"/>
      <c r="W1352" s="13"/>
      <c r="X1352" s="379"/>
      <c r="Y1352" s="150"/>
      <c r="Z1352" s="150"/>
      <c r="AA1352" s="150"/>
      <c r="AB1352" s="150"/>
      <c r="AC1352" s="150"/>
      <c r="AD1352" s="381"/>
      <c r="AE1352" s="150"/>
      <c r="AF1352" s="110"/>
      <c r="AG1352" s="110"/>
      <c r="AH1352" s="69"/>
      <c r="AI1352" s="105"/>
      <c r="AJ1352" s="98"/>
      <c r="AK1352" s="110"/>
      <c r="AL1352" s="98"/>
      <c r="AM1352" s="69"/>
      <c r="AN1352" s="13"/>
      <c r="AO1352" s="13"/>
      <c r="AP1352" s="13"/>
      <c r="AQ1352" s="13"/>
      <c r="AR1352" s="13"/>
      <c r="AS1352" s="13"/>
      <c r="AT1352" s="13"/>
      <c r="AU1352" s="13"/>
      <c r="AV1352" s="13"/>
      <c r="AW1352" s="13"/>
      <c r="AX1352" s="13"/>
      <c r="AY1352" s="13"/>
      <c r="AZ1352" s="13"/>
      <c r="BA1352" s="13"/>
      <c r="BB1352" s="13"/>
      <c r="BC1352" s="13"/>
      <c r="BD1352" s="13"/>
      <c r="BE1352" s="13"/>
      <c r="BF1352" s="13"/>
      <c r="BG1352" s="13"/>
    </row>
    <row r="1353">
      <c r="A1353" s="69"/>
      <c r="B1353" s="69"/>
      <c r="C1353" s="13"/>
      <c r="D1353" s="99"/>
      <c r="E1353" s="13"/>
      <c r="F1353" s="99"/>
      <c r="G1353" s="69"/>
      <c r="H1353" s="98"/>
      <c r="J1353" s="69"/>
      <c r="K1353" s="99"/>
      <c r="L1353" s="389"/>
      <c r="M1353" s="182"/>
      <c r="N1353" s="375"/>
      <c r="O1353" s="378"/>
      <c r="P1353" s="13"/>
      <c r="Q1353" s="13"/>
      <c r="R1353" s="13"/>
      <c r="S1353" s="98"/>
      <c r="T1353" s="69"/>
      <c r="U1353" s="69"/>
      <c r="V1353" s="13"/>
      <c r="W1353" s="13"/>
      <c r="X1353" s="379"/>
      <c r="Y1353" s="150"/>
      <c r="Z1353" s="150"/>
      <c r="AA1353" s="150"/>
      <c r="AB1353" s="150"/>
      <c r="AC1353" s="150"/>
      <c r="AD1353" s="381"/>
      <c r="AE1353" s="150"/>
      <c r="AF1353" s="110"/>
      <c r="AG1353" s="110"/>
      <c r="AH1353" s="69"/>
      <c r="AI1353" s="105"/>
      <c r="AJ1353" s="98"/>
      <c r="AK1353" s="110"/>
      <c r="AL1353" s="98"/>
      <c r="AM1353" s="69"/>
      <c r="AN1353" s="13"/>
      <c r="AO1353" s="13"/>
      <c r="AP1353" s="13"/>
      <c r="AQ1353" s="13"/>
      <c r="AR1353" s="13"/>
      <c r="AS1353" s="13"/>
      <c r="AT1353" s="13"/>
      <c r="AU1353" s="13"/>
      <c r="AV1353" s="13"/>
      <c r="AW1353" s="13"/>
      <c r="AX1353" s="13"/>
      <c r="AY1353" s="13"/>
      <c r="AZ1353" s="13"/>
      <c r="BA1353" s="13"/>
      <c r="BB1353" s="13"/>
      <c r="BC1353" s="13"/>
      <c r="BD1353" s="13"/>
      <c r="BE1353" s="13"/>
      <c r="BF1353" s="13"/>
      <c r="BG1353" s="13"/>
    </row>
    <row r="1354">
      <c r="A1354" s="69"/>
      <c r="B1354" s="69"/>
      <c r="C1354" s="13"/>
      <c r="D1354" s="99"/>
      <c r="E1354" s="13"/>
      <c r="F1354" s="99"/>
      <c r="G1354" s="69"/>
      <c r="H1354" s="98"/>
      <c r="J1354" s="69"/>
      <c r="K1354" s="99"/>
      <c r="L1354" s="389"/>
      <c r="M1354" s="182"/>
      <c r="N1354" s="375"/>
      <c r="O1354" s="378"/>
      <c r="P1354" s="13"/>
      <c r="Q1354" s="13"/>
      <c r="R1354" s="13"/>
      <c r="S1354" s="98"/>
      <c r="T1354" s="69"/>
      <c r="U1354" s="69"/>
      <c r="V1354" s="13"/>
      <c r="W1354" s="13"/>
      <c r="X1354" s="379"/>
      <c r="Y1354" s="150"/>
      <c r="Z1354" s="150"/>
      <c r="AA1354" s="150"/>
      <c r="AB1354" s="150"/>
      <c r="AC1354" s="150"/>
      <c r="AD1354" s="381"/>
      <c r="AE1354" s="150"/>
      <c r="AF1354" s="110"/>
      <c r="AG1354" s="110"/>
      <c r="AH1354" s="69"/>
      <c r="AI1354" s="105"/>
      <c r="AJ1354" s="98"/>
      <c r="AK1354" s="110"/>
      <c r="AL1354" s="98"/>
      <c r="AM1354" s="69"/>
      <c r="AN1354" s="13"/>
      <c r="AO1354" s="13"/>
      <c r="AP1354" s="13"/>
      <c r="AQ1354" s="13"/>
      <c r="AR1354" s="13"/>
      <c r="AS1354" s="13"/>
      <c r="AT1354" s="13"/>
      <c r="AU1354" s="13"/>
      <c r="AV1354" s="13"/>
      <c r="AW1354" s="13"/>
      <c r="AX1354" s="13"/>
      <c r="AY1354" s="13"/>
      <c r="AZ1354" s="13"/>
      <c r="BA1354" s="13"/>
      <c r="BB1354" s="13"/>
      <c r="BC1354" s="13"/>
      <c r="BD1354" s="13"/>
      <c r="BE1354" s="13"/>
      <c r="BF1354" s="13"/>
      <c r="BG1354" s="13"/>
    </row>
    <row r="1355">
      <c r="A1355" s="69"/>
      <c r="B1355" s="69"/>
      <c r="C1355" s="13"/>
      <c r="D1355" s="99"/>
      <c r="E1355" s="13"/>
      <c r="F1355" s="99"/>
      <c r="G1355" s="69"/>
      <c r="H1355" s="98"/>
      <c r="J1355" s="69"/>
      <c r="K1355" s="99"/>
      <c r="L1355" s="389"/>
      <c r="M1355" s="182"/>
      <c r="N1355" s="375"/>
      <c r="O1355" s="378"/>
      <c r="P1355" s="13"/>
      <c r="Q1355" s="13"/>
      <c r="R1355" s="13"/>
      <c r="S1355" s="98"/>
      <c r="T1355" s="69"/>
      <c r="U1355" s="69"/>
      <c r="V1355" s="13"/>
      <c r="W1355" s="13"/>
      <c r="X1355" s="379"/>
      <c r="Y1355" s="150"/>
      <c r="Z1355" s="150"/>
      <c r="AA1355" s="150"/>
      <c r="AB1355" s="150"/>
      <c r="AC1355" s="150"/>
      <c r="AD1355" s="381"/>
      <c r="AE1355" s="150"/>
      <c r="AF1355" s="110"/>
      <c r="AG1355" s="110"/>
      <c r="AH1355" s="69"/>
      <c r="AI1355" s="105"/>
      <c r="AJ1355" s="98"/>
      <c r="AK1355" s="110"/>
      <c r="AL1355" s="98"/>
      <c r="AM1355" s="69"/>
      <c r="AN1355" s="13"/>
      <c r="AO1355" s="13"/>
      <c r="AP1355" s="13"/>
      <c r="AQ1355" s="13"/>
      <c r="AR1355" s="13"/>
      <c r="AS1355" s="13"/>
      <c r="AT1355" s="13"/>
      <c r="AU1355" s="13"/>
      <c r="AV1355" s="13"/>
      <c r="AW1355" s="13"/>
      <c r="AX1355" s="13"/>
      <c r="AY1355" s="13"/>
      <c r="AZ1355" s="13"/>
      <c r="BA1355" s="13"/>
      <c r="BB1355" s="13"/>
      <c r="BC1355" s="13"/>
      <c r="BD1355" s="13"/>
      <c r="BE1355" s="13"/>
      <c r="BF1355" s="13"/>
      <c r="BG1355" s="13"/>
    </row>
    <row r="1356">
      <c r="A1356" s="69"/>
      <c r="B1356" s="69"/>
      <c r="C1356" s="13"/>
      <c r="D1356" s="99"/>
      <c r="E1356" s="13"/>
      <c r="F1356" s="99"/>
      <c r="G1356" s="69"/>
      <c r="H1356" s="98"/>
      <c r="J1356" s="69"/>
      <c r="K1356" s="99"/>
      <c r="L1356" s="389"/>
      <c r="M1356" s="182"/>
      <c r="N1356" s="375"/>
      <c r="O1356" s="378"/>
      <c r="P1356" s="13"/>
      <c r="Q1356" s="13"/>
      <c r="R1356" s="13"/>
      <c r="S1356" s="98"/>
      <c r="T1356" s="69"/>
      <c r="U1356" s="69"/>
      <c r="V1356" s="13"/>
      <c r="W1356" s="13"/>
      <c r="X1356" s="379"/>
      <c r="Y1356" s="150"/>
      <c r="Z1356" s="150"/>
      <c r="AA1356" s="150"/>
      <c r="AB1356" s="150"/>
      <c r="AC1356" s="150"/>
      <c r="AD1356" s="381"/>
      <c r="AE1356" s="150"/>
      <c r="AF1356" s="110"/>
      <c r="AG1356" s="110"/>
      <c r="AH1356" s="69"/>
      <c r="AI1356" s="105"/>
      <c r="AJ1356" s="98"/>
      <c r="AK1356" s="110"/>
      <c r="AL1356" s="98"/>
      <c r="AM1356" s="69"/>
      <c r="AN1356" s="13"/>
      <c r="AO1356" s="13"/>
      <c r="AP1356" s="13"/>
      <c r="AQ1356" s="13"/>
      <c r="AR1356" s="13"/>
      <c r="AS1356" s="13"/>
      <c r="AT1356" s="13"/>
      <c r="AU1356" s="13"/>
      <c r="AV1356" s="13"/>
      <c r="AW1356" s="13"/>
      <c r="AX1356" s="13"/>
      <c r="AY1356" s="13"/>
      <c r="AZ1356" s="13"/>
      <c r="BA1356" s="13"/>
      <c r="BB1356" s="13"/>
      <c r="BC1356" s="13"/>
      <c r="BD1356" s="13"/>
      <c r="BE1356" s="13"/>
      <c r="BF1356" s="13"/>
      <c r="BG1356" s="13"/>
    </row>
    <row r="1357">
      <c r="A1357" s="69"/>
      <c r="B1357" s="69"/>
      <c r="C1357" s="13"/>
      <c r="D1357" s="99"/>
      <c r="E1357" s="13"/>
      <c r="F1357" s="99"/>
      <c r="G1357" s="69"/>
      <c r="H1357" s="98"/>
      <c r="J1357" s="69"/>
      <c r="K1357" s="99"/>
      <c r="L1357" s="389"/>
      <c r="M1357" s="182"/>
      <c r="N1357" s="375"/>
      <c r="O1357" s="378"/>
      <c r="P1357" s="13"/>
      <c r="Q1357" s="13"/>
      <c r="R1357" s="13"/>
      <c r="S1357" s="98"/>
      <c r="T1357" s="69"/>
      <c r="U1357" s="69"/>
      <c r="V1357" s="13"/>
      <c r="W1357" s="13"/>
      <c r="X1357" s="379"/>
      <c r="Y1357" s="150"/>
      <c r="Z1357" s="150"/>
      <c r="AA1357" s="150"/>
      <c r="AB1357" s="150"/>
      <c r="AC1357" s="150"/>
      <c r="AD1357" s="381"/>
      <c r="AE1357" s="150"/>
      <c r="AF1357" s="110"/>
      <c r="AG1357" s="110"/>
      <c r="AH1357" s="69"/>
      <c r="AI1357" s="105"/>
      <c r="AJ1357" s="98"/>
      <c r="AK1357" s="110"/>
      <c r="AL1357" s="98"/>
      <c r="AM1357" s="69"/>
      <c r="AN1357" s="13"/>
      <c r="AO1357" s="13"/>
      <c r="AP1357" s="13"/>
      <c r="AQ1357" s="13"/>
      <c r="AR1357" s="13"/>
      <c r="AS1357" s="13"/>
      <c r="AT1357" s="13"/>
      <c r="AU1357" s="13"/>
      <c r="AV1357" s="13"/>
      <c r="AW1357" s="13"/>
      <c r="AX1357" s="13"/>
      <c r="AY1357" s="13"/>
      <c r="AZ1357" s="13"/>
      <c r="BA1357" s="13"/>
      <c r="BB1357" s="13"/>
      <c r="BC1357" s="13"/>
      <c r="BD1357" s="13"/>
      <c r="BE1357" s="13"/>
      <c r="BF1357" s="13"/>
      <c r="BG1357" s="13"/>
    </row>
    <row r="1358">
      <c r="A1358" s="69"/>
      <c r="B1358" s="69"/>
      <c r="C1358" s="13"/>
      <c r="D1358" s="99"/>
      <c r="E1358" s="13"/>
      <c r="F1358" s="99"/>
      <c r="G1358" s="69"/>
      <c r="H1358" s="98"/>
      <c r="J1358" s="69"/>
      <c r="K1358" s="99"/>
      <c r="L1358" s="389"/>
      <c r="M1358" s="182"/>
      <c r="N1358" s="375"/>
      <c r="O1358" s="378"/>
      <c r="P1358" s="13"/>
      <c r="Q1358" s="13"/>
      <c r="R1358" s="13"/>
      <c r="S1358" s="98"/>
      <c r="T1358" s="69"/>
      <c r="U1358" s="69"/>
      <c r="V1358" s="13"/>
      <c r="W1358" s="13"/>
      <c r="X1358" s="379"/>
      <c r="Y1358" s="150"/>
      <c r="Z1358" s="150"/>
      <c r="AA1358" s="150"/>
      <c r="AB1358" s="150"/>
      <c r="AC1358" s="150"/>
      <c r="AD1358" s="381"/>
      <c r="AE1358" s="150"/>
      <c r="AF1358" s="110"/>
      <c r="AG1358" s="110"/>
      <c r="AH1358" s="69"/>
      <c r="AI1358" s="105"/>
      <c r="AJ1358" s="98"/>
      <c r="AK1358" s="110"/>
      <c r="AL1358" s="98"/>
      <c r="AM1358" s="69"/>
      <c r="AN1358" s="13"/>
      <c r="AO1358" s="13"/>
      <c r="AP1358" s="13"/>
      <c r="AQ1358" s="13"/>
      <c r="AR1358" s="13"/>
      <c r="AS1358" s="13"/>
      <c r="AT1358" s="13"/>
      <c r="AU1358" s="13"/>
      <c r="AV1358" s="13"/>
      <c r="AW1358" s="13"/>
      <c r="AX1358" s="13"/>
      <c r="AY1358" s="13"/>
      <c r="AZ1358" s="13"/>
      <c r="BA1358" s="13"/>
      <c r="BB1358" s="13"/>
      <c r="BC1358" s="13"/>
      <c r="BD1358" s="13"/>
      <c r="BE1358" s="13"/>
      <c r="BF1358" s="13"/>
      <c r="BG1358" s="13"/>
    </row>
    <row r="1359">
      <c r="A1359" s="69"/>
      <c r="B1359" s="69"/>
      <c r="C1359" s="13"/>
      <c r="D1359" s="99"/>
      <c r="E1359" s="13"/>
      <c r="F1359" s="99"/>
      <c r="G1359" s="69"/>
      <c r="H1359" s="98"/>
      <c r="J1359" s="69"/>
      <c r="K1359" s="99"/>
      <c r="L1359" s="389"/>
      <c r="M1359" s="182"/>
      <c r="N1359" s="375"/>
      <c r="O1359" s="378"/>
      <c r="P1359" s="13"/>
      <c r="Q1359" s="13"/>
      <c r="R1359" s="13"/>
      <c r="S1359" s="98"/>
      <c r="T1359" s="69"/>
      <c r="U1359" s="69"/>
      <c r="V1359" s="13"/>
      <c r="W1359" s="13"/>
      <c r="X1359" s="379"/>
      <c r="Y1359" s="150"/>
      <c r="Z1359" s="150"/>
      <c r="AA1359" s="150"/>
      <c r="AB1359" s="150"/>
      <c r="AC1359" s="150"/>
      <c r="AD1359" s="381"/>
      <c r="AE1359" s="150"/>
      <c r="AF1359" s="110"/>
      <c r="AG1359" s="110"/>
      <c r="AH1359" s="69"/>
      <c r="AI1359" s="105"/>
      <c r="AJ1359" s="98"/>
      <c r="AK1359" s="110"/>
      <c r="AL1359" s="98"/>
      <c r="AM1359" s="69"/>
      <c r="AN1359" s="13"/>
      <c r="AO1359" s="13"/>
      <c r="AP1359" s="13"/>
      <c r="AQ1359" s="13"/>
      <c r="AR1359" s="13"/>
      <c r="AS1359" s="13"/>
      <c r="AT1359" s="13"/>
      <c r="AU1359" s="13"/>
      <c r="AV1359" s="13"/>
      <c r="AW1359" s="13"/>
      <c r="AX1359" s="13"/>
      <c r="AY1359" s="13"/>
      <c r="AZ1359" s="13"/>
      <c r="BA1359" s="13"/>
      <c r="BB1359" s="13"/>
      <c r="BC1359" s="13"/>
      <c r="BD1359" s="13"/>
      <c r="BE1359" s="13"/>
      <c r="BF1359" s="13"/>
      <c r="BG1359" s="13"/>
    </row>
    <row r="1360">
      <c r="A1360" s="69"/>
      <c r="B1360" s="69"/>
      <c r="C1360" s="13"/>
      <c r="D1360" s="99"/>
      <c r="E1360" s="13"/>
      <c r="F1360" s="99"/>
      <c r="G1360" s="69"/>
      <c r="H1360" s="98"/>
      <c r="J1360" s="69"/>
      <c r="K1360" s="99"/>
      <c r="L1360" s="389"/>
      <c r="M1360" s="182"/>
      <c r="N1360" s="375"/>
      <c r="O1360" s="378"/>
      <c r="P1360" s="13"/>
      <c r="Q1360" s="13"/>
      <c r="R1360" s="13"/>
      <c r="S1360" s="98"/>
      <c r="T1360" s="69"/>
      <c r="U1360" s="69"/>
      <c r="V1360" s="13"/>
      <c r="W1360" s="13"/>
      <c r="X1360" s="379"/>
      <c r="Y1360" s="150"/>
      <c r="Z1360" s="150"/>
      <c r="AA1360" s="150"/>
      <c r="AB1360" s="150"/>
      <c r="AC1360" s="150"/>
      <c r="AD1360" s="381"/>
      <c r="AE1360" s="150"/>
      <c r="AF1360" s="110"/>
      <c r="AG1360" s="110"/>
      <c r="AH1360" s="69"/>
      <c r="AI1360" s="105"/>
      <c r="AJ1360" s="98"/>
      <c r="AK1360" s="110"/>
      <c r="AL1360" s="98"/>
      <c r="AM1360" s="69"/>
      <c r="AN1360" s="13"/>
      <c r="AO1360" s="13"/>
      <c r="AP1360" s="13"/>
      <c r="AQ1360" s="13"/>
      <c r="AR1360" s="13"/>
      <c r="AS1360" s="13"/>
      <c r="AT1360" s="13"/>
      <c r="AU1360" s="13"/>
      <c r="AV1360" s="13"/>
      <c r="AW1360" s="13"/>
      <c r="AX1360" s="13"/>
      <c r="AY1360" s="13"/>
      <c r="AZ1360" s="13"/>
      <c r="BA1360" s="13"/>
      <c r="BB1360" s="13"/>
      <c r="BC1360" s="13"/>
      <c r="BD1360" s="13"/>
      <c r="BE1360" s="13"/>
      <c r="BF1360" s="13"/>
      <c r="BG1360" s="13"/>
    </row>
    <row r="1361">
      <c r="A1361" s="69"/>
      <c r="B1361" s="69"/>
      <c r="C1361" s="13"/>
      <c r="D1361" s="99"/>
      <c r="E1361" s="13"/>
      <c r="F1361" s="99"/>
      <c r="G1361" s="69"/>
      <c r="H1361" s="98"/>
      <c r="J1361" s="69"/>
      <c r="K1361" s="99"/>
      <c r="L1361" s="389"/>
      <c r="M1361" s="182"/>
      <c r="N1361" s="375"/>
      <c r="O1361" s="378"/>
      <c r="P1361" s="13"/>
      <c r="Q1361" s="13"/>
      <c r="R1361" s="13"/>
      <c r="S1361" s="98"/>
      <c r="T1361" s="69"/>
      <c r="U1361" s="69"/>
      <c r="V1361" s="13"/>
      <c r="W1361" s="13"/>
      <c r="X1361" s="379"/>
      <c r="Y1361" s="150"/>
      <c r="Z1361" s="150"/>
      <c r="AA1361" s="150"/>
      <c r="AB1361" s="150"/>
      <c r="AC1361" s="150"/>
      <c r="AD1361" s="381"/>
      <c r="AE1361" s="150"/>
      <c r="AF1361" s="110"/>
      <c r="AG1361" s="110"/>
      <c r="AH1361" s="69"/>
      <c r="AI1361" s="105"/>
      <c r="AJ1361" s="98"/>
      <c r="AK1361" s="110"/>
      <c r="AL1361" s="98"/>
      <c r="AM1361" s="69"/>
      <c r="AN1361" s="13"/>
      <c r="AO1361" s="13"/>
      <c r="AP1361" s="13"/>
      <c r="AQ1361" s="13"/>
      <c r="AR1361" s="13"/>
      <c r="AS1361" s="13"/>
      <c r="AT1361" s="13"/>
      <c r="AU1361" s="13"/>
      <c r="AV1361" s="13"/>
      <c r="AW1361" s="13"/>
      <c r="AX1361" s="13"/>
      <c r="AY1361" s="13"/>
      <c r="AZ1361" s="13"/>
      <c r="BA1361" s="13"/>
      <c r="BB1361" s="13"/>
      <c r="BC1361" s="13"/>
      <c r="BD1361" s="13"/>
      <c r="BE1361" s="13"/>
      <c r="BF1361" s="13"/>
      <c r="BG1361" s="13"/>
    </row>
    <row r="1362">
      <c r="A1362" s="69"/>
      <c r="B1362" s="69"/>
      <c r="C1362" s="13"/>
      <c r="D1362" s="99"/>
      <c r="E1362" s="13"/>
      <c r="F1362" s="99"/>
      <c r="G1362" s="69"/>
      <c r="H1362" s="98"/>
      <c r="J1362" s="69"/>
      <c r="K1362" s="99"/>
      <c r="L1362" s="389"/>
      <c r="M1362" s="182"/>
      <c r="N1362" s="375"/>
      <c r="O1362" s="378"/>
      <c r="P1362" s="13"/>
      <c r="Q1362" s="13"/>
      <c r="R1362" s="13"/>
      <c r="S1362" s="98"/>
      <c r="T1362" s="69"/>
      <c r="U1362" s="69"/>
      <c r="V1362" s="13"/>
      <c r="W1362" s="13"/>
      <c r="X1362" s="379"/>
      <c r="Y1362" s="150"/>
      <c r="Z1362" s="150"/>
      <c r="AA1362" s="150"/>
      <c r="AB1362" s="150"/>
      <c r="AC1362" s="150"/>
      <c r="AD1362" s="381"/>
      <c r="AE1362" s="150"/>
      <c r="AF1362" s="110"/>
      <c r="AG1362" s="110"/>
      <c r="AH1362" s="69"/>
      <c r="AI1362" s="105"/>
      <c r="AJ1362" s="98"/>
      <c r="AK1362" s="110"/>
      <c r="AL1362" s="98"/>
      <c r="AM1362" s="69"/>
      <c r="AN1362" s="13"/>
      <c r="AO1362" s="13"/>
      <c r="AP1362" s="13"/>
      <c r="AQ1362" s="13"/>
      <c r="AR1362" s="13"/>
      <c r="AS1362" s="13"/>
      <c r="AT1362" s="13"/>
      <c r="AU1362" s="13"/>
      <c r="AV1362" s="13"/>
      <c r="AW1362" s="13"/>
      <c r="AX1362" s="13"/>
      <c r="AY1362" s="13"/>
      <c r="AZ1362" s="13"/>
      <c r="BA1362" s="13"/>
      <c r="BB1362" s="13"/>
      <c r="BC1362" s="13"/>
      <c r="BD1362" s="13"/>
      <c r="BE1362" s="13"/>
      <c r="BF1362" s="13"/>
      <c r="BG1362" s="13"/>
    </row>
    <row r="1363">
      <c r="A1363" s="69"/>
      <c r="B1363" s="69"/>
      <c r="C1363" s="13"/>
      <c r="D1363" s="99"/>
      <c r="E1363" s="13"/>
      <c r="F1363" s="99"/>
      <c r="G1363" s="69"/>
      <c r="H1363" s="98"/>
      <c r="J1363" s="69"/>
      <c r="K1363" s="99"/>
      <c r="L1363" s="389"/>
      <c r="M1363" s="182"/>
      <c r="N1363" s="375"/>
      <c r="O1363" s="378"/>
      <c r="P1363" s="13"/>
      <c r="Q1363" s="13"/>
      <c r="R1363" s="13"/>
      <c r="S1363" s="98"/>
      <c r="T1363" s="69"/>
      <c r="U1363" s="69"/>
      <c r="V1363" s="13"/>
      <c r="W1363" s="13"/>
      <c r="X1363" s="379"/>
      <c r="Y1363" s="150"/>
      <c r="Z1363" s="150"/>
      <c r="AA1363" s="150"/>
      <c r="AB1363" s="150"/>
      <c r="AC1363" s="150"/>
      <c r="AD1363" s="381"/>
      <c r="AE1363" s="150"/>
      <c r="AF1363" s="110"/>
      <c r="AG1363" s="110"/>
      <c r="AH1363" s="69"/>
      <c r="AI1363" s="105"/>
      <c r="AJ1363" s="98"/>
      <c r="AK1363" s="110"/>
      <c r="AL1363" s="98"/>
      <c r="AM1363" s="69"/>
      <c r="AN1363" s="13"/>
      <c r="AO1363" s="13"/>
      <c r="AP1363" s="13"/>
      <c r="AQ1363" s="13"/>
      <c r="AR1363" s="13"/>
      <c r="AS1363" s="13"/>
      <c r="AT1363" s="13"/>
      <c r="AU1363" s="13"/>
      <c r="AV1363" s="13"/>
      <c r="AW1363" s="13"/>
      <c r="AX1363" s="13"/>
      <c r="AY1363" s="13"/>
      <c r="AZ1363" s="13"/>
      <c r="BA1363" s="13"/>
      <c r="BB1363" s="13"/>
      <c r="BC1363" s="13"/>
      <c r="BD1363" s="13"/>
      <c r="BE1363" s="13"/>
      <c r="BF1363" s="13"/>
      <c r="BG1363" s="13"/>
    </row>
    <row r="1364">
      <c r="A1364" s="69"/>
      <c r="B1364" s="69"/>
      <c r="C1364" s="13"/>
      <c r="D1364" s="99"/>
      <c r="E1364" s="13"/>
      <c r="F1364" s="99"/>
      <c r="G1364" s="69"/>
      <c r="H1364" s="98"/>
      <c r="J1364" s="69"/>
      <c r="K1364" s="99"/>
      <c r="L1364" s="389"/>
      <c r="M1364" s="182"/>
      <c r="N1364" s="375"/>
      <c r="O1364" s="378"/>
      <c r="P1364" s="13"/>
      <c r="Q1364" s="13"/>
      <c r="R1364" s="13"/>
      <c r="S1364" s="98"/>
      <c r="T1364" s="69"/>
      <c r="U1364" s="69"/>
      <c r="V1364" s="13"/>
      <c r="W1364" s="13"/>
      <c r="X1364" s="379"/>
      <c r="Y1364" s="150"/>
      <c r="Z1364" s="150"/>
      <c r="AA1364" s="150"/>
      <c r="AB1364" s="150"/>
      <c r="AC1364" s="150"/>
      <c r="AD1364" s="381"/>
      <c r="AE1364" s="150"/>
      <c r="AF1364" s="110"/>
      <c r="AG1364" s="110"/>
      <c r="AH1364" s="69"/>
      <c r="AI1364" s="105"/>
      <c r="AJ1364" s="98"/>
      <c r="AK1364" s="110"/>
      <c r="AL1364" s="98"/>
      <c r="AM1364" s="69"/>
      <c r="AN1364" s="13"/>
      <c r="AO1364" s="13"/>
      <c r="AP1364" s="13"/>
      <c r="AQ1364" s="13"/>
      <c r="AR1364" s="13"/>
      <c r="AS1364" s="13"/>
      <c r="AT1364" s="13"/>
      <c r="AU1364" s="13"/>
      <c r="AV1364" s="13"/>
      <c r="AW1364" s="13"/>
      <c r="AX1364" s="13"/>
      <c r="AY1364" s="13"/>
      <c r="AZ1364" s="13"/>
      <c r="BA1364" s="13"/>
      <c r="BB1364" s="13"/>
      <c r="BC1364" s="13"/>
      <c r="BD1364" s="13"/>
      <c r="BE1364" s="13"/>
      <c r="BF1364" s="13"/>
      <c r="BG1364" s="13"/>
    </row>
    <row r="1365">
      <c r="A1365" s="69"/>
      <c r="B1365" s="69"/>
      <c r="C1365" s="13"/>
      <c r="D1365" s="99"/>
      <c r="E1365" s="13"/>
      <c r="F1365" s="99"/>
      <c r="G1365" s="69"/>
      <c r="H1365" s="98"/>
      <c r="J1365" s="69"/>
      <c r="K1365" s="99"/>
      <c r="L1365" s="389"/>
      <c r="M1365" s="182"/>
      <c r="N1365" s="375"/>
      <c r="O1365" s="378"/>
      <c r="P1365" s="13"/>
      <c r="Q1365" s="13"/>
      <c r="R1365" s="13"/>
      <c r="S1365" s="98"/>
      <c r="T1365" s="69"/>
      <c r="U1365" s="69"/>
      <c r="V1365" s="13"/>
      <c r="W1365" s="13"/>
      <c r="X1365" s="379"/>
      <c r="Y1365" s="150"/>
      <c r="Z1365" s="150"/>
      <c r="AA1365" s="150"/>
      <c r="AB1365" s="150"/>
      <c r="AC1365" s="150"/>
      <c r="AD1365" s="381"/>
      <c r="AE1365" s="150"/>
      <c r="AF1365" s="110"/>
      <c r="AG1365" s="110"/>
      <c r="AH1365" s="69"/>
      <c r="AI1365" s="105"/>
      <c r="AJ1365" s="98"/>
      <c r="AK1365" s="110"/>
      <c r="AL1365" s="98"/>
      <c r="AM1365" s="69"/>
      <c r="AN1365" s="13"/>
      <c r="AO1365" s="13"/>
      <c r="AP1365" s="13"/>
      <c r="AQ1365" s="13"/>
      <c r="AR1365" s="13"/>
      <c r="AS1365" s="13"/>
      <c r="AT1365" s="13"/>
      <c r="AU1365" s="13"/>
      <c r="AV1365" s="13"/>
      <c r="AW1365" s="13"/>
      <c r="AX1365" s="13"/>
      <c r="AY1365" s="13"/>
      <c r="AZ1365" s="13"/>
      <c r="BA1365" s="13"/>
      <c r="BB1365" s="13"/>
      <c r="BC1365" s="13"/>
      <c r="BD1365" s="13"/>
      <c r="BE1365" s="13"/>
      <c r="BF1365" s="13"/>
      <c r="BG1365" s="13"/>
    </row>
    <row r="1366">
      <c r="A1366" s="69"/>
      <c r="B1366" s="69"/>
      <c r="C1366" s="13"/>
      <c r="D1366" s="99"/>
      <c r="E1366" s="13"/>
      <c r="F1366" s="99"/>
      <c r="G1366" s="69"/>
      <c r="H1366" s="98"/>
      <c r="J1366" s="69"/>
      <c r="K1366" s="99"/>
      <c r="L1366" s="389"/>
      <c r="M1366" s="182"/>
      <c r="N1366" s="375"/>
      <c r="O1366" s="378"/>
      <c r="P1366" s="13"/>
      <c r="Q1366" s="13"/>
      <c r="R1366" s="13"/>
      <c r="S1366" s="98"/>
      <c r="T1366" s="69"/>
      <c r="U1366" s="69"/>
      <c r="V1366" s="13"/>
      <c r="W1366" s="13"/>
      <c r="X1366" s="379"/>
      <c r="Y1366" s="150"/>
      <c r="Z1366" s="150"/>
      <c r="AA1366" s="150"/>
      <c r="AB1366" s="150"/>
      <c r="AC1366" s="150"/>
      <c r="AD1366" s="381"/>
      <c r="AE1366" s="150"/>
      <c r="AF1366" s="110"/>
      <c r="AG1366" s="110"/>
      <c r="AH1366" s="69"/>
      <c r="AI1366" s="105"/>
      <c r="AJ1366" s="98"/>
      <c r="AK1366" s="110"/>
      <c r="AL1366" s="98"/>
      <c r="AM1366" s="69"/>
      <c r="AN1366" s="13"/>
      <c r="AO1366" s="13"/>
      <c r="AP1366" s="13"/>
      <c r="AQ1366" s="13"/>
      <c r="AR1366" s="13"/>
      <c r="AS1366" s="13"/>
      <c r="AT1366" s="13"/>
      <c r="AU1366" s="13"/>
      <c r="AV1366" s="13"/>
      <c r="AW1366" s="13"/>
      <c r="AX1366" s="13"/>
      <c r="AY1366" s="13"/>
      <c r="AZ1366" s="13"/>
      <c r="BA1366" s="13"/>
      <c r="BB1366" s="13"/>
      <c r="BC1366" s="13"/>
      <c r="BD1366" s="13"/>
      <c r="BE1366" s="13"/>
      <c r="BF1366" s="13"/>
      <c r="BG1366" s="13"/>
    </row>
    <row r="1367">
      <c r="A1367" s="69"/>
      <c r="B1367" s="69"/>
      <c r="C1367" s="13"/>
      <c r="D1367" s="99"/>
      <c r="E1367" s="13"/>
      <c r="F1367" s="99"/>
      <c r="G1367" s="69"/>
      <c r="H1367" s="98"/>
      <c r="J1367" s="69"/>
      <c r="K1367" s="99"/>
      <c r="L1367" s="389"/>
      <c r="M1367" s="182"/>
      <c r="N1367" s="375"/>
      <c r="O1367" s="378"/>
      <c r="P1367" s="13"/>
      <c r="Q1367" s="13"/>
      <c r="R1367" s="13"/>
      <c r="S1367" s="98"/>
      <c r="T1367" s="69"/>
      <c r="U1367" s="69"/>
      <c r="V1367" s="13"/>
      <c r="W1367" s="13"/>
      <c r="X1367" s="379"/>
      <c r="Y1367" s="150"/>
      <c r="Z1367" s="150"/>
      <c r="AA1367" s="150"/>
      <c r="AB1367" s="150"/>
      <c r="AC1367" s="150"/>
      <c r="AD1367" s="381"/>
      <c r="AE1367" s="150"/>
      <c r="AF1367" s="110"/>
      <c r="AG1367" s="110"/>
      <c r="AH1367" s="69"/>
      <c r="AI1367" s="105"/>
      <c r="AJ1367" s="98"/>
      <c r="AK1367" s="110"/>
      <c r="AL1367" s="98"/>
      <c r="AM1367" s="69"/>
      <c r="AN1367" s="13"/>
      <c r="AO1367" s="13"/>
      <c r="AP1367" s="13"/>
      <c r="AQ1367" s="13"/>
      <c r="AR1367" s="13"/>
      <c r="AS1367" s="13"/>
      <c r="AT1367" s="13"/>
      <c r="AU1367" s="13"/>
      <c r="AV1367" s="13"/>
      <c r="AW1367" s="13"/>
      <c r="AX1367" s="13"/>
      <c r="AY1367" s="13"/>
      <c r="AZ1367" s="13"/>
      <c r="BA1367" s="13"/>
      <c r="BB1367" s="13"/>
      <c r="BC1367" s="13"/>
      <c r="BD1367" s="13"/>
      <c r="BE1367" s="13"/>
      <c r="BF1367" s="13"/>
      <c r="BG1367" s="13"/>
    </row>
    <row r="1368">
      <c r="A1368" s="69"/>
      <c r="B1368" s="69"/>
      <c r="C1368" s="13"/>
      <c r="D1368" s="99"/>
      <c r="E1368" s="13"/>
      <c r="F1368" s="99"/>
      <c r="G1368" s="69"/>
      <c r="H1368" s="98"/>
      <c r="J1368" s="69"/>
      <c r="K1368" s="99"/>
      <c r="L1368" s="389"/>
      <c r="M1368" s="182"/>
      <c r="N1368" s="375"/>
      <c r="O1368" s="378"/>
      <c r="P1368" s="13"/>
      <c r="Q1368" s="13"/>
      <c r="R1368" s="13"/>
      <c r="S1368" s="98"/>
      <c r="T1368" s="69"/>
      <c r="U1368" s="69"/>
      <c r="V1368" s="13"/>
      <c r="W1368" s="13"/>
      <c r="X1368" s="379"/>
      <c r="Y1368" s="150"/>
      <c r="Z1368" s="150"/>
      <c r="AA1368" s="150"/>
      <c r="AB1368" s="150"/>
      <c r="AC1368" s="150"/>
      <c r="AD1368" s="381"/>
      <c r="AE1368" s="150"/>
      <c r="AF1368" s="110"/>
      <c r="AG1368" s="110"/>
      <c r="AH1368" s="69"/>
      <c r="AI1368" s="105"/>
      <c r="AJ1368" s="98"/>
      <c r="AK1368" s="110"/>
      <c r="AL1368" s="98"/>
      <c r="AM1368" s="69"/>
      <c r="AN1368" s="13"/>
      <c r="AO1368" s="13"/>
      <c r="AP1368" s="13"/>
      <c r="AQ1368" s="13"/>
      <c r="AR1368" s="13"/>
      <c r="AS1368" s="13"/>
      <c r="AT1368" s="13"/>
      <c r="AU1368" s="13"/>
      <c r="AV1368" s="13"/>
      <c r="AW1368" s="13"/>
      <c r="AX1368" s="13"/>
      <c r="AY1368" s="13"/>
      <c r="AZ1368" s="13"/>
      <c r="BA1368" s="13"/>
      <c r="BB1368" s="13"/>
      <c r="BC1368" s="13"/>
      <c r="BD1368" s="13"/>
      <c r="BE1368" s="13"/>
      <c r="BF1368" s="13"/>
      <c r="BG1368" s="13"/>
    </row>
    <row r="1369">
      <c r="A1369" s="69"/>
      <c r="B1369" s="69"/>
      <c r="C1369" s="13"/>
      <c r="D1369" s="99"/>
      <c r="E1369" s="13"/>
      <c r="F1369" s="99"/>
      <c r="G1369" s="69"/>
      <c r="H1369" s="98"/>
      <c r="J1369" s="69"/>
      <c r="K1369" s="99"/>
      <c r="L1369" s="389"/>
      <c r="M1369" s="182"/>
      <c r="N1369" s="375"/>
      <c r="O1369" s="378"/>
      <c r="P1369" s="13"/>
      <c r="Q1369" s="13"/>
      <c r="R1369" s="13"/>
      <c r="S1369" s="98"/>
      <c r="T1369" s="69"/>
      <c r="U1369" s="69"/>
      <c r="V1369" s="13"/>
      <c r="W1369" s="13"/>
      <c r="X1369" s="379"/>
      <c r="Y1369" s="150"/>
      <c r="Z1369" s="150"/>
      <c r="AA1369" s="150"/>
      <c r="AB1369" s="150"/>
      <c r="AC1369" s="150"/>
      <c r="AD1369" s="381"/>
      <c r="AE1369" s="150"/>
      <c r="AF1369" s="110"/>
      <c r="AG1369" s="110"/>
      <c r="AH1369" s="69"/>
      <c r="AI1369" s="105"/>
      <c r="AJ1369" s="98"/>
      <c r="AK1369" s="110"/>
      <c r="AL1369" s="98"/>
      <c r="AM1369" s="69"/>
      <c r="AN1369" s="13"/>
      <c r="AO1369" s="13"/>
      <c r="AP1369" s="13"/>
      <c r="AQ1369" s="13"/>
      <c r="AR1369" s="13"/>
      <c r="AS1369" s="13"/>
      <c r="AT1369" s="13"/>
      <c r="AU1369" s="13"/>
      <c r="AV1369" s="13"/>
      <c r="AW1369" s="13"/>
      <c r="AX1369" s="13"/>
      <c r="AY1369" s="13"/>
      <c r="AZ1369" s="13"/>
      <c r="BA1369" s="13"/>
      <c r="BB1369" s="13"/>
      <c r="BC1369" s="13"/>
      <c r="BD1369" s="13"/>
      <c r="BE1369" s="13"/>
      <c r="BF1369" s="13"/>
      <c r="BG1369" s="13"/>
    </row>
    <row r="1370">
      <c r="A1370" s="69"/>
      <c r="B1370" s="69"/>
      <c r="C1370" s="13"/>
      <c r="D1370" s="99"/>
      <c r="E1370" s="13"/>
      <c r="F1370" s="99"/>
      <c r="G1370" s="69"/>
      <c r="H1370" s="98"/>
      <c r="J1370" s="69"/>
      <c r="K1370" s="99"/>
      <c r="L1370" s="389"/>
      <c r="M1370" s="182"/>
      <c r="N1370" s="375"/>
      <c r="O1370" s="378"/>
      <c r="P1370" s="13"/>
      <c r="Q1370" s="13"/>
      <c r="R1370" s="13"/>
      <c r="S1370" s="98"/>
      <c r="T1370" s="69"/>
      <c r="U1370" s="69"/>
      <c r="V1370" s="13"/>
      <c r="W1370" s="13"/>
      <c r="X1370" s="379"/>
      <c r="Y1370" s="150"/>
      <c r="Z1370" s="150"/>
      <c r="AA1370" s="150"/>
      <c r="AB1370" s="150"/>
      <c r="AC1370" s="150"/>
      <c r="AD1370" s="381"/>
      <c r="AE1370" s="150"/>
      <c r="AF1370" s="110"/>
      <c r="AG1370" s="110"/>
      <c r="AH1370" s="69"/>
      <c r="AI1370" s="105"/>
      <c r="AJ1370" s="98"/>
      <c r="AK1370" s="110"/>
      <c r="AL1370" s="98"/>
      <c r="AM1370" s="69"/>
      <c r="AN1370" s="13"/>
      <c r="AO1370" s="13"/>
      <c r="AP1370" s="13"/>
      <c r="AQ1370" s="13"/>
      <c r="AR1370" s="13"/>
      <c r="AS1370" s="13"/>
      <c r="AT1370" s="13"/>
      <c r="AU1370" s="13"/>
      <c r="AV1370" s="13"/>
      <c r="AW1370" s="13"/>
      <c r="AX1370" s="13"/>
      <c r="AY1370" s="13"/>
      <c r="AZ1370" s="13"/>
      <c r="BA1370" s="13"/>
      <c r="BB1370" s="13"/>
      <c r="BC1370" s="13"/>
      <c r="BD1370" s="13"/>
      <c r="BE1370" s="13"/>
      <c r="BF1370" s="13"/>
      <c r="BG1370" s="13"/>
    </row>
    <row r="1371">
      <c r="A1371" s="69"/>
      <c r="B1371" s="69"/>
      <c r="C1371" s="13"/>
      <c r="D1371" s="99"/>
      <c r="E1371" s="13"/>
      <c r="F1371" s="99"/>
      <c r="G1371" s="69"/>
      <c r="H1371" s="98"/>
      <c r="J1371" s="69"/>
      <c r="K1371" s="99"/>
      <c r="L1371" s="389"/>
      <c r="M1371" s="182"/>
      <c r="N1371" s="375"/>
      <c r="O1371" s="378"/>
      <c r="P1371" s="13"/>
      <c r="Q1371" s="13"/>
      <c r="R1371" s="13"/>
      <c r="S1371" s="98"/>
      <c r="T1371" s="69"/>
      <c r="U1371" s="69"/>
      <c r="V1371" s="13"/>
      <c r="W1371" s="13"/>
      <c r="X1371" s="379"/>
      <c r="Y1371" s="150"/>
      <c r="Z1371" s="150"/>
      <c r="AA1371" s="150"/>
      <c r="AB1371" s="150"/>
      <c r="AC1371" s="150"/>
      <c r="AD1371" s="381"/>
      <c r="AE1371" s="150"/>
      <c r="AF1371" s="110"/>
      <c r="AG1371" s="110"/>
      <c r="AH1371" s="69"/>
      <c r="AI1371" s="105"/>
      <c r="AJ1371" s="98"/>
      <c r="AK1371" s="110"/>
      <c r="AL1371" s="98"/>
      <c r="AM1371" s="69"/>
      <c r="AN1371" s="13"/>
      <c r="AO1371" s="13"/>
      <c r="AP1371" s="13"/>
      <c r="AQ1371" s="13"/>
      <c r="AR1371" s="13"/>
      <c r="AS1371" s="13"/>
      <c r="AT1371" s="13"/>
      <c r="AU1371" s="13"/>
      <c r="AV1371" s="13"/>
      <c r="AW1371" s="13"/>
      <c r="AX1371" s="13"/>
      <c r="AY1371" s="13"/>
      <c r="AZ1371" s="13"/>
      <c r="BA1371" s="13"/>
      <c r="BB1371" s="13"/>
      <c r="BC1371" s="13"/>
      <c r="BD1371" s="13"/>
      <c r="BE1371" s="13"/>
      <c r="BF1371" s="13"/>
      <c r="BG1371" s="13"/>
    </row>
    <row r="1372">
      <c r="A1372" s="69"/>
      <c r="B1372" s="69"/>
      <c r="C1372" s="13"/>
      <c r="D1372" s="99"/>
      <c r="E1372" s="13"/>
      <c r="F1372" s="99"/>
      <c r="G1372" s="69"/>
      <c r="H1372" s="98"/>
      <c r="J1372" s="69"/>
      <c r="K1372" s="99"/>
      <c r="L1372" s="389"/>
      <c r="M1372" s="182"/>
      <c r="N1372" s="375"/>
      <c r="O1372" s="378"/>
      <c r="P1372" s="13"/>
      <c r="Q1372" s="13"/>
      <c r="R1372" s="13"/>
      <c r="S1372" s="98"/>
      <c r="T1372" s="69"/>
      <c r="U1372" s="69"/>
      <c r="V1372" s="13"/>
      <c r="W1372" s="13"/>
      <c r="X1372" s="379"/>
      <c r="Y1372" s="150"/>
      <c r="Z1372" s="150"/>
      <c r="AA1372" s="150"/>
      <c r="AB1372" s="150"/>
      <c r="AC1372" s="150"/>
      <c r="AD1372" s="381"/>
      <c r="AE1372" s="150"/>
      <c r="AF1372" s="110"/>
      <c r="AG1372" s="110"/>
      <c r="AH1372" s="69"/>
      <c r="AI1372" s="105"/>
      <c r="AJ1372" s="98"/>
      <c r="AK1372" s="110"/>
      <c r="AL1372" s="98"/>
      <c r="AM1372" s="69"/>
      <c r="AN1372" s="13"/>
      <c r="AO1372" s="13"/>
      <c r="AP1372" s="13"/>
      <c r="AQ1372" s="13"/>
      <c r="AR1372" s="13"/>
      <c r="AS1372" s="13"/>
      <c r="AT1372" s="13"/>
      <c r="AU1372" s="13"/>
      <c r="AV1372" s="13"/>
      <c r="AW1372" s="13"/>
      <c r="AX1372" s="13"/>
      <c r="AY1372" s="13"/>
      <c r="AZ1372" s="13"/>
      <c r="BA1372" s="13"/>
      <c r="BB1372" s="13"/>
      <c r="BC1372" s="13"/>
      <c r="BD1372" s="13"/>
      <c r="BE1372" s="13"/>
      <c r="BF1372" s="13"/>
      <c r="BG1372" s="13"/>
    </row>
    <row r="1373">
      <c r="A1373" s="69"/>
      <c r="B1373" s="69"/>
      <c r="C1373" s="13"/>
      <c r="D1373" s="99"/>
      <c r="E1373" s="13"/>
      <c r="F1373" s="99"/>
      <c r="G1373" s="69"/>
      <c r="H1373" s="98"/>
      <c r="J1373" s="69"/>
      <c r="K1373" s="99"/>
      <c r="L1373" s="389"/>
      <c r="M1373" s="182"/>
      <c r="N1373" s="375"/>
      <c r="O1373" s="378"/>
      <c r="P1373" s="13"/>
      <c r="Q1373" s="13"/>
      <c r="R1373" s="13"/>
      <c r="S1373" s="98"/>
      <c r="T1373" s="69"/>
      <c r="U1373" s="69"/>
      <c r="V1373" s="13"/>
      <c r="W1373" s="13"/>
      <c r="X1373" s="379"/>
      <c r="Y1373" s="150"/>
      <c r="Z1373" s="150"/>
      <c r="AA1373" s="150"/>
      <c r="AB1373" s="150"/>
      <c r="AC1373" s="150"/>
      <c r="AD1373" s="381"/>
      <c r="AE1373" s="150"/>
      <c r="AF1373" s="110"/>
      <c r="AG1373" s="110"/>
      <c r="AH1373" s="69"/>
      <c r="AI1373" s="105"/>
      <c r="AJ1373" s="98"/>
      <c r="AK1373" s="110"/>
      <c r="AL1373" s="98"/>
      <c r="AM1373" s="69"/>
      <c r="AN1373" s="13"/>
      <c r="AO1373" s="13"/>
      <c r="AP1373" s="13"/>
      <c r="AQ1373" s="13"/>
      <c r="AR1373" s="13"/>
      <c r="AS1373" s="13"/>
      <c r="AT1373" s="13"/>
      <c r="AU1373" s="13"/>
      <c r="AV1373" s="13"/>
      <c r="AW1373" s="13"/>
      <c r="AX1373" s="13"/>
      <c r="AY1373" s="13"/>
      <c r="AZ1373" s="13"/>
      <c r="BA1373" s="13"/>
      <c r="BB1373" s="13"/>
      <c r="BC1373" s="13"/>
      <c r="BD1373" s="13"/>
      <c r="BE1373" s="13"/>
      <c r="BF1373" s="13"/>
      <c r="BG1373" s="13"/>
    </row>
    <row r="1374">
      <c r="A1374" s="69"/>
      <c r="B1374" s="69"/>
      <c r="C1374" s="13"/>
      <c r="D1374" s="99"/>
      <c r="E1374" s="13"/>
      <c r="F1374" s="99"/>
      <c r="G1374" s="69"/>
      <c r="H1374" s="98"/>
      <c r="J1374" s="69"/>
      <c r="K1374" s="99"/>
      <c r="L1374" s="389"/>
      <c r="M1374" s="182"/>
      <c r="N1374" s="375"/>
      <c r="O1374" s="378"/>
      <c r="P1374" s="13"/>
      <c r="Q1374" s="13"/>
      <c r="R1374" s="13"/>
      <c r="S1374" s="98"/>
      <c r="T1374" s="69"/>
      <c r="U1374" s="69"/>
      <c r="V1374" s="13"/>
      <c r="W1374" s="13"/>
      <c r="X1374" s="379"/>
      <c r="Y1374" s="150"/>
      <c r="Z1374" s="150"/>
      <c r="AA1374" s="150"/>
      <c r="AB1374" s="150"/>
      <c r="AC1374" s="150"/>
      <c r="AD1374" s="381"/>
      <c r="AE1374" s="150"/>
      <c r="AF1374" s="110"/>
      <c r="AG1374" s="110"/>
      <c r="AH1374" s="69"/>
      <c r="AI1374" s="105"/>
      <c r="AJ1374" s="98"/>
      <c r="AK1374" s="110"/>
      <c r="AL1374" s="98"/>
      <c r="AM1374" s="69"/>
      <c r="AN1374" s="13"/>
      <c r="AO1374" s="13"/>
      <c r="AP1374" s="13"/>
      <c r="AQ1374" s="13"/>
      <c r="AR1374" s="13"/>
      <c r="AS1374" s="13"/>
      <c r="AT1374" s="13"/>
      <c r="AU1374" s="13"/>
      <c r="AV1374" s="13"/>
      <c r="AW1374" s="13"/>
      <c r="AX1374" s="13"/>
      <c r="AY1374" s="13"/>
      <c r="AZ1374" s="13"/>
      <c r="BA1374" s="13"/>
      <c r="BB1374" s="13"/>
      <c r="BC1374" s="13"/>
      <c r="BD1374" s="13"/>
      <c r="BE1374" s="13"/>
      <c r="BF1374" s="13"/>
      <c r="BG1374" s="13"/>
    </row>
    <row r="1375">
      <c r="A1375" s="69"/>
      <c r="B1375" s="69"/>
      <c r="C1375" s="13"/>
      <c r="D1375" s="99"/>
      <c r="E1375" s="13"/>
      <c r="F1375" s="99"/>
      <c r="G1375" s="69"/>
      <c r="H1375" s="98"/>
      <c r="J1375" s="69"/>
      <c r="K1375" s="99"/>
      <c r="L1375" s="389"/>
      <c r="M1375" s="182"/>
      <c r="N1375" s="375"/>
      <c r="O1375" s="378"/>
      <c r="P1375" s="13"/>
      <c r="Q1375" s="13"/>
      <c r="R1375" s="13"/>
      <c r="S1375" s="98"/>
      <c r="T1375" s="69"/>
      <c r="U1375" s="69"/>
      <c r="V1375" s="13"/>
      <c r="W1375" s="13"/>
      <c r="X1375" s="379"/>
      <c r="Y1375" s="150"/>
      <c r="Z1375" s="150"/>
      <c r="AA1375" s="150"/>
      <c r="AB1375" s="150"/>
      <c r="AC1375" s="150"/>
      <c r="AD1375" s="381"/>
      <c r="AE1375" s="150"/>
      <c r="AF1375" s="110"/>
      <c r="AG1375" s="110"/>
      <c r="AH1375" s="69"/>
      <c r="AI1375" s="105"/>
      <c r="AJ1375" s="98"/>
      <c r="AK1375" s="110"/>
      <c r="AL1375" s="98"/>
      <c r="AM1375" s="69"/>
      <c r="AN1375" s="13"/>
      <c r="AO1375" s="13"/>
      <c r="AP1375" s="13"/>
      <c r="AQ1375" s="13"/>
      <c r="AR1375" s="13"/>
      <c r="AS1375" s="13"/>
      <c r="AT1375" s="13"/>
      <c r="AU1375" s="13"/>
      <c r="AV1375" s="13"/>
      <c r="AW1375" s="13"/>
      <c r="AX1375" s="13"/>
      <c r="AY1375" s="13"/>
      <c r="AZ1375" s="13"/>
      <c r="BA1375" s="13"/>
      <c r="BB1375" s="13"/>
      <c r="BC1375" s="13"/>
      <c r="BD1375" s="13"/>
      <c r="BE1375" s="13"/>
      <c r="BF1375" s="13"/>
      <c r="BG1375" s="13"/>
    </row>
    <row r="1376">
      <c r="A1376" s="69"/>
      <c r="B1376" s="69"/>
      <c r="C1376" s="13"/>
      <c r="D1376" s="99"/>
      <c r="E1376" s="13"/>
      <c r="F1376" s="99"/>
      <c r="G1376" s="69"/>
      <c r="H1376" s="98"/>
      <c r="J1376" s="69"/>
      <c r="K1376" s="99"/>
      <c r="L1376" s="389"/>
      <c r="M1376" s="182"/>
      <c r="N1376" s="375"/>
      <c r="O1376" s="378"/>
      <c r="P1376" s="13"/>
      <c r="Q1376" s="13"/>
      <c r="R1376" s="13"/>
      <c r="S1376" s="98"/>
      <c r="T1376" s="69"/>
      <c r="U1376" s="69"/>
      <c r="V1376" s="13"/>
      <c r="W1376" s="13"/>
      <c r="X1376" s="379"/>
      <c r="Y1376" s="150"/>
      <c r="Z1376" s="150"/>
      <c r="AA1376" s="150"/>
      <c r="AB1376" s="150"/>
      <c r="AC1376" s="150"/>
      <c r="AD1376" s="381"/>
      <c r="AE1376" s="150"/>
      <c r="AF1376" s="110"/>
      <c r="AG1376" s="110"/>
      <c r="AH1376" s="69"/>
      <c r="AI1376" s="105"/>
      <c r="AJ1376" s="98"/>
      <c r="AK1376" s="110"/>
      <c r="AL1376" s="98"/>
      <c r="AM1376" s="69"/>
      <c r="AN1376" s="13"/>
      <c r="AO1376" s="13"/>
      <c r="AP1376" s="13"/>
      <c r="AQ1376" s="13"/>
      <c r="AR1376" s="13"/>
      <c r="AS1376" s="13"/>
      <c r="AT1376" s="13"/>
      <c r="AU1376" s="13"/>
      <c r="AV1376" s="13"/>
      <c r="AW1376" s="13"/>
      <c r="AX1376" s="13"/>
      <c r="AY1376" s="13"/>
      <c r="AZ1376" s="13"/>
      <c r="BA1376" s="13"/>
      <c r="BB1376" s="13"/>
      <c r="BC1376" s="13"/>
      <c r="BD1376" s="13"/>
      <c r="BE1376" s="13"/>
      <c r="BF1376" s="13"/>
      <c r="BG1376" s="13"/>
    </row>
    <row r="1377">
      <c r="A1377" s="69"/>
      <c r="B1377" s="69"/>
      <c r="C1377" s="13"/>
      <c r="D1377" s="99"/>
      <c r="E1377" s="13"/>
      <c r="F1377" s="99"/>
      <c r="G1377" s="69"/>
      <c r="H1377" s="98"/>
      <c r="J1377" s="69"/>
      <c r="K1377" s="99"/>
      <c r="L1377" s="389"/>
      <c r="M1377" s="182"/>
      <c r="N1377" s="375"/>
      <c r="O1377" s="378"/>
      <c r="P1377" s="13"/>
      <c r="Q1377" s="13"/>
      <c r="R1377" s="13"/>
      <c r="S1377" s="98"/>
      <c r="T1377" s="69"/>
      <c r="U1377" s="69"/>
      <c r="V1377" s="13"/>
      <c r="W1377" s="13"/>
      <c r="X1377" s="379"/>
      <c r="Y1377" s="150"/>
      <c r="Z1377" s="150"/>
      <c r="AA1377" s="150"/>
      <c r="AB1377" s="150"/>
      <c r="AC1377" s="150"/>
      <c r="AD1377" s="381"/>
      <c r="AE1377" s="150"/>
      <c r="AF1377" s="110"/>
      <c r="AG1377" s="110"/>
      <c r="AH1377" s="69"/>
      <c r="AI1377" s="105"/>
      <c r="AJ1377" s="98"/>
      <c r="AK1377" s="110"/>
      <c r="AL1377" s="98"/>
      <c r="AM1377" s="69"/>
      <c r="AN1377" s="13"/>
      <c r="AO1377" s="13"/>
      <c r="AP1377" s="13"/>
      <c r="AQ1377" s="13"/>
      <c r="AR1377" s="13"/>
      <c r="AS1377" s="13"/>
      <c r="AT1377" s="13"/>
      <c r="AU1377" s="13"/>
      <c r="AV1377" s="13"/>
      <c r="AW1377" s="13"/>
      <c r="AX1377" s="13"/>
      <c r="AY1377" s="13"/>
      <c r="AZ1377" s="13"/>
      <c r="BA1377" s="13"/>
      <c r="BB1377" s="13"/>
      <c r="BC1377" s="13"/>
      <c r="BD1377" s="13"/>
      <c r="BE1377" s="13"/>
      <c r="BF1377" s="13"/>
      <c r="BG1377" s="13"/>
    </row>
    <row r="1378">
      <c r="A1378" s="69"/>
      <c r="B1378" s="69"/>
      <c r="C1378" s="13"/>
      <c r="D1378" s="99"/>
      <c r="E1378" s="13"/>
      <c r="F1378" s="99"/>
      <c r="G1378" s="69"/>
      <c r="H1378" s="98"/>
      <c r="J1378" s="69"/>
      <c r="K1378" s="99"/>
      <c r="L1378" s="389"/>
      <c r="M1378" s="182"/>
      <c r="N1378" s="375"/>
      <c r="O1378" s="378"/>
      <c r="P1378" s="13"/>
      <c r="Q1378" s="13"/>
      <c r="R1378" s="13"/>
      <c r="S1378" s="98"/>
      <c r="T1378" s="69"/>
      <c r="U1378" s="69"/>
      <c r="V1378" s="13"/>
      <c r="W1378" s="13"/>
      <c r="X1378" s="379"/>
      <c r="Y1378" s="150"/>
      <c r="Z1378" s="150"/>
      <c r="AA1378" s="150"/>
      <c r="AB1378" s="150"/>
      <c r="AC1378" s="150"/>
      <c r="AD1378" s="381"/>
      <c r="AE1378" s="150"/>
      <c r="AF1378" s="110"/>
      <c r="AG1378" s="110"/>
      <c r="AH1378" s="69"/>
      <c r="AI1378" s="105"/>
      <c r="AJ1378" s="98"/>
      <c r="AK1378" s="110"/>
      <c r="AL1378" s="98"/>
      <c r="AM1378" s="69"/>
      <c r="AN1378" s="13"/>
      <c r="AO1378" s="13"/>
      <c r="AP1378" s="13"/>
      <c r="AQ1378" s="13"/>
      <c r="AR1378" s="13"/>
      <c r="AS1378" s="13"/>
      <c r="AT1378" s="13"/>
      <c r="AU1378" s="13"/>
      <c r="AV1378" s="13"/>
      <c r="AW1378" s="13"/>
      <c r="AX1378" s="13"/>
      <c r="AY1378" s="13"/>
      <c r="AZ1378" s="13"/>
      <c r="BA1378" s="13"/>
      <c r="BB1378" s="13"/>
      <c r="BC1378" s="13"/>
      <c r="BD1378" s="13"/>
      <c r="BE1378" s="13"/>
      <c r="BF1378" s="13"/>
      <c r="BG1378" s="13"/>
    </row>
    <row r="1379">
      <c r="A1379" s="69"/>
      <c r="B1379" s="69"/>
      <c r="C1379" s="13"/>
      <c r="D1379" s="99"/>
      <c r="E1379" s="13"/>
      <c r="F1379" s="99"/>
      <c r="G1379" s="69"/>
      <c r="H1379" s="98"/>
      <c r="J1379" s="69"/>
      <c r="K1379" s="99"/>
      <c r="L1379" s="389"/>
      <c r="M1379" s="182"/>
      <c r="N1379" s="375"/>
      <c r="O1379" s="378"/>
      <c r="P1379" s="13"/>
      <c r="Q1379" s="13"/>
      <c r="R1379" s="13"/>
      <c r="S1379" s="98"/>
      <c r="T1379" s="69"/>
      <c r="U1379" s="69"/>
      <c r="V1379" s="13"/>
      <c r="W1379" s="13"/>
      <c r="X1379" s="379"/>
      <c r="Y1379" s="150"/>
      <c r="Z1379" s="150"/>
      <c r="AA1379" s="150"/>
      <c r="AB1379" s="150"/>
      <c r="AC1379" s="150"/>
      <c r="AD1379" s="381"/>
      <c r="AE1379" s="150"/>
      <c r="AF1379" s="110"/>
      <c r="AG1379" s="110"/>
      <c r="AH1379" s="69"/>
      <c r="AI1379" s="105"/>
      <c r="AJ1379" s="98"/>
      <c r="AK1379" s="110"/>
      <c r="AL1379" s="98"/>
      <c r="AM1379" s="69"/>
      <c r="AN1379" s="13"/>
      <c r="AO1379" s="13"/>
      <c r="AP1379" s="13"/>
      <c r="AQ1379" s="13"/>
      <c r="AR1379" s="13"/>
      <c r="AS1379" s="13"/>
      <c r="AT1379" s="13"/>
      <c r="AU1379" s="13"/>
      <c r="AV1379" s="13"/>
      <c r="AW1379" s="13"/>
      <c r="AX1379" s="13"/>
      <c r="AY1379" s="13"/>
      <c r="AZ1379" s="13"/>
      <c r="BA1379" s="13"/>
      <c r="BB1379" s="13"/>
      <c r="BC1379" s="13"/>
      <c r="BD1379" s="13"/>
      <c r="BE1379" s="13"/>
      <c r="BF1379" s="13"/>
      <c r="BG1379" s="13"/>
    </row>
    <row r="1380">
      <c r="A1380" s="69"/>
      <c r="B1380" s="69"/>
      <c r="C1380" s="13"/>
      <c r="D1380" s="99"/>
      <c r="E1380" s="13"/>
      <c r="F1380" s="99"/>
      <c r="G1380" s="69"/>
      <c r="H1380" s="98"/>
      <c r="J1380" s="69"/>
      <c r="K1380" s="99"/>
      <c r="L1380" s="389"/>
      <c r="M1380" s="182"/>
      <c r="N1380" s="375"/>
      <c r="O1380" s="378"/>
      <c r="P1380" s="13"/>
      <c r="Q1380" s="13"/>
      <c r="R1380" s="13"/>
      <c r="S1380" s="98"/>
      <c r="T1380" s="69"/>
      <c r="U1380" s="69"/>
      <c r="V1380" s="13"/>
      <c r="W1380" s="13"/>
      <c r="X1380" s="379"/>
      <c r="Y1380" s="150"/>
      <c r="Z1380" s="150"/>
      <c r="AA1380" s="150"/>
      <c r="AB1380" s="150"/>
      <c r="AC1380" s="150"/>
      <c r="AD1380" s="381"/>
      <c r="AE1380" s="150"/>
      <c r="AF1380" s="110"/>
      <c r="AG1380" s="110"/>
      <c r="AH1380" s="69"/>
      <c r="AI1380" s="105"/>
      <c r="AJ1380" s="98"/>
      <c r="AK1380" s="110"/>
      <c r="AL1380" s="98"/>
      <c r="AM1380" s="69"/>
      <c r="AN1380" s="13"/>
      <c r="AO1380" s="13"/>
      <c r="AP1380" s="13"/>
      <c r="AQ1380" s="13"/>
      <c r="AR1380" s="13"/>
      <c r="AS1380" s="13"/>
      <c r="AT1380" s="13"/>
      <c r="AU1380" s="13"/>
      <c r="AV1380" s="13"/>
      <c r="AW1380" s="13"/>
      <c r="AX1380" s="13"/>
      <c r="AY1380" s="13"/>
      <c r="AZ1380" s="13"/>
      <c r="BA1380" s="13"/>
      <c r="BB1380" s="13"/>
      <c r="BC1380" s="13"/>
      <c r="BD1380" s="13"/>
      <c r="BE1380" s="13"/>
      <c r="BF1380" s="13"/>
      <c r="BG1380" s="13"/>
    </row>
    <row r="1381">
      <c r="A1381" s="69"/>
      <c r="B1381" s="69"/>
      <c r="C1381" s="13"/>
      <c r="D1381" s="99"/>
      <c r="E1381" s="13"/>
      <c r="F1381" s="99"/>
      <c r="G1381" s="69"/>
      <c r="H1381" s="98"/>
      <c r="J1381" s="69"/>
      <c r="K1381" s="99"/>
      <c r="L1381" s="389"/>
      <c r="M1381" s="182"/>
      <c r="N1381" s="375"/>
      <c r="O1381" s="378"/>
      <c r="P1381" s="13"/>
      <c r="Q1381" s="13"/>
      <c r="R1381" s="13"/>
      <c r="S1381" s="98"/>
      <c r="T1381" s="69"/>
      <c r="U1381" s="69"/>
      <c r="V1381" s="13"/>
      <c r="W1381" s="13"/>
      <c r="X1381" s="379"/>
      <c r="Y1381" s="150"/>
      <c r="Z1381" s="150"/>
      <c r="AA1381" s="150"/>
      <c r="AB1381" s="150"/>
      <c r="AC1381" s="150"/>
      <c r="AD1381" s="381"/>
      <c r="AE1381" s="150"/>
      <c r="AF1381" s="110"/>
      <c r="AG1381" s="110"/>
      <c r="AH1381" s="69"/>
      <c r="AI1381" s="105"/>
      <c r="AJ1381" s="98"/>
      <c r="AK1381" s="110"/>
      <c r="AL1381" s="98"/>
      <c r="AM1381" s="69"/>
      <c r="AN1381" s="13"/>
      <c r="AO1381" s="13"/>
      <c r="AP1381" s="13"/>
      <c r="AQ1381" s="13"/>
      <c r="AR1381" s="13"/>
      <c r="AS1381" s="13"/>
      <c r="AT1381" s="13"/>
      <c r="AU1381" s="13"/>
      <c r="AV1381" s="13"/>
      <c r="AW1381" s="13"/>
      <c r="AX1381" s="13"/>
      <c r="AY1381" s="13"/>
      <c r="AZ1381" s="13"/>
      <c r="BA1381" s="13"/>
      <c r="BB1381" s="13"/>
      <c r="BC1381" s="13"/>
      <c r="BD1381" s="13"/>
      <c r="BE1381" s="13"/>
      <c r="BF1381" s="13"/>
      <c r="BG1381" s="13"/>
    </row>
    <row r="1382">
      <c r="A1382" s="69"/>
      <c r="B1382" s="69"/>
      <c r="C1382" s="13"/>
      <c r="D1382" s="99"/>
      <c r="E1382" s="13"/>
      <c r="F1382" s="99"/>
      <c r="G1382" s="69"/>
      <c r="H1382" s="98"/>
      <c r="J1382" s="69"/>
      <c r="K1382" s="99"/>
      <c r="L1382" s="389"/>
      <c r="M1382" s="182"/>
      <c r="N1382" s="375"/>
      <c r="O1382" s="378"/>
      <c r="P1382" s="13"/>
      <c r="Q1382" s="13"/>
      <c r="R1382" s="13"/>
      <c r="S1382" s="98"/>
      <c r="T1382" s="69"/>
      <c r="U1382" s="69"/>
      <c r="V1382" s="13"/>
      <c r="W1382" s="13"/>
      <c r="X1382" s="379"/>
      <c r="Y1382" s="150"/>
      <c r="Z1382" s="150"/>
      <c r="AA1382" s="150"/>
      <c r="AB1382" s="150"/>
      <c r="AC1382" s="150"/>
      <c r="AD1382" s="381"/>
      <c r="AE1382" s="150"/>
      <c r="AF1382" s="110"/>
      <c r="AG1382" s="110"/>
      <c r="AH1382" s="69"/>
      <c r="AI1382" s="105"/>
      <c r="AJ1382" s="98"/>
      <c r="AK1382" s="110"/>
      <c r="AL1382" s="98"/>
      <c r="AM1382" s="69"/>
      <c r="AN1382" s="13"/>
      <c r="AO1382" s="13"/>
      <c r="AP1382" s="13"/>
      <c r="AQ1382" s="13"/>
      <c r="AR1382" s="13"/>
      <c r="AS1382" s="13"/>
      <c r="AT1382" s="13"/>
      <c r="AU1382" s="13"/>
      <c r="AV1382" s="13"/>
      <c r="AW1382" s="13"/>
      <c r="AX1382" s="13"/>
      <c r="AY1382" s="13"/>
      <c r="AZ1382" s="13"/>
      <c r="BA1382" s="13"/>
      <c r="BB1382" s="13"/>
      <c r="BC1382" s="13"/>
      <c r="BD1382" s="13"/>
      <c r="BE1382" s="13"/>
      <c r="BF1382" s="13"/>
      <c r="BG1382" s="13"/>
    </row>
    <row r="1383">
      <c r="A1383" s="69"/>
      <c r="B1383" s="69"/>
      <c r="C1383" s="13"/>
      <c r="D1383" s="99"/>
      <c r="E1383" s="13"/>
      <c r="F1383" s="99"/>
      <c r="G1383" s="69"/>
      <c r="H1383" s="98"/>
      <c r="J1383" s="69"/>
      <c r="K1383" s="99"/>
      <c r="L1383" s="389"/>
      <c r="M1383" s="182"/>
      <c r="N1383" s="375"/>
      <c r="O1383" s="378"/>
      <c r="P1383" s="13"/>
      <c r="Q1383" s="13"/>
      <c r="R1383" s="13"/>
      <c r="S1383" s="98"/>
      <c r="T1383" s="69"/>
      <c r="U1383" s="69"/>
      <c r="V1383" s="13"/>
      <c r="W1383" s="13"/>
      <c r="X1383" s="379"/>
      <c r="Y1383" s="150"/>
      <c r="Z1383" s="150"/>
      <c r="AA1383" s="150"/>
      <c r="AB1383" s="150"/>
      <c r="AC1383" s="150"/>
      <c r="AD1383" s="381"/>
      <c r="AE1383" s="150"/>
      <c r="AF1383" s="110"/>
      <c r="AG1383" s="110"/>
      <c r="AH1383" s="69"/>
      <c r="AI1383" s="105"/>
      <c r="AJ1383" s="98"/>
      <c r="AK1383" s="110"/>
      <c r="AL1383" s="98"/>
      <c r="AM1383" s="69"/>
      <c r="AN1383" s="13"/>
      <c r="AO1383" s="13"/>
      <c r="AP1383" s="13"/>
      <c r="AQ1383" s="13"/>
      <c r="AR1383" s="13"/>
      <c r="AS1383" s="13"/>
      <c r="AT1383" s="13"/>
      <c r="AU1383" s="13"/>
      <c r="AV1383" s="13"/>
      <c r="AW1383" s="13"/>
      <c r="AX1383" s="13"/>
      <c r="AY1383" s="13"/>
      <c r="AZ1383" s="13"/>
      <c r="BA1383" s="13"/>
      <c r="BB1383" s="13"/>
      <c r="BC1383" s="13"/>
      <c r="BD1383" s="13"/>
      <c r="BE1383" s="13"/>
      <c r="BF1383" s="13"/>
      <c r="BG1383" s="13"/>
    </row>
    <row r="1384">
      <c r="A1384" s="69"/>
      <c r="B1384" s="69"/>
      <c r="C1384" s="13"/>
      <c r="D1384" s="99"/>
      <c r="E1384" s="13"/>
      <c r="F1384" s="99"/>
      <c r="G1384" s="69"/>
      <c r="H1384" s="98"/>
      <c r="J1384" s="69"/>
      <c r="K1384" s="99"/>
      <c r="L1384" s="389"/>
      <c r="M1384" s="182"/>
      <c r="N1384" s="375"/>
      <c r="O1384" s="378"/>
      <c r="P1384" s="13"/>
      <c r="Q1384" s="13"/>
      <c r="R1384" s="13"/>
      <c r="S1384" s="98"/>
      <c r="T1384" s="69"/>
      <c r="U1384" s="69"/>
      <c r="V1384" s="13"/>
      <c r="W1384" s="13"/>
      <c r="X1384" s="379"/>
      <c r="Y1384" s="150"/>
      <c r="Z1384" s="150"/>
      <c r="AA1384" s="150"/>
      <c r="AB1384" s="150"/>
      <c r="AC1384" s="150"/>
      <c r="AD1384" s="381"/>
      <c r="AE1384" s="150"/>
      <c r="AF1384" s="110"/>
      <c r="AG1384" s="110"/>
      <c r="AH1384" s="69"/>
      <c r="AI1384" s="105"/>
      <c r="AJ1384" s="98"/>
      <c r="AK1384" s="110"/>
      <c r="AL1384" s="98"/>
      <c r="AM1384" s="69"/>
      <c r="AN1384" s="13"/>
      <c r="AO1384" s="13"/>
      <c r="AP1384" s="13"/>
      <c r="AQ1384" s="13"/>
      <c r="AR1384" s="13"/>
      <c r="AS1384" s="13"/>
      <c r="AT1384" s="13"/>
      <c r="AU1384" s="13"/>
      <c r="AV1384" s="13"/>
      <c r="AW1384" s="13"/>
      <c r="AX1384" s="13"/>
      <c r="AY1384" s="13"/>
      <c r="AZ1384" s="13"/>
      <c r="BA1384" s="13"/>
      <c r="BB1384" s="13"/>
      <c r="BC1384" s="13"/>
      <c r="BD1384" s="13"/>
      <c r="BE1384" s="13"/>
      <c r="BF1384" s="13"/>
      <c r="BG1384" s="13"/>
    </row>
    <row r="1385">
      <c r="A1385" s="69"/>
      <c r="B1385" s="69"/>
      <c r="C1385" s="13"/>
      <c r="D1385" s="99"/>
      <c r="E1385" s="13"/>
      <c r="F1385" s="99"/>
      <c r="G1385" s="69"/>
      <c r="H1385" s="98"/>
      <c r="J1385" s="69"/>
      <c r="K1385" s="99"/>
      <c r="L1385" s="389"/>
      <c r="M1385" s="182"/>
      <c r="N1385" s="375"/>
      <c r="O1385" s="378"/>
      <c r="P1385" s="13"/>
      <c r="Q1385" s="13"/>
      <c r="R1385" s="13"/>
      <c r="S1385" s="98"/>
      <c r="T1385" s="69"/>
      <c r="U1385" s="69"/>
      <c r="V1385" s="13"/>
      <c r="W1385" s="13"/>
      <c r="X1385" s="379"/>
      <c r="Y1385" s="150"/>
      <c r="Z1385" s="150"/>
      <c r="AA1385" s="150"/>
      <c r="AB1385" s="150"/>
      <c r="AC1385" s="150"/>
      <c r="AD1385" s="381"/>
      <c r="AE1385" s="150"/>
      <c r="AF1385" s="110"/>
      <c r="AG1385" s="110"/>
      <c r="AH1385" s="69"/>
      <c r="AI1385" s="105"/>
      <c r="AJ1385" s="98"/>
      <c r="AK1385" s="110"/>
      <c r="AL1385" s="98"/>
      <c r="AM1385" s="69"/>
      <c r="AN1385" s="13"/>
      <c r="AO1385" s="13"/>
      <c r="AP1385" s="13"/>
      <c r="AQ1385" s="13"/>
      <c r="AR1385" s="13"/>
      <c r="AS1385" s="13"/>
      <c r="AT1385" s="13"/>
      <c r="AU1385" s="13"/>
      <c r="AV1385" s="13"/>
      <c r="AW1385" s="13"/>
      <c r="AX1385" s="13"/>
      <c r="AY1385" s="13"/>
      <c r="AZ1385" s="13"/>
      <c r="BA1385" s="13"/>
      <c r="BB1385" s="13"/>
      <c r="BC1385" s="13"/>
      <c r="BD1385" s="13"/>
      <c r="BE1385" s="13"/>
      <c r="BF1385" s="13"/>
      <c r="BG1385" s="13"/>
    </row>
    <row r="1386">
      <c r="A1386" s="69"/>
      <c r="B1386" s="69"/>
      <c r="C1386" s="13"/>
      <c r="D1386" s="99"/>
      <c r="E1386" s="13"/>
      <c r="F1386" s="99"/>
      <c r="G1386" s="69"/>
      <c r="H1386" s="98"/>
      <c r="J1386" s="69"/>
      <c r="K1386" s="99"/>
      <c r="L1386" s="389"/>
      <c r="M1386" s="182"/>
      <c r="N1386" s="375"/>
      <c r="O1386" s="378"/>
      <c r="P1386" s="13"/>
      <c r="Q1386" s="13"/>
      <c r="R1386" s="13"/>
      <c r="S1386" s="98"/>
      <c r="T1386" s="69"/>
      <c r="U1386" s="69"/>
      <c r="V1386" s="13"/>
      <c r="W1386" s="13"/>
      <c r="X1386" s="379"/>
      <c r="Y1386" s="150"/>
      <c r="Z1386" s="150"/>
      <c r="AA1386" s="150"/>
      <c r="AB1386" s="150"/>
      <c r="AC1386" s="150"/>
      <c r="AD1386" s="381"/>
      <c r="AE1386" s="150"/>
      <c r="AF1386" s="110"/>
      <c r="AG1386" s="110"/>
      <c r="AH1386" s="69"/>
      <c r="AI1386" s="105"/>
      <c r="AJ1386" s="98"/>
      <c r="AK1386" s="110"/>
      <c r="AL1386" s="98"/>
      <c r="AM1386" s="69"/>
      <c r="AN1386" s="13"/>
      <c r="AO1386" s="13"/>
      <c r="AP1386" s="13"/>
      <c r="AQ1386" s="13"/>
      <c r="AR1386" s="13"/>
      <c r="AS1386" s="13"/>
      <c r="AT1386" s="13"/>
      <c r="AU1386" s="13"/>
      <c r="AV1386" s="13"/>
      <c r="AW1386" s="13"/>
      <c r="AX1386" s="13"/>
      <c r="AY1386" s="13"/>
      <c r="AZ1386" s="13"/>
      <c r="BA1386" s="13"/>
      <c r="BB1386" s="13"/>
      <c r="BC1386" s="13"/>
      <c r="BD1386" s="13"/>
      <c r="BE1386" s="13"/>
      <c r="BF1386" s="13"/>
      <c r="BG1386" s="13"/>
    </row>
    <row r="1387">
      <c r="A1387" s="69"/>
      <c r="B1387" s="69"/>
      <c r="C1387" s="13"/>
      <c r="D1387" s="99"/>
      <c r="E1387" s="13"/>
      <c r="F1387" s="99"/>
      <c r="G1387" s="69"/>
      <c r="H1387" s="98"/>
      <c r="J1387" s="69"/>
      <c r="K1387" s="99"/>
      <c r="L1387" s="389"/>
      <c r="M1387" s="182"/>
      <c r="N1387" s="375"/>
      <c r="O1387" s="378"/>
      <c r="P1387" s="13"/>
      <c r="Q1387" s="13"/>
      <c r="R1387" s="13"/>
      <c r="S1387" s="98"/>
      <c r="T1387" s="69"/>
      <c r="U1387" s="69"/>
      <c r="V1387" s="13"/>
      <c r="W1387" s="13"/>
      <c r="X1387" s="379"/>
      <c r="Y1387" s="150"/>
      <c r="Z1387" s="150"/>
      <c r="AA1387" s="150"/>
      <c r="AB1387" s="150"/>
      <c r="AC1387" s="150"/>
      <c r="AD1387" s="381"/>
      <c r="AE1387" s="150"/>
      <c r="AF1387" s="110"/>
      <c r="AG1387" s="110"/>
      <c r="AH1387" s="69"/>
      <c r="AI1387" s="105"/>
      <c r="AJ1387" s="98"/>
      <c r="AK1387" s="110"/>
      <c r="AL1387" s="98"/>
      <c r="AM1387" s="69"/>
      <c r="AN1387" s="13"/>
      <c r="AO1387" s="13"/>
      <c r="AP1387" s="13"/>
      <c r="AQ1387" s="13"/>
      <c r="AR1387" s="13"/>
      <c r="AS1387" s="13"/>
      <c r="AT1387" s="13"/>
      <c r="AU1387" s="13"/>
      <c r="AV1387" s="13"/>
      <c r="AW1387" s="13"/>
      <c r="AX1387" s="13"/>
      <c r="AY1387" s="13"/>
      <c r="AZ1387" s="13"/>
      <c r="BA1387" s="13"/>
      <c r="BB1387" s="13"/>
      <c r="BC1387" s="13"/>
      <c r="BD1387" s="13"/>
      <c r="BE1387" s="13"/>
      <c r="BF1387" s="13"/>
      <c r="BG1387" s="13"/>
    </row>
    <row r="1388">
      <c r="A1388" s="69"/>
      <c r="B1388" s="69"/>
      <c r="C1388" s="13"/>
      <c r="D1388" s="99"/>
      <c r="E1388" s="13"/>
      <c r="F1388" s="99"/>
      <c r="G1388" s="69"/>
      <c r="H1388" s="98"/>
      <c r="J1388" s="69"/>
      <c r="K1388" s="99"/>
      <c r="L1388" s="389"/>
      <c r="M1388" s="182"/>
      <c r="N1388" s="375"/>
      <c r="O1388" s="378"/>
      <c r="P1388" s="13"/>
      <c r="Q1388" s="13"/>
      <c r="R1388" s="13"/>
      <c r="S1388" s="98"/>
      <c r="T1388" s="69"/>
      <c r="U1388" s="69"/>
      <c r="V1388" s="13"/>
      <c r="W1388" s="13"/>
      <c r="X1388" s="379"/>
      <c r="Y1388" s="150"/>
      <c r="Z1388" s="150"/>
      <c r="AA1388" s="150"/>
      <c r="AB1388" s="150"/>
      <c r="AC1388" s="150"/>
      <c r="AD1388" s="381"/>
      <c r="AE1388" s="150"/>
      <c r="AF1388" s="110"/>
      <c r="AG1388" s="110"/>
      <c r="AH1388" s="69"/>
      <c r="AI1388" s="105"/>
      <c r="AJ1388" s="98"/>
      <c r="AK1388" s="110"/>
      <c r="AL1388" s="98"/>
      <c r="AM1388" s="69"/>
      <c r="AN1388" s="13"/>
      <c r="AO1388" s="13"/>
      <c r="AP1388" s="13"/>
      <c r="AQ1388" s="13"/>
      <c r="AR1388" s="13"/>
      <c r="AS1388" s="13"/>
      <c r="AT1388" s="13"/>
      <c r="AU1388" s="13"/>
      <c r="AV1388" s="13"/>
      <c r="AW1388" s="13"/>
      <c r="AX1388" s="13"/>
      <c r="AY1388" s="13"/>
      <c r="AZ1388" s="13"/>
      <c r="BA1388" s="13"/>
      <c r="BB1388" s="13"/>
      <c r="BC1388" s="13"/>
      <c r="BD1388" s="13"/>
      <c r="BE1388" s="13"/>
      <c r="BF1388" s="13"/>
      <c r="BG1388" s="13"/>
    </row>
    <row r="1389">
      <c r="A1389" s="69"/>
      <c r="B1389" s="69"/>
      <c r="C1389" s="13"/>
      <c r="D1389" s="99"/>
      <c r="E1389" s="13"/>
      <c r="F1389" s="99"/>
      <c r="G1389" s="69"/>
      <c r="H1389" s="98"/>
      <c r="J1389" s="69"/>
      <c r="K1389" s="99"/>
      <c r="L1389" s="389"/>
      <c r="M1389" s="182"/>
      <c r="N1389" s="375"/>
      <c r="O1389" s="378"/>
      <c r="P1389" s="13"/>
      <c r="Q1389" s="13"/>
      <c r="R1389" s="13"/>
      <c r="S1389" s="98"/>
      <c r="T1389" s="69"/>
      <c r="U1389" s="69"/>
      <c r="V1389" s="13"/>
      <c r="W1389" s="13"/>
      <c r="X1389" s="379"/>
      <c r="Y1389" s="150"/>
      <c r="Z1389" s="150"/>
      <c r="AA1389" s="150"/>
      <c r="AB1389" s="150"/>
      <c r="AC1389" s="150"/>
      <c r="AD1389" s="381"/>
      <c r="AE1389" s="150"/>
      <c r="AF1389" s="110"/>
      <c r="AG1389" s="110"/>
      <c r="AH1389" s="69"/>
      <c r="AI1389" s="105"/>
      <c r="AJ1389" s="98"/>
      <c r="AK1389" s="110"/>
      <c r="AL1389" s="98"/>
      <c r="AM1389" s="69"/>
      <c r="AN1389" s="13"/>
      <c r="AO1389" s="13"/>
      <c r="AP1389" s="13"/>
      <c r="AQ1389" s="13"/>
      <c r="AR1389" s="13"/>
      <c r="AS1389" s="13"/>
      <c r="AT1389" s="13"/>
      <c r="AU1389" s="13"/>
      <c r="AV1389" s="13"/>
      <c r="AW1389" s="13"/>
      <c r="AX1389" s="13"/>
      <c r="AY1389" s="13"/>
      <c r="AZ1389" s="13"/>
      <c r="BA1389" s="13"/>
      <c r="BB1389" s="13"/>
      <c r="BC1389" s="13"/>
      <c r="BD1389" s="13"/>
      <c r="BE1389" s="13"/>
      <c r="BF1389" s="13"/>
      <c r="BG1389" s="13"/>
    </row>
    <row r="1390">
      <c r="A1390" s="69"/>
      <c r="B1390" s="69"/>
      <c r="C1390" s="13"/>
      <c r="D1390" s="99"/>
      <c r="E1390" s="13"/>
      <c r="F1390" s="99"/>
      <c r="G1390" s="69"/>
      <c r="H1390" s="98"/>
      <c r="J1390" s="69"/>
      <c r="K1390" s="99"/>
      <c r="L1390" s="389"/>
      <c r="M1390" s="182"/>
      <c r="N1390" s="375"/>
      <c r="O1390" s="378"/>
      <c r="P1390" s="13"/>
      <c r="Q1390" s="13"/>
      <c r="R1390" s="13"/>
      <c r="S1390" s="98"/>
      <c r="T1390" s="69"/>
      <c r="U1390" s="69"/>
      <c r="V1390" s="13"/>
      <c r="W1390" s="13"/>
      <c r="X1390" s="379"/>
      <c r="Y1390" s="150"/>
      <c r="Z1390" s="150"/>
      <c r="AA1390" s="150"/>
      <c r="AB1390" s="150"/>
      <c r="AC1390" s="150"/>
      <c r="AD1390" s="381"/>
      <c r="AE1390" s="150"/>
      <c r="AF1390" s="110"/>
      <c r="AG1390" s="110"/>
      <c r="AH1390" s="69"/>
      <c r="AI1390" s="105"/>
      <c r="AJ1390" s="98"/>
      <c r="AK1390" s="110"/>
      <c r="AL1390" s="98"/>
      <c r="AM1390" s="69"/>
      <c r="AN1390" s="13"/>
      <c r="AO1390" s="13"/>
      <c r="AP1390" s="13"/>
      <c r="AQ1390" s="13"/>
      <c r="AR1390" s="13"/>
      <c r="AS1390" s="13"/>
      <c r="AT1390" s="13"/>
      <c r="AU1390" s="13"/>
      <c r="AV1390" s="13"/>
      <c r="AW1390" s="13"/>
      <c r="AX1390" s="13"/>
      <c r="AY1390" s="13"/>
      <c r="AZ1390" s="13"/>
      <c r="BA1390" s="13"/>
      <c r="BB1390" s="13"/>
      <c r="BC1390" s="13"/>
      <c r="BD1390" s="13"/>
      <c r="BE1390" s="13"/>
      <c r="BF1390" s="13"/>
      <c r="BG1390" s="13"/>
    </row>
    <row r="1391">
      <c r="A1391" s="69"/>
      <c r="B1391" s="69"/>
      <c r="C1391" s="13"/>
      <c r="D1391" s="99"/>
      <c r="E1391" s="13"/>
      <c r="F1391" s="99"/>
      <c r="G1391" s="69"/>
      <c r="H1391" s="98"/>
      <c r="J1391" s="69"/>
      <c r="K1391" s="99"/>
      <c r="L1391" s="389"/>
      <c r="M1391" s="182"/>
      <c r="N1391" s="375"/>
      <c r="O1391" s="378"/>
      <c r="P1391" s="13"/>
      <c r="Q1391" s="13"/>
      <c r="R1391" s="13"/>
      <c r="S1391" s="98"/>
      <c r="T1391" s="69"/>
      <c r="U1391" s="69"/>
      <c r="V1391" s="13"/>
      <c r="W1391" s="13"/>
      <c r="X1391" s="379"/>
      <c r="Y1391" s="150"/>
      <c r="Z1391" s="150"/>
      <c r="AA1391" s="150"/>
      <c r="AB1391" s="150"/>
      <c r="AC1391" s="150"/>
      <c r="AD1391" s="381"/>
      <c r="AE1391" s="150"/>
      <c r="AF1391" s="110"/>
      <c r="AG1391" s="110"/>
      <c r="AH1391" s="69"/>
      <c r="AI1391" s="105"/>
      <c r="AJ1391" s="98"/>
      <c r="AK1391" s="110"/>
      <c r="AL1391" s="98"/>
      <c r="AM1391" s="69"/>
      <c r="AN1391" s="13"/>
      <c r="AO1391" s="13"/>
      <c r="AP1391" s="13"/>
      <c r="AQ1391" s="13"/>
      <c r="AR1391" s="13"/>
      <c r="AS1391" s="13"/>
      <c r="AT1391" s="13"/>
      <c r="AU1391" s="13"/>
      <c r="AV1391" s="13"/>
      <c r="AW1391" s="13"/>
      <c r="AX1391" s="13"/>
      <c r="AY1391" s="13"/>
      <c r="AZ1391" s="13"/>
      <c r="BA1391" s="13"/>
      <c r="BB1391" s="13"/>
      <c r="BC1391" s="13"/>
      <c r="BD1391" s="13"/>
      <c r="BE1391" s="13"/>
      <c r="BF1391" s="13"/>
      <c r="BG1391" s="13"/>
    </row>
    <row r="1392">
      <c r="A1392" s="69"/>
      <c r="B1392" s="69"/>
      <c r="C1392" s="13"/>
      <c r="D1392" s="99"/>
      <c r="E1392" s="13"/>
      <c r="F1392" s="99"/>
      <c r="G1392" s="69"/>
      <c r="H1392" s="98"/>
      <c r="J1392" s="69"/>
      <c r="K1392" s="99"/>
      <c r="L1392" s="389"/>
      <c r="M1392" s="182"/>
      <c r="N1392" s="375"/>
      <c r="O1392" s="378"/>
      <c r="P1392" s="13"/>
      <c r="Q1392" s="13"/>
      <c r="R1392" s="13"/>
      <c r="S1392" s="98"/>
      <c r="T1392" s="69"/>
      <c r="U1392" s="69"/>
      <c r="V1392" s="13"/>
      <c r="W1392" s="13"/>
      <c r="X1392" s="379"/>
      <c r="Y1392" s="150"/>
      <c r="Z1392" s="150"/>
      <c r="AA1392" s="150"/>
      <c r="AB1392" s="150"/>
      <c r="AC1392" s="150"/>
      <c r="AD1392" s="381"/>
      <c r="AE1392" s="150"/>
      <c r="AF1392" s="110"/>
      <c r="AG1392" s="110"/>
      <c r="AH1392" s="69"/>
      <c r="AI1392" s="105"/>
      <c r="AJ1392" s="98"/>
      <c r="AK1392" s="110"/>
      <c r="AL1392" s="98"/>
      <c r="AM1392" s="69"/>
      <c r="AN1392" s="13"/>
      <c r="AO1392" s="13"/>
      <c r="AP1392" s="13"/>
      <c r="AQ1392" s="13"/>
      <c r="AR1392" s="13"/>
      <c r="AS1392" s="13"/>
      <c r="AT1392" s="13"/>
      <c r="AU1392" s="13"/>
      <c r="AV1392" s="13"/>
      <c r="AW1392" s="13"/>
      <c r="AX1392" s="13"/>
      <c r="AY1392" s="13"/>
      <c r="AZ1392" s="13"/>
      <c r="BA1392" s="13"/>
      <c r="BB1392" s="13"/>
      <c r="BC1392" s="13"/>
      <c r="BD1392" s="13"/>
      <c r="BE1392" s="13"/>
      <c r="BF1392" s="13"/>
      <c r="BG1392" s="13"/>
    </row>
    <row r="1393">
      <c r="A1393" s="69"/>
      <c r="B1393" s="69"/>
      <c r="C1393" s="13"/>
      <c r="D1393" s="99"/>
      <c r="E1393" s="13"/>
      <c r="F1393" s="99"/>
      <c r="G1393" s="69"/>
      <c r="H1393" s="98"/>
      <c r="J1393" s="69"/>
      <c r="K1393" s="99"/>
      <c r="L1393" s="389"/>
      <c r="M1393" s="182"/>
      <c r="N1393" s="375"/>
      <c r="O1393" s="378"/>
      <c r="P1393" s="13"/>
      <c r="Q1393" s="13"/>
      <c r="R1393" s="13"/>
      <c r="S1393" s="98"/>
      <c r="T1393" s="69"/>
      <c r="U1393" s="69"/>
      <c r="V1393" s="13"/>
      <c r="W1393" s="13"/>
      <c r="X1393" s="379"/>
      <c r="Y1393" s="150"/>
      <c r="Z1393" s="150"/>
      <c r="AA1393" s="150"/>
      <c r="AB1393" s="150"/>
      <c r="AC1393" s="150"/>
      <c r="AD1393" s="381"/>
      <c r="AE1393" s="150"/>
      <c r="AF1393" s="110"/>
      <c r="AG1393" s="110"/>
      <c r="AH1393" s="69"/>
      <c r="AI1393" s="105"/>
      <c r="AJ1393" s="98"/>
      <c r="AK1393" s="110"/>
      <c r="AL1393" s="98"/>
      <c r="AM1393" s="69"/>
      <c r="AN1393" s="13"/>
      <c r="AO1393" s="13"/>
      <c r="AP1393" s="13"/>
      <c r="AQ1393" s="13"/>
      <c r="AR1393" s="13"/>
      <c r="AS1393" s="13"/>
      <c r="AT1393" s="13"/>
      <c r="AU1393" s="13"/>
      <c r="AV1393" s="13"/>
      <c r="AW1393" s="13"/>
      <c r="AX1393" s="13"/>
      <c r="AY1393" s="13"/>
      <c r="AZ1393" s="13"/>
      <c r="BA1393" s="13"/>
      <c r="BB1393" s="13"/>
      <c r="BC1393" s="13"/>
      <c r="BD1393" s="13"/>
      <c r="BE1393" s="13"/>
      <c r="BF1393" s="13"/>
      <c r="BG1393" s="13"/>
    </row>
    <row r="1394">
      <c r="A1394" s="69"/>
      <c r="B1394" s="69"/>
      <c r="C1394" s="13"/>
      <c r="D1394" s="99"/>
      <c r="E1394" s="13"/>
      <c r="F1394" s="99"/>
      <c r="G1394" s="69"/>
      <c r="H1394" s="98"/>
      <c r="J1394" s="69"/>
      <c r="K1394" s="99"/>
      <c r="L1394" s="389"/>
      <c r="M1394" s="182"/>
      <c r="N1394" s="375"/>
      <c r="O1394" s="378"/>
      <c r="P1394" s="13"/>
      <c r="Q1394" s="13"/>
      <c r="R1394" s="13"/>
      <c r="S1394" s="98"/>
      <c r="T1394" s="69"/>
      <c r="U1394" s="69"/>
      <c r="V1394" s="13"/>
      <c r="W1394" s="13"/>
      <c r="X1394" s="379"/>
      <c r="Y1394" s="150"/>
      <c r="Z1394" s="150"/>
      <c r="AA1394" s="150"/>
      <c r="AB1394" s="150"/>
      <c r="AC1394" s="150"/>
      <c r="AD1394" s="381"/>
      <c r="AE1394" s="150"/>
      <c r="AF1394" s="110"/>
      <c r="AG1394" s="110"/>
      <c r="AH1394" s="69"/>
      <c r="AI1394" s="105"/>
      <c r="AJ1394" s="98"/>
      <c r="AK1394" s="110"/>
      <c r="AL1394" s="98"/>
      <c r="AM1394" s="69"/>
      <c r="AN1394" s="13"/>
      <c r="AO1394" s="13"/>
      <c r="AP1394" s="13"/>
      <c r="AQ1394" s="13"/>
      <c r="AR1394" s="13"/>
      <c r="AS1394" s="13"/>
      <c r="AT1394" s="13"/>
      <c r="AU1394" s="13"/>
      <c r="AV1394" s="13"/>
      <c r="AW1394" s="13"/>
      <c r="AX1394" s="13"/>
      <c r="AY1394" s="13"/>
      <c r="AZ1394" s="13"/>
      <c r="BA1394" s="13"/>
      <c r="BB1394" s="13"/>
      <c r="BC1394" s="13"/>
      <c r="BD1394" s="13"/>
      <c r="BE1394" s="13"/>
      <c r="BF1394" s="13"/>
      <c r="BG1394" s="13"/>
    </row>
    <row r="1395">
      <c r="A1395" s="69"/>
      <c r="B1395" s="69"/>
      <c r="C1395" s="13"/>
      <c r="D1395" s="99"/>
      <c r="E1395" s="13"/>
      <c r="F1395" s="99"/>
      <c r="G1395" s="69"/>
      <c r="H1395" s="98"/>
      <c r="J1395" s="69"/>
      <c r="K1395" s="99"/>
      <c r="L1395" s="389"/>
      <c r="M1395" s="182"/>
      <c r="N1395" s="375"/>
      <c r="O1395" s="378"/>
      <c r="P1395" s="13"/>
      <c r="Q1395" s="13"/>
      <c r="R1395" s="13"/>
      <c r="S1395" s="98"/>
      <c r="T1395" s="69"/>
      <c r="U1395" s="69"/>
      <c r="V1395" s="13"/>
      <c r="W1395" s="13"/>
      <c r="X1395" s="379"/>
      <c r="Y1395" s="150"/>
      <c r="Z1395" s="150"/>
      <c r="AA1395" s="150"/>
      <c r="AB1395" s="150"/>
      <c r="AC1395" s="150"/>
      <c r="AD1395" s="381"/>
      <c r="AE1395" s="150"/>
      <c r="AF1395" s="110"/>
      <c r="AG1395" s="110"/>
      <c r="AH1395" s="69"/>
      <c r="AI1395" s="105"/>
      <c r="AJ1395" s="98"/>
      <c r="AK1395" s="110"/>
      <c r="AL1395" s="98"/>
      <c r="AM1395" s="69"/>
      <c r="AN1395" s="13"/>
      <c r="AO1395" s="13"/>
      <c r="AP1395" s="13"/>
      <c r="AQ1395" s="13"/>
      <c r="AR1395" s="13"/>
      <c r="AS1395" s="13"/>
      <c r="AT1395" s="13"/>
      <c r="AU1395" s="13"/>
      <c r="AV1395" s="13"/>
      <c r="AW1395" s="13"/>
      <c r="AX1395" s="13"/>
      <c r="AY1395" s="13"/>
      <c r="AZ1395" s="13"/>
      <c r="BA1395" s="13"/>
      <c r="BB1395" s="13"/>
      <c r="BC1395" s="13"/>
      <c r="BD1395" s="13"/>
      <c r="BE1395" s="13"/>
      <c r="BF1395" s="13"/>
      <c r="BG1395" s="13"/>
    </row>
    <row r="1396">
      <c r="A1396" s="69"/>
      <c r="B1396" s="69"/>
      <c r="C1396" s="13"/>
      <c r="D1396" s="99"/>
      <c r="E1396" s="13"/>
      <c r="F1396" s="99"/>
      <c r="G1396" s="69"/>
      <c r="H1396" s="98"/>
      <c r="J1396" s="69"/>
      <c r="K1396" s="99"/>
      <c r="L1396" s="389"/>
      <c r="M1396" s="182"/>
      <c r="N1396" s="375"/>
      <c r="O1396" s="378"/>
      <c r="P1396" s="13"/>
      <c r="Q1396" s="13"/>
      <c r="R1396" s="13"/>
      <c r="S1396" s="98"/>
      <c r="T1396" s="69"/>
      <c r="U1396" s="69"/>
      <c r="V1396" s="13"/>
      <c r="W1396" s="13"/>
      <c r="X1396" s="379"/>
      <c r="Y1396" s="150"/>
      <c r="Z1396" s="150"/>
      <c r="AA1396" s="150"/>
      <c r="AB1396" s="150"/>
      <c r="AC1396" s="150"/>
      <c r="AD1396" s="381"/>
      <c r="AE1396" s="150"/>
      <c r="AF1396" s="110"/>
      <c r="AG1396" s="110"/>
      <c r="AH1396" s="69"/>
      <c r="AI1396" s="105"/>
      <c r="AJ1396" s="98"/>
      <c r="AK1396" s="110"/>
      <c r="AL1396" s="98"/>
      <c r="AM1396" s="69"/>
      <c r="AN1396" s="13"/>
      <c r="AO1396" s="13"/>
      <c r="AP1396" s="13"/>
      <c r="AQ1396" s="13"/>
      <c r="AR1396" s="13"/>
      <c r="AS1396" s="13"/>
      <c r="AT1396" s="13"/>
      <c r="AU1396" s="13"/>
      <c r="AV1396" s="13"/>
      <c r="AW1396" s="13"/>
      <c r="AX1396" s="13"/>
      <c r="AY1396" s="13"/>
      <c r="AZ1396" s="13"/>
      <c r="BA1396" s="13"/>
      <c r="BB1396" s="13"/>
      <c r="BC1396" s="13"/>
      <c r="BD1396" s="13"/>
      <c r="BE1396" s="13"/>
      <c r="BF1396" s="13"/>
      <c r="BG1396" s="13"/>
    </row>
    <row r="1397">
      <c r="A1397" s="69"/>
      <c r="B1397" s="69"/>
      <c r="C1397" s="13"/>
      <c r="D1397" s="99"/>
      <c r="E1397" s="13"/>
      <c r="F1397" s="99"/>
      <c r="G1397" s="69"/>
      <c r="H1397" s="98"/>
      <c r="J1397" s="69"/>
      <c r="K1397" s="99"/>
      <c r="L1397" s="389"/>
      <c r="M1397" s="182"/>
      <c r="N1397" s="375"/>
      <c r="O1397" s="378"/>
      <c r="P1397" s="13"/>
      <c r="Q1397" s="13"/>
      <c r="R1397" s="13"/>
      <c r="S1397" s="98"/>
      <c r="T1397" s="69"/>
      <c r="U1397" s="69"/>
      <c r="V1397" s="13"/>
      <c r="W1397" s="13"/>
      <c r="X1397" s="379"/>
      <c r="Y1397" s="150"/>
      <c r="Z1397" s="150"/>
      <c r="AA1397" s="150"/>
      <c r="AB1397" s="150"/>
      <c r="AC1397" s="150"/>
      <c r="AD1397" s="381"/>
      <c r="AE1397" s="150"/>
      <c r="AF1397" s="110"/>
      <c r="AG1397" s="110"/>
      <c r="AH1397" s="69"/>
      <c r="AI1397" s="105"/>
      <c r="AJ1397" s="98"/>
      <c r="AK1397" s="110"/>
      <c r="AL1397" s="98"/>
      <c r="AM1397" s="69"/>
      <c r="AN1397" s="13"/>
      <c r="AO1397" s="13"/>
      <c r="AP1397" s="13"/>
      <c r="AQ1397" s="13"/>
      <c r="AR1397" s="13"/>
      <c r="AS1397" s="13"/>
      <c r="AT1397" s="13"/>
      <c r="AU1397" s="13"/>
      <c r="AV1397" s="13"/>
      <c r="AW1397" s="13"/>
      <c r="AX1397" s="13"/>
      <c r="AY1397" s="13"/>
      <c r="AZ1397" s="13"/>
      <c r="BA1397" s="13"/>
      <c r="BB1397" s="13"/>
      <c r="BC1397" s="13"/>
      <c r="BD1397" s="13"/>
      <c r="BE1397" s="13"/>
      <c r="BF1397" s="13"/>
      <c r="BG1397" s="13"/>
    </row>
    <row r="1398">
      <c r="A1398" s="69"/>
      <c r="B1398" s="69"/>
      <c r="C1398" s="13"/>
      <c r="D1398" s="99"/>
      <c r="E1398" s="13"/>
      <c r="F1398" s="99"/>
      <c r="G1398" s="69"/>
      <c r="H1398" s="98"/>
      <c r="J1398" s="69"/>
      <c r="K1398" s="99"/>
      <c r="L1398" s="389"/>
      <c r="M1398" s="182"/>
      <c r="N1398" s="375"/>
      <c r="O1398" s="378"/>
      <c r="P1398" s="13"/>
      <c r="Q1398" s="13"/>
      <c r="R1398" s="13"/>
      <c r="S1398" s="98"/>
      <c r="T1398" s="69"/>
      <c r="U1398" s="69"/>
      <c r="V1398" s="13"/>
      <c r="W1398" s="13"/>
      <c r="X1398" s="379"/>
      <c r="Y1398" s="150"/>
      <c r="Z1398" s="150"/>
      <c r="AA1398" s="150"/>
      <c r="AB1398" s="150"/>
      <c r="AC1398" s="150"/>
      <c r="AD1398" s="381"/>
      <c r="AE1398" s="150"/>
      <c r="AF1398" s="110"/>
      <c r="AG1398" s="110"/>
      <c r="AH1398" s="69"/>
      <c r="AI1398" s="105"/>
      <c r="AJ1398" s="98"/>
      <c r="AK1398" s="110"/>
      <c r="AL1398" s="98"/>
      <c r="AM1398" s="69"/>
      <c r="AN1398" s="13"/>
      <c r="AO1398" s="13"/>
      <c r="AP1398" s="13"/>
      <c r="AQ1398" s="13"/>
      <c r="AR1398" s="13"/>
      <c r="AS1398" s="13"/>
      <c r="AT1398" s="13"/>
      <c r="AU1398" s="13"/>
      <c r="AV1398" s="13"/>
      <c r="AW1398" s="13"/>
      <c r="AX1398" s="13"/>
      <c r="AY1398" s="13"/>
      <c r="AZ1398" s="13"/>
      <c r="BA1398" s="13"/>
      <c r="BB1398" s="13"/>
      <c r="BC1398" s="13"/>
      <c r="BD1398" s="13"/>
      <c r="BE1398" s="13"/>
      <c r="BF1398" s="13"/>
      <c r="BG1398" s="13"/>
    </row>
    <row r="1399">
      <c r="A1399" s="69"/>
      <c r="B1399" s="69"/>
      <c r="C1399" s="13"/>
      <c r="D1399" s="99"/>
      <c r="E1399" s="13"/>
      <c r="F1399" s="99"/>
      <c r="G1399" s="69"/>
      <c r="H1399" s="98"/>
      <c r="J1399" s="69"/>
      <c r="K1399" s="99"/>
      <c r="L1399" s="389"/>
      <c r="M1399" s="182"/>
      <c r="N1399" s="375"/>
      <c r="O1399" s="378"/>
      <c r="P1399" s="13"/>
      <c r="Q1399" s="13"/>
      <c r="R1399" s="13"/>
      <c r="S1399" s="98"/>
      <c r="T1399" s="69"/>
      <c r="U1399" s="69"/>
      <c r="V1399" s="13"/>
      <c r="W1399" s="13"/>
      <c r="X1399" s="379"/>
      <c r="Y1399" s="150"/>
      <c r="Z1399" s="150"/>
      <c r="AA1399" s="150"/>
      <c r="AB1399" s="150"/>
      <c r="AC1399" s="150"/>
      <c r="AD1399" s="381"/>
      <c r="AE1399" s="150"/>
      <c r="AF1399" s="110"/>
      <c r="AG1399" s="110"/>
      <c r="AH1399" s="69"/>
      <c r="AI1399" s="105"/>
      <c r="AJ1399" s="98"/>
      <c r="AK1399" s="110"/>
      <c r="AL1399" s="98"/>
      <c r="AM1399" s="69"/>
      <c r="AN1399" s="13"/>
      <c r="AO1399" s="13"/>
      <c r="AP1399" s="13"/>
      <c r="AQ1399" s="13"/>
      <c r="AR1399" s="13"/>
      <c r="AS1399" s="13"/>
      <c r="AT1399" s="13"/>
      <c r="AU1399" s="13"/>
      <c r="AV1399" s="13"/>
      <c r="AW1399" s="13"/>
      <c r="AX1399" s="13"/>
      <c r="AY1399" s="13"/>
      <c r="AZ1399" s="13"/>
      <c r="BA1399" s="13"/>
      <c r="BB1399" s="13"/>
      <c r="BC1399" s="13"/>
      <c r="BD1399" s="13"/>
      <c r="BE1399" s="13"/>
      <c r="BF1399" s="13"/>
      <c r="BG1399" s="13"/>
    </row>
    <row r="1400">
      <c r="A1400" s="69"/>
      <c r="B1400" s="69"/>
      <c r="C1400" s="13"/>
      <c r="D1400" s="99"/>
      <c r="E1400" s="13"/>
      <c r="F1400" s="99"/>
      <c r="G1400" s="69"/>
      <c r="H1400" s="98"/>
      <c r="J1400" s="69"/>
      <c r="K1400" s="99"/>
      <c r="L1400" s="389"/>
      <c r="M1400" s="182"/>
      <c r="N1400" s="375"/>
      <c r="O1400" s="378"/>
      <c r="P1400" s="13"/>
      <c r="Q1400" s="13"/>
      <c r="R1400" s="13"/>
      <c r="S1400" s="98"/>
      <c r="T1400" s="69"/>
      <c r="U1400" s="69"/>
      <c r="V1400" s="13"/>
      <c r="W1400" s="13"/>
      <c r="X1400" s="379"/>
      <c r="Y1400" s="150"/>
      <c r="Z1400" s="150"/>
      <c r="AA1400" s="150"/>
      <c r="AB1400" s="150"/>
      <c r="AC1400" s="150"/>
      <c r="AD1400" s="381"/>
      <c r="AE1400" s="150"/>
      <c r="AF1400" s="110"/>
      <c r="AG1400" s="110"/>
      <c r="AH1400" s="69"/>
      <c r="AI1400" s="105"/>
      <c r="AJ1400" s="98"/>
      <c r="AK1400" s="110"/>
      <c r="AL1400" s="98"/>
      <c r="AM1400" s="69"/>
      <c r="AN1400" s="13"/>
      <c r="AO1400" s="13"/>
      <c r="AP1400" s="13"/>
      <c r="AQ1400" s="13"/>
      <c r="AR1400" s="13"/>
      <c r="AS1400" s="13"/>
      <c r="AT1400" s="13"/>
      <c r="AU1400" s="13"/>
      <c r="AV1400" s="13"/>
      <c r="AW1400" s="13"/>
      <c r="AX1400" s="13"/>
      <c r="AY1400" s="13"/>
      <c r="AZ1400" s="13"/>
      <c r="BA1400" s="13"/>
      <c r="BB1400" s="13"/>
      <c r="BC1400" s="13"/>
      <c r="BD1400" s="13"/>
      <c r="BE1400" s="13"/>
      <c r="BF1400" s="13"/>
      <c r="BG1400" s="13"/>
    </row>
    <row r="1401">
      <c r="A1401" s="69"/>
      <c r="B1401" s="69"/>
      <c r="C1401" s="13"/>
      <c r="D1401" s="99"/>
      <c r="E1401" s="13"/>
      <c r="F1401" s="99"/>
      <c r="G1401" s="69"/>
      <c r="H1401" s="98"/>
      <c r="J1401" s="69"/>
      <c r="K1401" s="99"/>
      <c r="L1401" s="389"/>
      <c r="M1401" s="182"/>
      <c r="N1401" s="375"/>
      <c r="O1401" s="378"/>
      <c r="P1401" s="13"/>
      <c r="Q1401" s="13"/>
      <c r="R1401" s="13"/>
      <c r="S1401" s="98"/>
      <c r="T1401" s="69"/>
      <c r="U1401" s="69"/>
      <c r="V1401" s="13"/>
      <c r="W1401" s="13"/>
      <c r="X1401" s="379"/>
      <c r="Y1401" s="150"/>
      <c r="Z1401" s="150"/>
      <c r="AA1401" s="150"/>
      <c r="AB1401" s="150"/>
      <c r="AC1401" s="150"/>
      <c r="AD1401" s="381"/>
      <c r="AE1401" s="150"/>
      <c r="AF1401" s="110"/>
      <c r="AG1401" s="110"/>
      <c r="AH1401" s="69"/>
      <c r="AI1401" s="105"/>
      <c r="AJ1401" s="98"/>
      <c r="AK1401" s="110"/>
      <c r="AL1401" s="98"/>
      <c r="AM1401" s="69"/>
      <c r="AN1401" s="13"/>
      <c r="AO1401" s="13"/>
      <c r="AP1401" s="13"/>
      <c r="AQ1401" s="13"/>
      <c r="AR1401" s="13"/>
      <c r="AS1401" s="13"/>
      <c r="AT1401" s="13"/>
      <c r="AU1401" s="13"/>
      <c r="AV1401" s="13"/>
      <c r="AW1401" s="13"/>
      <c r="AX1401" s="13"/>
      <c r="AY1401" s="13"/>
      <c r="AZ1401" s="13"/>
      <c r="BA1401" s="13"/>
      <c r="BB1401" s="13"/>
      <c r="BC1401" s="13"/>
      <c r="BD1401" s="13"/>
      <c r="BE1401" s="13"/>
      <c r="BF1401" s="13"/>
      <c r="BG1401" s="13"/>
    </row>
    <row r="1402">
      <c r="A1402" s="69"/>
      <c r="B1402" s="69"/>
      <c r="C1402" s="13"/>
      <c r="D1402" s="99"/>
      <c r="E1402" s="13"/>
      <c r="F1402" s="99"/>
      <c r="G1402" s="69"/>
      <c r="H1402" s="98"/>
      <c r="J1402" s="69"/>
      <c r="K1402" s="99"/>
      <c r="L1402" s="389"/>
      <c r="M1402" s="182"/>
      <c r="N1402" s="375"/>
      <c r="O1402" s="378"/>
      <c r="P1402" s="13"/>
      <c r="Q1402" s="13"/>
      <c r="R1402" s="13"/>
      <c r="S1402" s="98"/>
      <c r="T1402" s="69"/>
      <c r="U1402" s="69"/>
      <c r="V1402" s="13"/>
      <c r="W1402" s="13"/>
      <c r="X1402" s="379"/>
      <c r="Y1402" s="150"/>
      <c r="Z1402" s="150"/>
      <c r="AA1402" s="150"/>
      <c r="AB1402" s="150"/>
      <c r="AC1402" s="150"/>
      <c r="AD1402" s="381"/>
      <c r="AE1402" s="150"/>
      <c r="AF1402" s="110"/>
      <c r="AG1402" s="110"/>
      <c r="AH1402" s="69"/>
      <c r="AI1402" s="105"/>
      <c r="AJ1402" s="98"/>
      <c r="AK1402" s="110"/>
      <c r="AL1402" s="98"/>
      <c r="AM1402" s="69"/>
      <c r="AN1402" s="13"/>
      <c r="AO1402" s="13"/>
      <c r="AP1402" s="13"/>
      <c r="AQ1402" s="13"/>
      <c r="AR1402" s="13"/>
      <c r="AS1402" s="13"/>
      <c r="AT1402" s="13"/>
      <c r="AU1402" s="13"/>
      <c r="AV1402" s="13"/>
      <c r="AW1402" s="13"/>
      <c r="AX1402" s="13"/>
      <c r="AY1402" s="13"/>
      <c r="AZ1402" s="13"/>
      <c r="BA1402" s="13"/>
      <c r="BB1402" s="13"/>
      <c r="BC1402" s="13"/>
      <c r="BD1402" s="13"/>
      <c r="BE1402" s="13"/>
      <c r="BF1402" s="13"/>
      <c r="BG1402" s="13"/>
    </row>
    <row r="1403">
      <c r="A1403" s="69"/>
      <c r="B1403" s="69"/>
      <c r="C1403" s="13"/>
      <c r="D1403" s="99"/>
      <c r="E1403" s="13"/>
      <c r="F1403" s="99"/>
      <c r="G1403" s="69"/>
      <c r="H1403" s="98"/>
      <c r="J1403" s="69"/>
      <c r="K1403" s="99"/>
      <c r="L1403" s="389"/>
      <c r="M1403" s="182"/>
      <c r="N1403" s="375"/>
      <c r="O1403" s="378"/>
      <c r="P1403" s="13"/>
      <c r="Q1403" s="13"/>
      <c r="R1403" s="13"/>
      <c r="S1403" s="98"/>
      <c r="T1403" s="69"/>
      <c r="U1403" s="69"/>
      <c r="V1403" s="13"/>
      <c r="W1403" s="13"/>
      <c r="X1403" s="379"/>
      <c r="Y1403" s="150"/>
      <c r="Z1403" s="150"/>
      <c r="AA1403" s="150"/>
      <c r="AB1403" s="150"/>
      <c r="AC1403" s="150"/>
      <c r="AD1403" s="381"/>
      <c r="AE1403" s="150"/>
      <c r="AF1403" s="110"/>
      <c r="AG1403" s="110"/>
      <c r="AH1403" s="69"/>
      <c r="AI1403" s="105"/>
      <c r="AJ1403" s="98"/>
      <c r="AK1403" s="110"/>
      <c r="AL1403" s="98"/>
      <c r="AM1403" s="69"/>
      <c r="AN1403" s="13"/>
      <c r="AO1403" s="13"/>
      <c r="AP1403" s="13"/>
      <c r="AQ1403" s="13"/>
      <c r="AR1403" s="13"/>
      <c r="AS1403" s="13"/>
      <c r="AT1403" s="13"/>
      <c r="AU1403" s="13"/>
      <c r="AV1403" s="13"/>
      <c r="AW1403" s="13"/>
      <c r="AX1403" s="13"/>
      <c r="AY1403" s="13"/>
      <c r="AZ1403" s="13"/>
      <c r="BA1403" s="13"/>
      <c r="BB1403" s="13"/>
      <c r="BC1403" s="13"/>
      <c r="BD1403" s="13"/>
      <c r="BE1403" s="13"/>
      <c r="BF1403" s="13"/>
      <c r="BG1403" s="13"/>
    </row>
    <row r="1404">
      <c r="A1404" s="69"/>
      <c r="B1404" s="69"/>
      <c r="C1404" s="13"/>
      <c r="D1404" s="99"/>
      <c r="E1404" s="13"/>
      <c r="F1404" s="99"/>
      <c r="G1404" s="69"/>
      <c r="H1404" s="98"/>
      <c r="J1404" s="69"/>
      <c r="K1404" s="99"/>
      <c r="L1404" s="389"/>
      <c r="M1404" s="182"/>
      <c r="N1404" s="375"/>
      <c r="O1404" s="378"/>
      <c r="P1404" s="13"/>
      <c r="Q1404" s="13"/>
      <c r="R1404" s="13"/>
      <c r="S1404" s="98"/>
      <c r="T1404" s="69"/>
      <c r="U1404" s="69"/>
      <c r="V1404" s="13"/>
      <c r="W1404" s="13"/>
      <c r="X1404" s="379"/>
      <c r="Y1404" s="150"/>
      <c r="Z1404" s="150"/>
      <c r="AA1404" s="150"/>
      <c r="AB1404" s="150"/>
      <c r="AC1404" s="150"/>
      <c r="AD1404" s="381"/>
      <c r="AE1404" s="150"/>
      <c r="AF1404" s="110"/>
      <c r="AG1404" s="110"/>
      <c r="AH1404" s="69"/>
      <c r="AI1404" s="105"/>
      <c r="AJ1404" s="98"/>
      <c r="AK1404" s="110"/>
      <c r="AL1404" s="98"/>
      <c r="AM1404" s="69"/>
      <c r="AN1404" s="13"/>
      <c r="AO1404" s="13"/>
      <c r="AP1404" s="13"/>
      <c r="AQ1404" s="13"/>
      <c r="AR1404" s="13"/>
      <c r="AS1404" s="13"/>
      <c r="AT1404" s="13"/>
      <c r="AU1404" s="13"/>
      <c r="AV1404" s="13"/>
      <c r="AW1404" s="13"/>
      <c r="AX1404" s="13"/>
      <c r="AY1404" s="13"/>
      <c r="AZ1404" s="13"/>
      <c r="BA1404" s="13"/>
      <c r="BB1404" s="13"/>
      <c r="BC1404" s="13"/>
      <c r="BD1404" s="13"/>
      <c r="BE1404" s="13"/>
      <c r="BF1404" s="13"/>
      <c r="BG1404" s="13"/>
    </row>
    <row r="1405">
      <c r="A1405" s="69"/>
      <c r="B1405" s="69"/>
      <c r="C1405" s="13"/>
      <c r="D1405" s="99"/>
      <c r="E1405" s="13"/>
      <c r="F1405" s="99"/>
      <c r="G1405" s="69"/>
      <c r="H1405" s="98"/>
      <c r="J1405" s="69"/>
      <c r="K1405" s="99"/>
      <c r="L1405" s="389"/>
      <c r="M1405" s="182"/>
      <c r="N1405" s="375"/>
      <c r="O1405" s="378"/>
      <c r="P1405" s="13"/>
      <c r="Q1405" s="13"/>
      <c r="R1405" s="13"/>
      <c r="S1405" s="98"/>
      <c r="T1405" s="69"/>
      <c r="U1405" s="69"/>
      <c r="V1405" s="13"/>
      <c r="W1405" s="13"/>
      <c r="X1405" s="379"/>
      <c r="Y1405" s="150"/>
      <c r="Z1405" s="150"/>
      <c r="AA1405" s="150"/>
      <c r="AB1405" s="150"/>
      <c r="AC1405" s="150"/>
      <c r="AD1405" s="381"/>
      <c r="AE1405" s="150"/>
      <c r="AF1405" s="110"/>
      <c r="AG1405" s="110"/>
      <c r="AH1405" s="69"/>
      <c r="AI1405" s="105"/>
      <c r="AJ1405" s="98"/>
      <c r="AK1405" s="110"/>
      <c r="AL1405" s="98"/>
      <c r="AM1405" s="69"/>
      <c r="AN1405" s="13"/>
      <c r="AO1405" s="13"/>
      <c r="AP1405" s="13"/>
      <c r="AQ1405" s="13"/>
      <c r="AR1405" s="13"/>
      <c r="AS1405" s="13"/>
      <c r="AT1405" s="13"/>
      <c r="AU1405" s="13"/>
      <c r="AV1405" s="13"/>
      <c r="AW1405" s="13"/>
      <c r="AX1405" s="13"/>
      <c r="AY1405" s="13"/>
      <c r="AZ1405" s="13"/>
      <c r="BA1405" s="13"/>
      <c r="BB1405" s="13"/>
      <c r="BC1405" s="13"/>
      <c r="BD1405" s="13"/>
      <c r="BE1405" s="13"/>
      <c r="BF1405" s="13"/>
      <c r="BG1405" s="13"/>
    </row>
    <row r="1406">
      <c r="A1406" s="69"/>
      <c r="B1406" s="69"/>
      <c r="C1406" s="13"/>
      <c r="D1406" s="99"/>
      <c r="E1406" s="13"/>
      <c r="F1406" s="99"/>
      <c r="G1406" s="69"/>
      <c r="H1406" s="98"/>
      <c r="J1406" s="69"/>
      <c r="K1406" s="99"/>
      <c r="L1406" s="389"/>
      <c r="M1406" s="182"/>
      <c r="N1406" s="375"/>
      <c r="O1406" s="378"/>
      <c r="P1406" s="13"/>
      <c r="Q1406" s="13"/>
      <c r="R1406" s="13"/>
      <c r="S1406" s="98"/>
      <c r="T1406" s="69"/>
      <c r="U1406" s="69"/>
      <c r="V1406" s="13"/>
      <c r="W1406" s="13"/>
      <c r="X1406" s="379"/>
      <c r="Y1406" s="150"/>
      <c r="Z1406" s="150"/>
      <c r="AA1406" s="150"/>
      <c r="AB1406" s="150"/>
      <c r="AC1406" s="150"/>
      <c r="AD1406" s="381"/>
      <c r="AE1406" s="150"/>
      <c r="AF1406" s="110"/>
      <c r="AG1406" s="110"/>
      <c r="AH1406" s="69"/>
      <c r="AI1406" s="105"/>
      <c r="AJ1406" s="98"/>
      <c r="AK1406" s="110"/>
      <c r="AL1406" s="98"/>
      <c r="AM1406" s="69"/>
      <c r="AN1406" s="13"/>
      <c r="AO1406" s="13"/>
      <c r="AP1406" s="13"/>
      <c r="AQ1406" s="13"/>
      <c r="AR1406" s="13"/>
      <c r="AS1406" s="13"/>
      <c r="AT1406" s="13"/>
      <c r="AU1406" s="13"/>
      <c r="AV1406" s="13"/>
      <c r="AW1406" s="13"/>
      <c r="AX1406" s="13"/>
      <c r="AY1406" s="13"/>
      <c r="AZ1406" s="13"/>
      <c r="BA1406" s="13"/>
      <c r="BB1406" s="13"/>
      <c r="BC1406" s="13"/>
      <c r="BD1406" s="13"/>
      <c r="BE1406" s="13"/>
      <c r="BF1406" s="13"/>
      <c r="BG1406" s="13"/>
    </row>
    <row r="1407">
      <c r="A1407" s="69"/>
      <c r="B1407" s="69"/>
      <c r="C1407" s="13"/>
      <c r="D1407" s="99"/>
      <c r="E1407" s="13"/>
      <c r="F1407" s="99"/>
      <c r="G1407" s="69"/>
      <c r="H1407" s="98"/>
      <c r="J1407" s="69"/>
      <c r="K1407" s="99"/>
      <c r="L1407" s="389"/>
      <c r="M1407" s="182"/>
      <c r="N1407" s="375"/>
      <c r="O1407" s="378"/>
      <c r="P1407" s="13"/>
      <c r="Q1407" s="13"/>
      <c r="R1407" s="13"/>
      <c r="S1407" s="98"/>
      <c r="T1407" s="69"/>
      <c r="U1407" s="69"/>
      <c r="V1407" s="13"/>
      <c r="W1407" s="13"/>
      <c r="X1407" s="379"/>
      <c r="Y1407" s="150"/>
      <c r="Z1407" s="150"/>
      <c r="AA1407" s="150"/>
      <c r="AB1407" s="150"/>
      <c r="AC1407" s="150"/>
      <c r="AD1407" s="381"/>
      <c r="AE1407" s="150"/>
      <c r="AF1407" s="110"/>
      <c r="AG1407" s="110"/>
      <c r="AH1407" s="69"/>
      <c r="AI1407" s="105"/>
      <c r="AJ1407" s="98"/>
      <c r="AK1407" s="110"/>
      <c r="AL1407" s="98"/>
      <c r="AM1407" s="69"/>
      <c r="AN1407" s="13"/>
      <c r="AO1407" s="13"/>
      <c r="AP1407" s="13"/>
      <c r="AQ1407" s="13"/>
      <c r="AR1407" s="13"/>
      <c r="AS1407" s="13"/>
      <c r="AT1407" s="13"/>
      <c r="AU1407" s="13"/>
      <c r="AV1407" s="13"/>
      <c r="AW1407" s="13"/>
      <c r="AX1407" s="13"/>
      <c r="AY1407" s="13"/>
      <c r="AZ1407" s="13"/>
      <c r="BA1407" s="13"/>
      <c r="BB1407" s="13"/>
      <c r="BC1407" s="13"/>
      <c r="BD1407" s="13"/>
      <c r="BE1407" s="13"/>
      <c r="BF1407" s="13"/>
      <c r="BG1407" s="13"/>
    </row>
    <row r="1408">
      <c r="A1408" s="69"/>
      <c r="B1408" s="69"/>
      <c r="C1408" s="13"/>
      <c r="D1408" s="99"/>
      <c r="E1408" s="13"/>
      <c r="F1408" s="99"/>
      <c r="G1408" s="69"/>
      <c r="H1408" s="98"/>
      <c r="J1408" s="69"/>
      <c r="K1408" s="99"/>
      <c r="L1408" s="389"/>
      <c r="M1408" s="182"/>
      <c r="N1408" s="375"/>
      <c r="O1408" s="378"/>
      <c r="P1408" s="13"/>
      <c r="Q1408" s="13"/>
      <c r="R1408" s="13"/>
      <c r="S1408" s="98"/>
      <c r="T1408" s="69"/>
      <c r="U1408" s="69"/>
      <c r="V1408" s="13"/>
      <c r="W1408" s="13"/>
      <c r="X1408" s="379"/>
      <c r="Y1408" s="150"/>
      <c r="Z1408" s="150"/>
      <c r="AA1408" s="150"/>
      <c r="AB1408" s="150"/>
      <c r="AC1408" s="150"/>
      <c r="AD1408" s="381"/>
      <c r="AE1408" s="150"/>
      <c r="AF1408" s="110"/>
      <c r="AG1408" s="110"/>
      <c r="AH1408" s="69"/>
      <c r="AI1408" s="105"/>
      <c r="AJ1408" s="98"/>
      <c r="AK1408" s="110"/>
      <c r="AL1408" s="98"/>
      <c r="AM1408" s="69"/>
      <c r="AN1408" s="13"/>
      <c r="AO1408" s="13"/>
      <c r="AP1408" s="13"/>
      <c r="AQ1408" s="13"/>
      <c r="AR1408" s="13"/>
      <c r="AS1408" s="13"/>
      <c r="AT1408" s="13"/>
      <c r="AU1408" s="13"/>
      <c r="AV1408" s="13"/>
      <c r="AW1408" s="13"/>
      <c r="AX1408" s="13"/>
      <c r="AY1408" s="13"/>
      <c r="AZ1408" s="13"/>
      <c r="BA1408" s="13"/>
      <c r="BB1408" s="13"/>
      <c r="BC1408" s="13"/>
      <c r="BD1408" s="13"/>
      <c r="BE1408" s="13"/>
      <c r="BF1408" s="13"/>
      <c r="BG1408" s="13"/>
    </row>
    <row r="1409">
      <c r="A1409" s="69"/>
      <c r="B1409" s="69"/>
      <c r="C1409" s="13"/>
      <c r="D1409" s="99"/>
      <c r="E1409" s="13"/>
      <c r="F1409" s="99"/>
      <c r="G1409" s="69"/>
      <c r="H1409" s="98"/>
      <c r="J1409" s="69"/>
      <c r="K1409" s="99"/>
      <c r="L1409" s="389"/>
      <c r="M1409" s="182"/>
      <c r="N1409" s="375"/>
      <c r="O1409" s="378"/>
      <c r="P1409" s="13"/>
      <c r="Q1409" s="13"/>
      <c r="R1409" s="13"/>
      <c r="S1409" s="98"/>
      <c r="T1409" s="69"/>
      <c r="U1409" s="69"/>
      <c r="V1409" s="13"/>
      <c r="W1409" s="13"/>
      <c r="X1409" s="379"/>
      <c r="Y1409" s="150"/>
      <c r="Z1409" s="150"/>
      <c r="AA1409" s="150"/>
      <c r="AB1409" s="150"/>
      <c r="AC1409" s="150"/>
      <c r="AD1409" s="381"/>
      <c r="AE1409" s="150"/>
      <c r="AF1409" s="110"/>
      <c r="AG1409" s="110"/>
      <c r="AH1409" s="69"/>
      <c r="AI1409" s="105"/>
      <c r="AJ1409" s="98"/>
      <c r="AK1409" s="110"/>
      <c r="AL1409" s="98"/>
      <c r="AM1409" s="69"/>
      <c r="AN1409" s="13"/>
      <c r="AO1409" s="13"/>
      <c r="AP1409" s="13"/>
      <c r="AQ1409" s="13"/>
      <c r="AR1409" s="13"/>
      <c r="AS1409" s="13"/>
      <c r="AT1409" s="13"/>
      <c r="AU1409" s="13"/>
      <c r="AV1409" s="13"/>
      <c r="AW1409" s="13"/>
      <c r="AX1409" s="13"/>
      <c r="AY1409" s="13"/>
      <c r="AZ1409" s="13"/>
      <c r="BA1409" s="13"/>
      <c r="BB1409" s="13"/>
      <c r="BC1409" s="13"/>
      <c r="BD1409" s="13"/>
      <c r="BE1409" s="13"/>
      <c r="BF1409" s="13"/>
      <c r="BG1409" s="13"/>
    </row>
    <row r="1410">
      <c r="A1410" s="69"/>
      <c r="B1410" s="69"/>
      <c r="C1410" s="13"/>
      <c r="D1410" s="99"/>
      <c r="E1410" s="13"/>
      <c r="F1410" s="99"/>
      <c r="G1410" s="69"/>
      <c r="H1410" s="98"/>
      <c r="J1410" s="69"/>
      <c r="K1410" s="99"/>
      <c r="L1410" s="389"/>
      <c r="M1410" s="182"/>
      <c r="N1410" s="375"/>
      <c r="O1410" s="378"/>
      <c r="P1410" s="13"/>
      <c r="Q1410" s="13"/>
      <c r="R1410" s="13"/>
      <c r="S1410" s="98"/>
      <c r="T1410" s="69"/>
      <c r="U1410" s="69"/>
      <c r="V1410" s="13"/>
      <c r="W1410" s="13"/>
      <c r="X1410" s="379"/>
      <c r="Y1410" s="150"/>
      <c r="Z1410" s="150"/>
      <c r="AA1410" s="150"/>
      <c r="AB1410" s="150"/>
      <c r="AC1410" s="150"/>
      <c r="AD1410" s="381"/>
      <c r="AE1410" s="150"/>
      <c r="AF1410" s="110"/>
      <c r="AG1410" s="110"/>
      <c r="AH1410" s="69"/>
      <c r="AI1410" s="105"/>
      <c r="AJ1410" s="98"/>
      <c r="AK1410" s="110"/>
      <c r="AL1410" s="98"/>
      <c r="AM1410" s="69"/>
      <c r="AN1410" s="13"/>
      <c r="AO1410" s="13"/>
      <c r="AP1410" s="13"/>
      <c r="AQ1410" s="13"/>
      <c r="AR1410" s="13"/>
      <c r="AS1410" s="13"/>
      <c r="AT1410" s="13"/>
      <c r="AU1410" s="13"/>
      <c r="AV1410" s="13"/>
      <c r="AW1410" s="13"/>
      <c r="AX1410" s="13"/>
      <c r="AY1410" s="13"/>
      <c r="AZ1410" s="13"/>
      <c r="BA1410" s="13"/>
      <c r="BB1410" s="13"/>
      <c r="BC1410" s="13"/>
      <c r="BD1410" s="13"/>
      <c r="BE1410" s="13"/>
      <c r="BF1410" s="13"/>
      <c r="BG1410" s="13"/>
    </row>
    <row r="1411">
      <c r="A1411" s="69"/>
      <c r="B1411" s="69"/>
      <c r="C1411" s="13"/>
      <c r="D1411" s="99"/>
      <c r="E1411" s="13"/>
      <c r="F1411" s="99"/>
      <c r="G1411" s="69"/>
      <c r="H1411" s="98"/>
      <c r="J1411" s="69"/>
      <c r="K1411" s="99"/>
      <c r="L1411" s="389"/>
      <c r="M1411" s="182"/>
      <c r="N1411" s="375"/>
      <c r="O1411" s="378"/>
      <c r="P1411" s="13"/>
      <c r="Q1411" s="13"/>
      <c r="R1411" s="13"/>
      <c r="S1411" s="98"/>
      <c r="T1411" s="69"/>
      <c r="U1411" s="69"/>
      <c r="V1411" s="13"/>
      <c r="W1411" s="13"/>
      <c r="X1411" s="379"/>
      <c r="Y1411" s="150"/>
      <c r="Z1411" s="150"/>
      <c r="AA1411" s="150"/>
      <c r="AB1411" s="150"/>
      <c r="AC1411" s="150"/>
      <c r="AD1411" s="381"/>
      <c r="AE1411" s="150"/>
      <c r="AF1411" s="110"/>
      <c r="AG1411" s="110"/>
      <c r="AH1411" s="69"/>
      <c r="AI1411" s="105"/>
      <c r="AJ1411" s="98"/>
      <c r="AK1411" s="110"/>
      <c r="AL1411" s="98"/>
      <c r="AM1411" s="69"/>
      <c r="AN1411" s="13"/>
      <c r="AO1411" s="13"/>
      <c r="AP1411" s="13"/>
      <c r="AQ1411" s="13"/>
      <c r="AR1411" s="13"/>
      <c r="AS1411" s="13"/>
      <c r="AT1411" s="13"/>
      <c r="AU1411" s="13"/>
      <c r="AV1411" s="13"/>
      <c r="AW1411" s="13"/>
      <c r="AX1411" s="13"/>
      <c r="AY1411" s="13"/>
      <c r="AZ1411" s="13"/>
      <c r="BA1411" s="13"/>
      <c r="BB1411" s="13"/>
      <c r="BC1411" s="13"/>
      <c r="BD1411" s="13"/>
      <c r="BE1411" s="13"/>
      <c r="BF1411" s="13"/>
      <c r="BG1411" s="13"/>
    </row>
    <row r="1412">
      <c r="A1412" s="69"/>
      <c r="B1412" s="69"/>
      <c r="C1412" s="13"/>
      <c r="D1412" s="99"/>
      <c r="E1412" s="13"/>
      <c r="F1412" s="99"/>
      <c r="G1412" s="69"/>
      <c r="H1412" s="98"/>
      <c r="J1412" s="69"/>
      <c r="K1412" s="99"/>
      <c r="L1412" s="389"/>
      <c r="M1412" s="182"/>
      <c r="N1412" s="375"/>
      <c r="O1412" s="378"/>
      <c r="P1412" s="13"/>
      <c r="Q1412" s="13"/>
      <c r="R1412" s="13"/>
      <c r="S1412" s="98"/>
      <c r="T1412" s="69"/>
      <c r="U1412" s="69"/>
      <c r="V1412" s="13"/>
      <c r="W1412" s="13"/>
      <c r="X1412" s="379"/>
      <c r="Y1412" s="150"/>
      <c r="Z1412" s="150"/>
      <c r="AA1412" s="150"/>
      <c r="AB1412" s="150"/>
      <c r="AC1412" s="150"/>
      <c r="AD1412" s="381"/>
      <c r="AE1412" s="150"/>
      <c r="AF1412" s="110"/>
      <c r="AG1412" s="110"/>
      <c r="AH1412" s="69"/>
      <c r="AI1412" s="105"/>
      <c r="AJ1412" s="98"/>
      <c r="AK1412" s="110"/>
      <c r="AL1412" s="98"/>
      <c r="AM1412" s="69"/>
      <c r="AN1412" s="13"/>
      <c r="AO1412" s="13"/>
      <c r="AP1412" s="13"/>
      <c r="AQ1412" s="13"/>
      <c r="AR1412" s="13"/>
      <c r="AS1412" s="13"/>
      <c r="AT1412" s="13"/>
      <c r="AU1412" s="13"/>
      <c r="AV1412" s="13"/>
      <c r="AW1412" s="13"/>
      <c r="AX1412" s="13"/>
      <c r="AY1412" s="13"/>
      <c r="AZ1412" s="13"/>
      <c r="BA1412" s="13"/>
      <c r="BB1412" s="13"/>
      <c r="BC1412" s="13"/>
      <c r="BD1412" s="13"/>
      <c r="BE1412" s="13"/>
      <c r="BF1412" s="13"/>
      <c r="BG1412" s="13"/>
    </row>
    <row r="1413">
      <c r="A1413" s="69"/>
      <c r="B1413" s="69"/>
      <c r="C1413" s="13"/>
      <c r="D1413" s="99"/>
      <c r="E1413" s="13"/>
      <c r="F1413" s="99"/>
      <c r="G1413" s="69"/>
      <c r="H1413" s="98"/>
      <c r="J1413" s="69"/>
      <c r="K1413" s="99"/>
      <c r="L1413" s="389"/>
      <c r="M1413" s="182"/>
      <c r="N1413" s="375"/>
      <c r="O1413" s="378"/>
      <c r="P1413" s="13"/>
      <c r="Q1413" s="13"/>
      <c r="R1413" s="13"/>
      <c r="S1413" s="98"/>
      <c r="T1413" s="69"/>
      <c r="U1413" s="69"/>
      <c r="V1413" s="13"/>
      <c r="W1413" s="13"/>
      <c r="X1413" s="379"/>
      <c r="Y1413" s="150"/>
      <c r="Z1413" s="150"/>
      <c r="AA1413" s="150"/>
      <c r="AB1413" s="150"/>
      <c r="AC1413" s="150"/>
      <c r="AD1413" s="381"/>
      <c r="AE1413" s="150"/>
      <c r="AF1413" s="110"/>
      <c r="AG1413" s="110"/>
      <c r="AH1413" s="69"/>
      <c r="AI1413" s="105"/>
      <c r="AJ1413" s="98"/>
      <c r="AK1413" s="110"/>
      <c r="AL1413" s="98"/>
      <c r="AM1413" s="69"/>
      <c r="AN1413" s="13"/>
      <c r="AO1413" s="13"/>
      <c r="AP1413" s="13"/>
      <c r="AQ1413" s="13"/>
      <c r="AR1413" s="13"/>
      <c r="AS1413" s="13"/>
      <c r="AT1413" s="13"/>
      <c r="AU1413" s="13"/>
      <c r="AV1413" s="13"/>
      <c r="AW1413" s="13"/>
      <c r="AX1413" s="13"/>
      <c r="AY1413" s="13"/>
      <c r="AZ1413" s="13"/>
      <c r="BA1413" s="13"/>
      <c r="BB1413" s="13"/>
      <c r="BC1413" s="13"/>
      <c r="BD1413" s="13"/>
      <c r="BE1413" s="13"/>
      <c r="BF1413" s="13"/>
      <c r="BG1413" s="13"/>
    </row>
    <row r="1414">
      <c r="A1414" s="69"/>
      <c r="B1414" s="69"/>
      <c r="C1414" s="13"/>
      <c r="D1414" s="99"/>
      <c r="E1414" s="13"/>
      <c r="F1414" s="99"/>
      <c r="G1414" s="69"/>
      <c r="H1414" s="98"/>
      <c r="J1414" s="69"/>
      <c r="K1414" s="99"/>
      <c r="L1414" s="389"/>
      <c r="M1414" s="182"/>
      <c r="N1414" s="375"/>
      <c r="O1414" s="378"/>
      <c r="P1414" s="13"/>
      <c r="Q1414" s="13"/>
      <c r="R1414" s="13"/>
      <c r="S1414" s="98"/>
      <c r="T1414" s="69"/>
      <c r="U1414" s="69"/>
      <c r="V1414" s="13"/>
      <c r="W1414" s="13"/>
      <c r="X1414" s="379"/>
      <c r="Y1414" s="150"/>
      <c r="Z1414" s="150"/>
      <c r="AA1414" s="150"/>
      <c r="AB1414" s="150"/>
      <c r="AC1414" s="150"/>
      <c r="AD1414" s="381"/>
      <c r="AE1414" s="150"/>
      <c r="AF1414" s="110"/>
      <c r="AG1414" s="110"/>
      <c r="AH1414" s="69"/>
      <c r="AI1414" s="105"/>
      <c r="AJ1414" s="98"/>
      <c r="AK1414" s="110"/>
      <c r="AL1414" s="98"/>
      <c r="AM1414" s="69"/>
      <c r="AN1414" s="13"/>
      <c r="AO1414" s="13"/>
      <c r="AP1414" s="13"/>
      <c r="AQ1414" s="13"/>
      <c r="AR1414" s="13"/>
      <c r="AS1414" s="13"/>
      <c r="AT1414" s="13"/>
      <c r="AU1414" s="13"/>
      <c r="AV1414" s="13"/>
      <c r="AW1414" s="13"/>
      <c r="AX1414" s="13"/>
      <c r="AY1414" s="13"/>
      <c r="AZ1414" s="13"/>
      <c r="BA1414" s="13"/>
      <c r="BB1414" s="13"/>
      <c r="BC1414" s="13"/>
      <c r="BD1414" s="13"/>
      <c r="BE1414" s="13"/>
      <c r="BF1414" s="13"/>
      <c r="BG1414" s="13"/>
    </row>
    <row r="1415">
      <c r="A1415" s="69"/>
      <c r="B1415" s="69"/>
      <c r="C1415" s="13"/>
      <c r="D1415" s="99"/>
      <c r="E1415" s="13"/>
      <c r="F1415" s="99"/>
      <c r="G1415" s="69"/>
      <c r="H1415" s="98"/>
      <c r="J1415" s="69"/>
      <c r="K1415" s="99"/>
      <c r="L1415" s="389"/>
      <c r="M1415" s="182"/>
      <c r="N1415" s="375"/>
      <c r="O1415" s="378"/>
      <c r="P1415" s="13"/>
      <c r="Q1415" s="13"/>
      <c r="R1415" s="13"/>
      <c r="S1415" s="98"/>
      <c r="T1415" s="69"/>
      <c r="U1415" s="69"/>
      <c r="V1415" s="13"/>
      <c r="W1415" s="13"/>
      <c r="X1415" s="379"/>
      <c r="Y1415" s="150"/>
      <c r="Z1415" s="150"/>
      <c r="AA1415" s="150"/>
      <c r="AB1415" s="150"/>
      <c r="AC1415" s="150"/>
      <c r="AD1415" s="381"/>
      <c r="AE1415" s="150"/>
      <c r="AF1415" s="110"/>
      <c r="AG1415" s="110"/>
      <c r="AH1415" s="69"/>
      <c r="AI1415" s="105"/>
      <c r="AJ1415" s="98"/>
      <c r="AK1415" s="110"/>
      <c r="AL1415" s="98"/>
      <c r="AM1415" s="69"/>
      <c r="AN1415" s="13"/>
      <c r="AO1415" s="13"/>
      <c r="AP1415" s="13"/>
      <c r="AQ1415" s="13"/>
      <c r="AR1415" s="13"/>
      <c r="AS1415" s="13"/>
      <c r="AT1415" s="13"/>
      <c r="AU1415" s="13"/>
      <c r="AV1415" s="13"/>
      <c r="AW1415" s="13"/>
      <c r="AX1415" s="13"/>
      <c r="AY1415" s="13"/>
      <c r="AZ1415" s="13"/>
      <c r="BA1415" s="13"/>
      <c r="BB1415" s="13"/>
      <c r="BC1415" s="13"/>
      <c r="BD1415" s="13"/>
      <c r="BE1415" s="13"/>
      <c r="BF1415" s="13"/>
      <c r="BG1415" s="13"/>
    </row>
    <row r="1416">
      <c r="A1416" s="69"/>
      <c r="B1416" s="69"/>
      <c r="C1416" s="13"/>
      <c r="D1416" s="99"/>
      <c r="E1416" s="13"/>
      <c r="F1416" s="99"/>
      <c r="G1416" s="69"/>
      <c r="H1416" s="98"/>
      <c r="J1416" s="69"/>
      <c r="K1416" s="99"/>
      <c r="L1416" s="389"/>
      <c r="M1416" s="182"/>
      <c r="N1416" s="375"/>
      <c r="O1416" s="378"/>
      <c r="P1416" s="13"/>
      <c r="Q1416" s="13"/>
      <c r="R1416" s="13"/>
      <c r="S1416" s="98"/>
      <c r="T1416" s="69"/>
      <c r="U1416" s="69"/>
      <c r="V1416" s="13"/>
      <c r="W1416" s="13"/>
      <c r="X1416" s="379"/>
      <c r="Y1416" s="150"/>
      <c r="Z1416" s="150"/>
      <c r="AA1416" s="150"/>
      <c r="AB1416" s="150"/>
      <c r="AC1416" s="150"/>
      <c r="AD1416" s="381"/>
      <c r="AE1416" s="150"/>
      <c r="AF1416" s="110"/>
      <c r="AG1416" s="110"/>
      <c r="AH1416" s="69"/>
      <c r="AI1416" s="105"/>
      <c r="AJ1416" s="98"/>
      <c r="AK1416" s="110"/>
      <c r="AL1416" s="98"/>
      <c r="AM1416" s="69"/>
      <c r="AN1416" s="13"/>
      <c r="AO1416" s="13"/>
      <c r="AP1416" s="13"/>
      <c r="AQ1416" s="13"/>
      <c r="AR1416" s="13"/>
      <c r="AS1416" s="13"/>
      <c r="AT1416" s="13"/>
      <c r="AU1416" s="13"/>
      <c r="AV1416" s="13"/>
      <c r="AW1416" s="13"/>
      <c r="AX1416" s="13"/>
      <c r="AY1416" s="13"/>
      <c r="AZ1416" s="13"/>
      <c r="BA1416" s="13"/>
      <c r="BB1416" s="13"/>
      <c r="BC1416" s="13"/>
      <c r="BD1416" s="13"/>
      <c r="BE1416" s="13"/>
      <c r="BF1416" s="13"/>
      <c r="BG1416" s="13"/>
    </row>
    <row r="1417">
      <c r="A1417" s="69"/>
      <c r="B1417" s="69"/>
      <c r="C1417" s="13"/>
      <c r="D1417" s="99"/>
      <c r="E1417" s="13"/>
      <c r="F1417" s="99"/>
      <c r="G1417" s="69"/>
      <c r="H1417" s="98"/>
      <c r="J1417" s="69"/>
      <c r="K1417" s="99"/>
      <c r="L1417" s="389"/>
      <c r="M1417" s="182"/>
      <c r="N1417" s="375"/>
      <c r="O1417" s="378"/>
      <c r="P1417" s="13"/>
      <c r="Q1417" s="13"/>
      <c r="R1417" s="13"/>
      <c r="S1417" s="98"/>
      <c r="T1417" s="69"/>
      <c r="U1417" s="69"/>
      <c r="V1417" s="13"/>
      <c r="W1417" s="13"/>
      <c r="X1417" s="379"/>
      <c r="Y1417" s="150"/>
      <c r="Z1417" s="150"/>
      <c r="AA1417" s="150"/>
      <c r="AB1417" s="150"/>
      <c r="AC1417" s="150"/>
      <c r="AD1417" s="381"/>
      <c r="AE1417" s="150"/>
      <c r="AF1417" s="110"/>
      <c r="AG1417" s="110"/>
      <c r="AH1417" s="69"/>
      <c r="AI1417" s="105"/>
      <c r="AJ1417" s="98"/>
      <c r="AK1417" s="110"/>
      <c r="AL1417" s="98"/>
      <c r="AM1417" s="69"/>
      <c r="AN1417" s="13"/>
      <c r="AO1417" s="13"/>
      <c r="AP1417" s="13"/>
      <c r="AQ1417" s="13"/>
      <c r="AR1417" s="13"/>
      <c r="AS1417" s="13"/>
      <c r="AT1417" s="13"/>
      <c r="AU1417" s="13"/>
      <c r="AV1417" s="13"/>
      <c r="AW1417" s="13"/>
      <c r="AX1417" s="13"/>
      <c r="AY1417" s="13"/>
      <c r="AZ1417" s="13"/>
      <c r="BA1417" s="13"/>
      <c r="BB1417" s="13"/>
      <c r="BC1417" s="13"/>
      <c r="BD1417" s="13"/>
      <c r="BE1417" s="13"/>
      <c r="BF1417" s="13"/>
      <c r="BG1417" s="13"/>
    </row>
    <row r="1418">
      <c r="A1418" s="69"/>
      <c r="B1418" s="69"/>
      <c r="C1418" s="13"/>
      <c r="D1418" s="99"/>
      <c r="E1418" s="13"/>
      <c r="F1418" s="99"/>
      <c r="G1418" s="69"/>
      <c r="H1418" s="98"/>
      <c r="J1418" s="69"/>
      <c r="K1418" s="99"/>
      <c r="L1418" s="389"/>
      <c r="M1418" s="182"/>
      <c r="N1418" s="375"/>
      <c r="O1418" s="378"/>
      <c r="P1418" s="13"/>
      <c r="Q1418" s="13"/>
      <c r="R1418" s="13"/>
      <c r="S1418" s="98"/>
      <c r="T1418" s="69"/>
      <c r="U1418" s="69"/>
      <c r="V1418" s="13"/>
      <c r="W1418" s="13"/>
      <c r="X1418" s="379"/>
      <c r="Y1418" s="150"/>
      <c r="Z1418" s="150"/>
      <c r="AA1418" s="150"/>
      <c r="AB1418" s="150"/>
      <c r="AC1418" s="150"/>
      <c r="AD1418" s="381"/>
      <c r="AE1418" s="150"/>
      <c r="AF1418" s="110"/>
      <c r="AG1418" s="110"/>
      <c r="AH1418" s="69"/>
      <c r="AI1418" s="105"/>
      <c r="AJ1418" s="98"/>
      <c r="AK1418" s="110"/>
      <c r="AL1418" s="98"/>
      <c r="AM1418" s="69"/>
      <c r="AN1418" s="13"/>
      <c r="AO1418" s="13"/>
      <c r="AP1418" s="13"/>
      <c r="AQ1418" s="13"/>
      <c r="AR1418" s="13"/>
      <c r="AS1418" s="13"/>
      <c r="AT1418" s="13"/>
      <c r="AU1418" s="13"/>
      <c r="AV1418" s="13"/>
      <c r="AW1418" s="13"/>
      <c r="AX1418" s="13"/>
      <c r="AY1418" s="13"/>
      <c r="AZ1418" s="13"/>
      <c r="BA1418" s="13"/>
      <c r="BB1418" s="13"/>
      <c r="BC1418" s="13"/>
      <c r="BD1418" s="13"/>
      <c r="BE1418" s="13"/>
      <c r="BF1418" s="13"/>
      <c r="BG1418" s="13"/>
    </row>
    <row r="1419">
      <c r="A1419" s="69"/>
      <c r="B1419" s="69"/>
      <c r="C1419" s="13"/>
      <c r="D1419" s="99"/>
      <c r="E1419" s="13"/>
      <c r="F1419" s="99"/>
      <c r="G1419" s="69"/>
      <c r="H1419" s="98"/>
      <c r="J1419" s="69"/>
      <c r="K1419" s="99"/>
      <c r="L1419" s="389"/>
      <c r="M1419" s="182"/>
      <c r="N1419" s="375"/>
      <c r="O1419" s="378"/>
      <c r="P1419" s="13"/>
      <c r="Q1419" s="13"/>
      <c r="R1419" s="13"/>
      <c r="S1419" s="98"/>
      <c r="T1419" s="69"/>
      <c r="U1419" s="69"/>
      <c r="V1419" s="13"/>
      <c r="W1419" s="13"/>
      <c r="X1419" s="379"/>
      <c r="Y1419" s="150"/>
      <c r="Z1419" s="150"/>
      <c r="AA1419" s="150"/>
      <c r="AB1419" s="150"/>
      <c r="AC1419" s="150"/>
      <c r="AD1419" s="381"/>
      <c r="AE1419" s="150"/>
      <c r="AF1419" s="110"/>
      <c r="AG1419" s="110"/>
      <c r="AH1419" s="69"/>
      <c r="AI1419" s="105"/>
      <c r="AJ1419" s="98"/>
      <c r="AK1419" s="110"/>
      <c r="AL1419" s="98"/>
      <c r="AM1419" s="69"/>
      <c r="AN1419" s="13"/>
      <c r="AO1419" s="13"/>
      <c r="AP1419" s="13"/>
      <c r="AQ1419" s="13"/>
      <c r="AR1419" s="13"/>
      <c r="AS1419" s="13"/>
      <c r="AT1419" s="13"/>
      <c r="AU1419" s="13"/>
      <c r="AV1419" s="13"/>
      <c r="AW1419" s="13"/>
      <c r="AX1419" s="13"/>
      <c r="AY1419" s="13"/>
      <c r="AZ1419" s="13"/>
      <c r="BA1419" s="13"/>
      <c r="BB1419" s="13"/>
      <c r="BC1419" s="13"/>
      <c r="BD1419" s="13"/>
      <c r="BE1419" s="13"/>
      <c r="BF1419" s="13"/>
      <c r="BG1419" s="13"/>
    </row>
    <row r="1420">
      <c r="A1420" s="69"/>
      <c r="B1420" s="69"/>
      <c r="C1420" s="13"/>
      <c r="D1420" s="99"/>
      <c r="E1420" s="13"/>
      <c r="F1420" s="99"/>
      <c r="G1420" s="69"/>
      <c r="H1420" s="98"/>
      <c r="J1420" s="69"/>
      <c r="K1420" s="99"/>
      <c r="L1420" s="389"/>
      <c r="M1420" s="182"/>
      <c r="N1420" s="375"/>
      <c r="O1420" s="378"/>
      <c r="P1420" s="13"/>
      <c r="Q1420" s="13"/>
      <c r="R1420" s="13"/>
      <c r="S1420" s="98"/>
      <c r="T1420" s="69"/>
      <c r="U1420" s="69"/>
      <c r="V1420" s="13"/>
      <c r="W1420" s="13"/>
      <c r="X1420" s="379"/>
      <c r="Y1420" s="150"/>
      <c r="Z1420" s="150"/>
      <c r="AA1420" s="150"/>
      <c r="AB1420" s="150"/>
      <c r="AC1420" s="150"/>
      <c r="AD1420" s="381"/>
      <c r="AE1420" s="150"/>
      <c r="AF1420" s="110"/>
      <c r="AG1420" s="110"/>
      <c r="AH1420" s="69"/>
      <c r="AI1420" s="105"/>
      <c r="AJ1420" s="98"/>
      <c r="AK1420" s="110"/>
      <c r="AL1420" s="98"/>
      <c r="AM1420" s="69"/>
      <c r="AN1420" s="13"/>
      <c r="AO1420" s="13"/>
      <c r="AP1420" s="13"/>
      <c r="AQ1420" s="13"/>
      <c r="AR1420" s="13"/>
      <c r="AS1420" s="13"/>
      <c r="AT1420" s="13"/>
      <c r="AU1420" s="13"/>
      <c r="AV1420" s="13"/>
      <c r="AW1420" s="13"/>
      <c r="AX1420" s="13"/>
      <c r="AY1420" s="13"/>
      <c r="AZ1420" s="13"/>
      <c r="BA1420" s="13"/>
      <c r="BB1420" s="13"/>
      <c r="BC1420" s="13"/>
      <c r="BD1420" s="13"/>
      <c r="BE1420" s="13"/>
      <c r="BF1420" s="13"/>
      <c r="BG1420" s="13"/>
    </row>
    <row r="1421">
      <c r="A1421" s="69"/>
      <c r="B1421" s="69"/>
      <c r="C1421" s="13"/>
      <c r="D1421" s="99"/>
      <c r="E1421" s="13"/>
      <c r="F1421" s="99"/>
      <c r="G1421" s="69"/>
      <c r="H1421" s="98"/>
      <c r="J1421" s="69"/>
      <c r="K1421" s="99"/>
      <c r="L1421" s="389"/>
      <c r="M1421" s="182"/>
      <c r="N1421" s="375"/>
      <c r="O1421" s="378"/>
      <c r="P1421" s="13"/>
      <c r="Q1421" s="13"/>
      <c r="R1421" s="13"/>
      <c r="S1421" s="98"/>
      <c r="T1421" s="69"/>
      <c r="U1421" s="69"/>
      <c r="V1421" s="13"/>
      <c r="W1421" s="13"/>
      <c r="X1421" s="379"/>
      <c r="Y1421" s="150"/>
      <c r="Z1421" s="150"/>
      <c r="AA1421" s="150"/>
      <c r="AB1421" s="150"/>
      <c r="AC1421" s="150"/>
      <c r="AD1421" s="381"/>
      <c r="AE1421" s="150"/>
      <c r="AF1421" s="110"/>
      <c r="AG1421" s="110"/>
      <c r="AH1421" s="69"/>
      <c r="AI1421" s="105"/>
      <c r="AJ1421" s="98"/>
      <c r="AK1421" s="110"/>
      <c r="AL1421" s="98"/>
      <c r="AM1421" s="69"/>
      <c r="AN1421" s="13"/>
      <c r="AO1421" s="13"/>
      <c r="AP1421" s="13"/>
      <c r="AQ1421" s="13"/>
      <c r="AR1421" s="13"/>
      <c r="AS1421" s="13"/>
      <c r="AT1421" s="13"/>
      <c r="AU1421" s="13"/>
      <c r="AV1421" s="13"/>
      <c r="AW1421" s="13"/>
      <c r="AX1421" s="13"/>
      <c r="AY1421" s="13"/>
      <c r="AZ1421" s="13"/>
      <c r="BA1421" s="13"/>
      <c r="BB1421" s="13"/>
      <c r="BC1421" s="13"/>
      <c r="BD1421" s="13"/>
      <c r="BE1421" s="13"/>
      <c r="BF1421" s="13"/>
      <c r="BG1421" s="13"/>
    </row>
    <row r="1422">
      <c r="A1422" s="69"/>
      <c r="B1422" s="69"/>
      <c r="C1422" s="13"/>
      <c r="D1422" s="99"/>
      <c r="E1422" s="13"/>
      <c r="F1422" s="99"/>
      <c r="G1422" s="69"/>
      <c r="H1422" s="98"/>
      <c r="J1422" s="69"/>
      <c r="K1422" s="99"/>
      <c r="L1422" s="389"/>
      <c r="M1422" s="182"/>
      <c r="N1422" s="375"/>
      <c r="O1422" s="378"/>
      <c r="P1422" s="13"/>
      <c r="Q1422" s="13"/>
      <c r="R1422" s="13"/>
      <c r="S1422" s="98"/>
      <c r="T1422" s="69"/>
      <c r="U1422" s="69"/>
      <c r="V1422" s="13"/>
      <c r="W1422" s="13"/>
      <c r="X1422" s="379"/>
      <c r="Y1422" s="150"/>
      <c r="Z1422" s="150"/>
      <c r="AA1422" s="150"/>
      <c r="AB1422" s="150"/>
      <c r="AC1422" s="150"/>
      <c r="AD1422" s="381"/>
      <c r="AE1422" s="150"/>
      <c r="AF1422" s="110"/>
      <c r="AG1422" s="110"/>
      <c r="AH1422" s="69"/>
      <c r="AI1422" s="105"/>
      <c r="AJ1422" s="98"/>
      <c r="AK1422" s="110"/>
      <c r="AL1422" s="98"/>
      <c r="AM1422" s="69"/>
      <c r="AN1422" s="13"/>
      <c r="AO1422" s="13"/>
      <c r="AP1422" s="13"/>
      <c r="AQ1422" s="13"/>
      <c r="AR1422" s="13"/>
      <c r="AS1422" s="13"/>
      <c r="AT1422" s="13"/>
      <c r="AU1422" s="13"/>
      <c r="AV1422" s="13"/>
      <c r="AW1422" s="13"/>
      <c r="AX1422" s="13"/>
      <c r="AY1422" s="13"/>
      <c r="AZ1422" s="13"/>
      <c r="BA1422" s="13"/>
      <c r="BB1422" s="13"/>
      <c r="BC1422" s="13"/>
      <c r="BD1422" s="13"/>
      <c r="BE1422" s="13"/>
      <c r="BF1422" s="13"/>
      <c r="BG1422" s="13"/>
    </row>
    <row r="1423">
      <c r="A1423" s="69"/>
      <c r="B1423" s="69"/>
      <c r="C1423" s="13"/>
      <c r="D1423" s="99"/>
      <c r="E1423" s="13"/>
      <c r="F1423" s="99"/>
      <c r="G1423" s="69"/>
      <c r="H1423" s="98"/>
      <c r="J1423" s="69"/>
      <c r="K1423" s="99"/>
      <c r="L1423" s="389"/>
      <c r="M1423" s="182"/>
      <c r="N1423" s="375"/>
      <c r="O1423" s="378"/>
      <c r="P1423" s="13"/>
      <c r="Q1423" s="13"/>
      <c r="R1423" s="13"/>
      <c r="S1423" s="98"/>
      <c r="T1423" s="69"/>
      <c r="U1423" s="69"/>
      <c r="V1423" s="13"/>
      <c r="W1423" s="13"/>
      <c r="X1423" s="379"/>
      <c r="Y1423" s="150"/>
      <c r="Z1423" s="150"/>
      <c r="AA1423" s="150"/>
      <c r="AB1423" s="150"/>
      <c r="AC1423" s="150"/>
      <c r="AD1423" s="381"/>
      <c r="AE1423" s="150"/>
      <c r="AF1423" s="110"/>
      <c r="AG1423" s="110"/>
      <c r="AH1423" s="69"/>
      <c r="AI1423" s="105"/>
      <c r="AJ1423" s="98"/>
      <c r="AK1423" s="110"/>
      <c r="AL1423" s="98"/>
      <c r="AM1423" s="69"/>
      <c r="AN1423" s="13"/>
      <c r="AO1423" s="13"/>
      <c r="AP1423" s="13"/>
      <c r="AQ1423" s="13"/>
      <c r="AR1423" s="13"/>
      <c r="AS1423" s="13"/>
      <c r="AT1423" s="13"/>
      <c r="AU1423" s="13"/>
      <c r="AV1423" s="13"/>
      <c r="AW1423" s="13"/>
      <c r="AX1423" s="13"/>
      <c r="AY1423" s="13"/>
      <c r="AZ1423" s="13"/>
      <c r="BA1423" s="13"/>
      <c r="BB1423" s="13"/>
      <c r="BC1423" s="13"/>
      <c r="BD1423" s="13"/>
      <c r="BE1423" s="13"/>
      <c r="BF1423" s="13"/>
      <c r="BG1423" s="13"/>
    </row>
    <row r="1424">
      <c r="A1424" s="69"/>
      <c r="B1424" s="69"/>
      <c r="C1424" s="13"/>
      <c r="D1424" s="99"/>
      <c r="E1424" s="13"/>
      <c r="F1424" s="99"/>
      <c r="G1424" s="69"/>
      <c r="H1424" s="98"/>
      <c r="J1424" s="69"/>
      <c r="K1424" s="99"/>
      <c r="L1424" s="389"/>
      <c r="M1424" s="182"/>
      <c r="N1424" s="375"/>
      <c r="O1424" s="378"/>
      <c r="P1424" s="13"/>
      <c r="Q1424" s="13"/>
      <c r="R1424" s="13"/>
      <c r="S1424" s="98"/>
      <c r="T1424" s="69"/>
      <c r="U1424" s="69"/>
      <c r="V1424" s="13"/>
      <c r="W1424" s="13"/>
      <c r="X1424" s="379"/>
      <c r="Y1424" s="150"/>
      <c r="Z1424" s="150"/>
      <c r="AA1424" s="150"/>
      <c r="AB1424" s="150"/>
      <c r="AC1424" s="150"/>
      <c r="AD1424" s="381"/>
      <c r="AE1424" s="150"/>
      <c r="AF1424" s="110"/>
      <c r="AG1424" s="110"/>
      <c r="AH1424" s="69"/>
      <c r="AI1424" s="105"/>
      <c r="AJ1424" s="98"/>
      <c r="AK1424" s="110"/>
      <c r="AL1424" s="98"/>
      <c r="AM1424" s="69"/>
      <c r="AN1424" s="13"/>
      <c r="AO1424" s="13"/>
      <c r="AP1424" s="13"/>
      <c r="AQ1424" s="13"/>
      <c r="AR1424" s="13"/>
      <c r="AS1424" s="13"/>
      <c r="AT1424" s="13"/>
      <c r="AU1424" s="13"/>
      <c r="AV1424" s="13"/>
      <c r="AW1424" s="13"/>
      <c r="AX1424" s="13"/>
      <c r="AY1424" s="13"/>
      <c r="AZ1424" s="13"/>
      <c r="BA1424" s="13"/>
      <c r="BB1424" s="13"/>
      <c r="BC1424" s="13"/>
      <c r="BD1424" s="13"/>
      <c r="BE1424" s="13"/>
      <c r="BF1424" s="13"/>
      <c r="BG1424" s="13"/>
    </row>
    <row r="1425">
      <c r="A1425" s="69"/>
      <c r="B1425" s="69"/>
      <c r="C1425" s="13"/>
      <c r="D1425" s="99"/>
      <c r="E1425" s="13"/>
      <c r="F1425" s="99"/>
      <c r="G1425" s="69"/>
      <c r="H1425" s="98"/>
      <c r="J1425" s="69"/>
      <c r="K1425" s="99"/>
      <c r="L1425" s="389"/>
      <c r="M1425" s="182"/>
      <c r="N1425" s="375"/>
      <c r="O1425" s="378"/>
      <c r="P1425" s="13"/>
      <c r="Q1425" s="13"/>
      <c r="R1425" s="13"/>
      <c r="S1425" s="98"/>
      <c r="T1425" s="69"/>
      <c r="U1425" s="69"/>
      <c r="V1425" s="13"/>
      <c r="W1425" s="13"/>
      <c r="X1425" s="379"/>
      <c r="Y1425" s="150"/>
      <c r="Z1425" s="150"/>
      <c r="AA1425" s="150"/>
      <c r="AB1425" s="150"/>
      <c r="AC1425" s="150"/>
      <c r="AD1425" s="381"/>
      <c r="AE1425" s="150"/>
      <c r="AF1425" s="110"/>
      <c r="AG1425" s="110"/>
      <c r="AH1425" s="69"/>
      <c r="AI1425" s="105"/>
      <c r="AJ1425" s="98"/>
      <c r="AK1425" s="110"/>
      <c r="AL1425" s="98"/>
      <c r="AM1425" s="69"/>
      <c r="AN1425" s="13"/>
      <c r="AO1425" s="13"/>
      <c r="AP1425" s="13"/>
      <c r="AQ1425" s="13"/>
      <c r="AR1425" s="13"/>
      <c r="AS1425" s="13"/>
      <c r="AT1425" s="13"/>
      <c r="AU1425" s="13"/>
      <c r="AV1425" s="13"/>
      <c r="AW1425" s="13"/>
      <c r="AX1425" s="13"/>
      <c r="AY1425" s="13"/>
      <c r="AZ1425" s="13"/>
      <c r="BA1425" s="13"/>
      <c r="BB1425" s="13"/>
      <c r="BC1425" s="13"/>
      <c r="BD1425" s="13"/>
      <c r="BE1425" s="13"/>
      <c r="BF1425" s="13"/>
      <c r="BG1425" s="13"/>
    </row>
    <row r="1426">
      <c r="A1426" s="69"/>
      <c r="B1426" s="69"/>
      <c r="C1426" s="13"/>
      <c r="D1426" s="99"/>
      <c r="E1426" s="13"/>
      <c r="F1426" s="99"/>
      <c r="G1426" s="69"/>
      <c r="H1426" s="98"/>
      <c r="J1426" s="69"/>
      <c r="K1426" s="99"/>
      <c r="L1426" s="389"/>
      <c r="M1426" s="182"/>
      <c r="N1426" s="375"/>
      <c r="O1426" s="378"/>
      <c r="P1426" s="13"/>
      <c r="Q1426" s="13"/>
      <c r="R1426" s="13"/>
      <c r="S1426" s="98"/>
      <c r="T1426" s="69"/>
      <c r="U1426" s="69"/>
      <c r="V1426" s="13"/>
      <c r="W1426" s="13"/>
      <c r="X1426" s="379"/>
      <c r="Y1426" s="150"/>
      <c r="Z1426" s="150"/>
      <c r="AA1426" s="150"/>
      <c r="AB1426" s="150"/>
      <c r="AC1426" s="150"/>
      <c r="AD1426" s="381"/>
      <c r="AE1426" s="150"/>
      <c r="AF1426" s="110"/>
      <c r="AG1426" s="110"/>
      <c r="AH1426" s="69"/>
      <c r="AI1426" s="105"/>
      <c r="AJ1426" s="98"/>
      <c r="AK1426" s="110"/>
      <c r="AL1426" s="98"/>
      <c r="AM1426" s="69"/>
      <c r="AN1426" s="13"/>
      <c r="AO1426" s="13"/>
      <c r="AP1426" s="13"/>
      <c r="AQ1426" s="13"/>
      <c r="AR1426" s="13"/>
      <c r="AS1426" s="13"/>
      <c r="AT1426" s="13"/>
      <c r="AU1426" s="13"/>
      <c r="AV1426" s="13"/>
      <c r="AW1426" s="13"/>
      <c r="AX1426" s="13"/>
      <c r="AY1426" s="13"/>
      <c r="AZ1426" s="13"/>
      <c r="BA1426" s="13"/>
      <c r="BB1426" s="13"/>
      <c r="BC1426" s="13"/>
      <c r="BD1426" s="13"/>
      <c r="BE1426" s="13"/>
      <c r="BF1426" s="13"/>
      <c r="BG1426" s="13"/>
    </row>
    <row r="1427">
      <c r="A1427" s="69"/>
      <c r="B1427" s="69"/>
      <c r="C1427" s="13"/>
      <c r="D1427" s="99"/>
      <c r="E1427" s="13"/>
      <c r="F1427" s="99"/>
      <c r="G1427" s="69"/>
      <c r="H1427" s="98"/>
      <c r="J1427" s="69"/>
      <c r="K1427" s="99"/>
      <c r="L1427" s="389"/>
      <c r="M1427" s="182"/>
      <c r="N1427" s="375"/>
      <c r="O1427" s="378"/>
      <c r="P1427" s="13"/>
      <c r="Q1427" s="13"/>
      <c r="R1427" s="13"/>
      <c r="S1427" s="98"/>
      <c r="T1427" s="69"/>
      <c r="U1427" s="69"/>
      <c r="V1427" s="13"/>
      <c r="W1427" s="13"/>
      <c r="X1427" s="379"/>
      <c r="Y1427" s="150"/>
      <c r="Z1427" s="150"/>
      <c r="AA1427" s="150"/>
      <c r="AB1427" s="150"/>
      <c r="AC1427" s="150"/>
      <c r="AD1427" s="381"/>
      <c r="AE1427" s="150"/>
      <c r="AF1427" s="110"/>
      <c r="AG1427" s="110"/>
      <c r="AH1427" s="69"/>
      <c r="AI1427" s="105"/>
      <c r="AJ1427" s="98"/>
      <c r="AK1427" s="110"/>
      <c r="AL1427" s="98"/>
      <c r="AM1427" s="69"/>
      <c r="AN1427" s="13"/>
      <c r="AO1427" s="13"/>
      <c r="AP1427" s="13"/>
      <c r="AQ1427" s="13"/>
      <c r="AR1427" s="13"/>
      <c r="AS1427" s="13"/>
      <c r="AT1427" s="13"/>
      <c r="AU1427" s="13"/>
      <c r="AV1427" s="13"/>
      <c r="AW1427" s="13"/>
      <c r="AX1427" s="13"/>
      <c r="AY1427" s="13"/>
      <c r="AZ1427" s="13"/>
      <c r="BA1427" s="13"/>
      <c r="BB1427" s="13"/>
      <c r="BC1427" s="13"/>
      <c r="BD1427" s="13"/>
      <c r="BE1427" s="13"/>
      <c r="BF1427" s="13"/>
      <c r="BG1427" s="13"/>
    </row>
    <row r="1428">
      <c r="A1428" s="69"/>
      <c r="B1428" s="69"/>
      <c r="C1428" s="13"/>
      <c r="D1428" s="99"/>
      <c r="E1428" s="13"/>
      <c r="F1428" s="99"/>
      <c r="G1428" s="69"/>
      <c r="H1428" s="98"/>
      <c r="J1428" s="69"/>
      <c r="K1428" s="99"/>
      <c r="L1428" s="389"/>
      <c r="M1428" s="182"/>
      <c r="N1428" s="375"/>
      <c r="O1428" s="378"/>
      <c r="P1428" s="13"/>
      <c r="Q1428" s="13"/>
      <c r="R1428" s="13"/>
      <c r="S1428" s="98"/>
      <c r="T1428" s="69"/>
      <c r="U1428" s="69"/>
      <c r="V1428" s="13"/>
      <c r="W1428" s="13"/>
      <c r="X1428" s="379"/>
      <c r="Y1428" s="150"/>
      <c r="Z1428" s="150"/>
      <c r="AA1428" s="150"/>
      <c r="AB1428" s="150"/>
      <c r="AC1428" s="150"/>
      <c r="AD1428" s="381"/>
      <c r="AE1428" s="150"/>
      <c r="AF1428" s="110"/>
      <c r="AG1428" s="110"/>
      <c r="AH1428" s="69"/>
      <c r="AI1428" s="105"/>
      <c r="AJ1428" s="98"/>
      <c r="AK1428" s="110"/>
      <c r="AL1428" s="98"/>
      <c r="AM1428" s="69"/>
      <c r="AN1428" s="13"/>
      <c r="AO1428" s="13"/>
      <c r="AP1428" s="13"/>
      <c r="AQ1428" s="13"/>
      <c r="AR1428" s="13"/>
      <c r="AS1428" s="13"/>
      <c r="AT1428" s="13"/>
      <c r="AU1428" s="13"/>
      <c r="AV1428" s="13"/>
      <c r="AW1428" s="13"/>
      <c r="AX1428" s="13"/>
      <c r="AY1428" s="13"/>
      <c r="AZ1428" s="13"/>
      <c r="BA1428" s="13"/>
      <c r="BB1428" s="13"/>
      <c r="BC1428" s="13"/>
      <c r="BD1428" s="13"/>
      <c r="BE1428" s="13"/>
      <c r="BF1428" s="13"/>
      <c r="BG1428" s="13"/>
    </row>
  </sheetData>
  <customSheetViews>
    <customSheetView guid="{BD78F700-EA15-4507-B85B-4F9520AF309C}" filter="1" showAutoFilter="1">
      <autoFilter ref="$A$1:$BE$1286">
        <filterColumn colId="2">
          <filters blank="1">
            <filter val="0"/>
            <filter val="1"/>
          </filters>
        </filterColumn>
        <filterColumn colId="28">
          <filters blank="1">
            <filter val="exponential"/>
            <filter val="O(b^d)"/>
            <filter val="O(V^2)"/>
            <filter val="O(k^2log^2 n/eps^2)"/>
            <filter val="O(log^2 n/eps^2)"/>
            <filter val="O(k^2)"/>
            <filter val="O(1) auxiliary"/>
            <filter val="O(n) tubes or O(2^n) library strands"/>
            <filter val="O(n) auxiliary (see NEXT algorithm in same paper)"/>
          </filters>
        </filterColumn>
      </autoFilter>
    </customSheetView>
    <customSheetView guid="{5B731686-55DD-4ECD-A5E9-94F946142004}" filter="1" showAutoFilter="1">
      <autoFilter ref="$AE$21:$AE$33"/>
    </customSheetView>
  </customSheetViews>
  <conditionalFormatting sqref="C129:C135 C159:C163 C186:C204">
    <cfRule type="cellIs" dxfId="3" priority="1" operator="equal">
      <formula>0.001</formula>
    </cfRule>
  </conditionalFormatting>
  <conditionalFormatting sqref="C1:C1428">
    <cfRule type="cellIs" dxfId="0" priority="2" operator="equal">
      <formula>1</formula>
    </cfRule>
  </conditionalFormatting>
  <conditionalFormatting sqref="C1:C1428">
    <cfRule type="cellIs" dxfId="1" priority="3" operator="equal">
      <formula>0</formula>
    </cfRule>
  </conditionalFormatting>
  <conditionalFormatting sqref="C1:C1428">
    <cfRule type="cellIs" dxfId="2" priority="4" operator="equal">
      <formula>2</formula>
    </cfRule>
  </conditionalFormatting>
  <hyperlinks>
    <hyperlink r:id="rId2" ref="P5"/>
    <hyperlink r:id="rId3" ref="P6"/>
    <hyperlink r:id="rId4" ref="P7"/>
    <hyperlink r:id="rId5" ref="L8"/>
    <hyperlink r:id="rId6" ref="P8"/>
    <hyperlink r:id="rId7" ref="P9"/>
    <hyperlink r:id="rId8" ref="P10"/>
    <hyperlink r:id="rId9" ref="P11"/>
    <hyperlink r:id="rId10" ref="P12"/>
    <hyperlink r:id="rId11" ref="P13"/>
    <hyperlink r:id="rId12" ref="P14"/>
    <hyperlink r:id="rId13" ref="P15"/>
    <hyperlink r:id="rId14" ref="P16"/>
    <hyperlink r:id="rId15" ref="P17"/>
    <hyperlink r:id="rId16" ref="P18"/>
    <hyperlink r:id="rId17" ref="P19"/>
    <hyperlink r:id="rId18" ref="P20"/>
    <hyperlink r:id="rId19" ref="P21"/>
    <hyperlink r:id="rId20" ref="AE21"/>
    <hyperlink r:id="rId21" ref="P22"/>
    <hyperlink r:id="rId22" ref="AE22"/>
    <hyperlink r:id="rId23" ref="P23"/>
    <hyperlink r:id="rId24" ref="P24"/>
    <hyperlink r:id="rId25" ref="P25"/>
    <hyperlink r:id="rId26" ref="P26"/>
    <hyperlink r:id="rId27" ref="P27"/>
    <hyperlink r:id="rId28" ref="P28"/>
    <hyperlink r:id="rId29" ref="P29"/>
    <hyperlink r:id="rId30" ref="P30"/>
    <hyperlink r:id="rId31" ref="P31"/>
    <hyperlink r:id="rId32" ref="P32"/>
    <hyperlink r:id="rId33" ref="AE32"/>
    <hyperlink r:id="rId34" ref="P33"/>
    <hyperlink r:id="rId35" ref="AE33"/>
    <hyperlink r:id="rId36" ref="P34"/>
    <hyperlink r:id="rId37" ref="L35"/>
    <hyperlink r:id="rId38" ref="P35"/>
    <hyperlink r:id="rId39" ref="P36"/>
    <hyperlink r:id="rId40" ref="P37"/>
    <hyperlink r:id="rId41" ref="AE37"/>
    <hyperlink r:id="rId42" ref="P38"/>
    <hyperlink r:id="rId43" ref="AE38"/>
    <hyperlink r:id="rId44" ref="P39"/>
    <hyperlink r:id="rId45" ref="P40"/>
    <hyperlink r:id="rId46" ref="P41"/>
    <hyperlink r:id="rId47" ref="AE41"/>
    <hyperlink r:id="rId48" ref="P42"/>
    <hyperlink r:id="rId49" ref="AE42"/>
    <hyperlink r:id="rId50" ref="P43"/>
    <hyperlink r:id="rId51" ref="AE43"/>
    <hyperlink r:id="rId52" ref="P44"/>
    <hyperlink r:id="rId53" ref="P45"/>
    <hyperlink r:id="rId54" ref="AE45"/>
    <hyperlink r:id="rId55" ref="P46"/>
    <hyperlink r:id="rId56" ref="AE46"/>
    <hyperlink r:id="rId57" ref="P47"/>
    <hyperlink r:id="rId58" ref="AE47"/>
    <hyperlink r:id="rId59" ref="P48"/>
    <hyperlink r:id="rId60" ref="AE48"/>
    <hyperlink r:id="rId61" ref="P49"/>
    <hyperlink r:id="rId62" ref="AE49"/>
    <hyperlink r:id="rId63" ref="P50"/>
    <hyperlink r:id="rId64" ref="AE50"/>
    <hyperlink r:id="rId65" ref="P51"/>
    <hyperlink r:id="rId66" ref="P53"/>
    <hyperlink r:id="rId67" ref="P54"/>
    <hyperlink r:id="rId68" ref="P55"/>
    <hyperlink r:id="rId69" ref="P56"/>
    <hyperlink r:id="rId70" ref="P58"/>
    <hyperlink r:id="rId71" ref="AE58"/>
    <hyperlink r:id="rId72" ref="AQ58"/>
    <hyperlink r:id="rId73" ref="P59"/>
    <hyperlink r:id="rId74" ref="P62"/>
    <hyperlink r:id="rId75" ref="P63"/>
    <hyperlink r:id="rId76" ref="P64"/>
    <hyperlink r:id="rId77" ref="P65"/>
    <hyperlink r:id="rId78" ref="P66"/>
    <hyperlink r:id="rId79" ref="P67"/>
    <hyperlink r:id="rId80" ref="AE67"/>
    <hyperlink r:id="rId81" ref="P68"/>
    <hyperlink r:id="rId82" ref="AE68"/>
    <hyperlink r:id="rId83" ref="P69"/>
    <hyperlink r:id="rId84" ref="P70"/>
    <hyperlink r:id="rId85" ref="P71"/>
    <hyperlink r:id="rId86" ref="P72"/>
    <hyperlink r:id="rId87" ref="P73"/>
    <hyperlink r:id="rId88" ref="P75"/>
    <hyperlink r:id="rId89" ref="P76"/>
    <hyperlink r:id="rId90" ref="P78"/>
    <hyperlink r:id="rId91" ref="P79"/>
    <hyperlink r:id="rId92" ref="P80"/>
    <hyperlink r:id="rId93" ref="P81"/>
    <hyperlink r:id="rId94" ref="P82"/>
    <hyperlink r:id="rId95" ref="L83"/>
    <hyperlink r:id="rId96" ref="P83"/>
    <hyperlink r:id="rId97" ref="P84"/>
    <hyperlink r:id="rId98" ref="AQ84"/>
    <hyperlink r:id="rId99" ref="L85"/>
    <hyperlink r:id="rId100" ref="P85"/>
    <hyperlink r:id="rId101" ref="AE85"/>
    <hyperlink r:id="rId102" ref="P86"/>
    <hyperlink r:id="rId103" ref="AE86"/>
    <hyperlink r:id="rId104" ref="P87"/>
    <hyperlink r:id="rId105" ref="P88"/>
    <hyperlink r:id="rId106" ref="P89"/>
    <hyperlink r:id="rId107" ref="AE89"/>
    <hyperlink r:id="rId108" ref="P90"/>
    <hyperlink r:id="rId109" ref="P91"/>
    <hyperlink r:id="rId110" ref="AE91"/>
    <hyperlink r:id="rId111" ref="P92"/>
    <hyperlink r:id="rId112" ref="AE92"/>
    <hyperlink r:id="rId113" ref="P93"/>
    <hyperlink r:id="rId114" ref="AE93"/>
    <hyperlink r:id="rId115" ref="P94"/>
    <hyperlink r:id="rId116" ref="P95"/>
    <hyperlink r:id="rId117" ref="L96"/>
    <hyperlink r:id="rId118" ref="P96"/>
    <hyperlink r:id="rId119" ref="AE96"/>
    <hyperlink r:id="rId120" ref="P97"/>
    <hyperlink r:id="rId121" ref="P98"/>
    <hyperlink r:id="rId122" ref="P99"/>
    <hyperlink r:id="rId123" ref="P100"/>
    <hyperlink r:id="rId124" ref="P101"/>
    <hyperlink r:id="rId125" ref="AQ101"/>
    <hyperlink r:id="rId126" ref="P102"/>
    <hyperlink r:id="rId127" ref="P103"/>
    <hyperlink r:id="rId128" ref="AQ103"/>
    <hyperlink r:id="rId129" ref="P104"/>
    <hyperlink r:id="rId130" ref="AQ104"/>
    <hyperlink r:id="rId131" ref="P105"/>
    <hyperlink r:id="rId132" ref="AE105"/>
    <hyperlink r:id="rId133" ref="P106"/>
    <hyperlink r:id="rId134" ref="P107"/>
    <hyperlink r:id="rId135" ref="P108"/>
    <hyperlink r:id="rId136" ref="P109"/>
    <hyperlink r:id="rId137" ref="AE109"/>
    <hyperlink r:id="rId138" ref="P110"/>
    <hyperlink r:id="rId139" ref="P111"/>
    <hyperlink r:id="rId140" ref="AE111"/>
    <hyperlink r:id="rId141" ref="P112"/>
    <hyperlink r:id="rId142" ref="AE112"/>
    <hyperlink r:id="rId143" ref="P113"/>
    <hyperlink r:id="rId144" ref="P114"/>
    <hyperlink r:id="rId145" ref="P115"/>
    <hyperlink r:id="rId146" ref="P116"/>
    <hyperlink r:id="rId147" location="metadata_info_tab_contents" ref="P117"/>
    <hyperlink r:id="rId148" ref="P118"/>
    <hyperlink r:id="rId149" ref="P119"/>
    <hyperlink r:id="rId150" ref="P120"/>
    <hyperlink r:id="rId151" ref="L121"/>
    <hyperlink r:id="rId152" ref="P121"/>
    <hyperlink r:id="rId153" ref="AE121"/>
    <hyperlink r:id="rId154" ref="P122"/>
    <hyperlink r:id="rId155" ref="P123"/>
    <hyperlink r:id="rId156" ref="P124"/>
    <hyperlink r:id="rId157" ref="P125"/>
    <hyperlink r:id="rId158" ref="P126"/>
    <hyperlink r:id="rId159" ref="P127"/>
    <hyperlink r:id="rId160" ref="P128"/>
    <hyperlink r:id="rId161" ref="AE128"/>
    <hyperlink r:id="rId162" ref="P129"/>
    <hyperlink r:id="rId163" ref="AQ129"/>
    <hyperlink r:id="rId164" ref="P130"/>
    <hyperlink r:id="rId165" ref="AQ130"/>
    <hyperlink r:id="rId166" ref="AQ131"/>
    <hyperlink r:id="rId167" ref="AQ132"/>
    <hyperlink r:id="rId168" ref="AQ133"/>
    <hyperlink r:id="rId169" ref="AQ134"/>
    <hyperlink r:id="rId170" ref="P135"/>
    <hyperlink r:id="rId171" ref="AQ135"/>
    <hyperlink r:id="rId172" ref="P136"/>
    <hyperlink r:id="rId173" ref="AE136"/>
    <hyperlink r:id="rId174" ref="P137"/>
    <hyperlink r:id="rId175" ref="AE137"/>
    <hyperlink r:id="rId176" ref="P138"/>
    <hyperlink r:id="rId177" ref="AE138"/>
    <hyperlink r:id="rId178" ref="AE139"/>
    <hyperlink r:id="rId179" ref="AE140"/>
    <hyperlink r:id="rId180" ref="P141"/>
    <hyperlink r:id="rId181" ref="AE141"/>
    <hyperlink r:id="rId182" ref="P142"/>
    <hyperlink r:id="rId183" ref="AE142"/>
    <hyperlink r:id="rId184" ref="P143"/>
    <hyperlink r:id="rId185" ref="AE143"/>
    <hyperlink r:id="rId186" ref="P144"/>
    <hyperlink r:id="rId187" ref="AE144"/>
    <hyperlink r:id="rId188" ref="P145"/>
    <hyperlink r:id="rId189" ref="AE145"/>
    <hyperlink r:id="rId190" ref="P146"/>
    <hyperlink r:id="rId191" ref="AE146"/>
    <hyperlink r:id="rId192" ref="P147"/>
    <hyperlink r:id="rId193" ref="P148"/>
    <hyperlink r:id="rId194" ref="AE148"/>
    <hyperlink r:id="rId195" ref="P151"/>
    <hyperlink r:id="rId196" ref="P152"/>
    <hyperlink r:id="rId197" ref="P153"/>
    <hyperlink r:id="rId198" ref="P154"/>
    <hyperlink r:id="rId199" ref="P155"/>
    <hyperlink r:id="rId200" ref="P156"/>
    <hyperlink r:id="rId201" ref="P157"/>
    <hyperlink r:id="rId202" ref="P158"/>
    <hyperlink r:id="rId203" ref="P160"/>
    <hyperlink r:id="rId204" ref="P161"/>
    <hyperlink r:id="rId205" ref="P162"/>
    <hyperlink r:id="rId206" ref="P163"/>
    <hyperlink r:id="rId207" ref="P164"/>
    <hyperlink r:id="rId208" ref="P166"/>
    <hyperlink r:id="rId209" ref="P167"/>
    <hyperlink r:id="rId210" ref="P168"/>
    <hyperlink r:id="rId211" ref="P169"/>
    <hyperlink r:id="rId212" ref="P170"/>
    <hyperlink r:id="rId213" ref="P171"/>
    <hyperlink r:id="rId214" ref="P172"/>
    <hyperlink r:id="rId215" ref="P173"/>
    <hyperlink r:id="rId216" ref="AQ174"/>
    <hyperlink r:id="rId217" ref="P176"/>
    <hyperlink r:id="rId218" ref="P177"/>
    <hyperlink r:id="rId219" ref="P178"/>
    <hyperlink r:id="rId220" ref="P179"/>
    <hyperlink r:id="rId221" ref="P181"/>
    <hyperlink r:id="rId222" ref="P183"/>
    <hyperlink r:id="rId223" ref="P184"/>
    <hyperlink r:id="rId224" ref="AE184"/>
    <hyperlink r:id="rId225" ref="P185"/>
    <hyperlink r:id="rId226" ref="AE185"/>
    <hyperlink r:id="rId227" ref="P186"/>
    <hyperlink r:id="rId228" ref="P187"/>
    <hyperlink r:id="rId229" ref="P188"/>
    <hyperlink r:id="rId230" ref="P192"/>
    <hyperlink r:id="rId231" ref="P193"/>
    <hyperlink r:id="rId232" ref="P197"/>
    <hyperlink r:id="rId233" ref="P198"/>
    <hyperlink r:id="rId234" ref="P202"/>
    <hyperlink r:id="rId235" ref="P203"/>
    <hyperlink r:id="rId236" ref="P204"/>
    <hyperlink r:id="rId237" ref="L205"/>
    <hyperlink r:id="rId238" ref="M205"/>
    <hyperlink r:id="rId239" ref="P205"/>
    <hyperlink r:id="rId240" ref="M206"/>
    <hyperlink r:id="rId241" ref="P206"/>
    <hyperlink r:id="rId242" ref="M207"/>
    <hyperlink r:id="rId243" ref="P207"/>
    <hyperlink r:id="rId244" ref="P208"/>
    <hyperlink r:id="rId245" ref="M209"/>
    <hyperlink r:id="rId246" ref="P209"/>
    <hyperlink r:id="rId247" ref="M210"/>
    <hyperlink r:id="rId248" ref="P210"/>
    <hyperlink r:id="rId249" ref="M211"/>
    <hyperlink r:id="rId250" ref="P211"/>
    <hyperlink r:id="rId251" ref="P212"/>
    <hyperlink r:id="rId252" ref="AE212"/>
    <hyperlink r:id="rId253" ref="P213"/>
    <hyperlink r:id="rId254" ref="P214"/>
    <hyperlink r:id="rId255" ref="P215"/>
    <hyperlink r:id="rId256" ref="AE215"/>
    <hyperlink r:id="rId257" ref="P216"/>
  </hyperlinks>
  <drawing r:id="rId258"/>
  <legacyDrawing r:id="rId259"/>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63"/>
    <col customWidth="1" min="2" max="16" width="16.5"/>
  </cols>
  <sheetData>
    <row r="1">
      <c r="A1" s="313" t="s">
        <v>0</v>
      </c>
      <c r="B1" s="390" t="s">
        <v>1743</v>
      </c>
      <c r="C1" s="390" t="s">
        <v>1745</v>
      </c>
      <c r="D1" s="390" t="s">
        <v>1747</v>
      </c>
      <c r="E1" s="1" t="s">
        <v>8568</v>
      </c>
      <c r="F1" s="1" t="s">
        <v>8569</v>
      </c>
      <c r="G1" s="1" t="s">
        <v>8570</v>
      </c>
      <c r="H1" s="9" t="s">
        <v>8571</v>
      </c>
      <c r="I1" s="9" t="s">
        <v>8572</v>
      </c>
      <c r="J1" s="9" t="s">
        <v>8573</v>
      </c>
      <c r="K1" s="9" t="s">
        <v>8574</v>
      </c>
      <c r="L1" s="9" t="s">
        <v>8575</v>
      </c>
      <c r="M1" s="9" t="s">
        <v>8576</v>
      </c>
      <c r="N1" s="9" t="s">
        <v>8577</v>
      </c>
      <c r="O1" s="9" t="s">
        <v>8578</v>
      </c>
      <c r="P1" s="9" t="s">
        <v>8579</v>
      </c>
      <c r="T1" s="1" t="s">
        <v>8580</v>
      </c>
      <c r="U1" s="1" t="s">
        <v>8581</v>
      </c>
      <c r="V1" s="1" t="s">
        <v>8582</v>
      </c>
      <c r="AE1" s="1" t="s">
        <v>8580</v>
      </c>
      <c r="AF1" s="1" t="s">
        <v>8581</v>
      </c>
      <c r="AG1" s="1" t="s">
        <v>8582</v>
      </c>
    </row>
    <row r="2">
      <c r="A2" s="52" t="s">
        <v>1018</v>
      </c>
      <c r="B2" s="9">
        <v>0.0</v>
      </c>
      <c r="C2" s="9">
        <v>0.0</v>
      </c>
      <c r="D2" s="9">
        <v>0.0</v>
      </c>
      <c r="E2" s="9">
        <v>0.0</v>
      </c>
      <c r="F2" s="9">
        <v>0.0</v>
      </c>
      <c r="G2" s="9">
        <v>0.0</v>
      </c>
      <c r="H2" s="2">
        <f t="shared" ref="H2:J2" si="1">IF(OR(E2&gt;B2, And(EQ(E2, "Inf"), NOT(EQ(B2, "Inf")))), 1, 0)</f>
        <v>0</v>
      </c>
      <c r="I2" s="2">
        <f t="shared" si="1"/>
        <v>0</v>
      </c>
      <c r="J2" s="2">
        <f t="shared" si="1"/>
        <v>0</v>
      </c>
      <c r="K2" s="2">
        <f t="shared" ref="K2:M2" si="2">IF(OR(E2&lt;B2, And(EQ(B2, "Inf"), NOT(EQ(E2, "Inf")))), 1, 0)</f>
        <v>0</v>
      </c>
      <c r="L2" s="2">
        <f t="shared" si="2"/>
        <v>0</v>
      </c>
      <c r="M2" s="2">
        <f t="shared" si="2"/>
        <v>0</v>
      </c>
      <c r="N2" s="2" t="str">
        <f t="shared" ref="N2:P2" si="3">IF(EQ(H2, 1), IF(NOT(EQ(B2, 0)), E2/B2, "Inf"), "")</f>
        <v/>
      </c>
      <c r="O2" s="2" t="str">
        <f t="shared" si="3"/>
        <v/>
      </c>
      <c r="P2" s="2" t="str">
        <f t="shared" si="3"/>
        <v/>
      </c>
      <c r="S2" s="1" t="s">
        <v>8583</v>
      </c>
      <c r="T2" s="1" t="s">
        <v>8584</v>
      </c>
      <c r="U2" s="1" t="s">
        <v>8584</v>
      </c>
      <c r="V2" s="1" t="s">
        <v>8584</v>
      </c>
      <c r="AD2" s="1" t="s">
        <v>8583</v>
      </c>
      <c r="AE2" s="1" t="s">
        <v>8585</v>
      </c>
      <c r="AF2" s="1" t="s">
        <v>8585</v>
      </c>
      <c r="AG2" s="1" t="s">
        <v>8585</v>
      </c>
    </row>
    <row r="3">
      <c r="A3" s="391" t="s">
        <v>533</v>
      </c>
      <c r="B3" s="2">
        <v>1.6826957952797255</v>
      </c>
      <c r="C3" s="2">
        <v>6.196856730011519</v>
      </c>
      <c r="D3" s="2">
        <v>18.3069772888325</v>
      </c>
      <c r="E3" s="9">
        <v>0.0</v>
      </c>
      <c r="F3" s="9">
        <v>0.0</v>
      </c>
      <c r="G3" s="9">
        <v>0.0</v>
      </c>
      <c r="H3" s="2">
        <f t="shared" ref="H3:J3" si="4">IF(OR(E3&gt;B3, And(EQ(E3, "Inf"), NOT(EQ(B3, "Inf")))), 1, 0)</f>
        <v>0</v>
      </c>
      <c r="I3" s="2">
        <f t="shared" si="4"/>
        <v>0</v>
      </c>
      <c r="J3" s="2">
        <f t="shared" si="4"/>
        <v>0</v>
      </c>
      <c r="K3" s="2">
        <f t="shared" ref="K3:M3" si="5">IF(OR(E3&lt;B3, And(EQ(B3, "Inf"), NOT(EQ(E3, "Inf")))), 1, 0)</f>
        <v>1</v>
      </c>
      <c r="L3" s="2">
        <f t="shared" si="5"/>
        <v>1</v>
      </c>
      <c r="M3" s="2">
        <f t="shared" si="5"/>
        <v>1</v>
      </c>
      <c r="N3" s="2" t="str">
        <f t="shared" ref="N3:P3" si="6">IF(EQ(H3, 1), IF(NOT(EQ(B3, 0)), E3/B3, "Inf"), "")</f>
        <v/>
      </c>
      <c r="O3" s="2" t="str">
        <f t="shared" si="6"/>
        <v/>
      </c>
      <c r="P3" s="2" t="str">
        <f t="shared" si="6"/>
        <v/>
      </c>
      <c r="S3" s="9" t="s">
        <v>8586</v>
      </c>
      <c r="T3" s="2">
        <f t="shared" ref="T3:Y3" si="7">COUNTIF(B$2:B$119, "&lt;.10")</f>
        <v>94</v>
      </c>
      <c r="U3" s="2">
        <f t="shared" si="7"/>
        <v>94</v>
      </c>
      <c r="V3" s="2">
        <f t="shared" si="7"/>
        <v>94</v>
      </c>
      <c r="W3" s="2">
        <f t="shared" si="7"/>
        <v>67</v>
      </c>
      <c r="X3" s="2">
        <f t="shared" si="7"/>
        <v>60</v>
      </c>
      <c r="Y3" s="2">
        <f t="shared" si="7"/>
        <v>60</v>
      </c>
      <c r="AD3" s="9" t="s">
        <v>8586</v>
      </c>
      <c r="AE3" s="392">
        <f t="shared" ref="AE3:AJ3" si="8">T3/Sum(T$3:T$14)</f>
        <v>0.7966101695</v>
      </c>
      <c r="AF3" s="392">
        <f t="shared" si="8"/>
        <v>0.7966101695</v>
      </c>
      <c r="AG3" s="392">
        <f t="shared" si="8"/>
        <v>0.7966101695</v>
      </c>
      <c r="AH3" s="392">
        <f t="shared" si="8"/>
        <v>0.5677966102</v>
      </c>
      <c r="AI3" s="392">
        <f t="shared" si="8"/>
        <v>0.5084745763</v>
      </c>
      <c r="AJ3" s="392">
        <f t="shared" si="8"/>
        <v>0.5084745763</v>
      </c>
    </row>
    <row r="4">
      <c r="A4" s="52" t="s">
        <v>342</v>
      </c>
      <c r="B4" s="9">
        <v>0.0</v>
      </c>
      <c r="C4" s="9">
        <v>0.0</v>
      </c>
      <c r="D4" s="9">
        <v>0.0</v>
      </c>
      <c r="E4" s="9">
        <f>AVERAGE(Sheet1!BH273:BH274)</f>
        <v>0.5487604585</v>
      </c>
      <c r="F4" s="9">
        <f>AVERAGE(Sheet1!BK273:BK274)</f>
        <v>1.817646504</v>
      </c>
      <c r="G4" s="9">
        <f>AVERAGE(Sheet1!BN273:BN274)</f>
        <v>4.412991055</v>
      </c>
      <c r="H4" s="2">
        <f t="shared" ref="H4:J4" si="9">IF(OR(E4&gt;B4, And(EQ(E4, "Inf"), NOT(EQ(B4, "Inf")))), 1, 0)</f>
        <v>1</v>
      </c>
      <c r="I4" s="2">
        <f t="shared" si="9"/>
        <v>1</v>
      </c>
      <c r="J4" s="2">
        <f t="shared" si="9"/>
        <v>1</v>
      </c>
      <c r="K4" s="2">
        <f t="shared" ref="K4:M4" si="10">IF(OR(E4&lt;B4, And(EQ(B4, "Inf"), NOT(EQ(E4, "Inf")))), 1, 0)</f>
        <v>0</v>
      </c>
      <c r="L4" s="2">
        <f t="shared" si="10"/>
        <v>0</v>
      </c>
      <c r="M4" s="2">
        <f t="shared" si="10"/>
        <v>0</v>
      </c>
      <c r="N4" s="2" t="str">
        <f t="shared" ref="N4:P4" si="11">IF(EQ(H4, 1), IF(NOT(EQ(B4, 0)), E4/B4, "Inf"), "")</f>
        <v>Inf</v>
      </c>
      <c r="O4" s="2" t="str">
        <f t="shared" si="11"/>
        <v>Inf</v>
      </c>
      <c r="P4" s="2" t="str">
        <f t="shared" si="11"/>
        <v>Inf</v>
      </c>
      <c r="S4" s="9" t="s">
        <v>8587</v>
      </c>
      <c r="T4" s="2">
        <f t="shared" ref="T4:Y4" si="12">MINUS(COUNTIF(B$2:B$119, "&lt;.20"), COUNTIF(B$2:B$119, "&lt;.10"))</f>
        <v>2</v>
      </c>
      <c r="U4" s="2">
        <f t="shared" si="12"/>
        <v>0</v>
      </c>
      <c r="V4" s="2">
        <f t="shared" si="12"/>
        <v>0</v>
      </c>
      <c r="W4" s="2">
        <f t="shared" si="12"/>
        <v>9</v>
      </c>
      <c r="X4" s="2">
        <f t="shared" si="12"/>
        <v>6</v>
      </c>
      <c r="Y4" s="2">
        <f t="shared" si="12"/>
        <v>0</v>
      </c>
      <c r="AD4" s="9" t="s">
        <v>8587</v>
      </c>
      <c r="AE4" s="392">
        <f t="shared" ref="AE4:AJ4" si="13">T4/Sum(T$3:T$14)</f>
        <v>0.01694915254</v>
      </c>
      <c r="AF4" s="392">
        <f t="shared" si="13"/>
        <v>0</v>
      </c>
      <c r="AG4" s="392">
        <f t="shared" si="13"/>
        <v>0</v>
      </c>
      <c r="AH4" s="392">
        <f t="shared" si="13"/>
        <v>0.07627118644</v>
      </c>
      <c r="AI4" s="392">
        <f t="shared" si="13"/>
        <v>0.05084745763</v>
      </c>
      <c r="AJ4" s="392">
        <f t="shared" si="13"/>
        <v>0</v>
      </c>
    </row>
    <row r="5">
      <c r="A5" s="52" t="s">
        <v>927</v>
      </c>
      <c r="B5" s="9">
        <v>0.0</v>
      </c>
      <c r="C5" s="9">
        <v>0.0</v>
      </c>
      <c r="D5" s="9">
        <v>0.0</v>
      </c>
      <c r="E5" s="9">
        <v>0.0</v>
      </c>
      <c r="F5" s="9">
        <v>0.0</v>
      </c>
      <c r="G5" s="9">
        <v>0.0</v>
      </c>
      <c r="H5" s="2">
        <f t="shared" ref="H5:J5" si="14">IF(OR(E5&gt;B5, And(EQ(E5, "Inf"), NOT(EQ(B5, "Inf")))), 1, 0)</f>
        <v>0</v>
      </c>
      <c r="I5" s="2">
        <f t="shared" si="14"/>
        <v>0</v>
      </c>
      <c r="J5" s="2">
        <f t="shared" si="14"/>
        <v>0</v>
      </c>
      <c r="K5" s="2">
        <f t="shared" ref="K5:M5" si="15">IF(OR(E5&lt;B5, And(EQ(B5, "Inf"), NOT(EQ(E5, "Inf")))), 1, 0)</f>
        <v>0</v>
      </c>
      <c r="L5" s="2">
        <f t="shared" si="15"/>
        <v>0</v>
      </c>
      <c r="M5" s="2">
        <f t="shared" si="15"/>
        <v>0</v>
      </c>
      <c r="N5" s="2" t="str">
        <f t="shared" ref="N5:P5" si="16">IF(EQ(H5, 1), IF(NOT(EQ(B5, 0)), E5/B5, "Inf"), "")</f>
        <v/>
      </c>
      <c r="O5" s="2" t="str">
        <f t="shared" si="16"/>
        <v/>
      </c>
      <c r="P5" s="2" t="str">
        <f t="shared" si="16"/>
        <v/>
      </c>
      <c r="S5" s="9" t="s">
        <v>8588</v>
      </c>
      <c r="T5" s="2">
        <f t="shared" ref="T5:Y5" si="17">MINUS(COUNTIF(B$2:B$119, "&lt;.30"), COUNTIF(B$2:B$119, "&lt;.20"))</f>
        <v>3</v>
      </c>
      <c r="U5" s="2">
        <f t="shared" si="17"/>
        <v>1</v>
      </c>
      <c r="V5" s="2">
        <f t="shared" si="17"/>
        <v>1</v>
      </c>
      <c r="W5" s="2">
        <f t="shared" si="17"/>
        <v>7</v>
      </c>
      <c r="X5" s="2">
        <f t="shared" si="17"/>
        <v>5</v>
      </c>
      <c r="Y5" s="2">
        <f t="shared" si="17"/>
        <v>6</v>
      </c>
      <c r="AD5" s="9" t="s">
        <v>8588</v>
      </c>
      <c r="AE5" s="392">
        <f t="shared" ref="AE5:AJ5" si="18">T5/Sum(T$3:T$14)</f>
        <v>0.02542372881</v>
      </c>
      <c r="AF5" s="392">
        <f t="shared" si="18"/>
        <v>0.008474576271</v>
      </c>
      <c r="AG5" s="392">
        <f t="shared" si="18"/>
        <v>0.008474576271</v>
      </c>
      <c r="AH5" s="392">
        <f t="shared" si="18"/>
        <v>0.0593220339</v>
      </c>
      <c r="AI5" s="392">
        <f t="shared" si="18"/>
        <v>0.04237288136</v>
      </c>
      <c r="AJ5" s="392">
        <f t="shared" si="18"/>
        <v>0.05084745763</v>
      </c>
    </row>
    <row r="6">
      <c r="A6" s="52" t="s">
        <v>795</v>
      </c>
      <c r="B6" s="9">
        <v>0.0</v>
      </c>
      <c r="C6" s="9">
        <v>0.0</v>
      </c>
      <c r="D6" s="9">
        <v>0.0</v>
      </c>
      <c r="E6" s="9">
        <v>0.0</v>
      </c>
      <c r="F6" s="9">
        <v>0.0</v>
      </c>
      <c r="G6" s="9">
        <v>0.0</v>
      </c>
      <c r="H6" s="2">
        <f t="shared" ref="H6:J6" si="19">IF(OR(E6&gt;B6, And(EQ(E6, "Inf"), NOT(EQ(B6, "Inf")))), 1, 0)</f>
        <v>0</v>
      </c>
      <c r="I6" s="2">
        <f t="shared" si="19"/>
        <v>0</v>
      </c>
      <c r="J6" s="2">
        <f t="shared" si="19"/>
        <v>0</v>
      </c>
      <c r="K6" s="2">
        <f t="shared" ref="K6:M6" si="20">IF(OR(E6&lt;B6, And(EQ(B6, "Inf"), NOT(EQ(E6, "Inf")))), 1, 0)</f>
        <v>0</v>
      </c>
      <c r="L6" s="2">
        <f t="shared" si="20"/>
        <v>0</v>
      </c>
      <c r="M6" s="2">
        <f t="shared" si="20"/>
        <v>0</v>
      </c>
      <c r="N6" s="2" t="str">
        <f t="shared" ref="N6:P6" si="21">IF(EQ(H6, 1), IF(NOT(EQ(B6, 0)), E6/B6, "Inf"), "")</f>
        <v/>
      </c>
      <c r="O6" s="2" t="str">
        <f t="shared" si="21"/>
        <v/>
      </c>
      <c r="P6" s="2" t="str">
        <f t="shared" si="21"/>
        <v/>
      </c>
      <c r="S6" s="9" t="s">
        <v>8589</v>
      </c>
      <c r="T6" s="2">
        <f t="shared" ref="T6:Y6" si="22">MINUS(COUNTIF(B$2:B$119, "&lt;.40"), COUNTIF(B$2:B$119, "&lt;.30"))</f>
        <v>1</v>
      </c>
      <c r="U6" s="2">
        <f t="shared" si="22"/>
        <v>0</v>
      </c>
      <c r="V6" s="2">
        <f t="shared" si="22"/>
        <v>0</v>
      </c>
      <c r="W6" s="2">
        <f t="shared" si="22"/>
        <v>3</v>
      </c>
      <c r="X6" s="2">
        <f t="shared" si="22"/>
        <v>5</v>
      </c>
      <c r="Y6" s="2">
        <f t="shared" si="22"/>
        <v>2</v>
      </c>
      <c r="AD6" s="9" t="s">
        <v>8589</v>
      </c>
      <c r="AE6" s="392">
        <f t="shared" ref="AE6:AJ6" si="23">T6/Sum(T$3:T$14)</f>
        <v>0.008474576271</v>
      </c>
      <c r="AF6" s="392">
        <f t="shared" si="23"/>
        <v>0</v>
      </c>
      <c r="AG6" s="392">
        <f t="shared" si="23"/>
        <v>0</v>
      </c>
      <c r="AH6" s="392">
        <f t="shared" si="23"/>
        <v>0.02542372881</v>
      </c>
      <c r="AI6" s="392">
        <f t="shared" si="23"/>
        <v>0.04237288136</v>
      </c>
      <c r="AJ6" s="392">
        <f t="shared" si="23"/>
        <v>0.01694915254</v>
      </c>
    </row>
    <row r="7">
      <c r="A7" s="52" t="s">
        <v>650</v>
      </c>
      <c r="B7" s="9">
        <v>0.0</v>
      </c>
      <c r="C7" s="9">
        <v>0.0</v>
      </c>
      <c r="D7" s="9">
        <v>0.0</v>
      </c>
      <c r="E7" s="9">
        <v>0.0</v>
      </c>
      <c r="F7" s="9">
        <v>0.0</v>
      </c>
      <c r="G7" s="9">
        <v>0.0</v>
      </c>
      <c r="H7" s="2">
        <f t="shared" ref="H7:J7" si="24">IF(OR(E7&gt;B7, And(EQ(E7, "Inf"), NOT(EQ(B7, "Inf")))), 1, 0)</f>
        <v>0</v>
      </c>
      <c r="I7" s="2">
        <f t="shared" si="24"/>
        <v>0</v>
      </c>
      <c r="J7" s="2">
        <f t="shared" si="24"/>
        <v>0</v>
      </c>
      <c r="K7" s="2">
        <f t="shared" ref="K7:M7" si="25">IF(OR(E7&lt;B7, And(EQ(B7, "Inf"), NOT(EQ(E7, "Inf")))), 1, 0)</f>
        <v>0</v>
      </c>
      <c r="L7" s="2">
        <f t="shared" si="25"/>
        <v>0</v>
      </c>
      <c r="M7" s="2">
        <f t="shared" si="25"/>
        <v>0</v>
      </c>
      <c r="N7" s="2" t="str">
        <f t="shared" ref="N7:P7" si="26">IF(EQ(H7, 1), IF(NOT(EQ(B7, 0)), E7/B7, "Inf"), "")</f>
        <v/>
      </c>
      <c r="O7" s="2" t="str">
        <f t="shared" si="26"/>
        <v/>
      </c>
      <c r="P7" s="2" t="str">
        <f t="shared" si="26"/>
        <v/>
      </c>
      <c r="S7" s="9" t="s">
        <v>8590</v>
      </c>
      <c r="T7" s="2">
        <f t="shared" ref="T7:Y7" si="27">MINUS(COUNTIF(B$2:B$119, "&lt;.50"), COUNTIF(B$2:B$119, "&lt;.40"))</f>
        <v>2</v>
      </c>
      <c r="U7" s="2">
        <f t="shared" si="27"/>
        <v>3</v>
      </c>
      <c r="V7" s="2">
        <f t="shared" si="27"/>
        <v>0</v>
      </c>
      <c r="W7" s="2">
        <f t="shared" si="27"/>
        <v>2</v>
      </c>
      <c r="X7" s="2">
        <f t="shared" si="27"/>
        <v>1</v>
      </c>
      <c r="Y7" s="2">
        <f t="shared" si="27"/>
        <v>3</v>
      </c>
      <c r="AD7" s="9" t="s">
        <v>8590</v>
      </c>
      <c r="AE7" s="392">
        <f t="shared" ref="AE7:AJ7" si="28">T7/Sum(T$3:T$14)</f>
        <v>0.01694915254</v>
      </c>
      <c r="AF7" s="392">
        <f t="shared" si="28"/>
        <v>0.02542372881</v>
      </c>
      <c r="AG7" s="392">
        <f t="shared" si="28"/>
        <v>0</v>
      </c>
      <c r="AH7" s="392">
        <f t="shared" si="28"/>
        <v>0.01694915254</v>
      </c>
      <c r="AI7" s="392">
        <f t="shared" si="28"/>
        <v>0.008474576271</v>
      </c>
      <c r="AJ7" s="392">
        <f t="shared" si="28"/>
        <v>0.02542372881</v>
      </c>
    </row>
    <row r="8">
      <c r="A8" s="52" t="s">
        <v>828</v>
      </c>
      <c r="B8" s="9">
        <v>0.0</v>
      </c>
      <c r="C8" s="9">
        <v>0.0</v>
      </c>
      <c r="D8" s="9">
        <v>0.0</v>
      </c>
      <c r="E8" s="10">
        <v>0.8438020169319285</v>
      </c>
      <c r="F8" s="10">
        <v>2.399605877642247</v>
      </c>
      <c r="G8" s="10">
        <v>5.268200173970414</v>
      </c>
      <c r="H8" s="2">
        <f t="shared" ref="H8:J8" si="29">IF(OR(E8&gt;B8, And(EQ(E8, "Inf"), NOT(EQ(B8, "Inf")))), 1, 0)</f>
        <v>1</v>
      </c>
      <c r="I8" s="2">
        <f t="shared" si="29"/>
        <v>1</v>
      </c>
      <c r="J8" s="2">
        <f t="shared" si="29"/>
        <v>1</v>
      </c>
      <c r="K8" s="2">
        <f t="shared" ref="K8:M8" si="30">IF(OR(E8&lt;B8, And(EQ(B8, "Inf"), NOT(EQ(E8, "Inf")))), 1, 0)</f>
        <v>0</v>
      </c>
      <c r="L8" s="2">
        <f t="shared" si="30"/>
        <v>0</v>
      </c>
      <c r="M8" s="2">
        <f t="shared" si="30"/>
        <v>0</v>
      </c>
      <c r="N8" s="2" t="str">
        <f t="shared" ref="N8:P8" si="31">IF(EQ(H8, 1), IF(NOT(EQ(B8, 0)), E8/B8, "Inf"), "")</f>
        <v>Inf</v>
      </c>
      <c r="O8" s="2" t="str">
        <f t="shared" si="31"/>
        <v>Inf</v>
      </c>
      <c r="P8" s="2" t="str">
        <f t="shared" si="31"/>
        <v>Inf</v>
      </c>
      <c r="S8" s="9" t="s">
        <v>8591</v>
      </c>
      <c r="T8" s="2">
        <f t="shared" ref="T8:Y8" si="32">MINUS(COUNTIF(B$2:B$119, "&lt;.60"), COUNTIF(B$2:B$119, "&lt;.50"))</f>
        <v>1</v>
      </c>
      <c r="U8" s="2">
        <f t="shared" si="32"/>
        <v>1</v>
      </c>
      <c r="V8" s="2">
        <f t="shared" si="32"/>
        <v>0</v>
      </c>
      <c r="W8" s="2">
        <f t="shared" si="32"/>
        <v>4</v>
      </c>
      <c r="X8" s="2">
        <f t="shared" si="32"/>
        <v>4</v>
      </c>
      <c r="Y8" s="2">
        <f t="shared" si="32"/>
        <v>4</v>
      </c>
      <c r="AD8" s="9" t="s">
        <v>8591</v>
      </c>
      <c r="AE8" s="392">
        <f t="shared" ref="AE8:AJ8" si="33">T8/Sum(T$3:T$14)</f>
        <v>0.008474576271</v>
      </c>
      <c r="AF8" s="392">
        <f t="shared" si="33"/>
        <v>0.008474576271</v>
      </c>
      <c r="AG8" s="392">
        <f t="shared" si="33"/>
        <v>0</v>
      </c>
      <c r="AH8" s="392">
        <f t="shared" si="33"/>
        <v>0.03389830508</v>
      </c>
      <c r="AI8" s="392">
        <f t="shared" si="33"/>
        <v>0.03389830508</v>
      </c>
      <c r="AJ8" s="392">
        <f t="shared" si="33"/>
        <v>0.03389830508</v>
      </c>
    </row>
    <row r="9">
      <c r="A9" s="52" t="s">
        <v>1146</v>
      </c>
      <c r="B9" s="9">
        <v>0.0</v>
      </c>
      <c r="C9" s="9">
        <v>0.0</v>
      </c>
      <c r="D9" s="9">
        <v>0.0</v>
      </c>
      <c r="E9" s="9" t="s">
        <v>1781</v>
      </c>
      <c r="F9" s="9" t="s">
        <v>1781</v>
      </c>
      <c r="G9" s="9" t="s">
        <v>1781</v>
      </c>
      <c r="H9" s="2">
        <f t="shared" ref="H9:J9" si="34">IF(OR(E9&gt;B9, And(EQ(E9, "Inf"), NOT(EQ(B9, "Inf")))), 1, 0)</f>
        <v>1</v>
      </c>
      <c r="I9" s="2">
        <f t="shared" si="34"/>
        <v>1</v>
      </c>
      <c r="J9" s="2">
        <f t="shared" si="34"/>
        <v>1</v>
      </c>
      <c r="K9" s="2">
        <f t="shared" ref="K9:M9" si="35">IF(OR(E9&lt;B9, And(EQ(B9, "Inf"), NOT(EQ(E9, "Inf")))), 1, 0)</f>
        <v>0</v>
      </c>
      <c r="L9" s="2">
        <f t="shared" si="35"/>
        <v>0</v>
      </c>
      <c r="M9" s="2">
        <f t="shared" si="35"/>
        <v>0</v>
      </c>
      <c r="N9" s="2" t="str">
        <f t="shared" ref="N9:P9" si="36">IF(EQ(H9, 1), IF(NOT(EQ(B9, 0)), E9/B9, "Inf"), "")</f>
        <v>Inf</v>
      </c>
      <c r="O9" s="2" t="str">
        <f t="shared" si="36"/>
        <v>Inf</v>
      </c>
      <c r="P9" s="2" t="str">
        <f t="shared" si="36"/>
        <v>Inf</v>
      </c>
      <c r="S9" s="9" t="s">
        <v>8592</v>
      </c>
      <c r="T9" s="2">
        <f t="shared" ref="T9:Y9" si="37">MINUS(COUNTIF(B$2:B$119, "&lt;.70"), COUNTIF(B$2:B$119, "&lt;.60"))</f>
        <v>0</v>
      </c>
      <c r="U9" s="2">
        <f t="shared" si="37"/>
        <v>0</v>
      </c>
      <c r="V9" s="2">
        <f t="shared" si="37"/>
        <v>0</v>
      </c>
      <c r="W9" s="2">
        <f t="shared" si="37"/>
        <v>1</v>
      </c>
      <c r="X9" s="2">
        <f t="shared" si="37"/>
        <v>0</v>
      </c>
      <c r="Y9" s="2">
        <f t="shared" si="37"/>
        <v>1</v>
      </c>
      <c r="AD9" s="9" t="s">
        <v>8592</v>
      </c>
      <c r="AE9" s="392">
        <f t="shared" ref="AE9:AJ9" si="38">T9/Sum(T$3:T$14)</f>
        <v>0</v>
      </c>
      <c r="AF9" s="392">
        <f t="shared" si="38"/>
        <v>0</v>
      </c>
      <c r="AG9" s="392">
        <f t="shared" si="38"/>
        <v>0</v>
      </c>
      <c r="AH9" s="392">
        <f t="shared" si="38"/>
        <v>0.008474576271</v>
      </c>
      <c r="AI9" s="392">
        <f t="shared" si="38"/>
        <v>0</v>
      </c>
      <c r="AJ9" s="392">
        <f t="shared" si="38"/>
        <v>0.008474576271</v>
      </c>
    </row>
    <row r="10">
      <c r="A10" s="391" t="s">
        <v>719</v>
      </c>
      <c r="B10" s="2">
        <v>3.728708045015879</v>
      </c>
      <c r="C10" s="2">
        <v>25.591479484724942</v>
      </c>
      <c r="D10" s="2">
        <v>148.53487812212205</v>
      </c>
      <c r="E10" s="9" t="s">
        <v>1781</v>
      </c>
      <c r="F10" s="9" t="s">
        <v>1781</v>
      </c>
      <c r="G10" s="9" t="s">
        <v>1781</v>
      </c>
      <c r="H10" s="2">
        <f t="shared" ref="H10:J10" si="39">IF(OR(E10&gt;B10, And(EQ(E10, "Inf"), NOT(EQ(B10, "Inf")))), 1, 0)</f>
        <v>1</v>
      </c>
      <c r="I10" s="2">
        <f t="shared" si="39"/>
        <v>1</v>
      </c>
      <c r="J10" s="2">
        <f t="shared" si="39"/>
        <v>1</v>
      </c>
      <c r="K10" s="2">
        <f t="shared" ref="K10:M10" si="40">IF(OR(E10&lt;B10, And(EQ(B10, "Inf"), NOT(EQ(E10, "Inf")))), 1, 0)</f>
        <v>0</v>
      </c>
      <c r="L10" s="2">
        <f t="shared" si="40"/>
        <v>0</v>
      </c>
      <c r="M10" s="2">
        <f t="shared" si="40"/>
        <v>0</v>
      </c>
      <c r="N10" s="9" t="s">
        <v>1781</v>
      </c>
      <c r="O10" s="9" t="s">
        <v>1781</v>
      </c>
      <c r="P10" s="9" t="s">
        <v>1781</v>
      </c>
      <c r="S10" s="9" t="s">
        <v>8593</v>
      </c>
      <c r="T10" s="2">
        <f t="shared" ref="T10:Y10" si="41">MINUS(COUNTIF(B$2:B$119, "&lt;.80"), COUNTIF(B$2:B$119, "&lt;.70"))</f>
        <v>0</v>
      </c>
      <c r="U10" s="2">
        <f t="shared" si="41"/>
        <v>2</v>
      </c>
      <c r="V10" s="2">
        <f t="shared" si="41"/>
        <v>3</v>
      </c>
      <c r="W10" s="2">
        <f t="shared" si="41"/>
        <v>1</v>
      </c>
      <c r="X10" s="2">
        <f t="shared" si="41"/>
        <v>2</v>
      </c>
      <c r="Y10" s="2">
        <f t="shared" si="41"/>
        <v>1</v>
      </c>
      <c r="AD10" s="9" t="s">
        <v>8593</v>
      </c>
      <c r="AE10" s="392">
        <f t="shared" ref="AE10:AJ10" si="42">T10/Sum(T$3:T$14)</f>
        <v>0</v>
      </c>
      <c r="AF10" s="392">
        <f t="shared" si="42"/>
        <v>0.01694915254</v>
      </c>
      <c r="AG10" s="392">
        <f t="shared" si="42"/>
        <v>0.02542372881</v>
      </c>
      <c r="AH10" s="392">
        <f t="shared" si="42"/>
        <v>0.008474576271</v>
      </c>
      <c r="AI10" s="392">
        <f t="shared" si="42"/>
        <v>0.01694915254</v>
      </c>
      <c r="AJ10" s="392">
        <f t="shared" si="42"/>
        <v>0.008474576271</v>
      </c>
    </row>
    <row r="11">
      <c r="A11" s="393" t="s">
        <v>1060</v>
      </c>
      <c r="B11" s="2">
        <v>8.999999999999998</v>
      </c>
      <c r="C11" s="2">
        <v>98.99999999999997</v>
      </c>
      <c r="D11" s="2">
        <v>998.9999999999997</v>
      </c>
      <c r="E11" s="9">
        <v>0.0</v>
      </c>
      <c r="F11" s="9">
        <v>0.0</v>
      </c>
      <c r="G11" s="9">
        <v>0.0</v>
      </c>
      <c r="H11" s="2">
        <f t="shared" ref="H11:J11" si="43">IF(OR(E11&gt;B11, And(EQ(E11, "Inf"), NOT(EQ(B11, "Inf")))), 1, 0)</f>
        <v>0</v>
      </c>
      <c r="I11" s="2">
        <f t="shared" si="43"/>
        <v>0</v>
      </c>
      <c r="J11" s="2">
        <f t="shared" si="43"/>
        <v>0</v>
      </c>
      <c r="K11" s="2">
        <f t="shared" ref="K11:M11" si="44">IF(OR(E11&lt;B11, And(EQ(B11, "Inf"), NOT(EQ(E11, "Inf")))), 1, 0)</f>
        <v>1</v>
      </c>
      <c r="L11" s="2">
        <f t="shared" si="44"/>
        <v>1</v>
      </c>
      <c r="M11" s="2">
        <f t="shared" si="44"/>
        <v>1</v>
      </c>
      <c r="N11" s="2" t="str">
        <f t="shared" ref="N11:P11" si="45">IF(EQ(H11, 1), IF(NOT(EQ(B11, 0)), E11/B11, "Inf"), "")</f>
        <v/>
      </c>
      <c r="O11" s="2" t="str">
        <f t="shared" si="45"/>
        <v/>
      </c>
      <c r="P11" s="2" t="str">
        <f t="shared" si="45"/>
        <v/>
      </c>
      <c r="S11" s="9" t="s">
        <v>8594</v>
      </c>
      <c r="T11" s="2">
        <f t="shared" ref="T11:Y11" si="46">MINUS(COUNTIF(B$2:B$119, "&lt;.90"), COUNTIF(B$2:B$119, "&lt;.80"))</f>
        <v>0</v>
      </c>
      <c r="U11" s="2">
        <f t="shared" si="46"/>
        <v>0</v>
      </c>
      <c r="V11" s="2">
        <f t="shared" si="46"/>
        <v>0</v>
      </c>
      <c r="W11" s="2">
        <f t="shared" si="46"/>
        <v>1</v>
      </c>
      <c r="X11" s="2">
        <f t="shared" si="46"/>
        <v>2</v>
      </c>
      <c r="Y11" s="2">
        <f t="shared" si="46"/>
        <v>1</v>
      </c>
      <c r="AD11" s="9" t="s">
        <v>8594</v>
      </c>
      <c r="AE11" s="392">
        <f t="shared" ref="AE11:AJ11" si="47">T11/Sum(T$3:T$14)</f>
        <v>0</v>
      </c>
      <c r="AF11" s="392">
        <f t="shared" si="47"/>
        <v>0</v>
      </c>
      <c r="AG11" s="392">
        <f t="shared" si="47"/>
        <v>0</v>
      </c>
      <c r="AH11" s="392">
        <f t="shared" si="47"/>
        <v>0.008474576271</v>
      </c>
      <c r="AI11" s="392">
        <f t="shared" si="47"/>
        <v>0.01694915254</v>
      </c>
      <c r="AJ11" s="392">
        <f t="shared" si="47"/>
        <v>0.008474576271</v>
      </c>
    </row>
    <row r="12">
      <c r="A12" s="52" t="s">
        <v>291</v>
      </c>
      <c r="B12" s="9">
        <v>0.0</v>
      </c>
      <c r="C12" s="9">
        <v>0.0</v>
      </c>
      <c r="D12" s="9">
        <v>0.0</v>
      </c>
      <c r="E12" s="9">
        <f>Sheet1!BH167</f>
        <v>0.4125375446</v>
      </c>
      <c r="F12" s="9">
        <f>Sheet1!BK167</f>
        <v>0.995262315</v>
      </c>
      <c r="G12" s="9">
        <f>Sheet1!BN167</f>
        <v>1.818382931</v>
      </c>
      <c r="H12" s="2">
        <f t="shared" ref="H12:J12" si="48">IF(OR(E12&gt;B12, And(EQ(E12, "Inf"), NOT(EQ(B12, "Inf")))), 1, 0)</f>
        <v>1</v>
      </c>
      <c r="I12" s="2">
        <f t="shared" si="48"/>
        <v>1</v>
      </c>
      <c r="J12" s="2">
        <f t="shared" si="48"/>
        <v>1</v>
      </c>
      <c r="K12" s="2">
        <f t="shared" ref="K12:M12" si="49">IF(OR(E12&lt;B12, And(EQ(B12, "Inf"), NOT(EQ(E12, "Inf")))), 1, 0)</f>
        <v>0</v>
      </c>
      <c r="L12" s="2">
        <f t="shared" si="49"/>
        <v>0</v>
      </c>
      <c r="M12" s="2">
        <f t="shared" si="49"/>
        <v>0</v>
      </c>
      <c r="N12" s="2" t="str">
        <f t="shared" ref="N12:P12" si="50">IF(EQ(H12, 1), IF(NOT(EQ(B12, 0)), E12/B12, "Inf"), "")</f>
        <v>Inf</v>
      </c>
      <c r="O12" s="2" t="str">
        <f t="shared" si="50"/>
        <v>Inf</v>
      </c>
      <c r="P12" s="2" t="str">
        <f t="shared" si="50"/>
        <v>Inf</v>
      </c>
      <c r="S12" s="9" t="s">
        <v>8595</v>
      </c>
      <c r="T12" s="2">
        <f t="shared" ref="T12:Y12" si="51">MINUS(COUNTIF(B$2:B$119, "&lt;1"), COUNTIF(B$2:B$119, "&lt;.90"))</f>
        <v>0</v>
      </c>
      <c r="U12" s="2">
        <f t="shared" si="51"/>
        <v>0</v>
      </c>
      <c r="V12" s="2">
        <f t="shared" si="51"/>
        <v>2</v>
      </c>
      <c r="W12" s="2">
        <f t="shared" si="51"/>
        <v>1</v>
      </c>
      <c r="X12" s="2">
        <f t="shared" si="51"/>
        <v>3</v>
      </c>
      <c r="Y12" s="2">
        <f t="shared" si="51"/>
        <v>3</v>
      </c>
      <c r="AD12" s="9" t="s">
        <v>8595</v>
      </c>
      <c r="AE12" s="392">
        <f t="shared" ref="AE12:AJ12" si="52">T12/Sum(T$3:T$14)</f>
        <v>0</v>
      </c>
      <c r="AF12" s="392">
        <f t="shared" si="52"/>
        <v>0</v>
      </c>
      <c r="AG12" s="392">
        <f t="shared" si="52"/>
        <v>0.01694915254</v>
      </c>
      <c r="AH12" s="392">
        <f t="shared" si="52"/>
        <v>0.008474576271</v>
      </c>
      <c r="AI12" s="392">
        <f t="shared" si="52"/>
        <v>0.02542372881</v>
      </c>
      <c r="AJ12" s="392">
        <f t="shared" si="52"/>
        <v>0.02542372881</v>
      </c>
    </row>
    <row r="13">
      <c r="A13" s="52" t="s">
        <v>980</v>
      </c>
      <c r="B13" s="9">
        <v>0.0</v>
      </c>
      <c r="C13" s="9">
        <v>0.0</v>
      </c>
      <c r="D13" s="9">
        <v>0.0</v>
      </c>
      <c r="E13" s="10">
        <v>0.9952623149688797</v>
      </c>
      <c r="F13" s="10">
        <v>2.9810717055349727</v>
      </c>
      <c r="G13" s="10">
        <v>6.943282347242816</v>
      </c>
      <c r="H13" s="2">
        <f t="shared" ref="H13:J13" si="53">IF(OR(E13&gt;B13, And(EQ(E13, "Inf"), NOT(EQ(B13, "Inf")))), 1, 0)</f>
        <v>1</v>
      </c>
      <c r="I13" s="2">
        <f t="shared" si="53"/>
        <v>1</v>
      </c>
      <c r="J13" s="2">
        <f t="shared" si="53"/>
        <v>1</v>
      </c>
      <c r="K13" s="2">
        <f t="shared" ref="K13:M13" si="54">IF(OR(E13&lt;B13, And(EQ(B13, "Inf"), NOT(EQ(E13, "Inf")))), 1, 0)</f>
        <v>0</v>
      </c>
      <c r="L13" s="2">
        <f t="shared" si="54"/>
        <v>0</v>
      </c>
      <c r="M13" s="2">
        <f t="shared" si="54"/>
        <v>0</v>
      </c>
      <c r="N13" s="2" t="str">
        <f t="shared" ref="N13:P13" si="55">IF(EQ(H13, 1), IF(NOT(EQ(B13, 0)), E13/B13, "Inf"), "")</f>
        <v>Inf</v>
      </c>
      <c r="O13" s="2" t="str">
        <f t="shared" si="55"/>
        <v>Inf</v>
      </c>
      <c r="P13" s="2" t="str">
        <f t="shared" si="55"/>
        <v>Inf</v>
      </c>
      <c r="S13" s="9" t="s">
        <v>8596</v>
      </c>
      <c r="T13" s="2">
        <f t="shared" ref="T13:Y13" si="56">MINUS(COUNTIF(B$2:B$119, "&lt;10"), COUNTIF(B$2:B$119, "&lt;1"))</f>
        <v>10</v>
      </c>
      <c r="U13" s="2">
        <f t="shared" si="56"/>
        <v>6</v>
      </c>
      <c r="V13" s="2">
        <f t="shared" si="56"/>
        <v>6</v>
      </c>
      <c r="W13" s="2">
        <f t="shared" si="56"/>
        <v>4</v>
      </c>
      <c r="X13" s="2">
        <f t="shared" si="56"/>
        <v>10</v>
      </c>
      <c r="Y13" s="2">
        <f t="shared" si="56"/>
        <v>15</v>
      </c>
      <c r="AD13" s="9" t="s">
        <v>8596</v>
      </c>
      <c r="AE13" s="392">
        <f t="shared" ref="AE13:AJ13" si="57">T13/Sum(T$3:T$14)</f>
        <v>0.08474576271</v>
      </c>
      <c r="AF13" s="392">
        <f t="shared" si="57"/>
        <v>0.05084745763</v>
      </c>
      <c r="AG13" s="392">
        <f t="shared" si="57"/>
        <v>0.05084745763</v>
      </c>
      <c r="AH13" s="392">
        <f t="shared" si="57"/>
        <v>0.03389830508</v>
      </c>
      <c r="AI13" s="392">
        <f t="shared" si="57"/>
        <v>0.08474576271</v>
      </c>
      <c r="AJ13" s="392">
        <f t="shared" si="57"/>
        <v>0.1271186441</v>
      </c>
    </row>
    <row r="14">
      <c r="A14" s="52" t="s">
        <v>577</v>
      </c>
      <c r="B14" s="9">
        <v>0.0</v>
      </c>
      <c r="C14" s="9">
        <v>0.0</v>
      </c>
      <c r="D14" s="9">
        <v>0.0</v>
      </c>
      <c r="E14" s="9">
        <v>0.0</v>
      </c>
      <c r="F14" s="9">
        <v>0.0</v>
      </c>
      <c r="G14" s="9">
        <v>0.0</v>
      </c>
      <c r="H14" s="2">
        <f t="shared" ref="H14:J14" si="58">IF(OR(E14&gt;B14, And(EQ(E14, "Inf"), NOT(EQ(B14, "Inf")))), 1, 0)</f>
        <v>0</v>
      </c>
      <c r="I14" s="2">
        <f t="shared" si="58"/>
        <v>0</v>
      </c>
      <c r="J14" s="2">
        <f t="shared" si="58"/>
        <v>0</v>
      </c>
      <c r="K14" s="2">
        <f t="shared" ref="K14:M14" si="59">IF(OR(E14&lt;B14, And(EQ(B14, "Inf"), NOT(EQ(E14, "Inf")))), 1, 0)</f>
        <v>0</v>
      </c>
      <c r="L14" s="2">
        <f t="shared" si="59"/>
        <v>0</v>
      </c>
      <c r="M14" s="2">
        <f t="shared" si="59"/>
        <v>0</v>
      </c>
      <c r="N14" s="2" t="str">
        <f t="shared" ref="N14:P14" si="60">IF(EQ(H14, 1), IF(NOT(EQ(B14, 0)), E14/B14, "Inf"), "")</f>
        <v/>
      </c>
      <c r="O14" s="2" t="str">
        <f t="shared" si="60"/>
        <v/>
      </c>
      <c r="P14" s="2" t="str">
        <f t="shared" si="60"/>
        <v/>
      </c>
      <c r="S14" s="9" t="s">
        <v>8597</v>
      </c>
      <c r="T14" s="2">
        <f t="shared" ref="T14:Y14" si="61">ADD(COUNTIF(B$2:B$119, "&gt;=10"),COUNTIF(B$2:B$119, "Inf"))</f>
        <v>5</v>
      </c>
      <c r="U14" s="2">
        <f t="shared" si="61"/>
        <v>11</v>
      </c>
      <c r="V14" s="2">
        <f t="shared" si="61"/>
        <v>12</v>
      </c>
      <c r="W14" s="2">
        <f t="shared" si="61"/>
        <v>18</v>
      </c>
      <c r="X14" s="2">
        <f t="shared" si="61"/>
        <v>20</v>
      </c>
      <c r="Y14" s="2">
        <f t="shared" si="61"/>
        <v>22</v>
      </c>
      <c r="AD14" s="9" t="s">
        <v>8597</v>
      </c>
      <c r="AE14" s="392">
        <f t="shared" ref="AE14:AJ14" si="62">T14/Sum(T$3:T$14)</f>
        <v>0.04237288136</v>
      </c>
      <c r="AF14" s="392">
        <f t="shared" si="62"/>
        <v>0.09322033898</v>
      </c>
      <c r="AG14" s="392">
        <f t="shared" si="62"/>
        <v>0.1016949153</v>
      </c>
      <c r="AH14" s="392">
        <f t="shared" si="62"/>
        <v>0.1525423729</v>
      </c>
      <c r="AI14" s="392">
        <f t="shared" si="62"/>
        <v>0.1694915254</v>
      </c>
      <c r="AJ14" s="392">
        <f t="shared" si="62"/>
        <v>0.186440678</v>
      </c>
    </row>
    <row r="15">
      <c r="A15" s="52" t="s">
        <v>910</v>
      </c>
      <c r="B15" s="9">
        <v>0.0</v>
      </c>
      <c r="C15" s="9">
        <v>0.0</v>
      </c>
      <c r="D15" s="9">
        <v>0.0</v>
      </c>
      <c r="E15" s="10">
        <v>0.23284673944206613</v>
      </c>
      <c r="F15" s="10">
        <v>0.5199110829529336</v>
      </c>
      <c r="G15" s="10">
        <v>0.8738174228603841</v>
      </c>
      <c r="H15" s="2">
        <f t="shared" ref="H15:J15" si="63">IF(OR(E15&gt;B15, And(EQ(E15, "Inf"), NOT(EQ(B15, "Inf")))), 1, 0)</f>
        <v>1</v>
      </c>
      <c r="I15" s="2">
        <f t="shared" si="63"/>
        <v>1</v>
      </c>
      <c r="J15" s="2">
        <f t="shared" si="63"/>
        <v>1</v>
      </c>
      <c r="K15" s="2">
        <f t="shared" ref="K15:M15" si="64">IF(OR(E15&lt;B15, And(EQ(B15, "Inf"), NOT(EQ(E15, "Inf")))), 1, 0)</f>
        <v>0</v>
      </c>
      <c r="L15" s="2">
        <f t="shared" si="64"/>
        <v>0</v>
      </c>
      <c r="M15" s="2">
        <f t="shared" si="64"/>
        <v>0</v>
      </c>
      <c r="N15" s="2" t="str">
        <f t="shared" ref="N15:P15" si="65">IF(EQ(H15, 1), IF(NOT(EQ(B15, 0)), E15/B15, "Inf"), "")</f>
        <v>Inf</v>
      </c>
      <c r="O15" s="2" t="str">
        <f t="shared" si="65"/>
        <v>Inf</v>
      </c>
      <c r="P15" s="2" t="str">
        <f t="shared" si="65"/>
        <v>Inf</v>
      </c>
      <c r="S15" s="9"/>
      <c r="Y15" s="9"/>
      <c r="Z15" s="392"/>
      <c r="AA15" s="392"/>
      <c r="AB15" s="392"/>
    </row>
    <row r="16">
      <c r="A16" s="391" t="s">
        <v>213</v>
      </c>
      <c r="B16" s="2">
        <v>0.1993539462092342</v>
      </c>
      <c r="C16" s="2">
        <v>0.43844988828766285</v>
      </c>
      <c r="D16" s="2">
        <v>0.7252105499420405</v>
      </c>
      <c r="E16" s="2">
        <f>AVERAGE(Sheet1!BH68,Sheet1!BH224)</f>
        <v>0.3393049339</v>
      </c>
      <c r="F16" s="2">
        <f>AVERAGE(Sheet1!BK68,Sheet1!BK224)</f>
        <v>0.8357368987</v>
      </c>
      <c r="G16" s="2">
        <f>AVERAGE(Sheet1!BN68,Sheet1!BN224)</f>
        <v>1.531225314</v>
      </c>
      <c r="H16" s="2">
        <f t="shared" ref="H16:J16" si="66">IF(OR(E16&gt;B16, And(EQ(E16, "Inf"), NOT(EQ(B16, "Inf")))), 1, 0)</f>
        <v>1</v>
      </c>
      <c r="I16" s="2">
        <f t="shared" si="66"/>
        <v>1</v>
      </c>
      <c r="J16" s="2">
        <f t="shared" si="66"/>
        <v>1</v>
      </c>
      <c r="K16" s="2">
        <f t="shared" ref="K16:M16" si="67">IF(OR(E16&lt;B16, And(EQ(B16, "Inf"), NOT(EQ(E16, "Inf")))), 1, 0)</f>
        <v>0</v>
      </c>
      <c r="L16" s="2">
        <f t="shared" si="67"/>
        <v>0</v>
      </c>
      <c r="M16" s="2">
        <f t="shared" si="67"/>
        <v>0</v>
      </c>
      <c r="N16" s="2">
        <f t="shared" ref="N16:P16" si="68">IF(EQ(H16, 1), IF(NOT(EQ(B16, 0)), E16/B16, "Inf"), "")</f>
        <v>1.70202266</v>
      </c>
      <c r="O16" s="2">
        <f t="shared" si="68"/>
        <v>1.906117258</v>
      </c>
      <c r="P16" s="2">
        <f t="shared" si="68"/>
        <v>2.11142173</v>
      </c>
      <c r="S16" s="9" t="s">
        <v>8598</v>
      </c>
      <c r="T16" s="9" t="s">
        <v>8599</v>
      </c>
    </row>
    <row r="17">
      <c r="A17" s="52" t="s">
        <v>519</v>
      </c>
      <c r="B17" s="9">
        <v>0.0</v>
      </c>
      <c r="C17" s="9">
        <v>0.0</v>
      </c>
      <c r="D17" s="9">
        <v>0.0</v>
      </c>
      <c r="E17" s="9">
        <f>AVERAGE(Sheet1!BH544:BH545)</f>
        <v>0.2857989153</v>
      </c>
      <c r="F17" s="2">
        <f>AVERAGE(Sheet1!BK544:BK545)</f>
        <v>0.7311815551</v>
      </c>
      <c r="G17" s="9">
        <f>AVERAGE(Sheet1!BN544:BN545)</f>
        <v>1.357243004</v>
      </c>
      <c r="H17" s="2">
        <f t="shared" ref="H17:J17" si="69">IF(OR(E17&gt;B17, And(EQ(E17, "Inf"), NOT(EQ(B17, "Inf")))), 1, 0)</f>
        <v>1</v>
      </c>
      <c r="I17" s="2">
        <f t="shared" si="69"/>
        <v>1</v>
      </c>
      <c r="J17" s="2">
        <f t="shared" si="69"/>
        <v>1</v>
      </c>
      <c r="K17" s="2">
        <f t="shared" ref="K17:M17" si="70">IF(OR(E17&lt;B17, And(EQ(B17, "Inf"), NOT(EQ(E17, "Inf")))), 1, 0)</f>
        <v>0</v>
      </c>
      <c r="L17" s="2">
        <f t="shared" si="70"/>
        <v>0</v>
      </c>
      <c r="M17" s="2">
        <f t="shared" si="70"/>
        <v>0</v>
      </c>
      <c r="N17" s="2" t="str">
        <f t="shared" ref="N17:P17" si="71">IF(EQ(H17, 1), IF(NOT(EQ(B17, 0)), E17/B17, "Inf"), "")</f>
        <v>Inf</v>
      </c>
      <c r="O17" s="2" t="str">
        <f t="shared" si="71"/>
        <v>Inf</v>
      </c>
      <c r="P17" s="2" t="str">
        <f t="shared" si="71"/>
        <v>Inf</v>
      </c>
      <c r="S17" s="394">
        <v>0.1</v>
      </c>
      <c r="T17" s="395"/>
    </row>
    <row r="18">
      <c r="A18" s="52" t="s">
        <v>641</v>
      </c>
      <c r="B18" s="9">
        <v>0.0</v>
      </c>
      <c r="C18" s="9">
        <v>0.0</v>
      </c>
      <c r="D18" s="9">
        <v>0.0</v>
      </c>
      <c r="E18" s="9">
        <v>0.0</v>
      </c>
      <c r="F18" s="9">
        <v>0.0</v>
      </c>
      <c r="G18" s="9">
        <v>0.0</v>
      </c>
      <c r="H18" s="2">
        <f t="shared" ref="H18:J18" si="72">IF(OR(E18&gt;B18, And(EQ(E18, "Inf"), NOT(EQ(B18, "Inf")))), 1, 0)</f>
        <v>0</v>
      </c>
      <c r="I18" s="2">
        <f t="shared" si="72"/>
        <v>0</v>
      </c>
      <c r="J18" s="2">
        <f t="shared" si="72"/>
        <v>0</v>
      </c>
      <c r="K18" s="2">
        <f t="shared" ref="K18:M18" si="73">IF(OR(E18&lt;B18, And(EQ(B18, "Inf"), NOT(EQ(E18, "Inf")))), 1, 0)</f>
        <v>0</v>
      </c>
      <c r="L18" s="2">
        <f t="shared" si="73"/>
        <v>0</v>
      </c>
      <c r="M18" s="2">
        <f t="shared" si="73"/>
        <v>0</v>
      </c>
      <c r="N18" s="2" t="str">
        <f t="shared" ref="N18:P18" si="74">IF(EQ(H18, 1), IF(NOT(EQ(B18, 0)), E18/B18, "Inf"), "")</f>
        <v/>
      </c>
      <c r="O18" s="2" t="str">
        <f t="shared" si="74"/>
        <v/>
      </c>
      <c r="P18" s="2" t="str">
        <f t="shared" si="74"/>
        <v/>
      </c>
    </row>
    <row r="19">
      <c r="A19" s="52" t="s">
        <v>857</v>
      </c>
      <c r="B19" s="9">
        <v>0.0</v>
      </c>
      <c r="C19" s="9">
        <v>0.0</v>
      </c>
      <c r="D19" s="9">
        <v>0.0</v>
      </c>
      <c r="E19" s="9">
        <v>0.0</v>
      </c>
      <c r="F19" s="9">
        <v>0.0</v>
      </c>
      <c r="G19" s="9">
        <v>0.0</v>
      </c>
      <c r="H19" s="2">
        <f t="shared" ref="H19:J19" si="75">IF(OR(E19&gt;B19, And(EQ(E19, "Inf"), NOT(EQ(B19, "Inf")))), 1, 0)</f>
        <v>0</v>
      </c>
      <c r="I19" s="2">
        <f t="shared" si="75"/>
        <v>0</v>
      </c>
      <c r="J19" s="2">
        <f t="shared" si="75"/>
        <v>0</v>
      </c>
      <c r="K19" s="2">
        <f t="shared" ref="K19:M19" si="76">IF(OR(E19&lt;B19, And(EQ(B19, "Inf"), NOT(EQ(E19, "Inf")))), 1, 0)</f>
        <v>0</v>
      </c>
      <c r="L19" s="2">
        <f t="shared" si="76"/>
        <v>0</v>
      </c>
      <c r="M19" s="2">
        <f t="shared" si="76"/>
        <v>0</v>
      </c>
      <c r="N19" s="2" t="str">
        <f t="shared" ref="N19:P19" si="77">IF(EQ(H19, 1), IF(NOT(EQ(B19, 0)), E19/B19, "Inf"), "")</f>
        <v/>
      </c>
      <c r="O19" s="2" t="str">
        <f t="shared" si="77"/>
        <v/>
      </c>
      <c r="P19" s="2" t="str">
        <f t="shared" si="77"/>
        <v/>
      </c>
      <c r="S19" s="1" t="s">
        <v>8600</v>
      </c>
    </row>
    <row r="20">
      <c r="A20" s="52" t="s">
        <v>499</v>
      </c>
      <c r="B20" s="9">
        <v>0.0</v>
      </c>
      <c r="C20" s="9">
        <v>0.0</v>
      </c>
      <c r="D20" s="9">
        <v>0.0</v>
      </c>
      <c r="E20" s="9">
        <v>0.0</v>
      </c>
      <c r="F20" s="9">
        <v>0.0</v>
      </c>
      <c r="G20" s="9">
        <v>0.0</v>
      </c>
      <c r="H20" s="2">
        <f t="shared" ref="H20:J20" si="78">IF(OR(E20&gt;B20, And(EQ(E20, "Inf"), NOT(EQ(B20, "Inf")))), 1, 0)</f>
        <v>0</v>
      </c>
      <c r="I20" s="2">
        <f t="shared" si="78"/>
        <v>0</v>
      </c>
      <c r="J20" s="2">
        <f t="shared" si="78"/>
        <v>0</v>
      </c>
      <c r="K20" s="2">
        <f t="shared" ref="K20:M20" si="79">IF(OR(E20&lt;B20, And(EQ(B20, "Inf"), NOT(EQ(E20, "Inf")))), 1, 0)</f>
        <v>0</v>
      </c>
      <c r="L20" s="2">
        <f t="shared" si="79"/>
        <v>0</v>
      </c>
      <c r="M20" s="2">
        <f t="shared" si="79"/>
        <v>0</v>
      </c>
      <c r="N20" s="2" t="str">
        <f t="shared" ref="N20:P20" si="80">IF(EQ(H20, 1), IF(NOT(EQ(B20, 0)), E20/B20, "Inf"), "")</f>
        <v/>
      </c>
      <c r="O20" s="2" t="str">
        <f t="shared" si="80"/>
        <v/>
      </c>
      <c r="P20" s="2" t="str">
        <f t="shared" si="80"/>
        <v/>
      </c>
    </row>
    <row r="21">
      <c r="A21" s="52" t="s">
        <v>1039</v>
      </c>
      <c r="B21" s="9">
        <v>0.0</v>
      </c>
      <c r="C21" s="9">
        <v>0.0</v>
      </c>
      <c r="D21" s="9">
        <v>0.0</v>
      </c>
      <c r="E21" s="9">
        <v>0.0</v>
      </c>
      <c r="F21" s="9">
        <v>0.0</v>
      </c>
      <c r="G21" s="9">
        <v>0.0</v>
      </c>
      <c r="H21" s="2">
        <f t="shared" ref="H21:J21" si="81">IF(OR(E21&gt;B21, And(EQ(E21, "Inf"), NOT(EQ(B21, "Inf")))), 1, 0)</f>
        <v>0</v>
      </c>
      <c r="I21" s="2">
        <f t="shared" si="81"/>
        <v>0</v>
      </c>
      <c r="J21" s="2">
        <f t="shared" si="81"/>
        <v>0</v>
      </c>
      <c r="K21" s="2">
        <f t="shared" ref="K21:M21" si="82">IF(OR(E21&lt;B21, And(EQ(B21, "Inf"), NOT(EQ(E21, "Inf")))), 1, 0)</f>
        <v>0</v>
      </c>
      <c r="L21" s="2">
        <f t="shared" si="82"/>
        <v>0</v>
      </c>
      <c r="M21" s="2">
        <f t="shared" si="82"/>
        <v>0</v>
      </c>
      <c r="N21" s="2" t="str">
        <f t="shared" ref="N21:P21" si="83">IF(EQ(H21, 1), IF(NOT(EQ(B21, 0)), E21/B21, "Inf"), "")</f>
        <v/>
      </c>
      <c r="O21" s="2" t="str">
        <f t="shared" si="83"/>
        <v/>
      </c>
      <c r="P21" s="2" t="str">
        <f t="shared" si="83"/>
        <v/>
      </c>
    </row>
    <row r="22">
      <c r="A22" s="52" t="s">
        <v>1082</v>
      </c>
      <c r="B22" s="9">
        <v>0.0</v>
      </c>
      <c r="C22" s="9">
        <v>0.0</v>
      </c>
      <c r="D22" s="9">
        <v>0.0</v>
      </c>
      <c r="E22" s="9">
        <v>0.0</v>
      </c>
      <c r="F22" s="9">
        <v>0.0</v>
      </c>
      <c r="G22" s="9">
        <v>0.0</v>
      </c>
      <c r="H22" s="2">
        <f t="shared" ref="H22:J22" si="84">IF(OR(E22&gt;B22, And(EQ(E22, "Inf"), NOT(EQ(B22, "Inf")))), 1, 0)</f>
        <v>0</v>
      </c>
      <c r="I22" s="2">
        <f t="shared" si="84"/>
        <v>0</v>
      </c>
      <c r="J22" s="2">
        <f t="shared" si="84"/>
        <v>0</v>
      </c>
      <c r="K22" s="2">
        <f t="shared" ref="K22:M22" si="85">IF(OR(E22&lt;B22, And(EQ(B22, "Inf"), NOT(EQ(E22, "Inf")))), 1, 0)</f>
        <v>0</v>
      </c>
      <c r="L22" s="2">
        <f t="shared" si="85"/>
        <v>0</v>
      </c>
      <c r="M22" s="2">
        <f t="shared" si="85"/>
        <v>0</v>
      </c>
      <c r="N22" s="2" t="str">
        <f t="shared" ref="N22:P22" si="86">IF(EQ(H22, 1), IF(NOT(EQ(B22, 0)), E22/B22, "Inf"), "")</f>
        <v/>
      </c>
      <c r="O22" s="2" t="str">
        <f t="shared" si="86"/>
        <v/>
      </c>
      <c r="P22" s="2" t="str">
        <f t="shared" si="86"/>
        <v/>
      </c>
    </row>
    <row r="23">
      <c r="A23" s="391" t="s">
        <v>845</v>
      </c>
      <c r="B23" s="2" t="s">
        <v>1781</v>
      </c>
      <c r="C23" s="2" t="s">
        <v>1781</v>
      </c>
      <c r="D23" s="2" t="s">
        <v>1781</v>
      </c>
      <c r="E23" s="2" t="s">
        <v>1781</v>
      </c>
      <c r="F23" s="2" t="s">
        <v>1781</v>
      </c>
      <c r="G23" s="2" t="s">
        <v>1781</v>
      </c>
      <c r="H23" s="2">
        <f t="shared" ref="H23:J23" si="87">IF(OR(E23&gt;B23, And(EQ(E23, "Inf"), NOT(EQ(B23, "Inf")))), 1, 0)</f>
        <v>0</v>
      </c>
      <c r="I23" s="2">
        <f t="shared" si="87"/>
        <v>0</v>
      </c>
      <c r="J23" s="2">
        <f t="shared" si="87"/>
        <v>0</v>
      </c>
      <c r="K23" s="2">
        <f t="shared" ref="K23:M23" si="88">IF(OR(E23&lt;B23, And(EQ(B23, "Inf"), NOT(EQ(E23, "Inf")))), 1, 0)</f>
        <v>0</v>
      </c>
      <c r="L23" s="2">
        <f t="shared" si="88"/>
        <v>0</v>
      </c>
      <c r="M23" s="2">
        <f t="shared" si="88"/>
        <v>0</v>
      </c>
      <c r="N23" s="2" t="str">
        <f t="shared" ref="N23:P23" si="89">IF(EQ(H23, 1), IF(NOT(EQ(B23, 0)), E23/B23, "Inf"), "")</f>
        <v/>
      </c>
      <c r="O23" s="2" t="str">
        <f t="shared" si="89"/>
        <v/>
      </c>
      <c r="P23" s="2" t="str">
        <f t="shared" si="89"/>
        <v/>
      </c>
    </row>
    <row r="24">
      <c r="A24" s="52" t="s">
        <v>771</v>
      </c>
      <c r="B24" s="9">
        <v>0.0</v>
      </c>
      <c r="C24" s="9">
        <v>0.0</v>
      </c>
      <c r="D24" s="9">
        <v>0.0</v>
      </c>
      <c r="E24" s="10">
        <v>0.15452896075517764</v>
      </c>
      <c r="F24" s="10">
        <v>0.20565025511017487</v>
      </c>
      <c r="G24" s="10">
        <v>0.23659374690743284</v>
      </c>
      <c r="H24" s="2">
        <f t="shared" ref="H24:J24" si="90">IF(OR(E24&gt;B24, And(EQ(E24, "Inf"), NOT(EQ(B24, "Inf")))), 1, 0)</f>
        <v>1</v>
      </c>
      <c r="I24" s="2">
        <f t="shared" si="90"/>
        <v>1</v>
      </c>
      <c r="J24" s="2">
        <f t="shared" si="90"/>
        <v>1</v>
      </c>
      <c r="K24" s="2">
        <f t="shared" ref="K24:M24" si="91">IF(OR(E24&lt;B24, And(EQ(B24, "Inf"), NOT(EQ(E24, "Inf")))), 1, 0)</f>
        <v>0</v>
      </c>
      <c r="L24" s="2">
        <f t="shared" si="91"/>
        <v>0</v>
      </c>
      <c r="M24" s="2">
        <f t="shared" si="91"/>
        <v>0</v>
      </c>
      <c r="N24" s="2" t="str">
        <f t="shared" ref="N24:P24" si="92">IF(EQ(H24, 1), IF(NOT(EQ(B24, 0)), E24/B24, "Inf"), "")</f>
        <v>Inf</v>
      </c>
      <c r="O24" s="2" t="str">
        <f t="shared" si="92"/>
        <v>Inf</v>
      </c>
      <c r="P24" s="2" t="str">
        <f t="shared" si="92"/>
        <v>Inf</v>
      </c>
    </row>
    <row r="25">
      <c r="A25" s="52" t="s">
        <v>5716</v>
      </c>
      <c r="B25" s="9">
        <v>0.0</v>
      </c>
      <c r="C25" s="9">
        <v>0.0</v>
      </c>
      <c r="D25" s="9">
        <v>0.0</v>
      </c>
      <c r="E25" s="9">
        <v>0.0</v>
      </c>
      <c r="F25" s="9">
        <v>0.0</v>
      </c>
      <c r="G25" s="9">
        <v>0.0</v>
      </c>
      <c r="H25" s="2">
        <f t="shared" ref="H25:J25" si="93">IF(OR(E25&gt;B25, And(EQ(E25, "Inf"), NOT(EQ(B25, "Inf")))), 1, 0)</f>
        <v>0</v>
      </c>
      <c r="I25" s="2">
        <f t="shared" si="93"/>
        <v>0</v>
      </c>
      <c r="J25" s="2">
        <f t="shared" si="93"/>
        <v>0</v>
      </c>
      <c r="K25" s="2">
        <f t="shared" ref="K25:M25" si="94">IF(OR(E25&lt;B25, And(EQ(B25, "Inf"), NOT(EQ(E25, "Inf")))), 1, 0)</f>
        <v>0</v>
      </c>
      <c r="L25" s="2">
        <f t="shared" si="94"/>
        <v>0</v>
      </c>
      <c r="M25" s="2">
        <f t="shared" si="94"/>
        <v>0</v>
      </c>
      <c r="N25" s="2" t="str">
        <f t="shared" ref="N25:P25" si="95">IF(EQ(H25, 1), IF(NOT(EQ(B25, 0)), E25/B25, "Inf"), "")</f>
        <v/>
      </c>
      <c r="O25" s="2" t="str">
        <f t="shared" si="95"/>
        <v/>
      </c>
      <c r="P25" s="2" t="str">
        <f t="shared" si="95"/>
        <v/>
      </c>
    </row>
    <row r="26">
      <c r="A26" s="52" t="s">
        <v>768</v>
      </c>
      <c r="B26" s="9">
        <v>0.0</v>
      </c>
      <c r="C26" s="9">
        <v>0.0</v>
      </c>
      <c r="D26" s="9">
        <v>0.0</v>
      </c>
      <c r="E26" s="9">
        <f>AVERAGE(Sheet1!BH708:BH710)</f>
        <v>0.1289073397</v>
      </c>
      <c r="F26" s="9">
        <f>AVERAGE(Sheet1!BK708:BK710)</f>
        <v>0.2913027223</v>
      </c>
      <c r="G26" s="9">
        <f>AVERAGE(Sheet1!BN708:BN710)</f>
        <v>0.4800115814</v>
      </c>
      <c r="H26" s="2">
        <f t="shared" ref="H26:J26" si="96">IF(OR(E26&gt;B26, And(EQ(E26, "Inf"), NOT(EQ(B26, "Inf")))), 1, 0)</f>
        <v>1</v>
      </c>
      <c r="I26" s="2">
        <f t="shared" si="96"/>
        <v>1</v>
      </c>
      <c r="J26" s="2">
        <f t="shared" si="96"/>
        <v>1</v>
      </c>
      <c r="K26" s="2">
        <f t="shared" ref="K26:M26" si="97">IF(OR(E26&lt;B26, And(EQ(B26, "Inf"), NOT(EQ(E26, "Inf")))), 1, 0)</f>
        <v>0</v>
      </c>
      <c r="L26" s="2">
        <f t="shared" si="97"/>
        <v>0</v>
      </c>
      <c r="M26" s="2">
        <f t="shared" si="97"/>
        <v>0</v>
      </c>
      <c r="N26" s="2" t="str">
        <f t="shared" ref="N26:P26" si="98">IF(EQ(H26, 1), IF(NOT(EQ(B26, 0)), E26/B26, "Inf"), "")</f>
        <v>Inf</v>
      </c>
      <c r="O26" s="2" t="str">
        <f t="shared" si="98"/>
        <v>Inf</v>
      </c>
      <c r="P26" s="2" t="str">
        <f t="shared" si="98"/>
        <v>Inf</v>
      </c>
    </row>
    <row r="27">
      <c r="A27" s="52" t="s">
        <v>784</v>
      </c>
      <c r="B27" s="9">
        <v>0.0</v>
      </c>
      <c r="C27" s="9">
        <v>0.0</v>
      </c>
      <c r="D27" s="9">
        <v>0.0</v>
      </c>
      <c r="E27" s="9">
        <v>0.0</v>
      </c>
      <c r="F27" s="9">
        <v>0.0</v>
      </c>
      <c r="G27" s="9">
        <v>0.0</v>
      </c>
      <c r="H27" s="2">
        <f t="shared" ref="H27:J27" si="99">IF(OR(E27&gt;B27, And(EQ(E27, "Inf"), NOT(EQ(B27, "Inf")))), 1, 0)</f>
        <v>0</v>
      </c>
      <c r="I27" s="2">
        <f t="shared" si="99"/>
        <v>0</v>
      </c>
      <c r="J27" s="2">
        <f t="shared" si="99"/>
        <v>0</v>
      </c>
      <c r="K27" s="2">
        <f t="shared" ref="K27:M27" si="100">IF(OR(E27&lt;B27, And(EQ(B27, "Inf"), NOT(EQ(E27, "Inf")))), 1, 0)</f>
        <v>0</v>
      </c>
      <c r="L27" s="2">
        <f t="shared" si="100"/>
        <v>0</v>
      </c>
      <c r="M27" s="2">
        <f t="shared" si="100"/>
        <v>0</v>
      </c>
      <c r="N27" s="2" t="str">
        <f t="shared" ref="N27:P27" si="101">IF(EQ(H27, 1), IF(NOT(EQ(B27, 0)), E27/B27, "Inf"), "")</f>
        <v/>
      </c>
      <c r="O27" s="2" t="str">
        <f t="shared" si="101"/>
        <v/>
      </c>
      <c r="P27" s="2" t="str">
        <f t="shared" si="101"/>
        <v/>
      </c>
    </row>
    <row r="28">
      <c r="A28" s="52" t="s">
        <v>1101</v>
      </c>
      <c r="B28" s="9">
        <v>0.0</v>
      </c>
      <c r="C28" s="9">
        <v>0.0</v>
      </c>
      <c r="D28" s="9">
        <v>0.0</v>
      </c>
      <c r="E28" s="9">
        <v>0.0</v>
      </c>
      <c r="F28" s="9">
        <v>0.0</v>
      </c>
      <c r="G28" s="9">
        <v>0.0</v>
      </c>
      <c r="H28" s="2">
        <f t="shared" ref="H28:J28" si="102">IF(OR(E28&gt;B28, And(EQ(E28, "Inf"), NOT(EQ(B28, "Inf")))), 1, 0)</f>
        <v>0</v>
      </c>
      <c r="I28" s="2">
        <f t="shared" si="102"/>
        <v>0</v>
      </c>
      <c r="J28" s="2">
        <f t="shared" si="102"/>
        <v>0</v>
      </c>
      <c r="K28" s="2">
        <f t="shared" ref="K28:M28" si="103">IF(OR(E28&lt;B28, And(EQ(B28, "Inf"), NOT(EQ(E28, "Inf")))), 1, 0)</f>
        <v>0</v>
      </c>
      <c r="L28" s="2">
        <f t="shared" si="103"/>
        <v>0</v>
      </c>
      <c r="M28" s="2">
        <f t="shared" si="103"/>
        <v>0</v>
      </c>
      <c r="N28" s="2" t="str">
        <f t="shared" ref="N28:P28" si="104">IF(EQ(H28, 1), IF(NOT(EQ(B28, 0)), E28/B28, "Inf"), "")</f>
        <v/>
      </c>
      <c r="O28" s="2" t="str">
        <f t="shared" si="104"/>
        <v/>
      </c>
      <c r="P28" s="2" t="str">
        <f t="shared" si="104"/>
        <v/>
      </c>
      <c r="Q28" s="9" t="s">
        <v>8601</v>
      </c>
    </row>
    <row r="29">
      <c r="A29" s="52" t="s">
        <v>685</v>
      </c>
      <c r="B29" s="9">
        <v>0.0</v>
      </c>
      <c r="C29" s="9">
        <v>0.0</v>
      </c>
      <c r="D29" s="9">
        <v>0.0</v>
      </c>
      <c r="E29" s="9">
        <f>AVERAGE(Sheet1!BH643,Sheet1!BH646)</f>
        <v>0.5265273215</v>
      </c>
      <c r="F29" s="9">
        <f>AVERAGE(Sheet1!BK643,Sheet1!BK646)</f>
        <v>0.8628572574</v>
      </c>
      <c r="G29" s="9">
        <f>AVERAGE(Sheet1!BN643,Sheet1!BN646)</f>
        <v>1.597539145</v>
      </c>
      <c r="H29" s="2">
        <f t="shared" ref="H29:J29" si="105">IF(OR(E29&gt;B29, And(EQ(E29, "Inf"), NOT(EQ(B29, "Inf")))), 1, 0)</f>
        <v>1</v>
      </c>
      <c r="I29" s="2">
        <f t="shared" si="105"/>
        <v>1</v>
      </c>
      <c r="J29" s="2">
        <f t="shared" si="105"/>
        <v>1</v>
      </c>
      <c r="K29" s="2">
        <f t="shared" ref="K29:M29" si="106">IF(OR(E29&lt;B29, And(EQ(B29, "Inf"), NOT(EQ(E29, "Inf")))), 1, 0)</f>
        <v>0</v>
      </c>
      <c r="L29" s="2">
        <f t="shared" si="106"/>
        <v>0</v>
      </c>
      <c r="M29" s="2">
        <f t="shared" si="106"/>
        <v>0</v>
      </c>
      <c r="N29" s="2" t="str">
        <f t="shared" ref="N29:P29" si="107">IF(EQ(H29, 1), IF(NOT(EQ(B29, 0)), E29/B29, "Inf"), "")</f>
        <v>Inf</v>
      </c>
      <c r="O29" s="2" t="str">
        <f t="shared" si="107"/>
        <v>Inf</v>
      </c>
      <c r="P29" s="2" t="str">
        <f t="shared" si="107"/>
        <v>Inf</v>
      </c>
    </row>
    <row r="30">
      <c r="A30" s="52" t="s">
        <v>580</v>
      </c>
      <c r="B30" s="9">
        <v>0.0</v>
      </c>
      <c r="C30" s="9">
        <v>0.0</v>
      </c>
      <c r="D30" s="9">
        <v>0.0</v>
      </c>
      <c r="E30" s="10">
        <v>0.20243305870626416</v>
      </c>
      <c r="F30" s="10">
        <v>0.5417655625443614</v>
      </c>
      <c r="G30" s="10">
        <v>0.9997453265985672</v>
      </c>
      <c r="H30" s="2">
        <f t="shared" ref="H30:J30" si="108">IF(OR(E30&gt;B30, And(EQ(E30, "Inf"), NOT(EQ(B30, "Inf")))), 1, 0)</f>
        <v>1</v>
      </c>
      <c r="I30" s="2">
        <f t="shared" si="108"/>
        <v>1</v>
      </c>
      <c r="J30" s="2">
        <f t="shared" si="108"/>
        <v>1</v>
      </c>
      <c r="K30" s="2">
        <f t="shared" ref="K30:M30" si="109">IF(OR(E30&lt;B30, And(EQ(B30, "Inf"), NOT(EQ(E30, "Inf")))), 1, 0)</f>
        <v>0</v>
      </c>
      <c r="L30" s="2">
        <f t="shared" si="109"/>
        <v>0</v>
      </c>
      <c r="M30" s="2">
        <f t="shared" si="109"/>
        <v>0</v>
      </c>
      <c r="N30" s="2" t="str">
        <f t="shared" ref="N30:P30" si="110">IF(EQ(H30, 1), IF(NOT(EQ(B30, 0)), E30/B30, "Inf"), "")</f>
        <v>Inf</v>
      </c>
      <c r="O30" s="2" t="str">
        <f t="shared" si="110"/>
        <v>Inf</v>
      </c>
      <c r="P30" s="2" t="str">
        <f t="shared" si="110"/>
        <v>Inf</v>
      </c>
    </row>
    <row r="31">
      <c r="A31" s="52" t="s">
        <v>813</v>
      </c>
      <c r="B31" s="9">
        <v>0.0</v>
      </c>
      <c r="C31" s="9">
        <v>0.0</v>
      </c>
      <c r="D31" s="9">
        <v>0.0</v>
      </c>
      <c r="E31" s="9">
        <v>0.0</v>
      </c>
      <c r="F31" s="9">
        <v>0.0</v>
      </c>
      <c r="G31" s="9">
        <v>0.0</v>
      </c>
      <c r="H31" s="2">
        <f t="shared" ref="H31:J31" si="111">IF(OR(E31&gt;B31, And(EQ(E31, "Inf"), NOT(EQ(B31, "Inf")))), 1, 0)</f>
        <v>0</v>
      </c>
      <c r="I31" s="2">
        <f t="shared" si="111"/>
        <v>0</v>
      </c>
      <c r="J31" s="2">
        <f t="shared" si="111"/>
        <v>0</v>
      </c>
      <c r="K31" s="2">
        <f t="shared" ref="K31:M31" si="112">IF(OR(E31&lt;B31, And(EQ(B31, "Inf"), NOT(EQ(E31, "Inf")))), 1, 0)</f>
        <v>0</v>
      </c>
      <c r="L31" s="2">
        <f t="shared" si="112"/>
        <v>0</v>
      </c>
      <c r="M31" s="2">
        <f t="shared" si="112"/>
        <v>0</v>
      </c>
      <c r="N31" s="2" t="str">
        <f t="shared" ref="N31:P31" si="113">IF(EQ(H31, 1), IF(NOT(EQ(B31, 0)), E31/B31, "Inf"), "")</f>
        <v/>
      </c>
      <c r="O31" s="2" t="str">
        <f t="shared" si="113"/>
        <v/>
      </c>
      <c r="P31" s="2" t="str">
        <f t="shared" si="113"/>
        <v/>
      </c>
    </row>
    <row r="32">
      <c r="A32" s="52" t="s">
        <v>1035</v>
      </c>
      <c r="B32" s="9">
        <v>0.0</v>
      </c>
      <c r="C32" s="9">
        <v>0.0</v>
      </c>
      <c r="D32" s="9">
        <v>0.0</v>
      </c>
      <c r="E32" s="9">
        <v>0.0</v>
      </c>
      <c r="F32" s="9">
        <v>0.0</v>
      </c>
      <c r="G32" s="9">
        <v>0.0</v>
      </c>
      <c r="H32" s="2">
        <f t="shared" ref="H32:J32" si="114">IF(OR(E32&gt;B32, And(EQ(E32, "Inf"), NOT(EQ(B32, "Inf")))), 1, 0)</f>
        <v>0</v>
      </c>
      <c r="I32" s="2">
        <f t="shared" si="114"/>
        <v>0</v>
      </c>
      <c r="J32" s="2">
        <f t="shared" si="114"/>
        <v>0</v>
      </c>
      <c r="K32" s="2">
        <f t="shared" ref="K32:M32" si="115">IF(OR(E32&lt;B32, And(EQ(B32, "Inf"), NOT(EQ(E32, "Inf")))), 1, 0)</f>
        <v>0</v>
      </c>
      <c r="L32" s="2">
        <f t="shared" si="115"/>
        <v>0</v>
      </c>
      <c r="M32" s="2">
        <f t="shared" si="115"/>
        <v>0</v>
      </c>
      <c r="N32" s="2" t="str">
        <f t="shared" ref="N32:P32" si="116">IF(EQ(H32, 1), IF(NOT(EQ(B32, 0)), E32/B32, "Inf"), "")</f>
        <v/>
      </c>
      <c r="O32" s="2" t="str">
        <f t="shared" si="116"/>
        <v/>
      </c>
      <c r="P32" s="2" t="str">
        <f t="shared" si="116"/>
        <v/>
      </c>
    </row>
    <row r="33">
      <c r="A33" s="391" t="s">
        <v>965</v>
      </c>
      <c r="B33" s="2">
        <v>0.45874647696256843</v>
      </c>
      <c r="C33" s="2">
        <v>0.7376565039561579</v>
      </c>
      <c r="D33" s="2">
        <v>0.9894321557745743</v>
      </c>
      <c r="E33" s="9">
        <v>0.0</v>
      </c>
      <c r="F33" s="9">
        <v>0.0</v>
      </c>
      <c r="G33" s="9">
        <v>0.0</v>
      </c>
      <c r="H33" s="2">
        <f t="shared" ref="H33:J33" si="117">IF(OR(E33&gt;B33, And(EQ(E33, "Inf"), NOT(EQ(B33, "Inf")))), 1, 0)</f>
        <v>0</v>
      </c>
      <c r="I33" s="2">
        <f t="shared" si="117"/>
        <v>0</v>
      </c>
      <c r="J33" s="2">
        <f t="shared" si="117"/>
        <v>0</v>
      </c>
      <c r="K33" s="2">
        <f t="shared" ref="K33:M33" si="118">IF(OR(E33&lt;B33, And(EQ(B33, "Inf"), NOT(EQ(E33, "Inf")))), 1, 0)</f>
        <v>1</v>
      </c>
      <c r="L33" s="2">
        <f t="shared" si="118"/>
        <v>1</v>
      </c>
      <c r="M33" s="2">
        <f t="shared" si="118"/>
        <v>1</v>
      </c>
      <c r="N33" s="2" t="str">
        <f t="shared" ref="N33:P33" si="119">IF(EQ(H33, 1), IF(NOT(EQ(B33, 0)), E33/B33, "Inf"), "")</f>
        <v/>
      </c>
      <c r="O33" s="2" t="str">
        <f t="shared" si="119"/>
        <v/>
      </c>
      <c r="P33" s="2" t="str">
        <f t="shared" si="119"/>
        <v/>
      </c>
    </row>
    <row r="34">
      <c r="A34" s="396" t="s">
        <v>607</v>
      </c>
      <c r="B34" s="9">
        <v>0.0</v>
      </c>
      <c r="C34" s="9">
        <v>0.0</v>
      </c>
      <c r="D34" s="9">
        <v>0.0</v>
      </c>
      <c r="E34" s="2">
        <f>AVERAGE(Sheet1!BH599,Sheet1!BH602)</f>
        <v>0.1147947127</v>
      </c>
      <c r="F34" s="2">
        <f>AVERAGE(Sheet1!BK599,Sheet1!BK602)</f>
        <v>0.2645600775</v>
      </c>
      <c r="G34" s="2">
        <f>AVERAGE(Sheet1!BN599,Sheet1!BN602)</f>
        <v>0.4391060808</v>
      </c>
      <c r="H34" s="2">
        <f t="shared" ref="H34:J34" si="120">IF(OR(E34&gt;B34, And(EQ(E34, "Inf"), NOT(EQ(B34, "Inf")))), 1, 0)</f>
        <v>1</v>
      </c>
      <c r="I34" s="2">
        <f t="shared" si="120"/>
        <v>1</v>
      </c>
      <c r="J34" s="2">
        <f t="shared" si="120"/>
        <v>1</v>
      </c>
      <c r="K34" s="2">
        <f t="shared" ref="K34:M34" si="121">IF(OR(E34&lt;B34, And(EQ(B34, "Inf"), NOT(EQ(E34, "Inf")))), 1, 0)</f>
        <v>0</v>
      </c>
      <c r="L34" s="2">
        <f t="shared" si="121"/>
        <v>0</v>
      </c>
      <c r="M34" s="2">
        <f t="shared" si="121"/>
        <v>0</v>
      </c>
      <c r="N34" s="2" t="str">
        <f t="shared" ref="N34:P34" si="122">IF(EQ(H34, 1), IF(NOT(EQ(B34, 0)), E34/B34, "Inf"), "")</f>
        <v>Inf</v>
      </c>
      <c r="O34" s="2" t="str">
        <f t="shared" si="122"/>
        <v>Inf</v>
      </c>
      <c r="P34" s="2" t="str">
        <f t="shared" si="122"/>
        <v>Inf</v>
      </c>
    </row>
    <row r="35">
      <c r="A35" s="52" t="s">
        <v>917</v>
      </c>
      <c r="B35" s="9">
        <v>0.0</v>
      </c>
      <c r="C35" s="9">
        <v>0.0</v>
      </c>
      <c r="D35" s="9">
        <v>0.0</v>
      </c>
      <c r="E35" s="10">
        <v>0.6682747865947449</v>
      </c>
      <c r="F35" s="10">
        <v>2.2065474468233135</v>
      </c>
      <c r="G35" s="10">
        <v>5.264033871051587</v>
      </c>
      <c r="H35" s="2">
        <f t="shared" ref="H35:J35" si="123">IF(OR(E35&gt;B35, And(EQ(E35, "Inf"), NOT(EQ(B35, "Inf")))), 1, 0)</f>
        <v>1</v>
      </c>
      <c r="I35" s="2">
        <f t="shared" si="123"/>
        <v>1</v>
      </c>
      <c r="J35" s="2">
        <f t="shared" si="123"/>
        <v>1</v>
      </c>
      <c r="K35" s="2">
        <f t="shared" ref="K35:M35" si="124">IF(OR(E35&lt;B35, And(EQ(B35, "Inf"), NOT(EQ(E35, "Inf")))), 1, 0)</f>
        <v>0</v>
      </c>
      <c r="L35" s="2">
        <f t="shared" si="124"/>
        <v>0</v>
      </c>
      <c r="M35" s="2">
        <f t="shared" si="124"/>
        <v>0</v>
      </c>
      <c r="N35" s="2" t="str">
        <f t="shared" ref="N35:P35" si="125">IF(EQ(H35, 1), IF(NOT(EQ(B35, 0)), E35/B35, "Inf"), "")</f>
        <v>Inf</v>
      </c>
      <c r="O35" s="2" t="str">
        <f t="shared" si="125"/>
        <v>Inf</v>
      </c>
      <c r="P35" s="2" t="str">
        <f t="shared" si="125"/>
        <v>Inf</v>
      </c>
    </row>
    <row r="36">
      <c r="A36" s="52" t="s">
        <v>852</v>
      </c>
      <c r="B36" s="9">
        <v>0.0</v>
      </c>
      <c r="C36" s="9">
        <v>0.0</v>
      </c>
      <c r="D36" s="9">
        <v>0.0</v>
      </c>
      <c r="E36" s="10">
        <v>0.14815362149688283</v>
      </c>
      <c r="F36" s="10">
        <v>0.318256738556407</v>
      </c>
      <c r="G36" s="10">
        <v>0.5135612484362082</v>
      </c>
      <c r="H36" s="2">
        <f t="shared" ref="H36:J36" si="126">IF(OR(E36&gt;B36, And(EQ(E36, "Inf"), NOT(EQ(B36, "Inf")))), 1, 0)</f>
        <v>1</v>
      </c>
      <c r="I36" s="2">
        <f t="shared" si="126"/>
        <v>1</v>
      </c>
      <c r="J36" s="2">
        <f t="shared" si="126"/>
        <v>1</v>
      </c>
      <c r="K36" s="2">
        <f t="shared" ref="K36:M36" si="127">IF(OR(E36&lt;B36, And(EQ(B36, "Inf"), NOT(EQ(E36, "Inf")))), 1, 0)</f>
        <v>0</v>
      </c>
      <c r="L36" s="2">
        <f t="shared" si="127"/>
        <v>0</v>
      </c>
      <c r="M36" s="2">
        <f t="shared" si="127"/>
        <v>0</v>
      </c>
      <c r="N36" s="2" t="str">
        <f t="shared" ref="N36:P36" si="128">IF(EQ(H36, 1), IF(NOT(EQ(B36, 0)), E36/B36, "Inf"), "")</f>
        <v>Inf</v>
      </c>
      <c r="O36" s="2" t="str">
        <f t="shared" si="128"/>
        <v>Inf</v>
      </c>
      <c r="P36" s="2" t="str">
        <f t="shared" si="128"/>
        <v>Inf</v>
      </c>
    </row>
    <row r="37">
      <c r="A37" s="393" t="s">
        <v>994</v>
      </c>
      <c r="B37" s="2">
        <v>0.21152765862858836</v>
      </c>
      <c r="C37" s="2">
        <v>0.4677992676220697</v>
      </c>
      <c r="D37" s="2">
        <v>0.7782794100389228</v>
      </c>
      <c r="E37" s="2">
        <v>0.1993539462092342</v>
      </c>
      <c r="F37" s="2">
        <v>0.43844988828766285</v>
      </c>
      <c r="G37" s="2">
        <v>0.7252105499420405</v>
      </c>
      <c r="H37" s="2">
        <f t="shared" ref="H37:J37" si="129">IF(OR(E37&gt;B37, And(EQ(E37, "Inf"), NOT(EQ(B37, "Inf")))), 1, 0)</f>
        <v>0</v>
      </c>
      <c r="I37" s="2">
        <f t="shared" si="129"/>
        <v>0</v>
      </c>
      <c r="J37" s="2">
        <f t="shared" si="129"/>
        <v>0</v>
      </c>
      <c r="K37" s="2">
        <f t="shared" ref="K37:M37" si="130">IF(OR(E37&lt;B37, And(EQ(B37, "Inf"), NOT(EQ(E37, "Inf")))), 1, 0)</f>
        <v>1</v>
      </c>
      <c r="L37" s="2">
        <f t="shared" si="130"/>
        <v>1</v>
      </c>
      <c r="M37" s="2">
        <f t="shared" si="130"/>
        <v>1</v>
      </c>
      <c r="N37" s="2" t="str">
        <f t="shared" ref="N37:P37" si="131">IF(EQ(H37, 1), IF(NOT(EQ(B37, 0)), E37/B37, "Inf"), "")</f>
        <v/>
      </c>
      <c r="O37" s="2" t="str">
        <f t="shared" si="131"/>
        <v/>
      </c>
      <c r="P37" s="2" t="str">
        <f t="shared" si="131"/>
        <v/>
      </c>
    </row>
    <row r="38">
      <c r="A38" s="52" t="s">
        <v>840</v>
      </c>
      <c r="B38" s="9">
        <v>0.0</v>
      </c>
      <c r="C38" s="9">
        <v>0.0</v>
      </c>
      <c r="D38" s="9">
        <v>0.0</v>
      </c>
      <c r="E38" s="9">
        <v>0.0</v>
      </c>
      <c r="F38" s="9">
        <v>0.0</v>
      </c>
      <c r="G38" s="9">
        <v>0.0</v>
      </c>
      <c r="H38" s="2">
        <f t="shared" ref="H38:J38" si="132">IF(OR(E38&gt;B38, And(EQ(E38, "Inf"), NOT(EQ(B38, "Inf")))), 1, 0)</f>
        <v>0</v>
      </c>
      <c r="I38" s="2">
        <f t="shared" si="132"/>
        <v>0</v>
      </c>
      <c r="J38" s="2">
        <f t="shared" si="132"/>
        <v>0</v>
      </c>
      <c r="K38" s="2">
        <f t="shared" ref="K38:M38" si="133">IF(OR(E38&lt;B38, And(EQ(B38, "Inf"), NOT(EQ(E38, "Inf")))), 1, 0)</f>
        <v>0</v>
      </c>
      <c r="L38" s="2">
        <f t="shared" si="133"/>
        <v>0</v>
      </c>
      <c r="M38" s="2">
        <f t="shared" si="133"/>
        <v>0</v>
      </c>
      <c r="N38" s="2" t="str">
        <f t="shared" ref="N38:P38" si="134">IF(EQ(H38, 1), IF(NOT(EQ(B38, 0)), E38/B38, "Inf"), "")</f>
        <v/>
      </c>
      <c r="O38" s="2" t="str">
        <f t="shared" si="134"/>
        <v/>
      </c>
      <c r="P38" s="2" t="str">
        <f t="shared" si="134"/>
        <v/>
      </c>
    </row>
    <row r="39">
      <c r="A39" s="52" t="s">
        <v>1178</v>
      </c>
      <c r="B39" s="9">
        <v>0.0</v>
      </c>
      <c r="C39" s="9">
        <v>0.0</v>
      </c>
      <c r="D39" s="9">
        <v>0.0</v>
      </c>
      <c r="E39" s="9">
        <v>0.0</v>
      </c>
      <c r="F39" s="9">
        <v>0.0</v>
      </c>
      <c r="G39" s="9">
        <v>0.0</v>
      </c>
      <c r="H39" s="2">
        <f t="shared" ref="H39:J39" si="135">IF(OR(E39&gt;B39, And(EQ(E39, "Inf"), NOT(EQ(B39, "Inf")))), 1, 0)</f>
        <v>0</v>
      </c>
      <c r="I39" s="2">
        <f t="shared" si="135"/>
        <v>0</v>
      </c>
      <c r="J39" s="2">
        <f t="shared" si="135"/>
        <v>0</v>
      </c>
      <c r="K39" s="2">
        <f t="shared" ref="K39:M39" si="136">IF(OR(E39&lt;B39, And(EQ(B39, "Inf"), NOT(EQ(E39, "Inf")))), 1, 0)</f>
        <v>0</v>
      </c>
      <c r="L39" s="2">
        <f t="shared" si="136"/>
        <v>0</v>
      </c>
      <c r="M39" s="2">
        <f t="shared" si="136"/>
        <v>0</v>
      </c>
      <c r="N39" s="2" t="str">
        <f t="shared" ref="N39:P39" si="137">IF(EQ(H39, 1), IF(NOT(EQ(B39, 0)), E39/B39, "Inf"), "")</f>
        <v/>
      </c>
      <c r="O39" s="2" t="str">
        <f t="shared" si="137"/>
        <v/>
      </c>
      <c r="P39" s="2" t="str">
        <f t="shared" si="137"/>
        <v/>
      </c>
    </row>
    <row r="40">
      <c r="A40" s="391" t="s">
        <v>509</v>
      </c>
      <c r="B40" s="2">
        <v>0.33352143216332397</v>
      </c>
      <c r="C40" s="2">
        <v>0.7782794100389228</v>
      </c>
      <c r="D40" s="2">
        <v>1.371373705661655</v>
      </c>
      <c r="E40" s="9">
        <v>0.0</v>
      </c>
      <c r="F40" s="9">
        <v>0.0</v>
      </c>
      <c r="G40" s="9">
        <v>0.0</v>
      </c>
      <c r="H40" s="2">
        <f t="shared" ref="H40:J40" si="138">IF(OR(E40&gt;B40, And(EQ(E40, "Inf"), NOT(EQ(B40, "Inf")))), 1, 0)</f>
        <v>0</v>
      </c>
      <c r="I40" s="2">
        <f t="shared" si="138"/>
        <v>0</v>
      </c>
      <c r="J40" s="2">
        <f t="shared" si="138"/>
        <v>0</v>
      </c>
      <c r="K40" s="2">
        <f t="shared" ref="K40:M40" si="139">IF(OR(E40&lt;B40, And(EQ(B40, "Inf"), NOT(EQ(E40, "Inf")))), 1, 0)</f>
        <v>1</v>
      </c>
      <c r="L40" s="2">
        <f t="shared" si="139"/>
        <v>1</v>
      </c>
      <c r="M40" s="2">
        <f t="shared" si="139"/>
        <v>1</v>
      </c>
      <c r="N40" s="2" t="str">
        <f t="shared" ref="N40:P40" si="140">IF(EQ(H40, 1), IF(NOT(EQ(B40, 0)), E40/B40, "Inf"), "")</f>
        <v/>
      </c>
      <c r="O40" s="2" t="str">
        <f t="shared" si="140"/>
        <v/>
      </c>
      <c r="P40" s="2" t="str">
        <f t="shared" si="140"/>
        <v/>
      </c>
    </row>
    <row r="41">
      <c r="A41" s="52" t="s">
        <v>1261</v>
      </c>
      <c r="B41" s="9">
        <v>0.0</v>
      </c>
      <c r="C41" s="9">
        <v>0.0</v>
      </c>
      <c r="D41" s="9">
        <v>0.0</v>
      </c>
      <c r="E41" s="9" t="s">
        <v>1781</v>
      </c>
      <c r="F41" s="9" t="s">
        <v>1781</v>
      </c>
      <c r="G41" s="9" t="s">
        <v>1781</v>
      </c>
      <c r="H41" s="2">
        <f t="shared" ref="H41:J41" si="141">IF(OR(E41&gt;B41, And(EQ(E41, "Inf"), NOT(EQ(B41, "Inf")))), 1, 0)</f>
        <v>1</v>
      </c>
      <c r="I41" s="2">
        <f t="shared" si="141"/>
        <v>1</v>
      </c>
      <c r="J41" s="2">
        <f t="shared" si="141"/>
        <v>1</v>
      </c>
      <c r="K41" s="2">
        <f t="shared" ref="K41:M41" si="142">IF(OR(E41&lt;B41, And(EQ(B41, "Inf"), NOT(EQ(E41, "Inf")))), 1, 0)</f>
        <v>0</v>
      </c>
      <c r="L41" s="2">
        <f t="shared" si="142"/>
        <v>0</v>
      </c>
      <c r="M41" s="2">
        <f t="shared" si="142"/>
        <v>0</v>
      </c>
      <c r="N41" s="2" t="str">
        <f t="shared" ref="N41:P41" si="143">IF(EQ(H41, 1), IF(NOT(EQ(B41, 0)), E41/B41, "Inf"), "")</f>
        <v>Inf</v>
      </c>
      <c r="O41" s="2" t="str">
        <f t="shared" si="143"/>
        <v>Inf</v>
      </c>
      <c r="P41" s="2" t="str">
        <f t="shared" si="143"/>
        <v>Inf</v>
      </c>
    </row>
    <row r="42">
      <c r="A42" s="391" t="s">
        <v>709</v>
      </c>
      <c r="B42" s="2">
        <v>0.49784962254635756</v>
      </c>
      <c r="C42" s="2">
        <v>1.3739316701041706</v>
      </c>
      <c r="D42" s="2">
        <v>2.7624281433159417</v>
      </c>
      <c r="E42" s="2">
        <v>1.2603287748269612</v>
      </c>
      <c r="F42" s="2">
        <v>4.5651383013811175</v>
      </c>
      <c r="G42" s="2">
        <v>12.701884725097159</v>
      </c>
      <c r="H42" s="2">
        <f t="shared" ref="H42:J42" si="144">IF(OR(E42&gt;B42, And(EQ(E42, "Inf"), NOT(EQ(B42, "Inf")))), 1, 0)</f>
        <v>1</v>
      </c>
      <c r="I42" s="2">
        <f t="shared" si="144"/>
        <v>1</v>
      </c>
      <c r="J42" s="2">
        <f t="shared" si="144"/>
        <v>1</v>
      </c>
      <c r="K42" s="2">
        <f t="shared" ref="K42:M42" si="145">IF(OR(E42&lt;B42, And(EQ(B42, "Inf"), NOT(EQ(E42, "Inf")))), 1, 0)</f>
        <v>0</v>
      </c>
      <c r="L42" s="2">
        <f t="shared" si="145"/>
        <v>0</v>
      </c>
      <c r="M42" s="2">
        <f t="shared" si="145"/>
        <v>0</v>
      </c>
      <c r="N42" s="2">
        <f t="shared" ref="N42:P42" si="146">IF(EQ(H42, 1), IF(NOT(EQ(B42, 0)), E42/B42, "Inf"), "")</f>
        <v>2.531545105</v>
      </c>
      <c r="O42" s="2">
        <f t="shared" si="146"/>
        <v>3.322682198</v>
      </c>
      <c r="P42" s="2">
        <f t="shared" si="146"/>
        <v>4.598086924</v>
      </c>
      <c r="S42" s="1" t="s">
        <v>8602</v>
      </c>
    </row>
    <row r="43">
      <c r="A43" s="52" t="s">
        <v>934</v>
      </c>
      <c r="B43" s="9">
        <v>0.0</v>
      </c>
      <c r="C43" s="9">
        <v>0.0</v>
      </c>
      <c r="D43" s="9">
        <v>0.0</v>
      </c>
      <c r="E43" s="9" t="s">
        <v>1781</v>
      </c>
      <c r="F43" s="9" t="s">
        <v>1781</v>
      </c>
      <c r="G43" s="9" t="s">
        <v>1781</v>
      </c>
      <c r="H43" s="2">
        <f t="shared" ref="H43:J43" si="147">IF(OR(E43&gt;B43, And(EQ(E43, "Inf"), NOT(EQ(B43, "Inf")))), 1, 0)</f>
        <v>1</v>
      </c>
      <c r="I43" s="2">
        <f t="shared" si="147"/>
        <v>1</v>
      </c>
      <c r="J43" s="2">
        <f t="shared" si="147"/>
        <v>1</v>
      </c>
      <c r="K43" s="2">
        <f t="shared" ref="K43:M43" si="148">IF(OR(E43&lt;B43, And(EQ(B43, "Inf"), NOT(EQ(E43, "Inf")))), 1, 0)</f>
        <v>0</v>
      </c>
      <c r="L43" s="2">
        <f t="shared" si="148"/>
        <v>0</v>
      </c>
      <c r="M43" s="2">
        <f t="shared" si="148"/>
        <v>0</v>
      </c>
      <c r="N43" s="2" t="str">
        <f t="shared" ref="N43:P43" si="149">IF(EQ(H43, 1), IF(NOT(EQ(B43, 0)), E43/B43, "Inf"), "")</f>
        <v>Inf</v>
      </c>
      <c r="O43" s="2" t="str">
        <f t="shared" si="149"/>
        <v>Inf</v>
      </c>
      <c r="P43" s="2" t="str">
        <f t="shared" si="149"/>
        <v>Inf</v>
      </c>
    </row>
    <row r="44">
      <c r="A44" s="391" t="s">
        <v>955</v>
      </c>
      <c r="B44" s="2">
        <v>1.1544346900318838</v>
      </c>
      <c r="C44" s="2">
        <v>3.6415888336127784</v>
      </c>
      <c r="D44" s="2">
        <v>8.999999999999998</v>
      </c>
      <c r="E44" s="9">
        <v>0.0</v>
      </c>
      <c r="F44" s="9">
        <v>0.0</v>
      </c>
      <c r="G44" s="9">
        <v>0.0</v>
      </c>
      <c r="H44" s="2">
        <f t="shared" ref="H44:J44" si="150">IF(OR(E44&gt;B44, And(EQ(E44, "Inf"), NOT(EQ(B44, "Inf")))), 1, 0)</f>
        <v>0</v>
      </c>
      <c r="I44" s="2">
        <f t="shared" si="150"/>
        <v>0</v>
      </c>
      <c r="J44" s="2">
        <f t="shared" si="150"/>
        <v>0</v>
      </c>
      <c r="K44" s="2">
        <f t="shared" ref="K44:M44" si="151">IF(OR(E44&lt;B44, And(EQ(B44, "Inf"), NOT(EQ(E44, "Inf")))), 1, 0)</f>
        <v>1</v>
      </c>
      <c r="L44" s="2">
        <f t="shared" si="151"/>
        <v>1</v>
      </c>
      <c r="M44" s="2">
        <f t="shared" si="151"/>
        <v>1</v>
      </c>
      <c r="N44" s="2" t="str">
        <f t="shared" ref="N44:P44" si="152">IF(EQ(H44, 1), IF(NOT(EQ(B44, 0)), E44/B44, "Inf"), "")</f>
        <v/>
      </c>
      <c r="O44" s="2" t="str">
        <f t="shared" si="152"/>
        <v/>
      </c>
      <c r="P44" s="2" t="str">
        <f t="shared" si="152"/>
        <v/>
      </c>
    </row>
    <row r="45">
      <c r="A45" s="52" t="s">
        <v>1222</v>
      </c>
      <c r="B45" s="9">
        <v>0.0</v>
      </c>
      <c r="C45" s="9">
        <v>0.0</v>
      </c>
      <c r="D45" s="9">
        <v>0.0</v>
      </c>
      <c r="E45" s="10">
        <v>0.05301736662130119</v>
      </c>
      <c r="F45" s="10">
        <v>0.15237843748755564</v>
      </c>
      <c r="G45" s="10">
        <v>0.26924492524185895</v>
      </c>
      <c r="H45" s="2">
        <f t="shared" ref="H45:J45" si="153">IF(OR(E45&gt;B45, And(EQ(E45, "Inf"), NOT(EQ(B45, "Inf")))), 1, 0)</f>
        <v>1</v>
      </c>
      <c r="I45" s="2">
        <f t="shared" si="153"/>
        <v>1</v>
      </c>
      <c r="J45" s="2">
        <f t="shared" si="153"/>
        <v>1</v>
      </c>
      <c r="K45" s="2">
        <f t="shared" ref="K45:M45" si="154">IF(OR(E45&lt;B45, And(EQ(B45, "Inf"), NOT(EQ(E45, "Inf")))), 1, 0)</f>
        <v>0</v>
      </c>
      <c r="L45" s="2">
        <f t="shared" si="154"/>
        <v>0</v>
      </c>
      <c r="M45" s="2">
        <f t="shared" si="154"/>
        <v>0</v>
      </c>
      <c r="N45" s="2" t="str">
        <f t="shared" ref="N45:P45" si="155">IF(EQ(H45, 1), IF(NOT(EQ(B45, 0)), E45/B45, "Inf"), "")</f>
        <v>Inf</v>
      </c>
      <c r="O45" s="2" t="str">
        <f t="shared" si="155"/>
        <v>Inf</v>
      </c>
      <c r="P45" s="2" t="str">
        <f t="shared" si="155"/>
        <v>Inf</v>
      </c>
    </row>
    <row r="46">
      <c r="A46" s="52" t="s">
        <v>522</v>
      </c>
      <c r="B46" s="9">
        <v>0.0</v>
      </c>
      <c r="C46" s="9">
        <v>0.0</v>
      </c>
      <c r="D46" s="9">
        <v>0.0</v>
      </c>
      <c r="E46" s="9">
        <v>0.0</v>
      </c>
      <c r="F46" s="9">
        <v>0.0</v>
      </c>
      <c r="G46" s="9">
        <v>0.0</v>
      </c>
      <c r="H46" s="2">
        <f t="shared" ref="H46:J46" si="156">IF(OR(E46&gt;B46, And(EQ(E46, "Inf"), NOT(EQ(B46, "Inf")))), 1, 0)</f>
        <v>0</v>
      </c>
      <c r="I46" s="2">
        <f t="shared" si="156"/>
        <v>0</v>
      </c>
      <c r="J46" s="2">
        <f t="shared" si="156"/>
        <v>0</v>
      </c>
      <c r="K46" s="2">
        <f t="shared" ref="K46:M46" si="157">IF(OR(E46&lt;B46, And(EQ(B46, "Inf"), NOT(EQ(E46, "Inf")))), 1, 0)</f>
        <v>0</v>
      </c>
      <c r="L46" s="2">
        <f t="shared" si="157"/>
        <v>0</v>
      </c>
      <c r="M46" s="2">
        <f t="shared" si="157"/>
        <v>0</v>
      </c>
      <c r="N46" s="2" t="str">
        <f t="shared" ref="N46:P46" si="158">IF(EQ(H46, 1), IF(NOT(EQ(B46, 0)), E46/B46, "Inf"), "")</f>
        <v/>
      </c>
      <c r="O46" s="2" t="str">
        <f t="shared" si="158"/>
        <v/>
      </c>
      <c r="P46" s="2" t="str">
        <f t="shared" si="158"/>
        <v/>
      </c>
    </row>
    <row r="47">
      <c r="A47" s="52" t="s">
        <v>970</v>
      </c>
      <c r="B47" s="9">
        <v>0.0</v>
      </c>
      <c r="C47" s="9">
        <v>0.0</v>
      </c>
      <c r="D47" s="9">
        <v>0.0</v>
      </c>
      <c r="E47" s="9">
        <f>AVERAGE(Sheet1!BH828,Sheet1!BH829,Sheet1!BH833)</f>
        <v>0.2322924647</v>
      </c>
      <c r="F47" s="9">
        <f>AVERAGE(Sheet1!BK828,Sheet1!BK829,Sheet1!BK833)</f>
        <v>0.5245756383</v>
      </c>
      <c r="G47" s="9">
        <f>AVERAGE(Sheet1!BN828,Sheet1!BN829,Sheet1!BN833)</f>
        <v>0.9197955097</v>
      </c>
      <c r="H47" s="2">
        <f t="shared" ref="H47:J47" si="159">IF(OR(E47&gt;B47, And(EQ(E47, "Inf"), NOT(EQ(B47, "Inf")))), 1, 0)</f>
        <v>1</v>
      </c>
      <c r="I47" s="2">
        <f t="shared" si="159"/>
        <v>1</v>
      </c>
      <c r="J47" s="2">
        <f t="shared" si="159"/>
        <v>1</v>
      </c>
      <c r="K47" s="2">
        <f t="shared" ref="K47:M47" si="160">IF(OR(E47&lt;B47, And(EQ(B47, "Inf"), NOT(EQ(E47, "Inf")))), 1, 0)</f>
        <v>0</v>
      </c>
      <c r="L47" s="2">
        <f t="shared" si="160"/>
        <v>0</v>
      </c>
      <c r="M47" s="2">
        <f t="shared" si="160"/>
        <v>0</v>
      </c>
      <c r="N47" s="2" t="str">
        <f t="shared" ref="N47:P47" si="161">IF(EQ(H47, 1), IF(NOT(EQ(B47, 0)), E47/B47, "Inf"), "")</f>
        <v>Inf</v>
      </c>
      <c r="O47" s="2" t="str">
        <f t="shared" si="161"/>
        <v>Inf</v>
      </c>
      <c r="P47" s="2" t="str">
        <f t="shared" si="161"/>
        <v>Inf</v>
      </c>
    </row>
    <row r="48">
      <c r="A48" s="52" t="s">
        <v>402</v>
      </c>
      <c r="B48" s="9">
        <v>0.0</v>
      </c>
      <c r="C48" s="9">
        <v>0.0</v>
      </c>
      <c r="D48" s="9">
        <v>0.0</v>
      </c>
      <c r="E48" s="9">
        <v>0.0</v>
      </c>
      <c r="F48" s="9">
        <v>0.0</v>
      </c>
      <c r="G48" s="9">
        <v>0.0</v>
      </c>
      <c r="H48" s="2">
        <f t="shared" ref="H48:J48" si="162">IF(OR(E48&gt;B48, And(EQ(E48, "Inf"), NOT(EQ(B48, "Inf")))), 1, 0)</f>
        <v>0</v>
      </c>
      <c r="I48" s="2">
        <f t="shared" si="162"/>
        <v>0</v>
      </c>
      <c r="J48" s="2">
        <f t="shared" si="162"/>
        <v>0</v>
      </c>
      <c r="K48" s="2">
        <f t="shared" ref="K48:M48" si="163">IF(OR(E48&lt;B48, And(EQ(B48, "Inf"), NOT(EQ(E48, "Inf")))), 1, 0)</f>
        <v>0</v>
      </c>
      <c r="L48" s="2">
        <f t="shared" si="163"/>
        <v>0</v>
      </c>
      <c r="M48" s="2">
        <f t="shared" si="163"/>
        <v>0</v>
      </c>
      <c r="N48" s="2" t="str">
        <f t="shared" ref="N48:P48" si="164">IF(EQ(H48, 1), IF(NOT(EQ(B48, 0)), E48/B48, "Inf"), "")</f>
        <v/>
      </c>
      <c r="O48" s="2" t="str">
        <f t="shared" si="164"/>
        <v/>
      </c>
      <c r="P48" s="2" t="str">
        <f t="shared" si="164"/>
        <v/>
      </c>
    </row>
    <row r="49">
      <c r="A49" s="396" t="s">
        <v>377</v>
      </c>
      <c r="B49" s="9">
        <v>0.0</v>
      </c>
      <c r="C49" s="9">
        <v>0.0</v>
      </c>
      <c r="D49" s="9">
        <v>0.0</v>
      </c>
      <c r="E49" s="9">
        <v>0.0</v>
      </c>
      <c r="F49" s="9">
        <v>0.0</v>
      </c>
      <c r="G49" s="9">
        <v>0.0</v>
      </c>
      <c r="H49" s="2">
        <f t="shared" ref="H49:J49" si="165">IF(OR(E49&gt;B49, And(EQ(E49, "Inf"), NOT(EQ(B49, "Inf")))), 1, 0)</f>
        <v>0</v>
      </c>
      <c r="I49" s="2">
        <f t="shared" si="165"/>
        <v>0</v>
      </c>
      <c r="J49" s="2">
        <f t="shared" si="165"/>
        <v>0</v>
      </c>
      <c r="K49" s="2">
        <f t="shared" ref="K49:M49" si="166">IF(OR(E49&lt;B49, And(EQ(B49, "Inf"), NOT(EQ(E49, "Inf")))), 1, 0)</f>
        <v>0</v>
      </c>
      <c r="L49" s="2">
        <f t="shared" si="166"/>
        <v>0</v>
      </c>
      <c r="M49" s="2">
        <f t="shared" si="166"/>
        <v>0</v>
      </c>
      <c r="N49" s="2" t="str">
        <f t="shared" ref="N49:P49" si="167">IF(EQ(H49, 1), IF(NOT(EQ(B49, 0)), E49/B49, "Inf"), "")</f>
        <v/>
      </c>
      <c r="O49" s="2" t="str">
        <f t="shared" si="167"/>
        <v/>
      </c>
      <c r="P49" s="2" t="str">
        <f t="shared" si="167"/>
        <v/>
      </c>
    </row>
    <row r="50">
      <c r="A50" s="52" t="s">
        <v>1104</v>
      </c>
      <c r="B50" s="9">
        <v>0.0</v>
      </c>
      <c r="C50" s="9">
        <v>0.0</v>
      </c>
      <c r="D50" s="9">
        <v>0.0</v>
      </c>
      <c r="E50" s="9">
        <v>0.0</v>
      </c>
      <c r="F50" s="9">
        <v>0.0</v>
      </c>
      <c r="G50" s="9">
        <v>0.0</v>
      </c>
      <c r="H50" s="2">
        <f t="shared" ref="H50:J50" si="168">IF(OR(E50&gt;B50, And(EQ(E50, "Inf"), NOT(EQ(B50, "Inf")))), 1, 0)</f>
        <v>0</v>
      </c>
      <c r="I50" s="2">
        <f t="shared" si="168"/>
        <v>0</v>
      </c>
      <c r="J50" s="2">
        <f t="shared" si="168"/>
        <v>0</v>
      </c>
      <c r="K50" s="2">
        <f t="shared" ref="K50:M50" si="169">IF(OR(E50&lt;B50, And(EQ(B50, "Inf"), NOT(EQ(E50, "Inf")))), 1, 0)</f>
        <v>0</v>
      </c>
      <c r="L50" s="2">
        <f t="shared" si="169"/>
        <v>0</v>
      </c>
      <c r="M50" s="2">
        <f t="shared" si="169"/>
        <v>0</v>
      </c>
      <c r="N50" s="2" t="str">
        <f t="shared" ref="N50:P50" si="170">IF(EQ(H50, 1), IF(NOT(EQ(B50, 0)), E50/B50, "Inf"), "")</f>
        <v/>
      </c>
      <c r="O50" s="2" t="str">
        <f t="shared" si="170"/>
        <v/>
      </c>
      <c r="P50" s="2" t="str">
        <f t="shared" si="170"/>
        <v/>
      </c>
    </row>
    <row r="51">
      <c r="A51" s="52" t="s">
        <v>1227</v>
      </c>
      <c r="B51" s="9">
        <v>0.0</v>
      </c>
      <c r="C51" s="9">
        <v>0.0</v>
      </c>
      <c r="D51" s="9">
        <v>0.0</v>
      </c>
      <c r="E51" s="9" t="s">
        <v>1781</v>
      </c>
      <c r="F51" s="9" t="s">
        <v>1781</v>
      </c>
      <c r="G51" s="9" t="s">
        <v>1781</v>
      </c>
      <c r="H51" s="2">
        <f t="shared" ref="H51:J51" si="171">IF(OR(E51&gt;B51, And(EQ(E51, "Inf"), NOT(EQ(B51, "Inf")))), 1, 0)</f>
        <v>1</v>
      </c>
      <c r="I51" s="2">
        <f t="shared" si="171"/>
        <v>1</v>
      </c>
      <c r="J51" s="2">
        <f t="shared" si="171"/>
        <v>1</v>
      </c>
      <c r="K51" s="2">
        <f t="shared" ref="K51:M51" si="172">IF(OR(E51&lt;B51, And(EQ(B51, "Inf"), NOT(EQ(E51, "Inf")))), 1, 0)</f>
        <v>0</v>
      </c>
      <c r="L51" s="2">
        <f t="shared" si="172"/>
        <v>0</v>
      </c>
      <c r="M51" s="2">
        <f t="shared" si="172"/>
        <v>0</v>
      </c>
      <c r="N51" s="2" t="str">
        <f t="shared" ref="N51:P51" si="173">IF(EQ(H51, 1), IF(NOT(EQ(B51, 0)), E51/B51, "Inf"), "")</f>
        <v>Inf</v>
      </c>
      <c r="O51" s="2" t="str">
        <f t="shared" si="173"/>
        <v>Inf</v>
      </c>
      <c r="P51" s="2" t="str">
        <f t="shared" si="173"/>
        <v>Inf</v>
      </c>
    </row>
    <row r="52">
      <c r="A52" s="52" t="s">
        <v>436</v>
      </c>
      <c r="B52" s="9">
        <v>0.0</v>
      </c>
      <c r="C52" s="9">
        <v>0.0</v>
      </c>
      <c r="D52" s="9">
        <v>0.0</v>
      </c>
      <c r="E52" s="9">
        <f>AVERAGE(Sheet1!BH503,Sheet1!BH504)</f>
        <v>137.9508929</v>
      </c>
      <c r="F52" s="9">
        <f>AVERAGE(Sheet1!BK503,Sheet1!BK504)</f>
        <v>131601.7281</v>
      </c>
      <c r="G52" s="9">
        <f>AVERAGE(Sheet1!BN503,Sheet1!BN504)</f>
        <v>129325654.7</v>
      </c>
      <c r="H52" s="2">
        <f t="shared" ref="H52:J52" si="174">IF(OR(E52&gt;B52, And(EQ(E52, "Inf"), NOT(EQ(B52, "Inf")))), 1, 0)</f>
        <v>1</v>
      </c>
      <c r="I52" s="2">
        <f t="shared" si="174"/>
        <v>1</v>
      </c>
      <c r="J52" s="2">
        <f t="shared" si="174"/>
        <v>1</v>
      </c>
      <c r="K52" s="2">
        <f t="shared" ref="K52:M52" si="175">IF(OR(E52&lt;B52, And(EQ(B52, "Inf"), NOT(EQ(E52, "Inf")))), 1, 0)</f>
        <v>0</v>
      </c>
      <c r="L52" s="2">
        <f t="shared" si="175"/>
        <v>0</v>
      </c>
      <c r="M52" s="2">
        <f t="shared" si="175"/>
        <v>0</v>
      </c>
      <c r="N52" s="2" t="str">
        <f t="shared" ref="N52:P52" si="176">IF(EQ(H52, 1), IF(NOT(EQ(B52, 0)), E52/B52, "Inf"), "")</f>
        <v>Inf</v>
      </c>
      <c r="O52" s="2" t="str">
        <f t="shared" si="176"/>
        <v>Inf</v>
      </c>
      <c r="P52" s="2" t="str">
        <f t="shared" si="176"/>
        <v>Inf</v>
      </c>
    </row>
    <row r="53">
      <c r="A53" s="52" t="s">
        <v>480</v>
      </c>
      <c r="B53" s="9">
        <v>0.0</v>
      </c>
      <c r="C53" s="9">
        <v>0.0</v>
      </c>
      <c r="D53" s="9">
        <v>0.0</v>
      </c>
      <c r="E53" s="9">
        <v>0.0</v>
      </c>
      <c r="F53" s="9">
        <v>0.0</v>
      </c>
      <c r="G53" s="9">
        <v>0.0</v>
      </c>
      <c r="H53" s="2">
        <f t="shared" ref="H53:J53" si="177">IF(OR(E53&gt;B53, And(EQ(E53, "Inf"), NOT(EQ(B53, "Inf")))), 1, 0)</f>
        <v>0</v>
      </c>
      <c r="I53" s="2">
        <f t="shared" si="177"/>
        <v>0</v>
      </c>
      <c r="J53" s="2">
        <f t="shared" si="177"/>
        <v>0</v>
      </c>
      <c r="K53" s="2">
        <f t="shared" ref="K53:M53" si="178">IF(OR(E53&lt;B53, And(EQ(B53, "Inf"), NOT(EQ(E53, "Inf")))), 1, 0)</f>
        <v>0</v>
      </c>
      <c r="L53" s="2">
        <f t="shared" si="178"/>
        <v>0</v>
      </c>
      <c r="M53" s="2">
        <f t="shared" si="178"/>
        <v>0</v>
      </c>
      <c r="N53" s="2" t="str">
        <f t="shared" ref="N53:P53" si="179">IF(EQ(H53, 1), IF(NOT(EQ(B53, 0)), E53/B53, "Inf"), "")</f>
        <v/>
      </c>
      <c r="O53" s="2" t="str">
        <f t="shared" si="179"/>
        <v/>
      </c>
      <c r="P53" s="2" t="str">
        <f t="shared" si="179"/>
        <v/>
      </c>
    </row>
    <row r="54">
      <c r="A54" s="52" t="s">
        <v>31</v>
      </c>
      <c r="B54" s="9">
        <v>0.0</v>
      </c>
      <c r="C54" s="9">
        <v>0.0</v>
      </c>
      <c r="D54" s="9">
        <v>0.0</v>
      </c>
      <c r="E54" s="9">
        <v>8.965</v>
      </c>
      <c r="F54" s="10">
        <v>18.931568</v>
      </c>
      <c r="G54" s="10">
        <v>28.897352854</v>
      </c>
      <c r="H54" s="2">
        <f t="shared" ref="H54:J54" si="180">IF(OR(E54&gt;B54, And(EQ(E54, "Inf"), NOT(EQ(B54, "Inf")))), 1, 0)</f>
        <v>1</v>
      </c>
      <c r="I54" s="2">
        <f t="shared" si="180"/>
        <v>1</v>
      </c>
      <c r="J54" s="2">
        <f t="shared" si="180"/>
        <v>1</v>
      </c>
      <c r="K54" s="2">
        <f t="shared" ref="K54:M54" si="181">IF(OR(E54&lt;B54, And(EQ(B54, "Inf"), NOT(EQ(E54, "Inf")))), 1, 0)</f>
        <v>0</v>
      </c>
      <c r="L54" s="2">
        <f t="shared" si="181"/>
        <v>0</v>
      </c>
      <c r="M54" s="2">
        <f t="shared" si="181"/>
        <v>0</v>
      </c>
      <c r="N54" s="2" t="str">
        <f t="shared" ref="N54:P54" si="182">IF(EQ(H54, 1), IF(NOT(EQ(B54, 0)), E54/B54, "Inf"), "")</f>
        <v>Inf</v>
      </c>
      <c r="O54" s="2" t="str">
        <f t="shared" si="182"/>
        <v>Inf</v>
      </c>
      <c r="P54" s="2" t="str">
        <f t="shared" si="182"/>
        <v>Inf</v>
      </c>
    </row>
    <row r="55">
      <c r="A55" s="52" t="s">
        <v>441</v>
      </c>
      <c r="B55" s="9">
        <v>0.0</v>
      </c>
      <c r="C55" s="9">
        <v>0.0</v>
      </c>
      <c r="D55" s="9">
        <v>0.0</v>
      </c>
      <c r="E55" s="9">
        <v>0.0</v>
      </c>
      <c r="F55" s="9">
        <v>0.0</v>
      </c>
      <c r="G55" s="9">
        <v>0.0</v>
      </c>
      <c r="H55" s="2">
        <f t="shared" ref="H55:J55" si="183">IF(OR(E55&gt;B55, And(EQ(E55, "Inf"), NOT(EQ(B55, "Inf")))), 1, 0)</f>
        <v>0</v>
      </c>
      <c r="I55" s="2">
        <f t="shared" si="183"/>
        <v>0</v>
      </c>
      <c r="J55" s="2">
        <f t="shared" si="183"/>
        <v>0</v>
      </c>
      <c r="K55" s="2">
        <f t="shared" ref="K55:M55" si="184">IF(OR(E55&lt;B55, And(EQ(B55, "Inf"), NOT(EQ(E55, "Inf")))), 1, 0)</f>
        <v>0</v>
      </c>
      <c r="L55" s="2">
        <f t="shared" si="184"/>
        <v>0</v>
      </c>
      <c r="M55" s="2">
        <f t="shared" si="184"/>
        <v>0</v>
      </c>
      <c r="N55" s="2" t="str">
        <f t="shared" ref="N55:P55" si="185">IF(EQ(H55, 1), IF(NOT(EQ(B55, 0)), E55/B55, "Inf"), "")</f>
        <v/>
      </c>
      <c r="O55" s="2" t="str">
        <f t="shared" si="185"/>
        <v/>
      </c>
      <c r="P55" s="2" t="str">
        <f t="shared" si="185"/>
        <v/>
      </c>
    </row>
    <row r="56">
      <c r="A56" s="52" t="s">
        <v>586</v>
      </c>
      <c r="B56" s="9">
        <v>0.0</v>
      </c>
      <c r="C56" s="9">
        <v>0.0</v>
      </c>
      <c r="D56" s="9">
        <v>0.0</v>
      </c>
      <c r="E56" s="9">
        <v>0.0</v>
      </c>
      <c r="F56" s="9">
        <v>0.0</v>
      </c>
      <c r="G56" s="9">
        <v>0.0</v>
      </c>
      <c r="H56" s="2">
        <f t="shared" ref="H56:J56" si="186">IF(OR(E56&gt;B56, And(EQ(E56, "Inf"), NOT(EQ(B56, "Inf")))), 1, 0)</f>
        <v>0</v>
      </c>
      <c r="I56" s="2">
        <f t="shared" si="186"/>
        <v>0</v>
      </c>
      <c r="J56" s="2">
        <f t="shared" si="186"/>
        <v>0</v>
      </c>
      <c r="K56" s="2">
        <f t="shared" ref="K56:M56" si="187">IF(OR(E56&lt;B56, And(EQ(B56, "Inf"), NOT(EQ(E56, "Inf")))), 1, 0)</f>
        <v>0</v>
      </c>
      <c r="L56" s="2">
        <f t="shared" si="187"/>
        <v>0</v>
      </c>
      <c r="M56" s="2">
        <f t="shared" si="187"/>
        <v>0</v>
      </c>
      <c r="N56" s="2" t="str">
        <f t="shared" ref="N56:P56" si="188">IF(EQ(H56, 1), IF(NOT(EQ(B56, 0)), E56/B56, "Inf"), "")</f>
        <v/>
      </c>
      <c r="O56" s="2" t="str">
        <f t="shared" si="188"/>
        <v/>
      </c>
      <c r="P56" s="2" t="str">
        <f t="shared" si="188"/>
        <v/>
      </c>
    </row>
    <row r="57">
      <c r="A57" s="52" t="s">
        <v>186</v>
      </c>
      <c r="B57" s="9">
        <v>0.0</v>
      </c>
      <c r="C57" s="9">
        <v>0.0</v>
      </c>
      <c r="D57" s="9">
        <v>0.0</v>
      </c>
      <c r="E57" s="10">
        <v>0.12453642708140467</v>
      </c>
      <c r="F57" s="10">
        <v>0.3198161772550323</v>
      </c>
      <c r="G57" s="10">
        <v>0.5593088428459423</v>
      </c>
      <c r="H57" s="2">
        <f t="shared" ref="H57:J57" si="189">IF(OR(E57&gt;B57, And(EQ(E57, "Inf"), NOT(EQ(B57, "Inf")))), 1, 0)</f>
        <v>1</v>
      </c>
      <c r="I57" s="2">
        <f t="shared" si="189"/>
        <v>1</v>
      </c>
      <c r="J57" s="2">
        <f t="shared" si="189"/>
        <v>1</v>
      </c>
      <c r="K57" s="2">
        <f t="shared" ref="K57:M57" si="190">IF(OR(E57&lt;B57, And(EQ(B57, "Inf"), NOT(EQ(E57, "Inf")))), 1, 0)</f>
        <v>0</v>
      </c>
      <c r="L57" s="2">
        <f t="shared" si="190"/>
        <v>0</v>
      </c>
      <c r="M57" s="2">
        <f t="shared" si="190"/>
        <v>0</v>
      </c>
      <c r="N57" s="2" t="str">
        <f t="shared" ref="N57:P57" si="191">IF(EQ(H57, 1), IF(NOT(EQ(B57, 0)), E57/B57, "Inf"), "")</f>
        <v>Inf</v>
      </c>
      <c r="O57" s="2" t="str">
        <f t="shared" si="191"/>
        <v>Inf</v>
      </c>
      <c r="P57" s="2" t="str">
        <f t="shared" si="191"/>
        <v>Inf</v>
      </c>
    </row>
    <row r="58">
      <c r="A58" s="391" t="s">
        <v>166</v>
      </c>
      <c r="B58" s="2" t="s">
        <v>1781</v>
      </c>
      <c r="C58" s="2" t="s">
        <v>1781</v>
      </c>
      <c r="D58" s="2" t="s">
        <v>1781</v>
      </c>
      <c r="E58" s="9" t="s">
        <v>1781</v>
      </c>
      <c r="F58" s="9" t="s">
        <v>1781</v>
      </c>
      <c r="G58" s="9" t="s">
        <v>1781</v>
      </c>
      <c r="H58" s="2">
        <f t="shared" ref="H58:J58" si="192">IF(OR(E58&gt;B58, And(EQ(E58, "Inf"), NOT(EQ(B58, "Inf")))), 1, 0)</f>
        <v>0</v>
      </c>
      <c r="I58" s="2">
        <f t="shared" si="192"/>
        <v>0</v>
      </c>
      <c r="J58" s="2">
        <f t="shared" si="192"/>
        <v>0</v>
      </c>
      <c r="K58" s="2">
        <f t="shared" ref="K58:M58" si="193">IF(OR(E58&lt;B58, And(EQ(B58, "Inf"), NOT(EQ(E58, "Inf")))), 1, 0)</f>
        <v>0</v>
      </c>
      <c r="L58" s="2">
        <f t="shared" si="193"/>
        <v>0</v>
      </c>
      <c r="M58" s="2">
        <f t="shared" si="193"/>
        <v>0</v>
      </c>
      <c r="N58" s="2" t="str">
        <f t="shared" ref="N58:P58" si="194">IF(EQ(H58, 1), IF(NOT(EQ(B58, 0)), E58/B58, "Inf"), "")</f>
        <v/>
      </c>
      <c r="O58" s="2" t="str">
        <f t="shared" si="194"/>
        <v/>
      </c>
      <c r="P58" s="2" t="str">
        <f t="shared" si="194"/>
        <v/>
      </c>
    </row>
    <row r="59">
      <c r="A59" s="52" t="s">
        <v>138</v>
      </c>
      <c r="B59" s="9">
        <v>0.0</v>
      </c>
      <c r="C59" s="9">
        <v>0.0</v>
      </c>
      <c r="D59" s="9">
        <v>0.0</v>
      </c>
      <c r="E59" s="10">
        <v>1.066852944697556</v>
      </c>
      <c r="F59" s="10">
        <v>3.9018480332776067</v>
      </c>
      <c r="G59" s="10">
        <v>10.624113535263813</v>
      </c>
      <c r="H59" s="2">
        <f t="shared" ref="H59:J59" si="195">IF(OR(E59&gt;B59, And(EQ(E59, "Inf"), NOT(EQ(B59, "Inf")))), 1, 0)</f>
        <v>1</v>
      </c>
      <c r="I59" s="2">
        <f t="shared" si="195"/>
        <v>1</v>
      </c>
      <c r="J59" s="2">
        <f t="shared" si="195"/>
        <v>1</v>
      </c>
      <c r="K59" s="2">
        <f t="shared" ref="K59:M59" si="196">IF(OR(E59&lt;B59, And(EQ(B59, "Inf"), NOT(EQ(E59, "Inf")))), 1, 0)</f>
        <v>0</v>
      </c>
      <c r="L59" s="2">
        <f t="shared" si="196"/>
        <v>0</v>
      </c>
      <c r="M59" s="2">
        <f t="shared" si="196"/>
        <v>0</v>
      </c>
      <c r="N59" s="2" t="str">
        <f t="shared" ref="N59:P59" si="197">IF(EQ(H59, 1), IF(NOT(EQ(B59, 0)), E59/B59, "Inf"), "")</f>
        <v>Inf</v>
      </c>
      <c r="O59" s="2" t="str">
        <f t="shared" si="197"/>
        <v>Inf</v>
      </c>
      <c r="P59" s="2" t="str">
        <f t="shared" si="197"/>
        <v>Inf</v>
      </c>
    </row>
    <row r="60">
      <c r="A60" s="52" t="s">
        <v>1021</v>
      </c>
      <c r="B60" s="9">
        <v>0.0</v>
      </c>
      <c r="C60" s="9">
        <v>0.0</v>
      </c>
      <c r="D60" s="9">
        <v>0.0</v>
      </c>
      <c r="E60" s="10">
        <v>499.0</v>
      </c>
      <c r="F60" s="10">
        <v>499999.0</v>
      </c>
      <c r="G60" s="10">
        <v>4.99999999E8</v>
      </c>
      <c r="H60" s="2">
        <f t="shared" ref="H60:J60" si="198">IF(OR(E60&gt;B60, And(EQ(E60, "Inf"), NOT(EQ(B60, "Inf")))), 1, 0)</f>
        <v>1</v>
      </c>
      <c r="I60" s="2">
        <f t="shared" si="198"/>
        <v>1</v>
      </c>
      <c r="J60" s="2">
        <f t="shared" si="198"/>
        <v>1</v>
      </c>
      <c r="K60" s="2">
        <f t="shared" ref="K60:M60" si="199">IF(OR(E60&lt;B60, And(EQ(B60, "Inf"), NOT(EQ(E60, "Inf")))), 1, 0)</f>
        <v>0</v>
      </c>
      <c r="L60" s="2">
        <f t="shared" si="199"/>
        <v>0</v>
      </c>
      <c r="M60" s="2">
        <f t="shared" si="199"/>
        <v>0</v>
      </c>
      <c r="N60" s="2" t="str">
        <f t="shared" ref="N60:P60" si="200">IF(EQ(H60, 1), IF(NOT(EQ(B60, 0)), E60/B60, "Inf"), "")</f>
        <v>Inf</v>
      </c>
      <c r="O60" s="2" t="str">
        <f t="shared" si="200"/>
        <v>Inf</v>
      </c>
      <c r="P60" s="2" t="str">
        <f t="shared" si="200"/>
        <v>Inf</v>
      </c>
      <c r="Q60" s="9">
        <v>0.0</v>
      </c>
    </row>
    <row r="61">
      <c r="A61" s="396" t="s">
        <v>1120</v>
      </c>
      <c r="B61" s="9">
        <v>0.0</v>
      </c>
      <c r="C61" s="9">
        <v>0.0</v>
      </c>
      <c r="D61" s="9">
        <v>0.0</v>
      </c>
      <c r="E61" s="9">
        <v>0.0</v>
      </c>
      <c r="F61" s="9">
        <v>0.0</v>
      </c>
      <c r="G61" s="9">
        <v>0.0</v>
      </c>
      <c r="H61" s="2">
        <f t="shared" ref="H61:J61" si="201">IF(OR(E61&gt;B61, And(EQ(E61, "Inf"), NOT(EQ(B61, "Inf")))), 1, 0)</f>
        <v>0</v>
      </c>
      <c r="I61" s="2">
        <f t="shared" si="201"/>
        <v>0</v>
      </c>
      <c r="J61" s="2">
        <f t="shared" si="201"/>
        <v>0</v>
      </c>
      <c r="K61" s="2">
        <f t="shared" ref="K61:M61" si="202">IF(OR(E61&lt;B61, And(EQ(B61, "Inf"), NOT(EQ(E61, "Inf")))), 1, 0)</f>
        <v>0</v>
      </c>
      <c r="L61" s="2">
        <f t="shared" si="202"/>
        <v>0</v>
      </c>
      <c r="M61" s="2">
        <f t="shared" si="202"/>
        <v>0</v>
      </c>
      <c r="N61" s="2" t="str">
        <f t="shared" ref="N61:P61" si="203">IF(EQ(H61, 1), IF(NOT(EQ(B61, 0)), E61/B61, "Inf"), "")</f>
        <v/>
      </c>
      <c r="O61" s="2" t="str">
        <f t="shared" si="203"/>
        <v/>
      </c>
      <c r="P61" s="2" t="str">
        <f t="shared" si="203"/>
        <v/>
      </c>
    </row>
    <row r="62">
      <c r="A62" s="391" t="s">
        <v>63</v>
      </c>
      <c r="B62" s="2">
        <v>8.999999999999998</v>
      </c>
      <c r="C62" s="2">
        <v>98.99999999999997</v>
      </c>
      <c r="D62" s="2">
        <v>998.9999999999997</v>
      </c>
      <c r="E62" s="2">
        <v>1.9273602775605854</v>
      </c>
      <c r="F62" s="2">
        <v>22.234473920447968</v>
      </c>
      <c r="G62" s="2">
        <v>201.97182525328347</v>
      </c>
      <c r="H62" s="2">
        <f t="shared" ref="H62:J62" si="204">IF(OR(E62&gt;B62, And(EQ(E62, "Inf"), NOT(EQ(B62, "Inf")))), 1, 0)</f>
        <v>0</v>
      </c>
      <c r="I62" s="2">
        <f t="shared" si="204"/>
        <v>0</v>
      </c>
      <c r="J62" s="2">
        <f t="shared" si="204"/>
        <v>0</v>
      </c>
      <c r="K62" s="2">
        <f t="shared" ref="K62:M62" si="205">IF(OR(E62&lt;B62, And(EQ(B62, "Inf"), NOT(EQ(E62, "Inf")))), 1, 0)</f>
        <v>1</v>
      </c>
      <c r="L62" s="2">
        <f t="shared" si="205"/>
        <v>1</v>
      </c>
      <c r="M62" s="2">
        <f t="shared" si="205"/>
        <v>1</v>
      </c>
      <c r="N62" s="2" t="str">
        <f t="shared" ref="N62:P62" si="206">IF(EQ(H62, 1), IF(NOT(EQ(B62, 0)), E62/B62, "Inf"), "")</f>
        <v/>
      </c>
      <c r="O62" s="2" t="str">
        <f t="shared" si="206"/>
        <v/>
      </c>
      <c r="P62" s="2" t="str">
        <f t="shared" si="206"/>
        <v/>
      </c>
    </row>
    <row r="63">
      <c r="A63" s="52" t="s">
        <v>922</v>
      </c>
      <c r="B63" s="9">
        <v>0.0</v>
      </c>
      <c r="C63" s="9">
        <v>0.0</v>
      </c>
      <c r="D63" s="9">
        <v>0.0</v>
      </c>
      <c r="E63" s="9">
        <f>AVERAGE(Sheet1!BH802:BH803)</f>
        <v>0.5926180344</v>
      </c>
      <c r="F63" s="2">
        <f>AVERAGE(Sheet1!BK802:BK803)</f>
        <v>1.548234037</v>
      </c>
      <c r="G63" s="9">
        <f>AVERAGE(Sheet1!BN802:BN803)</f>
        <v>3.095955111</v>
      </c>
      <c r="H63" s="2">
        <f t="shared" ref="H63:J63" si="207">IF(OR(E63&gt;B63, And(EQ(E63, "Inf"), NOT(EQ(B63, "Inf")))), 1, 0)</f>
        <v>1</v>
      </c>
      <c r="I63" s="2">
        <f t="shared" si="207"/>
        <v>1</v>
      </c>
      <c r="J63" s="2">
        <f t="shared" si="207"/>
        <v>1</v>
      </c>
      <c r="K63" s="2">
        <f t="shared" ref="K63:M63" si="208">IF(OR(E63&lt;B63, And(EQ(B63, "Inf"), NOT(EQ(E63, "Inf")))), 1, 0)</f>
        <v>0</v>
      </c>
      <c r="L63" s="2">
        <f t="shared" si="208"/>
        <v>0</v>
      </c>
      <c r="M63" s="2">
        <f t="shared" si="208"/>
        <v>0</v>
      </c>
      <c r="N63" s="2" t="str">
        <f t="shared" ref="N63:P63" si="209">IF(EQ(H63, 1), IF(NOT(EQ(B63, 0)), E63/B63, "Inf"), "")</f>
        <v>Inf</v>
      </c>
      <c r="O63" s="2" t="str">
        <f t="shared" si="209"/>
        <v>Inf</v>
      </c>
      <c r="P63" s="2" t="str">
        <f t="shared" si="209"/>
        <v>Inf</v>
      </c>
    </row>
    <row r="64">
      <c r="A64" s="52" t="s">
        <v>885</v>
      </c>
      <c r="B64" s="9">
        <v>0.0</v>
      </c>
      <c r="C64" s="9">
        <v>0.0</v>
      </c>
      <c r="D64" s="9">
        <v>0.0</v>
      </c>
      <c r="E64" s="9">
        <v>0.0</v>
      </c>
      <c r="F64" s="9">
        <v>0.0</v>
      </c>
      <c r="G64" s="9">
        <v>0.0</v>
      </c>
      <c r="H64" s="2">
        <f t="shared" ref="H64:J64" si="210">IF(OR(E64&gt;B64, And(EQ(E64, "Inf"), NOT(EQ(B64, "Inf")))), 1, 0)</f>
        <v>0</v>
      </c>
      <c r="I64" s="2">
        <f t="shared" si="210"/>
        <v>0</v>
      </c>
      <c r="J64" s="2">
        <f t="shared" si="210"/>
        <v>0</v>
      </c>
      <c r="K64" s="2">
        <f t="shared" ref="K64:M64" si="211">IF(OR(E64&lt;B64, And(EQ(B64, "Inf"), NOT(EQ(E64, "Inf")))), 1, 0)</f>
        <v>0</v>
      </c>
      <c r="L64" s="2">
        <f t="shared" si="211"/>
        <v>0</v>
      </c>
      <c r="M64" s="2">
        <f t="shared" si="211"/>
        <v>0</v>
      </c>
      <c r="N64" s="2" t="str">
        <f t="shared" ref="N64:P64" si="212">IF(EQ(H64, 1), IF(NOT(EQ(B64, 0)), E64/B64, "Inf"), "")</f>
        <v/>
      </c>
      <c r="O64" s="2" t="str">
        <f t="shared" si="212"/>
        <v/>
      </c>
      <c r="P64" s="2" t="str">
        <f t="shared" si="212"/>
        <v/>
      </c>
    </row>
    <row r="65">
      <c r="A65" s="52" t="s">
        <v>694</v>
      </c>
      <c r="B65" s="9">
        <v>0.0</v>
      </c>
      <c r="C65" s="9">
        <v>0.0</v>
      </c>
      <c r="D65" s="9">
        <v>0.0</v>
      </c>
      <c r="E65" s="9">
        <v>0.0</v>
      </c>
      <c r="F65" s="9">
        <v>0.0</v>
      </c>
      <c r="G65" s="9">
        <v>0.0</v>
      </c>
      <c r="H65" s="2">
        <f t="shared" ref="H65:J65" si="213">IF(OR(E65&gt;B65, And(EQ(E65, "Inf"), NOT(EQ(B65, "Inf")))), 1, 0)</f>
        <v>0</v>
      </c>
      <c r="I65" s="2">
        <f t="shared" si="213"/>
        <v>0</v>
      </c>
      <c r="J65" s="2">
        <f t="shared" si="213"/>
        <v>0</v>
      </c>
      <c r="K65" s="2">
        <f t="shared" ref="K65:M65" si="214">IF(OR(E65&lt;B65, And(EQ(B65, "Inf"), NOT(EQ(E65, "Inf")))), 1, 0)</f>
        <v>0</v>
      </c>
      <c r="L65" s="2">
        <f t="shared" si="214"/>
        <v>0</v>
      </c>
      <c r="M65" s="2">
        <f t="shared" si="214"/>
        <v>0</v>
      </c>
      <c r="N65" s="2" t="str">
        <f t="shared" ref="N65:P65" si="215">IF(EQ(H65, 1), IF(NOT(EQ(B65, 0)), E65/B65, "Inf"), "")</f>
        <v/>
      </c>
      <c r="O65" s="2" t="str">
        <f t="shared" si="215"/>
        <v/>
      </c>
      <c r="P65" s="2" t="str">
        <f t="shared" si="215"/>
        <v/>
      </c>
    </row>
    <row r="66">
      <c r="A66" s="52" t="s">
        <v>393</v>
      </c>
      <c r="B66" s="9">
        <v>0.0</v>
      </c>
      <c r="C66" s="9">
        <v>0.0</v>
      </c>
      <c r="D66" s="9">
        <v>0.0</v>
      </c>
      <c r="E66" s="10">
        <v>0.1351645589654955</v>
      </c>
      <c r="F66" s="10">
        <v>0.28859857593132765</v>
      </c>
      <c r="G66" s="10">
        <v>0.462771434130651</v>
      </c>
      <c r="H66" s="2">
        <f t="shared" ref="H66:J66" si="216">IF(OR(E66&gt;B66, And(EQ(E66, "Inf"), NOT(EQ(B66, "Inf")))), 1, 0)</f>
        <v>1</v>
      </c>
      <c r="I66" s="2">
        <f t="shared" si="216"/>
        <v>1</v>
      </c>
      <c r="J66" s="2">
        <f t="shared" si="216"/>
        <v>1</v>
      </c>
      <c r="K66" s="2">
        <f t="shared" ref="K66:M66" si="217">IF(OR(E66&lt;B66, And(EQ(B66, "Inf"), NOT(EQ(E66, "Inf")))), 1, 0)</f>
        <v>0</v>
      </c>
      <c r="L66" s="2">
        <f t="shared" si="217"/>
        <v>0</v>
      </c>
      <c r="M66" s="2">
        <f t="shared" si="217"/>
        <v>0</v>
      </c>
      <c r="N66" s="2" t="str">
        <f t="shared" ref="N66:P66" si="218">IF(EQ(H66, 1), IF(NOT(EQ(B66, 0)), E66/B66, "Inf"), "")</f>
        <v>Inf</v>
      </c>
      <c r="O66" s="2" t="str">
        <f t="shared" si="218"/>
        <v>Inf</v>
      </c>
      <c r="P66" s="2" t="str">
        <f t="shared" si="218"/>
        <v>Inf</v>
      </c>
    </row>
    <row r="67">
      <c r="A67" s="52" t="s">
        <v>39</v>
      </c>
      <c r="B67" s="9">
        <v>0.0</v>
      </c>
      <c r="C67" s="9">
        <v>0.0</v>
      </c>
      <c r="D67" s="9">
        <v>0.0</v>
      </c>
      <c r="E67" s="9" t="s">
        <v>1781</v>
      </c>
      <c r="F67" s="9" t="s">
        <v>1781</v>
      </c>
      <c r="G67" s="9" t="s">
        <v>1781</v>
      </c>
      <c r="H67" s="2">
        <f t="shared" ref="H67:J67" si="219">IF(OR(E67&gt;B67, And(EQ(E67, "Inf"), NOT(EQ(B67, "Inf")))), 1, 0)</f>
        <v>1</v>
      </c>
      <c r="I67" s="2">
        <f t="shared" si="219"/>
        <v>1</v>
      </c>
      <c r="J67" s="2">
        <f t="shared" si="219"/>
        <v>1</v>
      </c>
      <c r="K67" s="2">
        <f t="shared" ref="K67:M67" si="220">IF(OR(E67&lt;B67, And(EQ(B67, "Inf"), NOT(EQ(E67, "Inf")))), 1, 0)</f>
        <v>0</v>
      </c>
      <c r="L67" s="2">
        <f t="shared" si="220"/>
        <v>0</v>
      </c>
      <c r="M67" s="2">
        <f t="shared" si="220"/>
        <v>0</v>
      </c>
      <c r="N67" s="2" t="str">
        <f t="shared" ref="N67:P67" si="221">IF(EQ(H67, 1), IF(NOT(EQ(B67, 0)), E67/B67, "Inf"), "")</f>
        <v>Inf</v>
      </c>
      <c r="O67" s="2" t="str">
        <f t="shared" si="221"/>
        <v>Inf</v>
      </c>
      <c r="P67" s="2" t="str">
        <f t="shared" si="221"/>
        <v>Inf</v>
      </c>
      <c r="S67" s="9" t="s">
        <v>8603</v>
      </c>
      <c r="T67" s="9" t="s">
        <v>8604</v>
      </c>
      <c r="U67" s="9" t="s">
        <v>8605</v>
      </c>
    </row>
    <row r="68">
      <c r="A68" s="52" t="s">
        <v>109</v>
      </c>
      <c r="B68" s="9">
        <v>0.0</v>
      </c>
      <c r="C68" s="9">
        <v>0.0</v>
      </c>
      <c r="D68" s="9">
        <v>0.0</v>
      </c>
      <c r="E68" s="9">
        <f>AVERAGE(Sheet1!BH47:BH54)</f>
        <v>0.06875991349</v>
      </c>
      <c r="F68" s="9">
        <f>AVERAGE(Sheet1!BK47:BK54)</f>
        <v>0.1425453946</v>
      </c>
      <c r="G68" s="9">
        <f>AVERAGE(Sheet1!BN47:BN54)</f>
        <v>0.2218465331</v>
      </c>
      <c r="H68" s="2">
        <f t="shared" ref="H68:J68" si="222">IF(OR(E68&gt;B68, And(EQ(E68, "Inf"), NOT(EQ(B68, "Inf")))), 1, 0)</f>
        <v>1</v>
      </c>
      <c r="I68" s="2">
        <f t="shared" si="222"/>
        <v>1</v>
      </c>
      <c r="J68" s="2">
        <f t="shared" si="222"/>
        <v>1</v>
      </c>
      <c r="K68" s="2">
        <f t="shared" ref="K68:M68" si="223">IF(OR(E68&lt;B68, And(EQ(B68, "Inf"), NOT(EQ(E68, "Inf")))), 1, 0)</f>
        <v>0</v>
      </c>
      <c r="L68" s="2">
        <f t="shared" si="223"/>
        <v>0</v>
      </c>
      <c r="M68" s="2">
        <f t="shared" si="223"/>
        <v>0</v>
      </c>
      <c r="N68" s="2" t="str">
        <f t="shared" ref="N68:P68" si="224">IF(EQ(H68, 1), IF(NOT(EQ(B68, 0)), E68/B68, "Inf"), "")</f>
        <v>Inf</v>
      </c>
      <c r="O68" s="2" t="str">
        <f t="shared" si="224"/>
        <v>Inf</v>
      </c>
      <c r="P68" s="2" t="str">
        <f t="shared" si="224"/>
        <v>Inf</v>
      </c>
      <c r="S68" s="397">
        <f t="shared" ref="S68:U68" si="225">SUM(H2:H1001)/COUNT(H2:H1001)</f>
        <v>0.3898305085</v>
      </c>
      <c r="T68" s="397">
        <f t="shared" si="225"/>
        <v>0.3898305085</v>
      </c>
      <c r="U68" s="397">
        <f t="shared" si="225"/>
        <v>0.3898305085</v>
      </c>
    </row>
    <row r="69">
      <c r="A69" s="396" t="s">
        <v>470</v>
      </c>
      <c r="B69" s="9">
        <v>0.0</v>
      </c>
      <c r="C69" s="9">
        <v>0.0</v>
      </c>
      <c r="D69" s="9">
        <v>0.0</v>
      </c>
      <c r="E69" s="2">
        <f>AVERAGE(Sheet1!BH507,Sheet1!BH513)</f>
        <v>0.077712643</v>
      </c>
      <c r="F69" s="2">
        <f>AVERAGE(Sheet1!BK507,Sheet1!BK513)</f>
        <v>0.1954568754</v>
      </c>
      <c r="G69" s="2">
        <f>AVERAGE(Sheet1!BN507,Sheet1!BN513)</f>
        <v>0.3312041939</v>
      </c>
      <c r="H69" s="2">
        <f t="shared" ref="H69:J69" si="226">IF(OR(E69&gt;B69, And(EQ(E69, "Inf"), NOT(EQ(B69, "Inf")))), 1, 0)</f>
        <v>1</v>
      </c>
      <c r="I69" s="2">
        <f t="shared" si="226"/>
        <v>1</v>
      </c>
      <c r="J69" s="2">
        <f t="shared" si="226"/>
        <v>1</v>
      </c>
      <c r="K69" s="2">
        <f t="shared" ref="K69:M69" si="227">IF(OR(E69&lt;B69, And(EQ(B69, "Inf"), NOT(EQ(E69, "Inf")))), 1, 0)</f>
        <v>0</v>
      </c>
      <c r="L69" s="2">
        <f t="shared" si="227"/>
        <v>0</v>
      </c>
      <c r="M69" s="2">
        <f t="shared" si="227"/>
        <v>0</v>
      </c>
      <c r="N69" s="2" t="str">
        <f t="shared" ref="N69:P69" si="228">IF(EQ(H69, 1), IF(NOT(EQ(B69, 0)), E69/B69, "Inf"), "")</f>
        <v>Inf</v>
      </c>
      <c r="O69" s="2" t="str">
        <f t="shared" si="228"/>
        <v>Inf</v>
      </c>
      <c r="P69" s="2" t="str">
        <f t="shared" si="228"/>
        <v>Inf</v>
      </c>
    </row>
    <row r="70">
      <c r="A70" s="391" t="s">
        <v>76</v>
      </c>
      <c r="B70" s="2">
        <v>4.623413251903491</v>
      </c>
      <c r="C70" s="2">
        <v>30.622776601683793</v>
      </c>
      <c r="D70" s="2">
        <v>176.82794100389228</v>
      </c>
      <c r="E70" s="2">
        <f>AVERAGE(Sheet1!BH190,Sheet1!BH197,Sheet1!BH202)</f>
        <v>0.2992290588</v>
      </c>
      <c r="F70" s="2">
        <f>AVERAGE(Sheet1!BK190,Sheet1!BK197,Sheet1!BK202)</f>
        <v>0.9044223638</v>
      </c>
      <c r="G70" s="2">
        <f>AVERAGE(Sheet1!BN190,Sheet1!BN197,Sheet1!BN202)</f>
        <v>1.921447932</v>
      </c>
      <c r="H70" s="2">
        <f t="shared" ref="H70:J70" si="229">IF(OR(E70&gt;B70, And(EQ(E70, "Inf"), NOT(EQ(B70, "Inf")))), 1, 0)</f>
        <v>0</v>
      </c>
      <c r="I70" s="2">
        <f t="shared" si="229"/>
        <v>0</v>
      </c>
      <c r="J70" s="2">
        <f t="shared" si="229"/>
        <v>0</v>
      </c>
      <c r="K70" s="2">
        <f t="shared" ref="K70:M70" si="230">IF(OR(E70&lt;B70, And(EQ(B70, "Inf"), NOT(EQ(E70, "Inf")))), 1, 0)</f>
        <v>1</v>
      </c>
      <c r="L70" s="2">
        <f t="shared" si="230"/>
        <v>1</v>
      </c>
      <c r="M70" s="2">
        <f t="shared" si="230"/>
        <v>1</v>
      </c>
      <c r="N70" s="2" t="str">
        <f t="shared" ref="N70:P70" si="231">IF(EQ(H70, 1), IF(NOT(EQ(B70, 0)), E70/B70, "Inf"), "")</f>
        <v/>
      </c>
      <c r="O70" s="2" t="str">
        <f t="shared" si="231"/>
        <v/>
      </c>
      <c r="P70" s="2" t="str">
        <f t="shared" si="231"/>
        <v/>
      </c>
      <c r="S70" s="9" t="s">
        <v>8606</v>
      </c>
      <c r="T70" s="9" t="s">
        <v>8607</v>
      </c>
      <c r="U70" s="9" t="s">
        <v>8608</v>
      </c>
    </row>
    <row r="71">
      <c r="A71" s="393" t="s">
        <v>976</v>
      </c>
      <c r="B71" s="2">
        <v>0.1993539462092342</v>
      </c>
      <c r="C71" s="2">
        <v>0.43844988828766285</v>
      </c>
      <c r="D71" s="2">
        <v>0.7252105499420405</v>
      </c>
      <c r="E71" s="2">
        <f>AVERAGE(Sheet1!BH855,Sheet1!BH861)</f>
        <v>0.03539948316</v>
      </c>
      <c r="F71" s="2">
        <f>AVERAGE(Sheet1!BK855,Sheet1!BK861)</f>
        <v>0.2663541894</v>
      </c>
      <c r="G71" s="2">
        <f>AVERAGE(Sheet1!BN855,Sheet1!BN861)</f>
        <v>0.5996333176</v>
      </c>
      <c r="H71" s="2">
        <f t="shared" ref="H71:J71" si="232">IF(OR(E71&gt;B71, And(EQ(E71, "Inf"), NOT(EQ(B71, "Inf")))), 1, 0)</f>
        <v>0</v>
      </c>
      <c r="I71" s="2">
        <f t="shared" si="232"/>
        <v>0</v>
      </c>
      <c r="J71" s="2">
        <f t="shared" si="232"/>
        <v>0</v>
      </c>
      <c r="K71" s="2">
        <f t="shared" ref="K71:M71" si="233">IF(OR(E71&lt;B71, And(EQ(B71, "Inf"), NOT(EQ(E71, "Inf")))), 1, 0)</f>
        <v>1</v>
      </c>
      <c r="L71" s="2">
        <f t="shared" si="233"/>
        <v>1</v>
      </c>
      <c r="M71" s="2">
        <f t="shared" si="233"/>
        <v>1</v>
      </c>
      <c r="N71" s="2" t="str">
        <f t="shared" ref="N71:P71" si="234">IF(EQ(H71, 1), IF(NOT(EQ(B71, 0)), E71/B71, "Inf"), "")</f>
        <v/>
      </c>
      <c r="O71" s="2" t="str">
        <f t="shared" si="234"/>
        <v/>
      </c>
      <c r="P71" s="2" t="str">
        <f t="shared" si="234"/>
        <v/>
      </c>
      <c r="S71" s="397">
        <f t="shared" ref="S71:U71" si="235">SUM(K2:K1001)/COUNT(K2:K1001)</f>
        <v>0.1271186441</v>
      </c>
      <c r="T71" s="397">
        <f t="shared" si="235"/>
        <v>0.1271186441</v>
      </c>
      <c r="U71" s="397">
        <f t="shared" si="235"/>
        <v>0.1271186441</v>
      </c>
    </row>
    <row r="72">
      <c r="A72" s="52" t="s">
        <v>645</v>
      </c>
      <c r="B72" s="9">
        <v>0.0</v>
      </c>
      <c r="C72" s="9">
        <v>0.0</v>
      </c>
      <c r="D72" s="9">
        <v>0.0</v>
      </c>
      <c r="E72" s="10">
        <v>0.06167931845924368</v>
      </c>
      <c r="F72" s="10">
        <v>0.15091941388122398</v>
      </c>
      <c r="G72" s="10">
        <v>0.25233078140025356</v>
      </c>
      <c r="H72" s="2">
        <f t="shared" ref="H72:J72" si="236">IF(OR(E72&gt;B72, And(EQ(E72, "Inf"), NOT(EQ(B72, "Inf")))), 1, 0)</f>
        <v>1</v>
      </c>
      <c r="I72" s="2">
        <f t="shared" si="236"/>
        <v>1</v>
      </c>
      <c r="J72" s="2">
        <f t="shared" si="236"/>
        <v>1</v>
      </c>
      <c r="K72" s="2">
        <f t="shared" ref="K72:M72" si="237">IF(OR(E72&lt;B72, And(EQ(B72, "Inf"), NOT(EQ(E72, "Inf")))), 1, 0)</f>
        <v>0</v>
      </c>
      <c r="L72" s="2">
        <f t="shared" si="237"/>
        <v>0</v>
      </c>
      <c r="M72" s="2">
        <f t="shared" si="237"/>
        <v>0</v>
      </c>
      <c r="N72" s="2" t="str">
        <f t="shared" ref="N72:P72" si="238">IF(EQ(H72, 1), IF(NOT(EQ(B72, 0)), E72/B72, "Inf"), "")</f>
        <v>Inf</v>
      </c>
      <c r="O72" s="2" t="str">
        <f t="shared" si="238"/>
        <v>Inf</v>
      </c>
      <c r="P72" s="2" t="str">
        <f t="shared" si="238"/>
        <v>Inf</v>
      </c>
    </row>
    <row r="73">
      <c r="A73" s="52" t="s">
        <v>889</v>
      </c>
      <c r="B73" s="9">
        <v>0.0</v>
      </c>
      <c r="C73" s="9">
        <v>0.0</v>
      </c>
      <c r="D73" s="9">
        <v>0.0</v>
      </c>
      <c r="E73" s="9">
        <f>AVERAGE(Sheet1!BH124,Sheet1!BH126,Sheet1!BH127)</f>
        <v>0.3162515769</v>
      </c>
      <c r="F73" s="9">
        <f>AVERAGE(Sheet1!BK124,Sheet1!BK126,Sheet1!BK127)</f>
        <v>0.7652685748</v>
      </c>
      <c r="G73" s="9">
        <f>AVERAGE(Sheet1!BN124,Sheet1!BN126,Sheet1!BN127)</f>
        <v>1.385098334</v>
      </c>
      <c r="H73" s="2">
        <f t="shared" ref="H73:J73" si="239">IF(OR(E73&gt;B73, And(EQ(E73, "Inf"), NOT(EQ(B73, "Inf")))), 1, 0)</f>
        <v>1</v>
      </c>
      <c r="I73" s="2">
        <f t="shared" si="239"/>
        <v>1</v>
      </c>
      <c r="J73" s="2">
        <f t="shared" si="239"/>
        <v>1</v>
      </c>
      <c r="K73" s="2">
        <f t="shared" ref="K73:M73" si="240">IF(OR(E73&lt;B73, And(EQ(B73, "Inf"), NOT(EQ(E73, "Inf")))), 1, 0)</f>
        <v>0</v>
      </c>
      <c r="L73" s="2">
        <f t="shared" si="240"/>
        <v>0</v>
      </c>
      <c r="M73" s="2">
        <f t="shared" si="240"/>
        <v>0</v>
      </c>
      <c r="N73" s="2" t="str">
        <f t="shared" ref="N73:P73" si="241">IF(EQ(H73, 1), IF(NOT(EQ(B73, 0)), E73/B73, "Inf"), "")</f>
        <v>Inf</v>
      </c>
      <c r="O73" s="2" t="str">
        <f t="shared" si="241"/>
        <v>Inf</v>
      </c>
      <c r="P73" s="2" t="str">
        <f t="shared" si="241"/>
        <v>Inf</v>
      </c>
      <c r="S73" s="9" t="s">
        <v>8609</v>
      </c>
      <c r="T73" s="9" t="s">
        <v>8610</v>
      </c>
      <c r="U73" s="9" t="s">
        <v>8611</v>
      </c>
    </row>
    <row r="74">
      <c r="A74" s="52" t="s">
        <v>568</v>
      </c>
      <c r="B74" s="9">
        <v>0.0</v>
      </c>
      <c r="C74" s="9">
        <v>0.0</v>
      </c>
      <c r="D74" s="9">
        <v>0.0</v>
      </c>
      <c r="E74" s="9">
        <v>0.0</v>
      </c>
      <c r="F74" s="9">
        <v>0.0</v>
      </c>
      <c r="G74" s="9">
        <v>0.0</v>
      </c>
      <c r="H74" s="2">
        <f t="shared" ref="H74:J74" si="242">IF(OR(E74&gt;B74, And(EQ(E74, "Inf"), NOT(EQ(B74, "Inf")))), 1, 0)</f>
        <v>0</v>
      </c>
      <c r="I74" s="2">
        <f t="shared" si="242"/>
        <v>0</v>
      </c>
      <c r="J74" s="2">
        <f t="shared" si="242"/>
        <v>0</v>
      </c>
      <c r="K74" s="2">
        <f t="shared" ref="K74:M74" si="243">IF(OR(E74&lt;B74, And(EQ(B74, "Inf"), NOT(EQ(E74, "Inf")))), 1, 0)</f>
        <v>0</v>
      </c>
      <c r="L74" s="2">
        <f t="shared" si="243"/>
        <v>0</v>
      </c>
      <c r="M74" s="2">
        <f t="shared" si="243"/>
        <v>0</v>
      </c>
      <c r="N74" s="2" t="str">
        <f t="shared" ref="N74:P74" si="244">IF(EQ(H74, 1), IF(NOT(EQ(B74, 0)), E74/B74, "Inf"), "")</f>
        <v/>
      </c>
      <c r="O74" s="2" t="str">
        <f t="shared" si="244"/>
        <v/>
      </c>
      <c r="P74" s="2" t="str">
        <f t="shared" si="244"/>
        <v/>
      </c>
      <c r="S74" s="397">
        <f t="shared" ref="S74:U74" si="245">1-S71-S68</f>
        <v>0.4830508475</v>
      </c>
      <c r="T74" s="397">
        <f t="shared" si="245"/>
        <v>0.4830508475</v>
      </c>
      <c r="U74" s="397">
        <f t="shared" si="245"/>
        <v>0.4830508475</v>
      </c>
    </row>
    <row r="75">
      <c r="A75" s="52" t="s">
        <v>1168</v>
      </c>
      <c r="B75" s="9">
        <v>0.0</v>
      </c>
      <c r="C75" s="9">
        <v>0.0</v>
      </c>
      <c r="D75" s="9">
        <v>0.0</v>
      </c>
      <c r="E75" s="9">
        <v>0.0</v>
      </c>
      <c r="F75" s="9">
        <v>0.0</v>
      </c>
      <c r="G75" s="9">
        <v>0.0</v>
      </c>
      <c r="H75" s="2">
        <f t="shared" ref="H75:J75" si="246">IF(OR(E75&gt;B75, And(EQ(E75, "Inf"), NOT(EQ(B75, "Inf")))), 1, 0)</f>
        <v>0</v>
      </c>
      <c r="I75" s="2">
        <f t="shared" si="246"/>
        <v>0</v>
      </c>
      <c r="J75" s="2">
        <f t="shared" si="246"/>
        <v>0</v>
      </c>
      <c r="K75" s="2">
        <f t="shared" ref="K75:M75" si="247">IF(OR(E75&lt;B75, And(EQ(B75, "Inf"), NOT(EQ(E75, "Inf")))), 1, 0)</f>
        <v>0</v>
      </c>
      <c r="L75" s="2">
        <f t="shared" si="247"/>
        <v>0</v>
      </c>
      <c r="M75" s="2">
        <f t="shared" si="247"/>
        <v>0</v>
      </c>
      <c r="N75" s="2" t="str">
        <f t="shared" ref="N75:P75" si="248">IF(EQ(H75, 1), IF(NOT(EQ(B75, 0)), E75/B75, "Inf"), "")</f>
        <v/>
      </c>
      <c r="O75" s="2" t="str">
        <f t="shared" si="248"/>
        <v/>
      </c>
      <c r="P75" s="2" t="str">
        <f t="shared" si="248"/>
        <v/>
      </c>
    </row>
    <row r="76">
      <c r="A76" s="52" t="s">
        <v>263</v>
      </c>
      <c r="B76" s="9">
        <v>0.0</v>
      </c>
      <c r="C76" s="9">
        <v>0.0</v>
      </c>
      <c r="D76" s="9">
        <v>0.0</v>
      </c>
      <c r="E76" s="9">
        <f>AVERAGE(Sheet1!BH71,Sheet1!BH249)</f>
        <v>0.03493046044</v>
      </c>
      <c r="F76" s="9">
        <f>AVERAGE(Sheet1!BK71,Sheet1!BK249)</f>
        <v>0.04902000652</v>
      </c>
      <c r="G76" s="9">
        <f>AVERAGE(Sheet1!BN71,Sheet1!BN249)</f>
        <v>0.05749824776</v>
      </c>
      <c r="H76" s="2">
        <f t="shared" ref="H76:J76" si="249">IF(OR(E76&gt;B76, And(EQ(E76, "Inf"), NOT(EQ(B76, "Inf")))), 1, 0)</f>
        <v>1</v>
      </c>
      <c r="I76" s="2">
        <f t="shared" si="249"/>
        <v>1</v>
      </c>
      <c r="J76" s="2">
        <f t="shared" si="249"/>
        <v>1</v>
      </c>
      <c r="K76" s="2">
        <f t="shared" ref="K76:M76" si="250">IF(OR(E76&lt;B76, And(EQ(B76, "Inf"), NOT(EQ(E76, "Inf")))), 1, 0)</f>
        <v>0</v>
      </c>
      <c r="L76" s="2">
        <f t="shared" si="250"/>
        <v>0</v>
      </c>
      <c r="M76" s="2">
        <f t="shared" si="250"/>
        <v>0</v>
      </c>
      <c r="N76" s="2" t="str">
        <f t="shared" ref="N76:P76" si="251">IF(EQ(H76, 1), IF(NOT(EQ(B76, 0)), E76/B76, "Inf"), "")</f>
        <v>Inf</v>
      </c>
      <c r="O76" s="2" t="str">
        <f t="shared" si="251"/>
        <v>Inf</v>
      </c>
      <c r="P76" s="2" t="str">
        <f t="shared" si="251"/>
        <v>Inf</v>
      </c>
    </row>
    <row r="77">
      <c r="A77" s="52" t="s">
        <v>527</v>
      </c>
      <c r="B77" s="9">
        <v>0.0</v>
      </c>
      <c r="C77" s="9">
        <v>0.0</v>
      </c>
      <c r="D77" s="9">
        <v>0.0</v>
      </c>
      <c r="E77" s="10">
        <v>0.12465676561023842</v>
      </c>
      <c r="F77" s="10">
        <v>0.3027161206502449</v>
      </c>
      <c r="G77" s="10">
        <v>0.5089664179285793</v>
      </c>
      <c r="H77" s="2">
        <f t="shared" ref="H77:J77" si="252">IF(OR(E77&gt;B77, And(EQ(E77, "Inf"), NOT(EQ(B77, "Inf")))), 1, 0)</f>
        <v>1</v>
      </c>
      <c r="I77" s="2">
        <f t="shared" si="252"/>
        <v>1</v>
      </c>
      <c r="J77" s="2">
        <f t="shared" si="252"/>
        <v>1</v>
      </c>
      <c r="K77" s="2">
        <f t="shared" ref="K77:M77" si="253">IF(OR(E77&lt;B77, And(EQ(B77, "Inf"), NOT(EQ(E77, "Inf")))), 1, 0)</f>
        <v>0</v>
      </c>
      <c r="L77" s="2">
        <f t="shared" si="253"/>
        <v>0</v>
      </c>
      <c r="M77" s="2">
        <f t="shared" si="253"/>
        <v>0</v>
      </c>
      <c r="N77" s="2" t="str">
        <f t="shared" ref="N77:P77" si="254">IF(EQ(H77, 1), IF(NOT(EQ(B77, 0)), E77/B77, "Inf"), "")</f>
        <v>Inf</v>
      </c>
      <c r="O77" s="2" t="str">
        <f t="shared" si="254"/>
        <v>Inf</v>
      </c>
      <c r="P77" s="2" t="str">
        <f t="shared" si="254"/>
        <v>Inf</v>
      </c>
    </row>
    <row r="78">
      <c r="A78" s="393" t="s">
        <v>1012</v>
      </c>
      <c r="B78" s="2">
        <v>6.937005259840997</v>
      </c>
      <c r="C78" s="2">
        <v>78.37005259840996</v>
      </c>
      <c r="D78" s="2">
        <v>792.7005259840995</v>
      </c>
      <c r="E78" s="2">
        <f>AVERAGE(Sheet1!BH889,Sheet1!BH892)</f>
        <v>0.761569993</v>
      </c>
      <c r="F78" s="2">
        <f>AVERAGE(Sheet1!BK889,Sheet1!BK892)</f>
        <v>1.912130243</v>
      </c>
      <c r="G78" s="2">
        <f>AVERAGE(Sheet1!BN889,Sheet1!BN892)</f>
        <v>3.698769063</v>
      </c>
      <c r="H78" s="2">
        <f t="shared" ref="H78:J78" si="255">IF(OR(E78&gt;B78, And(EQ(E78, "Inf"), NOT(EQ(B78, "Inf")))), 1, 0)</f>
        <v>0</v>
      </c>
      <c r="I78" s="2">
        <f t="shared" si="255"/>
        <v>0</v>
      </c>
      <c r="J78" s="2">
        <f t="shared" si="255"/>
        <v>0</v>
      </c>
      <c r="K78" s="2">
        <f t="shared" ref="K78:M78" si="256">IF(OR(E78&lt;B78, And(EQ(B78, "Inf"), NOT(EQ(E78, "Inf")))), 1, 0)</f>
        <v>1</v>
      </c>
      <c r="L78" s="2">
        <f t="shared" si="256"/>
        <v>1</v>
      </c>
      <c r="M78" s="2">
        <f t="shared" si="256"/>
        <v>1</v>
      </c>
      <c r="N78" s="2" t="str">
        <f t="shared" ref="N78:P78" si="257">IF(EQ(H78, 1), IF(NOT(EQ(B78, 0)), E78/B78, "Inf"), "")</f>
        <v/>
      </c>
      <c r="O78" s="2" t="str">
        <f t="shared" si="257"/>
        <v/>
      </c>
      <c r="P78" s="2" t="str">
        <f t="shared" si="257"/>
        <v/>
      </c>
      <c r="S78" s="9" t="s">
        <v>7373</v>
      </c>
      <c r="V78" s="9" t="s">
        <v>8612</v>
      </c>
      <c r="AD78" s="9" t="s">
        <v>7373</v>
      </c>
      <c r="AG78" s="9" t="s">
        <v>8612</v>
      </c>
    </row>
    <row r="79">
      <c r="A79" s="52" t="s">
        <v>464</v>
      </c>
      <c r="B79" s="9">
        <v>0.0</v>
      </c>
      <c r="C79" s="9">
        <v>0.0</v>
      </c>
      <c r="D79" s="9">
        <v>0.0</v>
      </c>
      <c r="E79" s="9">
        <f>AVERAGE(Sheet1!BH106,Sheet1!BH107,Sheet1!BH307,Sheet1!BH310)</f>
        <v>0.1136612352</v>
      </c>
      <c r="F79" s="9">
        <f>AVERAGE(Sheet1!BK106,Sheet1!BK107,Sheet1!BK307,Sheet1!BK310)</f>
        <v>0.3133698001</v>
      </c>
      <c r="G79" s="9">
        <f>AVERAGE(Sheet1!BN106,Sheet1!BN107,Sheet1!BN307,Sheet1!BN310)</f>
        <v>0.6826239928</v>
      </c>
      <c r="H79" s="2">
        <f t="shared" ref="H79:J79" si="258">IF(OR(E79&gt;B79, And(EQ(E79, "Inf"), NOT(EQ(B79, "Inf")))), 1, 0)</f>
        <v>1</v>
      </c>
      <c r="I79" s="2">
        <f t="shared" si="258"/>
        <v>1</v>
      </c>
      <c r="J79" s="2">
        <f t="shared" si="258"/>
        <v>1</v>
      </c>
      <c r="K79" s="2">
        <f t="shared" ref="K79:M79" si="259">IF(OR(E79&lt;B79, And(EQ(B79, "Inf"), NOT(EQ(E79, "Inf")))), 1, 0)</f>
        <v>0</v>
      </c>
      <c r="L79" s="2">
        <f t="shared" si="259"/>
        <v>0</v>
      </c>
      <c r="M79" s="2">
        <f t="shared" si="259"/>
        <v>0</v>
      </c>
      <c r="N79" s="2" t="str">
        <f t="shared" ref="N79:P79" si="260">IF(EQ(H79, 1), IF(NOT(EQ(B79, 0)), E79/B79, "Inf"), "")</f>
        <v>Inf</v>
      </c>
      <c r="O79" s="2" t="str">
        <f t="shared" si="260"/>
        <v>Inf</v>
      </c>
      <c r="P79" s="2" t="str">
        <f t="shared" si="260"/>
        <v>Inf</v>
      </c>
      <c r="S79" s="2" t="s">
        <v>8580</v>
      </c>
      <c r="T79" s="2" t="s">
        <v>8581</v>
      </c>
      <c r="U79" s="2" t="s">
        <v>8582</v>
      </c>
      <c r="V79" s="2" t="s">
        <v>8580</v>
      </c>
      <c r="W79" s="2" t="s">
        <v>8581</v>
      </c>
      <c r="X79" s="2" t="s">
        <v>8582</v>
      </c>
      <c r="AD79" s="2" t="s">
        <v>8580</v>
      </c>
      <c r="AE79" s="2" t="s">
        <v>8581</v>
      </c>
      <c r="AF79" s="2" t="s">
        <v>8582</v>
      </c>
      <c r="AG79" s="2" t="s">
        <v>8580</v>
      </c>
      <c r="AH79" s="2" t="s">
        <v>8581</v>
      </c>
      <c r="AI79" s="2" t="s">
        <v>8582</v>
      </c>
    </row>
    <row r="80">
      <c r="A80" s="52" t="s">
        <v>486</v>
      </c>
      <c r="B80" s="9">
        <v>0.0</v>
      </c>
      <c r="C80" s="9">
        <v>0.0</v>
      </c>
      <c r="D80" s="9">
        <v>0.0</v>
      </c>
      <c r="E80" s="9">
        <f>AVERAGE(Sheet1!BH318,Sheet1!BH519)</f>
        <v>0.3513440966</v>
      </c>
      <c r="F80" s="9">
        <f>average(Sheet1!BK318,Sheet1!BK519)</f>
        <v>0.9203505079</v>
      </c>
      <c r="G80" s="9">
        <f>AVERAGE(Sheet1!BN318,Sheet1!BN519)</f>
        <v>1.759042775</v>
      </c>
      <c r="H80" s="2">
        <f t="shared" ref="H80:J80" si="261">IF(OR(E80&gt;B80, And(EQ(E80, "Inf"), NOT(EQ(B80, "Inf")))), 1, 0)</f>
        <v>1</v>
      </c>
      <c r="I80" s="2">
        <f t="shared" si="261"/>
        <v>1</v>
      </c>
      <c r="J80" s="2">
        <f t="shared" si="261"/>
        <v>1</v>
      </c>
      <c r="K80" s="2">
        <f t="shared" ref="K80:M80" si="262">IF(OR(E80&lt;B80, And(EQ(B80, "Inf"), NOT(EQ(E80, "Inf")))), 1, 0)</f>
        <v>0</v>
      </c>
      <c r="L80" s="2">
        <f t="shared" si="262"/>
        <v>0</v>
      </c>
      <c r="M80" s="2">
        <f t="shared" si="262"/>
        <v>0</v>
      </c>
      <c r="N80" s="2" t="str">
        <f t="shared" ref="N80:P80" si="263">IF(EQ(H80, 1), IF(NOT(EQ(B80, 0)), E80/B80, "Inf"), "")</f>
        <v>Inf</v>
      </c>
      <c r="O80" s="2" t="str">
        <f t="shared" si="263"/>
        <v>Inf</v>
      </c>
      <c r="P80" s="2" t="str">
        <f t="shared" si="263"/>
        <v>Inf</v>
      </c>
      <c r="R80" s="9" t="s">
        <v>8613</v>
      </c>
      <c r="S80" s="2" t="s">
        <v>8585</v>
      </c>
      <c r="T80" s="2" t="s">
        <v>8585</v>
      </c>
      <c r="U80" s="2" t="s">
        <v>8585</v>
      </c>
      <c r="V80" s="2" t="s">
        <v>8585</v>
      </c>
      <c r="W80" s="2" t="s">
        <v>8585</v>
      </c>
      <c r="X80" s="2" t="s">
        <v>8585</v>
      </c>
      <c r="AC80" s="9" t="s">
        <v>8613</v>
      </c>
      <c r="AD80" s="2" t="s">
        <v>8585</v>
      </c>
      <c r="AE80" s="2" t="s">
        <v>8585</v>
      </c>
      <c r="AF80" s="2" t="s">
        <v>8585</v>
      </c>
      <c r="AG80" s="2" t="s">
        <v>8585</v>
      </c>
      <c r="AH80" s="2" t="s">
        <v>8585</v>
      </c>
      <c r="AI80" s="2" t="s">
        <v>8585</v>
      </c>
    </row>
    <row r="81">
      <c r="A81" s="52" t="s">
        <v>1157</v>
      </c>
      <c r="B81" s="9">
        <v>0.0</v>
      </c>
      <c r="C81" s="9">
        <v>0.0</v>
      </c>
      <c r="D81" s="9">
        <v>0.0</v>
      </c>
      <c r="E81" s="9">
        <v>0.0</v>
      </c>
      <c r="F81" s="9">
        <v>0.0</v>
      </c>
      <c r="G81" s="9">
        <v>0.0</v>
      </c>
      <c r="H81" s="2">
        <f t="shared" ref="H81:J81" si="264">IF(OR(E81&gt;B81, And(EQ(E81, "Inf"), NOT(EQ(B81, "Inf")))), 1, 0)</f>
        <v>0</v>
      </c>
      <c r="I81" s="2">
        <f t="shared" si="264"/>
        <v>0</v>
      </c>
      <c r="J81" s="2">
        <f t="shared" si="264"/>
        <v>0</v>
      </c>
      <c r="K81" s="2">
        <f t="shared" ref="K81:M81" si="265">IF(OR(E81&lt;B81, And(EQ(B81, "Inf"), NOT(EQ(E81, "Inf")))), 1, 0)</f>
        <v>0</v>
      </c>
      <c r="L81" s="2">
        <f t="shared" si="265"/>
        <v>0</v>
      </c>
      <c r="M81" s="2">
        <f t="shared" si="265"/>
        <v>0</v>
      </c>
      <c r="N81" s="2" t="str">
        <f t="shared" ref="N81:P81" si="266">IF(EQ(H81, 1), IF(NOT(EQ(B81, 0)), E81/B81, "Inf"), "")</f>
        <v/>
      </c>
      <c r="O81" s="2" t="str">
        <f t="shared" si="266"/>
        <v/>
      </c>
      <c r="P81" s="2" t="str">
        <f t="shared" si="266"/>
        <v/>
      </c>
      <c r="R81" s="9" t="s">
        <v>8614</v>
      </c>
      <c r="S81" s="2">
        <f t="shared" ref="S81:X81" si="267">COUNTIF(B$2:B$119, "&lt;.01")</f>
        <v>94</v>
      </c>
      <c r="T81" s="2">
        <f t="shared" si="267"/>
        <v>94</v>
      </c>
      <c r="U81" s="2">
        <f t="shared" si="267"/>
        <v>94</v>
      </c>
      <c r="V81" s="2">
        <f t="shared" si="267"/>
        <v>59</v>
      </c>
      <c r="W81" s="2">
        <f t="shared" si="267"/>
        <v>59</v>
      </c>
      <c r="X81" s="2">
        <f t="shared" si="267"/>
        <v>59</v>
      </c>
      <c r="AC81" s="9" t="s">
        <v>8614</v>
      </c>
      <c r="AD81" s="397">
        <f t="shared" ref="AD81:AI81" si="268">S81/Sum(S$81:S$90)</f>
        <v>0.7966101695</v>
      </c>
      <c r="AE81" s="397">
        <f t="shared" si="268"/>
        <v>0.7966101695</v>
      </c>
      <c r="AF81" s="397">
        <f t="shared" si="268"/>
        <v>0.7966101695</v>
      </c>
      <c r="AG81" s="397">
        <f t="shared" si="268"/>
        <v>0.5</v>
      </c>
      <c r="AH81" s="397">
        <f t="shared" si="268"/>
        <v>0.5</v>
      </c>
      <c r="AI81" s="397">
        <f t="shared" si="268"/>
        <v>0.5</v>
      </c>
    </row>
    <row r="82">
      <c r="A82" s="52" t="s">
        <v>556</v>
      </c>
      <c r="B82" s="9">
        <v>0.0</v>
      </c>
      <c r="C82" s="9">
        <v>0.0</v>
      </c>
      <c r="D82" s="9">
        <v>0.0</v>
      </c>
      <c r="E82" s="9">
        <v>0.0</v>
      </c>
      <c r="F82" s="9">
        <v>0.0</v>
      </c>
      <c r="G82" s="9">
        <v>0.0</v>
      </c>
      <c r="H82" s="2">
        <f t="shared" ref="H82:J82" si="269">IF(OR(E82&gt;B82, And(EQ(E82, "Inf"), NOT(EQ(B82, "Inf")))), 1, 0)</f>
        <v>0</v>
      </c>
      <c r="I82" s="2">
        <f t="shared" si="269"/>
        <v>0</v>
      </c>
      <c r="J82" s="2">
        <f t="shared" si="269"/>
        <v>0</v>
      </c>
      <c r="K82" s="2">
        <f t="shared" ref="K82:M82" si="270">IF(OR(E82&lt;B82, And(EQ(B82, "Inf"), NOT(EQ(E82, "Inf")))), 1, 0)</f>
        <v>0</v>
      </c>
      <c r="L82" s="2">
        <f t="shared" si="270"/>
        <v>0</v>
      </c>
      <c r="M82" s="2">
        <f t="shared" si="270"/>
        <v>0</v>
      </c>
      <c r="N82" s="2" t="str">
        <f t="shared" ref="N82:P82" si="271">IF(EQ(H82, 1), IF(NOT(EQ(B82, 0)), E82/B82, "Inf"), "")</f>
        <v/>
      </c>
      <c r="O82" s="2" t="str">
        <f t="shared" si="271"/>
        <v/>
      </c>
      <c r="P82" s="2" t="str">
        <f t="shared" si="271"/>
        <v/>
      </c>
      <c r="R82" s="9" t="s">
        <v>8615</v>
      </c>
      <c r="S82" s="2">
        <f t="shared" ref="S82:X82" si="272">MINUS(COUNTIF(B$2:B$119, "&lt;.03"), COUNTIF(B$2:B$119, "&lt;.01"))</f>
        <v>0</v>
      </c>
      <c r="T82" s="2">
        <f t="shared" si="272"/>
        <v>0</v>
      </c>
      <c r="U82" s="2">
        <f t="shared" si="272"/>
        <v>0</v>
      </c>
      <c r="V82" s="2">
        <f t="shared" si="272"/>
        <v>0</v>
      </c>
      <c r="W82" s="2">
        <f t="shared" si="272"/>
        <v>0</v>
      </c>
      <c r="X82" s="2">
        <f t="shared" si="272"/>
        <v>0</v>
      </c>
      <c r="AC82" s="9" t="s">
        <v>8615</v>
      </c>
      <c r="AD82" s="397">
        <f t="shared" ref="AD82:AI82" si="273">S82/Sum(S$81:S$90)</f>
        <v>0</v>
      </c>
      <c r="AE82" s="397">
        <f t="shared" si="273"/>
        <v>0</v>
      </c>
      <c r="AF82" s="397">
        <f t="shared" si="273"/>
        <v>0</v>
      </c>
      <c r="AG82" s="397">
        <f t="shared" si="273"/>
        <v>0</v>
      </c>
      <c r="AH82" s="397">
        <f t="shared" si="273"/>
        <v>0</v>
      </c>
      <c r="AI82" s="397">
        <f t="shared" si="273"/>
        <v>0</v>
      </c>
    </row>
    <row r="83">
      <c r="A83" s="52" t="s">
        <v>629</v>
      </c>
      <c r="B83" s="9">
        <v>0.0</v>
      </c>
      <c r="C83" s="9">
        <v>0.0</v>
      </c>
      <c r="D83" s="9">
        <v>0.0</v>
      </c>
      <c r="E83" s="9">
        <v>0.0</v>
      </c>
      <c r="F83" s="9">
        <v>0.0</v>
      </c>
      <c r="G83" s="9">
        <v>0.0</v>
      </c>
      <c r="H83" s="2">
        <f t="shared" ref="H83:J83" si="274">IF(OR(E83&gt;B83, And(EQ(E83, "Inf"), NOT(EQ(B83, "Inf")))), 1, 0)</f>
        <v>0</v>
      </c>
      <c r="I83" s="2">
        <f t="shared" si="274"/>
        <v>0</v>
      </c>
      <c r="J83" s="2">
        <f t="shared" si="274"/>
        <v>0</v>
      </c>
      <c r="K83" s="2">
        <f t="shared" ref="K83:M83" si="275">IF(OR(E83&lt;B83, And(EQ(B83, "Inf"), NOT(EQ(E83, "Inf")))), 1, 0)</f>
        <v>0</v>
      </c>
      <c r="L83" s="2">
        <f t="shared" si="275"/>
        <v>0</v>
      </c>
      <c r="M83" s="2">
        <f t="shared" si="275"/>
        <v>0</v>
      </c>
      <c r="N83" s="2" t="str">
        <f t="shared" ref="N83:P83" si="276">IF(EQ(H83, 1), IF(NOT(EQ(B83, 0)), E83/B83, "Inf"), "")</f>
        <v/>
      </c>
      <c r="O83" s="2" t="str">
        <f t="shared" si="276"/>
        <v/>
      </c>
      <c r="P83" s="2" t="str">
        <f t="shared" si="276"/>
        <v/>
      </c>
      <c r="R83" s="9" t="s">
        <v>8616</v>
      </c>
      <c r="S83" s="2">
        <f t="shared" ref="S83:X83" si="277">MINUS(COUNTIF(B$2:B$119, "&lt;.10"), COUNTIF(B$2:B$119, "&lt;.03"))</f>
        <v>0</v>
      </c>
      <c r="T83" s="2">
        <f t="shared" si="277"/>
        <v>0</v>
      </c>
      <c r="U83" s="2">
        <f t="shared" si="277"/>
        <v>0</v>
      </c>
      <c r="V83" s="2">
        <f t="shared" si="277"/>
        <v>8</v>
      </c>
      <c r="W83" s="2">
        <f t="shared" si="277"/>
        <v>1</v>
      </c>
      <c r="X83" s="2">
        <f t="shared" si="277"/>
        <v>1</v>
      </c>
      <c r="AC83" s="9" t="s">
        <v>8616</v>
      </c>
      <c r="AD83" s="397">
        <f t="shared" ref="AD83:AI83" si="278">S83/Sum(S$81:S$90)</f>
        <v>0</v>
      </c>
      <c r="AE83" s="397">
        <f t="shared" si="278"/>
        <v>0</v>
      </c>
      <c r="AF83" s="397">
        <f t="shared" si="278"/>
        <v>0</v>
      </c>
      <c r="AG83" s="397">
        <f t="shared" si="278"/>
        <v>0.06779661017</v>
      </c>
      <c r="AH83" s="397">
        <f t="shared" si="278"/>
        <v>0.008474576271</v>
      </c>
      <c r="AI83" s="397">
        <f t="shared" si="278"/>
        <v>0.008474576271</v>
      </c>
    </row>
    <row r="84">
      <c r="A84" s="52" t="s">
        <v>460</v>
      </c>
      <c r="B84" s="9">
        <v>0.0</v>
      </c>
      <c r="C84" s="9">
        <v>0.0</v>
      </c>
      <c r="D84" s="9">
        <v>0.0</v>
      </c>
      <c r="E84" s="9">
        <v>0.0</v>
      </c>
      <c r="F84" s="9">
        <v>0.0</v>
      </c>
      <c r="G84" s="9">
        <v>0.0</v>
      </c>
      <c r="H84" s="2">
        <f t="shared" ref="H84:J84" si="279">IF(OR(E84&gt;B84, And(EQ(E84, "Inf"), NOT(EQ(B84, "Inf")))), 1, 0)</f>
        <v>0</v>
      </c>
      <c r="I84" s="2">
        <f t="shared" si="279"/>
        <v>0</v>
      </c>
      <c r="J84" s="2">
        <f t="shared" si="279"/>
        <v>0</v>
      </c>
      <c r="K84" s="2">
        <f t="shared" ref="K84:M84" si="280">IF(OR(E84&lt;B84, And(EQ(B84, "Inf"), NOT(EQ(E84, "Inf")))), 1, 0)</f>
        <v>0</v>
      </c>
      <c r="L84" s="2">
        <f t="shared" si="280"/>
        <v>0</v>
      </c>
      <c r="M84" s="2">
        <f t="shared" si="280"/>
        <v>0</v>
      </c>
      <c r="N84" s="2" t="str">
        <f t="shared" ref="N84:P84" si="281">IF(EQ(H84, 1), IF(NOT(EQ(B84, 0)), E84/B84, "Inf"), "")</f>
        <v/>
      </c>
      <c r="O84" s="2" t="str">
        <f t="shared" si="281"/>
        <v/>
      </c>
      <c r="P84" s="2" t="str">
        <f t="shared" si="281"/>
        <v/>
      </c>
      <c r="R84" s="9" t="s">
        <v>8617</v>
      </c>
      <c r="S84" s="2">
        <f t="shared" ref="S84:X84" si="282">MINUS(COUNTIF(B$2:B$119, "&lt;.31"), COUNTIF(B$2:B$119, "&lt;.10"))</f>
        <v>5</v>
      </c>
      <c r="T84" s="2">
        <f t="shared" si="282"/>
        <v>1</v>
      </c>
      <c r="U84" s="2">
        <f t="shared" si="282"/>
        <v>1</v>
      </c>
      <c r="V84" s="2">
        <f t="shared" si="282"/>
        <v>16</v>
      </c>
      <c r="W84" s="2">
        <f t="shared" si="282"/>
        <v>12</v>
      </c>
      <c r="X84" s="2">
        <f t="shared" si="282"/>
        <v>6</v>
      </c>
      <c r="AC84" s="9" t="s">
        <v>8617</v>
      </c>
      <c r="AD84" s="397">
        <f t="shared" ref="AD84:AI84" si="283">S84/Sum(S$81:S$90)</f>
        <v>0.04237288136</v>
      </c>
      <c r="AE84" s="397">
        <f t="shared" si="283"/>
        <v>0.008474576271</v>
      </c>
      <c r="AF84" s="397">
        <f t="shared" si="283"/>
        <v>0.008474576271</v>
      </c>
      <c r="AG84" s="397">
        <f t="shared" si="283"/>
        <v>0.1355932203</v>
      </c>
      <c r="AH84" s="397">
        <f t="shared" si="283"/>
        <v>0.1016949153</v>
      </c>
      <c r="AI84" s="397">
        <f t="shared" si="283"/>
        <v>0.05084745763</v>
      </c>
    </row>
    <row r="85">
      <c r="A85" s="52" t="s">
        <v>544</v>
      </c>
      <c r="B85" s="9">
        <v>0.0</v>
      </c>
      <c r="C85" s="9">
        <v>0.0</v>
      </c>
      <c r="D85" s="9">
        <v>0.0</v>
      </c>
      <c r="E85" s="9" t="s">
        <v>1781</v>
      </c>
      <c r="F85" s="9" t="s">
        <v>1781</v>
      </c>
      <c r="G85" s="9" t="s">
        <v>1781</v>
      </c>
      <c r="H85" s="2">
        <f t="shared" ref="H85:J85" si="284">IF(OR(E85&gt;B85, And(EQ(E85, "Inf"), NOT(EQ(B85, "Inf")))), 1, 0)</f>
        <v>1</v>
      </c>
      <c r="I85" s="2">
        <f t="shared" si="284"/>
        <v>1</v>
      </c>
      <c r="J85" s="2">
        <f t="shared" si="284"/>
        <v>1</v>
      </c>
      <c r="K85" s="2">
        <f t="shared" ref="K85:M85" si="285">IF(OR(E85&lt;B85, And(EQ(B85, "Inf"), NOT(EQ(E85, "Inf")))), 1, 0)</f>
        <v>0</v>
      </c>
      <c r="L85" s="2">
        <f t="shared" si="285"/>
        <v>0</v>
      </c>
      <c r="M85" s="2">
        <f t="shared" si="285"/>
        <v>0</v>
      </c>
      <c r="N85" s="2" t="str">
        <f t="shared" ref="N85:P85" si="286">IF(EQ(H85, 1), IF(NOT(EQ(B85, 0)), E85/B85, "Inf"), "")</f>
        <v>Inf</v>
      </c>
      <c r="O85" s="2" t="str">
        <f t="shared" si="286"/>
        <v>Inf</v>
      </c>
      <c r="P85" s="2" t="str">
        <f t="shared" si="286"/>
        <v>Inf</v>
      </c>
      <c r="R85" s="9" t="s">
        <v>8618</v>
      </c>
      <c r="S85" s="2">
        <f t="shared" ref="S85:X85" si="287">MINUS(COUNTIF(B$2:B$119, "&lt;1"), COUNTIF(B$2:B$119, "&lt;.31"))</f>
        <v>4</v>
      </c>
      <c r="T85" s="2">
        <f t="shared" si="287"/>
        <v>6</v>
      </c>
      <c r="U85" s="2">
        <f t="shared" si="287"/>
        <v>5</v>
      </c>
      <c r="V85" s="2">
        <f t="shared" si="287"/>
        <v>13</v>
      </c>
      <c r="W85" s="2">
        <f t="shared" si="287"/>
        <v>16</v>
      </c>
      <c r="X85" s="2">
        <f t="shared" si="287"/>
        <v>15</v>
      </c>
      <c r="AC85" s="9" t="s">
        <v>8618</v>
      </c>
      <c r="AD85" s="397">
        <f t="shared" ref="AD85:AI85" si="288">S85/Sum(S$81:S$90)</f>
        <v>0.03389830508</v>
      </c>
      <c r="AE85" s="397">
        <f t="shared" si="288"/>
        <v>0.05084745763</v>
      </c>
      <c r="AF85" s="397">
        <f t="shared" si="288"/>
        <v>0.04237288136</v>
      </c>
      <c r="AG85" s="397">
        <f t="shared" si="288"/>
        <v>0.1101694915</v>
      </c>
      <c r="AH85" s="397">
        <f t="shared" si="288"/>
        <v>0.1355932203</v>
      </c>
      <c r="AI85" s="397">
        <f t="shared" si="288"/>
        <v>0.1271186441</v>
      </c>
    </row>
    <row r="86">
      <c r="A86" s="52" t="s">
        <v>998</v>
      </c>
      <c r="B86" s="9">
        <v>0.0</v>
      </c>
      <c r="C86" s="9">
        <v>0.0</v>
      </c>
      <c r="D86" s="9">
        <v>0.0</v>
      </c>
      <c r="E86" s="9" t="s">
        <v>1781</v>
      </c>
      <c r="F86" s="9" t="s">
        <v>1781</v>
      </c>
      <c r="G86" s="9" t="s">
        <v>1781</v>
      </c>
      <c r="H86" s="2">
        <f t="shared" ref="H86:J86" si="289">IF(OR(E86&gt;B86, And(EQ(E86, "Inf"), NOT(EQ(B86, "Inf")))), 1, 0)</f>
        <v>1</v>
      </c>
      <c r="I86" s="2">
        <f t="shared" si="289"/>
        <v>1</v>
      </c>
      <c r="J86" s="2">
        <f t="shared" si="289"/>
        <v>1</v>
      </c>
      <c r="K86" s="2">
        <f t="shared" ref="K86:M86" si="290">IF(OR(E86&lt;B86, And(EQ(B86, "Inf"), NOT(EQ(E86, "Inf")))), 1, 0)</f>
        <v>0</v>
      </c>
      <c r="L86" s="2">
        <f t="shared" si="290"/>
        <v>0</v>
      </c>
      <c r="M86" s="2">
        <f t="shared" si="290"/>
        <v>0</v>
      </c>
      <c r="N86" s="2" t="str">
        <f t="shared" ref="N86:P86" si="291">IF(EQ(H86, 1), IF(NOT(EQ(B86, 0)), E86/B86, "Inf"), "")</f>
        <v>Inf</v>
      </c>
      <c r="O86" s="2" t="str">
        <f t="shared" si="291"/>
        <v>Inf</v>
      </c>
      <c r="P86" s="2" t="str">
        <f t="shared" si="291"/>
        <v>Inf</v>
      </c>
      <c r="R86" s="9" t="s">
        <v>8619</v>
      </c>
      <c r="S86" s="2">
        <f t="shared" ref="S86:X86" si="292">MINUS(COUNTIF(B$2:B$119, "&lt;3.16"), COUNTIF(B$2:B$119, "&lt;1"))</f>
        <v>4</v>
      </c>
      <c r="T86" s="2">
        <f t="shared" si="292"/>
        <v>2</v>
      </c>
      <c r="U86" s="2">
        <f t="shared" si="292"/>
        <v>3</v>
      </c>
      <c r="V86" s="2">
        <f t="shared" si="292"/>
        <v>3</v>
      </c>
      <c r="W86" s="2">
        <f t="shared" si="292"/>
        <v>8</v>
      </c>
      <c r="X86" s="2">
        <f t="shared" si="292"/>
        <v>10</v>
      </c>
      <c r="AC86" s="9" t="s">
        <v>8619</v>
      </c>
      <c r="AD86" s="397">
        <f t="shared" ref="AD86:AI86" si="293">S86/Sum(S$81:S$90)</f>
        <v>0.03389830508</v>
      </c>
      <c r="AE86" s="397">
        <f t="shared" si="293"/>
        <v>0.01694915254</v>
      </c>
      <c r="AF86" s="397">
        <f t="shared" si="293"/>
        <v>0.02542372881</v>
      </c>
      <c r="AG86" s="397">
        <f t="shared" si="293"/>
        <v>0.02542372881</v>
      </c>
      <c r="AH86" s="397">
        <f t="shared" si="293"/>
        <v>0.06779661017</v>
      </c>
      <c r="AI86" s="397">
        <f t="shared" si="293"/>
        <v>0.08474576271</v>
      </c>
    </row>
    <row r="87">
      <c r="A87" s="52" t="s">
        <v>1245</v>
      </c>
      <c r="B87" s="9">
        <v>0.0</v>
      </c>
      <c r="C87" s="9">
        <v>0.0</v>
      </c>
      <c r="D87" s="9">
        <v>0.0</v>
      </c>
      <c r="E87" s="9">
        <v>0.0</v>
      </c>
      <c r="F87" s="9">
        <v>0.0</v>
      </c>
      <c r="G87" s="9">
        <v>0.0</v>
      </c>
      <c r="H87" s="2">
        <f t="shared" ref="H87:J87" si="294">IF(OR(E87&gt;B87, And(EQ(E87, "Inf"), NOT(EQ(B87, "Inf")))), 1, 0)</f>
        <v>0</v>
      </c>
      <c r="I87" s="2">
        <f t="shared" si="294"/>
        <v>0</v>
      </c>
      <c r="J87" s="2">
        <f t="shared" si="294"/>
        <v>0</v>
      </c>
      <c r="K87" s="2">
        <f t="shared" ref="K87:M87" si="295">IF(OR(E87&lt;B87, And(EQ(B87, "Inf"), NOT(EQ(E87, "Inf")))), 1, 0)</f>
        <v>0</v>
      </c>
      <c r="L87" s="2">
        <f t="shared" si="295"/>
        <v>0</v>
      </c>
      <c r="M87" s="2">
        <f t="shared" si="295"/>
        <v>0</v>
      </c>
      <c r="N87" s="2" t="str">
        <f t="shared" ref="N87:P87" si="296">IF(EQ(H87, 1), IF(NOT(EQ(B87, 0)), E87/B87, "Inf"), "")</f>
        <v/>
      </c>
      <c r="O87" s="2" t="str">
        <f t="shared" si="296"/>
        <v/>
      </c>
      <c r="P87" s="2" t="str">
        <f t="shared" si="296"/>
        <v/>
      </c>
      <c r="R87" s="9" t="s">
        <v>8620</v>
      </c>
      <c r="S87" s="2">
        <f t="shared" ref="S87:X87" si="297">MINUS(COUNTIF(B$2:B$119, "&lt;10"), COUNTIF(B$2:B$119, "&lt;3.16"))</f>
        <v>6</v>
      </c>
      <c r="T87" s="2">
        <f t="shared" si="297"/>
        <v>4</v>
      </c>
      <c r="U87" s="2">
        <f t="shared" si="297"/>
        <v>3</v>
      </c>
      <c r="V87" s="2">
        <f t="shared" si="297"/>
        <v>1</v>
      </c>
      <c r="W87" s="2">
        <f t="shared" si="297"/>
        <v>2</v>
      </c>
      <c r="X87" s="2">
        <f t="shared" si="297"/>
        <v>5</v>
      </c>
      <c r="AC87" s="9" t="s">
        <v>8620</v>
      </c>
      <c r="AD87" s="397">
        <f t="shared" ref="AD87:AI87" si="298">S87/Sum(S$81:S$90)</f>
        <v>0.05084745763</v>
      </c>
      <c r="AE87" s="397">
        <f t="shared" si="298"/>
        <v>0.03389830508</v>
      </c>
      <c r="AF87" s="397">
        <f t="shared" si="298"/>
        <v>0.02542372881</v>
      </c>
      <c r="AG87" s="397">
        <f t="shared" si="298"/>
        <v>0.008474576271</v>
      </c>
      <c r="AH87" s="397">
        <f t="shared" si="298"/>
        <v>0.01694915254</v>
      </c>
      <c r="AI87" s="397">
        <f t="shared" si="298"/>
        <v>0.04237288136</v>
      </c>
    </row>
    <row r="88">
      <c r="A88" s="52" t="s">
        <v>1050</v>
      </c>
      <c r="B88" s="9">
        <v>0.0</v>
      </c>
      <c r="C88" s="9">
        <v>0.0</v>
      </c>
      <c r="D88" s="9">
        <v>0.0</v>
      </c>
      <c r="E88" s="9">
        <v>0.0</v>
      </c>
      <c r="F88" s="9">
        <v>0.0</v>
      </c>
      <c r="G88" s="9">
        <v>0.0</v>
      </c>
      <c r="H88" s="2">
        <f t="shared" ref="H88:J88" si="299">IF(OR(E88&gt;B88, And(EQ(E88, "Inf"), NOT(EQ(B88, "Inf")))), 1, 0)</f>
        <v>0</v>
      </c>
      <c r="I88" s="2">
        <f t="shared" si="299"/>
        <v>0</v>
      </c>
      <c r="J88" s="2">
        <f t="shared" si="299"/>
        <v>0</v>
      </c>
      <c r="K88" s="2">
        <f t="shared" ref="K88:M88" si="300">IF(OR(E88&lt;B88, And(EQ(B88, "Inf"), NOT(EQ(E88, "Inf")))), 1, 0)</f>
        <v>0</v>
      </c>
      <c r="L88" s="2">
        <f t="shared" si="300"/>
        <v>0</v>
      </c>
      <c r="M88" s="2">
        <f t="shared" si="300"/>
        <v>0</v>
      </c>
      <c r="N88" s="2" t="str">
        <f t="shared" ref="N88:P88" si="301">IF(EQ(H88, 1), IF(NOT(EQ(B88, 0)), E88/B88, "Inf"), "")</f>
        <v/>
      </c>
      <c r="O88" s="2" t="str">
        <f t="shared" si="301"/>
        <v/>
      </c>
      <c r="P88" s="2" t="str">
        <f t="shared" si="301"/>
        <v/>
      </c>
      <c r="R88" s="9" t="s">
        <v>8621</v>
      </c>
      <c r="S88" s="2">
        <f t="shared" ref="S88:X88" si="302">MINUS(COUNTIF(B$2:B$119, "&lt;31.62"), COUNTIF(B$2:B$119, "&lt;10"))</f>
        <v>0</v>
      </c>
      <c r="T88" s="2">
        <f t="shared" si="302"/>
        <v>3</v>
      </c>
      <c r="U88" s="2">
        <f t="shared" si="302"/>
        <v>1</v>
      </c>
      <c r="V88" s="2">
        <f t="shared" si="302"/>
        <v>1</v>
      </c>
      <c r="W88" s="2">
        <f t="shared" si="302"/>
        <v>2</v>
      </c>
      <c r="X88" s="2">
        <f t="shared" si="302"/>
        <v>3</v>
      </c>
      <c r="AC88" s="9" t="s">
        <v>8621</v>
      </c>
      <c r="AD88" s="397">
        <f t="shared" ref="AD88:AI88" si="303">S88/Sum(S$81:S$90)</f>
        <v>0</v>
      </c>
      <c r="AE88" s="397">
        <f t="shared" si="303"/>
        <v>0.02542372881</v>
      </c>
      <c r="AF88" s="397">
        <f t="shared" si="303"/>
        <v>0.008474576271</v>
      </c>
      <c r="AG88" s="397">
        <f t="shared" si="303"/>
        <v>0.008474576271</v>
      </c>
      <c r="AH88" s="397">
        <f t="shared" si="303"/>
        <v>0.01694915254</v>
      </c>
      <c r="AI88" s="397">
        <f t="shared" si="303"/>
        <v>0.02542372881</v>
      </c>
    </row>
    <row r="89">
      <c r="A89" s="391" t="s">
        <v>758</v>
      </c>
      <c r="B89" s="2" t="s">
        <v>1781</v>
      </c>
      <c r="C89" s="2" t="s">
        <v>1781</v>
      </c>
      <c r="D89" s="2" t="s">
        <v>1781</v>
      </c>
      <c r="E89" s="2" t="s">
        <v>1781</v>
      </c>
      <c r="F89" s="2" t="s">
        <v>1781</v>
      </c>
      <c r="G89" s="2" t="s">
        <v>1781</v>
      </c>
      <c r="H89" s="2">
        <f t="shared" ref="H89:J89" si="304">IF(OR(E89&gt;B89, And(EQ(E89, "Inf"), NOT(EQ(B89, "Inf")))), 1, 0)</f>
        <v>0</v>
      </c>
      <c r="I89" s="2">
        <f t="shared" si="304"/>
        <v>0</v>
      </c>
      <c r="J89" s="2">
        <f t="shared" si="304"/>
        <v>0</v>
      </c>
      <c r="K89" s="2">
        <f t="shared" ref="K89:M89" si="305">IF(OR(E89&lt;B89, And(EQ(B89, "Inf"), NOT(EQ(E89, "Inf")))), 1, 0)</f>
        <v>0</v>
      </c>
      <c r="L89" s="2">
        <f t="shared" si="305"/>
        <v>0</v>
      </c>
      <c r="M89" s="2">
        <f t="shared" si="305"/>
        <v>0</v>
      </c>
      <c r="N89" s="2" t="str">
        <f t="shared" ref="N89:P89" si="306">IF(EQ(H89, 1), IF(NOT(EQ(B89, 0)), E89/B89, "Inf"), "")</f>
        <v/>
      </c>
      <c r="O89" s="2" t="str">
        <f t="shared" si="306"/>
        <v/>
      </c>
      <c r="P89" s="2" t="str">
        <f t="shared" si="306"/>
        <v/>
      </c>
      <c r="R89" s="9" t="s">
        <v>8622</v>
      </c>
      <c r="S89" s="2">
        <f t="shared" ref="S89:X89" si="307">MINUS(COUNTIF(B$2:B$119, "&lt;100"), COUNTIF(B$2:B$119, "&lt;31.62"))</f>
        <v>0</v>
      </c>
      <c r="T89" s="2">
        <f t="shared" si="307"/>
        <v>3</v>
      </c>
      <c r="U89" s="2">
        <f t="shared" si="307"/>
        <v>1</v>
      </c>
      <c r="V89" s="2">
        <f t="shared" si="307"/>
        <v>1</v>
      </c>
      <c r="W89" s="2">
        <f t="shared" si="307"/>
        <v>0</v>
      </c>
      <c r="X89" s="2">
        <f t="shared" si="307"/>
        <v>0</v>
      </c>
      <c r="AC89" s="9" t="s">
        <v>8622</v>
      </c>
      <c r="AD89" s="397">
        <f t="shared" ref="AD89:AI89" si="308">S89/Sum(S$81:S$90)</f>
        <v>0</v>
      </c>
      <c r="AE89" s="397">
        <f t="shared" si="308"/>
        <v>0.02542372881</v>
      </c>
      <c r="AF89" s="397">
        <f t="shared" si="308"/>
        <v>0.008474576271</v>
      </c>
      <c r="AG89" s="397">
        <f t="shared" si="308"/>
        <v>0.008474576271</v>
      </c>
      <c r="AH89" s="397">
        <f t="shared" si="308"/>
        <v>0</v>
      </c>
      <c r="AI89" s="397">
        <f t="shared" si="308"/>
        <v>0</v>
      </c>
    </row>
    <row r="90">
      <c r="A90" s="52" t="s">
        <v>591</v>
      </c>
      <c r="B90" s="9">
        <v>0.0</v>
      </c>
      <c r="C90" s="9">
        <v>0.0</v>
      </c>
      <c r="D90" s="9">
        <v>0.0</v>
      </c>
      <c r="E90" s="9">
        <v>0.0</v>
      </c>
      <c r="F90" s="9">
        <v>0.0</v>
      </c>
      <c r="G90" s="9">
        <v>0.0</v>
      </c>
      <c r="H90" s="2">
        <f t="shared" ref="H90:J90" si="309">IF(OR(E90&gt;B90, And(EQ(E90, "Inf"), NOT(EQ(B90, "Inf")))), 1, 0)</f>
        <v>0</v>
      </c>
      <c r="I90" s="2">
        <f t="shared" si="309"/>
        <v>0</v>
      </c>
      <c r="J90" s="2">
        <f t="shared" si="309"/>
        <v>0</v>
      </c>
      <c r="K90" s="2">
        <f t="shared" ref="K90:M90" si="310">IF(OR(E90&lt;B90, And(EQ(B90, "Inf"), NOT(EQ(E90, "Inf")))), 1, 0)</f>
        <v>0</v>
      </c>
      <c r="L90" s="2">
        <f t="shared" si="310"/>
        <v>0</v>
      </c>
      <c r="M90" s="2">
        <f t="shared" si="310"/>
        <v>0</v>
      </c>
      <c r="N90" s="2" t="str">
        <f t="shared" ref="N90:P90" si="311">IF(EQ(H90, 1), IF(NOT(EQ(B90, 0)), E90/B90, "Inf"), "")</f>
        <v/>
      </c>
      <c r="O90" s="2" t="str">
        <f t="shared" si="311"/>
        <v/>
      </c>
      <c r="P90" s="2" t="str">
        <f t="shared" si="311"/>
        <v/>
      </c>
      <c r="R90" s="9" t="s">
        <v>8623</v>
      </c>
      <c r="S90" s="2">
        <f t="shared" ref="S90:X90" si="312">ADD(COUNTIF(B$2:B$119, "&gt;=100"), COUNTIF(B$2:B$119, "Inf"))</f>
        <v>5</v>
      </c>
      <c r="T90" s="2">
        <f t="shared" si="312"/>
        <v>5</v>
      </c>
      <c r="U90" s="2">
        <f t="shared" si="312"/>
        <v>10</v>
      </c>
      <c r="V90" s="2">
        <f t="shared" si="312"/>
        <v>16</v>
      </c>
      <c r="W90" s="2">
        <f t="shared" si="312"/>
        <v>18</v>
      </c>
      <c r="X90" s="2">
        <f t="shared" si="312"/>
        <v>19</v>
      </c>
      <c r="AC90" s="9" t="s">
        <v>8623</v>
      </c>
      <c r="AD90" s="397">
        <f t="shared" ref="AD90:AI90" si="313">S90/Sum(S$81:S$90)</f>
        <v>0.04237288136</v>
      </c>
      <c r="AE90" s="397">
        <f t="shared" si="313"/>
        <v>0.04237288136</v>
      </c>
      <c r="AF90" s="397">
        <f t="shared" si="313"/>
        <v>0.08474576271</v>
      </c>
      <c r="AG90" s="397">
        <f t="shared" si="313"/>
        <v>0.1355932203</v>
      </c>
      <c r="AH90" s="397">
        <f t="shared" si="313"/>
        <v>0.1525423729</v>
      </c>
      <c r="AI90" s="397">
        <f t="shared" si="313"/>
        <v>0.1610169492</v>
      </c>
    </row>
    <row r="91">
      <c r="A91" s="393" t="s">
        <v>1218</v>
      </c>
      <c r="B91" s="2">
        <v>0.2589254117941673</v>
      </c>
      <c r="C91" s="2">
        <v>0.5848931924611134</v>
      </c>
      <c r="D91" s="2">
        <v>0.9952623149688795</v>
      </c>
      <c r="E91" s="2">
        <v>0.2589254117941673</v>
      </c>
      <c r="F91" s="2">
        <v>0.5848931924611134</v>
      </c>
      <c r="G91" s="2">
        <v>0.9952623149688795</v>
      </c>
      <c r="H91" s="2">
        <f t="shared" ref="H91:J91" si="314">IF(OR(E91&gt;B91, And(EQ(E91, "Inf"), NOT(EQ(B91, "Inf")))), 1, 0)</f>
        <v>0</v>
      </c>
      <c r="I91" s="2">
        <f t="shared" si="314"/>
        <v>0</v>
      </c>
      <c r="J91" s="2">
        <f t="shared" si="314"/>
        <v>0</v>
      </c>
      <c r="K91" s="2">
        <f t="shared" ref="K91:M91" si="315">IF(OR(E91&lt;B91, And(EQ(B91, "Inf"), NOT(EQ(E91, "Inf")))), 1, 0)</f>
        <v>0</v>
      </c>
      <c r="L91" s="2">
        <f t="shared" si="315"/>
        <v>0</v>
      </c>
      <c r="M91" s="2">
        <f t="shared" si="315"/>
        <v>0</v>
      </c>
      <c r="N91" s="2" t="str">
        <f t="shared" ref="N91:P91" si="316">IF(EQ(H91, 1), IF(NOT(EQ(B91, 0)), E91/B91, "Inf"), "")</f>
        <v/>
      </c>
      <c r="O91" s="2" t="str">
        <f t="shared" si="316"/>
        <v/>
      </c>
      <c r="P91" s="2" t="str">
        <f t="shared" si="316"/>
        <v/>
      </c>
      <c r="AD91" s="397"/>
      <c r="AE91" s="397"/>
      <c r="AF91" s="397"/>
      <c r="AG91" s="397"/>
      <c r="AH91" s="397"/>
      <c r="AI91" s="397"/>
    </row>
    <row r="92">
      <c r="A92" s="52" t="s">
        <v>1251</v>
      </c>
      <c r="B92" s="9">
        <v>0.0</v>
      </c>
      <c r="C92" s="9">
        <v>0.0</v>
      </c>
      <c r="D92" s="9">
        <v>0.0</v>
      </c>
      <c r="E92" s="9">
        <v>0.0</v>
      </c>
      <c r="F92" s="9">
        <v>0.0</v>
      </c>
      <c r="G92" s="9">
        <v>0.0</v>
      </c>
      <c r="H92" s="2">
        <f t="shared" ref="H92:J92" si="317">IF(OR(E92&gt;B92, And(EQ(E92, "Inf"), NOT(EQ(B92, "Inf")))), 1, 0)</f>
        <v>0</v>
      </c>
      <c r="I92" s="2">
        <f t="shared" si="317"/>
        <v>0</v>
      </c>
      <c r="J92" s="2">
        <f t="shared" si="317"/>
        <v>0</v>
      </c>
      <c r="K92" s="2">
        <f t="shared" ref="K92:M92" si="318">IF(OR(E92&lt;B92, And(EQ(B92, "Inf"), NOT(EQ(E92, "Inf")))), 1, 0)</f>
        <v>0</v>
      </c>
      <c r="L92" s="2">
        <f t="shared" si="318"/>
        <v>0</v>
      </c>
      <c r="M92" s="2">
        <f t="shared" si="318"/>
        <v>0</v>
      </c>
      <c r="N92" s="2" t="str">
        <f t="shared" ref="N92:P92" si="319">IF(EQ(H92, 1), IF(NOT(EQ(B92, 0)), E92/B92, "Inf"), "")</f>
        <v/>
      </c>
      <c r="O92" s="2" t="str">
        <f t="shared" si="319"/>
        <v/>
      </c>
      <c r="P92" s="2" t="str">
        <f t="shared" si="319"/>
        <v/>
      </c>
      <c r="AD92" s="397"/>
      <c r="AE92" s="397"/>
      <c r="AF92" s="397"/>
      <c r="AG92" s="397"/>
      <c r="AH92" s="397"/>
      <c r="AI92" s="397"/>
    </row>
    <row r="93">
      <c r="A93" s="391" t="s">
        <v>659</v>
      </c>
      <c r="B93" s="2">
        <v>1.1544346900318838</v>
      </c>
      <c r="C93" s="2">
        <v>3.6415888336127784</v>
      </c>
      <c r="D93" s="2">
        <v>8.999999999999998</v>
      </c>
      <c r="E93" s="2">
        <v>0.4677992676220697</v>
      </c>
      <c r="F93" s="2">
        <v>1.1544346900318838</v>
      </c>
      <c r="G93" s="2">
        <v>2.162277660168379</v>
      </c>
      <c r="H93" s="2">
        <f t="shared" ref="H93:J93" si="320">IF(OR(E93&gt;B93, And(EQ(E93, "Inf"), NOT(EQ(B93, "Inf")))), 1, 0)</f>
        <v>0</v>
      </c>
      <c r="I93" s="2">
        <f t="shared" si="320"/>
        <v>0</v>
      </c>
      <c r="J93" s="2">
        <f t="shared" si="320"/>
        <v>0</v>
      </c>
      <c r="K93" s="2">
        <f t="shared" ref="K93:M93" si="321">IF(OR(E93&lt;B93, And(EQ(B93, "Inf"), NOT(EQ(E93, "Inf")))), 1, 0)</f>
        <v>1</v>
      </c>
      <c r="L93" s="2">
        <f t="shared" si="321"/>
        <v>1</v>
      </c>
      <c r="M93" s="2">
        <f t="shared" si="321"/>
        <v>1</v>
      </c>
      <c r="N93" s="2" t="str">
        <f t="shared" ref="N93:P93" si="322">IF(EQ(H93, 1), IF(NOT(EQ(B93, 0)), E93/B93, "Inf"), "")</f>
        <v/>
      </c>
      <c r="O93" s="2" t="str">
        <f t="shared" si="322"/>
        <v/>
      </c>
      <c r="P93" s="2" t="str">
        <f t="shared" si="322"/>
        <v/>
      </c>
    </row>
    <row r="94">
      <c r="A94" s="52" t="s">
        <v>1125</v>
      </c>
      <c r="B94" s="9">
        <v>0.0</v>
      </c>
      <c r="C94" s="9">
        <v>0.0</v>
      </c>
      <c r="D94" s="9">
        <v>0.0</v>
      </c>
      <c r="E94" s="9" t="s">
        <v>1781</v>
      </c>
      <c r="F94" s="9" t="s">
        <v>1781</v>
      </c>
      <c r="G94" s="9" t="s">
        <v>1781</v>
      </c>
      <c r="H94" s="2">
        <f t="shared" ref="H94:J94" si="323">IF(OR(E94&gt;B94, And(EQ(E94, "Inf"), NOT(EQ(B94, "Inf")))), 1, 0)</f>
        <v>1</v>
      </c>
      <c r="I94" s="2">
        <f t="shared" si="323"/>
        <v>1</v>
      </c>
      <c r="J94" s="2">
        <f t="shared" si="323"/>
        <v>1</v>
      </c>
      <c r="K94" s="2">
        <f t="shared" ref="K94:M94" si="324">IF(OR(E94&lt;B94, And(EQ(B94, "Inf"), NOT(EQ(E94, "Inf")))), 1, 0)</f>
        <v>0</v>
      </c>
      <c r="L94" s="2">
        <f t="shared" si="324"/>
        <v>0</v>
      </c>
      <c r="M94" s="2">
        <f t="shared" si="324"/>
        <v>0</v>
      </c>
      <c r="N94" s="2" t="str">
        <f t="shared" ref="N94:P94" si="325">IF(EQ(H94, 1), IF(NOT(EQ(B94, 0)), E94/B94, "Inf"), "")</f>
        <v>Inf</v>
      </c>
      <c r="O94" s="2" t="str">
        <f t="shared" si="325"/>
        <v>Inf</v>
      </c>
      <c r="P94" s="2" t="str">
        <f t="shared" si="325"/>
        <v>Inf</v>
      </c>
      <c r="R94" s="9">
        <v>0.0</v>
      </c>
      <c r="S94" s="398">
        <f t="shared" ref="S94:S103" si="329">POW(SQRT(10),R94)</f>
        <v>1</v>
      </c>
    </row>
    <row r="95">
      <c r="A95" s="52" t="s">
        <v>491</v>
      </c>
      <c r="B95" s="9">
        <v>0.0</v>
      </c>
      <c r="C95" s="9">
        <v>0.0</v>
      </c>
      <c r="D95" s="9">
        <v>0.0</v>
      </c>
      <c r="E95" s="9">
        <v>0.0</v>
      </c>
      <c r="F95" s="9">
        <v>0.0</v>
      </c>
      <c r="G95" s="9">
        <v>0.0</v>
      </c>
      <c r="H95" s="2">
        <f t="shared" ref="H95:J95" si="326">IF(OR(E95&gt;B95, And(EQ(E95, "Inf"), NOT(EQ(B95, "Inf")))), 1, 0)</f>
        <v>0</v>
      </c>
      <c r="I95" s="2">
        <f t="shared" si="326"/>
        <v>0</v>
      </c>
      <c r="J95" s="2">
        <f t="shared" si="326"/>
        <v>0</v>
      </c>
      <c r="K95" s="2">
        <f t="shared" ref="K95:M95" si="327">IF(OR(E95&lt;B95, And(EQ(B95, "Inf"), NOT(EQ(E95, "Inf")))), 1, 0)</f>
        <v>0</v>
      </c>
      <c r="L95" s="2">
        <f t="shared" si="327"/>
        <v>0</v>
      </c>
      <c r="M95" s="2">
        <f t="shared" si="327"/>
        <v>0</v>
      </c>
      <c r="N95" s="2" t="str">
        <f t="shared" ref="N95:P95" si="328">IF(EQ(H95, 1), IF(NOT(EQ(B95, 0)), E95/B95, "Inf"), "")</f>
        <v/>
      </c>
      <c r="O95" s="2" t="str">
        <f t="shared" si="328"/>
        <v/>
      </c>
      <c r="P95" s="2" t="str">
        <f t="shared" si="328"/>
        <v/>
      </c>
      <c r="R95" s="9">
        <v>1.0</v>
      </c>
      <c r="S95" s="398">
        <f t="shared" si="329"/>
        <v>3.16227766</v>
      </c>
    </row>
    <row r="96">
      <c r="A96" s="52" t="s">
        <v>1206</v>
      </c>
      <c r="B96" s="9">
        <v>0.0</v>
      </c>
      <c r="C96" s="9">
        <v>0.0</v>
      </c>
      <c r="D96" s="9">
        <v>0.0</v>
      </c>
      <c r="E96" s="9">
        <v>0.0</v>
      </c>
      <c r="F96" s="9">
        <v>0.0</v>
      </c>
      <c r="G96" s="9">
        <v>0.0</v>
      </c>
      <c r="H96" s="2">
        <f t="shared" ref="H96:J96" si="330">IF(OR(E96&gt;B96, And(EQ(E96, "Inf"), NOT(EQ(B96, "Inf")))), 1, 0)</f>
        <v>0</v>
      </c>
      <c r="I96" s="2">
        <f t="shared" si="330"/>
        <v>0</v>
      </c>
      <c r="J96" s="2">
        <f t="shared" si="330"/>
        <v>0</v>
      </c>
      <c r="K96" s="2">
        <f t="shared" ref="K96:M96" si="331">IF(OR(E96&lt;B96, And(EQ(B96, "Inf"), NOT(EQ(E96, "Inf")))), 1, 0)</f>
        <v>0</v>
      </c>
      <c r="L96" s="2">
        <f t="shared" si="331"/>
        <v>0</v>
      </c>
      <c r="M96" s="2">
        <f t="shared" si="331"/>
        <v>0</v>
      </c>
      <c r="N96" s="2" t="str">
        <f t="shared" ref="N96:P96" si="332">IF(EQ(H96, 1), IF(NOT(EQ(B96, 0)), E96/B96, "Inf"), "")</f>
        <v/>
      </c>
      <c r="O96" s="2" t="str">
        <f t="shared" si="332"/>
        <v/>
      </c>
      <c r="P96" s="2" t="str">
        <f t="shared" si="332"/>
        <v/>
      </c>
      <c r="R96" s="9">
        <v>2.0</v>
      </c>
      <c r="S96" s="398">
        <f t="shared" si="329"/>
        <v>10</v>
      </c>
    </row>
    <row r="97">
      <c r="A97" s="52" t="s">
        <v>1130</v>
      </c>
      <c r="B97" s="9">
        <v>0.0</v>
      </c>
      <c r="C97" s="9">
        <v>0.0</v>
      </c>
      <c r="D97" s="9">
        <v>0.0</v>
      </c>
      <c r="E97" s="9">
        <v>0.0</v>
      </c>
      <c r="F97" s="9">
        <v>0.0</v>
      </c>
      <c r="G97" s="9">
        <v>0.0</v>
      </c>
      <c r="H97" s="2">
        <f t="shared" ref="H97:J97" si="333">IF(OR(E97&gt;B97, And(EQ(E97, "Inf"), NOT(EQ(B97, "Inf")))), 1, 0)</f>
        <v>0</v>
      </c>
      <c r="I97" s="2">
        <f t="shared" si="333"/>
        <v>0</v>
      </c>
      <c r="J97" s="2">
        <f t="shared" si="333"/>
        <v>0</v>
      </c>
      <c r="K97" s="2">
        <f t="shared" ref="K97:M97" si="334">IF(OR(E97&lt;B97, And(EQ(B97, "Inf"), NOT(EQ(E97, "Inf")))), 1, 0)</f>
        <v>0</v>
      </c>
      <c r="L97" s="2">
        <f t="shared" si="334"/>
        <v>0</v>
      </c>
      <c r="M97" s="2">
        <f t="shared" si="334"/>
        <v>0</v>
      </c>
      <c r="N97" s="2" t="str">
        <f t="shared" ref="N97:P97" si="335">IF(EQ(H97, 1), IF(NOT(EQ(B97, 0)), E97/B97, "Inf"), "")</f>
        <v/>
      </c>
      <c r="O97" s="2" t="str">
        <f t="shared" si="335"/>
        <v/>
      </c>
      <c r="P97" s="2" t="str">
        <f t="shared" si="335"/>
        <v/>
      </c>
      <c r="R97" s="9">
        <v>3.0</v>
      </c>
      <c r="S97" s="398">
        <f t="shared" si="329"/>
        <v>31.6227766</v>
      </c>
    </row>
    <row r="98">
      <c r="A98" s="52" t="s">
        <v>1136</v>
      </c>
      <c r="B98" s="9">
        <v>0.0</v>
      </c>
      <c r="C98" s="9">
        <v>0.0</v>
      </c>
      <c r="D98" s="9">
        <v>0.0</v>
      </c>
      <c r="E98" s="9">
        <v>0.0</v>
      </c>
      <c r="F98" s="9">
        <v>0.0</v>
      </c>
      <c r="G98" s="9">
        <v>0.0</v>
      </c>
      <c r="H98" s="2">
        <f t="shared" ref="H98:J98" si="336">IF(OR(E98&gt;B98, And(EQ(E98, "Inf"), NOT(EQ(B98, "Inf")))), 1, 0)</f>
        <v>0</v>
      </c>
      <c r="I98" s="2">
        <f t="shared" si="336"/>
        <v>0</v>
      </c>
      <c r="J98" s="2">
        <f t="shared" si="336"/>
        <v>0</v>
      </c>
      <c r="K98" s="2">
        <f t="shared" ref="K98:M98" si="337">IF(OR(E98&lt;B98, And(EQ(B98, "Inf"), NOT(EQ(E98, "Inf")))), 1, 0)</f>
        <v>0</v>
      </c>
      <c r="L98" s="2">
        <f t="shared" si="337"/>
        <v>0</v>
      </c>
      <c r="M98" s="2">
        <f t="shared" si="337"/>
        <v>0</v>
      </c>
      <c r="N98" s="2" t="str">
        <f t="shared" ref="N98:P98" si="338">IF(EQ(H98, 1), IF(NOT(EQ(B98, 0)), E98/B98, "Inf"), "")</f>
        <v/>
      </c>
      <c r="O98" s="2" t="str">
        <f t="shared" si="338"/>
        <v/>
      </c>
      <c r="P98" s="2" t="str">
        <f t="shared" si="338"/>
        <v/>
      </c>
      <c r="R98" s="9">
        <v>4.0</v>
      </c>
      <c r="S98" s="398">
        <f t="shared" si="329"/>
        <v>100</v>
      </c>
    </row>
    <row r="99">
      <c r="A99" s="52" t="s">
        <v>1134</v>
      </c>
      <c r="B99" s="9">
        <v>0.0</v>
      </c>
      <c r="C99" s="9">
        <v>0.0</v>
      </c>
      <c r="D99" s="9">
        <v>0.0</v>
      </c>
      <c r="E99" s="9">
        <v>0.0</v>
      </c>
      <c r="F99" s="9">
        <v>0.0</v>
      </c>
      <c r="G99" s="9">
        <v>0.0</v>
      </c>
      <c r="H99" s="2">
        <f t="shared" ref="H99:J99" si="339">IF(OR(E99&gt;B99, And(EQ(E99, "Inf"), NOT(EQ(B99, "Inf")))), 1, 0)</f>
        <v>0</v>
      </c>
      <c r="I99" s="2">
        <f t="shared" si="339"/>
        <v>0</v>
      </c>
      <c r="J99" s="2">
        <f t="shared" si="339"/>
        <v>0</v>
      </c>
      <c r="K99" s="2">
        <f t="shared" ref="K99:M99" si="340">IF(OR(E99&lt;B99, And(EQ(B99, "Inf"), NOT(EQ(E99, "Inf")))), 1, 0)</f>
        <v>0</v>
      </c>
      <c r="L99" s="2">
        <f t="shared" si="340"/>
        <v>0</v>
      </c>
      <c r="M99" s="2">
        <f t="shared" si="340"/>
        <v>0</v>
      </c>
      <c r="N99" s="2" t="str">
        <f t="shared" ref="N99:P99" si="341">IF(EQ(H99, 1), IF(NOT(EQ(B99, 0)), E99/B99, "Inf"), "")</f>
        <v/>
      </c>
      <c r="O99" s="2" t="str">
        <f t="shared" si="341"/>
        <v/>
      </c>
      <c r="P99" s="2" t="str">
        <f t="shared" si="341"/>
        <v/>
      </c>
      <c r="R99" s="9">
        <v>5.0</v>
      </c>
      <c r="S99" s="398">
        <f t="shared" si="329"/>
        <v>316.227766</v>
      </c>
    </row>
    <row r="100">
      <c r="A100" s="52" t="s">
        <v>1138</v>
      </c>
      <c r="B100" s="9">
        <v>0.0</v>
      </c>
      <c r="C100" s="9">
        <v>0.0</v>
      </c>
      <c r="D100" s="9">
        <v>0.0</v>
      </c>
      <c r="E100" s="9">
        <v>0.0</v>
      </c>
      <c r="F100" s="9">
        <v>0.0</v>
      </c>
      <c r="G100" s="9">
        <v>0.0</v>
      </c>
      <c r="H100" s="2">
        <f t="shared" ref="H100:J100" si="342">IF(OR(E100&gt;B100, And(EQ(E100, "Inf"), NOT(EQ(B100, "Inf")))), 1, 0)</f>
        <v>0</v>
      </c>
      <c r="I100" s="2">
        <f t="shared" si="342"/>
        <v>0</v>
      </c>
      <c r="J100" s="2">
        <f t="shared" si="342"/>
        <v>0</v>
      </c>
      <c r="K100" s="2">
        <f t="shared" ref="K100:M100" si="343">IF(OR(E100&lt;B100, And(EQ(B100, "Inf"), NOT(EQ(E100, "Inf")))), 1, 0)</f>
        <v>0</v>
      </c>
      <c r="L100" s="2">
        <f t="shared" si="343"/>
        <v>0</v>
      </c>
      <c r="M100" s="2">
        <f t="shared" si="343"/>
        <v>0</v>
      </c>
      <c r="N100" s="2" t="str">
        <f t="shared" ref="N100:P100" si="344">IF(EQ(H100, 1), IF(NOT(EQ(B100, 0)), E100/B100, "Inf"), "")</f>
        <v/>
      </c>
      <c r="O100" s="2" t="str">
        <f t="shared" si="344"/>
        <v/>
      </c>
      <c r="P100" s="2" t="str">
        <f t="shared" si="344"/>
        <v/>
      </c>
      <c r="R100" s="9">
        <v>6.0</v>
      </c>
      <c r="S100" s="398">
        <f t="shared" si="329"/>
        <v>1000</v>
      </c>
    </row>
    <row r="101">
      <c r="A101" s="391" t="s">
        <v>424</v>
      </c>
      <c r="B101" s="2">
        <v>2.9810717055349727</v>
      </c>
      <c r="C101" s="2">
        <v>14.848931924611136</v>
      </c>
      <c r="D101" s="2">
        <v>62.09573444801934</v>
      </c>
      <c r="E101" s="2">
        <v>0.24517967744717906</v>
      </c>
      <c r="F101" s="2">
        <v>0.34189538683756915</v>
      </c>
      <c r="G101" s="2">
        <v>0.3998638745331764</v>
      </c>
      <c r="H101" s="2">
        <f t="shared" ref="H101:J101" si="345">IF(OR(E101&gt;B101, And(EQ(E101, "Inf"), NOT(EQ(B101, "Inf")))), 1, 0)</f>
        <v>0</v>
      </c>
      <c r="I101" s="2">
        <f t="shared" si="345"/>
        <v>0</v>
      </c>
      <c r="J101" s="2">
        <f t="shared" si="345"/>
        <v>0</v>
      </c>
      <c r="K101" s="2">
        <f t="shared" ref="K101:M101" si="346">IF(OR(E101&lt;B101, And(EQ(B101, "Inf"), NOT(EQ(E101, "Inf")))), 1, 0)</f>
        <v>1</v>
      </c>
      <c r="L101" s="2">
        <f t="shared" si="346"/>
        <v>1</v>
      </c>
      <c r="M101" s="2">
        <f t="shared" si="346"/>
        <v>1</v>
      </c>
      <c r="N101" s="2" t="str">
        <f t="shared" ref="N101:P101" si="347">IF(EQ(H101, 1), IF(NOT(EQ(B101, 0)), E101/B101, "Inf"), "")</f>
        <v/>
      </c>
      <c r="O101" s="2" t="str">
        <f t="shared" si="347"/>
        <v/>
      </c>
      <c r="P101" s="2" t="str">
        <f t="shared" si="347"/>
        <v/>
      </c>
      <c r="R101" s="9">
        <v>7.0</v>
      </c>
      <c r="S101" s="398">
        <f t="shared" si="329"/>
        <v>3162.27766</v>
      </c>
    </row>
    <row r="102">
      <c r="A102" s="399" t="s">
        <v>1112</v>
      </c>
      <c r="B102" s="2">
        <v>5.694329500821695</v>
      </c>
      <c r="C102" s="2">
        <v>5.694329500821695</v>
      </c>
      <c r="D102" s="2">
        <v>5.694329500821695</v>
      </c>
      <c r="E102" s="2">
        <v>0.5949767557740975</v>
      </c>
      <c r="F102" s="2">
        <v>1.0036480243945514</v>
      </c>
      <c r="G102" s="2">
        <v>1.2913455415414061</v>
      </c>
      <c r="H102" s="2">
        <f t="shared" ref="H102:J102" si="348">IF(OR(E102&gt;B102, And(EQ(E102, "Inf"), NOT(EQ(B102, "Inf")))), 1, 0)</f>
        <v>0</v>
      </c>
      <c r="I102" s="2">
        <f t="shared" si="348"/>
        <v>0</v>
      </c>
      <c r="J102" s="2">
        <f t="shared" si="348"/>
        <v>0</v>
      </c>
      <c r="K102" s="2">
        <f t="shared" ref="K102:M102" si="349">IF(OR(E102&lt;B102, And(EQ(B102, "Inf"), NOT(EQ(E102, "Inf")))), 1, 0)</f>
        <v>1</v>
      </c>
      <c r="L102" s="2">
        <f t="shared" si="349"/>
        <v>1</v>
      </c>
      <c r="M102" s="2">
        <f t="shared" si="349"/>
        <v>1</v>
      </c>
      <c r="N102" s="2" t="str">
        <f t="shared" ref="N102:P102" si="350">IF(EQ(H102, 1), IF(NOT(EQ(B102, 0)), E102/B102, "Inf"), "")</f>
        <v/>
      </c>
      <c r="O102" s="2" t="str">
        <f t="shared" si="350"/>
        <v/>
      </c>
      <c r="P102" s="2" t="str">
        <f t="shared" si="350"/>
        <v/>
      </c>
      <c r="R102" s="9">
        <v>8.0</v>
      </c>
      <c r="S102" s="398">
        <f t="shared" si="329"/>
        <v>10000</v>
      </c>
    </row>
    <row r="103">
      <c r="A103" s="391" t="s">
        <v>308</v>
      </c>
      <c r="B103" s="2">
        <v>0.2599210498948732</v>
      </c>
      <c r="C103" s="2">
        <v>0.2599210498948732</v>
      </c>
      <c r="D103" s="2">
        <v>0.2599210498948732</v>
      </c>
      <c r="E103" s="2">
        <f>AVERAGE(Sheet1!BH263,Sheet1!BH266,Sheet1!BH268)</f>
        <v>11.00519215</v>
      </c>
      <c r="F103" s="2">
        <f>AVERAGE(Sheet1!BK263,Sheet1!BK266,Sheet1!BK268)</f>
        <v>108.5313635</v>
      </c>
      <c r="G103" s="2">
        <f>AVERAGE(Sheet1!BN263,Sheet1!BN266,Sheet1!BN268)</f>
        <v>1075.866885</v>
      </c>
      <c r="H103" s="2">
        <f t="shared" ref="H103:J103" si="351">IF(OR(E103&gt;B103, And(EQ(E103, "Inf"), NOT(EQ(B103, "Inf")))), 1, 0)</f>
        <v>1</v>
      </c>
      <c r="I103" s="2">
        <f t="shared" si="351"/>
        <v>1</v>
      </c>
      <c r="J103" s="2">
        <f t="shared" si="351"/>
        <v>1</v>
      </c>
      <c r="K103" s="2">
        <f t="shared" ref="K103:M103" si="352">IF(OR(E103&lt;B103, And(EQ(B103, "Inf"), NOT(EQ(E103, "Inf")))), 1, 0)</f>
        <v>0</v>
      </c>
      <c r="L103" s="2">
        <f t="shared" si="352"/>
        <v>0</v>
      </c>
      <c r="M103" s="2">
        <f t="shared" si="352"/>
        <v>0</v>
      </c>
      <c r="N103" s="2">
        <f t="shared" ref="N103:P103" si="353">IF(EQ(H103, 1), IF(NOT(EQ(B103, 0)), E103/B103, "Inf"), "")</f>
        <v>42.34051898</v>
      </c>
      <c r="O103" s="2">
        <f t="shared" si="353"/>
        <v>417.5551134</v>
      </c>
      <c r="P103" s="2">
        <f t="shared" si="353"/>
        <v>4139.206446</v>
      </c>
      <c r="R103" s="9">
        <v>9.0</v>
      </c>
      <c r="S103" s="398">
        <f t="shared" si="329"/>
        <v>31622.7766</v>
      </c>
    </row>
    <row r="104">
      <c r="A104" s="52" t="s">
        <v>1210</v>
      </c>
      <c r="B104" s="9">
        <v>0.0</v>
      </c>
      <c r="C104" s="9">
        <v>0.0</v>
      </c>
      <c r="D104" s="9">
        <v>0.0</v>
      </c>
      <c r="E104" s="9">
        <v>0.0</v>
      </c>
      <c r="F104" s="9">
        <v>0.0</v>
      </c>
      <c r="G104" s="9">
        <v>0.0</v>
      </c>
      <c r="H104" s="2">
        <f t="shared" ref="H104:J104" si="354">IF(OR(E104&gt;B104, And(EQ(E104, "Inf"), NOT(EQ(B104, "Inf")))), 1, 0)</f>
        <v>0</v>
      </c>
      <c r="I104" s="2">
        <f t="shared" si="354"/>
        <v>0</v>
      </c>
      <c r="J104" s="2">
        <f t="shared" si="354"/>
        <v>0</v>
      </c>
      <c r="K104" s="2">
        <f t="shared" ref="K104:M104" si="355">IF(OR(E104&lt;B104, And(EQ(B104, "Inf"), NOT(EQ(E104, "Inf")))), 1, 0)</f>
        <v>0</v>
      </c>
      <c r="L104" s="2">
        <f t="shared" si="355"/>
        <v>0</v>
      </c>
      <c r="M104" s="2">
        <f t="shared" si="355"/>
        <v>0</v>
      </c>
      <c r="N104" s="2" t="str">
        <f t="shared" ref="N104:P104" si="356">IF(EQ(H104, 1), IF(NOT(EQ(B104, 0)), E104/B104, "Inf"), "")</f>
        <v/>
      </c>
      <c r="O104" s="2" t="str">
        <f t="shared" si="356"/>
        <v/>
      </c>
      <c r="P104" s="2" t="str">
        <f t="shared" si="356"/>
        <v/>
      </c>
    </row>
    <row r="105">
      <c r="A105" s="52" t="s">
        <v>18</v>
      </c>
      <c r="B105" s="9">
        <v>0.0</v>
      </c>
      <c r="C105" s="9">
        <v>0.0</v>
      </c>
      <c r="D105" s="9">
        <v>0.0</v>
      </c>
      <c r="E105" s="9">
        <v>999.0</v>
      </c>
      <c r="F105" s="9">
        <v>999999.0</v>
      </c>
      <c r="G105" s="9">
        <v>9.99999999E8</v>
      </c>
      <c r="H105" s="2">
        <f t="shared" ref="H105:J105" si="357">IF(OR(E105&gt;B105, And(EQ(E105, "Inf"), NOT(EQ(B105, "Inf")))), 1, 0)</f>
        <v>1</v>
      </c>
      <c r="I105" s="2">
        <f t="shared" si="357"/>
        <v>1</v>
      </c>
      <c r="J105" s="2">
        <f t="shared" si="357"/>
        <v>1</v>
      </c>
      <c r="K105" s="2">
        <f t="shared" ref="K105:M105" si="358">IF(OR(E105&lt;B105, And(EQ(B105, "Inf"), NOT(EQ(E105, "Inf")))), 1, 0)</f>
        <v>0</v>
      </c>
      <c r="L105" s="2">
        <f t="shared" si="358"/>
        <v>0</v>
      </c>
      <c r="M105" s="2">
        <f t="shared" si="358"/>
        <v>0</v>
      </c>
      <c r="N105" s="2" t="str">
        <f t="shared" ref="N105:P105" si="359">IF(EQ(H105, 1), IF(NOT(EQ(B105, 0)), E105/B105, "Inf"), "")</f>
        <v>Inf</v>
      </c>
      <c r="O105" s="2" t="str">
        <f t="shared" si="359"/>
        <v>Inf</v>
      </c>
      <c r="P105" s="2" t="str">
        <f t="shared" si="359"/>
        <v>Inf</v>
      </c>
    </row>
    <row r="106">
      <c r="A106" s="52" t="s">
        <v>861</v>
      </c>
      <c r="B106" s="9">
        <v>0.0</v>
      </c>
      <c r="C106" s="9">
        <v>0.0</v>
      </c>
      <c r="D106" s="9">
        <v>0.0</v>
      </c>
      <c r="E106" s="9">
        <v>0.0</v>
      </c>
      <c r="F106" s="9">
        <v>0.0</v>
      </c>
      <c r="G106" s="9">
        <v>0.0</v>
      </c>
      <c r="H106" s="2">
        <f t="shared" ref="H106:J106" si="360">IF(OR(E106&gt;B106, And(EQ(E106, "Inf"), NOT(EQ(B106, "Inf")))), 1, 0)</f>
        <v>0</v>
      </c>
      <c r="I106" s="2">
        <f t="shared" si="360"/>
        <v>0</v>
      </c>
      <c r="J106" s="2">
        <f t="shared" si="360"/>
        <v>0</v>
      </c>
      <c r="K106" s="2">
        <f t="shared" ref="K106:M106" si="361">IF(OR(E106&lt;B106, And(EQ(B106, "Inf"), NOT(EQ(E106, "Inf")))), 1, 0)</f>
        <v>0</v>
      </c>
      <c r="L106" s="2">
        <f t="shared" si="361"/>
        <v>0</v>
      </c>
      <c r="M106" s="2">
        <f t="shared" si="361"/>
        <v>0</v>
      </c>
      <c r="N106" s="2" t="str">
        <f t="shared" ref="N106:P106" si="362">IF(EQ(H106, 1), IF(NOT(EQ(B106, 0)), E106/B106, "Inf"), "")</f>
        <v/>
      </c>
      <c r="O106" s="2" t="str">
        <f t="shared" si="362"/>
        <v/>
      </c>
      <c r="P106" s="2" t="str">
        <f t="shared" si="362"/>
        <v/>
      </c>
    </row>
    <row r="107">
      <c r="A107" s="52" t="s">
        <v>412</v>
      </c>
      <c r="B107" s="9">
        <v>0.0</v>
      </c>
      <c r="C107" s="9">
        <v>0.0</v>
      </c>
      <c r="D107" s="9">
        <v>0.0</v>
      </c>
      <c r="E107" s="10">
        <v>0.05665744312775822</v>
      </c>
      <c r="F107" s="10">
        <v>0.15648146495694482</v>
      </c>
      <c r="G107" s="10">
        <v>0.26502749451208096</v>
      </c>
      <c r="H107" s="2">
        <f t="shared" ref="H107:J107" si="363">IF(OR(E107&gt;B107, And(EQ(E107, "Inf"), NOT(EQ(B107, "Inf")))), 1, 0)</f>
        <v>1</v>
      </c>
      <c r="I107" s="2">
        <f t="shared" si="363"/>
        <v>1</v>
      </c>
      <c r="J107" s="2">
        <f t="shared" si="363"/>
        <v>1</v>
      </c>
      <c r="K107" s="2">
        <f t="shared" ref="K107:M107" si="364">IF(OR(E107&lt;B107, And(EQ(B107, "Inf"), NOT(EQ(E107, "Inf")))), 1, 0)</f>
        <v>0</v>
      </c>
      <c r="L107" s="2">
        <f t="shared" si="364"/>
        <v>0</v>
      </c>
      <c r="M107" s="2">
        <f t="shared" si="364"/>
        <v>0</v>
      </c>
      <c r="N107" s="2" t="str">
        <f t="shared" ref="N107:P107" si="365">IF(EQ(H107, 1), IF(NOT(EQ(B107, 0)), E107/B107, "Inf"), "")</f>
        <v>Inf</v>
      </c>
      <c r="O107" s="2" t="str">
        <f t="shared" si="365"/>
        <v>Inf</v>
      </c>
      <c r="P107" s="2" t="str">
        <f t="shared" si="365"/>
        <v>Inf</v>
      </c>
    </row>
    <row r="108">
      <c r="A108" s="391" t="s">
        <v>241</v>
      </c>
      <c r="B108" s="2">
        <v>999.0</v>
      </c>
      <c r="C108" s="2">
        <v>999999.0</v>
      </c>
      <c r="D108" s="2">
        <v>9.99999999E8</v>
      </c>
      <c r="E108" s="2">
        <v>41.530715581628606</v>
      </c>
      <c r="F108" s="2">
        <v>21382.122156975536</v>
      </c>
      <c r="G108" s="2">
        <v>1.4281764964889659E7</v>
      </c>
      <c r="H108" s="2">
        <f t="shared" ref="H108:J108" si="366">IF(OR(E108&gt;B108, And(EQ(E108, "Inf"), NOT(EQ(B108, "Inf")))), 1, 0)</f>
        <v>0</v>
      </c>
      <c r="I108" s="2">
        <f t="shared" si="366"/>
        <v>0</v>
      </c>
      <c r="J108" s="2">
        <f t="shared" si="366"/>
        <v>0</v>
      </c>
      <c r="K108" s="2">
        <f t="shared" ref="K108:M108" si="367">IF(OR(E108&lt;B108, And(EQ(B108, "Inf"), NOT(EQ(E108, "Inf")))), 1, 0)</f>
        <v>1</v>
      </c>
      <c r="L108" s="2">
        <f t="shared" si="367"/>
        <v>1</v>
      </c>
      <c r="M108" s="2">
        <f t="shared" si="367"/>
        <v>1</v>
      </c>
      <c r="N108" s="2" t="str">
        <f t="shared" ref="N108:P108" si="368">IF(EQ(H108, 1), IF(NOT(EQ(B108, 0)), E108/B108, "Inf"), "")</f>
        <v/>
      </c>
      <c r="O108" s="2" t="str">
        <f t="shared" si="368"/>
        <v/>
      </c>
      <c r="P108" s="2" t="str">
        <f t="shared" si="368"/>
        <v/>
      </c>
    </row>
    <row r="109">
      <c r="A109" s="52" t="s">
        <v>1187</v>
      </c>
      <c r="B109" s="9">
        <v>0.0</v>
      </c>
      <c r="C109" s="9">
        <v>0.0</v>
      </c>
      <c r="D109" s="9">
        <v>0.0</v>
      </c>
      <c r="E109" s="9">
        <v>0.0</v>
      </c>
      <c r="F109" s="9">
        <v>0.0</v>
      </c>
      <c r="G109" s="9">
        <v>0.0</v>
      </c>
      <c r="H109" s="2">
        <f t="shared" ref="H109:J109" si="369">IF(OR(E109&gt;B109, And(EQ(E109, "Inf"), NOT(EQ(B109, "Inf")))), 1, 0)</f>
        <v>0</v>
      </c>
      <c r="I109" s="2">
        <f t="shared" si="369"/>
        <v>0</v>
      </c>
      <c r="J109" s="2">
        <f t="shared" si="369"/>
        <v>0</v>
      </c>
      <c r="K109" s="2">
        <f t="shared" ref="K109:M109" si="370">IF(OR(E109&lt;B109, And(EQ(B109, "Inf"), NOT(EQ(E109, "Inf")))), 1, 0)</f>
        <v>0</v>
      </c>
      <c r="L109" s="2">
        <f t="shared" si="370"/>
        <v>0</v>
      </c>
      <c r="M109" s="2">
        <f t="shared" si="370"/>
        <v>0</v>
      </c>
      <c r="N109" s="2" t="str">
        <f t="shared" ref="N109:P109" si="371">IF(EQ(H109, 1), IF(NOT(EQ(B109, 0)), E109/B109, "Inf"), "")</f>
        <v/>
      </c>
      <c r="O109" s="2" t="str">
        <f t="shared" si="371"/>
        <v/>
      </c>
      <c r="P109" s="2" t="str">
        <f t="shared" si="371"/>
        <v/>
      </c>
    </row>
    <row r="110">
      <c r="A110" s="52" t="s">
        <v>1002</v>
      </c>
      <c r="B110" s="9">
        <v>0.0</v>
      </c>
      <c r="C110" s="9">
        <v>0.0</v>
      </c>
      <c r="D110" s="9">
        <v>0.0</v>
      </c>
      <c r="E110" s="9">
        <v>0.0</v>
      </c>
      <c r="F110" s="9">
        <v>0.0</v>
      </c>
      <c r="G110" s="9">
        <v>0.0</v>
      </c>
      <c r="H110" s="2">
        <f t="shared" ref="H110:J110" si="372">IF(OR(E110&gt;B110, And(EQ(E110, "Inf"), NOT(EQ(B110, "Inf")))), 1, 0)</f>
        <v>0</v>
      </c>
      <c r="I110" s="2">
        <f t="shared" si="372"/>
        <v>0</v>
      </c>
      <c r="J110" s="2">
        <f t="shared" si="372"/>
        <v>0</v>
      </c>
      <c r="K110" s="2">
        <f t="shared" ref="K110:M110" si="373">IF(OR(E110&lt;B110, And(EQ(B110, "Inf"), NOT(EQ(E110, "Inf")))), 1, 0)</f>
        <v>0</v>
      </c>
      <c r="L110" s="2">
        <f t="shared" si="373"/>
        <v>0</v>
      </c>
      <c r="M110" s="2">
        <f t="shared" si="373"/>
        <v>0</v>
      </c>
      <c r="N110" s="2" t="str">
        <f t="shared" ref="N110:P110" si="374">IF(EQ(H110, 1), IF(NOT(EQ(B110, 0)), E110/B110, "Inf"), "")</f>
        <v/>
      </c>
      <c r="O110" s="2" t="str">
        <f t="shared" si="374"/>
        <v/>
      </c>
      <c r="P110" s="2" t="str">
        <f t="shared" si="374"/>
        <v/>
      </c>
    </row>
    <row r="111">
      <c r="A111" s="391" t="s">
        <v>775</v>
      </c>
      <c r="B111" s="2">
        <v>0.5399265260594919</v>
      </c>
      <c r="C111" s="2">
        <v>1.371373705661655</v>
      </c>
      <c r="D111" s="2">
        <v>2.651741272548377</v>
      </c>
      <c r="E111" s="9" t="s">
        <v>1781</v>
      </c>
      <c r="F111" s="9" t="s">
        <v>1781</v>
      </c>
      <c r="G111" s="9" t="s">
        <v>1781</v>
      </c>
      <c r="H111" s="2">
        <f t="shared" ref="H111:J111" si="375">IF(OR(E111&gt;B111, And(EQ(E111, "Inf"), NOT(EQ(B111, "Inf")))), 1, 0)</f>
        <v>1</v>
      </c>
      <c r="I111" s="2">
        <f t="shared" si="375"/>
        <v>1</v>
      </c>
      <c r="J111" s="2">
        <f t="shared" si="375"/>
        <v>1</v>
      </c>
      <c r="K111" s="2">
        <f t="shared" ref="K111:M111" si="376">IF(OR(E111&lt;B111, And(EQ(B111, "Inf"), NOT(EQ(E111, "Inf")))), 1, 0)</f>
        <v>0</v>
      </c>
      <c r="L111" s="2">
        <f t="shared" si="376"/>
        <v>0</v>
      </c>
      <c r="M111" s="2">
        <f t="shared" si="376"/>
        <v>0</v>
      </c>
      <c r="N111" s="2" t="str">
        <f t="shared" ref="N111:P111" si="377">IF(EQ(H111, 1), IF(NOT(EQ(B111, 0)), E111/B111, "Inf"), "")</f>
        <v>#VALUE!</v>
      </c>
      <c r="O111" s="2" t="str">
        <f t="shared" si="377"/>
        <v>#VALUE!</v>
      </c>
      <c r="P111" s="2" t="str">
        <f t="shared" si="377"/>
        <v>#VALUE!</v>
      </c>
    </row>
    <row r="112">
      <c r="A112" s="391" t="s">
        <v>743</v>
      </c>
      <c r="B112" s="2" t="s">
        <v>1781</v>
      </c>
      <c r="C112" s="2" t="s">
        <v>1781</v>
      </c>
      <c r="D112" s="2" t="s">
        <v>1781</v>
      </c>
      <c r="E112" s="9">
        <v>0.0</v>
      </c>
      <c r="F112" s="9">
        <v>0.0</v>
      </c>
      <c r="G112" s="9">
        <v>0.0</v>
      </c>
      <c r="H112" s="2">
        <f t="shared" ref="H112:J112" si="378">IF(OR(E112&gt;B112, And(EQ(E112, "Inf"), NOT(EQ(B112, "Inf")))), 1, 0)</f>
        <v>0</v>
      </c>
      <c r="I112" s="2">
        <f t="shared" si="378"/>
        <v>0</v>
      </c>
      <c r="J112" s="2">
        <f t="shared" si="378"/>
        <v>0</v>
      </c>
      <c r="K112" s="2">
        <f t="shared" ref="K112:M112" si="379">IF(OR(E112&lt;B112, And(EQ(B112, "Inf"), NOT(EQ(E112, "Inf")))), 1, 0)</f>
        <v>1</v>
      </c>
      <c r="L112" s="2">
        <f t="shared" si="379"/>
        <v>1</v>
      </c>
      <c r="M112" s="2">
        <f t="shared" si="379"/>
        <v>1</v>
      </c>
      <c r="N112" s="2" t="str">
        <f t="shared" ref="N112:P112" si="380">IF(EQ(H112, 1), IF(NOT(EQ(B112, 0)), E112/B112, "Inf"), "")</f>
        <v/>
      </c>
      <c r="O112" s="2" t="str">
        <f t="shared" si="380"/>
        <v/>
      </c>
      <c r="P112" s="2" t="str">
        <f t="shared" si="380"/>
        <v/>
      </c>
    </row>
    <row r="113">
      <c r="A113" s="52" t="s">
        <v>818</v>
      </c>
      <c r="B113" s="9">
        <v>0.0</v>
      </c>
      <c r="C113" s="9">
        <v>0.0</v>
      </c>
      <c r="D113" s="9">
        <v>0.0</v>
      </c>
      <c r="E113" s="9">
        <v>0.0</v>
      </c>
      <c r="F113" s="9">
        <v>0.0</v>
      </c>
      <c r="G113" s="9">
        <v>0.0</v>
      </c>
      <c r="H113" s="2">
        <f t="shared" ref="H113:J113" si="381">IF(OR(E113&gt;B113, And(EQ(E113, "Inf"), NOT(EQ(B113, "Inf")))), 1, 0)</f>
        <v>0</v>
      </c>
      <c r="I113" s="2">
        <f t="shared" si="381"/>
        <v>0</v>
      </c>
      <c r="J113" s="2">
        <f t="shared" si="381"/>
        <v>0</v>
      </c>
      <c r="K113" s="2">
        <f t="shared" ref="K113:M113" si="382">IF(OR(E113&lt;B113, And(EQ(B113, "Inf"), NOT(EQ(E113, "Inf")))), 1, 0)</f>
        <v>0</v>
      </c>
      <c r="L113" s="2">
        <f t="shared" si="382"/>
        <v>0</v>
      </c>
      <c r="M113" s="2">
        <f t="shared" si="382"/>
        <v>0</v>
      </c>
      <c r="N113" s="2" t="str">
        <f t="shared" ref="N113:P113" si="383">IF(EQ(H113, 1), IF(NOT(EQ(B113, 0)), E113/B113, "Inf"), "")</f>
        <v/>
      </c>
      <c r="O113" s="2" t="str">
        <f t="shared" si="383"/>
        <v/>
      </c>
      <c r="P113" s="2" t="str">
        <f t="shared" si="383"/>
        <v/>
      </c>
    </row>
    <row r="114">
      <c r="A114" s="52" t="s">
        <v>682</v>
      </c>
      <c r="B114" s="9">
        <v>0.0</v>
      </c>
      <c r="C114" s="9">
        <v>0.0</v>
      </c>
      <c r="D114" s="9">
        <v>0.0</v>
      </c>
      <c r="E114" s="9">
        <v>0.0</v>
      </c>
      <c r="F114" s="9">
        <v>0.0</v>
      </c>
      <c r="G114" s="9">
        <v>0.0</v>
      </c>
      <c r="H114" s="2">
        <f t="shared" ref="H114:J114" si="384">IF(OR(E114&gt;B114, And(EQ(E114, "Inf"), NOT(EQ(B114, "Inf")))), 1, 0)</f>
        <v>0</v>
      </c>
      <c r="I114" s="2">
        <f t="shared" si="384"/>
        <v>0</v>
      </c>
      <c r="J114" s="2">
        <f t="shared" si="384"/>
        <v>0</v>
      </c>
      <c r="K114" s="2">
        <f t="shared" ref="K114:M114" si="385">IF(OR(E114&lt;B114, And(EQ(B114, "Inf"), NOT(EQ(E114, "Inf")))), 1, 0)</f>
        <v>0</v>
      </c>
      <c r="L114" s="2">
        <f t="shared" si="385"/>
        <v>0</v>
      </c>
      <c r="M114" s="2">
        <f t="shared" si="385"/>
        <v>0</v>
      </c>
      <c r="N114" s="2" t="str">
        <f t="shared" ref="N114:P114" si="386">IF(EQ(H114, 1), IF(NOT(EQ(B114, 0)), E114/B114, "Inf"), "")</f>
        <v/>
      </c>
      <c r="O114" s="2" t="str">
        <f t="shared" si="386"/>
        <v/>
      </c>
      <c r="P114" s="2" t="str">
        <f t="shared" si="386"/>
        <v/>
      </c>
    </row>
    <row r="115">
      <c r="A115" s="52" t="s">
        <v>1183</v>
      </c>
      <c r="B115" s="9">
        <v>0.0</v>
      </c>
      <c r="C115" s="9">
        <v>0.0</v>
      </c>
      <c r="D115" s="9">
        <v>0.0</v>
      </c>
      <c r="E115" s="9">
        <v>0.0</v>
      </c>
      <c r="F115" s="9">
        <v>0.0</v>
      </c>
      <c r="G115" s="9">
        <v>0.0</v>
      </c>
      <c r="H115" s="2">
        <f t="shared" ref="H115:J115" si="387">IF(OR(E115&gt;B115, And(EQ(E115, "Inf"), NOT(EQ(B115, "Inf")))), 1, 0)</f>
        <v>0</v>
      </c>
      <c r="I115" s="2">
        <f t="shared" si="387"/>
        <v>0</v>
      </c>
      <c r="J115" s="2">
        <f t="shared" si="387"/>
        <v>0</v>
      </c>
      <c r="K115" s="2">
        <f t="shared" ref="K115:M115" si="388">IF(OR(E115&lt;B115, And(EQ(B115, "Inf"), NOT(EQ(E115, "Inf")))), 1, 0)</f>
        <v>0</v>
      </c>
      <c r="L115" s="2">
        <f t="shared" si="388"/>
        <v>0</v>
      </c>
      <c r="M115" s="2">
        <f t="shared" si="388"/>
        <v>0</v>
      </c>
      <c r="N115" s="2" t="str">
        <f t="shared" ref="N115:P115" si="389">IF(EQ(H115, 1), IF(NOT(EQ(B115, 0)), E115/B115, "Inf"), "")</f>
        <v/>
      </c>
      <c r="O115" s="2" t="str">
        <f t="shared" si="389"/>
        <v/>
      </c>
      <c r="P115" s="2" t="str">
        <f t="shared" si="389"/>
        <v/>
      </c>
    </row>
    <row r="116">
      <c r="A116" s="52" t="s">
        <v>1140</v>
      </c>
      <c r="B116" s="9">
        <v>0.0</v>
      </c>
      <c r="C116" s="9">
        <v>0.0</v>
      </c>
      <c r="D116" s="9">
        <v>0.0</v>
      </c>
      <c r="E116" s="9">
        <v>0.0687599134872045</v>
      </c>
      <c r="F116" s="9">
        <v>0.14254539456632448</v>
      </c>
      <c r="G116" s="9">
        <v>0.2218465331121107</v>
      </c>
      <c r="H116" s="2">
        <f t="shared" ref="H116:J116" si="390">IF(OR(E116&gt;B116, And(EQ(E116, "Inf"), NOT(EQ(B116, "Inf")))), 1, 0)</f>
        <v>1</v>
      </c>
      <c r="I116" s="2">
        <f t="shared" si="390"/>
        <v>1</v>
      </c>
      <c r="J116" s="2">
        <f t="shared" si="390"/>
        <v>1</v>
      </c>
      <c r="K116" s="2">
        <f t="shared" ref="K116:M116" si="391">IF(OR(E116&lt;B116, And(EQ(B116, "Inf"), NOT(EQ(E116, "Inf")))), 1, 0)</f>
        <v>0</v>
      </c>
      <c r="L116" s="2">
        <f t="shared" si="391"/>
        <v>0</v>
      </c>
      <c r="M116" s="2">
        <f t="shared" si="391"/>
        <v>0</v>
      </c>
      <c r="N116" s="2" t="str">
        <f t="shared" ref="N116:P116" si="392">IF(EQ(H116, 1), IF(NOT(EQ(B116, 0)), E116/B116, "Inf"), "")</f>
        <v>Inf</v>
      </c>
      <c r="O116" s="2" t="str">
        <f t="shared" si="392"/>
        <v>Inf</v>
      </c>
      <c r="P116" s="2" t="str">
        <f t="shared" si="392"/>
        <v>Inf</v>
      </c>
    </row>
    <row r="117">
      <c r="A117" s="52" t="s">
        <v>1151</v>
      </c>
      <c r="B117" s="9">
        <v>0.0</v>
      </c>
      <c r="C117" s="9">
        <v>0.0</v>
      </c>
      <c r="D117" s="9">
        <v>0.0</v>
      </c>
      <c r="E117" s="9">
        <v>0.0</v>
      </c>
      <c r="F117" s="9">
        <v>0.0</v>
      </c>
      <c r="G117" s="9">
        <v>0.0</v>
      </c>
      <c r="H117" s="2">
        <f t="shared" ref="H117:J117" si="393">IF(OR(E117&gt;B117, And(EQ(E117, "Inf"), NOT(EQ(B117, "Inf")))), 1, 0)</f>
        <v>0</v>
      </c>
      <c r="I117" s="2">
        <f t="shared" si="393"/>
        <v>0</v>
      </c>
      <c r="J117" s="2">
        <f t="shared" si="393"/>
        <v>0</v>
      </c>
      <c r="K117" s="2">
        <f t="shared" ref="K117:M117" si="394">IF(OR(E117&lt;B117, And(EQ(B117, "Inf"), NOT(EQ(E117, "Inf")))), 1, 0)</f>
        <v>0</v>
      </c>
      <c r="L117" s="2">
        <f t="shared" si="394"/>
        <v>0</v>
      </c>
      <c r="M117" s="2">
        <f t="shared" si="394"/>
        <v>0</v>
      </c>
      <c r="N117" s="2" t="str">
        <f t="shared" ref="N117:P117" si="395">IF(EQ(H117, 1), IF(NOT(EQ(B117, 0)), E117/B117, "Inf"), "")</f>
        <v/>
      </c>
      <c r="O117" s="2" t="str">
        <f t="shared" si="395"/>
        <v/>
      </c>
      <c r="P117" s="2" t="str">
        <f t="shared" si="395"/>
        <v/>
      </c>
    </row>
    <row r="118">
      <c r="A118" s="52" t="s">
        <v>677</v>
      </c>
      <c r="B118" s="9">
        <v>0.0</v>
      </c>
      <c r="C118" s="9">
        <v>0.0</v>
      </c>
      <c r="D118" s="9">
        <v>0.0</v>
      </c>
      <c r="E118" s="9">
        <v>0.0</v>
      </c>
      <c r="F118" s="9">
        <v>0.0</v>
      </c>
      <c r="G118" s="9">
        <v>0.0</v>
      </c>
      <c r="H118" s="2">
        <f t="shared" ref="H118:J118" si="396">IF(OR(E118&gt;B118, And(EQ(E118, "Inf"), NOT(EQ(B118, "Inf")))), 1, 0)</f>
        <v>0</v>
      </c>
      <c r="I118" s="2">
        <f t="shared" si="396"/>
        <v>0</v>
      </c>
      <c r="J118" s="2">
        <f t="shared" si="396"/>
        <v>0</v>
      </c>
      <c r="K118" s="2">
        <f t="shared" ref="K118:M118" si="397">IF(OR(E118&lt;B118, And(EQ(B118, "Inf"), NOT(EQ(E118, "Inf")))), 1, 0)</f>
        <v>0</v>
      </c>
      <c r="L118" s="2">
        <f t="shared" si="397"/>
        <v>0</v>
      </c>
      <c r="M118" s="2">
        <f t="shared" si="397"/>
        <v>0</v>
      </c>
      <c r="N118" s="2" t="str">
        <f t="shared" ref="N118:P118" si="398">IF(EQ(H118, 1), IF(NOT(EQ(B118, 0)), E118/B118, "Inf"), "")</f>
        <v/>
      </c>
      <c r="O118" s="2" t="str">
        <f t="shared" si="398"/>
        <v/>
      </c>
      <c r="P118" s="2" t="str">
        <f t="shared" si="398"/>
        <v/>
      </c>
    </row>
    <row r="119">
      <c r="A119" s="52" t="s">
        <v>669</v>
      </c>
      <c r="B119" s="9">
        <v>0.0</v>
      </c>
      <c r="C119" s="9">
        <v>0.0</v>
      </c>
      <c r="D119" s="9">
        <v>0.0</v>
      </c>
      <c r="E119" s="9">
        <v>0.0</v>
      </c>
      <c r="F119" s="9">
        <v>0.0</v>
      </c>
      <c r="G119" s="9">
        <v>0.0</v>
      </c>
      <c r="H119" s="2">
        <f t="shared" ref="H119:J119" si="399">IF(OR(E119&gt;B119, And(EQ(E119, "Inf"), NOT(EQ(B119, "Inf")))), 1, 0)</f>
        <v>0</v>
      </c>
      <c r="I119" s="2">
        <f t="shared" si="399"/>
        <v>0</v>
      </c>
      <c r="J119" s="2">
        <f t="shared" si="399"/>
        <v>0</v>
      </c>
      <c r="K119" s="2">
        <f t="shared" ref="K119:M119" si="400">IF(OR(E119&lt;B119, And(EQ(B119, "Inf"), NOT(EQ(E119, "Inf")))), 1, 0)</f>
        <v>0</v>
      </c>
      <c r="L119" s="2">
        <f t="shared" si="400"/>
        <v>0</v>
      </c>
      <c r="M119" s="2">
        <f t="shared" si="400"/>
        <v>0</v>
      </c>
      <c r="N119" s="2" t="str">
        <f t="shared" ref="N119:P119" si="401">IF(EQ(H119, 1), IF(NOT(EQ(B119, 0)), E119/B119, "Inf"), "")</f>
        <v/>
      </c>
      <c r="O119" s="2" t="str">
        <f t="shared" si="401"/>
        <v/>
      </c>
      <c r="P119" s="2" t="str">
        <f t="shared" si="401"/>
        <v/>
      </c>
    </row>
    <row r="120">
      <c r="A120" s="72"/>
    </row>
    <row r="121">
      <c r="A121" s="72"/>
    </row>
    <row r="122">
      <c r="A122" s="72"/>
    </row>
    <row r="123">
      <c r="A123" s="72"/>
    </row>
    <row r="124">
      <c r="A124" s="72"/>
    </row>
    <row r="125">
      <c r="A125" s="72"/>
    </row>
    <row r="126">
      <c r="A126" s="72"/>
    </row>
    <row r="127">
      <c r="A127" s="72"/>
    </row>
    <row r="128">
      <c r="A128" s="72"/>
    </row>
    <row r="129">
      <c r="A129" s="72"/>
    </row>
    <row r="130">
      <c r="A130" s="72"/>
    </row>
    <row r="131">
      <c r="A131" s="72"/>
    </row>
    <row r="132">
      <c r="A132" s="72"/>
    </row>
    <row r="133">
      <c r="A133" s="72"/>
    </row>
    <row r="134">
      <c r="A134" s="72"/>
    </row>
    <row r="135">
      <c r="A135" s="72"/>
    </row>
    <row r="136">
      <c r="A136" s="72"/>
    </row>
    <row r="137">
      <c r="A137" s="72"/>
    </row>
    <row r="138">
      <c r="A138" s="72"/>
    </row>
    <row r="139">
      <c r="A139" s="72"/>
    </row>
    <row r="140">
      <c r="A140" s="72"/>
    </row>
    <row r="141">
      <c r="A141" s="72"/>
    </row>
    <row r="142">
      <c r="A142" s="72"/>
    </row>
    <row r="143">
      <c r="A143" s="72"/>
    </row>
    <row r="144">
      <c r="A144" s="72"/>
    </row>
    <row r="145">
      <c r="A145" s="72"/>
    </row>
    <row r="146">
      <c r="A146" s="72"/>
    </row>
    <row r="147">
      <c r="A147" s="72"/>
    </row>
    <row r="148">
      <c r="A148" s="72"/>
    </row>
    <row r="149">
      <c r="A149" s="72"/>
    </row>
    <row r="150">
      <c r="A150" s="72"/>
    </row>
    <row r="151">
      <c r="A151" s="72"/>
    </row>
    <row r="152">
      <c r="A152" s="72"/>
    </row>
    <row r="153">
      <c r="A153" s="72"/>
    </row>
    <row r="154">
      <c r="A154" s="72"/>
    </row>
    <row r="155">
      <c r="A155" s="72"/>
    </row>
    <row r="156">
      <c r="A156" s="72"/>
    </row>
    <row r="157">
      <c r="A157" s="72"/>
    </row>
    <row r="158">
      <c r="A158" s="72"/>
    </row>
    <row r="159">
      <c r="A159" s="72"/>
    </row>
    <row r="160">
      <c r="A160" s="72"/>
    </row>
    <row r="161">
      <c r="A161" s="72"/>
    </row>
    <row r="162">
      <c r="A162" s="72"/>
    </row>
    <row r="163">
      <c r="A163" s="72"/>
    </row>
    <row r="164">
      <c r="A164" s="72"/>
    </row>
    <row r="165">
      <c r="A165" s="72"/>
    </row>
    <row r="166">
      <c r="A166" s="72"/>
    </row>
    <row r="167">
      <c r="A167" s="72"/>
    </row>
    <row r="168">
      <c r="A168" s="72"/>
    </row>
    <row r="169">
      <c r="A169" s="72"/>
    </row>
    <row r="170">
      <c r="A170" s="72"/>
    </row>
    <row r="171">
      <c r="A171" s="72"/>
    </row>
    <row r="172">
      <c r="A172" s="72"/>
    </row>
    <row r="173">
      <c r="A173" s="72"/>
    </row>
    <row r="174">
      <c r="A174" s="72"/>
    </row>
    <row r="175">
      <c r="A175" s="72"/>
    </row>
    <row r="176">
      <c r="A176" s="72"/>
    </row>
    <row r="177">
      <c r="A177" s="72"/>
    </row>
    <row r="178">
      <c r="A178" s="72"/>
    </row>
    <row r="179">
      <c r="A179" s="72"/>
    </row>
    <row r="180">
      <c r="A180" s="72"/>
    </row>
    <row r="181">
      <c r="A181" s="72"/>
    </row>
    <row r="182">
      <c r="A182" s="72"/>
    </row>
    <row r="183">
      <c r="A183" s="72"/>
    </row>
    <row r="184">
      <c r="A184" s="72"/>
    </row>
    <row r="185">
      <c r="A185" s="72"/>
    </row>
    <row r="186">
      <c r="A186" s="72"/>
    </row>
    <row r="187">
      <c r="A187" s="72"/>
    </row>
    <row r="188">
      <c r="A188" s="72"/>
    </row>
    <row r="189">
      <c r="A189" s="72"/>
    </row>
    <row r="190">
      <c r="A190" s="72"/>
    </row>
    <row r="191">
      <c r="A191" s="72"/>
    </row>
    <row r="192">
      <c r="A192" s="72"/>
    </row>
    <row r="193">
      <c r="A193" s="72"/>
    </row>
    <row r="194">
      <c r="A194" s="72"/>
    </row>
    <row r="195">
      <c r="A195" s="72"/>
    </row>
    <row r="196">
      <c r="A196" s="72"/>
    </row>
    <row r="197">
      <c r="A197" s="72"/>
    </row>
    <row r="198">
      <c r="A198" s="72"/>
    </row>
    <row r="199">
      <c r="A199" s="72"/>
    </row>
    <row r="200">
      <c r="A200" s="72"/>
    </row>
    <row r="201">
      <c r="A201" s="72"/>
    </row>
    <row r="202">
      <c r="A202" s="72"/>
    </row>
    <row r="203">
      <c r="A203" s="72"/>
    </row>
    <row r="204">
      <c r="A204" s="72"/>
    </row>
    <row r="205">
      <c r="A205" s="72"/>
    </row>
    <row r="206">
      <c r="A206" s="72"/>
    </row>
    <row r="207">
      <c r="A207" s="72"/>
    </row>
    <row r="208">
      <c r="A208" s="72"/>
    </row>
    <row r="209">
      <c r="A209" s="72"/>
    </row>
    <row r="210">
      <c r="A210" s="72"/>
    </row>
    <row r="211">
      <c r="A211" s="72"/>
    </row>
    <row r="212">
      <c r="A212" s="72"/>
    </row>
    <row r="213">
      <c r="A213" s="72"/>
    </row>
    <row r="214">
      <c r="A214" s="72"/>
    </row>
    <row r="215">
      <c r="A215" s="72"/>
    </row>
    <row r="216">
      <c r="A216" s="72"/>
    </row>
    <row r="217">
      <c r="A217" s="72"/>
    </row>
    <row r="218">
      <c r="A218" s="72"/>
    </row>
    <row r="219">
      <c r="A219" s="72"/>
    </row>
    <row r="220">
      <c r="A220" s="72"/>
    </row>
    <row r="221">
      <c r="A221" s="72"/>
    </row>
    <row r="222">
      <c r="A222" s="72"/>
    </row>
    <row r="223">
      <c r="A223" s="72"/>
    </row>
    <row r="224">
      <c r="A224" s="72"/>
    </row>
    <row r="225">
      <c r="A225" s="72"/>
    </row>
    <row r="226">
      <c r="A226" s="72"/>
    </row>
    <row r="227">
      <c r="A227" s="72"/>
    </row>
    <row r="228">
      <c r="A228" s="72"/>
    </row>
    <row r="229">
      <c r="A229" s="72"/>
    </row>
    <row r="230">
      <c r="A230" s="72"/>
    </row>
    <row r="231">
      <c r="A231" s="72"/>
    </row>
    <row r="232">
      <c r="A232" s="72"/>
    </row>
    <row r="233">
      <c r="A233" s="72"/>
    </row>
    <row r="234">
      <c r="A234" s="72"/>
    </row>
    <row r="235">
      <c r="A235" s="72"/>
    </row>
    <row r="236">
      <c r="A236" s="72"/>
    </row>
    <row r="237">
      <c r="A237" s="72"/>
    </row>
    <row r="238">
      <c r="A238" s="72"/>
    </row>
    <row r="239">
      <c r="A239" s="72"/>
    </row>
    <row r="240">
      <c r="A240" s="72"/>
    </row>
    <row r="241">
      <c r="A241" s="72"/>
    </row>
    <row r="242">
      <c r="A242" s="72"/>
    </row>
    <row r="243">
      <c r="A243" s="72"/>
    </row>
    <row r="244">
      <c r="A244" s="72"/>
    </row>
    <row r="245">
      <c r="A245" s="72"/>
    </row>
    <row r="246">
      <c r="A246" s="72"/>
    </row>
    <row r="247">
      <c r="A247" s="72"/>
    </row>
    <row r="248">
      <c r="A248" s="72"/>
    </row>
    <row r="249">
      <c r="A249" s="72"/>
    </row>
    <row r="250">
      <c r="A250" s="72"/>
    </row>
    <row r="251">
      <c r="A251" s="72"/>
    </row>
    <row r="252">
      <c r="A252" s="72"/>
    </row>
    <row r="253">
      <c r="A253" s="72"/>
    </row>
    <row r="254">
      <c r="A254" s="72"/>
    </row>
    <row r="255">
      <c r="A255" s="72"/>
    </row>
    <row r="256">
      <c r="A256" s="72"/>
    </row>
    <row r="257">
      <c r="A257" s="72"/>
    </row>
    <row r="258">
      <c r="A258" s="72"/>
    </row>
    <row r="259">
      <c r="A259" s="72"/>
    </row>
    <row r="260">
      <c r="A260" s="72"/>
    </row>
    <row r="261">
      <c r="A261" s="72"/>
    </row>
    <row r="262">
      <c r="A262" s="72"/>
    </row>
    <row r="263">
      <c r="A263" s="72"/>
    </row>
    <row r="264">
      <c r="A264" s="72"/>
    </row>
    <row r="265">
      <c r="A265" s="72"/>
    </row>
    <row r="266">
      <c r="A266" s="72"/>
    </row>
    <row r="267">
      <c r="A267" s="72"/>
    </row>
    <row r="268">
      <c r="A268" s="72"/>
    </row>
    <row r="269">
      <c r="A269" s="72"/>
    </row>
    <row r="270">
      <c r="A270" s="72"/>
    </row>
    <row r="271">
      <c r="A271" s="72"/>
    </row>
    <row r="272">
      <c r="A272" s="72"/>
    </row>
    <row r="273">
      <c r="A273" s="72"/>
    </row>
    <row r="274">
      <c r="A274" s="72"/>
    </row>
    <row r="275">
      <c r="A275" s="72"/>
    </row>
    <row r="276">
      <c r="A276" s="72"/>
    </row>
    <row r="277">
      <c r="A277" s="72"/>
    </row>
    <row r="278">
      <c r="A278" s="72"/>
    </row>
    <row r="279">
      <c r="A279" s="72"/>
    </row>
    <row r="280">
      <c r="A280" s="72"/>
    </row>
    <row r="281">
      <c r="A281" s="72"/>
    </row>
    <row r="282">
      <c r="A282" s="72"/>
    </row>
    <row r="283">
      <c r="A283" s="72"/>
    </row>
    <row r="284">
      <c r="A284" s="72"/>
    </row>
    <row r="285">
      <c r="A285" s="72"/>
    </row>
    <row r="286">
      <c r="A286" s="72"/>
    </row>
    <row r="287">
      <c r="A287" s="72"/>
    </row>
    <row r="288">
      <c r="A288" s="72"/>
    </row>
    <row r="289">
      <c r="A289" s="72"/>
    </row>
    <row r="290">
      <c r="A290" s="72"/>
    </row>
    <row r="291">
      <c r="A291" s="72"/>
    </row>
    <row r="292">
      <c r="A292" s="72"/>
    </row>
    <row r="293">
      <c r="A293" s="72"/>
    </row>
    <row r="294">
      <c r="A294" s="72"/>
    </row>
    <row r="295">
      <c r="A295" s="72"/>
    </row>
    <row r="296">
      <c r="A296" s="72"/>
    </row>
    <row r="297">
      <c r="A297" s="72"/>
    </row>
    <row r="298">
      <c r="A298" s="72"/>
    </row>
    <row r="299">
      <c r="A299" s="72"/>
    </row>
    <row r="300">
      <c r="A300" s="72"/>
    </row>
    <row r="301">
      <c r="A301" s="72"/>
    </row>
    <row r="302">
      <c r="A302" s="72"/>
    </row>
    <row r="303">
      <c r="A303" s="72"/>
    </row>
    <row r="304">
      <c r="A304" s="72"/>
    </row>
    <row r="305">
      <c r="A305" s="72"/>
    </row>
    <row r="306">
      <c r="A306" s="72"/>
    </row>
    <row r="307">
      <c r="A307" s="72"/>
    </row>
    <row r="308">
      <c r="A308" s="72"/>
    </row>
    <row r="309">
      <c r="A309" s="72"/>
    </row>
    <row r="310">
      <c r="A310" s="72"/>
    </row>
    <row r="311">
      <c r="A311" s="72"/>
    </row>
    <row r="312">
      <c r="A312" s="72"/>
    </row>
    <row r="313">
      <c r="A313" s="72"/>
    </row>
    <row r="314">
      <c r="A314" s="72"/>
    </row>
    <row r="315">
      <c r="A315" s="72"/>
    </row>
    <row r="316">
      <c r="A316" s="72"/>
    </row>
    <row r="317">
      <c r="A317" s="72"/>
    </row>
    <row r="318">
      <c r="A318" s="72"/>
    </row>
    <row r="319">
      <c r="A319" s="72"/>
    </row>
    <row r="320">
      <c r="A320" s="72"/>
    </row>
    <row r="321">
      <c r="A321" s="72"/>
    </row>
    <row r="322">
      <c r="A322" s="72"/>
    </row>
    <row r="323">
      <c r="A323" s="72"/>
    </row>
    <row r="324">
      <c r="A324" s="72"/>
    </row>
    <row r="325">
      <c r="A325" s="72"/>
    </row>
    <row r="326">
      <c r="A326" s="72"/>
    </row>
    <row r="327">
      <c r="A327" s="72"/>
    </row>
    <row r="328">
      <c r="A328" s="72"/>
    </row>
    <row r="329">
      <c r="A329" s="72"/>
    </row>
    <row r="330">
      <c r="A330" s="72"/>
    </row>
    <row r="331">
      <c r="A331" s="72"/>
    </row>
    <row r="332">
      <c r="A332" s="72"/>
    </row>
    <row r="333">
      <c r="A333" s="72"/>
    </row>
    <row r="334">
      <c r="A334" s="72"/>
    </row>
    <row r="335">
      <c r="A335" s="72"/>
    </row>
    <row r="336">
      <c r="A336" s="72"/>
    </row>
    <row r="337">
      <c r="A337" s="72"/>
    </row>
    <row r="338">
      <c r="A338" s="72"/>
    </row>
    <row r="339">
      <c r="A339" s="72"/>
    </row>
    <row r="340">
      <c r="A340" s="72"/>
    </row>
    <row r="341">
      <c r="A341" s="72"/>
    </row>
    <row r="342">
      <c r="A342" s="72"/>
    </row>
    <row r="343">
      <c r="A343" s="72"/>
    </row>
    <row r="344">
      <c r="A344" s="72"/>
    </row>
    <row r="345">
      <c r="A345" s="72"/>
    </row>
    <row r="346">
      <c r="A346" s="72"/>
    </row>
    <row r="347">
      <c r="A347" s="72"/>
    </row>
    <row r="348">
      <c r="A348" s="72"/>
    </row>
    <row r="349">
      <c r="A349" s="72"/>
    </row>
    <row r="350">
      <c r="A350" s="72"/>
    </row>
    <row r="351">
      <c r="A351" s="72"/>
    </row>
    <row r="352">
      <c r="A352" s="72"/>
    </row>
    <row r="353">
      <c r="A353" s="72"/>
    </row>
    <row r="354">
      <c r="A354" s="72"/>
    </row>
    <row r="355">
      <c r="A355" s="72"/>
    </row>
    <row r="356">
      <c r="A356" s="72"/>
    </row>
    <row r="357">
      <c r="A357" s="72"/>
    </row>
    <row r="358">
      <c r="A358" s="72"/>
    </row>
    <row r="359">
      <c r="A359" s="72"/>
    </row>
    <row r="360">
      <c r="A360" s="72"/>
    </row>
    <row r="361">
      <c r="A361" s="72"/>
    </row>
    <row r="362">
      <c r="A362" s="72"/>
    </row>
    <row r="363">
      <c r="A363" s="72"/>
    </row>
    <row r="364">
      <c r="A364" s="72"/>
    </row>
    <row r="365">
      <c r="A365" s="72"/>
    </row>
    <row r="366">
      <c r="A366" s="72"/>
    </row>
    <row r="367">
      <c r="A367" s="72"/>
    </row>
    <row r="368">
      <c r="A368" s="72"/>
    </row>
    <row r="369">
      <c r="A369" s="72"/>
    </row>
    <row r="370">
      <c r="A370" s="72"/>
    </row>
    <row r="371">
      <c r="A371" s="72"/>
    </row>
    <row r="372">
      <c r="A372" s="72"/>
    </row>
    <row r="373">
      <c r="A373" s="72"/>
    </row>
    <row r="374">
      <c r="A374" s="72"/>
    </row>
    <row r="375">
      <c r="A375" s="72"/>
    </row>
    <row r="376">
      <c r="A376" s="72"/>
    </row>
    <row r="377">
      <c r="A377" s="72"/>
    </row>
    <row r="378">
      <c r="A378" s="72"/>
    </row>
    <row r="379">
      <c r="A379" s="72"/>
    </row>
    <row r="380">
      <c r="A380" s="72"/>
    </row>
    <row r="381">
      <c r="A381" s="72"/>
    </row>
    <row r="382">
      <c r="A382" s="72"/>
    </row>
    <row r="383">
      <c r="A383" s="72"/>
    </row>
    <row r="384">
      <c r="A384" s="72"/>
    </row>
    <row r="385">
      <c r="A385" s="72"/>
    </row>
    <row r="386">
      <c r="A386" s="72"/>
    </row>
    <row r="387">
      <c r="A387" s="72"/>
    </row>
    <row r="388">
      <c r="A388" s="72"/>
    </row>
    <row r="389">
      <c r="A389" s="72"/>
    </row>
    <row r="390">
      <c r="A390" s="72"/>
    </row>
    <row r="391">
      <c r="A391" s="72"/>
    </row>
    <row r="392">
      <c r="A392" s="72"/>
    </row>
    <row r="393">
      <c r="A393" s="72"/>
    </row>
    <row r="394">
      <c r="A394" s="72"/>
    </row>
    <row r="395">
      <c r="A395" s="72"/>
    </row>
    <row r="396">
      <c r="A396" s="72"/>
    </row>
    <row r="397">
      <c r="A397" s="72"/>
    </row>
    <row r="398">
      <c r="A398" s="72"/>
    </row>
    <row r="399">
      <c r="A399" s="72"/>
    </row>
    <row r="400">
      <c r="A400" s="72"/>
    </row>
    <row r="401">
      <c r="A401" s="72"/>
    </row>
    <row r="402">
      <c r="A402" s="72"/>
    </row>
    <row r="403">
      <c r="A403" s="72"/>
    </row>
    <row r="404">
      <c r="A404" s="72"/>
    </row>
    <row r="405">
      <c r="A405" s="72"/>
    </row>
    <row r="406">
      <c r="A406" s="72"/>
    </row>
    <row r="407">
      <c r="A407" s="72"/>
    </row>
    <row r="408">
      <c r="A408" s="72"/>
    </row>
    <row r="409">
      <c r="A409" s="72"/>
    </row>
    <row r="410">
      <c r="A410" s="72"/>
    </row>
    <row r="411">
      <c r="A411" s="72"/>
    </row>
    <row r="412">
      <c r="A412" s="72"/>
    </row>
    <row r="413">
      <c r="A413" s="72"/>
    </row>
    <row r="414">
      <c r="A414" s="72"/>
    </row>
    <row r="415">
      <c r="A415" s="72"/>
    </row>
    <row r="416">
      <c r="A416" s="72"/>
    </row>
    <row r="417">
      <c r="A417" s="72"/>
    </row>
    <row r="418">
      <c r="A418" s="72"/>
    </row>
    <row r="419">
      <c r="A419" s="72"/>
    </row>
    <row r="420">
      <c r="A420" s="72"/>
    </row>
    <row r="421">
      <c r="A421" s="72"/>
    </row>
    <row r="422">
      <c r="A422" s="72"/>
    </row>
    <row r="423">
      <c r="A423" s="72"/>
    </row>
    <row r="424">
      <c r="A424" s="72"/>
    </row>
    <row r="425">
      <c r="A425" s="72"/>
    </row>
    <row r="426">
      <c r="A426" s="72"/>
    </row>
    <row r="427">
      <c r="A427" s="72"/>
    </row>
    <row r="428">
      <c r="A428" s="72"/>
    </row>
    <row r="429">
      <c r="A429" s="72"/>
    </row>
    <row r="430">
      <c r="A430" s="72"/>
    </row>
    <row r="431">
      <c r="A431" s="72"/>
    </row>
    <row r="432">
      <c r="A432" s="72"/>
    </row>
    <row r="433">
      <c r="A433" s="72"/>
    </row>
    <row r="434">
      <c r="A434" s="72"/>
    </row>
    <row r="435">
      <c r="A435" s="72"/>
    </row>
    <row r="436">
      <c r="A436" s="72"/>
    </row>
    <row r="437">
      <c r="A437" s="72"/>
    </row>
    <row r="438">
      <c r="A438" s="72"/>
    </row>
    <row r="439">
      <c r="A439" s="72"/>
    </row>
    <row r="440">
      <c r="A440" s="72"/>
    </row>
    <row r="441">
      <c r="A441" s="72"/>
    </row>
    <row r="442">
      <c r="A442" s="72"/>
    </row>
    <row r="443">
      <c r="A443" s="72"/>
    </row>
    <row r="444">
      <c r="A444" s="72"/>
    </row>
    <row r="445">
      <c r="A445" s="72"/>
    </row>
    <row r="446">
      <c r="A446" s="72"/>
    </row>
    <row r="447">
      <c r="A447" s="72"/>
    </row>
    <row r="448">
      <c r="A448" s="72"/>
    </row>
    <row r="449">
      <c r="A449" s="72"/>
    </row>
    <row r="450">
      <c r="A450" s="72"/>
    </row>
    <row r="451">
      <c r="A451" s="72"/>
    </row>
    <row r="452">
      <c r="A452" s="72"/>
    </row>
    <row r="453">
      <c r="A453" s="72"/>
    </row>
    <row r="454">
      <c r="A454" s="72"/>
    </row>
    <row r="455">
      <c r="A455" s="72"/>
    </row>
    <row r="456">
      <c r="A456" s="72"/>
    </row>
    <row r="457">
      <c r="A457" s="72"/>
    </row>
    <row r="458">
      <c r="A458" s="72"/>
    </row>
    <row r="459">
      <c r="A459" s="72"/>
    </row>
    <row r="460">
      <c r="A460" s="72"/>
    </row>
    <row r="461">
      <c r="A461" s="72"/>
    </row>
    <row r="462">
      <c r="A462" s="72"/>
    </row>
    <row r="463">
      <c r="A463" s="72"/>
    </row>
    <row r="464">
      <c r="A464" s="72"/>
    </row>
    <row r="465">
      <c r="A465" s="72"/>
    </row>
    <row r="466">
      <c r="A466" s="72"/>
    </row>
    <row r="467">
      <c r="A467" s="72"/>
    </row>
    <row r="468">
      <c r="A468" s="72"/>
    </row>
    <row r="469">
      <c r="A469" s="72"/>
    </row>
    <row r="470">
      <c r="A470" s="72"/>
    </row>
    <row r="471">
      <c r="A471" s="72"/>
    </row>
    <row r="472">
      <c r="A472" s="72"/>
    </row>
    <row r="473">
      <c r="A473" s="72"/>
    </row>
    <row r="474">
      <c r="A474" s="72"/>
    </row>
    <row r="475">
      <c r="A475" s="72"/>
    </row>
    <row r="476">
      <c r="A476" s="72"/>
    </row>
    <row r="477">
      <c r="A477" s="72"/>
    </row>
    <row r="478">
      <c r="A478" s="72"/>
    </row>
    <row r="479">
      <c r="A479" s="72"/>
    </row>
    <row r="480">
      <c r="A480" s="72"/>
    </row>
    <row r="481">
      <c r="A481" s="72"/>
    </row>
    <row r="482">
      <c r="A482" s="72"/>
    </row>
    <row r="483">
      <c r="A483" s="72"/>
    </row>
    <row r="484">
      <c r="A484" s="72"/>
    </row>
    <row r="485">
      <c r="A485" s="72"/>
    </row>
    <row r="486">
      <c r="A486" s="72"/>
    </row>
    <row r="487">
      <c r="A487" s="72"/>
    </row>
    <row r="488">
      <c r="A488" s="72"/>
    </row>
    <row r="489">
      <c r="A489" s="72"/>
    </row>
    <row r="490">
      <c r="A490" s="72"/>
    </row>
    <row r="491">
      <c r="A491" s="72"/>
    </row>
    <row r="492">
      <c r="A492" s="72"/>
    </row>
    <row r="493">
      <c r="A493" s="72"/>
    </row>
    <row r="494">
      <c r="A494" s="72"/>
    </row>
    <row r="495">
      <c r="A495" s="72"/>
    </row>
    <row r="496">
      <c r="A496" s="72"/>
    </row>
    <row r="497">
      <c r="A497" s="72"/>
    </row>
    <row r="498">
      <c r="A498" s="72"/>
    </row>
    <row r="499">
      <c r="A499" s="72"/>
    </row>
    <row r="500">
      <c r="A500" s="72"/>
    </row>
    <row r="501">
      <c r="A501" s="72"/>
    </row>
    <row r="502">
      <c r="A502" s="72"/>
    </row>
    <row r="503">
      <c r="A503" s="72"/>
    </row>
    <row r="504">
      <c r="A504" s="72"/>
    </row>
    <row r="505">
      <c r="A505" s="72"/>
    </row>
    <row r="506">
      <c r="A506" s="72"/>
    </row>
    <row r="507">
      <c r="A507" s="72"/>
    </row>
    <row r="508">
      <c r="A508" s="72"/>
    </row>
    <row r="509">
      <c r="A509" s="72"/>
    </row>
    <row r="510">
      <c r="A510" s="72"/>
    </row>
    <row r="511">
      <c r="A511" s="72"/>
    </row>
    <row r="512">
      <c r="A512" s="72"/>
    </row>
    <row r="513">
      <c r="A513" s="72"/>
    </row>
    <row r="514">
      <c r="A514" s="72"/>
    </row>
    <row r="515">
      <c r="A515" s="72"/>
    </row>
    <row r="516">
      <c r="A516" s="72"/>
    </row>
    <row r="517">
      <c r="A517" s="72"/>
    </row>
    <row r="518">
      <c r="A518" s="72"/>
    </row>
    <row r="519">
      <c r="A519" s="72"/>
    </row>
    <row r="520">
      <c r="A520" s="72"/>
    </row>
    <row r="521">
      <c r="A521" s="72"/>
    </row>
    <row r="522">
      <c r="A522" s="72"/>
    </row>
    <row r="523">
      <c r="A523" s="72"/>
    </row>
    <row r="524">
      <c r="A524" s="72"/>
    </row>
    <row r="525">
      <c r="A525" s="72"/>
    </row>
    <row r="526">
      <c r="A526" s="72"/>
    </row>
    <row r="527">
      <c r="A527" s="72"/>
    </row>
    <row r="528">
      <c r="A528" s="72"/>
    </row>
    <row r="529">
      <c r="A529" s="72"/>
    </row>
    <row r="530">
      <c r="A530" s="72"/>
    </row>
    <row r="531">
      <c r="A531" s="72"/>
    </row>
    <row r="532">
      <c r="A532" s="72"/>
    </row>
    <row r="533">
      <c r="A533" s="72"/>
    </row>
    <row r="534">
      <c r="A534" s="72"/>
    </row>
    <row r="535">
      <c r="A535" s="72"/>
    </row>
    <row r="536">
      <c r="A536" s="72"/>
    </row>
    <row r="537">
      <c r="A537" s="72"/>
    </row>
    <row r="538">
      <c r="A538" s="72"/>
    </row>
    <row r="539">
      <c r="A539" s="72"/>
    </row>
    <row r="540">
      <c r="A540" s="72"/>
    </row>
    <row r="541">
      <c r="A541" s="72"/>
    </row>
    <row r="542">
      <c r="A542" s="72"/>
    </row>
    <row r="543">
      <c r="A543" s="72"/>
    </row>
    <row r="544">
      <c r="A544" s="72"/>
    </row>
    <row r="545">
      <c r="A545" s="72"/>
    </row>
    <row r="546">
      <c r="A546" s="72"/>
    </row>
    <row r="547">
      <c r="A547" s="72"/>
    </row>
    <row r="548">
      <c r="A548" s="72"/>
    </row>
    <row r="549">
      <c r="A549" s="72"/>
    </row>
    <row r="550">
      <c r="A550" s="72"/>
    </row>
    <row r="551">
      <c r="A551" s="72"/>
    </row>
    <row r="552">
      <c r="A552" s="72"/>
    </row>
    <row r="553">
      <c r="A553" s="72"/>
    </row>
    <row r="554">
      <c r="A554" s="72"/>
    </row>
    <row r="555">
      <c r="A555" s="72"/>
    </row>
    <row r="556">
      <c r="A556" s="72"/>
    </row>
    <row r="557">
      <c r="A557" s="72"/>
    </row>
    <row r="558">
      <c r="A558" s="72"/>
    </row>
    <row r="559">
      <c r="A559" s="72"/>
    </row>
    <row r="560">
      <c r="A560" s="72"/>
    </row>
    <row r="561">
      <c r="A561" s="72"/>
    </row>
    <row r="562">
      <c r="A562" s="72"/>
    </row>
    <row r="563">
      <c r="A563" s="72"/>
    </row>
    <row r="564">
      <c r="A564" s="72"/>
    </row>
    <row r="565">
      <c r="A565" s="72"/>
    </row>
    <row r="566">
      <c r="A566" s="72"/>
    </row>
    <row r="567">
      <c r="A567" s="72"/>
    </row>
    <row r="568">
      <c r="A568" s="72"/>
    </row>
    <row r="569">
      <c r="A569" s="72"/>
    </row>
    <row r="570">
      <c r="A570" s="72"/>
    </row>
    <row r="571">
      <c r="A571" s="72"/>
    </row>
    <row r="572">
      <c r="A572" s="72"/>
    </row>
    <row r="573">
      <c r="A573" s="72"/>
    </row>
    <row r="574">
      <c r="A574" s="72"/>
    </row>
    <row r="575">
      <c r="A575" s="72"/>
    </row>
    <row r="576">
      <c r="A576" s="72"/>
    </row>
    <row r="577">
      <c r="A577" s="72"/>
    </row>
    <row r="578">
      <c r="A578" s="72"/>
    </row>
    <row r="579">
      <c r="A579" s="72"/>
    </row>
    <row r="580">
      <c r="A580" s="72"/>
    </row>
    <row r="581">
      <c r="A581" s="72"/>
    </row>
    <row r="582">
      <c r="A582" s="72"/>
    </row>
    <row r="583">
      <c r="A583" s="72"/>
    </row>
    <row r="584">
      <c r="A584" s="72"/>
    </row>
    <row r="585">
      <c r="A585" s="72"/>
    </row>
    <row r="586">
      <c r="A586" s="72"/>
    </row>
    <row r="587">
      <c r="A587" s="72"/>
    </row>
    <row r="588">
      <c r="A588" s="72"/>
    </row>
    <row r="589">
      <c r="A589" s="72"/>
    </row>
    <row r="590">
      <c r="A590" s="72"/>
    </row>
    <row r="591">
      <c r="A591" s="72"/>
    </row>
    <row r="592">
      <c r="A592" s="72"/>
    </row>
    <row r="593">
      <c r="A593" s="72"/>
    </row>
    <row r="594">
      <c r="A594" s="72"/>
    </row>
    <row r="595">
      <c r="A595" s="72"/>
    </row>
    <row r="596">
      <c r="A596" s="72"/>
    </row>
    <row r="597">
      <c r="A597" s="72"/>
    </row>
    <row r="598">
      <c r="A598" s="72"/>
    </row>
    <row r="599">
      <c r="A599" s="72"/>
    </row>
    <row r="600">
      <c r="A600" s="72"/>
    </row>
    <row r="601">
      <c r="A601" s="72"/>
    </row>
    <row r="602">
      <c r="A602" s="72"/>
    </row>
    <row r="603">
      <c r="A603" s="72"/>
    </row>
    <row r="604">
      <c r="A604" s="72"/>
    </row>
    <row r="605">
      <c r="A605" s="72"/>
    </row>
    <row r="606">
      <c r="A606" s="72"/>
    </row>
    <row r="607">
      <c r="A607" s="72"/>
    </row>
    <row r="608">
      <c r="A608" s="72"/>
    </row>
    <row r="609">
      <c r="A609" s="72"/>
    </row>
    <row r="610">
      <c r="A610" s="72"/>
    </row>
    <row r="611">
      <c r="A611" s="72"/>
    </row>
    <row r="612">
      <c r="A612" s="72"/>
    </row>
    <row r="613">
      <c r="A613" s="72"/>
    </row>
    <row r="614">
      <c r="A614" s="72"/>
    </row>
    <row r="615">
      <c r="A615" s="72"/>
    </row>
    <row r="616">
      <c r="A616" s="72"/>
    </row>
    <row r="617">
      <c r="A617" s="72"/>
    </row>
    <row r="618">
      <c r="A618" s="72"/>
    </row>
    <row r="619">
      <c r="A619" s="72"/>
    </row>
    <row r="620">
      <c r="A620" s="72"/>
    </row>
    <row r="621">
      <c r="A621" s="72"/>
    </row>
    <row r="622">
      <c r="A622" s="72"/>
    </row>
    <row r="623">
      <c r="A623" s="72"/>
    </row>
    <row r="624">
      <c r="A624" s="72"/>
    </row>
    <row r="625">
      <c r="A625" s="72"/>
    </row>
    <row r="626">
      <c r="A626" s="72"/>
    </row>
    <row r="627">
      <c r="A627" s="72"/>
    </row>
    <row r="628">
      <c r="A628" s="72"/>
    </row>
    <row r="629">
      <c r="A629" s="72"/>
    </row>
    <row r="630">
      <c r="A630" s="72"/>
    </row>
    <row r="631">
      <c r="A631" s="72"/>
    </row>
    <row r="632">
      <c r="A632" s="72"/>
    </row>
    <row r="633">
      <c r="A633" s="72"/>
    </row>
    <row r="634">
      <c r="A634" s="72"/>
    </row>
    <row r="635">
      <c r="A635" s="72"/>
    </row>
    <row r="636">
      <c r="A636" s="72"/>
    </row>
    <row r="637">
      <c r="A637" s="72"/>
    </row>
    <row r="638">
      <c r="A638" s="72"/>
    </row>
    <row r="639">
      <c r="A639" s="72"/>
    </row>
    <row r="640">
      <c r="A640" s="72"/>
    </row>
    <row r="641">
      <c r="A641" s="72"/>
    </row>
    <row r="642">
      <c r="A642" s="72"/>
    </row>
    <row r="643">
      <c r="A643" s="72"/>
    </row>
    <row r="644">
      <c r="A644" s="72"/>
    </row>
    <row r="645">
      <c r="A645" s="72"/>
    </row>
    <row r="646">
      <c r="A646" s="72"/>
    </row>
    <row r="647">
      <c r="A647" s="72"/>
    </row>
    <row r="648">
      <c r="A648" s="72"/>
    </row>
    <row r="649">
      <c r="A649" s="72"/>
    </row>
    <row r="650">
      <c r="A650" s="72"/>
    </row>
    <row r="651">
      <c r="A651" s="72"/>
    </row>
    <row r="652">
      <c r="A652" s="72"/>
    </row>
    <row r="653">
      <c r="A653" s="72"/>
    </row>
    <row r="654">
      <c r="A654" s="72"/>
    </row>
    <row r="655">
      <c r="A655" s="72"/>
    </row>
    <row r="656">
      <c r="A656" s="72"/>
    </row>
    <row r="657">
      <c r="A657" s="72"/>
    </row>
    <row r="658">
      <c r="A658" s="72"/>
    </row>
    <row r="659">
      <c r="A659" s="72"/>
    </row>
    <row r="660">
      <c r="A660" s="72"/>
    </row>
    <row r="661">
      <c r="A661" s="72"/>
    </row>
    <row r="662">
      <c r="A662" s="72"/>
    </row>
    <row r="663">
      <c r="A663" s="72"/>
    </row>
    <row r="664">
      <c r="A664" s="72"/>
    </row>
    <row r="665">
      <c r="A665" s="72"/>
    </row>
    <row r="666">
      <c r="A666" s="72"/>
    </row>
    <row r="667">
      <c r="A667" s="72"/>
    </row>
    <row r="668">
      <c r="A668" s="72"/>
    </row>
    <row r="669">
      <c r="A669" s="72"/>
    </row>
    <row r="670">
      <c r="A670" s="72"/>
    </row>
    <row r="671">
      <c r="A671" s="72"/>
    </row>
    <row r="672">
      <c r="A672" s="72"/>
    </row>
    <row r="673">
      <c r="A673" s="72"/>
    </row>
    <row r="674">
      <c r="A674" s="72"/>
    </row>
    <row r="675">
      <c r="A675" s="72"/>
    </row>
    <row r="676">
      <c r="A676" s="72"/>
    </row>
    <row r="677">
      <c r="A677" s="72"/>
    </row>
    <row r="678">
      <c r="A678" s="72"/>
    </row>
    <row r="679">
      <c r="A679" s="72"/>
    </row>
    <row r="680">
      <c r="A680" s="72"/>
    </row>
    <row r="681">
      <c r="A681" s="72"/>
    </row>
    <row r="682">
      <c r="A682" s="72"/>
    </row>
    <row r="683">
      <c r="A683" s="72"/>
    </row>
    <row r="684">
      <c r="A684" s="72"/>
    </row>
    <row r="685">
      <c r="A685" s="72"/>
    </row>
    <row r="686">
      <c r="A686" s="72"/>
    </row>
    <row r="687">
      <c r="A687" s="72"/>
    </row>
    <row r="688">
      <c r="A688" s="72"/>
    </row>
    <row r="689">
      <c r="A689" s="72"/>
    </row>
    <row r="690">
      <c r="A690" s="72"/>
    </row>
    <row r="691">
      <c r="A691" s="72"/>
    </row>
    <row r="692">
      <c r="A692" s="72"/>
    </row>
    <row r="693">
      <c r="A693" s="72"/>
    </row>
    <row r="694">
      <c r="A694" s="72"/>
    </row>
    <row r="695">
      <c r="A695" s="72"/>
    </row>
    <row r="696">
      <c r="A696" s="72"/>
    </row>
    <row r="697">
      <c r="A697" s="72"/>
    </row>
    <row r="698">
      <c r="A698" s="72"/>
    </row>
    <row r="699">
      <c r="A699" s="72"/>
    </row>
    <row r="700">
      <c r="A700" s="72"/>
    </row>
    <row r="701">
      <c r="A701" s="72"/>
    </row>
    <row r="702">
      <c r="A702" s="72"/>
    </row>
    <row r="703">
      <c r="A703" s="72"/>
    </row>
    <row r="704">
      <c r="A704" s="72"/>
    </row>
    <row r="705">
      <c r="A705" s="72"/>
    </row>
    <row r="706">
      <c r="A706" s="72"/>
    </row>
    <row r="707">
      <c r="A707" s="72"/>
    </row>
    <row r="708">
      <c r="A708" s="72"/>
    </row>
    <row r="709">
      <c r="A709" s="72"/>
    </row>
    <row r="710">
      <c r="A710" s="72"/>
    </row>
    <row r="711">
      <c r="A711" s="72"/>
    </row>
    <row r="712">
      <c r="A712" s="72"/>
    </row>
    <row r="713">
      <c r="A713" s="72"/>
    </row>
    <row r="714">
      <c r="A714" s="72"/>
    </row>
    <row r="715">
      <c r="A715" s="72"/>
    </row>
    <row r="716">
      <c r="A716" s="72"/>
    </row>
    <row r="717">
      <c r="A717" s="72"/>
    </row>
    <row r="718">
      <c r="A718" s="72"/>
    </row>
    <row r="719">
      <c r="A719" s="72"/>
    </row>
    <row r="720">
      <c r="A720" s="72"/>
    </row>
    <row r="721">
      <c r="A721" s="72"/>
    </row>
    <row r="722">
      <c r="A722" s="72"/>
    </row>
    <row r="723">
      <c r="A723" s="72"/>
    </row>
    <row r="724">
      <c r="A724" s="72"/>
    </row>
    <row r="725">
      <c r="A725" s="72"/>
    </row>
    <row r="726">
      <c r="A726" s="72"/>
    </row>
    <row r="727">
      <c r="A727" s="72"/>
    </row>
    <row r="728">
      <c r="A728" s="72"/>
    </row>
    <row r="729">
      <c r="A729" s="72"/>
    </row>
    <row r="730">
      <c r="A730" s="72"/>
    </row>
    <row r="731">
      <c r="A731" s="72"/>
    </row>
    <row r="732">
      <c r="A732" s="72"/>
    </row>
    <row r="733">
      <c r="A733" s="72"/>
    </row>
    <row r="734">
      <c r="A734" s="72"/>
    </row>
    <row r="735">
      <c r="A735" s="72"/>
    </row>
    <row r="736">
      <c r="A736" s="72"/>
    </row>
    <row r="737">
      <c r="A737" s="72"/>
    </row>
    <row r="738">
      <c r="A738" s="72"/>
    </row>
    <row r="739">
      <c r="A739" s="72"/>
    </row>
    <row r="740">
      <c r="A740" s="72"/>
    </row>
    <row r="741">
      <c r="A741" s="72"/>
    </row>
    <row r="742">
      <c r="A742" s="72"/>
    </row>
    <row r="743">
      <c r="A743" s="72"/>
    </row>
    <row r="744">
      <c r="A744" s="72"/>
    </row>
    <row r="745">
      <c r="A745" s="72"/>
    </row>
    <row r="746">
      <c r="A746" s="72"/>
    </row>
    <row r="747">
      <c r="A747" s="72"/>
    </row>
    <row r="748">
      <c r="A748" s="72"/>
    </row>
    <row r="749">
      <c r="A749" s="72"/>
    </row>
    <row r="750">
      <c r="A750" s="72"/>
    </row>
    <row r="751">
      <c r="A751" s="72"/>
    </row>
    <row r="752">
      <c r="A752" s="72"/>
    </row>
    <row r="753">
      <c r="A753" s="72"/>
    </row>
    <row r="754">
      <c r="A754" s="72"/>
    </row>
    <row r="755">
      <c r="A755" s="72"/>
    </row>
    <row r="756">
      <c r="A756" s="72"/>
    </row>
    <row r="757">
      <c r="A757" s="72"/>
    </row>
    <row r="758">
      <c r="A758" s="72"/>
    </row>
    <row r="759">
      <c r="A759" s="72"/>
    </row>
    <row r="760">
      <c r="A760" s="72"/>
    </row>
    <row r="761">
      <c r="A761" s="72"/>
    </row>
    <row r="762">
      <c r="A762" s="72"/>
    </row>
    <row r="763">
      <c r="A763" s="72"/>
    </row>
    <row r="764">
      <c r="A764" s="72"/>
    </row>
    <row r="765">
      <c r="A765" s="72"/>
    </row>
    <row r="766">
      <c r="A766" s="72"/>
    </row>
    <row r="767">
      <c r="A767" s="72"/>
    </row>
    <row r="768">
      <c r="A768" s="72"/>
    </row>
    <row r="769">
      <c r="A769" s="72"/>
    </row>
    <row r="770">
      <c r="A770" s="72"/>
    </row>
    <row r="771">
      <c r="A771" s="72"/>
    </row>
    <row r="772">
      <c r="A772" s="72"/>
    </row>
    <row r="773">
      <c r="A773" s="72"/>
    </row>
    <row r="774">
      <c r="A774" s="72"/>
    </row>
    <row r="775">
      <c r="A775" s="72"/>
    </row>
    <row r="776">
      <c r="A776" s="72"/>
    </row>
    <row r="777">
      <c r="A777" s="72"/>
    </row>
    <row r="778">
      <c r="A778" s="72"/>
    </row>
    <row r="779">
      <c r="A779" s="72"/>
    </row>
    <row r="780">
      <c r="A780" s="72"/>
    </row>
    <row r="781">
      <c r="A781" s="72"/>
    </row>
    <row r="782">
      <c r="A782" s="72"/>
    </row>
    <row r="783">
      <c r="A783" s="72"/>
    </row>
    <row r="784">
      <c r="A784" s="72"/>
    </row>
    <row r="785">
      <c r="A785" s="72"/>
    </row>
    <row r="786">
      <c r="A786" s="72"/>
    </row>
    <row r="787">
      <c r="A787" s="72"/>
    </row>
    <row r="788">
      <c r="A788" s="72"/>
    </row>
    <row r="789">
      <c r="A789" s="72"/>
    </row>
    <row r="790">
      <c r="A790" s="72"/>
    </row>
    <row r="791">
      <c r="A791" s="72"/>
    </row>
    <row r="792">
      <c r="A792" s="72"/>
    </row>
    <row r="793">
      <c r="A793" s="72"/>
    </row>
    <row r="794">
      <c r="A794" s="72"/>
    </row>
    <row r="795">
      <c r="A795" s="72"/>
    </row>
    <row r="796">
      <c r="A796" s="72"/>
    </row>
    <row r="797">
      <c r="A797" s="72"/>
    </row>
    <row r="798">
      <c r="A798" s="72"/>
    </row>
    <row r="799">
      <c r="A799" s="72"/>
    </row>
    <row r="800">
      <c r="A800" s="72"/>
    </row>
    <row r="801">
      <c r="A801" s="72"/>
    </row>
    <row r="802">
      <c r="A802" s="72"/>
    </row>
    <row r="803">
      <c r="A803" s="72"/>
    </row>
    <row r="804">
      <c r="A804" s="72"/>
    </row>
    <row r="805">
      <c r="A805" s="72"/>
    </row>
    <row r="806">
      <c r="A806" s="72"/>
    </row>
    <row r="807">
      <c r="A807" s="72"/>
    </row>
    <row r="808">
      <c r="A808" s="72"/>
    </row>
    <row r="809">
      <c r="A809" s="72"/>
    </row>
    <row r="810">
      <c r="A810" s="72"/>
    </row>
    <row r="811">
      <c r="A811" s="72"/>
    </row>
    <row r="812">
      <c r="A812" s="72"/>
    </row>
    <row r="813">
      <c r="A813" s="72"/>
    </row>
    <row r="814">
      <c r="A814" s="72"/>
    </row>
    <row r="815">
      <c r="A815" s="72"/>
    </row>
    <row r="816">
      <c r="A816" s="72"/>
    </row>
    <row r="817">
      <c r="A817" s="72"/>
    </row>
    <row r="818">
      <c r="A818" s="72"/>
    </row>
    <row r="819">
      <c r="A819" s="72"/>
    </row>
    <row r="820">
      <c r="A820" s="72"/>
    </row>
    <row r="821">
      <c r="A821" s="72"/>
    </row>
    <row r="822">
      <c r="A822" s="72"/>
    </row>
    <row r="823">
      <c r="A823" s="72"/>
    </row>
    <row r="824">
      <c r="A824" s="72"/>
    </row>
    <row r="825">
      <c r="A825" s="72"/>
    </row>
    <row r="826">
      <c r="A826" s="72"/>
    </row>
    <row r="827">
      <c r="A827" s="72"/>
    </row>
    <row r="828">
      <c r="A828" s="72"/>
    </row>
    <row r="829">
      <c r="A829" s="72"/>
    </row>
    <row r="830">
      <c r="A830" s="72"/>
    </row>
    <row r="831">
      <c r="A831" s="72"/>
    </row>
    <row r="832">
      <c r="A832" s="72"/>
    </row>
    <row r="833">
      <c r="A833" s="72"/>
    </row>
    <row r="834">
      <c r="A834" s="72"/>
    </row>
    <row r="835">
      <c r="A835" s="72"/>
    </row>
    <row r="836">
      <c r="A836" s="72"/>
    </row>
    <row r="837">
      <c r="A837" s="72"/>
    </row>
    <row r="838">
      <c r="A838" s="72"/>
    </row>
    <row r="839">
      <c r="A839" s="72"/>
    </row>
    <row r="840">
      <c r="A840" s="72"/>
    </row>
    <row r="841">
      <c r="A841" s="72"/>
    </row>
    <row r="842">
      <c r="A842" s="72"/>
    </row>
    <row r="843">
      <c r="A843" s="72"/>
    </row>
    <row r="844">
      <c r="A844" s="72"/>
    </row>
    <row r="845">
      <c r="A845" s="72"/>
    </row>
    <row r="846">
      <c r="A846" s="72"/>
    </row>
    <row r="847">
      <c r="A847" s="72"/>
    </row>
    <row r="848">
      <c r="A848" s="72"/>
    </row>
    <row r="849">
      <c r="A849" s="72"/>
    </row>
    <row r="850">
      <c r="A850" s="72"/>
    </row>
    <row r="851">
      <c r="A851" s="72"/>
    </row>
    <row r="852">
      <c r="A852" s="72"/>
    </row>
    <row r="853">
      <c r="A853" s="72"/>
    </row>
    <row r="854">
      <c r="A854" s="72"/>
    </row>
    <row r="855">
      <c r="A855" s="72"/>
    </row>
    <row r="856">
      <c r="A856" s="72"/>
    </row>
    <row r="857">
      <c r="A857" s="72"/>
    </row>
    <row r="858">
      <c r="A858" s="72"/>
    </row>
    <row r="859">
      <c r="A859" s="72"/>
    </row>
    <row r="860">
      <c r="A860" s="72"/>
    </row>
    <row r="861">
      <c r="A861" s="72"/>
    </row>
    <row r="862">
      <c r="A862" s="72"/>
    </row>
    <row r="863">
      <c r="A863" s="72"/>
    </row>
    <row r="864">
      <c r="A864" s="72"/>
    </row>
    <row r="865">
      <c r="A865" s="72"/>
    </row>
    <row r="866">
      <c r="A866" s="72"/>
    </row>
    <row r="867">
      <c r="A867" s="72"/>
    </row>
    <row r="868">
      <c r="A868" s="72"/>
    </row>
    <row r="869">
      <c r="A869" s="72"/>
    </row>
    <row r="870">
      <c r="A870" s="72"/>
    </row>
    <row r="871">
      <c r="A871" s="72"/>
    </row>
    <row r="872">
      <c r="A872" s="72"/>
    </row>
    <row r="873">
      <c r="A873" s="72"/>
    </row>
    <row r="874">
      <c r="A874" s="72"/>
    </row>
    <row r="875">
      <c r="A875" s="72"/>
    </row>
    <row r="876">
      <c r="A876" s="72"/>
    </row>
    <row r="877">
      <c r="A877" s="72"/>
    </row>
    <row r="878">
      <c r="A878" s="72"/>
    </row>
    <row r="879">
      <c r="A879" s="72"/>
    </row>
    <row r="880">
      <c r="A880" s="72"/>
    </row>
    <row r="881">
      <c r="A881" s="72"/>
    </row>
    <row r="882">
      <c r="A882" s="72"/>
    </row>
    <row r="883">
      <c r="A883" s="72"/>
    </row>
    <row r="884">
      <c r="A884" s="72"/>
    </row>
    <row r="885">
      <c r="A885" s="72"/>
    </row>
    <row r="886">
      <c r="A886" s="72"/>
    </row>
    <row r="887">
      <c r="A887" s="72"/>
    </row>
    <row r="888">
      <c r="A888" s="72"/>
    </row>
    <row r="889">
      <c r="A889" s="72"/>
    </row>
    <row r="890">
      <c r="A890" s="72"/>
    </row>
    <row r="891">
      <c r="A891" s="72"/>
    </row>
    <row r="892">
      <c r="A892" s="72"/>
    </row>
    <row r="893">
      <c r="A893" s="72"/>
    </row>
    <row r="894">
      <c r="A894" s="72"/>
    </row>
    <row r="895">
      <c r="A895" s="72"/>
    </row>
    <row r="896">
      <c r="A896" s="72"/>
    </row>
    <row r="897">
      <c r="A897" s="72"/>
    </row>
    <row r="898">
      <c r="A898" s="72"/>
    </row>
    <row r="899">
      <c r="A899" s="72"/>
    </row>
    <row r="900">
      <c r="A900" s="72"/>
    </row>
    <row r="901">
      <c r="A901" s="72"/>
    </row>
    <row r="902">
      <c r="A902" s="72"/>
    </row>
    <row r="903">
      <c r="A903" s="72"/>
    </row>
    <row r="904">
      <c r="A904" s="72"/>
    </row>
    <row r="905">
      <c r="A905" s="72"/>
    </row>
    <row r="906">
      <c r="A906" s="72"/>
    </row>
    <row r="907">
      <c r="A907" s="72"/>
    </row>
    <row r="908">
      <c r="A908" s="72"/>
    </row>
    <row r="909">
      <c r="A909" s="72"/>
    </row>
    <row r="910">
      <c r="A910" s="72"/>
    </row>
    <row r="911">
      <c r="A911" s="72"/>
    </row>
    <row r="912">
      <c r="A912" s="72"/>
    </row>
    <row r="913">
      <c r="A913" s="72"/>
    </row>
    <row r="914">
      <c r="A914" s="72"/>
    </row>
    <row r="915">
      <c r="A915" s="72"/>
    </row>
    <row r="916">
      <c r="A916" s="72"/>
    </row>
    <row r="917">
      <c r="A917" s="72"/>
    </row>
    <row r="918">
      <c r="A918" s="72"/>
    </row>
    <row r="919">
      <c r="A919" s="72"/>
    </row>
    <row r="920">
      <c r="A920" s="72"/>
    </row>
    <row r="921">
      <c r="A921" s="72"/>
    </row>
    <row r="922">
      <c r="A922" s="72"/>
    </row>
    <row r="923">
      <c r="A923" s="72"/>
    </row>
    <row r="924">
      <c r="A924" s="72"/>
    </row>
    <row r="925">
      <c r="A925" s="72"/>
    </row>
    <row r="926">
      <c r="A926" s="72"/>
    </row>
    <row r="927">
      <c r="A927" s="72"/>
    </row>
    <row r="928">
      <c r="A928" s="72"/>
    </row>
    <row r="929">
      <c r="A929" s="72"/>
    </row>
    <row r="930">
      <c r="A930" s="72"/>
    </row>
    <row r="931">
      <c r="A931" s="72"/>
    </row>
    <row r="932">
      <c r="A932" s="72"/>
    </row>
    <row r="933">
      <c r="A933" s="72"/>
    </row>
    <row r="934">
      <c r="A934" s="72"/>
    </row>
    <row r="935">
      <c r="A935" s="72"/>
    </row>
    <row r="936">
      <c r="A936" s="72"/>
    </row>
    <row r="937">
      <c r="A937" s="72"/>
    </row>
    <row r="938">
      <c r="A938" s="72"/>
    </row>
    <row r="939">
      <c r="A939" s="72"/>
    </row>
    <row r="940">
      <c r="A940" s="72"/>
    </row>
    <row r="941">
      <c r="A941" s="72"/>
    </row>
    <row r="942">
      <c r="A942" s="72"/>
    </row>
    <row r="943">
      <c r="A943" s="72"/>
    </row>
    <row r="944">
      <c r="A944" s="72"/>
    </row>
    <row r="945">
      <c r="A945" s="72"/>
    </row>
    <row r="946">
      <c r="A946" s="72"/>
    </row>
    <row r="947">
      <c r="A947" s="72"/>
    </row>
    <row r="948">
      <c r="A948" s="72"/>
    </row>
    <row r="949">
      <c r="A949" s="72"/>
    </row>
    <row r="950">
      <c r="A950" s="72"/>
    </row>
    <row r="951">
      <c r="A951" s="72"/>
    </row>
    <row r="952">
      <c r="A952" s="72"/>
    </row>
    <row r="953">
      <c r="A953" s="72"/>
    </row>
    <row r="954">
      <c r="A954" s="72"/>
    </row>
    <row r="955">
      <c r="A955" s="72"/>
    </row>
    <row r="956">
      <c r="A956" s="72"/>
    </row>
    <row r="957">
      <c r="A957" s="72"/>
    </row>
    <row r="958">
      <c r="A958" s="72"/>
    </row>
    <row r="959">
      <c r="A959" s="72"/>
    </row>
    <row r="960">
      <c r="A960" s="72"/>
    </row>
    <row r="961">
      <c r="A961" s="72"/>
    </row>
    <row r="962">
      <c r="A962" s="72"/>
    </row>
    <row r="963">
      <c r="A963" s="72"/>
    </row>
    <row r="964">
      <c r="A964" s="72"/>
    </row>
    <row r="965">
      <c r="A965" s="72"/>
    </row>
    <row r="966">
      <c r="A966" s="72"/>
    </row>
    <row r="967">
      <c r="A967" s="72"/>
    </row>
    <row r="968">
      <c r="A968" s="72"/>
    </row>
    <row r="969">
      <c r="A969" s="72"/>
    </row>
    <row r="970">
      <c r="A970" s="72"/>
    </row>
    <row r="971">
      <c r="A971" s="72"/>
    </row>
    <row r="972">
      <c r="A972" s="72"/>
    </row>
    <row r="973">
      <c r="A973" s="72"/>
    </row>
    <row r="974">
      <c r="A974" s="72"/>
    </row>
    <row r="975">
      <c r="A975" s="72"/>
    </row>
    <row r="976">
      <c r="A976" s="72"/>
    </row>
    <row r="977">
      <c r="A977" s="72"/>
    </row>
    <row r="978">
      <c r="A978" s="72"/>
    </row>
    <row r="979">
      <c r="A979" s="72"/>
    </row>
    <row r="980">
      <c r="A980" s="72"/>
    </row>
    <row r="981">
      <c r="A981" s="72"/>
    </row>
    <row r="982">
      <c r="A982" s="72"/>
    </row>
    <row r="983">
      <c r="A983" s="72"/>
    </row>
    <row r="984">
      <c r="A984" s="72"/>
    </row>
    <row r="985">
      <c r="A985" s="72"/>
    </row>
    <row r="986">
      <c r="A986" s="72"/>
    </row>
    <row r="987">
      <c r="A987" s="72"/>
    </row>
    <row r="988">
      <c r="A988" s="72"/>
    </row>
    <row r="989">
      <c r="A989" s="72"/>
    </row>
    <row r="990">
      <c r="A990" s="72"/>
    </row>
    <row r="991">
      <c r="A991" s="72"/>
    </row>
    <row r="992">
      <c r="A992" s="72"/>
    </row>
    <row r="993">
      <c r="A993" s="72"/>
    </row>
    <row r="994">
      <c r="A994" s="72"/>
    </row>
    <row r="995">
      <c r="A995" s="72"/>
    </row>
    <row r="996">
      <c r="A996" s="72"/>
    </row>
    <row r="997">
      <c r="A997" s="72"/>
    </row>
    <row r="998">
      <c r="A998" s="72"/>
    </row>
    <row r="999">
      <c r="A999" s="72"/>
    </row>
    <row r="1000">
      <c r="A1000" s="72"/>
    </row>
    <row r="1001">
      <c r="A1001" s="7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8" t="s">
        <v>8613</v>
      </c>
      <c r="B1" s="198" t="s">
        <v>8580</v>
      </c>
      <c r="C1" s="198" t="s">
        <v>8581</v>
      </c>
      <c r="D1" s="198" t="s">
        <v>8582</v>
      </c>
      <c r="E1" s="198" t="s">
        <v>8580</v>
      </c>
      <c r="F1" s="198" t="s">
        <v>8581</v>
      </c>
      <c r="G1" s="198" t="s">
        <v>8582</v>
      </c>
    </row>
    <row r="2">
      <c r="A2" s="198" t="s">
        <v>8614</v>
      </c>
      <c r="B2" s="268">
        <v>94.0</v>
      </c>
      <c r="C2" s="268">
        <v>94.0</v>
      </c>
      <c r="D2" s="268">
        <v>94.0</v>
      </c>
      <c r="E2" s="268">
        <v>59.0</v>
      </c>
      <c r="F2" s="268">
        <v>59.0</v>
      </c>
      <c r="G2" s="268">
        <v>59.0</v>
      </c>
    </row>
    <row r="3">
      <c r="A3" s="198" t="s">
        <v>8615</v>
      </c>
      <c r="B3" s="268">
        <v>0.0</v>
      </c>
      <c r="C3" s="268">
        <v>0.0</v>
      </c>
      <c r="D3" s="268">
        <v>0.0</v>
      </c>
      <c r="E3" s="268">
        <v>0.0</v>
      </c>
      <c r="F3" s="268">
        <v>0.0</v>
      </c>
      <c r="G3" s="268">
        <v>0.0</v>
      </c>
    </row>
    <row r="4">
      <c r="A4" s="198" t="s">
        <v>8616</v>
      </c>
      <c r="B4" s="268">
        <v>0.0</v>
      </c>
      <c r="C4" s="268">
        <v>0.0</v>
      </c>
      <c r="D4" s="268">
        <v>0.0</v>
      </c>
      <c r="E4" s="268">
        <v>8.0</v>
      </c>
      <c r="F4" s="268">
        <v>1.0</v>
      </c>
      <c r="G4" s="268">
        <v>1.0</v>
      </c>
    </row>
    <row r="5">
      <c r="A5" s="198" t="s">
        <v>8617</v>
      </c>
      <c r="B5" s="268">
        <v>5.0</v>
      </c>
      <c r="C5" s="268">
        <v>1.0</v>
      </c>
      <c r="D5" s="268">
        <v>1.0</v>
      </c>
      <c r="E5" s="268">
        <v>16.0</v>
      </c>
      <c r="F5" s="268">
        <v>12.0</v>
      </c>
      <c r="G5" s="268">
        <v>6.0</v>
      </c>
    </row>
    <row r="6">
      <c r="A6" s="198" t="s">
        <v>8618</v>
      </c>
      <c r="B6" s="268">
        <v>4.0</v>
      </c>
      <c r="C6" s="268">
        <v>6.0</v>
      </c>
      <c r="D6" s="268">
        <v>5.0</v>
      </c>
      <c r="E6" s="268">
        <v>13.0</v>
      </c>
      <c r="F6" s="268">
        <v>16.0</v>
      </c>
      <c r="G6" s="268">
        <v>15.0</v>
      </c>
    </row>
    <row r="7">
      <c r="A7" s="198" t="s">
        <v>8619</v>
      </c>
      <c r="B7" s="268">
        <v>4.0</v>
      </c>
      <c r="C7" s="268">
        <v>2.0</v>
      </c>
      <c r="D7" s="268">
        <v>3.0</v>
      </c>
      <c r="E7" s="268">
        <v>3.0</v>
      </c>
      <c r="F7" s="268">
        <v>8.0</v>
      </c>
      <c r="G7" s="268">
        <v>10.0</v>
      </c>
    </row>
    <row r="8">
      <c r="A8" s="198" t="s">
        <v>8620</v>
      </c>
      <c r="B8" s="268">
        <v>6.0</v>
      </c>
      <c r="C8" s="268">
        <v>4.0</v>
      </c>
      <c r="D8" s="268">
        <v>3.0</v>
      </c>
      <c r="E8" s="268">
        <v>1.0</v>
      </c>
      <c r="F8" s="268">
        <v>2.0</v>
      </c>
      <c r="G8" s="268">
        <v>5.0</v>
      </c>
    </row>
    <row r="9">
      <c r="A9" s="198" t="s">
        <v>8621</v>
      </c>
      <c r="B9" s="268">
        <v>0.0</v>
      </c>
      <c r="C9" s="268">
        <v>3.0</v>
      </c>
      <c r="D9" s="268">
        <v>1.0</v>
      </c>
      <c r="E9" s="268">
        <v>1.0</v>
      </c>
      <c r="F9" s="268">
        <v>2.0</v>
      </c>
      <c r="G9" s="268">
        <v>3.0</v>
      </c>
    </row>
    <row r="10">
      <c r="A10" s="198" t="s">
        <v>8622</v>
      </c>
      <c r="B10" s="268">
        <v>0.0</v>
      </c>
      <c r="C10" s="268">
        <v>3.0</v>
      </c>
      <c r="D10" s="268">
        <v>1.0</v>
      </c>
      <c r="E10" s="268">
        <v>1.0</v>
      </c>
      <c r="F10" s="268">
        <v>0.0</v>
      </c>
      <c r="G10" s="268">
        <v>0.0</v>
      </c>
    </row>
    <row r="11">
      <c r="A11" s="198" t="s">
        <v>8623</v>
      </c>
      <c r="B11" s="268">
        <v>5.0</v>
      </c>
      <c r="C11" s="268">
        <v>5.0</v>
      </c>
      <c r="D11" s="268">
        <v>10.0</v>
      </c>
      <c r="E11" s="268">
        <v>16.0</v>
      </c>
      <c r="F11" s="268">
        <v>18.0</v>
      </c>
      <c r="G11" s="268">
        <v>19.0</v>
      </c>
    </row>
    <row r="12">
      <c r="A12" s="198"/>
      <c r="B12" s="268"/>
      <c r="C12" s="268"/>
      <c r="D12" s="268"/>
      <c r="E12" s="268"/>
      <c r="F12" s="268"/>
      <c r="G12" s="268"/>
    </row>
    <row r="13">
      <c r="A13" s="198"/>
    </row>
    <row r="14">
      <c r="A14" s="198"/>
      <c r="B14" s="198"/>
      <c r="C14" s="198"/>
      <c r="D14" s="198"/>
      <c r="E14" s="198"/>
      <c r="F14" s="198"/>
      <c r="G14" s="198"/>
    </row>
    <row r="15">
      <c r="A15" s="198"/>
      <c r="B15" s="198"/>
      <c r="C15" s="198"/>
      <c r="D15" s="198"/>
      <c r="E15" s="198"/>
      <c r="F15" s="198"/>
      <c r="G15" s="19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63"/>
    <col customWidth="1" min="2" max="7" width="16.5"/>
  </cols>
  <sheetData>
    <row r="1">
      <c r="A1" s="313" t="s">
        <v>0</v>
      </c>
      <c r="B1" s="390" t="s">
        <v>1743</v>
      </c>
      <c r="C1" s="390" t="s">
        <v>1745</v>
      </c>
      <c r="D1" s="390" t="s">
        <v>1747</v>
      </c>
      <c r="E1" s="1" t="s">
        <v>8568</v>
      </c>
      <c r="F1" s="1" t="s">
        <v>8569</v>
      </c>
      <c r="G1" s="1" t="s">
        <v>8570</v>
      </c>
      <c r="H1" s="9" t="s">
        <v>8571</v>
      </c>
      <c r="I1" s="9" t="s">
        <v>8572</v>
      </c>
      <c r="J1" s="9" t="s">
        <v>8573</v>
      </c>
      <c r="K1" s="9" t="s">
        <v>8574</v>
      </c>
      <c r="L1" s="9" t="s">
        <v>8575</v>
      </c>
      <c r="M1" s="9" t="s">
        <v>8576</v>
      </c>
    </row>
    <row r="2">
      <c r="A2" s="52" t="s">
        <v>1018</v>
      </c>
      <c r="B2" s="9">
        <f>IF(OR(EQ('Rate of Improvements'!B2, "Inf"), 'Rate of Improvements'!B2 &gt; 1), 1.1, 'Rate of Improvements'!B2)</f>
        <v>0</v>
      </c>
      <c r="C2" s="9">
        <f>IF(OR(EQ('Rate of Improvements'!C2, "Inf"), 'Rate of Improvements'!C2 &gt; 1), 1.1, 'Rate of Improvements'!C2)</f>
        <v>0</v>
      </c>
      <c r="D2" s="9">
        <f>IF(OR(EQ('Rate of Improvements'!D2, "Inf"), 'Rate of Improvements'!D2 &gt; 1), 1.1, 'Rate of Improvements'!D2)</f>
        <v>0</v>
      </c>
      <c r="E2" s="9">
        <f>IF(OR(EQ('Rate of Improvements'!E2, "Inf"), 'Rate of Improvements'!E2 &gt; 1), 1.1, 'Rate of Improvements'!E2)</f>
        <v>0</v>
      </c>
      <c r="F2" s="9">
        <f>IF(OR(EQ('Rate of Improvements'!F2, "Inf"), 'Rate of Improvements'!F2 &gt; 1), 1.1, 'Rate of Improvements'!F2)</f>
        <v>0</v>
      </c>
      <c r="G2" s="9">
        <f>IF(OR(EQ('Rate of Improvements'!G2, "Inf"), 'Rate of Improvements'!G2 &gt; 1), 1.1, 'Rate of Improvements'!G2)</f>
        <v>0</v>
      </c>
      <c r="H2" s="2">
        <f t="shared" ref="H2:J2" si="1">IF(OR(E2&gt;B2, And(EQ(E2, "Inf"), NOT(EQ(B2, "Inf")))), 1, 0)</f>
        <v>0</v>
      </c>
      <c r="I2" s="2">
        <f t="shared" si="1"/>
        <v>0</v>
      </c>
      <c r="J2" s="2">
        <f t="shared" si="1"/>
        <v>0</v>
      </c>
      <c r="K2" s="2">
        <f t="shared" ref="K2:M2" si="2">IF(OR(E2&lt;B2, And(EQ(B2, "Inf"), NOT(EQ(E2, "Inf")))), 1, 0)</f>
        <v>0</v>
      </c>
      <c r="L2" s="2">
        <f t="shared" si="2"/>
        <v>0</v>
      </c>
      <c r="M2" s="2">
        <f t="shared" si="2"/>
        <v>0</v>
      </c>
    </row>
    <row r="3">
      <c r="A3" s="391" t="s">
        <v>533</v>
      </c>
      <c r="B3" s="9">
        <f>IF(OR(EQ('Rate of Improvements'!B3, "Inf"), 'Rate of Improvements'!B3 &gt; 1), 1.1, 'Rate of Improvements'!B3)</f>
        <v>1.1</v>
      </c>
      <c r="C3" s="9">
        <f>IF(OR(EQ('Rate of Improvements'!C3, "Inf"), 'Rate of Improvements'!C3 &gt; 1), 1.1, 'Rate of Improvements'!C3)</f>
        <v>1.1</v>
      </c>
      <c r="D3" s="9">
        <f>IF(OR(EQ('Rate of Improvements'!D3, "Inf"), 'Rate of Improvements'!D3 &gt; 1), 1.1, 'Rate of Improvements'!D3)</f>
        <v>1.1</v>
      </c>
      <c r="E3" s="9">
        <f>IF(OR(EQ('Rate of Improvements'!E3, "Inf"), 'Rate of Improvements'!E3 &gt; 1), 1.1, 'Rate of Improvements'!E3)</f>
        <v>0</v>
      </c>
      <c r="F3" s="9">
        <f>IF(OR(EQ('Rate of Improvements'!F3, "Inf"), 'Rate of Improvements'!F3 &gt; 1), 1.1, 'Rate of Improvements'!F3)</f>
        <v>0</v>
      </c>
      <c r="G3" s="9">
        <f>IF(OR(EQ('Rate of Improvements'!G3, "Inf"), 'Rate of Improvements'!G3 &gt; 1), 1.1, 'Rate of Improvements'!G3)</f>
        <v>0</v>
      </c>
      <c r="H3" s="2">
        <f t="shared" ref="H3:J3" si="3">IF(OR(E3&gt;B3, And(EQ(E3, "Inf"), NOT(EQ(B3, "Inf")))), 1, 0)</f>
        <v>0</v>
      </c>
      <c r="I3" s="2">
        <f t="shared" si="3"/>
        <v>0</v>
      </c>
      <c r="J3" s="2">
        <f t="shared" si="3"/>
        <v>0</v>
      </c>
      <c r="K3" s="2">
        <f t="shared" ref="K3:M3" si="4">IF(OR(E3&lt;B3, And(EQ(B3, "Inf"), NOT(EQ(E3, "Inf")))), 1, 0)</f>
        <v>1</v>
      </c>
      <c r="L3" s="2">
        <f t="shared" si="4"/>
        <v>1</v>
      </c>
      <c r="M3" s="2">
        <f t="shared" si="4"/>
        <v>1</v>
      </c>
      <c r="P3" s="9" t="s">
        <v>8603</v>
      </c>
      <c r="Q3" s="9" t="s">
        <v>8604</v>
      </c>
      <c r="R3" s="9" t="s">
        <v>8605</v>
      </c>
    </row>
    <row r="4">
      <c r="A4" s="52" t="s">
        <v>342</v>
      </c>
      <c r="B4" s="9">
        <f>IF(OR(EQ('Rate of Improvements'!B4, "Inf"), 'Rate of Improvements'!B4 &gt; 1), 1.1, 'Rate of Improvements'!B4)</f>
        <v>0</v>
      </c>
      <c r="C4" s="9">
        <f>IF(OR(EQ('Rate of Improvements'!C4, "Inf"), 'Rate of Improvements'!C4 &gt; 1), 1.1, 'Rate of Improvements'!C4)</f>
        <v>0</v>
      </c>
      <c r="D4" s="9">
        <f>IF(OR(EQ('Rate of Improvements'!D4, "Inf"), 'Rate of Improvements'!D4 &gt; 1), 1.1, 'Rate of Improvements'!D4)</f>
        <v>0</v>
      </c>
      <c r="E4" s="9">
        <f>IF(OR(EQ('Rate of Improvements'!E4, "Inf"), 'Rate of Improvements'!E4 &gt; 1), 1.1, 'Rate of Improvements'!E4)</f>
        <v>0.5487604585</v>
      </c>
      <c r="F4" s="9">
        <f>IF(OR(EQ('Rate of Improvements'!F4, "Inf"), 'Rate of Improvements'!F4 &gt; 1), 1.1, 'Rate of Improvements'!F4)</f>
        <v>1.1</v>
      </c>
      <c r="G4" s="9">
        <f>IF(OR(EQ('Rate of Improvements'!G4, "Inf"), 'Rate of Improvements'!G4 &gt; 1), 1.1, 'Rate of Improvements'!G4)</f>
        <v>1.1</v>
      </c>
      <c r="H4" s="2">
        <f t="shared" ref="H4:J4" si="5">IF(OR(E4&gt;B4, And(EQ(E4, "Inf"), NOT(EQ(B4, "Inf")))), 1, 0)</f>
        <v>1</v>
      </c>
      <c r="I4" s="2">
        <f t="shared" si="5"/>
        <v>1</v>
      </c>
      <c r="J4" s="2">
        <f t="shared" si="5"/>
        <v>1</v>
      </c>
      <c r="K4" s="2">
        <f t="shared" ref="K4:M4" si="6">IF(OR(E4&lt;B4, And(EQ(B4, "Inf"), NOT(EQ(E4, "Inf")))), 1, 0)</f>
        <v>0</v>
      </c>
      <c r="L4" s="2">
        <f t="shared" si="6"/>
        <v>0</v>
      </c>
      <c r="M4" s="2">
        <f t="shared" si="6"/>
        <v>0</v>
      </c>
      <c r="P4" s="397">
        <f t="shared" ref="P4:R4" si="7">SUM(H2:H119)/COUNT(H2:H119)</f>
        <v>0.3813559322</v>
      </c>
      <c r="Q4" s="397">
        <f t="shared" si="7"/>
        <v>0.3644067797</v>
      </c>
      <c r="R4" s="397">
        <f t="shared" si="7"/>
        <v>0.3644067797</v>
      </c>
    </row>
    <row r="5">
      <c r="A5" s="52" t="s">
        <v>927</v>
      </c>
      <c r="B5" s="9">
        <f>IF(OR(EQ('Rate of Improvements'!B5, "Inf"), 'Rate of Improvements'!B5 &gt; 1), 1.1, 'Rate of Improvements'!B5)</f>
        <v>0</v>
      </c>
      <c r="C5" s="9">
        <f>IF(OR(EQ('Rate of Improvements'!C5, "Inf"), 'Rate of Improvements'!C5 &gt; 1), 1.1, 'Rate of Improvements'!C5)</f>
        <v>0</v>
      </c>
      <c r="D5" s="9">
        <f>IF(OR(EQ('Rate of Improvements'!D5, "Inf"), 'Rate of Improvements'!D5 &gt; 1), 1.1, 'Rate of Improvements'!D5)</f>
        <v>0</v>
      </c>
      <c r="E5" s="9">
        <f>IF(OR(EQ('Rate of Improvements'!E5, "Inf"), 'Rate of Improvements'!E5 &gt; 1), 1.1, 'Rate of Improvements'!E5)</f>
        <v>0</v>
      </c>
      <c r="F5" s="9">
        <f>IF(OR(EQ('Rate of Improvements'!F5, "Inf"), 'Rate of Improvements'!F5 &gt; 1), 1.1, 'Rate of Improvements'!F5)</f>
        <v>0</v>
      </c>
      <c r="G5" s="9">
        <f>IF(OR(EQ('Rate of Improvements'!G5, "Inf"), 'Rate of Improvements'!G5 &gt; 1), 1.1, 'Rate of Improvements'!G5)</f>
        <v>0</v>
      </c>
      <c r="H5" s="2">
        <f t="shared" ref="H5:J5" si="8">IF(OR(E5&gt;B5, And(EQ(E5, "Inf"), NOT(EQ(B5, "Inf")))), 1, 0)</f>
        <v>0</v>
      </c>
      <c r="I5" s="2">
        <f t="shared" si="8"/>
        <v>0</v>
      </c>
      <c r="J5" s="2">
        <f t="shared" si="8"/>
        <v>0</v>
      </c>
      <c r="K5" s="2">
        <f t="shared" ref="K5:M5" si="9">IF(OR(E5&lt;B5, And(EQ(B5, "Inf"), NOT(EQ(E5, "Inf")))), 1, 0)</f>
        <v>0</v>
      </c>
      <c r="L5" s="2">
        <f t="shared" si="9"/>
        <v>0</v>
      </c>
      <c r="M5" s="2">
        <f t="shared" si="9"/>
        <v>0</v>
      </c>
    </row>
    <row r="6">
      <c r="A6" s="52" t="s">
        <v>795</v>
      </c>
      <c r="B6" s="9">
        <f>IF(OR(EQ('Rate of Improvements'!B6, "Inf"), 'Rate of Improvements'!B6 &gt; 1), 1.1, 'Rate of Improvements'!B6)</f>
        <v>0</v>
      </c>
      <c r="C6" s="9">
        <f>IF(OR(EQ('Rate of Improvements'!C6, "Inf"), 'Rate of Improvements'!C6 &gt; 1), 1.1, 'Rate of Improvements'!C6)</f>
        <v>0</v>
      </c>
      <c r="D6" s="9">
        <f>IF(OR(EQ('Rate of Improvements'!D6, "Inf"), 'Rate of Improvements'!D6 &gt; 1), 1.1, 'Rate of Improvements'!D6)</f>
        <v>0</v>
      </c>
      <c r="E6" s="9">
        <f>IF(OR(EQ('Rate of Improvements'!E6, "Inf"), 'Rate of Improvements'!E6 &gt; 1), 1.1, 'Rate of Improvements'!E6)</f>
        <v>0</v>
      </c>
      <c r="F6" s="9">
        <f>IF(OR(EQ('Rate of Improvements'!F6, "Inf"), 'Rate of Improvements'!F6 &gt; 1), 1.1, 'Rate of Improvements'!F6)</f>
        <v>0</v>
      </c>
      <c r="G6" s="9">
        <f>IF(OR(EQ('Rate of Improvements'!G6, "Inf"), 'Rate of Improvements'!G6 &gt; 1), 1.1, 'Rate of Improvements'!G6)</f>
        <v>0</v>
      </c>
      <c r="H6" s="2">
        <f t="shared" ref="H6:J6" si="10">IF(OR(E6&gt;B6, And(EQ(E6, "Inf"), NOT(EQ(B6, "Inf")))), 1, 0)</f>
        <v>0</v>
      </c>
      <c r="I6" s="2">
        <f t="shared" si="10"/>
        <v>0</v>
      </c>
      <c r="J6" s="2">
        <f t="shared" si="10"/>
        <v>0</v>
      </c>
      <c r="K6" s="2">
        <f t="shared" ref="K6:M6" si="11">IF(OR(E6&lt;B6, And(EQ(B6, "Inf"), NOT(EQ(E6, "Inf")))), 1, 0)</f>
        <v>0</v>
      </c>
      <c r="L6" s="2">
        <f t="shared" si="11"/>
        <v>0</v>
      </c>
      <c r="M6" s="2">
        <f t="shared" si="11"/>
        <v>0</v>
      </c>
      <c r="P6" s="9" t="s">
        <v>8606</v>
      </c>
      <c r="Q6" s="9" t="s">
        <v>8607</v>
      </c>
      <c r="R6" s="9" t="s">
        <v>8608</v>
      </c>
    </row>
    <row r="7">
      <c r="A7" s="52" t="s">
        <v>650</v>
      </c>
      <c r="B7" s="9">
        <f>IF(OR(EQ('Rate of Improvements'!B7, "Inf"), 'Rate of Improvements'!B7 &gt; 1), 1.1, 'Rate of Improvements'!B7)</f>
        <v>0</v>
      </c>
      <c r="C7" s="9">
        <f>IF(OR(EQ('Rate of Improvements'!C7, "Inf"), 'Rate of Improvements'!C7 &gt; 1), 1.1, 'Rate of Improvements'!C7)</f>
        <v>0</v>
      </c>
      <c r="D7" s="9">
        <f>IF(OR(EQ('Rate of Improvements'!D7, "Inf"), 'Rate of Improvements'!D7 &gt; 1), 1.1, 'Rate of Improvements'!D7)</f>
        <v>0</v>
      </c>
      <c r="E7" s="9">
        <f>IF(OR(EQ('Rate of Improvements'!E7, "Inf"), 'Rate of Improvements'!E7 &gt; 1), 1.1, 'Rate of Improvements'!E7)</f>
        <v>0</v>
      </c>
      <c r="F7" s="9">
        <f>IF(OR(EQ('Rate of Improvements'!F7, "Inf"), 'Rate of Improvements'!F7 &gt; 1), 1.1, 'Rate of Improvements'!F7)</f>
        <v>0</v>
      </c>
      <c r="G7" s="9">
        <f>IF(OR(EQ('Rate of Improvements'!G7, "Inf"), 'Rate of Improvements'!G7 &gt; 1), 1.1, 'Rate of Improvements'!G7)</f>
        <v>0</v>
      </c>
      <c r="H7" s="2">
        <f t="shared" ref="H7:J7" si="12">IF(OR(E7&gt;B7, And(EQ(E7, "Inf"), NOT(EQ(B7, "Inf")))), 1, 0)</f>
        <v>0</v>
      </c>
      <c r="I7" s="2">
        <f t="shared" si="12"/>
        <v>0</v>
      </c>
      <c r="J7" s="2">
        <f t="shared" si="12"/>
        <v>0</v>
      </c>
      <c r="K7" s="2">
        <f t="shared" ref="K7:M7" si="13">IF(OR(E7&lt;B7, And(EQ(B7, "Inf"), NOT(EQ(E7, "Inf")))), 1, 0)</f>
        <v>0</v>
      </c>
      <c r="L7" s="2">
        <f t="shared" si="13"/>
        <v>0</v>
      </c>
      <c r="M7" s="2">
        <f t="shared" si="13"/>
        <v>0</v>
      </c>
      <c r="P7" s="397">
        <f t="shared" ref="P7:R7" si="14">SUM(K2:K119)/COUNT(K2:K119)</f>
        <v>0.1101694915</v>
      </c>
      <c r="Q7" s="397">
        <f t="shared" si="14"/>
        <v>0.08474576271</v>
      </c>
      <c r="R7" s="397">
        <f t="shared" si="14"/>
        <v>0.07627118644</v>
      </c>
    </row>
    <row r="8">
      <c r="A8" s="52" t="s">
        <v>828</v>
      </c>
      <c r="B8" s="9">
        <f>IF(OR(EQ('Rate of Improvements'!B8, "Inf"), 'Rate of Improvements'!B8 &gt; 1), 1.1, 'Rate of Improvements'!B8)</f>
        <v>0</v>
      </c>
      <c r="C8" s="9">
        <f>IF(OR(EQ('Rate of Improvements'!C8, "Inf"), 'Rate of Improvements'!C8 &gt; 1), 1.1, 'Rate of Improvements'!C8)</f>
        <v>0</v>
      </c>
      <c r="D8" s="9">
        <f>IF(OR(EQ('Rate of Improvements'!D8, "Inf"), 'Rate of Improvements'!D8 &gt; 1), 1.1, 'Rate of Improvements'!D8)</f>
        <v>0</v>
      </c>
      <c r="E8" s="9">
        <f>IF(OR(EQ('Rate of Improvements'!E8, "Inf"), 'Rate of Improvements'!E8 &gt; 1), 1.1, 'Rate of Improvements'!E8)</f>
        <v>0.8438020169</v>
      </c>
      <c r="F8" s="9">
        <f>IF(OR(EQ('Rate of Improvements'!F8, "Inf"), 'Rate of Improvements'!F8 &gt; 1), 1.1, 'Rate of Improvements'!F8)</f>
        <v>1.1</v>
      </c>
      <c r="G8" s="9">
        <f>IF(OR(EQ('Rate of Improvements'!G8, "Inf"), 'Rate of Improvements'!G8 &gt; 1), 1.1, 'Rate of Improvements'!G8)</f>
        <v>1.1</v>
      </c>
      <c r="H8" s="2">
        <f t="shared" ref="H8:J8" si="15">IF(OR(E8&gt;B8, And(EQ(E8, "Inf"), NOT(EQ(B8, "Inf")))), 1, 0)</f>
        <v>1</v>
      </c>
      <c r="I8" s="2">
        <f t="shared" si="15"/>
        <v>1</v>
      </c>
      <c r="J8" s="2">
        <f t="shared" si="15"/>
        <v>1</v>
      </c>
      <c r="K8" s="2">
        <f t="shared" ref="K8:M8" si="16">IF(OR(E8&lt;B8, And(EQ(B8, "Inf"), NOT(EQ(E8, "Inf")))), 1, 0)</f>
        <v>0</v>
      </c>
      <c r="L8" s="2">
        <f t="shared" si="16"/>
        <v>0</v>
      </c>
      <c r="M8" s="2">
        <f t="shared" si="16"/>
        <v>0</v>
      </c>
    </row>
    <row r="9">
      <c r="A9" s="52" t="s">
        <v>1146</v>
      </c>
      <c r="B9" s="9">
        <f>IF(OR(EQ('Rate of Improvements'!B9, "Inf"), 'Rate of Improvements'!B9 &gt; 1), 1.1, 'Rate of Improvements'!B9)</f>
        <v>0</v>
      </c>
      <c r="C9" s="9">
        <f>IF(OR(EQ('Rate of Improvements'!C9, "Inf"), 'Rate of Improvements'!C9 &gt; 1), 1.1, 'Rate of Improvements'!C9)</f>
        <v>0</v>
      </c>
      <c r="D9" s="9">
        <f>IF(OR(EQ('Rate of Improvements'!D9, "Inf"), 'Rate of Improvements'!D9 &gt; 1), 1.1, 'Rate of Improvements'!D9)</f>
        <v>0</v>
      </c>
      <c r="E9" s="9">
        <f>IF(OR(EQ('Rate of Improvements'!E9, "Inf"), 'Rate of Improvements'!E9 &gt; 1), 1.1, 'Rate of Improvements'!E9)</f>
        <v>1.1</v>
      </c>
      <c r="F9" s="9">
        <f>IF(OR(EQ('Rate of Improvements'!F9, "Inf"), 'Rate of Improvements'!F9 &gt; 1), 1.1, 'Rate of Improvements'!F9)</f>
        <v>1.1</v>
      </c>
      <c r="G9" s="9">
        <f>IF(OR(EQ('Rate of Improvements'!G9, "Inf"), 'Rate of Improvements'!G9 &gt; 1), 1.1, 'Rate of Improvements'!G9)</f>
        <v>1.1</v>
      </c>
      <c r="H9" s="2">
        <f t="shared" ref="H9:J9" si="17">IF(OR(E9&gt;B9, And(EQ(E9, "Inf"), NOT(EQ(B9, "Inf")))), 1, 0)</f>
        <v>1</v>
      </c>
      <c r="I9" s="2">
        <f t="shared" si="17"/>
        <v>1</v>
      </c>
      <c r="J9" s="2">
        <f t="shared" si="17"/>
        <v>1</v>
      </c>
      <c r="K9" s="2">
        <f t="shared" ref="K9:M9" si="18">IF(OR(E9&lt;B9, And(EQ(B9, "Inf"), NOT(EQ(E9, "Inf")))), 1, 0)</f>
        <v>0</v>
      </c>
      <c r="L9" s="2">
        <f t="shared" si="18"/>
        <v>0</v>
      </c>
      <c r="M9" s="2">
        <f t="shared" si="18"/>
        <v>0</v>
      </c>
    </row>
    <row r="10">
      <c r="A10" s="391" t="s">
        <v>719</v>
      </c>
      <c r="B10" s="9">
        <f>IF(OR(EQ('Rate of Improvements'!B10, "Inf"), 'Rate of Improvements'!B10 &gt; 1), 1.1, 'Rate of Improvements'!B10)</f>
        <v>1.1</v>
      </c>
      <c r="C10" s="9">
        <f>IF(OR(EQ('Rate of Improvements'!C10, "Inf"), 'Rate of Improvements'!C10 &gt; 1), 1.1, 'Rate of Improvements'!C10)</f>
        <v>1.1</v>
      </c>
      <c r="D10" s="9">
        <f>IF(OR(EQ('Rate of Improvements'!D10, "Inf"), 'Rate of Improvements'!D10 &gt; 1), 1.1, 'Rate of Improvements'!D10)</f>
        <v>1.1</v>
      </c>
      <c r="E10" s="9">
        <f>IF(OR(EQ('Rate of Improvements'!E10, "Inf"), 'Rate of Improvements'!E10 &gt; 1), 1.1, 'Rate of Improvements'!E10)</f>
        <v>1.1</v>
      </c>
      <c r="F10" s="9">
        <f>IF(OR(EQ('Rate of Improvements'!F10, "Inf"), 'Rate of Improvements'!F10 &gt; 1), 1.1, 'Rate of Improvements'!F10)</f>
        <v>1.1</v>
      </c>
      <c r="G10" s="9">
        <f>IF(OR(EQ('Rate of Improvements'!G10, "Inf"), 'Rate of Improvements'!G10 &gt; 1), 1.1, 'Rate of Improvements'!G10)</f>
        <v>1.1</v>
      </c>
      <c r="H10" s="2">
        <f t="shared" ref="H10:J10" si="19">IF(OR(E10&gt;B10, And(EQ(E10, "Inf"), NOT(EQ(B10, "Inf")))), 1, 0)</f>
        <v>0</v>
      </c>
      <c r="I10" s="2">
        <f t="shared" si="19"/>
        <v>0</v>
      </c>
      <c r="J10" s="2">
        <f t="shared" si="19"/>
        <v>0</v>
      </c>
      <c r="K10" s="2">
        <f t="shared" ref="K10:M10" si="20">IF(OR(E10&lt;B10, And(EQ(B10, "Inf"), NOT(EQ(E10, "Inf")))), 1, 0)</f>
        <v>0</v>
      </c>
      <c r="L10" s="2">
        <f t="shared" si="20"/>
        <v>0</v>
      </c>
      <c r="M10" s="2">
        <f t="shared" si="20"/>
        <v>0</v>
      </c>
    </row>
    <row r="11">
      <c r="A11" s="393" t="s">
        <v>1060</v>
      </c>
      <c r="B11" s="9">
        <f>IF(OR(EQ('Rate of Improvements'!B11, "Inf"), 'Rate of Improvements'!B11 &gt; 1), 1.1, 'Rate of Improvements'!B11)</f>
        <v>1.1</v>
      </c>
      <c r="C11" s="9">
        <f>IF(OR(EQ('Rate of Improvements'!C11, "Inf"), 'Rate of Improvements'!C11 &gt; 1), 1.1, 'Rate of Improvements'!C11)</f>
        <v>1.1</v>
      </c>
      <c r="D11" s="9">
        <f>IF(OR(EQ('Rate of Improvements'!D11, "Inf"), 'Rate of Improvements'!D11 &gt; 1), 1.1, 'Rate of Improvements'!D11)</f>
        <v>1.1</v>
      </c>
      <c r="E11" s="9">
        <f>IF(OR(EQ('Rate of Improvements'!E11, "Inf"), 'Rate of Improvements'!E11 &gt; 1), 1.1, 'Rate of Improvements'!E11)</f>
        <v>0</v>
      </c>
      <c r="F11" s="9">
        <f>IF(OR(EQ('Rate of Improvements'!F11, "Inf"), 'Rate of Improvements'!F11 &gt; 1), 1.1, 'Rate of Improvements'!F11)</f>
        <v>0</v>
      </c>
      <c r="G11" s="9">
        <f>IF(OR(EQ('Rate of Improvements'!G11, "Inf"), 'Rate of Improvements'!G11 &gt; 1), 1.1, 'Rate of Improvements'!G11)</f>
        <v>0</v>
      </c>
      <c r="H11" s="2">
        <f t="shared" ref="H11:J11" si="21">IF(OR(E11&gt;B11, And(EQ(E11, "Inf"), NOT(EQ(B11, "Inf")))), 1, 0)</f>
        <v>0</v>
      </c>
      <c r="I11" s="2">
        <f t="shared" si="21"/>
        <v>0</v>
      </c>
      <c r="J11" s="2">
        <f t="shared" si="21"/>
        <v>0</v>
      </c>
      <c r="K11" s="2">
        <f t="shared" ref="K11:M11" si="22">IF(OR(E11&lt;B11, And(EQ(B11, "Inf"), NOT(EQ(E11, "Inf")))), 1, 0)</f>
        <v>1</v>
      </c>
      <c r="L11" s="2">
        <f t="shared" si="22"/>
        <v>1</v>
      </c>
      <c r="M11" s="2">
        <f t="shared" si="22"/>
        <v>1</v>
      </c>
    </row>
    <row r="12">
      <c r="A12" s="52" t="s">
        <v>291</v>
      </c>
      <c r="B12" s="9">
        <f>IF(OR(EQ('Rate of Improvements'!B12, "Inf"), 'Rate of Improvements'!B12 &gt; 1), 1.1, 'Rate of Improvements'!B12)</f>
        <v>0</v>
      </c>
      <c r="C12" s="9">
        <f>IF(OR(EQ('Rate of Improvements'!C12, "Inf"), 'Rate of Improvements'!C12 &gt; 1), 1.1, 'Rate of Improvements'!C12)</f>
        <v>0</v>
      </c>
      <c r="D12" s="9">
        <f>IF(OR(EQ('Rate of Improvements'!D12, "Inf"), 'Rate of Improvements'!D12 &gt; 1), 1.1, 'Rate of Improvements'!D12)</f>
        <v>0</v>
      </c>
      <c r="E12" s="9">
        <f>IF(OR(EQ('Rate of Improvements'!E12, "Inf"), 'Rate of Improvements'!E12 &gt; 1), 1.1, 'Rate of Improvements'!E12)</f>
        <v>0.4125375446</v>
      </c>
      <c r="F12" s="9">
        <f>IF(OR(EQ('Rate of Improvements'!F12, "Inf"), 'Rate of Improvements'!F12 &gt; 1), 1.1, 'Rate of Improvements'!F12)</f>
        <v>0.995262315</v>
      </c>
      <c r="G12" s="9">
        <f>IF(OR(EQ('Rate of Improvements'!G12, "Inf"), 'Rate of Improvements'!G12 &gt; 1), 1.1, 'Rate of Improvements'!G12)</f>
        <v>1.1</v>
      </c>
      <c r="H12" s="2">
        <f t="shared" ref="H12:J12" si="23">IF(OR(E12&gt;B12, And(EQ(E12, "Inf"), NOT(EQ(B12, "Inf")))), 1, 0)</f>
        <v>1</v>
      </c>
      <c r="I12" s="2">
        <f t="shared" si="23"/>
        <v>1</v>
      </c>
      <c r="J12" s="2">
        <f t="shared" si="23"/>
        <v>1</v>
      </c>
      <c r="K12" s="2">
        <f t="shared" ref="K12:M12" si="24">IF(OR(E12&lt;B12, And(EQ(B12, "Inf"), NOT(EQ(E12, "Inf")))), 1, 0)</f>
        <v>0</v>
      </c>
      <c r="L12" s="2">
        <f t="shared" si="24"/>
        <v>0</v>
      </c>
      <c r="M12" s="2">
        <f t="shared" si="24"/>
        <v>0</v>
      </c>
    </row>
    <row r="13">
      <c r="A13" s="52" t="s">
        <v>980</v>
      </c>
      <c r="B13" s="9">
        <f>IF(OR(EQ('Rate of Improvements'!B13, "Inf"), 'Rate of Improvements'!B13 &gt; 1), 1.1, 'Rate of Improvements'!B13)</f>
        <v>0</v>
      </c>
      <c r="C13" s="9">
        <f>IF(OR(EQ('Rate of Improvements'!C13, "Inf"), 'Rate of Improvements'!C13 &gt; 1), 1.1, 'Rate of Improvements'!C13)</f>
        <v>0</v>
      </c>
      <c r="D13" s="9">
        <f>IF(OR(EQ('Rate of Improvements'!D13, "Inf"), 'Rate of Improvements'!D13 &gt; 1), 1.1, 'Rate of Improvements'!D13)</f>
        <v>0</v>
      </c>
      <c r="E13" s="9">
        <f>IF(OR(EQ('Rate of Improvements'!E13, "Inf"), 'Rate of Improvements'!E13 &gt; 1), 1.1, 'Rate of Improvements'!E13)</f>
        <v>0.995262315</v>
      </c>
      <c r="F13" s="9">
        <f>IF(OR(EQ('Rate of Improvements'!F13, "Inf"), 'Rate of Improvements'!F13 &gt; 1), 1.1, 'Rate of Improvements'!F13)</f>
        <v>1.1</v>
      </c>
      <c r="G13" s="9">
        <f>IF(OR(EQ('Rate of Improvements'!G13, "Inf"), 'Rate of Improvements'!G13 &gt; 1), 1.1, 'Rate of Improvements'!G13)</f>
        <v>1.1</v>
      </c>
      <c r="H13" s="2">
        <f t="shared" ref="H13:J13" si="25">IF(OR(E13&gt;B13, And(EQ(E13, "Inf"), NOT(EQ(B13, "Inf")))), 1, 0)</f>
        <v>1</v>
      </c>
      <c r="I13" s="2">
        <f t="shared" si="25"/>
        <v>1</v>
      </c>
      <c r="J13" s="2">
        <f t="shared" si="25"/>
        <v>1</v>
      </c>
      <c r="K13" s="2">
        <f t="shared" ref="K13:M13" si="26">IF(OR(E13&lt;B13, And(EQ(B13, "Inf"), NOT(EQ(E13, "Inf")))), 1, 0)</f>
        <v>0</v>
      </c>
      <c r="L13" s="2">
        <f t="shared" si="26"/>
        <v>0</v>
      </c>
      <c r="M13" s="2">
        <f t="shared" si="26"/>
        <v>0</v>
      </c>
    </row>
    <row r="14">
      <c r="A14" s="52" t="s">
        <v>577</v>
      </c>
      <c r="B14" s="9">
        <f>IF(OR(EQ('Rate of Improvements'!B14, "Inf"), 'Rate of Improvements'!B14 &gt; 1), 1.1, 'Rate of Improvements'!B14)</f>
        <v>0</v>
      </c>
      <c r="C14" s="9">
        <f>IF(OR(EQ('Rate of Improvements'!C14, "Inf"), 'Rate of Improvements'!C14 &gt; 1), 1.1, 'Rate of Improvements'!C14)</f>
        <v>0</v>
      </c>
      <c r="D14" s="9">
        <f>IF(OR(EQ('Rate of Improvements'!D14, "Inf"), 'Rate of Improvements'!D14 &gt; 1), 1.1, 'Rate of Improvements'!D14)</f>
        <v>0</v>
      </c>
      <c r="E14" s="9">
        <f>IF(OR(EQ('Rate of Improvements'!E14, "Inf"), 'Rate of Improvements'!E14 &gt; 1), 1.1, 'Rate of Improvements'!E14)</f>
        <v>0</v>
      </c>
      <c r="F14" s="9">
        <f>IF(OR(EQ('Rate of Improvements'!F14, "Inf"), 'Rate of Improvements'!F14 &gt; 1), 1.1, 'Rate of Improvements'!F14)</f>
        <v>0</v>
      </c>
      <c r="G14" s="9">
        <f>IF(OR(EQ('Rate of Improvements'!G14, "Inf"), 'Rate of Improvements'!G14 &gt; 1), 1.1, 'Rate of Improvements'!G14)</f>
        <v>0</v>
      </c>
      <c r="H14" s="2">
        <f t="shared" ref="H14:J14" si="27">IF(OR(E14&gt;B14, And(EQ(E14, "Inf"), NOT(EQ(B14, "Inf")))), 1, 0)</f>
        <v>0</v>
      </c>
      <c r="I14" s="2">
        <f t="shared" si="27"/>
        <v>0</v>
      </c>
      <c r="J14" s="2">
        <f t="shared" si="27"/>
        <v>0</v>
      </c>
      <c r="K14" s="2">
        <f t="shared" ref="K14:M14" si="28">IF(OR(E14&lt;B14, And(EQ(B14, "Inf"), NOT(EQ(E14, "Inf")))), 1, 0)</f>
        <v>0</v>
      </c>
      <c r="L14" s="2">
        <f t="shared" si="28"/>
        <v>0</v>
      </c>
      <c r="M14" s="2">
        <f t="shared" si="28"/>
        <v>0</v>
      </c>
    </row>
    <row r="15">
      <c r="A15" s="52" t="s">
        <v>910</v>
      </c>
      <c r="B15" s="9">
        <f>IF(OR(EQ('Rate of Improvements'!B15, "Inf"), 'Rate of Improvements'!B15 &gt; 1), 1.1, 'Rate of Improvements'!B15)</f>
        <v>0</v>
      </c>
      <c r="C15" s="9">
        <f>IF(OR(EQ('Rate of Improvements'!C15, "Inf"), 'Rate of Improvements'!C15 &gt; 1), 1.1, 'Rate of Improvements'!C15)</f>
        <v>0</v>
      </c>
      <c r="D15" s="9">
        <f>IF(OR(EQ('Rate of Improvements'!D15, "Inf"), 'Rate of Improvements'!D15 &gt; 1), 1.1, 'Rate of Improvements'!D15)</f>
        <v>0</v>
      </c>
      <c r="E15" s="9">
        <f>IF(OR(EQ('Rate of Improvements'!E15, "Inf"), 'Rate of Improvements'!E15 &gt; 1), 1.1, 'Rate of Improvements'!E15)</f>
        <v>0.2328467394</v>
      </c>
      <c r="F15" s="9">
        <f>IF(OR(EQ('Rate of Improvements'!F15, "Inf"), 'Rate of Improvements'!F15 &gt; 1), 1.1, 'Rate of Improvements'!F15)</f>
        <v>0.519911083</v>
      </c>
      <c r="G15" s="9">
        <f>IF(OR(EQ('Rate of Improvements'!G15, "Inf"), 'Rate of Improvements'!G15 &gt; 1), 1.1, 'Rate of Improvements'!G15)</f>
        <v>0.8738174229</v>
      </c>
      <c r="H15" s="2">
        <f t="shared" ref="H15:J15" si="29">IF(OR(E15&gt;B15, And(EQ(E15, "Inf"), NOT(EQ(B15, "Inf")))), 1, 0)</f>
        <v>1</v>
      </c>
      <c r="I15" s="2">
        <f t="shared" si="29"/>
        <v>1</v>
      </c>
      <c r="J15" s="2">
        <f t="shared" si="29"/>
        <v>1</v>
      </c>
      <c r="K15" s="2">
        <f t="shared" ref="K15:M15" si="30">IF(OR(E15&lt;B15, And(EQ(B15, "Inf"), NOT(EQ(E15, "Inf")))), 1, 0)</f>
        <v>0</v>
      </c>
      <c r="L15" s="2">
        <f t="shared" si="30"/>
        <v>0</v>
      </c>
      <c r="M15" s="2">
        <f t="shared" si="30"/>
        <v>0</v>
      </c>
    </row>
    <row r="16">
      <c r="A16" s="391" t="s">
        <v>213</v>
      </c>
      <c r="B16" s="9">
        <f>IF(OR(EQ('Rate of Improvements'!B16, "Inf"), 'Rate of Improvements'!B16 &gt; 1), 1.1, 'Rate of Improvements'!B16)</f>
        <v>0.1993539462</v>
      </c>
      <c r="C16" s="9">
        <f>IF(OR(EQ('Rate of Improvements'!C16, "Inf"), 'Rate of Improvements'!C16 &gt; 1), 1.1, 'Rate of Improvements'!C16)</f>
        <v>0.4384498883</v>
      </c>
      <c r="D16" s="9">
        <f>IF(OR(EQ('Rate of Improvements'!D16, "Inf"), 'Rate of Improvements'!D16 &gt; 1), 1.1, 'Rate of Improvements'!D16)</f>
        <v>0.7252105499</v>
      </c>
      <c r="E16" s="9">
        <f>IF(OR(EQ('Rate of Improvements'!E16, "Inf"), 'Rate of Improvements'!E16 &gt; 1), 1.1, 'Rate of Improvements'!E16)</f>
        <v>0.3393049339</v>
      </c>
      <c r="F16" s="9">
        <f>IF(OR(EQ('Rate of Improvements'!F16, "Inf"), 'Rate of Improvements'!F16 &gt; 1), 1.1, 'Rate of Improvements'!F16)</f>
        <v>0.8357368987</v>
      </c>
      <c r="G16" s="9">
        <f>IF(OR(EQ('Rate of Improvements'!G16, "Inf"), 'Rate of Improvements'!G16 &gt; 1), 1.1, 'Rate of Improvements'!G16)</f>
        <v>1.1</v>
      </c>
      <c r="H16" s="2">
        <f t="shared" ref="H16:J16" si="31">IF(OR(E16&gt;B16, And(EQ(E16, "Inf"), NOT(EQ(B16, "Inf")))), 1, 0)</f>
        <v>1</v>
      </c>
      <c r="I16" s="2">
        <f t="shared" si="31"/>
        <v>1</v>
      </c>
      <c r="J16" s="2">
        <f t="shared" si="31"/>
        <v>1</v>
      </c>
      <c r="K16" s="2">
        <f t="shared" ref="K16:M16" si="32">IF(OR(E16&lt;B16, And(EQ(B16, "Inf"), NOT(EQ(E16, "Inf")))), 1, 0)</f>
        <v>0</v>
      </c>
      <c r="L16" s="2">
        <f t="shared" si="32"/>
        <v>0</v>
      </c>
      <c r="M16" s="2">
        <f t="shared" si="32"/>
        <v>0</v>
      </c>
    </row>
    <row r="17">
      <c r="A17" s="52" t="s">
        <v>519</v>
      </c>
      <c r="B17" s="9">
        <f>IF(OR(EQ('Rate of Improvements'!B17, "Inf"), 'Rate of Improvements'!B17 &gt; 1), 1.1, 'Rate of Improvements'!B17)</f>
        <v>0</v>
      </c>
      <c r="C17" s="9">
        <f>IF(OR(EQ('Rate of Improvements'!C17, "Inf"), 'Rate of Improvements'!C17 &gt; 1), 1.1, 'Rate of Improvements'!C17)</f>
        <v>0</v>
      </c>
      <c r="D17" s="9">
        <f>IF(OR(EQ('Rate of Improvements'!D17, "Inf"), 'Rate of Improvements'!D17 &gt; 1), 1.1, 'Rate of Improvements'!D17)</f>
        <v>0</v>
      </c>
      <c r="E17" s="9">
        <f>IF(OR(EQ('Rate of Improvements'!E17, "Inf"), 'Rate of Improvements'!E17 &gt; 1), 1.1, 'Rate of Improvements'!E17)</f>
        <v>0.2857989153</v>
      </c>
      <c r="F17" s="9">
        <f>IF(OR(EQ('Rate of Improvements'!F17, "Inf"), 'Rate of Improvements'!F17 &gt; 1), 1.1, 'Rate of Improvements'!F17)</f>
        <v>0.7311815551</v>
      </c>
      <c r="G17" s="9">
        <f>IF(OR(EQ('Rate of Improvements'!G17, "Inf"), 'Rate of Improvements'!G17 &gt; 1), 1.1, 'Rate of Improvements'!G17)</f>
        <v>1.1</v>
      </c>
      <c r="H17" s="2">
        <f t="shared" ref="H17:J17" si="33">IF(OR(E17&gt;B17, And(EQ(E17, "Inf"), NOT(EQ(B17, "Inf")))), 1, 0)</f>
        <v>1</v>
      </c>
      <c r="I17" s="2">
        <f t="shared" si="33"/>
        <v>1</v>
      </c>
      <c r="J17" s="2">
        <f t="shared" si="33"/>
        <v>1</v>
      </c>
      <c r="K17" s="2">
        <f t="shared" ref="K17:M17" si="34">IF(OR(E17&lt;B17, And(EQ(B17, "Inf"), NOT(EQ(E17, "Inf")))), 1, 0)</f>
        <v>0</v>
      </c>
      <c r="L17" s="2">
        <f t="shared" si="34"/>
        <v>0</v>
      </c>
      <c r="M17" s="2">
        <f t="shared" si="34"/>
        <v>0</v>
      </c>
    </row>
    <row r="18">
      <c r="A18" s="52" t="s">
        <v>641</v>
      </c>
      <c r="B18" s="9">
        <f>IF(OR(EQ('Rate of Improvements'!B18, "Inf"), 'Rate of Improvements'!B18 &gt; 1), 1.1, 'Rate of Improvements'!B18)</f>
        <v>0</v>
      </c>
      <c r="C18" s="9">
        <f>IF(OR(EQ('Rate of Improvements'!C18, "Inf"), 'Rate of Improvements'!C18 &gt; 1), 1.1, 'Rate of Improvements'!C18)</f>
        <v>0</v>
      </c>
      <c r="D18" s="9">
        <f>IF(OR(EQ('Rate of Improvements'!D18, "Inf"), 'Rate of Improvements'!D18 &gt; 1), 1.1, 'Rate of Improvements'!D18)</f>
        <v>0</v>
      </c>
      <c r="E18" s="9">
        <f>IF(OR(EQ('Rate of Improvements'!E18, "Inf"), 'Rate of Improvements'!E18 &gt; 1), 1.1, 'Rate of Improvements'!E18)</f>
        <v>0</v>
      </c>
      <c r="F18" s="9">
        <f>IF(OR(EQ('Rate of Improvements'!F18, "Inf"), 'Rate of Improvements'!F18 &gt; 1), 1.1, 'Rate of Improvements'!F18)</f>
        <v>0</v>
      </c>
      <c r="G18" s="9">
        <f>IF(OR(EQ('Rate of Improvements'!G18, "Inf"), 'Rate of Improvements'!G18 &gt; 1), 1.1, 'Rate of Improvements'!G18)</f>
        <v>0</v>
      </c>
      <c r="H18" s="2">
        <f t="shared" ref="H18:J18" si="35">IF(OR(E18&gt;B18, And(EQ(E18, "Inf"), NOT(EQ(B18, "Inf")))), 1, 0)</f>
        <v>0</v>
      </c>
      <c r="I18" s="2">
        <f t="shared" si="35"/>
        <v>0</v>
      </c>
      <c r="J18" s="2">
        <f t="shared" si="35"/>
        <v>0</v>
      </c>
      <c r="K18" s="2">
        <f t="shared" ref="K18:M18" si="36">IF(OR(E18&lt;B18, And(EQ(B18, "Inf"), NOT(EQ(E18, "Inf")))), 1, 0)</f>
        <v>0</v>
      </c>
      <c r="L18" s="2">
        <f t="shared" si="36"/>
        <v>0</v>
      </c>
      <c r="M18" s="2">
        <f t="shared" si="36"/>
        <v>0</v>
      </c>
    </row>
    <row r="19">
      <c r="A19" s="52" t="s">
        <v>857</v>
      </c>
      <c r="B19" s="9">
        <f>IF(OR(EQ('Rate of Improvements'!B19, "Inf"), 'Rate of Improvements'!B19 &gt; 1), 1.1, 'Rate of Improvements'!B19)</f>
        <v>0</v>
      </c>
      <c r="C19" s="9">
        <f>IF(OR(EQ('Rate of Improvements'!C19, "Inf"), 'Rate of Improvements'!C19 &gt; 1), 1.1, 'Rate of Improvements'!C19)</f>
        <v>0</v>
      </c>
      <c r="D19" s="9">
        <f>IF(OR(EQ('Rate of Improvements'!D19, "Inf"), 'Rate of Improvements'!D19 &gt; 1), 1.1, 'Rate of Improvements'!D19)</f>
        <v>0</v>
      </c>
      <c r="E19" s="9">
        <f>IF(OR(EQ('Rate of Improvements'!E19, "Inf"), 'Rate of Improvements'!E19 &gt; 1), 1.1, 'Rate of Improvements'!E19)</f>
        <v>0</v>
      </c>
      <c r="F19" s="9">
        <f>IF(OR(EQ('Rate of Improvements'!F19, "Inf"), 'Rate of Improvements'!F19 &gt; 1), 1.1, 'Rate of Improvements'!F19)</f>
        <v>0</v>
      </c>
      <c r="G19" s="9">
        <f>IF(OR(EQ('Rate of Improvements'!G19, "Inf"), 'Rate of Improvements'!G19 &gt; 1), 1.1, 'Rate of Improvements'!G19)</f>
        <v>0</v>
      </c>
      <c r="H19" s="2">
        <f t="shared" ref="H19:J19" si="37">IF(OR(E19&gt;B19, And(EQ(E19, "Inf"), NOT(EQ(B19, "Inf")))), 1, 0)</f>
        <v>0</v>
      </c>
      <c r="I19" s="2">
        <f t="shared" si="37"/>
        <v>0</v>
      </c>
      <c r="J19" s="2">
        <f t="shared" si="37"/>
        <v>0</v>
      </c>
      <c r="K19" s="2">
        <f t="shared" ref="K19:M19" si="38">IF(OR(E19&lt;B19, And(EQ(B19, "Inf"), NOT(EQ(E19, "Inf")))), 1, 0)</f>
        <v>0</v>
      </c>
      <c r="L19" s="2">
        <f t="shared" si="38"/>
        <v>0</v>
      </c>
      <c r="M19" s="2">
        <f t="shared" si="38"/>
        <v>0</v>
      </c>
    </row>
    <row r="20">
      <c r="A20" s="52" t="s">
        <v>499</v>
      </c>
      <c r="B20" s="9">
        <f>IF(OR(EQ('Rate of Improvements'!B20, "Inf"), 'Rate of Improvements'!B20 &gt; 1), 1.1, 'Rate of Improvements'!B20)</f>
        <v>0</v>
      </c>
      <c r="C20" s="9">
        <f>IF(OR(EQ('Rate of Improvements'!C20, "Inf"), 'Rate of Improvements'!C20 &gt; 1), 1.1, 'Rate of Improvements'!C20)</f>
        <v>0</v>
      </c>
      <c r="D20" s="9">
        <f>IF(OR(EQ('Rate of Improvements'!D20, "Inf"), 'Rate of Improvements'!D20 &gt; 1), 1.1, 'Rate of Improvements'!D20)</f>
        <v>0</v>
      </c>
      <c r="E20" s="9">
        <f>IF(OR(EQ('Rate of Improvements'!E20, "Inf"), 'Rate of Improvements'!E20 &gt; 1), 1.1, 'Rate of Improvements'!E20)</f>
        <v>0</v>
      </c>
      <c r="F20" s="9">
        <f>IF(OR(EQ('Rate of Improvements'!F20, "Inf"), 'Rate of Improvements'!F20 &gt; 1), 1.1, 'Rate of Improvements'!F20)</f>
        <v>0</v>
      </c>
      <c r="G20" s="9">
        <f>IF(OR(EQ('Rate of Improvements'!G20, "Inf"), 'Rate of Improvements'!G20 &gt; 1), 1.1, 'Rate of Improvements'!G20)</f>
        <v>0</v>
      </c>
      <c r="H20" s="2">
        <f t="shared" ref="H20:J20" si="39">IF(OR(E20&gt;B20, And(EQ(E20, "Inf"), NOT(EQ(B20, "Inf")))), 1, 0)</f>
        <v>0</v>
      </c>
      <c r="I20" s="2">
        <f t="shared" si="39"/>
        <v>0</v>
      </c>
      <c r="J20" s="2">
        <f t="shared" si="39"/>
        <v>0</v>
      </c>
      <c r="K20" s="2">
        <f t="shared" ref="K20:M20" si="40">IF(OR(E20&lt;B20, And(EQ(B20, "Inf"), NOT(EQ(E20, "Inf")))), 1, 0)</f>
        <v>0</v>
      </c>
      <c r="L20" s="2">
        <f t="shared" si="40"/>
        <v>0</v>
      </c>
      <c r="M20" s="2">
        <f t="shared" si="40"/>
        <v>0</v>
      </c>
    </row>
    <row r="21">
      <c r="A21" s="52" t="s">
        <v>1039</v>
      </c>
      <c r="B21" s="9">
        <f>IF(OR(EQ('Rate of Improvements'!B21, "Inf"), 'Rate of Improvements'!B21 &gt; 1), 1.1, 'Rate of Improvements'!B21)</f>
        <v>0</v>
      </c>
      <c r="C21" s="9">
        <f>IF(OR(EQ('Rate of Improvements'!C21, "Inf"), 'Rate of Improvements'!C21 &gt; 1), 1.1, 'Rate of Improvements'!C21)</f>
        <v>0</v>
      </c>
      <c r="D21" s="9">
        <f>IF(OR(EQ('Rate of Improvements'!D21, "Inf"), 'Rate of Improvements'!D21 &gt; 1), 1.1, 'Rate of Improvements'!D21)</f>
        <v>0</v>
      </c>
      <c r="E21" s="9">
        <f>IF(OR(EQ('Rate of Improvements'!E21, "Inf"), 'Rate of Improvements'!E21 &gt; 1), 1.1, 'Rate of Improvements'!E21)</f>
        <v>0</v>
      </c>
      <c r="F21" s="9">
        <f>IF(OR(EQ('Rate of Improvements'!F21, "Inf"), 'Rate of Improvements'!F21 &gt; 1), 1.1, 'Rate of Improvements'!F21)</f>
        <v>0</v>
      </c>
      <c r="G21" s="9">
        <f>IF(OR(EQ('Rate of Improvements'!G21, "Inf"), 'Rate of Improvements'!G21 &gt; 1), 1.1, 'Rate of Improvements'!G21)</f>
        <v>0</v>
      </c>
      <c r="H21" s="2">
        <f t="shared" ref="H21:J21" si="41">IF(OR(E21&gt;B21, And(EQ(E21, "Inf"), NOT(EQ(B21, "Inf")))), 1, 0)</f>
        <v>0</v>
      </c>
      <c r="I21" s="2">
        <f t="shared" si="41"/>
        <v>0</v>
      </c>
      <c r="J21" s="2">
        <f t="shared" si="41"/>
        <v>0</v>
      </c>
      <c r="K21" s="2">
        <f t="shared" ref="K21:M21" si="42">IF(OR(E21&lt;B21, And(EQ(B21, "Inf"), NOT(EQ(E21, "Inf")))), 1, 0)</f>
        <v>0</v>
      </c>
      <c r="L21" s="2">
        <f t="shared" si="42"/>
        <v>0</v>
      </c>
      <c r="M21" s="2">
        <f t="shared" si="42"/>
        <v>0</v>
      </c>
    </row>
    <row r="22">
      <c r="A22" s="52" t="s">
        <v>1082</v>
      </c>
      <c r="B22" s="9">
        <f>IF(OR(EQ('Rate of Improvements'!B22, "Inf"), 'Rate of Improvements'!B22 &gt; 1), 1.1, 'Rate of Improvements'!B22)</f>
        <v>0</v>
      </c>
      <c r="C22" s="9">
        <f>IF(OR(EQ('Rate of Improvements'!C22, "Inf"), 'Rate of Improvements'!C22 &gt; 1), 1.1, 'Rate of Improvements'!C22)</f>
        <v>0</v>
      </c>
      <c r="D22" s="9">
        <f>IF(OR(EQ('Rate of Improvements'!D22, "Inf"), 'Rate of Improvements'!D22 &gt; 1), 1.1, 'Rate of Improvements'!D22)</f>
        <v>0</v>
      </c>
      <c r="E22" s="9">
        <f>IF(OR(EQ('Rate of Improvements'!E22, "Inf"), 'Rate of Improvements'!E22 &gt; 1), 1.1, 'Rate of Improvements'!E22)</f>
        <v>0</v>
      </c>
      <c r="F22" s="9">
        <f>IF(OR(EQ('Rate of Improvements'!F22, "Inf"), 'Rate of Improvements'!F22 &gt; 1), 1.1, 'Rate of Improvements'!F22)</f>
        <v>0</v>
      </c>
      <c r="G22" s="9">
        <f>IF(OR(EQ('Rate of Improvements'!G22, "Inf"), 'Rate of Improvements'!G22 &gt; 1), 1.1, 'Rate of Improvements'!G22)</f>
        <v>0</v>
      </c>
      <c r="H22" s="2">
        <f t="shared" ref="H22:J22" si="43">IF(OR(E22&gt;B22, And(EQ(E22, "Inf"), NOT(EQ(B22, "Inf")))), 1, 0)</f>
        <v>0</v>
      </c>
      <c r="I22" s="2">
        <f t="shared" si="43"/>
        <v>0</v>
      </c>
      <c r="J22" s="2">
        <f t="shared" si="43"/>
        <v>0</v>
      </c>
      <c r="K22" s="2">
        <f t="shared" ref="K22:M22" si="44">IF(OR(E22&lt;B22, And(EQ(B22, "Inf"), NOT(EQ(E22, "Inf")))), 1, 0)</f>
        <v>0</v>
      </c>
      <c r="L22" s="2">
        <f t="shared" si="44"/>
        <v>0</v>
      </c>
      <c r="M22" s="2">
        <f t="shared" si="44"/>
        <v>0</v>
      </c>
    </row>
    <row r="23">
      <c r="A23" s="391" t="s">
        <v>845</v>
      </c>
      <c r="B23" s="9">
        <f>IF(OR(EQ('Rate of Improvements'!B23, "Inf"), 'Rate of Improvements'!B23 &gt; 1), 1.1, 'Rate of Improvements'!B23)</f>
        <v>1.1</v>
      </c>
      <c r="C23" s="9">
        <f>IF(OR(EQ('Rate of Improvements'!C23, "Inf"), 'Rate of Improvements'!C23 &gt; 1), 1.1, 'Rate of Improvements'!C23)</f>
        <v>1.1</v>
      </c>
      <c r="D23" s="9">
        <f>IF(OR(EQ('Rate of Improvements'!D23, "Inf"), 'Rate of Improvements'!D23 &gt; 1), 1.1, 'Rate of Improvements'!D23)</f>
        <v>1.1</v>
      </c>
      <c r="E23" s="9">
        <f>IF(OR(EQ('Rate of Improvements'!E23, "Inf"), 'Rate of Improvements'!E23 &gt; 1), 1.1, 'Rate of Improvements'!E23)</f>
        <v>1.1</v>
      </c>
      <c r="F23" s="9">
        <f>IF(OR(EQ('Rate of Improvements'!F23, "Inf"), 'Rate of Improvements'!F23 &gt; 1), 1.1, 'Rate of Improvements'!F23)</f>
        <v>1.1</v>
      </c>
      <c r="G23" s="9">
        <f>IF(OR(EQ('Rate of Improvements'!G23, "Inf"), 'Rate of Improvements'!G23 &gt; 1), 1.1, 'Rate of Improvements'!G23)</f>
        <v>1.1</v>
      </c>
      <c r="H23" s="2">
        <f t="shared" ref="H23:J23" si="45">IF(OR(E23&gt;B23, And(EQ(E23, "Inf"), NOT(EQ(B23, "Inf")))), 1, 0)</f>
        <v>0</v>
      </c>
      <c r="I23" s="2">
        <f t="shared" si="45"/>
        <v>0</v>
      </c>
      <c r="J23" s="2">
        <f t="shared" si="45"/>
        <v>0</v>
      </c>
      <c r="K23" s="2">
        <f t="shared" ref="K23:M23" si="46">IF(OR(E23&lt;B23, And(EQ(B23, "Inf"), NOT(EQ(E23, "Inf")))), 1, 0)</f>
        <v>0</v>
      </c>
      <c r="L23" s="2">
        <f t="shared" si="46"/>
        <v>0</v>
      </c>
      <c r="M23" s="2">
        <f t="shared" si="46"/>
        <v>0</v>
      </c>
    </row>
    <row r="24">
      <c r="A24" s="52" t="s">
        <v>771</v>
      </c>
      <c r="B24" s="9">
        <f>IF(OR(EQ('Rate of Improvements'!B24, "Inf"), 'Rate of Improvements'!B24 &gt; 1), 1.1, 'Rate of Improvements'!B24)</f>
        <v>0</v>
      </c>
      <c r="C24" s="9">
        <f>IF(OR(EQ('Rate of Improvements'!C24, "Inf"), 'Rate of Improvements'!C24 &gt; 1), 1.1, 'Rate of Improvements'!C24)</f>
        <v>0</v>
      </c>
      <c r="D24" s="9">
        <f>IF(OR(EQ('Rate of Improvements'!D24, "Inf"), 'Rate of Improvements'!D24 &gt; 1), 1.1, 'Rate of Improvements'!D24)</f>
        <v>0</v>
      </c>
      <c r="E24" s="9">
        <f>IF(OR(EQ('Rate of Improvements'!E24, "Inf"), 'Rate of Improvements'!E24 &gt; 1), 1.1, 'Rate of Improvements'!E24)</f>
        <v>0.1545289608</v>
      </c>
      <c r="F24" s="9">
        <f>IF(OR(EQ('Rate of Improvements'!F24, "Inf"), 'Rate of Improvements'!F24 &gt; 1), 1.1, 'Rate of Improvements'!F24)</f>
        <v>0.2056502551</v>
      </c>
      <c r="G24" s="9">
        <f>IF(OR(EQ('Rate of Improvements'!G24, "Inf"), 'Rate of Improvements'!G24 &gt; 1), 1.1, 'Rate of Improvements'!G24)</f>
        <v>0.2365937469</v>
      </c>
      <c r="H24" s="2">
        <f t="shared" ref="H24:J24" si="47">IF(OR(E24&gt;B24, And(EQ(E24, "Inf"), NOT(EQ(B24, "Inf")))), 1, 0)</f>
        <v>1</v>
      </c>
      <c r="I24" s="2">
        <f t="shared" si="47"/>
        <v>1</v>
      </c>
      <c r="J24" s="2">
        <f t="shared" si="47"/>
        <v>1</v>
      </c>
      <c r="K24" s="2">
        <f t="shared" ref="K24:M24" si="48">IF(OR(E24&lt;B24, And(EQ(B24, "Inf"), NOT(EQ(E24, "Inf")))), 1, 0)</f>
        <v>0</v>
      </c>
      <c r="L24" s="2">
        <f t="shared" si="48"/>
        <v>0</v>
      </c>
      <c r="M24" s="2">
        <f t="shared" si="48"/>
        <v>0</v>
      </c>
    </row>
    <row r="25">
      <c r="A25" s="52" t="s">
        <v>5716</v>
      </c>
      <c r="B25" s="9">
        <f>IF(OR(EQ('Rate of Improvements'!B25, "Inf"), 'Rate of Improvements'!B25 &gt; 1), 1.1, 'Rate of Improvements'!B25)</f>
        <v>0</v>
      </c>
      <c r="C25" s="9">
        <f>IF(OR(EQ('Rate of Improvements'!C25, "Inf"), 'Rate of Improvements'!C25 &gt; 1), 1.1, 'Rate of Improvements'!C25)</f>
        <v>0</v>
      </c>
      <c r="D25" s="9">
        <f>IF(OR(EQ('Rate of Improvements'!D25, "Inf"), 'Rate of Improvements'!D25 &gt; 1), 1.1, 'Rate of Improvements'!D25)</f>
        <v>0</v>
      </c>
      <c r="E25" s="9">
        <f>IF(OR(EQ('Rate of Improvements'!E25, "Inf"), 'Rate of Improvements'!E25 &gt; 1), 1.1, 'Rate of Improvements'!E25)</f>
        <v>0</v>
      </c>
      <c r="F25" s="9">
        <f>IF(OR(EQ('Rate of Improvements'!F25, "Inf"), 'Rate of Improvements'!F25 &gt; 1), 1.1, 'Rate of Improvements'!F25)</f>
        <v>0</v>
      </c>
      <c r="G25" s="9">
        <f>IF(OR(EQ('Rate of Improvements'!G25, "Inf"), 'Rate of Improvements'!G25 &gt; 1), 1.1, 'Rate of Improvements'!G25)</f>
        <v>0</v>
      </c>
      <c r="H25" s="2">
        <f t="shared" ref="H25:J25" si="49">IF(OR(E25&gt;B25, And(EQ(E25, "Inf"), NOT(EQ(B25, "Inf")))), 1, 0)</f>
        <v>0</v>
      </c>
      <c r="I25" s="2">
        <f t="shared" si="49"/>
        <v>0</v>
      </c>
      <c r="J25" s="2">
        <f t="shared" si="49"/>
        <v>0</v>
      </c>
      <c r="K25" s="2">
        <f t="shared" ref="K25:M25" si="50">IF(OR(E25&lt;B25, And(EQ(B25, "Inf"), NOT(EQ(E25, "Inf")))), 1, 0)</f>
        <v>0</v>
      </c>
      <c r="L25" s="2">
        <f t="shared" si="50"/>
        <v>0</v>
      </c>
      <c r="M25" s="2">
        <f t="shared" si="50"/>
        <v>0</v>
      </c>
    </row>
    <row r="26">
      <c r="A26" s="52" t="s">
        <v>768</v>
      </c>
      <c r="B26" s="9">
        <f>IF(OR(EQ('Rate of Improvements'!B26, "Inf"), 'Rate of Improvements'!B26 &gt; 1), 1.1, 'Rate of Improvements'!B26)</f>
        <v>0</v>
      </c>
      <c r="C26" s="9">
        <f>IF(OR(EQ('Rate of Improvements'!C26, "Inf"), 'Rate of Improvements'!C26 &gt; 1), 1.1, 'Rate of Improvements'!C26)</f>
        <v>0</v>
      </c>
      <c r="D26" s="9">
        <f>IF(OR(EQ('Rate of Improvements'!D26, "Inf"), 'Rate of Improvements'!D26 &gt; 1), 1.1, 'Rate of Improvements'!D26)</f>
        <v>0</v>
      </c>
      <c r="E26" s="9">
        <f>IF(OR(EQ('Rate of Improvements'!E26, "Inf"), 'Rate of Improvements'!E26 &gt; 1), 1.1, 'Rate of Improvements'!E26)</f>
        <v>0.1289073397</v>
      </c>
      <c r="F26" s="9">
        <f>IF(OR(EQ('Rate of Improvements'!F26, "Inf"), 'Rate of Improvements'!F26 &gt; 1), 1.1, 'Rate of Improvements'!F26)</f>
        <v>0.2913027223</v>
      </c>
      <c r="G26" s="9">
        <f>IF(OR(EQ('Rate of Improvements'!G26, "Inf"), 'Rate of Improvements'!G26 &gt; 1), 1.1, 'Rate of Improvements'!G26)</f>
        <v>0.4800115814</v>
      </c>
      <c r="H26" s="2">
        <f t="shared" ref="H26:J26" si="51">IF(OR(E26&gt;B26, And(EQ(E26, "Inf"), NOT(EQ(B26, "Inf")))), 1, 0)</f>
        <v>1</v>
      </c>
      <c r="I26" s="2">
        <f t="shared" si="51"/>
        <v>1</v>
      </c>
      <c r="J26" s="2">
        <f t="shared" si="51"/>
        <v>1</v>
      </c>
      <c r="K26" s="2">
        <f t="shared" ref="K26:M26" si="52">IF(OR(E26&lt;B26, And(EQ(B26, "Inf"), NOT(EQ(E26, "Inf")))), 1, 0)</f>
        <v>0</v>
      </c>
      <c r="L26" s="2">
        <f t="shared" si="52"/>
        <v>0</v>
      </c>
      <c r="M26" s="2">
        <f t="shared" si="52"/>
        <v>0</v>
      </c>
    </row>
    <row r="27">
      <c r="A27" s="52" t="s">
        <v>784</v>
      </c>
      <c r="B27" s="9">
        <f>IF(OR(EQ('Rate of Improvements'!B27, "Inf"), 'Rate of Improvements'!B27 &gt; 1), 1.1, 'Rate of Improvements'!B27)</f>
        <v>0</v>
      </c>
      <c r="C27" s="9">
        <f>IF(OR(EQ('Rate of Improvements'!C27, "Inf"), 'Rate of Improvements'!C27 &gt; 1), 1.1, 'Rate of Improvements'!C27)</f>
        <v>0</v>
      </c>
      <c r="D27" s="9">
        <f>IF(OR(EQ('Rate of Improvements'!D27, "Inf"), 'Rate of Improvements'!D27 &gt; 1), 1.1, 'Rate of Improvements'!D27)</f>
        <v>0</v>
      </c>
      <c r="E27" s="9">
        <f>IF(OR(EQ('Rate of Improvements'!E27, "Inf"), 'Rate of Improvements'!E27 &gt; 1), 1.1, 'Rate of Improvements'!E27)</f>
        <v>0</v>
      </c>
      <c r="F27" s="9">
        <f>IF(OR(EQ('Rate of Improvements'!F27, "Inf"), 'Rate of Improvements'!F27 &gt; 1), 1.1, 'Rate of Improvements'!F27)</f>
        <v>0</v>
      </c>
      <c r="G27" s="9">
        <f>IF(OR(EQ('Rate of Improvements'!G27, "Inf"), 'Rate of Improvements'!G27 &gt; 1), 1.1, 'Rate of Improvements'!G27)</f>
        <v>0</v>
      </c>
      <c r="H27" s="2">
        <f t="shared" ref="H27:J27" si="53">IF(OR(E27&gt;B27, And(EQ(E27, "Inf"), NOT(EQ(B27, "Inf")))), 1, 0)</f>
        <v>0</v>
      </c>
      <c r="I27" s="2">
        <f t="shared" si="53"/>
        <v>0</v>
      </c>
      <c r="J27" s="2">
        <f t="shared" si="53"/>
        <v>0</v>
      </c>
      <c r="K27" s="2">
        <f t="shared" ref="K27:M27" si="54">IF(OR(E27&lt;B27, And(EQ(B27, "Inf"), NOT(EQ(E27, "Inf")))), 1, 0)</f>
        <v>0</v>
      </c>
      <c r="L27" s="2">
        <f t="shared" si="54"/>
        <v>0</v>
      </c>
      <c r="M27" s="2">
        <f t="shared" si="54"/>
        <v>0</v>
      </c>
    </row>
    <row r="28">
      <c r="A28" s="52" t="s">
        <v>1101</v>
      </c>
      <c r="B28" s="9">
        <f>IF(OR(EQ('Rate of Improvements'!B28, "Inf"), 'Rate of Improvements'!B28 &gt; 1), 1.1, 'Rate of Improvements'!B28)</f>
        <v>0</v>
      </c>
      <c r="C28" s="9">
        <f>IF(OR(EQ('Rate of Improvements'!C28, "Inf"), 'Rate of Improvements'!C28 &gt; 1), 1.1, 'Rate of Improvements'!C28)</f>
        <v>0</v>
      </c>
      <c r="D28" s="9">
        <f>IF(OR(EQ('Rate of Improvements'!D28, "Inf"), 'Rate of Improvements'!D28 &gt; 1), 1.1, 'Rate of Improvements'!D28)</f>
        <v>0</v>
      </c>
      <c r="E28" s="9">
        <f>IF(OR(EQ('Rate of Improvements'!E28, "Inf"), 'Rate of Improvements'!E28 &gt; 1), 1.1, 'Rate of Improvements'!E28)</f>
        <v>0</v>
      </c>
      <c r="F28" s="9">
        <f>IF(OR(EQ('Rate of Improvements'!F28, "Inf"), 'Rate of Improvements'!F28 &gt; 1), 1.1, 'Rate of Improvements'!F28)</f>
        <v>0</v>
      </c>
      <c r="G28" s="9">
        <f>IF(OR(EQ('Rate of Improvements'!G28, "Inf"), 'Rate of Improvements'!G28 &gt; 1), 1.1, 'Rate of Improvements'!G28)</f>
        <v>0</v>
      </c>
      <c r="H28" s="2">
        <f t="shared" ref="H28:J28" si="55">IF(OR(E28&gt;B28, And(EQ(E28, "Inf"), NOT(EQ(B28, "Inf")))), 1, 0)</f>
        <v>0</v>
      </c>
      <c r="I28" s="2">
        <f t="shared" si="55"/>
        <v>0</v>
      </c>
      <c r="J28" s="2">
        <f t="shared" si="55"/>
        <v>0</v>
      </c>
      <c r="K28" s="2">
        <f t="shared" ref="K28:M28" si="56">IF(OR(E28&lt;B28, And(EQ(B28, "Inf"), NOT(EQ(E28, "Inf")))), 1, 0)</f>
        <v>0</v>
      </c>
      <c r="L28" s="2">
        <f t="shared" si="56"/>
        <v>0</v>
      </c>
      <c r="M28" s="2">
        <f t="shared" si="56"/>
        <v>0</v>
      </c>
    </row>
    <row r="29">
      <c r="A29" s="52" t="s">
        <v>685</v>
      </c>
      <c r="B29" s="9">
        <f>IF(OR(EQ('Rate of Improvements'!B29, "Inf"), 'Rate of Improvements'!B29 &gt; 1), 1.1, 'Rate of Improvements'!B29)</f>
        <v>0</v>
      </c>
      <c r="C29" s="9">
        <f>IF(OR(EQ('Rate of Improvements'!C29, "Inf"), 'Rate of Improvements'!C29 &gt; 1), 1.1, 'Rate of Improvements'!C29)</f>
        <v>0</v>
      </c>
      <c r="D29" s="9">
        <f>IF(OR(EQ('Rate of Improvements'!D29, "Inf"), 'Rate of Improvements'!D29 &gt; 1), 1.1, 'Rate of Improvements'!D29)</f>
        <v>0</v>
      </c>
      <c r="E29" s="9">
        <f>IF(OR(EQ('Rate of Improvements'!E29, "Inf"), 'Rate of Improvements'!E29 &gt; 1), 1.1, 'Rate of Improvements'!E29)</f>
        <v>0.5265273215</v>
      </c>
      <c r="F29" s="9">
        <f>IF(OR(EQ('Rate of Improvements'!F29, "Inf"), 'Rate of Improvements'!F29 &gt; 1), 1.1, 'Rate of Improvements'!F29)</f>
        <v>0.8628572574</v>
      </c>
      <c r="G29" s="9">
        <f>IF(OR(EQ('Rate of Improvements'!G29, "Inf"), 'Rate of Improvements'!G29 &gt; 1), 1.1, 'Rate of Improvements'!G29)</f>
        <v>1.1</v>
      </c>
      <c r="H29" s="2">
        <f t="shared" ref="H29:J29" si="57">IF(OR(E29&gt;B29, And(EQ(E29, "Inf"), NOT(EQ(B29, "Inf")))), 1, 0)</f>
        <v>1</v>
      </c>
      <c r="I29" s="2">
        <f t="shared" si="57"/>
        <v>1</v>
      </c>
      <c r="J29" s="2">
        <f t="shared" si="57"/>
        <v>1</v>
      </c>
      <c r="K29" s="2">
        <f t="shared" ref="K29:M29" si="58">IF(OR(E29&lt;B29, And(EQ(B29, "Inf"), NOT(EQ(E29, "Inf")))), 1, 0)</f>
        <v>0</v>
      </c>
      <c r="L29" s="2">
        <f t="shared" si="58"/>
        <v>0</v>
      </c>
      <c r="M29" s="2">
        <f t="shared" si="58"/>
        <v>0</v>
      </c>
    </row>
    <row r="30">
      <c r="A30" s="52" t="s">
        <v>580</v>
      </c>
      <c r="B30" s="9">
        <f>IF(OR(EQ('Rate of Improvements'!B30, "Inf"), 'Rate of Improvements'!B30 &gt; 1), 1.1, 'Rate of Improvements'!B30)</f>
        <v>0</v>
      </c>
      <c r="C30" s="9">
        <f>IF(OR(EQ('Rate of Improvements'!C30, "Inf"), 'Rate of Improvements'!C30 &gt; 1), 1.1, 'Rate of Improvements'!C30)</f>
        <v>0</v>
      </c>
      <c r="D30" s="9">
        <f>IF(OR(EQ('Rate of Improvements'!D30, "Inf"), 'Rate of Improvements'!D30 &gt; 1), 1.1, 'Rate of Improvements'!D30)</f>
        <v>0</v>
      </c>
      <c r="E30" s="9">
        <f>IF(OR(EQ('Rate of Improvements'!E30, "Inf"), 'Rate of Improvements'!E30 &gt; 1), 1.1, 'Rate of Improvements'!E30)</f>
        <v>0.2024330587</v>
      </c>
      <c r="F30" s="9">
        <f>IF(OR(EQ('Rate of Improvements'!F30, "Inf"), 'Rate of Improvements'!F30 &gt; 1), 1.1, 'Rate of Improvements'!F30)</f>
        <v>0.5417655625</v>
      </c>
      <c r="G30" s="9">
        <f>IF(OR(EQ('Rate of Improvements'!G30, "Inf"), 'Rate of Improvements'!G30 &gt; 1), 1.1, 'Rate of Improvements'!G30)</f>
        <v>0.9997453266</v>
      </c>
      <c r="H30" s="2">
        <f t="shared" ref="H30:J30" si="59">IF(OR(E30&gt;B30, And(EQ(E30, "Inf"), NOT(EQ(B30, "Inf")))), 1, 0)</f>
        <v>1</v>
      </c>
      <c r="I30" s="2">
        <f t="shared" si="59"/>
        <v>1</v>
      </c>
      <c r="J30" s="2">
        <f t="shared" si="59"/>
        <v>1</v>
      </c>
      <c r="K30" s="2">
        <f t="shared" ref="K30:M30" si="60">IF(OR(E30&lt;B30, And(EQ(B30, "Inf"), NOT(EQ(E30, "Inf")))), 1, 0)</f>
        <v>0</v>
      </c>
      <c r="L30" s="2">
        <f t="shared" si="60"/>
        <v>0</v>
      </c>
      <c r="M30" s="2">
        <f t="shared" si="60"/>
        <v>0</v>
      </c>
    </row>
    <row r="31">
      <c r="A31" s="52" t="s">
        <v>813</v>
      </c>
      <c r="B31" s="9">
        <f>IF(OR(EQ('Rate of Improvements'!B31, "Inf"), 'Rate of Improvements'!B31 &gt; 1), 1.1, 'Rate of Improvements'!B31)</f>
        <v>0</v>
      </c>
      <c r="C31" s="9">
        <f>IF(OR(EQ('Rate of Improvements'!C31, "Inf"), 'Rate of Improvements'!C31 &gt; 1), 1.1, 'Rate of Improvements'!C31)</f>
        <v>0</v>
      </c>
      <c r="D31" s="9">
        <f>IF(OR(EQ('Rate of Improvements'!D31, "Inf"), 'Rate of Improvements'!D31 &gt; 1), 1.1, 'Rate of Improvements'!D31)</f>
        <v>0</v>
      </c>
      <c r="E31" s="9">
        <f>IF(OR(EQ('Rate of Improvements'!E31, "Inf"), 'Rate of Improvements'!E31 &gt; 1), 1.1, 'Rate of Improvements'!E31)</f>
        <v>0</v>
      </c>
      <c r="F31" s="9">
        <f>IF(OR(EQ('Rate of Improvements'!F31, "Inf"), 'Rate of Improvements'!F31 &gt; 1), 1.1, 'Rate of Improvements'!F31)</f>
        <v>0</v>
      </c>
      <c r="G31" s="9">
        <f>IF(OR(EQ('Rate of Improvements'!G31, "Inf"), 'Rate of Improvements'!G31 &gt; 1), 1.1, 'Rate of Improvements'!G31)</f>
        <v>0</v>
      </c>
      <c r="H31" s="2">
        <f t="shared" ref="H31:J31" si="61">IF(OR(E31&gt;B31, And(EQ(E31, "Inf"), NOT(EQ(B31, "Inf")))), 1, 0)</f>
        <v>0</v>
      </c>
      <c r="I31" s="2">
        <f t="shared" si="61"/>
        <v>0</v>
      </c>
      <c r="J31" s="2">
        <f t="shared" si="61"/>
        <v>0</v>
      </c>
      <c r="K31" s="2">
        <f t="shared" ref="K31:M31" si="62">IF(OR(E31&lt;B31, And(EQ(B31, "Inf"), NOT(EQ(E31, "Inf")))), 1, 0)</f>
        <v>0</v>
      </c>
      <c r="L31" s="2">
        <f t="shared" si="62"/>
        <v>0</v>
      </c>
      <c r="M31" s="2">
        <f t="shared" si="62"/>
        <v>0</v>
      </c>
    </row>
    <row r="32">
      <c r="A32" s="52" t="s">
        <v>1035</v>
      </c>
      <c r="B32" s="9">
        <f>IF(OR(EQ('Rate of Improvements'!B32, "Inf"), 'Rate of Improvements'!B32 &gt; 1), 1.1, 'Rate of Improvements'!B32)</f>
        <v>0</v>
      </c>
      <c r="C32" s="9">
        <f>IF(OR(EQ('Rate of Improvements'!C32, "Inf"), 'Rate of Improvements'!C32 &gt; 1), 1.1, 'Rate of Improvements'!C32)</f>
        <v>0</v>
      </c>
      <c r="D32" s="9">
        <f>IF(OR(EQ('Rate of Improvements'!D32, "Inf"), 'Rate of Improvements'!D32 &gt; 1), 1.1, 'Rate of Improvements'!D32)</f>
        <v>0</v>
      </c>
      <c r="E32" s="9">
        <f>IF(OR(EQ('Rate of Improvements'!E32, "Inf"), 'Rate of Improvements'!E32 &gt; 1), 1.1, 'Rate of Improvements'!E32)</f>
        <v>0</v>
      </c>
      <c r="F32" s="9">
        <f>IF(OR(EQ('Rate of Improvements'!F32, "Inf"), 'Rate of Improvements'!F32 &gt; 1), 1.1, 'Rate of Improvements'!F32)</f>
        <v>0</v>
      </c>
      <c r="G32" s="9">
        <f>IF(OR(EQ('Rate of Improvements'!G32, "Inf"), 'Rate of Improvements'!G32 &gt; 1), 1.1, 'Rate of Improvements'!G32)</f>
        <v>0</v>
      </c>
      <c r="H32" s="2">
        <f t="shared" ref="H32:J32" si="63">IF(OR(E32&gt;B32, And(EQ(E32, "Inf"), NOT(EQ(B32, "Inf")))), 1, 0)</f>
        <v>0</v>
      </c>
      <c r="I32" s="2">
        <f t="shared" si="63"/>
        <v>0</v>
      </c>
      <c r="J32" s="2">
        <f t="shared" si="63"/>
        <v>0</v>
      </c>
      <c r="K32" s="2">
        <f t="shared" ref="K32:M32" si="64">IF(OR(E32&lt;B32, And(EQ(B32, "Inf"), NOT(EQ(E32, "Inf")))), 1, 0)</f>
        <v>0</v>
      </c>
      <c r="L32" s="2">
        <f t="shared" si="64"/>
        <v>0</v>
      </c>
      <c r="M32" s="2">
        <f t="shared" si="64"/>
        <v>0</v>
      </c>
    </row>
    <row r="33">
      <c r="A33" s="391" t="s">
        <v>965</v>
      </c>
      <c r="B33" s="9">
        <f>IF(OR(EQ('Rate of Improvements'!B33, "Inf"), 'Rate of Improvements'!B33 &gt; 1), 1.1, 'Rate of Improvements'!B33)</f>
        <v>0.458746477</v>
      </c>
      <c r="C33" s="9">
        <f>IF(OR(EQ('Rate of Improvements'!C33, "Inf"), 'Rate of Improvements'!C33 &gt; 1), 1.1, 'Rate of Improvements'!C33)</f>
        <v>0.737656504</v>
      </c>
      <c r="D33" s="9">
        <f>IF(OR(EQ('Rate of Improvements'!D33, "Inf"), 'Rate of Improvements'!D33 &gt; 1), 1.1, 'Rate of Improvements'!D33)</f>
        <v>0.9894321558</v>
      </c>
      <c r="E33" s="9">
        <f>IF(OR(EQ('Rate of Improvements'!E33, "Inf"), 'Rate of Improvements'!E33 &gt; 1), 1.1, 'Rate of Improvements'!E33)</f>
        <v>0</v>
      </c>
      <c r="F33" s="9">
        <f>IF(OR(EQ('Rate of Improvements'!F33, "Inf"), 'Rate of Improvements'!F33 &gt; 1), 1.1, 'Rate of Improvements'!F33)</f>
        <v>0</v>
      </c>
      <c r="G33" s="9">
        <f>IF(OR(EQ('Rate of Improvements'!G33, "Inf"), 'Rate of Improvements'!G33 &gt; 1), 1.1, 'Rate of Improvements'!G33)</f>
        <v>0</v>
      </c>
      <c r="H33" s="2">
        <f t="shared" ref="H33:J33" si="65">IF(OR(E33&gt;B33, And(EQ(E33, "Inf"), NOT(EQ(B33, "Inf")))), 1, 0)</f>
        <v>0</v>
      </c>
      <c r="I33" s="2">
        <f t="shared" si="65"/>
        <v>0</v>
      </c>
      <c r="J33" s="2">
        <f t="shared" si="65"/>
        <v>0</v>
      </c>
      <c r="K33" s="2">
        <f t="shared" ref="K33:M33" si="66">IF(OR(E33&lt;B33, And(EQ(B33, "Inf"), NOT(EQ(E33, "Inf")))), 1, 0)</f>
        <v>1</v>
      </c>
      <c r="L33" s="2">
        <f t="shared" si="66"/>
        <v>1</v>
      </c>
      <c r="M33" s="2">
        <f t="shared" si="66"/>
        <v>1</v>
      </c>
    </row>
    <row r="34">
      <c r="A34" s="396" t="s">
        <v>607</v>
      </c>
      <c r="B34" s="9">
        <f>IF(OR(EQ('Rate of Improvements'!B34, "Inf"), 'Rate of Improvements'!B34 &gt; 1), 1.1, 'Rate of Improvements'!B34)</f>
        <v>0</v>
      </c>
      <c r="C34" s="9">
        <f>IF(OR(EQ('Rate of Improvements'!C34, "Inf"), 'Rate of Improvements'!C34 &gt; 1), 1.1, 'Rate of Improvements'!C34)</f>
        <v>0</v>
      </c>
      <c r="D34" s="9">
        <f>IF(OR(EQ('Rate of Improvements'!D34, "Inf"), 'Rate of Improvements'!D34 &gt; 1), 1.1, 'Rate of Improvements'!D34)</f>
        <v>0</v>
      </c>
      <c r="E34" s="9">
        <f>IF(OR(EQ('Rate of Improvements'!E34, "Inf"), 'Rate of Improvements'!E34 &gt; 1), 1.1, 'Rate of Improvements'!E34)</f>
        <v>0.1147947127</v>
      </c>
      <c r="F34" s="9">
        <f>IF(OR(EQ('Rate of Improvements'!F34, "Inf"), 'Rate of Improvements'!F34 &gt; 1), 1.1, 'Rate of Improvements'!F34)</f>
        <v>0.2645600775</v>
      </c>
      <c r="G34" s="9">
        <f>IF(OR(EQ('Rate of Improvements'!G34, "Inf"), 'Rate of Improvements'!G34 &gt; 1), 1.1, 'Rate of Improvements'!G34)</f>
        <v>0.4391060808</v>
      </c>
      <c r="H34" s="2">
        <f t="shared" ref="H34:J34" si="67">IF(OR(E34&gt;B34, And(EQ(E34, "Inf"), NOT(EQ(B34, "Inf")))), 1, 0)</f>
        <v>1</v>
      </c>
      <c r="I34" s="2">
        <f t="shared" si="67"/>
        <v>1</v>
      </c>
      <c r="J34" s="2">
        <f t="shared" si="67"/>
        <v>1</v>
      </c>
      <c r="K34" s="2">
        <f t="shared" ref="K34:M34" si="68">IF(OR(E34&lt;B34, And(EQ(B34, "Inf"), NOT(EQ(E34, "Inf")))), 1, 0)</f>
        <v>0</v>
      </c>
      <c r="L34" s="2">
        <f t="shared" si="68"/>
        <v>0</v>
      </c>
      <c r="M34" s="2">
        <f t="shared" si="68"/>
        <v>0</v>
      </c>
    </row>
    <row r="35">
      <c r="A35" s="52" t="s">
        <v>917</v>
      </c>
      <c r="B35" s="9">
        <f>IF(OR(EQ('Rate of Improvements'!B35, "Inf"), 'Rate of Improvements'!B35 &gt; 1), 1.1, 'Rate of Improvements'!B35)</f>
        <v>0</v>
      </c>
      <c r="C35" s="9">
        <f>IF(OR(EQ('Rate of Improvements'!C35, "Inf"), 'Rate of Improvements'!C35 &gt; 1), 1.1, 'Rate of Improvements'!C35)</f>
        <v>0</v>
      </c>
      <c r="D35" s="9">
        <f>IF(OR(EQ('Rate of Improvements'!D35, "Inf"), 'Rate of Improvements'!D35 &gt; 1), 1.1, 'Rate of Improvements'!D35)</f>
        <v>0</v>
      </c>
      <c r="E35" s="9">
        <f>IF(OR(EQ('Rate of Improvements'!E35, "Inf"), 'Rate of Improvements'!E35 &gt; 1), 1.1, 'Rate of Improvements'!E35)</f>
        <v>0.6682747866</v>
      </c>
      <c r="F35" s="9">
        <f>IF(OR(EQ('Rate of Improvements'!F35, "Inf"), 'Rate of Improvements'!F35 &gt; 1), 1.1, 'Rate of Improvements'!F35)</f>
        <v>1.1</v>
      </c>
      <c r="G35" s="9">
        <f>IF(OR(EQ('Rate of Improvements'!G35, "Inf"), 'Rate of Improvements'!G35 &gt; 1), 1.1, 'Rate of Improvements'!G35)</f>
        <v>1.1</v>
      </c>
      <c r="H35" s="2">
        <f t="shared" ref="H35:J35" si="69">IF(OR(E35&gt;B35, And(EQ(E35, "Inf"), NOT(EQ(B35, "Inf")))), 1, 0)</f>
        <v>1</v>
      </c>
      <c r="I35" s="2">
        <f t="shared" si="69"/>
        <v>1</v>
      </c>
      <c r="J35" s="2">
        <f t="shared" si="69"/>
        <v>1</v>
      </c>
      <c r="K35" s="2">
        <f t="shared" ref="K35:M35" si="70">IF(OR(E35&lt;B35, And(EQ(B35, "Inf"), NOT(EQ(E35, "Inf")))), 1, 0)</f>
        <v>0</v>
      </c>
      <c r="L35" s="2">
        <f t="shared" si="70"/>
        <v>0</v>
      </c>
      <c r="M35" s="2">
        <f t="shared" si="70"/>
        <v>0</v>
      </c>
    </row>
    <row r="36">
      <c r="A36" s="52" t="s">
        <v>852</v>
      </c>
      <c r="B36" s="9">
        <f>IF(OR(EQ('Rate of Improvements'!B36, "Inf"), 'Rate of Improvements'!B36 &gt; 1), 1.1, 'Rate of Improvements'!B36)</f>
        <v>0</v>
      </c>
      <c r="C36" s="9">
        <f>IF(OR(EQ('Rate of Improvements'!C36, "Inf"), 'Rate of Improvements'!C36 &gt; 1), 1.1, 'Rate of Improvements'!C36)</f>
        <v>0</v>
      </c>
      <c r="D36" s="9">
        <f>IF(OR(EQ('Rate of Improvements'!D36, "Inf"), 'Rate of Improvements'!D36 &gt; 1), 1.1, 'Rate of Improvements'!D36)</f>
        <v>0</v>
      </c>
      <c r="E36" s="9">
        <f>IF(OR(EQ('Rate of Improvements'!E36, "Inf"), 'Rate of Improvements'!E36 &gt; 1), 1.1, 'Rate of Improvements'!E36)</f>
        <v>0.1481536215</v>
      </c>
      <c r="F36" s="9">
        <f>IF(OR(EQ('Rate of Improvements'!F36, "Inf"), 'Rate of Improvements'!F36 &gt; 1), 1.1, 'Rate of Improvements'!F36)</f>
        <v>0.3182567386</v>
      </c>
      <c r="G36" s="9">
        <f>IF(OR(EQ('Rate of Improvements'!G36, "Inf"), 'Rate of Improvements'!G36 &gt; 1), 1.1, 'Rate of Improvements'!G36)</f>
        <v>0.5135612484</v>
      </c>
      <c r="H36" s="2">
        <f t="shared" ref="H36:J36" si="71">IF(OR(E36&gt;B36, And(EQ(E36, "Inf"), NOT(EQ(B36, "Inf")))), 1, 0)</f>
        <v>1</v>
      </c>
      <c r="I36" s="2">
        <f t="shared" si="71"/>
        <v>1</v>
      </c>
      <c r="J36" s="2">
        <f t="shared" si="71"/>
        <v>1</v>
      </c>
      <c r="K36" s="2">
        <f t="shared" ref="K36:M36" si="72">IF(OR(E36&lt;B36, And(EQ(B36, "Inf"), NOT(EQ(E36, "Inf")))), 1, 0)</f>
        <v>0</v>
      </c>
      <c r="L36" s="2">
        <f t="shared" si="72"/>
        <v>0</v>
      </c>
      <c r="M36" s="2">
        <f t="shared" si="72"/>
        <v>0</v>
      </c>
    </row>
    <row r="37">
      <c r="A37" s="393" t="s">
        <v>994</v>
      </c>
      <c r="B37" s="9">
        <f>IF(OR(EQ('Rate of Improvements'!B37, "Inf"), 'Rate of Improvements'!B37 &gt; 1), 1.1, 'Rate of Improvements'!B37)</f>
        <v>0.2115276586</v>
      </c>
      <c r="C37" s="9">
        <f>IF(OR(EQ('Rate of Improvements'!C37, "Inf"), 'Rate of Improvements'!C37 &gt; 1), 1.1, 'Rate of Improvements'!C37)</f>
        <v>0.4677992676</v>
      </c>
      <c r="D37" s="9">
        <f>IF(OR(EQ('Rate of Improvements'!D37, "Inf"), 'Rate of Improvements'!D37 &gt; 1), 1.1, 'Rate of Improvements'!D37)</f>
        <v>0.77827941</v>
      </c>
      <c r="E37" s="9">
        <f>IF(OR(EQ('Rate of Improvements'!E37, "Inf"), 'Rate of Improvements'!E37 &gt; 1), 1.1, 'Rate of Improvements'!E37)</f>
        <v>0.1993539462</v>
      </c>
      <c r="F37" s="9">
        <f>IF(OR(EQ('Rate of Improvements'!F37, "Inf"), 'Rate of Improvements'!F37 &gt; 1), 1.1, 'Rate of Improvements'!F37)</f>
        <v>0.4384498883</v>
      </c>
      <c r="G37" s="9">
        <f>IF(OR(EQ('Rate of Improvements'!G37, "Inf"), 'Rate of Improvements'!G37 &gt; 1), 1.1, 'Rate of Improvements'!G37)</f>
        <v>0.7252105499</v>
      </c>
      <c r="H37" s="2">
        <f t="shared" ref="H37:J37" si="73">IF(OR(E37&gt;B37, And(EQ(E37, "Inf"), NOT(EQ(B37, "Inf")))), 1, 0)</f>
        <v>0</v>
      </c>
      <c r="I37" s="2">
        <f t="shared" si="73"/>
        <v>0</v>
      </c>
      <c r="J37" s="2">
        <f t="shared" si="73"/>
        <v>0</v>
      </c>
      <c r="K37" s="2">
        <f t="shared" ref="K37:M37" si="74">IF(OR(E37&lt;B37, And(EQ(B37, "Inf"), NOT(EQ(E37, "Inf")))), 1, 0)</f>
        <v>1</v>
      </c>
      <c r="L37" s="2">
        <f t="shared" si="74"/>
        <v>1</v>
      </c>
      <c r="M37" s="2">
        <f t="shared" si="74"/>
        <v>1</v>
      </c>
    </row>
    <row r="38">
      <c r="A38" s="52" t="s">
        <v>840</v>
      </c>
      <c r="B38" s="9">
        <f>IF(OR(EQ('Rate of Improvements'!B38, "Inf"), 'Rate of Improvements'!B38 &gt; 1), 1.1, 'Rate of Improvements'!B38)</f>
        <v>0</v>
      </c>
      <c r="C38" s="9">
        <f>IF(OR(EQ('Rate of Improvements'!C38, "Inf"), 'Rate of Improvements'!C38 &gt; 1), 1.1, 'Rate of Improvements'!C38)</f>
        <v>0</v>
      </c>
      <c r="D38" s="9">
        <f>IF(OR(EQ('Rate of Improvements'!D38, "Inf"), 'Rate of Improvements'!D38 &gt; 1), 1.1, 'Rate of Improvements'!D38)</f>
        <v>0</v>
      </c>
      <c r="E38" s="9">
        <f>IF(OR(EQ('Rate of Improvements'!E38, "Inf"), 'Rate of Improvements'!E38 &gt; 1), 1.1, 'Rate of Improvements'!E38)</f>
        <v>0</v>
      </c>
      <c r="F38" s="9">
        <f>IF(OR(EQ('Rate of Improvements'!F38, "Inf"), 'Rate of Improvements'!F38 &gt; 1), 1.1, 'Rate of Improvements'!F38)</f>
        <v>0</v>
      </c>
      <c r="G38" s="9">
        <f>IF(OR(EQ('Rate of Improvements'!G38, "Inf"), 'Rate of Improvements'!G38 &gt; 1), 1.1, 'Rate of Improvements'!G38)</f>
        <v>0</v>
      </c>
      <c r="H38" s="2">
        <f t="shared" ref="H38:J38" si="75">IF(OR(E38&gt;B38, And(EQ(E38, "Inf"), NOT(EQ(B38, "Inf")))), 1, 0)</f>
        <v>0</v>
      </c>
      <c r="I38" s="2">
        <f t="shared" si="75"/>
        <v>0</v>
      </c>
      <c r="J38" s="2">
        <f t="shared" si="75"/>
        <v>0</v>
      </c>
      <c r="K38" s="2">
        <f t="shared" ref="K38:M38" si="76">IF(OR(E38&lt;B38, And(EQ(B38, "Inf"), NOT(EQ(E38, "Inf")))), 1, 0)</f>
        <v>0</v>
      </c>
      <c r="L38" s="2">
        <f t="shared" si="76"/>
        <v>0</v>
      </c>
      <c r="M38" s="2">
        <f t="shared" si="76"/>
        <v>0</v>
      </c>
    </row>
    <row r="39">
      <c r="A39" s="52" t="s">
        <v>1178</v>
      </c>
      <c r="B39" s="9">
        <f>IF(OR(EQ('Rate of Improvements'!B39, "Inf"), 'Rate of Improvements'!B39 &gt; 1), 1.1, 'Rate of Improvements'!B39)</f>
        <v>0</v>
      </c>
      <c r="C39" s="9">
        <f>IF(OR(EQ('Rate of Improvements'!C39, "Inf"), 'Rate of Improvements'!C39 &gt; 1), 1.1, 'Rate of Improvements'!C39)</f>
        <v>0</v>
      </c>
      <c r="D39" s="9">
        <f>IF(OR(EQ('Rate of Improvements'!D39, "Inf"), 'Rate of Improvements'!D39 &gt; 1), 1.1, 'Rate of Improvements'!D39)</f>
        <v>0</v>
      </c>
      <c r="E39" s="9">
        <f>IF(OR(EQ('Rate of Improvements'!E39, "Inf"), 'Rate of Improvements'!E39 &gt; 1), 1.1, 'Rate of Improvements'!E39)</f>
        <v>0</v>
      </c>
      <c r="F39" s="9">
        <f>IF(OR(EQ('Rate of Improvements'!F39, "Inf"), 'Rate of Improvements'!F39 &gt; 1), 1.1, 'Rate of Improvements'!F39)</f>
        <v>0</v>
      </c>
      <c r="G39" s="9">
        <f>IF(OR(EQ('Rate of Improvements'!G39, "Inf"), 'Rate of Improvements'!G39 &gt; 1), 1.1, 'Rate of Improvements'!G39)</f>
        <v>0</v>
      </c>
      <c r="H39" s="2">
        <f t="shared" ref="H39:J39" si="77">IF(OR(E39&gt;B39, And(EQ(E39, "Inf"), NOT(EQ(B39, "Inf")))), 1, 0)</f>
        <v>0</v>
      </c>
      <c r="I39" s="2">
        <f t="shared" si="77"/>
        <v>0</v>
      </c>
      <c r="J39" s="2">
        <f t="shared" si="77"/>
        <v>0</v>
      </c>
      <c r="K39" s="2">
        <f t="shared" ref="K39:M39" si="78">IF(OR(E39&lt;B39, And(EQ(B39, "Inf"), NOT(EQ(E39, "Inf")))), 1, 0)</f>
        <v>0</v>
      </c>
      <c r="L39" s="2">
        <f t="shared" si="78"/>
        <v>0</v>
      </c>
      <c r="M39" s="2">
        <f t="shared" si="78"/>
        <v>0</v>
      </c>
    </row>
    <row r="40">
      <c r="A40" s="391" t="s">
        <v>509</v>
      </c>
      <c r="B40" s="9">
        <f>IF(OR(EQ('Rate of Improvements'!B40, "Inf"), 'Rate of Improvements'!B40 &gt; 1), 1.1, 'Rate of Improvements'!B40)</f>
        <v>0.3335214322</v>
      </c>
      <c r="C40" s="9">
        <f>IF(OR(EQ('Rate of Improvements'!C40, "Inf"), 'Rate of Improvements'!C40 &gt; 1), 1.1, 'Rate of Improvements'!C40)</f>
        <v>0.77827941</v>
      </c>
      <c r="D40" s="9">
        <f>IF(OR(EQ('Rate of Improvements'!D40, "Inf"), 'Rate of Improvements'!D40 &gt; 1), 1.1, 'Rate of Improvements'!D40)</f>
        <v>1.1</v>
      </c>
      <c r="E40" s="9">
        <f>IF(OR(EQ('Rate of Improvements'!E40, "Inf"), 'Rate of Improvements'!E40 &gt; 1), 1.1, 'Rate of Improvements'!E40)</f>
        <v>0</v>
      </c>
      <c r="F40" s="9">
        <f>IF(OR(EQ('Rate of Improvements'!F40, "Inf"), 'Rate of Improvements'!F40 &gt; 1), 1.1, 'Rate of Improvements'!F40)</f>
        <v>0</v>
      </c>
      <c r="G40" s="9">
        <f>IF(OR(EQ('Rate of Improvements'!G40, "Inf"), 'Rate of Improvements'!G40 &gt; 1), 1.1, 'Rate of Improvements'!G40)</f>
        <v>0</v>
      </c>
      <c r="H40" s="2">
        <f t="shared" ref="H40:J40" si="79">IF(OR(E40&gt;B40, And(EQ(E40, "Inf"), NOT(EQ(B40, "Inf")))), 1, 0)</f>
        <v>0</v>
      </c>
      <c r="I40" s="2">
        <f t="shared" si="79"/>
        <v>0</v>
      </c>
      <c r="J40" s="2">
        <f t="shared" si="79"/>
        <v>0</v>
      </c>
      <c r="K40" s="2">
        <f t="shared" ref="K40:M40" si="80">IF(OR(E40&lt;B40, And(EQ(B40, "Inf"), NOT(EQ(E40, "Inf")))), 1, 0)</f>
        <v>1</v>
      </c>
      <c r="L40" s="2">
        <f t="shared" si="80"/>
        <v>1</v>
      </c>
      <c r="M40" s="2">
        <f t="shared" si="80"/>
        <v>1</v>
      </c>
    </row>
    <row r="41">
      <c r="A41" s="52" t="s">
        <v>1261</v>
      </c>
      <c r="B41" s="9">
        <f>IF(OR(EQ('Rate of Improvements'!B41, "Inf"), 'Rate of Improvements'!B41 &gt; 1), 1.1, 'Rate of Improvements'!B41)</f>
        <v>0</v>
      </c>
      <c r="C41" s="9">
        <f>IF(OR(EQ('Rate of Improvements'!C41, "Inf"), 'Rate of Improvements'!C41 &gt; 1), 1.1, 'Rate of Improvements'!C41)</f>
        <v>0</v>
      </c>
      <c r="D41" s="9">
        <f>IF(OR(EQ('Rate of Improvements'!D41, "Inf"), 'Rate of Improvements'!D41 &gt; 1), 1.1, 'Rate of Improvements'!D41)</f>
        <v>0</v>
      </c>
      <c r="E41" s="9">
        <f>IF(OR(EQ('Rate of Improvements'!E41, "Inf"), 'Rate of Improvements'!E41 &gt; 1), 1.1, 'Rate of Improvements'!E41)</f>
        <v>1.1</v>
      </c>
      <c r="F41" s="9">
        <f>IF(OR(EQ('Rate of Improvements'!F41, "Inf"), 'Rate of Improvements'!F41 &gt; 1), 1.1, 'Rate of Improvements'!F41)</f>
        <v>1.1</v>
      </c>
      <c r="G41" s="9">
        <f>IF(OR(EQ('Rate of Improvements'!G41, "Inf"), 'Rate of Improvements'!G41 &gt; 1), 1.1, 'Rate of Improvements'!G41)</f>
        <v>1.1</v>
      </c>
      <c r="H41" s="2">
        <f t="shared" ref="H41:J41" si="81">IF(OR(E41&gt;B41, And(EQ(E41, "Inf"), NOT(EQ(B41, "Inf")))), 1, 0)</f>
        <v>1</v>
      </c>
      <c r="I41" s="2">
        <f t="shared" si="81"/>
        <v>1</v>
      </c>
      <c r="J41" s="2">
        <f t="shared" si="81"/>
        <v>1</v>
      </c>
      <c r="K41" s="2">
        <f t="shared" ref="K41:M41" si="82">IF(OR(E41&lt;B41, And(EQ(B41, "Inf"), NOT(EQ(E41, "Inf")))), 1, 0)</f>
        <v>0</v>
      </c>
      <c r="L41" s="2">
        <f t="shared" si="82"/>
        <v>0</v>
      </c>
      <c r="M41" s="2">
        <f t="shared" si="82"/>
        <v>0</v>
      </c>
    </row>
    <row r="42">
      <c r="A42" s="391" t="s">
        <v>709</v>
      </c>
      <c r="B42" s="9">
        <f>IF(OR(EQ('Rate of Improvements'!B42, "Inf"), 'Rate of Improvements'!B42 &gt; 1), 1.1, 'Rate of Improvements'!B42)</f>
        <v>0.4978496225</v>
      </c>
      <c r="C42" s="9">
        <f>IF(OR(EQ('Rate of Improvements'!C42, "Inf"), 'Rate of Improvements'!C42 &gt; 1), 1.1, 'Rate of Improvements'!C42)</f>
        <v>1.1</v>
      </c>
      <c r="D42" s="9">
        <f>IF(OR(EQ('Rate of Improvements'!D42, "Inf"), 'Rate of Improvements'!D42 &gt; 1), 1.1, 'Rate of Improvements'!D42)</f>
        <v>1.1</v>
      </c>
      <c r="E42" s="9">
        <f>IF(OR(EQ('Rate of Improvements'!E42, "Inf"), 'Rate of Improvements'!E42 &gt; 1), 1.1, 'Rate of Improvements'!E42)</f>
        <v>1.1</v>
      </c>
      <c r="F42" s="9">
        <f>IF(OR(EQ('Rate of Improvements'!F42, "Inf"), 'Rate of Improvements'!F42 &gt; 1), 1.1, 'Rate of Improvements'!F42)</f>
        <v>1.1</v>
      </c>
      <c r="G42" s="9">
        <f>IF(OR(EQ('Rate of Improvements'!G42, "Inf"), 'Rate of Improvements'!G42 &gt; 1), 1.1, 'Rate of Improvements'!G42)</f>
        <v>1.1</v>
      </c>
      <c r="H42" s="2">
        <f t="shared" ref="H42:J42" si="83">IF(OR(E42&gt;B42, And(EQ(E42, "Inf"), NOT(EQ(B42, "Inf")))), 1, 0)</f>
        <v>1</v>
      </c>
      <c r="I42" s="2">
        <f t="shared" si="83"/>
        <v>0</v>
      </c>
      <c r="J42" s="2">
        <f t="shared" si="83"/>
        <v>0</v>
      </c>
      <c r="K42" s="2">
        <f t="shared" ref="K42:M42" si="84">IF(OR(E42&lt;B42, And(EQ(B42, "Inf"), NOT(EQ(E42, "Inf")))), 1, 0)</f>
        <v>0</v>
      </c>
      <c r="L42" s="2">
        <f t="shared" si="84"/>
        <v>0</v>
      </c>
      <c r="M42" s="2">
        <f t="shared" si="84"/>
        <v>0</v>
      </c>
    </row>
    <row r="43">
      <c r="A43" s="52" t="s">
        <v>934</v>
      </c>
      <c r="B43" s="9">
        <f>IF(OR(EQ('Rate of Improvements'!B43, "Inf"), 'Rate of Improvements'!B43 &gt; 1), 1.1, 'Rate of Improvements'!B43)</f>
        <v>0</v>
      </c>
      <c r="C43" s="9">
        <f>IF(OR(EQ('Rate of Improvements'!C43, "Inf"), 'Rate of Improvements'!C43 &gt; 1), 1.1, 'Rate of Improvements'!C43)</f>
        <v>0</v>
      </c>
      <c r="D43" s="9">
        <f>IF(OR(EQ('Rate of Improvements'!D43, "Inf"), 'Rate of Improvements'!D43 &gt; 1), 1.1, 'Rate of Improvements'!D43)</f>
        <v>0</v>
      </c>
      <c r="E43" s="9">
        <f>IF(OR(EQ('Rate of Improvements'!E43, "Inf"), 'Rate of Improvements'!E43 &gt; 1), 1.1, 'Rate of Improvements'!E43)</f>
        <v>1.1</v>
      </c>
      <c r="F43" s="9">
        <f>IF(OR(EQ('Rate of Improvements'!F43, "Inf"), 'Rate of Improvements'!F43 &gt; 1), 1.1, 'Rate of Improvements'!F43)</f>
        <v>1.1</v>
      </c>
      <c r="G43" s="9">
        <f>IF(OR(EQ('Rate of Improvements'!G43, "Inf"), 'Rate of Improvements'!G43 &gt; 1), 1.1, 'Rate of Improvements'!G43)</f>
        <v>1.1</v>
      </c>
      <c r="H43" s="2">
        <f t="shared" ref="H43:J43" si="85">IF(OR(E43&gt;B43, And(EQ(E43, "Inf"), NOT(EQ(B43, "Inf")))), 1, 0)</f>
        <v>1</v>
      </c>
      <c r="I43" s="2">
        <f t="shared" si="85"/>
        <v>1</v>
      </c>
      <c r="J43" s="2">
        <f t="shared" si="85"/>
        <v>1</v>
      </c>
      <c r="K43" s="2">
        <f t="shared" ref="K43:M43" si="86">IF(OR(E43&lt;B43, And(EQ(B43, "Inf"), NOT(EQ(E43, "Inf")))), 1, 0)</f>
        <v>0</v>
      </c>
      <c r="L43" s="2">
        <f t="shared" si="86"/>
        <v>0</v>
      </c>
      <c r="M43" s="2">
        <f t="shared" si="86"/>
        <v>0</v>
      </c>
    </row>
    <row r="44">
      <c r="A44" s="391" t="s">
        <v>955</v>
      </c>
      <c r="B44" s="9">
        <f>IF(OR(EQ('Rate of Improvements'!B44, "Inf"), 'Rate of Improvements'!B44 &gt; 1), 1.1, 'Rate of Improvements'!B44)</f>
        <v>1.1</v>
      </c>
      <c r="C44" s="9">
        <f>IF(OR(EQ('Rate of Improvements'!C44, "Inf"), 'Rate of Improvements'!C44 &gt; 1), 1.1, 'Rate of Improvements'!C44)</f>
        <v>1.1</v>
      </c>
      <c r="D44" s="9">
        <f>IF(OR(EQ('Rate of Improvements'!D44, "Inf"), 'Rate of Improvements'!D44 &gt; 1), 1.1, 'Rate of Improvements'!D44)</f>
        <v>1.1</v>
      </c>
      <c r="E44" s="9">
        <f>IF(OR(EQ('Rate of Improvements'!E44, "Inf"), 'Rate of Improvements'!E44 &gt; 1), 1.1, 'Rate of Improvements'!E44)</f>
        <v>0</v>
      </c>
      <c r="F44" s="9">
        <f>IF(OR(EQ('Rate of Improvements'!F44, "Inf"), 'Rate of Improvements'!F44 &gt; 1), 1.1, 'Rate of Improvements'!F44)</f>
        <v>0</v>
      </c>
      <c r="G44" s="9">
        <f>IF(OR(EQ('Rate of Improvements'!G44, "Inf"), 'Rate of Improvements'!G44 &gt; 1), 1.1, 'Rate of Improvements'!G44)</f>
        <v>0</v>
      </c>
      <c r="H44" s="2">
        <f t="shared" ref="H44:J44" si="87">IF(OR(E44&gt;B44, And(EQ(E44, "Inf"), NOT(EQ(B44, "Inf")))), 1, 0)</f>
        <v>0</v>
      </c>
      <c r="I44" s="2">
        <f t="shared" si="87"/>
        <v>0</v>
      </c>
      <c r="J44" s="2">
        <f t="shared" si="87"/>
        <v>0</v>
      </c>
      <c r="K44" s="2">
        <f t="shared" ref="K44:M44" si="88">IF(OR(E44&lt;B44, And(EQ(B44, "Inf"), NOT(EQ(E44, "Inf")))), 1, 0)</f>
        <v>1</v>
      </c>
      <c r="L44" s="2">
        <f t="shared" si="88"/>
        <v>1</v>
      </c>
      <c r="M44" s="2">
        <f t="shared" si="88"/>
        <v>1</v>
      </c>
    </row>
    <row r="45">
      <c r="A45" s="52" t="s">
        <v>1222</v>
      </c>
      <c r="B45" s="9">
        <f>IF(OR(EQ('Rate of Improvements'!B45, "Inf"), 'Rate of Improvements'!B45 &gt; 1), 1.1, 'Rate of Improvements'!B45)</f>
        <v>0</v>
      </c>
      <c r="C45" s="9">
        <f>IF(OR(EQ('Rate of Improvements'!C45, "Inf"), 'Rate of Improvements'!C45 &gt; 1), 1.1, 'Rate of Improvements'!C45)</f>
        <v>0</v>
      </c>
      <c r="D45" s="9">
        <f>IF(OR(EQ('Rate of Improvements'!D45, "Inf"), 'Rate of Improvements'!D45 &gt; 1), 1.1, 'Rate of Improvements'!D45)</f>
        <v>0</v>
      </c>
      <c r="E45" s="9">
        <f>IF(OR(EQ('Rate of Improvements'!E45, "Inf"), 'Rate of Improvements'!E45 &gt; 1), 1.1, 'Rate of Improvements'!E45)</f>
        <v>0.05301736662</v>
      </c>
      <c r="F45" s="9">
        <f>IF(OR(EQ('Rate of Improvements'!F45, "Inf"), 'Rate of Improvements'!F45 &gt; 1), 1.1, 'Rate of Improvements'!F45)</f>
        <v>0.1523784375</v>
      </c>
      <c r="G45" s="9">
        <f>IF(OR(EQ('Rate of Improvements'!G45, "Inf"), 'Rate of Improvements'!G45 &gt; 1), 1.1, 'Rate of Improvements'!G45)</f>
        <v>0.2692449252</v>
      </c>
      <c r="H45" s="2">
        <f t="shared" ref="H45:J45" si="89">IF(OR(E45&gt;B45, And(EQ(E45, "Inf"), NOT(EQ(B45, "Inf")))), 1, 0)</f>
        <v>1</v>
      </c>
      <c r="I45" s="2">
        <f t="shared" si="89"/>
        <v>1</v>
      </c>
      <c r="J45" s="2">
        <f t="shared" si="89"/>
        <v>1</v>
      </c>
      <c r="K45" s="2">
        <f t="shared" ref="K45:M45" si="90">IF(OR(E45&lt;B45, And(EQ(B45, "Inf"), NOT(EQ(E45, "Inf")))), 1, 0)</f>
        <v>0</v>
      </c>
      <c r="L45" s="2">
        <f t="shared" si="90"/>
        <v>0</v>
      </c>
      <c r="M45" s="2">
        <f t="shared" si="90"/>
        <v>0</v>
      </c>
    </row>
    <row r="46">
      <c r="A46" s="52" t="s">
        <v>522</v>
      </c>
      <c r="B46" s="9">
        <f>IF(OR(EQ('Rate of Improvements'!B46, "Inf"), 'Rate of Improvements'!B46 &gt; 1), 1.1, 'Rate of Improvements'!B46)</f>
        <v>0</v>
      </c>
      <c r="C46" s="9">
        <f>IF(OR(EQ('Rate of Improvements'!C46, "Inf"), 'Rate of Improvements'!C46 &gt; 1), 1.1, 'Rate of Improvements'!C46)</f>
        <v>0</v>
      </c>
      <c r="D46" s="9">
        <f>IF(OR(EQ('Rate of Improvements'!D46, "Inf"), 'Rate of Improvements'!D46 &gt; 1), 1.1, 'Rate of Improvements'!D46)</f>
        <v>0</v>
      </c>
      <c r="E46" s="9">
        <f>IF(OR(EQ('Rate of Improvements'!E46, "Inf"), 'Rate of Improvements'!E46 &gt; 1), 1.1, 'Rate of Improvements'!E46)</f>
        <v>0</v>
      </c>
      <c r="F46" s="9">
        <f>IF(OR(EQ('Rate of Improvements'!F46, "Inf"), 'Rate of Improvements'!F46 &gt; 1), 1.1, 'Rate of Improvements'!F46)</f>
        <v>0</v>
      </c>
      <c r="G46" s="9">
        <f>IF(OR(EQ('Rate of Improvements'!G46, "Inf"), 'Rate of Improvements'!G46 &gt; 1), 1.1, 'Rate of Improvements'!G46)</f>
        <v>0</v>
      </c>
      <c r="H46" s="2">
        <f t="shared" ref="H46:J46" si="91">IF(OR(E46&gt;B46, And(EQ(E46, "Inf"), NOT(EQ(B46, "Inf")))), 1, 0)</f>
        <v>0</v>
      </c>
      <c r="I46" s="2">
        <f t="shared" si="91"/>
        <v>0</v>
      </c>
      <c r="J46" s="2">
        <f t="shared" si="91"/>
        <v>0</v>
      </c>
      <c r="K46" s="2">
        <f t="shared" ref="K46:M46" si="92">IF(OR(E46&lt;B46, And(EQ(B46, "Inf"), NOT(EQ(E46, "Inf")))), 1, 0)</f>
        <v>0</v>
      </c>
      <c r="L46" s="2">
        <f t="shared" si="92"/>
        <v>0</v>
      </c>
      <c r="M46" s="2">
        <f t="shared" si="92"/>
        <v>0</v>
      </c>
    </row>
    <row r="47">
      <c r="A47" s="52" t="s">
        <v>970</v>
      </c>
      <c r="B47" s="9">
        <f>IF(OR(EQ('Rate of Improvements'!B47, "Inf"), 'Rate of Improvements'!B47 &gt; 1), 1.1, 'Rate of Improvements'!B47)</f>
        <v>0</v>
      </c>
      <c r="C47" s="9">
        <f>IF(OR(EQ('Rate of Improvements'!C47, "Inf"), 'Rate of Improvements'!C47 &gt; 1), 1.1, 'Rate of Improvements'!C47)</f>
        <v>0</v>
      </c>
      <c r="D47" s="9">
        <f>IF(OR(EQ('Rate of Improvements'!D47, "Inf"), 'Rate of Improvements'!D47 &gt; 1), 1.1, 'Rate of Improvements'!D47)</f>
        <v>0</v>
      </c>
      <c r="E47" s="9">
        <f>IF(OR(EQ('Rate of Improvements'!E47, "Inf"), 'Rate of Improvements'!E47 &gt; 1), 1.1, 'Rate of Improvements'!E47)</f>
        <v>0.2322924647</v>
      </c>
      <c r="F47" s="9">
        <f>IF(OR(EQ('Rate of Improvements'!F47, "Inf"), 'Rate of Improvements'!F47 &gt; 1), 1.1, 'Rate of Improvements'!F47)</f>
        <v>0.5245756383</v>
      </c>
      <c r="G47" s="9">
        <f>IF(OR(EQ('Rate of Improvements'!G47, "Inf"), 'Rate of Improvements'!G47 &gt; 1), 1.1, 'Rate of Improvements'!G47)</f>
        <v>0.9197955097</v>
      </c>
      <c r="H47" s="2">
        <f t="shared" ref="H47:J47" si="93">IF(OR(E47&gt;B47, And(EQ(E47, "Inf"), NOT(EQ(B47, "Inf")))), 1, 0)</f>
        <v>1</v>
      </c>
      <c r="I47" s="2">
        <f t="shared" si="93"/>
        <v>1</v>
      </c>
      <c r="J47" s="2">
        <f t="shared" si="93"/>
        <v>1</v>
      </c>
      <c r="K47" s="2">
        <f t="shared" ref="K47:M47" si="94">IF(OR(E47&lt;B47, And(EQ(B47, "Inf"), NOT(EQ(E47, "Inf")))), 1, 0)</f>
        <v>0</v>
      </c>
      <c r="L47" s="2">
        <f t="shared" si="94"/>
        <v>0</v>
      </c>
      <c r="M47" s="2">
        <f t="shared" si="94"/>
        <v>0</v>
      </c>
    </row>
    <row r="48">
      <c r="A48" s="52" t="s">
        <v>402</v>
      </c>
      <c r="B48" s="9">
        <f>IF(OR(EQ('Rate of Improvements'!B48, "Inf"), 'Rate of Improvements'!B48 &gt; 1), 1.1, 'Rate of Improvements'!B48)</f>
        <v>0</v>
      </c>
      <c r="C48" s="9">
        <f>IF(OR(EQ('Rate of Improvements'!C48, "Inf"), 'Rate of Improvements'!C48 &gt; 1), 1.1, 'Rate of Improvements'!C48)</f>
        <v>0</v>
      </c>
      <c r="D48" s="9">
        <f>IF(OR(EQ('Rate of Improvements'!D48, "Inf"), 'Rate of Improvements'!D48 &gt; 1), 1.1, 'Rate of Improvements'!D48)</f>
        <v>0</v>
      </c>
      <c r="E48" s="9">
        <f>IF(OR(EQ('Rate of Improvements'!E48, "Inf"), 'Rate of Improvements'!E48 &gt; 1), 1.1, 'Rate of Improvements'!E48)</f>
        <v>0</v>
      </c>
      <c r="F48" s="9">
        <f>IF(OR(EQ('Rate of Improvements'!F48, "Inf"), 'Rate of Improvements'!F48 &gt; 1), 1.1, 'Rate of Improvements'!F48)</f>
        <v>0</v>
      </c>
      <c r="G48" s="9">
        <f>IF(OR(EQ('Rate of Improvements'!G48, "Inf"), 'Rate of Improvements'!G48 &gt; 1), 1.1, 'Rate of Improvements'!G48)</f>
        <v>0</v>
      </c>
      <c r="H48" s="2">
        <f t="shared" ref="H48:J48" si="95">IF(OR(E48&gt;B48, And(EQ(E48, "Inf"), NOT(EQ(B48, "Inf")))), 1, 0)</f>
        <v>0</v>
      </c>
      <c r="I48" s="2">
        <f t="shared" si="95"/>
        <v>0</v>
      </c>
      <c r="J48" s="2">
        <f t="shared" si="95"/>
        <v>0</v>
      </c>
      <c r="K48" s="2">
        <f t="shared" ref="K48:M48" si="96">IF(OR(E48&lt;B48, And(EQ(B48, "Inf"), NOT(EQ(E48, "Inf")))), 1, 0)</f>
        <v>0</v>
      </c>
      <c r="L48" s="2">
        <f t="shared" si="96"/>
        <v>0</v>
      </c>
      <c r="M48" s="2">
        <f t="shared" si="96"/>
        <v>0</v>
      </c>
    </row>
    <row r="49">
      <c r="A49" s="396" t="s">
        <v>377</v>
      </c>
      <c r="B49" s="9">
        <f>IF(OR(EQ('Rate of Improvements'!B49, "Inf"), 'Rate of Improvements'!B49 &gt; 1), 1.1, 'Rate of Improvements'!B49)</f>
        <v>0</v>
      </c>
      <c r="C49" s="9">
        <f>IF(OR(EQ('Rate of Improvements'!C49, "Inf"), 'Rate of Improvements'!C49 &gt; 1), 1.1, 'Rate of Improvements'!C49)</f>
        <v>0</v>
      </c>
      <c r="D49" s="9">
        <f>IF(OR(EQ('Rate of Improvements'!D49, "Inf"), 'Rate of Improvements'!D49 &gt; 1), 1.1, 'Rate of Improvements'!D49)</f>
        <v>0</v>
      </c>
      <c r="E49" s="9">
        <f>IF(OR(EQ('Rate of Improvements'!E49, "Inf"), 'Rate of Improvements'!E49 &gt; 1), 1.1, 'Rate of Improvements'!E49)</f>
        <v>0</v>
      </c>
      <c r="F49" s="9">
        <f>IF(OR(EQ('Rate of Improvements'!F49, "Inf"), 'Rate of Improvements'!F49 &gt; 1), 1.1, 'Rate of Improvements'!F49)</f>
        <v>0</v>
      </c>
      <c r="G49" s="9">
        <f>IF(OR(EQ('Rate of Improvements'!G49, "Inf"), 'Rate of Improvements'!G49 &gt; 1), 1.1, 'Rate of Improvements'!G49)</f>
        <v>0</v>
      </c>
      <c r="H49" s="2">
        <f t="shared" ref="H49:J49" si="97">IF(OR(E49&gt;B49, And(EQ(E49, "Inf"), NOT(EQ(B49, "Inf")))), 1, 0)</f>
        <v>0</v>
      </c>
      <c r="I49" s="2">
        <f t="shared" si="97"/>
        <v>0</v>
      </c>
      <c r="J49" s="2">
        <f t="shared" si="97"/>
        <v>0</v>
      </c>
      <c r="K49" s="2">
        <f t="shared" ref="K49:M49" si="98">IF(OR(E49&lt;B49, And(EQ(B49, "Inf"), NOT(EQ(E49, "Inf")))), 1, 0)</f>
        <v>0</v>
      </c>
      <c r="L49" s="2">
        <f t="shared" si="98"/>
        <v>0</v>
      </c>
      <c r="M49" s="2">
        <f t="shared" si="98"/>
        <v>0</v>
      </c>
    </row>
    <row r="50">
      <c r="A50" s="52" t="s">
        <v>1104</v>
      </c>
      <c r="B50" s="9">
        <f>IF(OR(EQ('Rate of Improvements'!B50, "Inf"), 'Rate of Improvements'!B50 &gt; 1), 1.1, 'Rate of Improvements'!B50)</f>
        <v>0</v>
      </c>
      <c r="C50" s="9">
        <f>IF(OR(EQ('Rate of Improvements'!C50, "Inf"), 'Rate of Improvements'!C50 &gt; 1), 1.1, 'Rate of Improvements'!C50)</f>
        <v>0</v>
      </c>
      <c r="D50" s="9">
        <f>IF(OR(EQ('Rate of Improvements'!D50, "Inf"), 'Rate of Improvements'!D50 &gt; 1), 1.1, 'Rate of Improvements'!D50)</f>
        <v>0</v>
      </c>
      <c r="E50" s="9">
        <f>IF(OR(EQ('Rate of Improvements'!E50, "Inf"), 'Rate of Improvements'!E50 &gt; 1), 1.1, 'Rate of Improvements'!E50)</f>
        <v>0</v>
      </c>
      <c r="F50" s="9">
        <f>IF(OR(EQ('Rate of Improvements'!F50, "Inf"), 'Rate of Improvements'!F50 &gt; 1), 1.1, 'Rate of Improvements'!F50)</f>
        <v>0</v>
      </c>
      <c r="G50" s="9">
        <f>IF(OR(EQ('Rate of Improvements'!G50, "Inf"), 'Rate of Improvements'!G50 &gt; 1), 1.1, 'Rate of Improvements'!G50)</f>
        <v>0</v>
      </c>
      <c r="H50" s="2">
        <f t="shared" ref="H50:J50" si="99">IF(OR(E50&gt;B50, And(EQ(E50, "Inf"), NOT(EQ(B50, "Inf")))), 1, 0)</f>
        <v>0</v>
      </c>
      <c r="I50" s="2">
        <f t="shared" si="99"/>
        <v>0</v>
      </c>
      <c r="J50" s="2">
        <f t="shared" si="99"/>
        <v>0</v>
      </c>
      <c r="K50" s="2">
        <f t="shared" ref="K50:M50" si="100">IF(OR(E50&lt;B50, And(EQ(B50, "Inf"), NOT(EQ(E50, "Inf")))), 1, 0)</f>
        <v>0</v>
      </c>
      <c r="L50" s="2">
        <f t="shared" si="100"/>
        <v>0</v>
      </c>
      <c r="M50" s="2">
        <f t="shared" si="100"/>
        <v>0</v>
      </c>
    </row>
    <row r="51">
      <c r="A51" s="52" t="s">
        <v>1227</v>
      </c>
      <c r="B51" s="9">
        <f>IF(OR(EQ('Rate of Improvements'!B51, "Inf"), 'Rate of Improvements'!B51 &gt; 1), 1.1, 'Rate of Improvements'!B51)</f>
        <v>0</v>
      </c>
      <c r="C51" s="9">
        <f>IF(OR(EQ('Rate of Improvements'!C51, "Inf"), 'Rate of Improvements'!C51 &gt; 1), 1.1, 'Rate of Improvements'!C51)</f>
        <v>0</v>
      </c>
      <c r="D51" s="9">
        <f>IF(OR(EQ('Rate of Improvements'!D51, "Inf"), 'Rate of Improvements'!D51 &gt; 1), 1.1, 'Rate of Improvements'!D51)</f>
        <v>0</v>
      </c>
      <c r="E51" s="9">
        <f>IF(OR(EQ('Rate of Improvements'!E51, "Inf"), 'Rate of Improvements'!E51 &gt; 1), 1.1, 'Rate of Improvements'!E51)</f>
        <v>1.1</v>
      </c>
      <c r="F51" s="9">
        <f>IF(OR(EQ('Rate of Improvements'!F51, "Inf"), 'Rate of Improvements'!F51 &gt; 1), 1.1, 'Rate of Improvements'!F51)</f>
        <v>1.1</v>
      </c>
      <c r="G51" s="9">
        <f>IF(OR(EQ('Rate of Improvements'!G51, "Inf"), 'Rate of Improvements'!G51 &gt; 1), 1.1, 'Rate of Improvements'!G51)</f>
        <v>1.1</v>
      </c>
      <c r="H51" s="2">
        <f t="shared" ref="H51:J51" si="101">IF(OR(E51&gt;B51, And(EQ(E51, "Inf"), NOT(EQ(B51, "Inf")))), 1, 0)</f>
        <v>1</v>
      </c>
      <c r="I51" s="2">
        <f t="shared" si="101"/>
        <v>1</v>
      </c>
      <c r="J51" s="2">
        <f t="shared" si="101"/>
        <v>1</v>
      </c>
      <c r="K51" s="2">
        <f t="shared" ref="K51:M51" si="102">IF(OR(E51&lt;B51, And(EQ(B51, "Inf"), NOT(EQ(E51, "Inf")))), 1, 0)</f>
        <v>0</v>
      </c>
      <c r="L51" s="2">
        <f t="shared" si="102"/>
        <v>0</v>
      </c>
      <c r="M51" s="2">
        <f t="shared" si="102"/>
        <v>0</v>
      </c>
    </row>
    <row r="52">
      <c r="A52" s="52" t="s">
        <v>436</v>
      </c>
      <c r="B52" s="9">
        <f>IF(OR(EQ('Rate of Improvements'!B52, "Inf"), 'Rate of Improvements'!B52 &gt; 1), 1.1, 'Rate of Improvements'!B52)</f>
        <v>0</v>
      </c>
      <c r="C52" s="9">
        <f>IF(OR(EQ('Rate of Improvements'!C52, "Inf"), 'Rate of Improvements'!C52 &gt; 1), 1.1, 'Rate of Improvements'!C52)</f>
        <v>0</v>
      </c>
      <c r="D52" s="9">
        <f>IF(OR(EQ('Rate of Improvements'!D52, "Inf"), 'Rate of Improvements'!D52 &gt; 1), 1.1, 'Rate of Improvements'!D52)</f>
        <v>0</v>
      </c>
      <c r="E52" s="9">
        <f>IF(OR(EQ('Rate of Improvements'!E52, "Inf"), 'Rate of Improvements'!E52 &gt; 1), 1.1, 'Rate of Improvements'!E52)</f>
        <v>1.1</v>
      </c>
      <c r="F52" s="9">
        <f>IF(OR(EQ('Rate of Improvements'!F52, "Inf"), 'Rate of Improvements'!F52 &gt; 1), 1.1, 'Rate of Improvements'!F52)</f>
        <v>1.1</v>
      </c>
      <c r="G52" s="9">
        <f>IF(OR(EQ('Rate of Improvements'!G52, "Inf"), 'Rate of Improvements'!G52 &gt; 1), 1.1, 'Rate of Improvements'!G52)</f>
        <v>1.1</v>
      </c>
      <c r="H52" s="2">
        <f t="shared" ref="H52:J52" si="103">IF(OR(E52&gt;B52, And(EQ(E52, "Inf"), NOT(EQ(B52, "Inf")))), 1, 0)</f>
        <v>1</v>
      </c>
      <c r="I52" s="2">
        <f t="shared" si="103"/>
        <v>1</v>
      </c>
      <c r="J52" s="2">
        <f t="shared" si="103"/>
        <v>1</v>
      </c>
      <c r="K52" s="2">
        <f t="shared" ref="K52:M52" si="104">IF(OR(E52&lt;B52, And(EQ(B52, "Inf"), NOT(EQ(E52, "Inf")))), 1, 0)</f>
        <v>0</v>
      </c>
      <c r="L52" s="2">
        <f t="shared" si="104"/>
        <v>0</v>
      </c>
      <c r="M52" s="2">
        <f t="shared" si="104"/>
        <v>0</v>
      </c>
    </row>
    <row r="53">
      <c r="A53" s="52" t="s">
        <v>480</v>
      </c>
      <c r="B53" s="9">
        <f>IF(OR(EQ('Rate of Improvements'!B53, "Inf"), 'Rate of Improvements'!B53 &gt; 1), 1.1, 'Rate of Improvements'!B53)</f>
        <v>0</v>
      </c>
      <c r="C53" s="9">
        <f>IF(OR(EQ('Rate of Improvements'!C53, "Inf"), 'Rate of Improvements'!C53 &gt; 1), 1.1, 'Rate of Improvements'!C53)</f>
        <v>0</v>
      </c>
      <c r="D53" s="9">
        <f>IF(OR(EQ('Rate of Improvements'!D53, "Inf"), 'Rate of Improvements'!D53 &gt; 1), 1.1, 'Rate of Improvements'!D53)</f>
        <v>0</v>
      </c>
      <c r="E53" s="9">
        <f>IF(OR(EQ('Rate of Improvements'!E53, "Inf"), 'Rate of Improvements'!E53 &gt; 1), 1.1, 'Rate of Improvements'!E53)</f>
        <v>0</v>
      </c>
      <c r="F53" s="9">
        <f>IF(OR(EQ('Rate of Improvements'!F53, "Inf"), 'Rate of Improvements'!F53 &gt; 1), 1.1, 'Rate of Improvements'!F53)</f>
        <v>0</v>
      </c>
      <c r="G53" s="9">
        <f>IF(OR(EQ('Rate of Improvements'!G53, "Inf"), 'Rate of Improvements'!G53 &gt; 1), 1.1, 'Rate of Improvements'!G53)</f>
        <v>0</v>
      </c>
      <c r="H53" s="2">
        <f t="shared" ref="H53:J53" si="105">IF(OR(E53&gt;B53, And(EQ(E53, "Inf"), NOT(EQ(B53, "Inf")))), 1, 0)</f>
        <v>0</v>
      </c>
      <c r="I53" s="2">
        <f t="shared" si="105"/>
        <v>0</v>
      </c>
      <c r="J53" s="2">
        <f t="shared" si="105"/>
        <v>0</v>
      </c>
      <c r="K53" s="2">
        <f t="shared" ref="K53:M53" si="106">IF(OR(E53&lt;B53, And(EQ(B53, "Inf"), NOT(EQ(E53, "Inf")))), 1, 0)</f>
        <v>0</v>
      </c>
      <c r="L53" s="2">
        <f t="shared" si="106"/>
        <v>0</v>
      </c>
      <c r="M53" s="2">
        <f t="shared" si="106"/>
        <v>0</v>
      </c>
    </row>
    <row r="54">
      <c r="A54" s="52" t="s">
        <v>31</v>
      </c>
      <c r="B54" s="9">
        <f>IF(OR(EQ('Rate of Improvements'!B54, "Inf"), 'Rate of Improvements'!B54 &gt; 1), 1.1, 'Rate of Improvements'!B54)</f>
        <v>0</v>
      </c>
      <c r="C54" s="9">
        <f>IF(OR(EQ('Rate of Improvements'!C54, "Inf"), 'Rate of Improvements'!C54 &gt; 1), 1.1, 'Rate of Improvements'!C54)</f>
        <v>0</v>
      </c>
      <c r="D54" s="9">
        <f>IF(OR(EQ('Rate of Improvements'!D54, "Inf"), 'Rate of Improvements'!D54 &gt; 1), 1.1, 'Rate of Improvements'!D54)</f>
        <v>0</v>
      </c>
      <c r="E54" s="9">
        <f>IF(OR(EQ('Rate of Improvements'!E54, "Inf"), 'Rate of Improvements'!E54 &gt; 1), 1.1, 'Rate of Improvements'!E54)</f>
        <v>1.1</v>
      </c>
      <c r="F54" s="9">
        <f>IF(OR(EQ('Rate of Improvements'!F54, "Inf"), 'Rate of Improvements'!F54 &gt; 1), 1.1, 'Rate of Improvements'!F54)</f>
        <v>1.1</v>
      </c>
      <c r="G54" s="9">
        <f>IF(OR(EQ('Rate of Improvements'!G54, "Inf"), 'Rate of Improvements'!G54 &gt; 1), 1.1, 'Rate of Improvements'!G54)</f>
        <v>1.1</v>
      </c>
      <c r="H54" s="2">
        <f t="shared" ref="H54:J54" si="107">IF(OR(E54&gt;B54, And(EQ(E54, "Inf"), NOT(EQ(B54, "Inf")))), 1, 0)</f>
        <v>1</v>
      </c>
      <c r="I54" s="2">
        <f t="shared" si="107"/>
        <v>1</v>
      </c>
      <c r="J54" s="2">
        <f t="shared" si="107"/>
        <v>1</v>
      </c>
      <c r="K54" s="2">
        <f t="shared" ref="K54:M54" si="108">IF(OR(E54&lt;B54, And(EQ(B54, "Inf"), NOT(EQ(E54, "Inf")))), 1, 0)</f>
        <v>0</v>
      </c>
      <c r="L54" s="2">
        <f t="shared" si="108"/>
        <v>0</v>
      </c>
      <c r="M54" s="2">
        <f t="shared" si="108"/>
        <v>0</v>
      </c>
    </row>
    <row r="55">
      <c r="A55" s="52" t="s">
        <v>441</v>
      </c>
      <c r="B55" s="9">
        <f>IF(OR(EQ('Rate of Improvements'!B55, "Inf"), 'Rate of Improvements'!B55 &gt; 1), 1.1, 'Rate of Improvements'!B55)</f>
        <v>0</v>
      </c>
      <c r="C55" s="9">
        <f>IF(OR(EQ('Rate of Improvements'!C55, "Inf"), 'Rate of Improvements'!C55 &gt; 1), 1.1, 'Rate of Improvements'!C55)</f>
        <v>0</v>
      </c>
      <c r="D55" s="9">
        <f>IF(OR(EQ('Rate of Improvements'!D55, "Inf"), 'Rate of Improvements'!D55 &gt; 1), 1.1, 'Rate of Improvements'!D55)</f>
        <v>0</v>
      </c>
      <c r="E55" s="9">
        <f>IF(OR(EQ('Rate of Improvements'!E55, "Inf"), 'Rate of Improvements'!E55 &gt; 1), 1.1, 'Rate of Improvements'!E55)</f>
        <v>0</v>
      </c>
      <c r="F55" s="9">
        <f>IF(OR(EQ('Rate of Improvements'!F55, "Inf"), 'Rate of Improvements'!F55 &gt; 1), 1.1, 'Rate of Improvements'!F55)</f>
        <v>0</v>
      </c>
      <c r="G55" s="9">
        <f>IF(OR(EQ('Rate of Improvements'!G55, "Inf"), 'Rate of Improvements'!G55 &gt; 1), 1.1, 'Rate of Improvements'!G55)</f>
        <v>0</v>
      </c>
      <c r="H55" s="2">
        <f t="shared" ref="H55:J55" si="109">IF(OR(E55&gt;B55, And(EQ(E55, "Inf"), NOT(EQ(B55, "Inf")))), 1, 0)</f>
        <v>0</v>
      </c>
      <c r="I55" s="2">
        <f t="shared" si="109"/>
        <v>0</v>
      </c>
      <c r="J55" s="2">
        <f t="shared" si="109"/>
        <v>0</v>
      </c>
      <c r="K55" s="2">
        <f t="shared" ref="K55:M55" si="110">IF(OR(E55&lt;B55, And(EQ(B55, "Inf"), NOT(EQ(E55, "Inf")))), 1, 0)</f>
        <v>0</v>
      </c>
      <c r="L55" s="2">
        <f t="shared" si="110"/>
        <v>0</v>
      </c>
      <c r="M55" s="2">
        <f t="shared" si="110"/>
        <v>0</v>
      </c>
    </row>
    <row r="56">
      <c r="A56" s="52" t="s">
        <v>586</v>
      </c>
      <c r="B56" s="9">
        <f>IF(OR(EQ('Rate of Improvements'!B56, "Inf"), 'Rate of Improvements'!B56 &gt; 1), 1.1, 'Rate of Improvements'!B56)</f>
        <v>0</v>
      </c>
      <c r="C56" s="9">
        <f>IF(OR(EQ('Rate of Improvements'!C56, "Inf"), 'Rate of Improvements'!C56 &gt; 1), 1.1, 'Rate of Improvements'!C56)</f>
        <v>0</v>
      </c>
      <c r="D56" s="9">
        <f>IF(OR(EQ('Rate of Improvements'!D56, "Inf"), 'Rate of Improvements'!D56 &gt; 1), 1.1, 'Rate of Improvements'!D56)</f>
        <v>0</v>
      </c>
      <c r="E56" s="9">
        <f>IF(OR(EQ('Rate of Improvements'!E56, "Inf"), 'Rate of Improvements'!E56 &gt; 1), 1.1, 'Rate of Improvements'!E56)</f>
        <v>0</v>
      </c>
      <c r="F56" s="9">
        <f>IF(OR(EQ('Rate of Improvements'!F56, "Inf"), 'Rate of Improvements'!F56 &gt; 1), 1.1, 'Rate of Improvements'!F56)</f>
        <v>0</v>
      </c>
      <c r="G56" s="9">
        <f>IF(OR(EQ('Rate of Improvements'!G56, "Inf"), 'Rate of Improvements'!G56 &gt; 1), 1.1, 'Rate of Improvements'!G56)</f>
        <v>0</v>
      </c>
      <c r="H56" s="2">
        <f t="shared" ref="H56:J56" si="111">IF(OR(E56&gt;B56, And(EQ(E56, "Inf"), NOT(EQ(B56, "Inf")))), 1, 0)</f>
        <v>0</v>
      </c>
      <c r="I56" s="2">
        <f t="shared" si="111"/>
        <v>0</v>
      </c>
      <c r="J56" s="2">
        <f t="shared" si="111"/>
        <v>0</v>
      </c>
      <c r="K56" s="2">
        <f t="shared" ref="K56:M56" si="112">IF(OR(E56&lt;B56, And(EQ(B56, "Inf"), NOT(EQ(E56, "Inf")))), 1, 0)</f>
        <v>0</v>
      </c>
      <c r="L56" s="2">
        <f t="shared" si="112"/>
        <v>0</v>
      </c>
      <c r="M56" s="2">
        <f t="shared" si="112"/>
        <v>0</v>
      </c>
    </row>
    <row r="57">
      <c r="A57" s="52" t="s">
        <v>186</v>
      </c>
      <c r="B57" s="9">
        <f>IF(OR(EQ('Rate of Improvements'!B57, "Inf"), 'Rate of Improvements'!B57 &gt; 1), 1.1, 'Rate of Improvements'!B57)</f>
        <v>0</v>
      </c>
      <c r="C57" s="9">
        <f>IF(OR(EQ('Rate of Improvements'!C57, "Inf"), 'Rate of Improvements'!C57 &gt; 1), 1.1, 'Rate of Improvements'!C57)</f>
        <v>0</v>
      </c>
      <c r="D57" s="9">
        <f>IF(OR(EQ('Rate of Improvements'!D57, "Inf"), 'Rate of Improvements'!D57 &gt; 1), 1.1, 'Rate of Improvements'!D57)</f>
        <v>0</v>
      </c>
      <c r="E57" s="9">
        <f>IF(OR(EQ('Rate of Improvements'!E57, "Inf"), 'Rate of Improvements'!E57 &gt; 1), 1.1, 'Rate of Improvements'!E57)</f>
        <v>0.1245364271</v>
      </c>
      <c r="F57" s="9">
        <f>IF(OR(EQ('Rate of Improvements'!F57, "Inf"), 'Rate of Improvements'!F57 &gt; 1), 1.1, 'Rate of Improvements'!F57)</f>
        <v>0.3198161773</v>
      </c>
      <c r="G57" s="9">
        <f>IF(OR(EQ('Rate of Improvements'!G57, "Inf"), 'Rate of Improvements'!G57 &gt; 1), 1.1, 'Rate of Improvements'!G57)</f>
        <v>0.5593088428</v>
      </c>
      <c r="H57" s="2">
        <f t="shared" ref="H57:J57" si="113">IF(OR(E57&gt;B57, And(EQ(E57, "Inf"), NOT(EQ(B57, "Inf")))), 1, 0)</f>
        <v>1</v>
      </c>
      <c r="I57" s="2">
        <f t="shared" si="113"/>
        <v>1</v>
      </c>
      <c r="J57" s="2">
        <f t="shared" si="113"/>
        <v>1</v>
      </c>
      <c r="K57" s="2">
        <f t="shared" ref="K57:M57" si="114">IF(OR(E57&lt;B57, And(EQ(B57, "Inf"), NOT(EQ(E57, "Inf")))), 1, 0)</f>
        <v>0</v>
      </c>
      <c r="L57" s="2">
        <f t="shared" si="114"/>
        <v>0</v>
      </c>
      <c r="M57" s="2">
        <f t="shared" si="114"/>
        <v>0</v>
      </c>
    </row>
    <row r="58">
      <c r="A58" s="391" t="s">
        <v>166</v>
      </c>
      <c r="B58" s="9">
        <f>IF(OR(EQ('Rate of Improvements'!B58, "Inf"), 'Rate of Improvements'!B58 &gt; 1), 1.1, 'Rate of Improvements'!B58)</f>
        <v>1.1</v>
      </c>
      <c r="C58" s="9">
        <f>IF(OR(EQ('Rate of Improvements'!C58, "Inf"), 'Rate of Improvements'!C58 &gt; 1), 1.1, 'Rate of Improvements'!C58)</f>
        <v>1.1</v>
      </c>
      <c r="D58" s="9">
        <f>IF(OR(EQ('Rate of Improvements'!D58, "Inf"), 'Rate of Improvements'!D58 &gt; 1), 1.1, 'Rate of Improvements'!D58)</f>
        <v>1.1</v>
      </c>
      <c r="E58" s="9">
        <f>IF(OR(EQ('Rate of Improvements'!E58, "Inf"), 'Rate of Improvements'!E58 &gt; 1), 1.1, 'Rate of Improvements'!E58)</f>
        <v>1.1</v>
      </c>
      <c r="F58" s="9">
        <f>IF(OR(EQ('Rate of Improvements'!F58, "Inf"), 'Rate of Improvements'!F58 &gt; 1), 1.1, 'Rate of Improvements'!F58)</f>
        <v>1.1</v>
      </c>
      <c r="G58" s="9">
        <f>IF(OR(EQ('Rate of Improvements'!G58, "Inf"), 'Rate of Improvements'!G58 &gt; 1), 1.1, 'Rate of Improvements'!G58)</f>
        <v>1.1</v>
      </c>
      <c r="H58" s="2">
        <f t="shared" ref="H58:J58" si="115">IF(OR(E58&gt;B58, And(EQ(E58, "Inf"), NOT(EQ(B58, "Inf")))), 1, 0)</f>
        <v>0</v>
      </c>
      <c r="I58" s="2">
        <f t="shared" si="115"/>
        <v>0</v>
      </c>
      <c r="J58" s="2">
        <f t="shared" si="115"/>
        <v>0</v>
      </c>
      <c r="K58" s="2">
        <f t="shared" ref="K58:M58" si="116">IF(OR(E58&lt;B58, And(EQ(B58, "Inf"), NOT(EQ(E58, "Inf")))), 1, 0)</f>
        <v>0</v>
      </c>
      <c r="L58" s="2">
        <f t="shared" si="116"/>
        <v>0</v>
      </c>
      <c r="M58" s="2">
        <f t="shared" si="116"/>
        <v>0</v>
      </c>
    </row>
    <row r="59">
      <c r="A59" s="52" t="s">
        <v>138</v>
      </c>
      <c r="B59" s="9">
        <f>IF(OR(EQ('Rate of Improvements'!B59, "Inf"), 'Rate of Improvements'!B59 &gt; 1), 1.1, 'Rate of Improvements'!B59)</f>
        <v>0</v>
      </c>
      <c r="C59" s="9">
        <f>IF(OR(EQ('Rate of Improvements'!C59, "Inf"), 'Rate of Improvements'!C59 &gt; 1), 1.1, 'Rate of Improvements'!C59)</f>
        <v>0</v>
      </c>
      <c r="D59" s="9">
        <f>IF(OR(EQ('Rate of Improvements'!D59, "Inf"), 'Rate of Improvements'!D59 &gt; 1), 1.1, 'Rate of Improvements'!D59)</f>
        <v>0</v>
      </c>
      <c r="E59" s="9">
        <f>IF(OR(EQ('Rate of Improvements'!E59, "Inf"), 'Rate of Improvements'!E59 &gt; 1), 1.1, 'Rate of Improvements'!E59)</f>
        <v>1.1</v>
      </c>
      <c r="F59" s="9">
        <f>IF(OR(EQ('Rate of Improvements'!F59, "Inf"), 'Rate of Improvements'!F59 &gt; 1), 1.1, 'Rate of Improvements'!F59)</f>
        <v>1.1</v>
      </c>
      <c r="G59" s="9">
        <f>IF(OR(EQ('Rate of Improvements'!G59, "Inf"), 'Rate of Improvements'!G59 &gt; 1), 1.1, 'Rate of Improvements'!G59)</f>
        <v>1.1</v>
      </c>
      <c r="H59" s="2">
        <f t="shared" ref="H59:J59" si="117">IF(OR(E59&gt;B59, And(EQ(E59, "Inf"), NOT(EQ(B59, "Inf")))), 1, 0)</f>
        <v>1</v>
      </c>
      <c r="I59" s="2">
        <f t="shared" si="117"/>
        <v>1</v>
      </c>
      <c r="J59" s="2">
        <f t="shared" si="117"/>
        <v>1</v>
      </c>
      <c r="K59" s="2">
        <f t="shared" ref="K59:M59" si="118">IF(OR(E59&lt;B59, And(EQ(B59, "Inf"), NOT(EQ(E59, "Inf")))), 1, 0)</f>
        <v>0</v>
      </c>
      <c r="L59" s="2">
        <f t="shared" si="118"/>
        <v>0</v>
      </c>
      <c r="M59" s="2">
        <f t="shared" si="118"/>
        <v>0</v>
      </c>
    </row>
    <row r="60">
      <c r="A60" s="52" t="s">
        <v>1021</v>
      </c>
      <c r="B60" s="9">
        <f>IF(OR(EQ('Rate of Improvements'!B60, "Inf"), 'Rate of Improvements'!B60 &gt; 1), 1.1, 'Rate of Improvements'!B60)</f>
        <v>0</v>
      </c>
      <c r="C60" s="9">
        <f>IF(OR(EQ('Rate of Improvements'!C60, "Inf"), 'Rate of Improvements'!C60 &gt; 1), 1.1, 'Rate of Improvements'!C60)</f>
        <v>0</v>
      </c>
      <c r="D60" s="9">
        <f>IF(OR(EQ('Rate of Improvements'!D60, "Inf"), 'Rate of Improvements'!D60 &gt; 1), 1.1, 'Rate of Improvements'!D60)</f>
        <v>0</v>
      </c>
      <c r="E60" s="9">
        <f>IF(OR(EQ('Rate of Improvements'!E60, "Inf"), 'Rate of Improvements'!E60 &gt; 1), 1.1, 'Rate of Improvements'!E60)</f>
        <v>1.1</v>
      </c>
      <c r="F60" s="9">
        <f>IF(OR(EQ('Rate of Improvements'!F60, "Inf"), 'Rate of Improvements'!F60 &gt; 1), 1.1, 'Rate of Improvements'!F60)</f>
        <v>1.1</v>
      </c>
      <c r="G60" s="9">
        <f>IF(OR(EQ('Rate of Improvements'!G60, "Inf"), 'Rate of Improvements'!G60 &gt; 1), 1.1, 'Rate of Improvements'!G60)</f>
        <v>1.1</v>
      </c>
      <c r="H60" s="2">
        <f t="shared" ref="H60:J60" si="119">IF(OR(E60&gt;B60, And(EQ(E60, "Inf"), NOT(EQ(B60, "Inf")))), 1, 0)</f>
        <v>1</v>
      </c>
      <c r="I60" s="2">
        <f t="shared" si="119"/>
        <v>1</v>
      </c>
      <c r="J60" s="2">
        <f t="shared" si="119"/>
        <v>1</v>
      </c>
      <c r="K60" s="2">
        <f t="shared" ref="K60:M60" si="120">IF(OR(E60&lt;B60, And(EQ(B60, "Inf"), NOT(EQ(E60, "Inf")))), 1, 0)</f>
        <v>0</v>
      </c>
      <c r="L60" s="2">
        <f t="shared" si="120"/>
        <v>0</v>
      </c>
      <c r="M60" s="2">
        <f t="shared" si="120"/>
        <v>0</v>
      </c>
    </row>
    <row r="61">
      <c r="A61" s="396" t="s">
        <v>1120</v>
      </c>
      <c r="B61" s="9">
        <f>IF(OR(EQ('Rate of Improvements'!B61, "Inf"), 'Rate of Improvements'!B61 &gt; 1), 1.1, 'Rate of Improvements'!B61)</f>
        <v>0</v>
      </c>
      <c r="C61" s="9">
        <f>IF(OR(EQ('Rate of Improvements'!C61, "Inf"), 'Rate of Improvements'!C61 &gt; 1), 1.1, 'Rate of Improvements'!C61)</f>
        <v>0</v>
      </c>
      <c r="D61" s="9">
        <f>IF(OR(EQ('Rate of Improvements'!D61, "Inf"), 'Rate of Improvements'!D61 &gt; 1), 1.1, 'Rate of Improvements'!D61)</f>
        <v>0</v>
      </c>
      <c r="E61" s="9">
        <f>IF(OR(EQ('Rate of Improvements'!E61, "Inf"), 'Rate of Improvements'!E61 &gt; 1), 1.1, 'Rate of Improvements'!E61)</f>
        <v>0</v>
      </c>
      <c r="F61" s="9">
        <f>IF(OR(EQ('Rate of Improvements'!F61, "Inf"), 'Rate of Improvements'!F61 &gt; 1), 1.1, 'Rate of Improvements'!F61)</f>
        <v>0</v>
      </c>
      <c r="G61" s="9">
        <f>IF(OR(EQ('Rate of Improvements'!G61, "Inf"), 'Rate of Improvements'!G61 &gt; 1), 1.1, 'Rate of Improvements'!G61)</f>
        <v>0</v>
      </c>
      <c r="H61" s="2">
        <f t="shared" ref="H61:J61" si="121">IF(OR(E61&gt;B61, And(EQ(E61, "Inf"), NOT(EQ(B61, "Inf")))), 1, 0)</f>
        <v>0</v>
      </c>
      <c r="I61" s="2">
        <f t="shared" si="121"/>
        <v>0</v>
      </c>
      <c r="J61" s="2">
        <f t="shared" si="121"/>
        <v>0</v>
      </c>
      <c r="K61" s="2">
        <f t="shared" ref="K61:M61" si="122">IF(OR(E61&lt;B61, And(EQ(B61, "Inf"), NOT(EQ(E61, "Inf")))), 1, 0)</f>
        <v>0</v>
      </c>
      <c r="L61" s="2">
        <f t="shared" si="122"/>
        <v>0</v>
      </c>
      <c r="M61" s="2">
        <f t="shared" si="122"/>
        <v>0</v>
      </c>
    </row>
    <row r="62">
      <c r="A62" s="391" t="s">
        <v>63</v>
      </c>
      <c r="B62" s="9">
        <f>IF(OR(EQ('Rate of Improvements'!B62, "Inf"), 'Rate of Improvements'!B62 &gt; 1), 1.1, 'Rate of Improvements'!B62)</f>
        <v>1.1</v>
      </c>
      <c r="C62" s="9">
        <f>IF(OR(EQ('Rate of Improvements'!C62, "Inf"), 'Rate of Improvements'!C62 &gt; 1), 1.1, 'Rate of Improvements'!C62)</f>
        <v>1.1</v>
      </c>
      <c r="D62" s="9">
        <f>IF(OR(EQ('Rate of Improvements'!D62, "Inf"), 'Rate of Improvements'!D62 &gt; 1), 1.1, 'Rate of Improvements'!D62)</f>
        <v>1.1</v>
      </c>
      <c r="E62" s="9">
        <f>IF(OR(EQ('Rate of Improvements'!E62, "Inf"), 'Rate of Improvements'!E62 &gt; 1), 1.1, 'Rate of Improvements'!E62)</f>
        <v>1.1</v>
      </c>
      <c r="F62" s="9">
        <f>IF(OR(EQ('Rate of Improvements'!F62, "Inf"), 'Rate of Improvements'!F62 &gt; 1), 1.1, 'Rate of Improvements'!F62)</f>
        <v>1.1</v>
      </c>
      <c r="G62" s="9">
        <f>IF(OR(EQ('Rate of Improvements'!G62, "Inf"), 'Rate of Improvements'!G62 &gt; 1), 1.1, 'Rate of Improvements'!G62)</f>
        <v>1.1</v>
      </c>
      <c r="H62" s="2">
        <f t="shared" ref="H62:J62" si="123">IF(OR(E62&gt;B62, And(EQ(E62, "Inf"), NOT(EQ(B62, "Inf")))), 1, 0)</f>
        <v>0</v>
      </c>
      <c r="I62" s="2">
        <f t="shared" si="123"/>
        <v>0</v>
      </c>
      <c r="J62" s="2">
        <f t="shared" si="123"/>
        <v>0</v>
      </c>
      <c r="K62" s="2">
        <f t="shared" ref="K62:M62" si="124">IF(OR(E62&lt;B62, And(EQ(B62, "Inf"), NOT(EQ(E62, "Inf")))), 1, 0)</f>
        <v>0</v>
      </c>
      <c r="L62" s="2">
        <f t="shared" si="124"/>
        <v>0</v>
      </c>
      <c r="M62" s="2">
        <f t="shared" si="124"/>
        <v>0</v>
      </c>
    </row>
    <row r="63">
      <c r="A63" s="52" t="s">
        <v>922</v>
      </c>
      <c r="B63" s="9">
        <f>IF(OR(EQ('Rate of Improvements'!B63, "Inf"), 'Rate of Improvements'!B63 &gt; 1), 1.1, 'Rate of Improvements'!B63)</f>
        <v>0</v>
      </c>
      <c r="C63" s="9">
        <f>IF(OR(EQ('Rate of Improvements'!C63, "Inf"), 'Rate of Improvements'!C63 &gt; 1), 1.1, 'Rate of Improvements'!C63)</f>
        <v>0</v>
      </c>
      <c r="D63" s="9">
        <f>IF(OR(EQ('Rate of Improvements'!D63, "Inf"), 'Rate of Improvements'!D63 &gt; 1), 1.1, 'Rate of Improvements'!D63)</f>
        <v>0</v>
      </c>
      <c r="E63" s="9">
        <f>IF(OR(EQ('Rate of Improvements'!E63, "Inf"), 'Rate of Improvements'!E63 &gt; 1), 1.1, 'Rate of Improvements'!E63)</f>
        <v>0.5926180344</v>
      </c>
      <c r="F63" s="9">
        <f>IF(OR(EQ('Rate of Improvements'!F63, "Inf"), 'Rate of Improvements'!F63 &gt; 1), 1.1, 'Rate of Improvements'!F63)</f>
        <v>1.1</v>
      </c>
      <c r="G63" s="9">
        <f>IF(OR(EQ('Rate of Improvements'!G63, "Inf"), 'Rate of Improvements'!G63 &gt; 1), 1.1, 'Rate of Improvements'!G63)</f>
        <v>1.1</v>
      </c>
      <c r="H63" s="2">
        <f t="shared" ref="H63:J63" si="125">IF(OR(E63&gt;B63, And(EQ(E63, "Inf"), NOT(EQ(B63, "Inf")))), 1, 0)</f>
        <v>1</v>
      </c>
      <c r="I63" s="2">
        <f t="shared" si="125"/>
        <v>1</v>
      </c>
      <c r="J63" s="2">
        <f t="shared" si="125"/>
        <v>1</v>
      </c>
      <c r="K63" s="2">
        <f t="shared" ref="K63:M63" si="126">IF(OR(E63&lt;B63, And(EQ(B63, "Inf"), NOT(EQ(E63, "Inf")))), 1, 0)</f>
        <v>0</v>
      </c>
      <c r="L63" s="2">
        <f t="shared" si="126"/>
        <v>0</v>
      </c>
      <c r="M63" s="2">
        <f t="shared" si="126"/>
        <v>0</v>
      </c>
    </row>
    <row r="64">
      <c r="A64" s="52" t="s">
        <v>885</v>
      </c>
      <c r="B64" s="9">
        <f>IF(OR(EQ('Rate of Improvements'!B64, "Inf"), 'Rate of Improvements'!B64 &gt; 1), 1.1, 'Rate of Improvements'!B64)</f>
        <v>0</v>
      </c>
      <c r="C64" s="9">
        <f>IF(OR(EQ('Rate of Improvements'!C64, "Inf"), 'Rate of Improvements'!C64 &gt; 1), 1.1, 'Rate of Improvements'!C64)</f>
        <v>0</v>
      </c>
      <c r="D64" s="9">
        <f>IF(OR(EQ('Rate of Improvements'!D64, "Inf"), 'Rate of Improvements'!D64 &gt; 1), 1.1, 'Rate of Improvements'!D64)</f>
        <v>0</v>
      </c>
      <c r="E64" s="9">
        <f>IF(OR(EQ('Rate of Improvements'!E64, "Inf"), 'Rate of Improvements'!E64 &gt; 1), 1.1, 'Rate of Improvements'!E64)</f>
        <v>0</v>
      </c>
      <c r="F64" s="9">
        <f>IF(OR(EQ('Rate of Improvements'!F64, "Inf"), 'Rate of Improvements'!F64 &gt; 1), 1.1, 'Rate of Improvements'!F64)</f>
        <v>0</v>
      </c>
      <c r="G64" s="9">
        <f>IF(OR(EQ('Rate of Improvements'!G64, "Inf"), 'Rate of Improvements'!G64 &gt; 1), 1.1, 'Rate of Improvements'!G64)</f>
        <v>0</v>
      </c>
      <c r="H64" s="2">
        <f t="shared" ref="H64:J64" si="127">IF(OR(E64&gt;B64, And(EQ(E64, "Inf"), NOT(EQ(B64, "Inf")))), 1, 0)</f>
        <v>0</v>
      </c>
      <c r="I64" s="2">
        <f t="shared" si="127"/>
        <v>0</v>
      </c>
      <c r="J64" s="2">
        <f t="shared" si="127"/>
        <v>0</v>
      </c>
      <c r="K64" s="2">
        <f t="shared" ref="K64:M64" si="128">IF(OR(E64&lt;B64, And(EQ(B64, "Inf"), NOT(EQ(E64, "Inf")))), 1, 0)</f>
        <v>0</v>
      </c>
      <c r="L64" s="2">
        <f t="shared" si="128"/>
        <v>0</v>
      </c>
      <c r="M64" s="2">
        <f t="shared" si="128"/>
        <v>0</v>
      </c>
    </row>
    <row r="65">
      <c r="A65" s="52" t="s">
        <v>694</v>
      </c>
      <c r="B65" s="9">
        <f>IF(OR(EQ('Rate of Improvements'!B65, "Inf"), 'Rate of Improvements'!B65 &gt; 1), 1.1, 'Rate of Improvements'!B65)</f>
        <v>0</v>
      </c>
      <c r="C65" s="9">
        <f>IF(OR(EQ('Rate of Improvements'!C65, "Inf"), 'Rate of Improvements'!C65 &gt; 1), 1.1, 'Rate of Improvements'!C65)</f>
        <v>0</v>
      </c>
      <c r="D65" s="9">
        <f>IF(OR(EQ('Rate of Improvements'!D65, "Inf"), 'Rate of Improvements'!D65 &gt; 1), 1.1, 'Rate of Improvements'!D65)</f>
        <v>0</v>
      </c>
      <c r="E65" s="9">
        <f>IF(OR(EQ('Rate of Improvements'!E65, "Inf"), 'Rate of Improvements'!E65 &gt; 1), 1.1, 'Rate of Improvements'!E65)</f>
        <v>0</v>
      </c>
      <c r="F65" s="9">
        <f>IF(OR(EQ('Rate of Improvements'!F65, "Inf"), 'Rate of Improvements'!F65 &gt; 1), 1.1, 'Rate of Improvements'!F65)</f>
        <v>0</v>
      </c>
      <c r="G65" s="9">
        <f>IF(OR(EQ('Rate of Improvements'!G65, "Inf"), 'Rate of Improvements'!G65 &gt; 1), 1.1, 'Rate of Improvements'!G65)</f>
        <v>0</v>
      </c>
      <c r="H65" s="2">
        <f t="shared" ref="H65:J65" si="129">IF(OR(E65&gt;B65, And(EQ(E65, "Inf"), NOT(EQ(B65, "Inf")))), 1, 0)</f>
        <v>0</v>
      </c>
      <c r="I65" s="2">
        <f t="shared" si="129"/>
        <v>0</v>
      </c>
      <c r="J65" s="2">
        <f t="shared" si="129"/>
        <v>0</v>
      </c>
      <c r="K65" s="2">
        <f t="shared" ref="K65:M65" si="130">IF(OR(E65&lt;B65, And(EQ(B65, "Inf"), NOT(EQ(E65, "Inf")))), 1, 0)</f>
        <v>0</v>
      </c>
      <c r="L65" s="2">
        <f t="shared" si="130"/>
        <v>0</v>
      </c>
      <c r="M65" s="2">
        <f t="shared" si="130"/>
        <v>0</v>
      </c>
    </row>
    <row r="66">
      <c r="A66" s="52" t="s">
        <v>393</v>
      </c>
      <c r="B66" s="9">
        <f>IF(OR(EQ('Rate of Improvements'!B66, "Inf"), 'Rate of Improvements'!B66 &gt; 1), 1.1, 'Rate of Improvements'!B66)</f>
        <v>0</v>
      </c>
      <c r="C66" s="9">
        <f>IF(OR(EQ('Rate of Improvements'!C66, "Inf"), 'Rate of Improvements'!C66 &gt; 1), 1.1, 'Rate of Improvements'!C66)</f>
        <v>0</v>
      </c>
      <c r="D66" s="9">
        <f>IF(OR(EQ('Rate of Improvements'!D66, "Inf"), 'Rate of Improvements'!D66 &gt; 1), 1.1, 'Rate of Improvements'!D66)</f>
        <v>0</v>
      </c>
      <c r="E66" s="9">
        <f>IF(OR(EQ('Rate of Improvements'!E66, "Inf"), 'Rate of Improvements'!E66 &gt; 1), 1.1, 'Rate of Improvements'!E66)</f>
        <v>0.135164559</v>
      </c>
      <c r="F66" s="9">
        <f>IF(OR(EQ('Rate of Improvements'!F66, "Inf"), 'Rate of Improvements'!F66 &gt; 1), 1.1, 'Rate of Improvements'!F66)</f>
        <v>0.2885985759</v>
      </c>
      <c r="G66" s="9">
        <f>IF(OR(EQ('Rate of Improvements'!G66, "Inf"), 'Rate of Improvements'!G66 &gt; 1), 1.1, 'Rate of Improvements'!G66)</f>
        <v>0.4627714341</v>
      </c>
      <c r="H66" s="2">
        <f t="shared" ref="H66:J66" si="131">IF(OR(E66&gt;B66, And(EQ(E66, "Inf"), NOT(EQ(B66, "Inf")))), 1, 0)</f>
        <v>1</v>
      </c>
      <c r="I66" s="2">
        <f t="shared" si="131"/>
        <v>1</v>
      </c>
      <c r="J66" s="2">
        <f t="shared" si="131"/>
        <v>1</v>
      </c>
      <c r="K66" s="2">
        <f t="shared" ref="K66:M66" si="132">IF(OR(E66&lt;B66, And(EQ(B66, "Inf"), NOT(EQ(E66, "Inf")))), 1, 0)</f>
        <v>0</v>
      </c>
      <c r="L66" s="2">
        <f t="shared" si="132"/>
        <v>0</v>
      </c>
      <c r="M66" s="2">
        <f t="shared" si="132"/>
        <v>0</v>
      </c>
    </row>
    <row r="67">
      <c r="A67" s="52" t="s">
        <v>39</v>
      </c>
      <c r="B67" s="9">
        <f>IF(OR(EQ('Rate of Improvements'!B67, "Inf"), 'Rate of Improvements'!B67 &gt; 1), 1.1, 'Rate of Improvements'!B67)</f>
        <v>0</v>
      </c>
      <c r="C67" s="9">
        <f>IF(OR(EQ('Rate of Improvements'!C67, "Inf"), 'Rate of Improvements'!C67 &gt; 1), 1.1, 'Rate of Improvements'!C67)</f>
        <v>0</v>
      </c>
      <c r="D67" s="9">
        <f>IF(OR(EQ('Rate of Improvements'!D67, "Inf"), 'Rate of Improvements'!D67 &gt; 1), 1.1, 'Rate of Improvements'!D67)</f>
        <v>0</v>
      </c>
      <c r="E67" s="9">
        <f>IF(OR(EQ('Rate of Improvements'!E67, "Inf"), 'Rate of Improvements'!E67 &gt; 1), 1.1, 'Rate of Improvements'!E67)</f>
        <v>1.1</v>
      </c>
      <c r="F67" s="9">
        <f>IF(OR(EQ('Rate of Improvements'!F67, "Inf"), 'Rate of Improvements'!F67 &gt; 1), 1.1, 'Rate of Improvements'!F67)</f>
        <v>1.1</v>
      </c>
      <c r="G67" s="9">
        <f>IF(OR(EQ('Rate of Improvements'!G67, "Inf"), 'Rate of Improvements'!G67 &gt; 1), 1.1, 'Rate of Improvements'!G67)</f>
        <v>1.1</v>
      </c>
      <c r="H67" s="2">
        <f t="shared" ref="H67:J67" si="133">IF(OR(E67&gt;B67, And(EQ(E67, "Inf"), NOT(EQ(B67, "Inf")))), 1, 0)</f>
        <v>1</v>
      </c>
      <c r="I67" s="2">
        <f t="shared" si="133"/>
        <v>1</v>
      </c>
      <c r="J67" s="2">
        <f t="shared" si="133"/>
        <v>1</v>
      </c>
      <c r="K67" s="2">
        <f t="shared" ref="K67:M67" si="134">IF(OR(E67&lt;B67, And(EQ(B67, "Inf"), NOT(EQ(E67, "Inf")))), 1, 0)</f>
        <v>0</v>
      </c>
      <c r="L67" s="2">
        <f t="shared" si="134"/>
        <v>0</v>
      </c>
      <c r="M67" s="2">
        <f t="shared" si="134"/>
        <v>0</v>
      </c>
    </row>
    <row r="68">
      <c r="A68" s="52" t="s">
        <v>109</v>
      </c>
      <c r="B68" s="9">
        <f>IF(OR(EQ('Rate of Improvements'!B68, "Inf"), 'Rate of Improvements'!B68 &gt; 1), 1.1, 'Rate of Improvements'!B68)</f>
        <v>0</v>
      </c>
      <c r="C68" s="9">
        <f>IF(OR(EQ('Rate of Improvements'!C68, "Inf"), 'Rate of Improvements'!C68 &gt; 1), 1.1, 'Rate of Improvements'!C68)</f>
        <v>0</v>
      </c>
      <c r="D68" s="9">
        <f>IF(OR(EQ('Rate of Improvements'!D68, "Inf"), 'Rate of Improvements'!D68 &gt; 1), 1.1, 'Rate of Improvements'!D68)</f>
        <v>0</v>
      </c>
      <c r="E68" s="9">
        <f>IF(OR(EQ('Rate of Improvements'!E68, "Inf"), 'Rate of Improvements'!E68 &gt; 1), 1.1, 'Rate of Improvements'!E68)</f>
        <v>0.06875991349</v>
      </c>
      <c r="F68" s="9">
        <f>IF(OR(EQ('Rate of Improvements'!F68, "Inf"), 'Rate of Improvements'!F68 &gt; 1), 1.1, 'Rate of Improvements'!F68)</f>
        <v>0.1425453946</v>
      </c>
      <c r="G68" s="9">
        <f>IF(OR(EQ('Rate of Improvements'!G68, "Inf"), 'Rate of Improvements'!G68 &gt; 1), 1.1, 'Rate of Improvements'!G68)</f>
        <v>0.2218465331</v>
      </c>
      <c r="H68" s="2">
        <f t="shared" ref="H68:J68" si="135">IF(OR(E68&gt;B68, And(EQ(E68, "Inf"), NOT(EQ(B68, "Inf")))), 1, 0)</f>
        <v>1</v>
      </c>
      <c r="I68" s="2">
        <f t="shared" si="135"/>
        <v>1</v>
      </c>
      <c r="J68" s="2">
        <f t="shared" si="135"/>
        <v>1</v>
      </c>
      <c r="K68" s="2">
        <f t="shared" ref="K68:M68" si="136">IF(OR(E68&lt;B68, And(EQ(B68, "Inf"), NOT(EQ(E68, "Inf")))), 1, 0)</f>
        <v>0</v>
      </c>
      <c r="L68" s="2">
        <f t="shared" si="136"/>
        <v>0</v>
      </c>
      <c r="M68" s="2">
        <f t="shared" si="136"/>
        <v>0</v>
      </c>
    </row>
    <row r="69">
      <c r="A69" s="396" t="s">
        <v>470</v>
      </c>
      <c r="B69" s="9">
        <f>IF(OR(EQ('Rate of Improvements'!B69, "Inf"), 'Rate of Improvements'!B69 &gt; 1), 1.1, 'Rate of Improvements'!B69)</f>
        <v>0</v>
      </c>
      <c r="C69" s="9">
        <f>IF(OR(EQ('Rate of Improvements'!C69, "Inf"), 'Rate of Improvements'!C69 &gt; 1), 1.1, 'Rate of Improvements'!C69)</f>
        <v>0</v>
      </c>
      <c r="D69" s="9">
        <f>IF(OR(EQ('Rate of Improvements'!D69, "Inf"), 'Rate of Improvements'!D69 &gt; 1), 1.1, 'Rate of Improvements'!D69)</f>
        <v>0</v>
      </c>
      <c r="E69" s="9">
        <f>IF(OR(EQ('Rate of Improvements'!E69, "Inf"), 'Rate of Improvements'!E69 &gt; 1), 1.1, 'Rate of Improvements'!E69)</f>
        <v>0.077712643</v>
      </c>
      <c r="F69" s="9">
        <f>IF(OR(EQ('Rate of Improvements'!F69, "Inf"), 'Rate of Improvements'!F69 &gt; 1), 1.1, 'Rate of Improvements'!F69)</f>
        <v>0.1954568754</v>
      </c>
      <c r="G69" s="9">
        <f>IF(OR(EQ('Rate of Improvements'!G69, "Inf"), 'Rate of Improvements'!G69 &gt; 1), 1.1, 'Rate of Improvements'!G69)</f>
        <v>0.3312041939</v>
      </c>
      <c r="H69" s="2">
        <f t="shared" ref="H69:J69" si="137">IF(OR(E69&gt;B69, And(EQ(E69, "Inf"), NOT(EQ(B69, "Inf")))), 1, 0)</f>
        <v>1</v>
      </c>
      <c r="I69" s="2">
        <f t="shared" si="137"/>
        <v>1</v>
      </c>
      <c r="J69" s="2">
        <f t="shared" si="137"/>
        <v>1</v>
      </c>
      <c r="K69" s="2">
        <f t="shared" ref="K69:M69" si="138">IF(OR(E69&lt;B69, And(EQ(B69, "Inf"), NOT(EQ(E69, "Inf")))), 1, 0)</f>
        <v>0</v>
      </c>
      <c r="L69" s="2">
        <f t="shared" si="138"/>
        <v>0</v>
      </c>
      <c r="M69" s="2">
        <f t="shared" si="138"/>
        <v>0</v>
      </c>
    </row>
    <row r="70">
      <c r="A70" s="391" t="s">
        <v>76</v>
      </c>
      <c r="B70" s="9">
        <f>IF(OR(EQ('Rate of Improvements'!B70, "Inf"), 'Rate of Improvements'!B70 &gt; 1), 1.1, 'Rate of Improvements'!B70)</f>
        <v>1.1</v>
      </c>
      <c r="C70" s="9">
        <f>IF(OR(EQ('Rate of Improvements'!C70, "Inf"), 'Rate of Improvements'!C70 &gt; 1), 1.1, 'Rate of Improvements'!C70)</f>
        <v>1.1</v>
      </c>
      <c r="D70" s="9">
        <f>IF(OR(EQ('Rate of Improvements'!D70, "Inf"), 'Rate of Improvements'!D70 &gt; 1), 1.1, 'Rate of Improvements'!D70)</f>
        <v>1.1</v>
      </c>
      <c r="E70" s="9">
        <f>IF(OR(EQ('Rate of Improvements'!E70, "Inf"), 'Rate of Improvements'!E70 &gt; 1), 1.1, 'Rate of Improvements'!E70)</f>
        <v>0.2992290588</v>
      </c>
      <c r="F70" s="9">
        <f>IF(OR(EQ('Rate of Improvements'!F70, "Inf"), 'Rate of Improvements'!F70 &gt; 1), 1.1, 'Rate of Improvements'!F70)</f>
        <v>0.9044223638</v>
      </c>
      <c r="G70" s="9">
        <f>IF(OR(EQ('Rate of Improvements'!G70, "Inf"), 'Rate of Improvements'!G70 &gt; 1), 1.1, 'Rate of Improvements'!G70)</f>
        <v>1.1</v>
      </c>
      <c r="H70" s="2">
        <f t="shared" ref="H70:J70" si="139">IF(OR(E70&gt;B70, And(EQ(E70, "Inf"), NOT(EQ(B70, "Inf")))), 1, 0)</f>
        <v>0</v>
      </c>
      <c r="I70" s="2">
        <f t="shared" si="139"/>
        <v>0</v>
      </c>
      <c r="J70" s="2">
        <f t="shared" si="139"/>
        <v>0</v>
      </c>
      <c r="K70" s="2">
        <f t="shared" ref="K70:M70" si="140">IF(OR(E70&lt;B70, And(EQ(B70, "Inf"), NOT(EQ(E70, "Inf")))), 1, 0)</f>
        <v>1</v>
      </c>
      <c r="L70" s="2">
        <f t="shared" si="140"/>
        <v>1</v>
      </c>
      <c r="M70" s="2">
        <f t="shared" si="140"/>
        <v>0</v>
      </c>
    </row>
    <row r="71">
      <c r="A71" s="393" t="s">
        <v>976</v>
      </c>
      <c r="B71" s="9">
        <f>IF(OR(EQ('Rate of Improvements'!B71, "Inf"), 'Rate of Improvements'!B71 &gt; 1), 1.1, 'Rate of Improvements'!B71)</f>
        <v>0.1993539462</v>
      </c>
      <c r="C71" s="9">
        <f>IF(OR(EQ('Rate of Improvements'!C71, "Inf"), 'Rate of Improvements'!C71 &gt; 1), 1.1, 'Rate of Improvements'!C71)</f>
        <v>0.4384498883</v>
      </c>
      <c r="D71" s="9">
        <f>IF(OR(EQ('Rate of Improvements'!D71, "Inf"), 'Rate of Improvements'!D71 &gt; 1), 1.1, 'Rate of Improvements'!D71)</f>
        <v>0.7252105499</v>
      </c>
      <c r="E71" s="9">
        <f>IF(OR(EQ('Rate of Improvements'!E71, "Inf"), 'Rate of Improvements'!E71 &gt; 1), 1.1, 'Rate of Improvements'!E71)</f>
        <v>0.03539948316</v>
      </c>
      <c r="F71" s="9">
        <f>IF(OR(EQ('Rate of Improvements'!F71, "Inf"), 'Rate of Improvements'!F71 &gt; 1), 1.1, 'Rate of Improvements'!F71)</f>
        <v>0.2663541894</v>
      </c>
      <c r="G71" s="9">
        <f>IF(OR(EQ('Rate of Improvements'!G71, "Inf"), 'Rate of Improvements'!G71 &gt; 1), 1.1, 'Rate of Improvements'!G71)</f>
        <v>0.5996333176</v>
      </c>
      <c r="H71" s="2">
        <f t="shared" ref="H71:J71" si="141">IF(OR(E71&gt;B71, And(EQ(E71, "Inf"), NOT(EQ(B71, "Inf")))), 1, 0)</f>
        <v>0</v>
      </c>
      <c r="I71" s="2">
        <f t="shared" si="141"/>
        <v>0</v>
      </c>
      <c r="J71" s="2">
        <f t="shared" si="141"/>
        <v>0</v>
      </c>
      <c r="K71" s="2">
        <f t="shared" ref="K71:M71" si="142">IF(OR(E71&lt;B71, And(EQ(B71, "Inf"), NOT(EQ(E71, "Inf")))), 1, 0)</f>
        <v>1</v>
      </c>
      <c r="L71" s="2">
        <f t="shared" si="142"/>
        <v>1</v>
      </c>
      <c r="M71" s="2">
        <f t="shared" si="142"/>
        <v>1</v>
      </c>
    </row>
    <row r="72">
      <c r="A72" s="52" t="s">
        <v>645</v>
      </c>
      <c r="B72" s="9">
        <f>IF(OR(EQ('Rate of Improvements'!B72, "Inf"), 'Rate of Improvements'!B72 &gt; 1), 1.1, 'Rate of Improvements'!B72)</f>
        <v>0</v>
      </c>
      <c r="C72" s="9">
        <f>IF(OR(EQ('Rate of Improvements'!C72, "Inf"), 'Rate of Improvements'!C72 &gt; 1), 1.1, 'Rate of Improvements'!C72)</f>
        <v>0</v>
      </c>
      <c r="D72" s="9">
        <f>IF(OR(EQ('Rate of Improvements'!D72, "Inf"), 'Rate of Improvements'!D72 &gt; 1), 1.1, 'Rate of Improvements'!D72)</f>
        <v>0</v>
      </c>
      <c r="E72" s="9">
        <f>IF(OR(EQ('Rate of Improvements'!E72, "Inf"), 'Rate of Improvements'!E72 &gt; 1), 1.1, 'Rate of Improvements'!E72)</f>
        <v>0.06167931846</v>
      </c>
      <c r="F72" s="9">
        <f>IF(OR(EQ('Rate of Improvements'!F72, "Inf"), 'Rate of Improvements'!F72 &gt; 1), 1.1, 'Rate of Improvements'!F72)</f>
        <v>0.1509194139</v>
      </c>
      <c r="G72" s="9">
        <f>IF(OR(EQ('Rate of Improvements'!G72, "Inf"), 'Rate of Improvements'!G72 &gt; 1), 1.1, 'Rate of Improvements'!G72)</f>
        <v>0.2523307814</v>
      </c>
      <c r="H72" s="2">
        <f t="shared" ref="H72:J72" si="143">IF(OR(E72&gt;B72, And(EQ(E72, "Inf"), NOT(EQ(B72, "Inf")))), 1, 0)</f>
        <v>1</v>
      </c>
      <c r="I72" s="2">
        <f t="shared" si="143"/>
        <v>1</v>
      </c>
      <c r="J72" s="2">
        <f t="shared" si="143"/>
        <v>1</v>
      </c>
      <c r="K72" s="2">
        <f t="shared" ref="K72:M72" si="144">IF(OR(E72&lt;B72, And(EQ(B72, "Inf"), NOT(EQ(E72, "Inf")))), 1, 0)</f>
        <v>0</v>
      </c>
      <c r="L72" s="2">
        <f t="shared" si="144"/>
        <v>0</v>
      </c>
      <c r="M72" s="2">
        <f t="shared" si="144"/>
        <v>0</v>
      </c>
    </row>
    <row r="73">
      <c r="A73" s="52" t="s">
        <v>889</v>
      </c>
      <c r="B73" s="9">
        <f>IF(OR(EQ('Rate of Improvements'!B73, "Inf"), 'Rate of Improvements'!B73 &gt; 1), 1.1, 'Rate of Improvements'!B73)</f>
        <v>0</v>
      </c>
      <c r="C73" s="9">
        <f>IF(OR(EQ('Rate of Improvements'!C73, "Inf"), 'Rate of Improvements'!C73 &gt; 1), 1.1, 'Rate of Improvements'!C73)</f>
        <v>0</v>
      </c>
      <c r="D73" s="9">
        <f>IF(OR(EQ('Rate of Improvements'!D73, "Inf"), 'Rate of Improvements'!D73 &gt; 1), 1.1, 'Rate of Improvements'!D73)</f>
        <v>0</v>
      </c>
      <c r="E73" s="9">
        <f>IF(OR(EQ('Rate of Improvements'!E73, "Inf"), 'Rate of Improvements'!E73 &gt; 1), 1.1, 'Rate of Improvements'!E73)</f>
        <v>0.3162515769</v>
      </c>
      <c r="F73" s="9">
        <f>IF(OR(EQ('Rate of Improvements'!F73, "Inf"), 'Rate of Improvements'!F73 &gt; 1), 1.1, 'Rate of Improvements'!F73)</f>
        <v>0.7652685748</v>
      </c>
      <c r="G73" s="9">
        <f>IF(OR(EQ('Rate of Improvements'!G73, "Inf"), 'Rate of Improvements'!G73 &gt; 1), 1.1, 'Rate of Improvements'!G73)</f>
        <v>1.1</v>
      </c>
      <c r="H73" s="2">
        <f t="shared" ref="H73:J73" si="145">IF(OR(E73&gt;B73, And(EQ(E73, "Inf"), NOT(EQ(B73, "Inf")))), 1, 0)</f>
        <v>1</v>
      </c>
      <c r="I73" s="2">
        <f t="shared" si="145"/>
        <v>1</v>
      </c>
      <c r="J73" s="2">
        <f t="shared" si="145"/>
        <v>1</v>
      </c>
      <c r="K73" s="2">
        <f t="shared" ref="K73:M73" si="146">IF(OR(E73&lt;B73, And(EQ(B73, "Inf"), NOT(EQ(E73, "Inf")))), 1, 0)</f>
        <v>0</v>
      </c>
      <c r="L73" s="2">
        <f t="shared" si="146"/>
        <v>0</v>
      </c>
      <c r="M73" s="2">
        <f t="shared" si="146"/>
        <v>0</v>
      </c>
    </row>
    <row r="74">
      <c r="A74" s="52" t="s">
        <v>568</v>
      </c>
      <c r="B74" s="9">
        <f>IF(OR(EQ('Rate of Improvements'!B74, "Inf"), 'Rate of Improvements'!B74 &gt; 1), 1.1, 'Rate of Improvements'!B74)</f>
        <v>0</v>
      </c>
      <c r="C74" s="9">
        <f>IF(OR(EQ('Rate of Improvements'!C74, "Inf"), 'Rate of Improvements'!C74 &gt; 1), 1.1, 'Rate of Improvements'!C74)</f>
        <v>0</v>
      </c>
      <c r="D74" s="9">
        <f>IF(OR(EQ('Rate of Improvements'!D74, "Inf"), 'Rate of Improvements'!D74 &gt; 1), 1.1, 'Rate of Improvements'!D74)</f>
        <v>0</v>
      </c>
      <c r="E74" s="9">
        <f>IF(OR(EQ('Rate of Improvements'!E74, "Inf"), 'Rate of Improvements'!E74 &gt; 1), 1.1, 'Rate of Improvements'!E74)</f>
        <v>0</v>
      </c>
      <c r="F74" s="9">
        <f>IF(OR(EQ('Rate of Improvements'!F74, "Inf"), 'Rate of Improvements'!F74 &gt; 1), 1.1, 'Rate of Improvements'!F74)</f>
        <v>0</v>
      </c>
      <c r="G74" s="9">
        <f>IF(OR(EQ('Rate of Improvements'!G74, "Inf"), 'Rate of Improvements'!G74 &gt; 1), 1.1, 'Rate of Improvements'!G74)</f>
        <v>0</v>
      </c>
      <c r="H74" s="2">
        <f t="shared" ref="H74:J74" si="147">IF(OR(E74&gt;B74, And(EQ(E74, "Inf"), NOT(EQ(B74, "Inf")))), 1, 0)</f>
        <v>0</v>
      </c>
      <c r="I74" s="2">
        <f t="shared" si="147"/>
        <v>0</v>
      </c>
      <c r="J74" s="2">
        <f t="shared" si="147"/>
        <v>0</v>
      </c>
      <c r="K74" s="2">
        <f t="shared" ref="K74:M74" si="148">IF(OR(E74&lt;B74, And(EQ(B74, "Inf"), NOT(EQ(E74, "Inf")))), 1, 0)</f>
        <v>0</v>
      </c>
      <c r="L74" s="2">
        <f t="shared" si="148"/>
        <v>0</v>
      </c>
      <c r="M74" s="2">
        <f t="shared" si="148"/>
        <v>0</v>
      </c>
    </row>
    <row r="75">
      <c r="A75" s="52" t="s">
        <v>1168</v>
      </c>
      <c r="B75" s="9">
        <f>IF(OR(EQ('Rate of Improvements'!B75, "Inf"), 'Rate of Improvements'!B75 &gt; 1), 1.1, 'Rate of Improvements'!B75)</f>
        <v>0</v>
      </c>
      <c r="C75" s="9">
        <f>IF(OR(EQ('Rate of Improvements'!C75, "Inf"), 'Rate of Improvements'!C75 &gt; 1), 1.1, 'Rate of Improvements'!C75)</f>
        <v>0</v>
      </c>
      <c r="D75" s="9">
        <f>IF(OR(EQ('Rate of Improvements'!D75, "Inf"), 'Rate of Improvements'!D75 &gt; 1), 1.1, 'Rate of Improvements'!D75)</f>
        <v>0</v>
      </c>
      <c r="E75" s="9">
        <f>IF(OR(EQ('Rate of Improvements'!E75, "Inf"), 'Rate of Improvements'!E75 &gt; 1), 1.1, 'Rate of Improvements'!E75)</f>
        <v>0</v>
      </c>
      <c r="F75" s="9">
        <f>IF(OR(EQ('Rate of Improvements'!F75, "Inf"), 'Rate of Improvements'!F75 &gt; 1), 1.1, 'Rate of Improvements'!F75)</f>
        <v>0</v>
      </c>
      <c r="G75" s="9">
        <f>IF(OR(EQ('Rate of Improvements'!G75, "Inf"), 'Rate of Improvements'!G75 &gt; 1), 1.1, 'Rate of Improvements'!G75)</f>
        <v>0</v>
      </c>
      <c r="H75" s="2">
        <f t="shared" ref="H75:J75" si="149">IF(OR(E75&gt;B75, And(EQ(E75, "Inf"), NOT(EQ(B75, "Inf")))), 1, 0)</f>
        <v>0</v>
      </c>
      <c r="I75" s="2">
        <f t="shared" si="149"/>
        <v>0</v>
      </c>
      <c r="J75" s="2">
        <f t="shared" si="149"/>
        <v>0</v>
      </c>
      <c r="K75" s="2">
        <f t="shared" ref="K75:M75" si="150">IF(OR(E75&lt;B75, And(EQ(B75, "Inf"), NOT(EQ(E75, "Inf")))), 1, 0)</f>
        <v>0</v>
      </c>
      <c r="L75" s="2">
        <f t="shared" si="150"/>
        <v>0</v>
      </c>
      <c r="M75" s="2">
        <f t="shared" si="150"/>
        <v>0</v>
      </c>
    </row>
    <row r="76">
      <c r="A76" s="52" t="s">
        <v>263</v>
      </c>
      <c r="B76" s="9">
        <f>IF(OR(EQ('Rate of Improvements'!B76, "Inf"), 'Rate of Improvements'!B76 &gt; 1), 1.1, 'Rate of Improvements'!B76)</f>
        <v>0</v>
      </c>
      <c r="C76" s="9">
        <f>IF(OR(EQ('Rate of Improvements'!C76, "Inf"), 'Rate of Improvements'!C76 &gt; 1), 1.1, 'Rate of Improvements'!C76)</f>
        <v>0</v>
      </c>
      <c r="D76" s="9">
        <f>IF(OR(EQ('Rate of Improvements'!D76, "Inf"), 'Rate of Improvements'!D76 &gt; 1), 1.1, 'Rate of Improvements'!D76)</f>
        <v>0</v>
      </c>
      <c r="E76" s="9">
        <f>IF(OR(EQ('Rate of Improvements'!E76, "Inf"), 'Rate of Improvements'!E76 &gt; 1), 1.1, 'Rate of Improvements'!E76)</f>
        <v>0.03493046044</v>
      </c>
      <c r="F76" s="9">
        <f>IF(OR(EQ('Rate of Improvements'!F76, "Inf"), 'Rate of Improvements'!F76 &gt; 1), 1.1, 'Rate of Improvements'!F76)</f>
        <v>0.04902000652</v>
      </c>
      <c r="G76" s="9">
        <f>IF(OR(EQ('Rate of Improvements'!G76, "Inf"), 'Rate of Improvements'!G76 &gt; 1), 1.1, 'Rate of Improvements'!G76)</f>
        <v>0.05749824776</v>
      </c>
      <c r="H76" s="2">
        <f t="shared" ref="H76:J76" si="151">IF(OR(E76&gt;B76, And(EQ(E76, "Inf"), NOT(EQ(B76, "Inf")))), 1, 0)</f>
        <v>1</v>
      </c>
      <c r="I76" s="2">
        <f t="shared" si="151"/>
        <v>1</v>
      </c>
      <c r="J76" s="2">
        <f t="shared" si="151"/>
        <v>1</v>
      </c>
      <c r="K76" s="2">
        <f t="shared" ref="K76:M76" si="152">IF(OR(E76&lt;B76, And(EQ(B76, "Inf"), NOT(EQ(E76, "Inf")))), 1, 0)</f>
        <v>0</v>
      </c>
      <c r="L76" s="2">
        <f t="shared" si="152"/>
        <v>0</v>
      </c>
      <c r="M76" s="2">
        <f t="shared" si="152"/>
        <v>0</v>
      </c>
    </row>
    <row r="77">
      <c r="A77" s="52" t="s">
        <v>527</v>
      </c>
      <c r="B77" s="9">
        <f>IF(OR(EQ('Rate of Improvements'!B77, "Inf"), 'Rate of Improvements'!B77 &gt; 1), 1.1, 'Rate of Improvements'!B77)</f>
        <v>0</v>
      </c>
      <c r="C77" s="9">
        <f>IF(OR(EQ('Rate of Improvements'!C77, "Inf"), 'Rate of Improvements'!C77 &gt; 1), 1.1, 'Rate of Improvements'!C77)</f>
        <v>0</v>
      </c>
      <c r="D77" s="9">
        <f>IF(OR(EQ('Rate of Improvements'!D77, "Inf"), 'Rate of Improvements'!D77 &gt; 1), 1.1, 'Rate of Improvements'!D77)</f>
        <v>0</v>
      </c>
      <c r="E77" s="9">
        <f>IF(OR(EQ('Rate of Improvements'!E77, "Inf"), 'Rate of Improvements'!E77 &gt; 1), 1.1, 'Rate of Improvements'!E77)</f>
        <v>0.1246567656</v>
      </c>
      <c r="F77" s="9">
        <f>IF(OR(EQ('Rate of Improvements'!F77, "Inf"), 'Rate of Improvements'!F77 &gt; 1), 1.1, 'Rate of Improvements'!F77)</f>
        <v>0.3027161207</v>
      </c>
      <c r="G77" s="9">
        <f>IF(OR(EQ('Rate of Improvements'!G77, "Inf"), 'Rate of Improvements'!G77 &gt; 1), 1.1, 'Rate of Improvements'!G77)</f>
        <v>0.5089664179</v>
      </c>
      <c r="H77" s="2">
        <f t="shared" ref="H77:J77" si="153">IF(OR(E77&gt;B77, And(EQ(E77, "Inf"), NOT(EQ(B77, "Inf")))), 1, 0)</f>
        <v>1</v>
      </c>
      <c r="I77" s="2">
        <f t="shared" si="153"/>
        <v>1</v>
      </c>
      <c r="J77" s="2">
        <f t="shared" si="153"/>
        <v>1</v>
      </c>
      <c r="K77" s="2">
        <f t="shared" ref="K77:M77" si="154">IF(OR(E77&lt;B77, And(EQ(B77, "Inf"), NOT(EQ(E77, "Inf")))), 1, 0)</f>
        <v>0</v>
      </c>
      <c r="L77" s="2">
        <f t="shared" si="154"/>
        <v>0</v>
      </c>
      <c r="M77" s="2">
        <f t="shared" si="154"/>
        <v>0</v>
      </c>
    </row>
    <row r="78">
      <c r="A78" s="393" t="s">
        <v>1012</v>
      </c>
      <c r="B78" s="9">
        <f>IF(OR(EQ('Rate of Improvements'!B78, "Inf"), 'Rate of Improvements'!B78 &gt; 1), 1.1, 'Rate of Improvements'!B78)</f>
        <v>1.1</v>
      </c>
      <c r="C78" s="9">
        <f>IF(OR(EQ('Rate of Improvements'!C78, "Inf"), 'Rate of Improvements'!C78 &gt; 1), 1.1, 'Rate of Improvements'!C78)</f>
        <v>1.1</v>
      </c>
      <c r="D78" s="9">
        <f>IF(OR(EQ('Rate of Improvements'!D78, "Inf"), 'Rate of Improvements'!D78 &gt; 1), 1.1, 'Rate of Improvements'!D78)</f>
        <v>1.1</v>
      </c>
      <c r="E78" s="9">
        <f>IF(OR(EQ('Rate of Improvements'!E78, "Inf"), 'Rate of Improvements'!E78 &gt; 1), 1.1, 'Rate of Improvements'!E78)</f>
        <v>0.761569993</v>
      </c>
      <c r="F78" s="9">
        <f>IF(OR(EQ('Rate of Improvements'!F78, "Inf"), 'Rate of Improvements'!F78 &gt; 1), 1.1, 'Rate of Improvements'!F78)</f>
        <v>1.1</v>
      </c>
      <c r="G78" s="9">
        <f>IF(OR(EQ('Rate of Improvements'!G78, "Inf"), 'Rate of Improvements'!G78 &gt; 1), 1.1, 'Rate of Improvements'!G78)</f>
        <v>1.1</v>
      </c>
      <c r="H78" s="2">
        <f t="shared" ref="H78:J78" si="155">IF(OR(E78&gt;B78, And(EQ(E78, "Inf"), NOT(EQ(B78, "Inf")))), 1, 0)</f>
        <v>0</v>
      </c>
      <c r="I78" s="2">
        <f t="shared" si="155"/>
        <v>0</v>
      </c>
      <c r="J78" s="2">
        <f t="shared" si="155"/>
        <v>0</v>
      </c>
      <c r="K78" s="2">
        <f t="shared" ref="K78:M78" si="156">IF(OR(E78&lt;B78, And(EQ(B78, "Inf"), NOT(EQ(E78, "Inf")))), 1, 0)</f>
        <v>1</v>
      </c>
      <c r="L78" s="2">
        <f t="shared" si="156"/>
        <v>0</v>
      </c>
      <c r="M78" s="2">
        <f t="shared" si="156"/>
        <v>0</v>
      </c>
    </row>
    <row r="79">
      <c r="A79" s="52" t="s">
        <v>464</v>
      </c>
      <c r="B79" s="9">
        <f>IF(OR(EQ('Rate of Improvements'!B79, "Inf"), 'Rate of Improvements'!B79 &gt; 1), 1.1, 'Rate of Improvements'!B79)</f>
        <v>0</v>
      </c>
      <c r="C79" s="9">
        <f>IF(OR(EQ('Rate of Improvements'!C79, "Inf"), 'Rate of Improvements'!C79 &gt; 1), 1.1, 'Rate of Improvements'!C79)</f>
        <v>0</v>
      </c>
      <c r="D79" s="9">
        <f>IF(OR(EQ('Rate of Improvements'!D79, "Inf"), 'Rate of Improvements'!D79 &gt; 1), 1.1, 'Rate of Improvements'!D79)</f>
        <v>0</v>
      </c>
      <c r="E79" s="9">
        <f>IF(OR(EQ('Rate of Improvements'!E79, "Inf"), 'Rate of Improvements'!E79 &gt; 1), 1.1, 'Rate of Improvements'!E79)</f>
        <v>0.1136612352</v>
      </c>
      <c r="F79" s="9">
        <f>IF(OR(EQ('Rate of Improvements'!F79, "Inf"), 'Rate of Improvements'!F79 &gt; 1), 1.1, 'Rate of Improvements'!F79)</f>
        <v>0.3133698001</v>
      </c>
      <c r="G79" s="9">
        <f>IF(OR(EQ('Rate of Improvements'!G79, "Inf"), 'Rate of Improvements'!G79 &gt; 1), 1.1, 'Rate of Improvements'!G79)</f>
        <v>0.6826239928</v>
      </c>
      <c r="H79" s="2">
        <f t="shared" ref="H79:J79" si="157">IF(OR(E79&gt;B79, And(EQ(E79, "Inf"), NOT(EQ(B79, "Inf")))), 1, 0)</f>
        <v>1</v>
      </c>
      <c r="I79" s="2">
        <f t="shared" si="157"/>
        <v>1</v>
      </c>
      <c r="J79" s="2">
        <f t="shared" si="157"/>
        <v>1</v>
      </c>
      <c r="K79" s="2">
        <f t="shared" ref="K79:M79" si="158">IF(OR(E79&lt;B79, And(EQ(B79, "Inf"), NOT(EQ(E79, "Inf")))), 1, 0)</f>
        <v>0</v>
      </c>
      <c r="L79" s="2">
        <f t="shared" si="158"/>
        <v>0</v>
      </c>
      <c r="M79" s="2">
        <f t="shared" si="158"/>
        <v>0</v>
      </c>
    </row>
    <row r="80">
      <c r="A80" s="52" t="s">
        <v>486</v>
      </c>
      <c r="B80" s="9">
        <f>IF(OR(EQ('Rate of Improvements'!B80, "Inf"), 'Rate of Improvements'!B80 &gt; 1), 1.1, 'Rate of Improvements'!B80)</f>
        <v>0</v>
      </c>
      <c r="C80" s="9">
        <f>IF(OR(EQ('Rate of Improvements'!C80, "Inf"), 'Rate of Improvements'!C80 &gt; 1), 1.1, 'Rate of Improvements'!C80)</f>
        <v>0</v>
      </c>
      <c r="D80" s="9">
        <f>IF(OR(EQ('Rate of Improvements'!D80, "Inf"), 'Rate of Improvements'!D80 &gt; 1), 1.1, 'Rate of Improvements'!D80)</f>
        <v>0</v>
      </c>
      <c r="E80" s="9">
        <f>IF(OR(EQ('Rate of Improvements'!E80, "Inf"), 'Rate of Improvements'!E80 &gt; 1), 1.1, 'Rate of Improvements'!E80)</f>
        <v>0.3513440966</v>
      </c>
      <c r="F80" s="9">
        <f>IF(OR(EQ('Rate of Improvements'!F80, "Inf"), 'Rate of Improvements'!F80 &gt; 1), 1.1, 'Rate of Improvements'!F80)</f>
        <v>0.9203505079</v>
      </c>
      <c r="G80" s="9">
        <f>IF(OR(EQ('Rate of Improvements'!G80, "Inf"), 'Rate of Improvements'!G80 &gt; 1), 1.1, 'Rate of Improvements'!G80)</f>
        <v>1.1</v>
      </c>
      <c r="H80" s="2">
        <f t="shared" ref="H80:J80" si="159">IF(OR(E80&gt;B80, And(EQ(E80, "Inf"), NOT(EQ(B80, "Inf")))), 1, 0)</f>
        <v>1</v>
      </c>
      <c r="I80" s="2">
        <f t="shared" si="159"/>
        <v>1</v>
      </c>
      <c r="J80" s="2">
        <f t="shared" si="159"/>
        <v>1</v>
      </c>
      <c r="K80" s="2">
        <f t="shared" ref="K80:M80" si="160">IF(OR(E80&lt;B80, And(EQ(B80, "Inf"), NOT(EQ(E80, "Inf")))), 1, 0)</f>
        <v>0</v>
      </c>
      <c r="L80" s="2">
        <f t="shared" si="160"/>
        <v>0</v>
      </c>
      <c r="M80" s="2">
        <f t="shared" si="160"/>
        <v>0</v>
      </c>
    </row>
    <row r="81">
      <c r="A81" s="52" t="s">
        <v>1157</v>
      </c>
      <c r="B81" s="9">
        <f>IF(OR(EQ('Rate of Improvements'!B81, "Inf"), 'Rate of Improvements'!B81 &gt; 1), 1.1, 'Rate of Improvements'!B81)</f>
        <v>0</v>
      </c>
      <c r="C81" s="9">
        <f>IF(OR(EQ('Rate of Improvements'!C81, "Inf"), 'Rate of Improvements'!C81 &gt; 1), 1.1, 'Rate of Improvements'!C81)</f>
        <v>0</v>
      </c>
      <c r="D81" s="9">
        <f>IF(OR(EQ('Rate of Improvements'!D81, "Inf"), 'Rate of Improvements'!D81 &gt; 1), 1.1, 'Rate of Improvements'!D81)</f>
        <v>0</v>
      </c>
      <c r="E81" s="9">
        <f>IF(OR(EQ('Rate of Improvements'!E81, "Inf"), 'Rate of Improvements'!E81 &gt; 1), 1.1, 'Rate of Improvements'!E81)</f>
        <v>0</v>
      </c>
      <c r="F81" s="9">
        <f>IF(OR(EQ('Rate of Improvements'!F81, "Inf"), 'Rate of Improvements'!F81 &gt; 1), 1.1, 'Rate of Improvements'!F81)</f>
        <v>0</v>
      </c>
      <c r="G81" s="9">
        <f>IF(OR(EQ('Rate of Improvements'!G81, "Inf"), 'Rate of Improvements'!G81 &gt; 1), 1.1, 'Rate of Improvements'!G81)</f>
        <v>0</v>
      </c>
      <c r="H81" s="2">
        <f t="shared" ref="H81:J81" si="161">IF(OR(E81&gt;B81, And(EQ(E81, "Inf"), NOT(EQ(B81, "Inf")))), 1, 0)</f>
        <v>0</v>
      </c>
      <c r="I81" s="2">
        <f t="shared" si="161"/>
        <v>0</v>
      </c>
      <c r="J81" s="2">
        <f t="shared" si="161"/>
        <v>0</v>
      </c>
      <c r="K81" s="2">
        <f t="shared" ref="K81:M81" si="162">IF(OR(E81&lt;B81, And(EQ(B81, "Inf"), NOT(EQ(E81, "Inf")))), 1, 0)</f>
        <v>0</v>
      </c>
      <c r="L81" s="2">
        <f t="shared" si="162"/>
        <v>0</v>
      </c>
      <c r="M81" s="2">
        <f t="shared" si="162"/>
        <v>0</v>
      </c>
    </row>
    <row r="82">
      <c r="A82" s="52" t="s">
        <v>556</v>
      </c>
      <c r="B82" s="9">
        <f>IF(OR(EQ('Rate of Improvements'!B82, "Inf"), 'Rate of Improvements'!B82 &gt; 1), 1.1, 'Rate of Improvements'!B82)</f>
        <v>0</v>
      </c>
      <c r="C82" s="9">
        <f>IF(OR(EQ('Rate of Improvements'!C82, "Inf"), 'Rate of Improvements'!C82 &gt; 1), 1.1, 'Rate of Improvements'!C82)</f>
        <v>0</v>
      </c>
      <c r="D82" s="9">
        <f>IF(OR(EQ('Rate of Improvements'!D82, "Inf"), 'Rate of Improvements'!D82 &gt; 1), 1.1, 'Rate of Improvements'!D82)</f>
        <v>0</v>
      </c>
      <c r="E82" s="9">
        <f>IF(OR(EQ('Rate of Improvements'!E82, "Inf"), 'Rate of Improvements'!E82 &gt; 1), 1.1, 'Rate of Improvements'!E82)</f>
        <v>0</v>
      </c>
      <c r="F82" s="9">
        <f>IF(OR(EQ('Rate of Improvements'!F82, "Inf"), 'Rate of Improvements'!F82 &gt; 1), 1.1, 'Rate of Improvements'!F82)</f>
        <v>0</v>
      </c>
      <c r="G82" s="9">
        <f>IF(OR(EQ('Rate of Improvements'!G82, "Inf"), 'Rate of Improvements'!G82 &gt; 1), 1.1, 'Rate of Improvements'!G82)</f>
        <v>0</v>
      </c>
      <c r="H82" s="2">
        <f t="shared" ref="H82:J82" si="163">IF(OR(E82&gt;B82, And(EQ(E82, "Inf"), NOT(EQ(B82, "Inf")))), 1, 0)</f>
        <v>0</v>
      </c>
      <c r="I82" s="2">
        <f t="shared" si="163"/>
        <v>0</v>
      </c>
      <c r="J82" s="2">
        <f t="shared" si="163"/>
        <v>0</v>
      </c>
      <c r="K82" s="2">
        <f t="shared" ref="K82:M82" si="164">IF(OR(E82&lt;B82, And(EQ(B82, "Inf"), NOT(EQ(E82, "Inf")))), 1, 0)</f>
        <v>0</v>
      </c>
      <c r="L82" s="2">
        <f t="shared" si="164"/>
        <v>0</v>
      </c>
      <c r="M82" s="2">
        <f t="shared" si="164"/>
        <v>0</v>
      </c>
    </row>
    <row r="83">
      <c r="A83" s="52" t="s">
        <v>629</v>
      </c>
      <c r="B83" s="9">
        <f>IF(OR(EQ('Rate of Improvements'!B83, "Inf"), 'Rate of Improvements'!B83 &gt; 1), 1.1, 'Rate of Improvements'!B83)</f>
        <v>0</v>
      </c>
      <c r="C83" s="9">
        <f>IF(OR(EQ('Rate of Improvements'!C83, "Inf"), 'Rate of Improvements'!C83 &gt; 1), 1.1, 'Rate of Improvements'!C83)</f>
        <v>0</v>
      </c>
      <c r="D83" s="9">
        <f>IF(OR(EQ('Rate of Improvements'!D83, "Inf"), 'Rate of Improvements'!D83 &gt; 1), 1.1, 'Rate of Improvements'!D83)</f>
        <v>0</v>
      </c>
      <c r="E83" s="9">
        <f>IF(OR(EQ('Rate of Improvements'!E83, "Inf"), 'Rate of Improvements'!E83 &gt; 1), 1.1, 'Rate of Improvements'!E83)</f>
        <v>0</v>
      </c>
      <c r="F83" s="9">
        <f>IF(OR(EQ('Rate of Improvements'!F83, "Inf"), 'Rate of Improvements'!F83 &gt; 1), 1.1, 'Rate of Improvements'!F83)</f>
        <v>0</v>
      </c>
      <c r="G83" s="9">
        <f>IF(OR(EQ('Rate of Improvements'!G83, "Inf"), 'Rate of Improvements'!G83 &gt; 1), 1.1, 'Rate of Improvements'!G83)</f>
        <v>0</v>
      </c>
      <c r="H83" s="2">
        <f t="shared" ref="H83:J83" si="165">IF(OR(E83&gt;B83, And(EQ(E83, "Inf"), NOT(EQ(B83, "Inf")))), 1, 0)</f>
        <v>0</v>
      </c>
      <c r="I83" s="2">
        <f t="shared" si="165"/>
        <v>0</v>
      </c>
      <c r="J83" s="2">
        <f t="shared" si="165"/>
        <v>0</v>
      </c>
      <c r="K83" s="2">
        <f t="shared" ref="K83:M83" si="166">IF(OR(E83&lt;B83, And(EQ(B83, "Inf"), NOT(EQ(E83, "Inf")))), 1, 0)</f>
        <v>0</v>
      </c>
      <c r="L83" s="2">
        <f t="shared" si="166"/>
        <v>0</v>
      </c>
      <c r="M83" s="2">
        <f t="shared" si="166"/>
        <v>0</v>
      </c>
    </row>
    <row r="84">
      <c r="A84" s="52" t="s">
        <v>460</v>
      </c>
      <c r="B84" s="9">
        <f>IF(OR(EQ('Rate of Improvements'!B84, "Inf"), 'Rate of Improvements'!B84 &gt; 1), 1.1, 'Rate of Improvements'!B84)</f>
        <v>0</v>
      </c>
      <c r="C84" s="9">
        <f>IF(OR(EQ('Rate of Improvements'!C84, "Inf"), 'Rate of Improvements'!C84 &gt; 1), 1.1, 'Rate of Improvements'!C84)</f>
        <v>0</v>
      </c>
      <c r="D84" s="9">
        <f>IF(OR(EQ('Rate of Improvements'!D84, "Inf"), 'Rate of Improvements'!D84 &gt; 1), 1.1, 'Rate of Improvements'!D84)</f>
        <v>0</v>
      </c>
      <c r="E84" s="9">
        <f>IF(OR(EQ('Rate of Improvements'!E84, "Inf"), 'Rate of Improvements'!E84 &gt; 1), 1.1, 'Rate of Improvements'!E84)</f>
        <v>0</v>
      </c>
      <c r="F84" s="9">
        <f>IF(OR(EQ('Rate of Improvements'!F84, "Inf"), 'Rate of Improvements'!F84 &gt; 1), 1.1, 'Rate of Improvements'!F84)</f>
        <v>0</v>
      </c>
      <c r="G84" s="9">
        <f>IF(OR(EQ('Rate of Improvements'!G84, "Inf"), 'Rate of Improvements'!G84 &gt; 1), 1.1, 'Rate of Improvements'!G84)</f>
        <v>0</v>
      </c>
      <c r="H84" s="2">
        <f t="shared" ref="H84:J84" si="167">IF(OR(E84&gt;B84, And(EQ(E84, "Inf"), NOT(EQ(B84, "Inf")))), 1, 0)</f>
        <v>0</v>
      </c>
      <c r="I84" s="2">
        <f t="shared" si="167"/>
        <v>0</v>
      </c>
      <c r="J84" s="2">
        <f t="shared" si="167"/>
        <v>0</v>
      </c>
      <c r="K84" s="2">
        <f t="shared" ref="K84:M84" si="168">IF(OR(E84&lt;B84, And(EQ(B84, "Inf"), NOT(EQ(E84, "Inf")))), 1, 0)</f>
        <v>0</v>
      </c>
      <c r="L84" s="2">
        <f t="shared" si="168"/>
        <v>0</v>
      </c>
      <c r="M84" s="2">
        <f t="shared" si="168"/>
        <v>0</v>
      </c>
    </row>
    <row r="85">
      <c r="A85" s="52" t="s">
        <v>544</v>
      </c>
      <c r="B85" s="9">
        <f>IF(OR(EQ('Rate of Improvements'!B85, "Inf"), 'Rate of Improvements'!B85 &gt; 1), 1.1, 'Rate of Improvements'!B85)</f>
        <v>0</v>
      </c>
      <c r="C85" s="9">
        <f>IF(OR(EQ('Rate of Improvements'!C85, "Inf"), 'Rate of Improvements'!C85 &gt; 1), 1.1, 'Rate of Improvements'!C85)</f>
        <v>0</v>
      </c>
      <c r="D85" s="9">
        <f>IF(OR(EQ('Rate of Improvements'!D85, "Inf"), 'Rate of Improvements'!D85 &gt; 1), 1.1, 'Rate of Improvements'!D85)</f>
        <v>0</v>
      </c>
      <c r="E85" s="9">
        <f>IF(OR(EQ('Rate of Improvements'!E85, "Inf"), 'Rate of Improvements'!E85 &gt; 1), 1.1, 'Rate of Improvements'!E85)</f>
        <v>1.1</v>
      </c>
      <c r="F85" s="9">
        <f>IF(OR(EQ('Rate of Improvements'!F85, "Inf"), 'Rate of Improvements'!F85 &gt; 1), 1.1, 'Rate of Improvements'!F85)</f>
        <v>1.1</v>
      </c>
      <c r="G85" s="9">
        <f>IF(OR(EQ('Rate of Improvements'!G85, "Inf"), 'Rate of Improvements'!G85 &gt; 1), 1.1, 'Rate of Improvements'!G85)</f>
        <v>1.1</v>
      </c>
      <c r="H85" s="2">
        <f t="shared" ref="H85:J85" si="169">IF(OR(E85&gt;B85, And(EQ(E85, "Inf"), NOT(EQ(B85, "Inf")))), 1, 0)</f>
        <v>1</v>
      </c>
      <c r="I85" s="2">
        <f t="shared" si="169"/>
        <v>1</v>
      </c>
      <c r="J85" s="2">
        <f t="shared" si="169"/>
        <v>1</v>
      </c>
      <c r="K85" s="2">
        <f t="shared" ref="K85:M85" si="170">IF(OR(E85&lt;B85, And(EQ(B85, "Inf"), NOT(EQ(E85, "Inf")))), 1, 0)</f>
        <v>0</v>
      </c>
      <c r="L85" s="2">
        <f t="shared" si="170"/>
        <v>0</v>
      </c>
      <c r="M85" s="2">
        <f t="shared" si="170"/>
        <v>0</v>
      </c>
    </row>
    <row r="86">
      <c r="A86" s="52" t="s">
        <v>998</v>
      </c>
      <c r="B86" s="9">
        <f>IF(OR(EQ('Rate of Improvements'!B86, "Inf"), 'Rate of Improvements'!B86 &gt; 1), 1.1, 'Rate of Improvements'!B86)</f>
        <v>0</v>
      </c>
      <c r="C86" s="9">
        <f>IF(OR(EQ('Rate of Improvements'!C86, "Inf"), 'Rate of Improvements'!C86 &gt; 1), 1.1, 'Rate of Improvements'!C86)</f>
        <v>0</v>
      </c>
      <c r="D86" s="9">
        <f>IF(OR(EQ('Rate of Improvements'!D86, "Inf"), 'Rate of Improvements'!D86 &gt; 1), 1.1, 'Rate of Improvements'!D86)</f>
        <v>0</v>
      </c>
      <c r="E86" s="9">
        <f>IF(OR(EQ('Rate of Improvements'!E86, "Inf"), 'Rate of Improvements'!E86 &gt; 1), 1.1, 'Rate of Improvements'!E86)</f>
        <v>1.1</v>
      </c>
      <c r="F86" s="9">
        <f>IF(OR(EQ('Rate of Improvements'!F86, "Inf"), 'Rate of Improvements'!F86 &gt; 1), 1.1, 'Rate of Improvements'!F86)</f>
        <v>1.1</v>
      </c>
      <c r="G86" s="9">
        <f>IF(OR(EQ('Rate of Improvements'!G86, "Inf"), 'Rate of Improvements'!G86 &gt; 1), 1.1, 'Rate of Improvements'!G86)</f>
        <v>1.1</v>
      </c>
      <c r="H86" s="2">
        <f t="shared" ref="H86:J86" si="171">IF(OR(E86&gt;B86, And(EQ(E86, "Inf"), NOT(EQ(B86, "Inf")))), 1, 0)</f>
        <v>1</v>
      </c>
      <c r="I86" s="2">
        <f t="shared" si="171"/>
        <v>1</v>
      </c>
      <c r="J86" s="2">
        <f t="shared" si="171"/>
        <v>1</v>
      </c>
      <c r="K86" s="2">
        <f t="shared" ref="K86:M86" si="172">IF(OR(E86&lt;B86, And(EQ(B86, "Inf"), NOT(EQ(E86, "Inf")))), 1, 0)</f>
        <v>0</v>
      </c>
      <c r="L86" s="2">
        <f t="shared" si="172"/>
        <v>0</v>
      </c>
      <c r="M86" s="2">
        <f t="shared" si="172"/>
        <v>0</v>
      </c>
    </row>
    <row r="87">
      <c r="A87" s="52" t="s">
        <v>1245</v>
      </c>
      <c r="B87" s="9">
        <f>IF(OR(EQ('Rate of Improvements'!B87, "Inf"), 'Rate of Improvements'!B87 &gt; 1), 1.1, 'Rate of Improvements'!B87)</f>
        <v>0</v>
      </c>
      <c r="C87" s="9">
        <f>IF(OR(EQ('Rate of Improvements'!C87, "Inf"), 'Rate of Improvements'!C87 &gt; 1), 1.1, 'Rate of Improvements'!C87)</f>
        <v>0</v>
      </c>
      <c r="D87" s="9">
        <f>IF(OR(EQ('Rate of Improvements'!D87, "Inf"), 'Rate of Improvements'!D87 &gt; 1), 1.1, 'Rate of Improvements'!D87)</f>
        <v>0</v>
      </c>
      <c r="E87" s="9">
        <f>IF(OR(EQ('Rate of Improvements'!E87, "Inf"), 'Rate of Improvements'!E87 &gt; 1), 1.1, 'Rate of Improvements'!E87)</f>
        <v>0</v>
      </c>
      <c r="F87" s="9">
        <f>IF(OR(EQ('Rate of Improvements'!F87, "Inf"), 'Rate of Improvements'!F87 &gt; 1), 1.1, 'Rate of Improvements'!F87)</f>
        <v>0</v>
      </c>
      <c r="G87" s="9">
        <f>IF(OR(EQ('Rate of Improvements'!G87, "Inf"), 'Rate of Improvements'!G87 &gt; 1), 1.1, 'Rate of Improvements'!G87)</f>
        <v>0</v>
      </c>
      <c r="H87" s="2">
        <f t="shared" ref="H87:J87" si="173">IF(OR(E87&gt;B87, And(EQ(E87, "Inf"), NOT(EQ(B87, "Inf")))), 1, 0)</f>
        <v>0</v>
      </c>
      <c r="I87" s="2">
        <f t="shared" si="173"/>
        <v>0</v>
      </c>
      <c r="J87" s="2">
        <f t="shared" si="173"/>
        <v>0</v>
      </c>
      <c r="K87" s="2">
        <f t="shared" ref="K87:M87" si="174">IF(OR(E87&lt;B87, And(EQ(B87, "Inf"), NOT(EQ(E87, "Inf")))), 1, 0)</f>
        <v>0</v>
      </c>
      <c r="L87" s="2">
        <f t="shared" si="174"/>
        <v>0</v>
      </c>
      <c r="M87" s="2">
        <f t="shared" si="174"/>
        <v>0</v>
      </c>
    </row>
    <row r="88">
      <c r="A88" s="52" t="s">
        <v>1050</v>
      </c>
      <c r="B88" s="9">
        <f>IF(OR(EQ('Rate of Improvements'!B88, "Inf"), 'Rate of Improvements'!B88 &gt; 1), 1.1, 'Rate of Improvements'!B88)</f>
        <v>0</v>
      </c>
      <c r="C88" s="9">
        <f>IF(OR(EQ('Rate of Improvements'!C88, "Inf"), 'Rate of Improvements'!C88 &gt; 1), 1.1, 'Rate of Improvements'!C88)</f>
        <v>0</v>
      </c>
      <c r="D88" s="9">
        <f>IF(OR(EQ('Rate of Improvements'!D88, "Inf"), 'Rate of Improvements'!D88 &gt; 1), 1.1, 'Rate of Improvements'!D88)</f>
        <v>0</v>
      </c>
      <c r="E88" s="9">
        <f>IF(OR(EQ('Rate of Improvements'!E88, "Inf"), 'Rate of Improvements'!E88 &gt; 1), 1.1, 'Rate of Improvements'!E88)</f>
        <v>0</v>
      </c>
      <c r="F88" s="9">
        <f>IF(OR(EQ('Rate of Improvements'!F88, "Inf"), 'Rate of Improvements'!F88 &gt; 1), 1.1, 'Rate of Improvements'!F88)</f>
        <v>0</v>
      </c>
      <c r="G88" s="9">
        <f>IF(OR(EQ('Rate of Improvements'!G88, "Inf"), 'Rate of Improvements'!G88 &gt; 1), 1.1, 'Rate of Improvements'!G88)</f>
        <v>0</v>
      </c>
      <c r="H88" s="2">
        <f t="shared" ref="H88:J88" si="175">IF(OR(E88&gt;B88, And(EQ(E88, "Inf"), NOT(EQ(B88, "Inf")))), 1, 0)</f>
        <v>0</v>
      </c>
      <c r="I88" s="2">
        <f t="shared" si="175"/>
        <v>0</v>
      </c>
      <c r="J88" s="2">
        <f t="shared" si="175"/>
        <v>0</v>
      </c>
      <c r="K88" s="2">
        <f t="shared" ref="K88:M88" si="176">IF(OR(E88&lt;B88, And(EQ(B88, "Inf"), NOT(EQ(E88, "Inf")))), 1, 0)</f>
        <v>0</v>
      </c>
      <c r="L88" s="2">
        <f t="shared" si="176"/>
        <v>0</v>
      </c>
      <c r="M88" s="2">
        <f t="shared" si="176"/>
        <v>0</v>
      </c>
    </row>
    <row r="89">
      <c r="A89" s="391" t="s">
        <v>758</v>
      </c>
      <c r="B89" s="9">
        <f>IF(OR(EQ('Rate of Improvements'!B89, "Inf"), 'Rate of Improvements'!B89 &gt; 1), 1.1, 'Rate of Improvements'!B89)</f>
        <v>1.1</v>
      </c>
      <c r="C89" s="9">
        <f>IF(OR(EQ('Rate of Improvements'!C89, "Inf"), 'Rate of Improvements'!C89 &gt; 1), 1.1, 'Rate of Improvements'!C89)</f>
        <v>1.1</v>
      </c>
      <c r="D89" s="9">
        <f>IF(OR(EQ('Rate of Improvements'!D89, "Inf"), 'Rate of Improvements'!D89 &gt; 1), 1.1, 'Rate of Improvements'!D89)</f>
        <v>1.1</v>
      </c>
      <c r="E89" s="9">
        <f>IF(OR(EQ('Rate of Improvements'!E89, "Inf"), 'Rate of Improvements'!E89 &gt; 1), 1.1, 'Rate of Improvements'!E89)</f>
        <v>1.1</v>
      </c>
      <c r="F89" s="9">
        <f>IF(OR(EQ('Rate of Improvements'!F89, "Inf"), 'Rate of Improvements'!F89 &gt; 1), 1.1, 'Rate of Improvements'!F89)</f>
        <v>1.1</v>
      </c>
      <c r="G89" s="9">
        <f>IF(OR(EQ('Rate of Improvements'!G89, "Inf"), 'Rate of Improvements'!G89 &gt; 1), 1.1, 'Rate of Improvements'!G89)</f>
        <v>1.1</v>
      </c>
      <c r="H89" s="2">
        <f t="shared" ref="H89:J89" si="177">IF(OR(E89&gt;B89, And(EQ(E89, "Inf"), NOT(EQ(B89, "Inf")))), 1, 0)</f>
        <v>0</v>
      </c>
      <c r="I89" s="2">
        <f t="shared" si="177"/>
        <v>0</v>
      </c>
      <c r="J89" s="2">
        <f t="shared" si="177"/>
        <v>0</v>
      </c>
      <c r="K89" s="2">
        <f t="shared" ref="K89:M89" si="178">IF(OR(E89&lt;B89, And(EQ(B89, "Inf"), NOT(EQ(E89, "Inf")))), 1, 0)</f>
        <v>0</v>
      </c>
      <c r="L89" s="2">
        <f t="shared" si="178"/>
        <v>0</v>
      </c>
      <c r="M89" s="2">
        <f t="shared" si="178"/>
        <v>0</v>
      </c>
    </row>
    <row r="90">
      <c r="A90" s="52" t="s">
        <v>591</v>
      </c>
      <c r="B90" s="9">
        <f>IF(OR(EQ('Rate of Improvements'!B90, "Inf"), 'Rate of Improvements'!B90 &gt; 1), 1.1, 'Rate of Improvements'!B90)</f>
        <v>0</v>
      </c>
      <c r="C90" s="9">
        <f>IF(OR(EQ('Rate of Improvements'!C90, "Inf"), 'Rate of Improvements'!C90 &gt; 1), 1.1, 'Rate of Improvements'!C90)</f>
        <v>0</v>
      </c>
      <c r="D90" s="9">
        <f>IF(OR(EQ('Rate of Improvements'!D90, "Inf"), 'Rate of Improvements'!D90 &gt; 1), 1.1, 'Rate of Improvements'!D90)</f>
        <v>0</v>
      </c>
      <c r="E90" s="9">
        <f>IF(OR(EQ('Rate of Improvements'!E90, "Inf"), 'Rate of Improvements'!E90 &gt; 1), 1.1, 'Rate of Improvements'!E90)</f>
        <v>0</v>
      </c>
      <c r="F90" s="9">
        <f>IF(OR(EQ('Rate of Improvements'!F90, "Inf"), 'Rate of Improvements'!F90 &gt; 1), 1.1, 'Rate of Improvements'!F90)</f>
        <v>0</v>
      </c>
      <c r="G90" s="9">
        <f>IF(OR(EQ('Rate of Improvements'!G90, "Inf"), 'Rate of Improvements'!G90 &gt; 1), 1.1, 'Rate of Improvements'!G90)</f>
        <v>0</v>
      </c>
      <c r="H90" s="2">
        <f t="shared" ref="H90:J90" si="179">IF(OR(E90&gt;B90, And(EQ(E90, "Inf"), NOT(EQ(B90, "Inf")))), 1, 0)</f>
        <v>0</v>
      </c>
      <c r="I90" s="2">
        <f t="shared" si="179"/>
        <v>0</v>
      </c>
      <c r="J90" s="2">
        <f t="shared" si="179"/>
        <v>0</v>
      </c>
      <c r="K90" s="2">
        <f t="shared" ref="K90:M90" si="180">IF(OR(E90&lt;B90, And(EQ(B90, "Inf"), NOT(EQ(E90, "Inf")))), 1, 0)</f>
        <v>0</v>
      </c>
      <c r="L90" s="2">
        <f t="shared" si="180"/>
        <v>0</v>
      </c>
      <c r="M90" s="2">
        <f t="shared" si="180"/>
        <v>0</v>
      </c>
    </row>
    <row r="91">
      <c r="A91" s="393" t="s">
        <v>1218</v>
      </c>
      <c r="B91" s="9">
        <f>IF(OR(EQ('Rate of Improvements'!B91, "Inf"), 'Rate of Improvements'!B91 &gt; 1), 1.1, 'Rate of Improvements'!B91)</f>
        <v>0.2589254118</v>
      </c>
      <c r="C91" s="9">
        <f>IF(OR(EQ('Rate of Improvements'!C91, "Inf"), 'Rate of Improvements'!C91 &gt; 1), 1.1, 'Rate of Improvements'!C91)</f>
        <v>0.5848931925</v>
      </c>
      <c r="D91" s="9">
        <f>IF(OR(EQ('Rate of Improvements'!D91, "Inf"), 'Rate of Improvements'!D91 &gt; 1), 1.1, 'Rate of Improvements'!D91)</f>
        <v>0.995262315</v>
      </c>
      <c r="E91" s="9">
        <f>IF(OR(EQ('Rate of Improvements'!E91, "Inf"), 'Rate of Improvements'!E91 &gt; 1), 1.1, 'Rate of Improvements'!E91)</f>
        <v>0.2589254118</v>
      </c>
      <c r="F91" s="9">
        <f>IF(OR(EQ('Rate of Improvements'!F91, "Inf"), 'Rate of Improvements'!F91 &gt; 1), 1.1, 'Rate of Improvements'!F91)</f>
        <v>0.5848931925</v>
      </c>
      <c r="G91" s="9">
        <f>IF(OR(EQ('Rate of Improvements'!G91, "Inf"), 'Rate of Improvements'!G91 &gt; 1), 1.1, 'Rate of Improvements'!G91)</f>
        <v>0.995262315</v>
      </c>
      <c r="H91" s="2">
        <f t="shared" ref="H91:J91" si="181">IF(OR(E91&gt;B91, And(EQ(E91, "Inf"), NOT(EQ(B91, "Inf")))), 1, 0)</f>
        <v>0</v>
      </c>
      <c r="I91" s="2">
        <f t="shared" si="181"/>
        <v>0</v>
      </c>
      <c r="J91" s="2">
        <f t="shared" si="181"/>
        <v>0</v>
      </c>
      <c r="K91" s="2">
        <f t="shared" ref="K91:M91" si="182">IF(OR(E91&lt;B91, And(EQ(B91, "Inf"), NOT(EQ(E91, "Inf")))), 1, 0)</f>
        <v>0</v>
      </c>
      <c r="L91" s="2">
        <f t="shared" si="182"/>
        <v>0</v>
      </c>
      <c r="M91" s="2">
        <f t="shared" si="182"/>
        <v>0</v>
      </c>
    </row>
    <row r="92">
      <c r="A92" s="52" t="s">
        <v>1251</v>
      </c>
      <c r="B92" s="9">
        <f>IF(OR(EQ('Rate of Improvements'!B92, "Inf"), 'Rate of Improvements'!B92 &gt; 1), 1.1, 'Rate of Improvements'!B92)</f>
        <v>0</v>
      </c>
      <c r="C92" s="9">
        <f>IF(OR(EQ('Rate of Improvements'!C92, "Inf"), 'Rate of Improvements'!C92 &gt; 1), 1.1, 'Rate of Improvements'!C92)</f>
        <v>0</v>
      </c>
      <c r="D92" s="9">
        <f>IF(OR(EQ('Rate of Improvements'!D92, "Inf"), 'Rate of Improvements'!D92 &gt; 1), 1.1, 'Rate of Improvements'!D92)</f>
        <v>0</v>
      </c>
      <c r="E92" s="9">
        <f>IF(OR(EQ('Rate of Improvements'!E92, "Inf"), 'Rate of Improvements'!E92 &gt; 1), 1.1, 'Rate of Improvements'!E92)</f>
        <v>0</v>
      </c>
      <c r="F92" s="9">
        <f>IF(OR(EQ('Rate of Improvements'!F92, "Inf"), 'Rate of Improvements'!F92 &gt; 1), 1.1, 'Rate of Improvements'!F92)</f>
        <v>0</v>
      </c>
      <c r="G92" s="9">
        <f>IF(OR(EQ('Rate of Improvements'!G92, "Inf"), 'Rate of Improvements'!G92 &gt; 1), 1.1, 'Rate of Improvements'!G92)</f>
        <v>0</v>
      </c>
      <c r="H92" s="2">
        <f t="shared" ref="H92:J92" si="183">IF(OR(E92&gt;B92, And(EQ(E92, "Inf"), NOT(EQ(B92, "Inf")))), 1, 0)</f>
        <v>0</v>
      </c>
      <c r="I92" s="2">
        <f t="shared" si="183"/>
        <v>0</v>
      </c>
      <c r="J92" s="2">
        <f t="shared" si="183"/>
        <v>0</v>
      </c>
      <c r="K92" s="2">
        <f t="shared" ref="K92:M92" si="184">IF(OR(E92&lt;B92, And(EQ(B92, "Inf"), NOT(EQ(E92, "Inf")))), 1, 0)</f>
        <v>0</v>
      </c>
      <c r="L92" s="2">
        <f t="shared" si="184"/>
        <v>0</v>
      </c>
      <c r="M92" s="2">
        <f t="shared" si="184"/>
        <v>0</v>
      </c>
    </row>
    <row r="93">
      <c r="A93" s="391" t="s">
        <v>659</v>
      </c>
      <c r="B93" s="9">
        <f>IF(OR(EQ('Rate of Improvements'!B93, "Inf"), 'Rate of Improvements'!B93 &gt; 1), 1.1, 'Rate of Improvements'!B93)</f>
        <v>1.1</v>
      </c>
      <c r="C93" s="9">
        <f>IF(OR(EQ('Rate of Improvements'!C93, "Inf"), 'Rate of Improvements'!C93 &gt; 1), 1.1, 'Rate of Improvements'!C93)</f>
        <v>1.1</v>
      </c>
      <c r="D93" s="9">
        <f>IF(OR(EQ('Rate of Improvements'!D93, "Inf"), 'Rate of Improvements'!D93 &gt; 1), 1.1, 'Rate of Improvements'!D93)</f>
        <v>1.1</v>
      </c>
      <c r="E93" s="9">
        <f>IF(OR(EQ('Rate of Improvements'!E93, "Inf"), 'Rate of Improvements'!E93 &gt; 1), 1.1, 'Rate of Improvements'!E93)</f>
        <v>0.4677992676</v>
      </c>
      <c r="F93" s="9">
        <f>IF(OR(EQ('Rate of Improvements'!F93, "Inf"), 'Rate of Improvements'!F93 &gt; 1), 1.1, 'Rate of Improvements'!F93)</f>
        <v>1.1</v>
      </c>
      <c r="G93" s="9">
        <f>IF(OR(EQ('Rate of Improvements'!G93, "Inf"), 'Rate of Improvements'!G93 &gt; 1), 1.1, 'Rate of Improvements'!G93)</f>
        <v>1.1</v>
      </c>
      <c r="H93" s="2">
        <f t="shared" ref="H93:J93" si="185">IF(OR(E93&gt;B93, And(EQ(E93, "Inf"), NOT(EQ(B93, "Inf")))), 1, 0)</f>
        <v>0</v>
      </c>
      <c r="I93" s="2">
        <f t="shared" si="185"/>
        <v>0</v>
      </c>
      <c r="J93" s="2">
        <f t="shared" si="185"/>
        <v>0</v>
      </c>
      <c r="K93" s="2">
        <f t="shared" ref="K93:M93" si="186">IF(OR(E93&lt;B93, And(EQ(B93, "Inf"), NOT(EQ(E93, "Inf")))), 1, 0)</f>
        <v>1</v>
      </c>
      <c r="L93" s="2">
        <f t="shared" si="186"/>
        <v>0</v>
      </c>
      <c r="M93" s="2">
        <f t="shared" si="186"/>
        <v>0</v>
      </c>
    </row>
    <row r="94">
      <c r="A94" s="52" t="s">
        <v>1125</v>
      </c>
      <c r="B94" s="9">
        <f>IF(OR(EQ('Rate of Improvements'!B94, "Inf"), 'Rate of Improvements'!B94 &gt; 1), 1.1, 'Rate of Improvements'!B94)</f>
        <v>0</v>
      </c>
      <c r="C94" s="9">
        <f>IF(OR(EQ('Rate of Improvements'!C94, "Inf"), 'Rate of Improvements'!C94 &gt; 1), 1.1, 'Rate of Improvements'!C94)</f>
        <v>0</v>
      </c>
      <c r="D94" s="9">
        <f>IF(OR(EQ('Rate of Improvements'!D94, "Inf"), 'Rate of Improvements'!D94 &gt; 1), 1.1, 'Rate of Improvements'!D94)</f>
        <v>0</v>
      </c>
      <c r="E94" s="9">
        <f>IF(OR(EQ('Rate of Improvements'!E94, "Inf"), 'Rate of Improvements'!E94 &gt; 1), 1.1, 'Rate of Improvements'!E94)</f>
        <v>1.1</v>
      </c>
      <c r="F94" s="9">
        <f>IF(OR(EQ('Rate of Improvements'!F94, "Inf"), 'Rate of Improvements'!F94 &gt; 1), 1.1, 'Rate of Improvements'!F94)</f>
        <v>1.1</v>
      </c>
      <c r="G94" s="9">
        <f>IF(OR(EQ('Rate of Improvements'!G94, "Inf"), 'Rate of Improvements'!G94 &gt; 1), 1.1, 'Rate of Improvements'!G94)</f>
        <v>1.1</v>
      </c>
      <c r="H94" s="2">
        <f t="shared" ref="H94:J94" si="187">IF(OR(E94&gt;B94, And(EQ(E94, "Inf"), NOT(EQ(B94, "Inf")))), 1, 0)</f>
        <v>1</v>
      </c>
      <c r="I94" s="2">
        <f t="shared" si="187"/>
        <v>1</v>
      </c>
      <c r="J94" s="2">
        <f t="shared" si="187"/>
        <v>1</v>
      </c>
      <c r="K94" s="2">
        <f t="shared" ref="K94:M94" si="188">IF(OR(E94&lt;B94, And(EQ(B94, "Inf"), NOT(EQ(E94, "Inf")))), 1, 0)</f>
        <v>0</v>
      </c>
      <c r="L94" s="2">
        <f t="shared" si="188"/>
        <v>0</v>
      </c>
      <c r="M94" s="2">
        <f t="shared" si="188"/>
        <v>0</v>
      </c>
    </row>
    <row r="95">
      <c r="A95" s="52" t="s">
        <v>491</v>
      </c>
      <c r="B95" s="9">
        <f>IF(OR(EQ('Rate of Improvements'!B95, "Inf"), 'Rate of Improvements'!B95 &gt; 1), 1.1, 'Rate of Improvements'!B95)</f>
        <v>0</v>
      </c>
      <c r="C95" s="9">
        <f>IF(OR(EQ('Rate of Improvements'!C95, "Inf"), 'Rate of Improvements'!C95 &gt; 1), 1.1, 'Rate of Improvements'!C95)</f>
        <v>0</v>
      </c>
      <c r="D95" s="9">
        <f>IF(OR(EQ('Rate of Improvements'!D95, "Inf"), 'Rate of Improvements'!D95 &gt; 1), 1.1, 'Rate of Improvements'!D95)</f>
        <v>0</v>
      </c>
      <c r="E95" s="9">
        <f>IF(OR(EQ('Rate of Improvements'!E95, "Inf"), 'Rate of Improvements'!E95 &gt; 1), 1.1, 'Rate of Improvements'!E95)</f>
        <v>0</v>
      </c>
      <c r="F95" s="9">
        <f>IF(OR(EQ('Rate of Improvements'!F95, "Inf"), 'Rate of Improvements'!F95 &gt; 1), 1.1, 'Rate of Improvements'!F95)</f>
        <v>0</v>
      </c>
      <c r="G95" s="9">
        <f>IF(OR(EQ('Rate of Improvements'!G95, "Inf"), 'Rate of Improvements'!G95 &gt; 1), 1.1, 'Rate of Improvements'!G95)</f>
        <v>0</v>
      </c>
      <c r="H95" s="2">
        <f t="shared" ref="H95:J95" si="189">IF(OR(E95&gt;B95, And(EQ(E95, "Inf"), NOT(EQ(B95, "Inf")))), 1, 0)</f>
        <v>0</v>
      </c>
      <c r="I95" s="2">
        <f t="shared" si="189"/>
        <v>0</v>
      </c>
      <c r="J95" s="2">
        <f t="shared" si="189"/>
        <v>0</v>
      </c>
      <c r="K95" s="2">
        <f t="shared" ref="K95:M95" si="190">IF(OR(E95&lt;B95, And(EQ(B95, "Inf"), NOT(EQ(E95, "Inf")))), 1, 0)</f>
        <v>0</v>
      </c>
      <c r="L95" s="2">
        <f t="shared" si="190"/>
        <v>0</v>
      </c>
      <c r="M95" s="2">
        <f t="shared" si="190"/>
        <v>0</v>
      </c>
    </row>
    <row r="96">
      <c r="A96" s="52" t="s">
        <v>1206</v>
      </c>
      <c r="B96" s="9">
        <f>IF(OR(EQ('Rate of Improvements'!B96, "Inf"), 'Rate of Improvements'!B96 &gt; 1), 1.1, 'Rate of Improvements'!B96)</f>
        <v>0</v>
      </c>
      <c r="C96" s="9">
        <f>IF(OR(EQ('Rate of Improvements'!C96, "Inf"), 'Rate of Improvements'!C96 &gt; 1), 1.1, 'Rate of Improvements'!C96)</f>
        <v>0</v>
      </c>
      <c r="D96" s="9">
        <f>IF(OR(EQ('Rate of Improvements'!D96, "Inf"), 'Rate of Improvements'!D96 &gt; 1), 1.1, 'Rate of Improvements'!D96)</f>
        <v>0</v>
      </c>
      <c r="E96" s="9">
        <f>IF(OR(EQ('Rate of Improvements'!E96, "Inf"), 'Rate of Improvements'!E96 &gt; 1), 1.1, 'Rate of Improvements'!E96)</f>
        <v>0</v>
      </c>
      <c r="F96" s="9">
        <f>IF(OR(EQ('Rate of Improvements'!F96, "Inf"), 'Rate of Improvements'!F96 &gt; 1), 1.1, 'Rate of Improvements'!F96)</f>
        <v>0</v>
      </c>
      <c r="G96" s="9">
        <f>IF(OR(EQ('Rate of Improvements'!G96, "Inf"), 'Rate of Improvements'!G96 &gt; 1), 1.1, 'Rate of Improvements'!G96)</f>
        <v>0</v>
      </c>
      <c r="H96" s="2">
        <f t="shared" ref="H96:J96" si="191">IF(OR(E96&gt;B96, And(EQ(E96, "Inf"), NOT(EQ(B96, "Inf")))), 1, 0)</f>
        <v>0</v>
      </c>
      <c r="I96" s="2">
        <f t="shared" si="191"/>
        <v>0</v>
      </c>
      <c r="J96" s="2">
        <f t="shared" si="191"/>
        <v>0</v>
      </c>
      <c r="K96" s="2">
        <f t="shared" ref="K96:M96" si="192">IF(OR(E96&lt;B96, And(EQ(B96, "Inf"), NOT(EQ(E96, "Inf")))), 1, 0)</f>
        <v>0</v>
      </c>
      <c r="L96" s="2">
        <f t="shared" si="192"/>
        <v>0</v>
      </c>
      <c r="M96" s="2">
        <f t="shared" si="192"/>
        <v>0</v>
      </c>
    </row>
    <row r="97">
      <c r="A97" s="52" t="s">
        <v>1130</v>
      </c>
      <c r="B97" s="9">
        <f>IF(OR(EQ('Rate of Improvements'!B97, "Inf"), 'Rate of Improvements'!B97 &gt; 1), 1.1, 'Rate of Improvements'!B97)</f>
        <v>0</v>
      </c>
      <c r="C97" s="9">
        <f>IF(OR(EQ('Rate of Improvements'!C97, "Inf"), 'Rate of Improvements'!C97 &gt; 1), 1.1, 'Rate of Improvements'!C97)</f>
        <v>0</v>
      </c>
      <c r="D97" s="9">
        <f>IF(OR(EQ('Rate of Improvements'!D97, "Inf"), 'Rate of Improvements'!D97 &gt; 1), 1.1, 'Rate of Improvements'!D97)</f>
        <v>0</v>
      </c>
      <c r="E97" s="9">
        <f>IF(OR(EQ('Rate of Improvements'!E97, "Inf"), 'Rate of Improvements'!E97 &gt; 1), 1.1, 'Rate of Improvements'!E97)</f>
        <v>0</v>
      </c>
      <c r="F97" s="9">
        <f>IF(OR(EQ('Rate of Improvements'!F97, "Inf"), 'Rate of Improvements'!F97 &gt; 1), 1.1, 'Rate of Improvements'!F97)</f>
        <v>0</v>
      </c>
      <c r="G97" s="9">
        <f>IF(OR(EQ('Rate of Improvements'!G97, "Inf"), 'Rate of Improvements'!G97 &gt; 1), 1.1, 'Rate of Improvements'!G97)</f>
        <v>0</v>
      </c>
      <c r="H97" s="2">
        <f t="shared" ref="H97:J97" si="193">IF(OR(E97&gt;B97, And(EQ(E97, "Inf"), NOT(EQ(B97, "Inf")))), 1, 0)</f>
        <v>0</v>
      </c>
      <c r="I97" s="2">
        <f t="shared" si="193"/>
        <v>0</v>
      </c>
      <c r="J97" s="2">
        <f t="shared" si="193"/>
        <v>0</v>
      </c>
      <c r="K97" s="2">
        <f t="shared" ref="K97:M97" si="194">IF(OR(E97&lt;B97, And(EQ(B97, "Inf"), NOT(EQ(E97, "Inf")))), 1, 0)</f>
        <v>0</v>
      </c>
      <c r="L97" s="2">
        <f t="shared" si="194"/>
        <v>0</v>
      </c>
      <c r="M97" s="2">
        <f t="shared" si="194"/>
        <v>0</v>
      </c>
    </row>
    <row r="98">
      <c r="A98" s="52" t="s">
        <v>1136</v>
      </c>
      <c r="B98" s="9">
        <f>IF(OR(EQ('Rate of Improvements'!B98, "Inf"), 'Rate of Improvements'!B98 &gt; 1), 1.1, 'Rate of Improvements'!B98)</f>
        <v>0</v>
      </c>
      <c r="C98" s="9">
        <f>IF(OR(EQ('Rate of Improvements'!C98, "Inf"), 'Rate of Improvements'!C98 &gt; 1), 1.1, 'Rate of Improvements'!C98)</f>
        <v>0</v>
      </c>
      <c r="D98" s="9">
        <f>IF(OR(EQ('Rate of Improvements'!D98, "Inf"), 'Rate of Improvements'!D98 &gt; 1), 1.1, 'Rate of Improvements'!D98)</f>
        <v>0</v>
      </c>
      <c r="E98" s="9">
        <f>IF(OR(EQ('Rate of Improvements'!E98, "Inf"), 'Rate of Improvements'!E98 &gt; 1), 1.1, 'Rate of Improvements'!E98)</f>
        <v>0</v>
      </c>
      <c r="F98" s="9">
        <f>IF(OR(EQ('Rate of Improvements'!F98, "Inf"), 'Rate of Improvements'!F98 &gt; 1), 1.1, 'Rate of Improvements'!F98)</f>
        <v>0</v>
      </c>
      <c r="G98" s="9">
        <f>IF(OR(EQ('Rate of Improvements'!G98, "Inf"), 'Rate of Improvements'!G98 &gt; 1), 1.1, 'Rate of Improvements'!G98)</f>
        <v>0</v>
      </c>
      <c r="H98" s="2">
        <f t="shared" ref="H98:J98" si="195">IF(OR(E98&gt;B98, And(EQ(E98, "Inf"), NOT(EQ(B98, "Inf")))), 1, 0)</f>
        <v>0</v>
      </c>
      <c r="I98" s="2">
        <f t="shared" si="195"/>
        <v>0</v>
      </c>
      <c r="J98" s="2">
        <f t="shared" si="195"/>
        <v>0</v>
      </c>
      <c r="K98" s="2">
        <f t="shared" ref="K98:M98" si="196">IF(OR(E98&lt;B98, And(EQ(B98, "Inf"), NOT(EQ(E98, "Inf")))), 1, 0)</f>
        <v>0</v>
      </c>
      <c r="L98" s="2">
        <f t="shared" si="196"/>
        <v>0</v>
      </c>
      <c r="M98" s="2">
        <f t="shared" si="196"/>
        <v>0</v>
      </c>
    </row>
    <row r="99">
      <c r="A99" s="52" t="s">
        <v>1134</v>
      </c>
      <c r="B99" s="9">
        <f>IF(OR(EQ('Rate of Improvements'!B99, "Inf"), 'Rate of Improvements'!B99 &gt; 1), 1.1, 'Rate of Improvements'!B99)</f>
        <v>0</v>
      </c>
      <c r="C99" s="9">
        <f>IF(OR(EQ('Rate of Improvements'!C99, "Inf"), 'Rate of Improvements'!C99 &gt; 1), 1.1, 'Rate of Improvements'!C99)</f>
        <v>0</v>
      </c>
      <c r="D99" s="9">
        <f>IF(OR(EQ('Rate of Improvements'!D99, "Inf"), 'Rate of Improvements'!D99 &gt; 1), 1.1, 'Rate of Improvements'!D99)</f>
        <v>0</v>
      </c>
      <c r="E99" s="9">
        <f>IF(OR(EQ('Rate of Improvements'!E99, "Inf"), 'Rate of Improvements'!E99 &gt; 1), 1.1, 'Rate of Improvements'!E99)</f>
        <v>0</v>
      </c>
      <c r="F99" s="9">
        <f>IF(OR(EQ('Rate of Improvements'!F99, "Inf"), 'Rate of Improvements'!F99 &gt; 1), 1.1, 'Rate of Improvements'!F99)</f>
        <v>0</v>
      </c>
      <c r="G99" s="9">
        <f>IF(OR(EQ('Rate of Improvements'!G99, "Inf"), 'Rate of Improvements'!G99 &gt; 1), 1.1, 'Rate of Improvements'!G99)</f>
        <v>0</v>
      </c>
      <c r="H99" s="2">
        <f t="shared" ref="H99:J99" si="197">IF(OR(E99&gt;B99, And(EQ(E99, "Inf"), NOT(EQ(B99, "Inf")))), 1, 0)</f>
        <v>0</v>
      </c>
      <c r="I99" s="2">
        <f t="shared" si="197"/>
        <v>0</v>
      </c>
      <c r="J99" s="2">
        <f t="shared" si="197"/>
        <v>0</v>
      </c>
      <c r="K99" s="2">
        <f t="shared" ref="K99:M99" si="198">IF(OR(E99&lt;B99, And(EQ(B99, "Inf"), NOT(EQ(E99, "Inf")))), 1, 0)</f>
        <v>0</v>
      </c>
      <c r="L99" s="2">
        <f t="shared" si="198"/>
        <v>0</v>
      </c>
      <c r="M99" s="2">
        <f t="shared" si="198"/>
        <v>0</v>
      </c>
    </row>
    <row r="100">
      <c r="A100" s="52" t="s">
        <v>1138</v>
      </c>
      <c r="B100" s="9">
        <f>IF(OR(EQ('Rate of Improvements'!B100, "Inf"), 'Rate of Improvements'!B100 &gt; 1), 1.1, 'Rate of Improvements'!B100)</f>
        <v>0</v>
      </c>
      <c r="C100" s="9">
        <f>IF(OR(EQ('Rate of Improvements'!C100, "Inf"), 'Rate of Improvements'!C100 &gt; 1), 1.1, 'Rate of Improvements'!C100)</f>
        <v>0</v>
      </c>
      <c r="D100" s="9">
        <f>IF(OR(EQ('Rate of Improvements'!D100, "Inf"), 'Rate of Improvements'!D100 &gt; 1), 1.1, 'Rate of Improvements'!D100)</f>
        <v>0</v>
      </c>
      <c r="E100" s="9">
        <f>IF(OR(EQ('Rate of Improvements'!E100, "Inf"), 'Rate of Improvements'!E100 &gt; 1), 1.1, 'Rate of Improvements'!E100)</f>
        <v>0</v>
      </c>
      <c r="F100" s="9">
        <f>IF(OR(EQ('Rate of Improvements'!F100, "Inf"), 'Rate of Improvements'!F100 &gt; 1), 1.1, 'Rate of Improvements'!F100)</f>
        <v>0</v>
      </c>
      <c r="G100" s="9">
        <f>IF(OR(EQ('Rate of Improvements'!G100, "Inf"), 'Rate of Improvements'!G100 &gt; 1), 1.1, 'Rate of Improvements'!G100)</f>
        <v>0</v>
      </c>
      <c r="H100" s="2">
        <f t="shared" ref="H100:J100" si="199">IF(OR(E100&gt;B100, And(EQ(E100, "Inf"), NOT(EQ(B100, "Inf")))), 1, 0)</f>
        <v>0</v>
      </c>
      <c r="I100" s="2">
        <f t="shared" si="199"/>
        <v>0</v>
      </c>
      <c r="J100" s="2">
        <f t="shared" si="199"/>
        <v>0</v>
      </c>
      <c r="K100" s="2">
        <f t="shared" ref="K100:M100" si="200">IF(OR(E100&lt;B100, And(EQ(B100, "Inf"), NOT(EQ(E100, "Inf")))), 1, 0)</f>
        <v>0</v>
      </c>
      <c r="L100" s="2">
        <f t="shared" si="200"/>
        <v>0</v>
      </c>
      <c r="M100" s="2">
        <f t="shared" si="200"/>
        <v>0</v>
      </c>
    </row>
    <row r="101">
      <c r="A101" s="391" t="s">
        <v>424</v>
      </c>
      <c r="B101" s="9">
        <f>IF(OR(EQ('Rate of Improvements'!B101, "Inf"), 'Rate of Improvements'!B101 &gt; 1), 1.1, 'Rate of Improvements'!B101)</f>
        <v>1.1</v>
      </c>
      <c r="C101" s="9">
        <f>IF(OR(EQ('Rate of Improvements'!C101, "Inf"), 'Rate of Improvements'!C101 &gt; 1), 1.1, 'Rate of Improvements'!C101)</f>
        <v>1.1</v>
      </c>
      <c r="D101" s="9">
        <f>IF(OR(EQ('Rate of Improvements'!D101, "Inf"), 'Rate of Improvements'!D101 &gt; 1), 1.1, 'Rate of Improvements'!D101)</f>
        <v>1.1</v>
      </c>
      <c r="E101" s="9">
        <f>IF(OR(EQ('Rate of Improvements'!E101, "Inf"), 'Rate of Improvements'!E101 &gt; 1), 1.1, 'Rate of Improvements'!E101)</f>
        <v>0.2451796774</v>
      </c>
      <c r="F101" s="9">
        <f>IF(OR(EQ('Rate of Improvements'!F101, "Inf"), 'Rate of Improvements'!F101 &gt; 1), 1.1, 'Rate of Improvements'!F101)</f>
        <v>0.3418953868</v>
      </c>
      <c r="G101" s="9">
        <f>IF(OR(EQ('Rate of Improvements'!G101, "Inf"), 'Rate of Improvements'!G101 &gt; 1), 1.1, 'Rate of Improvements'!G101)</f>
        <v>0.3998638745</v>
      </c>
      <c r="H101" s="2">
        <f t="shared" ref="H101:J101" si="201">IF(OR(E101&gt;B101, And(EQ(E101, "Inf"), NOT(EQ(B101, "Inf")))), 1, 0)</f>
        <v>0</v>
      </c>
      <c r="I101" s="2">
        <f t="shared" si="201"/>
        <v>0</v>
      </c>
      <c r="J101" s="2">
        <f t="shared" si="201"/>
        <v>0</v>
      </c>
      <c r="K101" s="2">
        <f t="shared" ref="K101:M101" si="202">IF(OR(E101&lt;B101, And(EQ(B101, "Inf"), NOT(EQ(E101, "Inf")))), 1, 0)</f>
        <v>1</v>
      </c>
      <c r="L101" s="2">
        <f t="shared" si="202"/>
        <v>1</v>
      </c>
      <c r="M101" s="2">
        <f t="shared" si="202"/>
        <v>1</v>
      </c>
    </row>
    <row r="102">
      <c r="A102" s="399" t="s">
        <v>1112</v>
      </c>
      <c r="B102" s="9">
        <f>IF(OR(EQ('Rate of Improvements'!B102, "Inf"), 'Rate of Improvements'!B102 &gt; 1), 1.1, 'Rate of Improvements'!B102)</f>
        <v>1.1</v>
      </c>
      <c r="C102" s="9">
        <f>IF(OR(EQ('Rate of Improvements'!C102, "Inf"), 'Rate of Improvements'!C102 &gt; 1), 1.1, 'Rate of Improvements'!C102)</f>
        <v>1.1</v>
      </c>
      <c r="D102" s="9">
        <f>IF(OR(EQ('Rate of Improvements'!D102, "Inf"), 'Rate of Improvements'!D102 &gt; 1), 1.1, 'Rate of Improvements'!D102)</f>
        <v>1.1</v>
      </c>
      <c r="E102" s="9">
        <f>IF(OR(EQ('Rate of Improvements'!E102, "Inf"), 'Rate of Improvements'!E102 &gt; 1), 1.1, 'Rate of Improvements'!E102)</f>
        <v>0.5949767558</v>
      </c>
      <c r="F102" s="9">
        <f>IF(OR(EQ('Rate of Improvements'!F102, "Inf"), 'Rate of Improvements'!F102 &gt; 1), 1.1, 'Rate of Improvements'!F102)</f>
        <v>1.1</v>
      </c>
      <c r="G102" s="9">
        <f>IF(OR(EQ('Rate of Improvements'!G102, "Inf"), 'Rate of Improvements'!G102 &gt; 1), 1.1, 'Rate of Improvements'!G102)</f>
        <v>1.1</v>
      </c>
      <c r="H102" s="2">
        <f t="shared" ref="H102:J102" si="203">IF(OR(E102&gt;B102, And(EQ(E102, "Inf"), NOT(EQ(B102, "Inf")))), 1, 0)</f>
        <v>0</v>
      </c>
      <c r="I102" s="2">
        <f t="shared" si="203"/>
        <v>0</v>
      </c>
      <c r="J102" s="2">
        <f t="shared" si="203"/>
        <v>0</v>
      </c>
      <c r="K102" s="2">
        <f t="shared" ref="K102:M102" si="204">IF(OR(E102&lt;B102, And(EQ(B102, "Inf"), NOT(EQ(E102, "Inf")))), 1, 0)</f>
        <v>1</v>
      </c>
      <c r="L102" s="2">
        <f t="shared" si="204"/>
        <v>0</v>
      </c>
      <c r="M102" s="2">
        <f t="shared" si="204"/>
        <v>0</v>
      </c>
    </row>
    <row r="103">
      <c r="A103" s="391" t="s">
        <v>308</v>
      </c>
      <c r="B103" s="9">
        <f>IF(OR(EQ('Rate of Improvements'!B103, "Inf"), 'Rate of Improvements'!B103 &gt; 1), 1.1, 'Rate of Improvements'!B103)</f>
        <v>0.2599210499</v>
      </c>
      <c r="C103" s="9">
        <f>IF(OR(EQ('Rate of Improvements'!C103, "Inf"), 'Rate of Improvements'!C103 &gt; 1), 1.1, 'Rate of Improvements'!C103)</f>
        <v>0.2599210499</v>
      </c>
      <c r="D103" s="9">
        <f>IF(OR(EQ('Rate of Improvements'!D103, "Inf"), 'Rate of Improvements'!D103 &gt; 1), 1.1, 'Rate of Improvements'!D103)</f>
        <v>0.2599210499</v>
      </c>
      <c r="E103" s="9">
        <f>IF(OR(EQ('Rate of Improvements'!E103, "Inf"), 'Rate of Improvements'!E103 &gt; 1), 1.1, 'Rate of Improvements'!E103)</f>
        <v>1.1</v>
      </c>
      <c r="F103" s="9">
        <f>IF(OR(EQ('Rate of Improvements'!F103, "Inf"), 'Rate of Improvements'!F103 &gt; 1), 1.1, 'Rate of Improvements'!F103)</f>
        <v>1.1</v>
      </c>
      <c r="G103" s="9">
        <f>IF(OR(EQ('Rate of Improvements'!G103, "Inf"), 'Rate of Improvements'!G103 &gt; 1), 1.1, 'Rate of Improvements'!G103)</f>
        <v>1.1</v>
      </c>
      <c r="H103" s="2">
        <f t="shared" ref="H103:J103" si="205">IF(OR(E103&gt;B103, And(EQ(E103, "Inf"), NOT(EQ(B103, "Inf")))), 1, 0)</f>
        <v>1</v>
      </c>
      <c r="I103" s="2">
        <f t="shared" si="205"/>
        <v>1</v>
      </c>
      <c r="J103" s="2">
        <f t="shared" si="205"/>
        <v>1</v>
      </c>
      <c r="K103" s="2">
        <f t="shared" ref="K103:M103" si="206">IF(OR(E103&lt;B103, And(EQ(B103, "Inf"), NOT(EQ(E103, "Inf")))), 1, 0)</f>
        <v>0</v>
      </c>
      <c r="L103" s="2">
        <f t="shared" si="206"/>
        <v>0</v>
      </c>
      <c r="M103" s="2">
        <f t="shared" si="206"/>
        <v>0</v>
      </c>
    </row>
    <row r="104">
      <c r="A104" s="52" t="s">
        <v>1210</v>
      </c>
      <c r="B104" s="9">
        <f>IF(OR(EQ('Rate of Improvements'!B104, "Inf"), 'Rate of Improvements'!B104 &gt; 1), 1.1, 'Rate of Improvements'!B104)</f>
        <v>0</v>
      </c>
      <c r="C104" s="9">
        <f>IF(OR(EQ('Rate of Improvements'!C104, "Inf"), 'Rate of Improvements'!C104 &gt; 1), 1.1, 'Rate of Improvements'!C104)</f>
        <v>0</v>
      </c>
      <c r="D104" s="9">
        <f>IF(OR(EQ('Rate of Improvements'!D104, "Inf"), 'Rate of Improvements'!D104 &gt; 1), 1.1, 'Rate of Improvements'!D104)</f>
        <v>0</v>
      </c>
      <c r="E104" s="9">
        <f>IF(OR(EQ('Rate of Improvements'!E104, "Inf"), 'Rate of Improvements'!E104 &gt; 1), 1.1, 'Rate of Improvements'!E104)</f>
        <v>0</v>
      </c>
      <c r="F104" s="9">
        <f>IF(OR(EQ('Rate of Improvements'!F104, "Inf"), 'Rate of Improvements'!F104 &gt; 1), 1.1, 'Rate of Improvements'!F104)</f>
        <v>0</v>
      </c>
      <c r="G104" s="9">
        <f>IF(OR(EQ('Rate of Improvements'!G104, "Inf"), 'Rate of Improvements'!G104 &gt; 1), 1.1, 'Rate of Improvements'!G104)</f>
        <v>0</v>
      </c>
      <c r="H104" s="2">
        <f t="shared" ref="H104:J104" si="207">IF(OR(E104&gt;B104, And(EQ(E104, "Inf"), NOT(EQ(B104, "Inf")))), 1, 0)</f>
        <v>0</v>
      </c>
      <c r="I104" s="2">
        <f t="shared" si="207"/>
        <v>0</v>
      </c>
      <c r="J104" s="2">
        <f t="shared" si="207"/>
        <v>0</v>
      </c>
      <c r="K104" s="2">
        <f t="shared" ref="K104:M104" si="208">IF(OR(E104&lt;B104, And(EQ(B104, "Inf"), NOT(EQ(E104, "Inf")))), 1, 0)</f>
        <v>0</v>
      </c>
      <c r="L104" s="2">
        <f t="shared" si="208"/>
        <v>0</v>
      </c>
      <c r="M104" s="2">
        <f t="shared" si="208"/>
        <v>0</v>
      </c>
    </row>
    <row r="105">
      <c r="A105" s="52" t="s">
        <v>18</v>
      </c>
      <c r="B105" s="9">
        <f>IF(OR(EQ('Rate of Improvements'!B105, "Inf"), 'Rate of Improvements'!B105 &gt; 1), 1.1, 'Rate of Improvements'!B105)</f>
        <v>0</v>
      </c>
      <c r="C105" s="9">
        <f>IF(OR(EQ('Rate of Improvements'!C105, "Inf"), 'Rate of Improvements'!C105 &gt; 1), 1.1, 'Rate of Improvements'!C105)</f>
        <v>0</v>
      </c>
      <c r="D105" s="9">
        <f>IF(OR(EQ('Rate of Improvements'!D105, "Inf"), 'Rate of Improvements'!D105 &gt; 1), 1.1, 'Rate of Improvements'!D105)</f>
        <v>0</v>
      </c>
      <c r="E105" s="9">
        <f>IF(OR(EQ('Rate of Improvements'!E105, "Inf"), 'Rate of Improvements'!E105 &gt; 1), 1.1, 'Rate of Improvements'!E105)</f>
        <v>1.1</v>
      </c>
      <c r="F105" s="9">
        <f>IF(OR(EQ('Rate of Improvements'!F105, "Inf"), 'Rate of Improvements'!F105 &gt; 1), 1.1, 'Rate of Improvements'!F105)</f>
        <v>1.1</v>
      </c>
      <c r="G105" s="9">
        <f>IF(OR(EQ('Rate of Improvements'!G105, "Inf"), 'Rate of Improvements'!G105 &gt; 1), 1.1, 'Rate of Improvements'!G105)</f>
        <v>1.1</v>
      </c>
      <c r="H105" s="2">
        <f t="shared" ref="H105:J105" si="209">IF(OR(E105&gt;B105, And(EQ(E105, "Inf"), NOT(EQ(B105, "Inf")))), 1, 0)</f>
        <v>1</v>
      </c>
      <c r="I105" s="2">
        <f t="shared" si="209"/>
        <v>1</v>
      </c>
      <c r="J105" s="2">
        <f t="shared" si="209"/>
        <v>1</v>
      </c>
      <c r="K105" s="2">
        <f t="shared" ref="K105:M105" si="210">IF(OR(E105&lt;B105, And(EQ(B105, "Inf"), NOT(EQ(E105, "Inf")))), 1, 0)</f>
        <v>0</v>
      </c>
      <c r="L105" s="2">
        <f t="shared" si="210"/>
        <v>0</v>
      </c>
      <c r="M105" s="2">
        <f t="shared" si="210"/>
        <v>0</v>
      </c>
    </row>
    <row r="106">
      <c r="A106" s="52" t="s">
        <v>861</v>
      </c>
      <c r="B106" s="9">
        <f>IF(OR(EQ('Rate of Improvements'!B106, "Inf"), 'Rate of Improvements'!B106 &gt; 1), 1.1, 'Rate of Improvements'!B106)</f>
        <v>0</v>
      </c>
      <c r="C106" s="9">
        <f>IF(OR(EQ('Rate of Improvements'!C106, "Inf"), 'Rate of Improvements'!C106 &gt; 1), 1.1, 'Rate of Improvements'!C106)</f>
        <v>0</v>
      </c>
      <c r="D106" s="9">
        <f>IF(OR(EQ('Rate of Improvements'!D106, "Inf"), 'Rate of Improvements'!D106 &gt; 1), 1.1, 'Rate of Improvements'!D106)</f>
        <v>0</v>
      </c>
      <c r="E106" s="9">
        <f>IF(OR(EQ('Rate of Improvements'!E106, "Inf"), 'Rate of Improvements'!E106 &gt; 1), 1.1, 'Rate of Improvements'!E106)</f>
        <v>0</v>
      </c>
      <c r="F106" s="9">
        <f>IF(OR(EQ('Rate of Improvements'!F106, "Inf"), 'Rate of Improvements'!F106 &gt; 1), 1.1, 'Rate of Improvements'!F106)</f>
        <v>0</v>
      </c>
      <c r="G106" s="9">
        <f>IF(OR(EQ('Rate of Improvements'!G106, "Inf"), 'Rate of Improvements'!G106 &gt; 1), 1.1, 'Rate of Improvements'!G106)</f>
        <v>0</v>
      </c>
      <c r="H106" s="2">
        <f t="shared" ref="H106:J106" si="211">IF(OR(E106&gt;B106, And(EQ(E106, "Inf"), NOT(EQ(B106, "Inf")))), 1, 0)</f>
        <v>0</v>
      </c>
      <c r="I106" s="2">
        <f t="shared" si="211"/>
        <v>0</v>
      </c>
      <c r="J106" s="2">
        <f t="shared" si="211"/>
        <v>0</v>
      </c>
      <c r="K106" s="2">
        <f t="shared" ref="K106:M106" si="212">IF(OR(E106&lt;B106, And(EQ(B106, "Inf"), NOT(EQ(E106, "Inf")))), 1, 0)</f>
        <v>0</v>
      </c>
      <c r="L106" s="2">
        <f t="shared" si="212"/>
        <v>0</v>
      </c>
      <c r="M106" s="2">
        <f t="shared" si="212"/>
        <v>0</v>
      </c>
    </row>
    <row r="107">
      <c r="A107" s="52" t="s">
        <v>412</v>
      </c>
      <c r="B107" s="9">
        <f>IF(OR(EQ('Rate of Improvements'!B107, "Inf"), 'Rate of Improvements'!B107 &gt; 1), 1.1, 'Rate of Improvements'!B107)</f>
        <v>0</v>
      </c>
      <c r="C107" s="9">
        <f>IF(OR(EQ('Rate of Improvements'!C107, "Inf"), 'Rate of Improvements'!C107 &gt; 1), 1.1, 'Rate of Improvements'!C107)</f>
        <v>0</v>
      </c>
      <c r="D107" s="9">
        <f>IF(OR(EQ('Rate of Improvements'!D107, "Inf"), 'Rate of Improvements'!D107 &gt; 1), 1.1, 'Rate of Improvements'!D107)</f>
        <v>0</v>
      </c>
      <c r="E107" s="9">
        <f>IF(OR(EQ('Rate of Improvements'!E107, "Inf"), 'Rate of Improvements'!E107 &gt; 1), 1.1, 'Rate of Improvements'!E107)</f>
        <v>0.05665744313</v>
      </c>
      <c r="F107" s="9">
        <f>IF(OR(EQ('Rate of Improvements'!F107, "Inf"), 'Rate of Improvements'!F107 &gt; 1), 1.1, 'Rate of Improvements'!F107)</f>
        <v>0.156481465</v>
      </c>
      <c r="G107" s="9">
        <f>IF(OR(EQ('Rate of Improvements'!G107, "Inf"), 'Rate of Improvements'!G107 &gt; 1), 1.1, 'Rate of Improvements'!G107)</f>
        <v>0.2650274945</v>
      </c>
      <c r="H107" s="2">
        <f t="shared" ref="H107:J107" si="213">IF(OR(E107&gt;B107, And(EQ(E107, "Inf"), NOT(EQ(B107, "Inf")))), 1, 0)</f>
        <v>1</v>
      </c>
      <c r="I107" s="2">
        <f t="shared" si="213"/>
        <v>1</v>
      </c>
      <c r="J107" s="2">
        <f t="shared" si="213"/>
        <v>1</v>
      </c>
      <c r="K107" s="2">
        <f t="shared" ref="K107:M107" si="214">IF(OR(E107&lt;B107, And(EQ(B107, "Inf"), NOT(EQ(E107, "Inf")))), 1, 0)</f>
        <v>0</v>
      </c>
      <c r="L107" s="2">
        <f t="shared" si="214"/>
        <v>0</v>
      </c>
      <c r="M107" s="2">
        <f t="shared" si="214"/>
        <v>0</v>
      </c>
    </row>
    <row r="108">
      <c r="A108" s="391" t="s">
        <v>241</v>
      </c>
      <c r="B108" s="9">
        <f>IF(OR(EQ('Rate of Improvements'!B108, "Inf"), 'Rate of Improvements'!B108 &gt; 1), 1.1, 'Rate of Improvements'!B108)</f>
        <v>1.1</v>
      </c>
      <c r="C108" s="9">
        <f>IF(OR(EQ('Rate of Improvements'!C108, "Inf"), 'Rate of Improvements'!C108 &gt; 1), 1.1, 'Rate of Improvements'!C108)</f>
        <v>1.1</v>
      </c>
      <c r="D108" s="9">
        <f>IF(OR(EQ('Rate of Improvements'!D108, "Inf"), 'Rate of Improvements'!D108 &gt; 1), 1.1, 'Rate of Improvements'!D108)</f>
        <v>1.1</v>
      </c>
      <c r="E108" s="9">
        <f>IF(OR(EQ('Rate of Improvements'!E108, "Inf"), 'Rate of Improvements'!E108 &gt; 1), 1.1, 'Rate of Improvements'!E108)</f>
        <v>1.1</v>
      </c>
      <c r="F108" s="9">
        <f>IF(OR(EQ('Rate of Improvements'!F108, "Inf"), 'Rate of Improvements'!F108 &gt; 1), 1.1, 'Rate of Improvements'!F108)</f>
        <v>1.1</v>
      </c>
      <c r="G108" s="9">
        <f>IF(OR(EQ('Rate of Improvements'!G108, "Inf"), 'Rate of Improvements'!G108 &gt; 1), 1.1, 'Rate of Improvements'!G108)</f>
        <v>1.1</v>
      </c>
      <c r="H108" s="2">
        <f t="shared" ref="H108:J108" si="215">IF(OR(E108&gt;B108, And(EQ(E108, "Inf"), NOT(EQ(B108, "Inf")))), 1, 0)</f>
        <v>0</v>
      </c>
      <c r="I108" s="2">
        <f t="shared" si="215"/>
        <v>0</v>
      </c>
      <c r="J108" s="2">
        <f t="shared" si="215"/>
        <v>0</v>
      </c>
      <c r="K108" s="2">
        <f t="shared" ref="K108:M108" si="216">IF(OR(E108&lt;B108, And(EQ(B108, "Inf"), NOT(EQ(E108, "Inf")))), 1, 0)</f>
        <v>0</v>
      </c>
      <c r="L108" s="2">
        <f t="shared" si="216"/>
        <v>0</v>
      </c>
      <c r="M108" s="2">
        <f t="shared" si="216"/>
        <v>0</v>
      </c>
    </row>
    <row r="109">
      <c r="A109" s="52" t="s">
        <v>1187</v>
      </c>
      <c r="B109" s="9">
        <f>IF(OR(EQ('Rate of Improvements'!B109, "Inf"), 'Rate of Improvements'!B109 &gt; 1), 1.1, 'Rate of Improvements'!B109)</f>
        <v>0</v>
      </c>
      <c r="C109" s="9">
        <f>IF(OR(EQ('Rate of Improvements'!C109, "Inf"), 'Rate of Improvements'!C109 &gt; 1), 1.1, 'Rate of Improvements'!C109)</f>
        <v>0</v>
      </c>
      <c r="D109" s="9">
        <f>IF(OR(EQ('Rate of Improvements'!D109, "Inf"), 'Rate of Improvements'!D109 &gt; 1), 1.1, 'Rate of Improvements'!D109)</f>
        <v>0</v>
      </c>
      <c r="E109" s="9">
        <f>IF(OR(EQ('Rate of Improvements'!E109, "Inf"), 'Rate of Improvements'!E109 &gt; 1), 1.1, 'Rate of Improvements'!E109)</f>
        <v>0</v>
      </c>
      <c r="F109" s="9">
        <f>IF(OR(EQ('Rate of Improvements'!F109, "Inf"), 'Rate of Improvements'!F109 &gt; 1), 1.1, 'Rate of Improvements'!F109)</f>
        <v>0</v>
      </c>
      <c r="G109" s="9">
        <f>IF(OR(EQ('Rate of Improvements'!G109, "Inf"), 'Rate of Improvements'!G109 &gt; 1), 1.1, 'Rate of Improvements'!G109)</f>
        <v>0</v>
      </c>
      <c r="H109" s="2">
        <f t="shared" ref="H109:J109" si="217">IF(OR(E109&gt;B109, And(EQ(E109, "Inf"), NOT(EQ(B109, "Inf")))), 1, 0)</f>
        <v>0</v>
      </c>
      <c r="I109" s="2">
        <f t="shared" si="217"/>
        <v>0</v>
      </c>
      <c r="J109" s="2">
        <f t="shared" si="217"/>
        <v>0</v>
      </c>
      <c r="K109" s="2">
        <f t="shared" ref="K109:M109" si="218">IF(OR(E109&lt;B109, And(EQ(B109, "Inf"), NOT(EQ(E109, "Inf")))), 1, 0)</f>
        <v>0</v>
      </c>
      <c r="L109" s="2">
        <f t="shared" si="218"/>
        <v>0</v>
      </c>
      <c r="M109" s="2">
        <f t="shared" si="218"/>
        <v>0</v>
      </c>
    </row>
    <row r="110">
      <c r="A110" s="52" t="s">
        <v>1002</v>
      </c>
      <c r="B110" s="9">
        <f>IF(OR(EQ('Rate of Improvements'!B110, "Inf"), 'Rate of Improvements'!B110 &gt; 1), 1.1, 'Rate of Improvements'!B110)</f>
        <v>0</v>
      </c>
      <c r="C110" s="9">
        <f>IF(OR(EQ('Rate of Improvements'!C110, "Inf"), 'Rate of Improvements'!C110 &gt; 1), 1.1, 'Rate of Improvements'!C110)</f>
        <v>0</v>
      </c>
      <c r="D110" s="9">
        <f>IF(OR(EQ('Rate of Improvements'!D110, "Inf"), 'Rate of Improvements'!D110 &gt; 1), 1.1, 'Rate of Improvements'!D110)</f>
        <v>0</v>
      </c>
      <c r="E110" s="9">
        <f>IF(OR(EQ('Rate of Improvements'!E110, "Inf"), 'Rate of Improvements'!E110 &gt; 1), 1.1, 'Rate of Improvements'!E110)</f>
        <v>0</v>
      </c>
      <c r="F110" s="9">
        <f>IF(OR(EQ('Rate of Improvements'!F110, "Inf"), 'Rate of Improvements'!F110 &gt; 1), 1.1, 'Rate of Improvements'!F110)</f>
        <v>0</v>
      </c>
      <c r="G110" s="9">
        <f>IF(OR(EQ('Rate of Improvements'!G110, "Inf"), 'Rate of Improvements'!G110 &gt; 1), 1.1, 'Rate of Improvements'!G110)</f>
        <v>0</v>
      </c>
      <c r="H110" s="2">
        <f t="shared" ref="H110:J110" si="219">IF(OR(E110&gt;B110, And(EQ(E110, "Inf"), NOT(EQ(B110, "Inf")))), 1, 0)</f>
        <v>0</v>
      </c>
      <c r="I110" s="2">
        <f t="shared" si="219"/>
        <v>0</v>
      </c>
      <c r="J110" s="2">
        <f t="shared" si="219"/>
        <v>0</v>
      </c>
      <c r="K110" s="2">
        <f t="shared" ref="K110:M110" si="220">IF(OR(E110&lt;B110, And(EQ(B110, "Inf"), NOT(EQ(E110, "Inf")))), 1, 0)</f>
        <v>0</v>
      </c>
      <c r="L110" s="2">
        <f t="shared" si="220"/>
        <v>0</v>
      </c>
      <c r="M110" s="2">
        <f t="shared" si="220"/>
        <v>0</v>
      </c>
    </row>
    <row r="111">
      <c r="A111" s="391" t="s">
        <v>775</v>
      </c>
      <c r="B111" s="9">
        <f>IF(OR(EQ('Rate of Improvements'!B111, "Inf"), 'Rate of Improvements'!B111 &gt; 1), 1.1, 'Rate of Improvements'!B111)</f>
        <v>0.5399265261</v>
      </c>
      <c r="C111" s="9">
        <f>IF(OR(EQ('Rate of Improvements'!C111, "Inf"), 'Rate of Improvements'!C111 &gt; 1), 1.1, 'Rate of Improvements'!C111)</f>
        <v>1.1</v>
      </c>
      <c r="D111" s="9">
        <f>IF(OR(EQ('Rate of Improvements'!D111, "Inf"), 'Rate of Improvements'!D111 &gt; 1), 1.1, 'Rate of Improvements'!D111)</f>
        <v>1.1</v>
      </c>
      <c r="E111" s="9">
        <f>IF(OR(EQ('Rate of Improvements'!E111, "Inf"), 'Rate of Improvements'!E111 &gt; 1), 1.1, 'Rate of Improvements'!E111)</f>
        <v>1.1</v>
      </c>
      <c r="F111" s="9">
        <f>IF(OR(EQ('Rate of Improvements'!F111, "Inf"), 'Rate of Improvements'!F111 &gt; 1), 1.1, 'Rate of Improvements'!F111)</f>
        <v>1.1</v>
      </c>
      <c r="G111" s="9">
        <f>IF(OR(EQ('Rate of Improvements'!G111, "Inf"), 'Rate of Improvements'!G111 &gt; 1), 1.1, 'Rate of Improvements'!G111)</f>
        <v>1.1</v>
      </c>
      <c r="H111" s="2">
        <f t="shared" ref="H111:J111" si="221">IF(OR(E111&gt;B111, And(EQ(E111, "Inf"), NOT(EQ(B111, "Inf")))), 1, 0)</f>
        <v>1</v>
      </c>
      <c r="I111" s="2">
        <f t="shared" si="221"/>
        <v>0</v>
      </c>
      <c r="J111" s="2">
        <f t="shared" si="221"/>
        <v>0</v>
      </c>
      <c r="K111" s="2">
        <f t="shared" ref="K111:M111" si="222">IF(OR(E111&lt;B111, And(EQ(B111, "Inf"), NOT(EQ(E111, "Inf")))), 1, 0)</f>
        <v>0</v>
      </c>
      <c r="L111" s="2">
        <f t="shared" si="222"/>
        <v>0</v>
      </c>
      <c r="M111" s="2">
        <f t="shared" si="222"/>
        <v>0</v>
      </c>
    </row>
    <row r="112">
      <c r="A112" s="391" t="s">
        <v>743</v>
      </c>
      <c r="B112" s="9">
        <f>IF(OR(EQ('Rate of Improvements'!B112, "Inf"), 'Rate of Improvements'!B112 &gt; 1), 1.1, 'Rate of Improvements'!B112)</f>
        <v>1.1</v>
      </c>
      <c r="C112" s="9">
        <f>IF(OR(EQ('Rate of Improvements'!C112, "Inf"), 'Rate of Improvements'!C112 &gt; 1), 1.1, 'Rate of Improvements'!C112)</f>
        <v>1.1</v>
      </c>
      <c r="D112" s="9">
        <f>IF(OR(EQ('Rate of Improvements'!D112, "Inf"), 'Rate of Improvements'!D112 &gt; 1), 1.1, 'Rate of Improvements'!D112)</f>
        <v>1.1</v>
      </c>
      <c r="E112" s="9">
        <f>IF(OR(EQ('Rate of Improvements'!E112, "Inf"), 'Rate of Improvements'!E112 &gt; 1), 1.1, 'Rate of Improvements'!E112)</f>
        <v>0</v>
      </c>
      <c r="F112" s="9">
        <f>IF(OR(EQ('Rate of Improvements'!F112, "Inf"), 'Rate of Improvements'!F112 &gt; 1), 1.1, 'Rate of Improvements'!F112)</f>
        <v>0</v>
      </c>
      <c r="G112" s="9">
        <f>IF(OR(EQ('Rate of Improvements'!G112, "Inf"), 'Rate of Improvements'!G112 &gt; 1), 1.1, 'Rate of Improvements'!G112)</f>
        <v>0</v>
      </c>
      <c r="H112" s="2">
        <f t="shared" ref="H112:J112" si="223">IF(OR(E112&gt;B112, And(EQ(E112, "Inf"), NOT(EQ(B112, "Inf")))), 1, 0)</f>
        <v>0</v>
      </c>
      <c r="I112" s="2">
        <f t="shared" si="223"/>
        <v>0</v>
      </c>
      <c r="J112" s="2">
        <f t="shared" si="223"/>
        <v>0</v>
      </c>
      <c r="K112" s="2">
        <f t="shared" ref="K112:M112" si="224">IF(OR(E112&lt;B112, And(EQ(B112, "Inf"), NOT(EQ(E112, "Inf")))), 1, 0)</f>
        <v>1</v>
      </c>
      <c r="L112" s="2">
        <f t="shared" si="224"/>
        <v>1</v>
      </c>
      <c r="M112" s="2">
        <f t="shared" si="224"/>
        <v>1</v>
      </c>
    </row>
    <row r="113">
      <c r="A113" s="52" t="s">
        <v>818</v>
      </c>
      <c r="B113" s="9">
        <f>IF(OR(EQ('Rate of Improvements'!B113, "Inf"), 'Rate of Improvements'!B113 &gt; 1), 1.1, 'Rate of Improvements'!B113)</f>
        <v>0</v>
      </c>
      <c r="C113" s="9">
        <f>IF(OR(EQ('Rate of Improvements'!C113, "Inf"), 'Rate of Improvements'!C113 &gt; 1), 1.1, 'Rate of Improvements'!C113)</f>
        <v>0</v>
      </c>
      <c r="D113" s="9">
        <f>IF(OR(EQ('Rate of Improvements'!D113, "Inf"), 'Rate of Improvements'!D113 &gt; 1), 1.1, 'Rate of Improvements'!D113)</f>
        <v>0</v>
      </c>
      <c r="E113" s="9">
        <f>IF(OR(EQ('Rate of Improvements'!E113, "Inf"), 'Rate of Improvements'!E113 &gt; 1), 1.1, 'Rate of Improvements'!E113)</f>
        <v>0</v>
      </c>
      <c r="F113" s="9">
        <f>IF(OR(EQ('Rate of Improvements'!F113, "Inf"), 'Rate of Improvements'!F113 &gt; 1), 1.1, 'Rate of Improvements'!F113)</f>
        <v>0</v>
      </c>
      <c r="G113" s="9">
        <f>IF(OR(EQ('Rate of Improvements'!G113, "Inf"), 'Rate of Improvements'!G113 &gt; 1), 1.1, 'Rate of Improvements'!G113)</f>
        <v>0</v>
      </c>
      <c r="H113" s="2">
        <f t="shared" ref="H113:J113" si="225">IF(OR(E113&gt;B113, And(EQ(E113, "Inf"), NOT(EQ(B113, "Inf")))), 1, 0)</f>
        <v>0</v>
      </c>
      <c r="I113" s="2">
        <f t="shared" si="225"/>
        <v>0</v>
      </c>
      <c r="J113" s="2">
        <f t="shared" si="225"/>
        <v>0</v>
      </c>
      <c r="K113" s="2">
        <f t="shared" ref="K113:M113" si="226">IF(OR(E113&lt;B113, And(EQ(B113, "Inf"), NOT(EQ(E113, "Inf")))), 1, 0)</f>
        <v>0</v>
      </c>
      <c r="L113" s="2">
        <f t="shared" si="226"/>
        <v>0</v>
      </c>
      <c r="M113" s="2">
        <f t="shared" si="226"/>
        <v>0</v>
      </c>
    </row>
    <row r="114">
      <c r="A114" s="52" t="s">
        <v>682</v>
      </c>
      <c r="B114" s="9">
        <f>IF(OR(EQ('Rate of Improvements'!B114, "Inf"), 'Rate of Improvements'!B114 &gt; 1), 1.1, 'Rate of Improvements'!B114)</f>
        <v>0</v>
      </c>
      <c r="C114" s="9">
        <f>IF(OR(EQ('Rate of Improvements'!C114, "Inf"), 'Rate of Improvements'!C114 &gt; 1), 1.1, 'Rate of Improvements'!C114)</f>
        <v>0</v>
      </c>
      <c r="D114" s="9">
        <f>IF(OR(EQ('Rate of Improvements'!D114, "Inf"), 'Rate of Improvements'!D114 &gt; 1), 1.1, 'Rate of Improvements'!D114)</f>
        <v>0</v>
      </c>
      <c r="E114" s="9">
        <f>IF(OR(EQ('Rate of Improvements'!E114, "Inf"), 'Rate of Improvements'!E114 &gt; 1), 1.1, 'Rate of Improvements'!E114)</f>
        <v>0</v>
      </c>
      <c r="F114" s="9">
        <f>IF(OR(EQ('Rate of Improvements'!F114, "Inf"), 'Rate of Improvements'!F114 &gt; 1), 1.1, 'Rate of Improvements'!F114)</f>
        <v>0</v>
      </c>
      <c r="G114" s="9">
        <f>IF(OR(EQ('Rate of Improvements'!G114, "Inf"), 'Rate of Improvements'!G114 &gt; 1), 1.1, 'Rate of Improvements'!G114)</f>
        <v>0</v>
      </c>
      <c r="H114" s="2">
        <f t="shared" ref="H114:J114" si="227">IF(OR(E114&gt;B114, And(EQ(E114, "Inf"), NOT(EQ(B114, "Inf")))), 1, 0)</f>
        <v>0</v>
      </c>
      <c r="I114" s="2">
        <f t="shared" si="227"/>
        <v>0</v>
      </c>
      <c r="J114" s="2">
        <f t="shared" si="227"/>
        <v>0</v>
      </c>
      <c r="K114" s="2">
        <f t="shared" ref="K114:M114" si="228">IF(OR(E114&lt;B114, And(EQ(B114, "Inf"), NOT(EQ(E114, "Inf")))), 1, 0)</f>
        <v>0</v>
      </c>
      <c r="L114" s="2">
        <f t="shared" si="228"/>
        <v>0</v>
      </c>
      <c r="M114" s="2">
        <f t="shared" si="228"/>
        <v>0</v>
      </c>
    </row>
    <row r="115">
      <c r="A115" s="52" t="s">
        <v>1183</v>
      </c>
      <c r="B115" s="9">
        <f>IF(OR(EQ('Rate of Improvements'!B115, "Inf"), 'Rate of Improvements'!B115 &gt; 1), 1.1, 'Rate of Improvements'!B115)</f>
        <v>0</v>
      </c>
      <c r="C115" s="9">
        <f>IF(OR(EQ('Rate of Improvements'!C115, "Inf"), 'Rate of Improvements'!C115 &gt; 1), 1.1, 'Rate of Improvements'!C115)</f>
        <v>0</v>
      </c>
      <c r="D115" s="9">
        <f>IF(OR(EQ('Rate of Improvements'!D115, "Inf"), 'Rate of Improvements'!D115 &gt; 1), 1.1, 'Rate of Improvements'!D115)</f>
        <v>0</v>
      </c>
      <c r="E115" s="9">
        <f>IF(OR(EQ('Rate of Improvements'!E115, "Inf"), 'Rate of Improvements'!E115 &gt; 1), 1.1, 'Rate of Improvements'!E115)</f>
        <v>0</v>
      </c>
      <c r="F115" s="9">
        <f>IF(OR(EQ('Rate of Improvements'!F115, "Inf"), 'Rate of Improvements'!F115 &gt; 1), 1.1, 'Rate of Improvements'!F115)</f>
        <v>0</v>
      </c>
      <c r="G115" s="9">
        <f>IF(OR(EQ('Rate of Improvements'!G115, "Inf"), 'Rate of Improvements'!G115 &gt; 1), 1.1, 'Rate of Improvements'!G115)</f>
        <v>0</v>
      </c>
      <c r="H115" s="2">
        <f t="shared" ref="H115:J115" si="229">IF(OR(E115&gt;B115, And(EQ(E115, "Inf"), NOT(EQ(B115, "Inf")))), 1, 0)</f>
        <v>0</v>
      </c>
      <c r="I115" s="2">
        <f t="shared" si="229"/>
        <v>0</v>
      </c>
      <c r="J115" s="2">
        <f t="shared" si="229"/>
        <v>0</v>
      </c>
      <c r="K115" s="2">
        <f t="shared" ref="K115:M115" si="230">IF(OR(E115&lt;B115, And(EQ(B115, "Inf"), NOT(EQ(E115, "Inf")))), 1, 0)</f>
        <v>0</v>
      </c>
      <c r="L115" s="2">
        <f t="shared" si="230"/>
        <v>0</v>
      </c>
      <c r="M115" s="2">
        <f t="shared" si="230"/>
        <v>0</v>
      </c>
    </row>
    <row r="116">
      <c r="A116" s="52" t="s">
        <v>1140</v>
      </c>
      <c r="B116" s="9">
        <f>IF(OR(EQ('Rate of Improvements'!B116, "Inf"), 'Rate of Improvements'!B116 &gt; 1), 1.1, 'Rate of Improvements'!B116)</f>
        <v>0</v>
      </c>
      <c r="C116" s="9">
        <f>IF(OR(EQ('Rate of Improvements'!C116, "Inf"), 'Rate of Improvements'!C116 &gt; 1), 1.1, 'Rate of Improvements'!C116)</f>
        <v>0</v>
      </c>
      <c r="D116" s="9">
        <f>IF(OR(EQ('Rate of Improvements'!D116, "Inf"), 'Rate of Improvements'!D116 &gt; 1), 1.1, 'Rate of Improvements'!D116)</f>
        <v>0</v>
      </c>
      <c r="E116" s="9">
        <f>IF(OR(EQ('Rate of Improvements'!E116, "Inf"), 'Rate of Improvements'!E116 &gt; 1), 1.1, 'Rate of Improvements'!E116)</f>
        <v>0.06875991349</v>
      </c>
      <c r="F116" s="9">
        <f>IF(OR(EQ('Rate of Improvements'!F116, "Inf"), 'Rate of Improvements'!F116 &gt; 1), 1.1, 'Rate of Improvements'!F116)</f>
        <v>0.1425453946</v>
      </c>
      <c r="G116" s="9">
        <f>IF(OR(EQ('Rate of Improvements'!G116, "Inf"), 'Rate of Improvements'!G116 &gt; 1), 1.1, 'Rate of Improvements'!G116)</f>
        <v>0.2218465331</v>
      </c>
      <c r="H116" s="2">
        <f t="shared" ref="H116:J116" si="231">IF(OR(E116&gt;B116, And(EQ(E116, "Inf"), NOT(EQ(B116, "Inf")))), 1, 0)</f>
        <v>1</v>
      </c>
      <c r="I116" s="2">
        <f t="shared" si="231"/>
        <v>1</v>
      </c>
      <c r="J116" s="2">
        <f t="shared" si="231"/>
        <v>1</v>
      </c>
      <c r="K116" s="2">
        <f t="shared" ref="K116:M116" si="232">IF(OR(E116&lt;B116, And(EQ(B116, "Inf"), NOT(EQ(E116, "Inf")))), 1, 0)</f>
        <v>0</v>
      </c>
      <c r="L116" s="2">
        <f t="shared" si="232"/>
        <v>0</v>
      </c>
      <c r="M116" s="2">
        <f t="shared" si="232"/>
        <v>0</v>
      </c>
    </row>
    <row r="117">
      <c r="A117" s="52" t="s">
        <v>1151</v>
      </c>
      <c r="B117" s="9">
        <f>IF(OR(EQ('Rate of Improvements'!B117, "Inf"), 'Rate of Improvements'!B117 &gt; 1), 1.1, 'Rate of Improvements'!B117)</f>
        <v>0</v>
      </c>
      <c r="C117" s="9">
        <f>IF(OR(EQ('Rate of Improvements'!C117, "Inf"), 'Rate of Improvements'!C117 &gt; 1), 1.1, 'Rate of Improvements'!C117)</f>
        <v>0</v>
      </c>
      <c r="D117" s="9">
        <f>IF(OR(EQ('Rate of Improvements'!D117, "Inf"), 'Rate of Improvements'!D117 &gt; 1), 1.1, 'Rate of Improvements'!D117)</f>
        <v>0</v>
      </c>
      <c r="E117" s="9">
        <f>IF(OR(EQ('Rate of Improvements'!E117, "Inf"), 'Rate of Improvements'!E117 &gt; 1), 1.1, 'Rate of Improvements'!E117)</f>
        <v>0</v>
      </c>
      <c r="F117" s="9">
        <f>IF(OR(EQ('Rate of Improvements'!F117, "Inf"), 'Rate of Improvements'!F117 &gt; 1), 1.1, 'Rate of Improvements'!F117)</f>
        <v>0</v>
      </c>
      <c r="G117" s="9">
        <f>IF(OR(EQ('Rate of Improvements'!G117, "Inf"), 'Rate of Improvements'!G117 &gt; 1), 1.1, 'Rate of Improvements'!G117)</f>
        <v>0</v>
      </c>
      <c r="H117" s="2">
        <f t="shared" ref="H117:J117" si="233">IF(OR(E117&gt;B117, And(EQ(E117, "Inf"), NOT(EQ(B117, "Inf")))), 1, 0)</f>
        <v>0</v>
      </c>
      <c r="I117" s="2">
        <f t="shared" si="233"/>
        <v>0</v>
      </c>
      <c r="J117" s="2">
        <f t="shared" si="233"/>
        <v>0</v>
      </c>
      <c r="K117" s="2">
        <f t="shared" ref="K117:M117" si="234">IF(OR(E117&lt;B117, And(EQ(B117, "Inf"), NOT(EQ(E117, "Inf")))), 1, 0)</f>
        <v>0</v>
      </c>
      <c r="L117" s="2">
        <f t="shared" si="234"/>
        <v>0</v>
      </c>
      <c r="M117" s="2">
        <f t="shared" si="234"/>
        <v>0</v>
      </c>
    </row>
    <row r="118">
      <c r="A118" s="52" t="s">
        <v>677</v>
      </c>
      <c r="B118" s="9">
        <f>IF(OR(EQ('Rate of Improvements'!B118, "Inf"), 'Rate of Improvements'!B118 &gt; 1), 1.1, 'Rate of Improvements'!B118)</f>
        <v>0</v>
      </c>
      <c r="C118" s="9">
        <f>IF(OR(EQ('Rate of Improvements'!C118, "Inf"), 'Rate of Improvements'!C118 &gt; 1), 1.1, 'Rate of Improvements'!C118)</f>
        <v>0</v>
      </c>
      <c r="D118" s="9">
        <f>IF(OR(EQ('Rate of Improvements'!D118, "Inf"), 'Rate of Improvements'!D118 &gt; 1), 1.1, 'Rate of Improvements'!D118)</f>
        <v>0</v>
      </c>
      <c r="E118" s="9">
        <f>IF(OR(EQ('Rate of Improvements'!E118, "Inf"), 'Rate of Improvements'!E118 &gt; 1), 1.1, 'Rate of Improvements'!E118)</f>
        <v>0</v>
      </c>
      <c r="F118" s="9">
        <f>IF(OR(EQ('Rate of Improvements'!F118, "Inf"), 'Rate of Improvements'!F118 &gt; 1), 1.1, 'Rate of Improvements'!F118)</f>
        <v>0</v>
      </c>
      <c r="G118" s="9">
        <f>IF(OR(EQ('Rate of Improvements'!G118, "Inf"), 'Rate of Improvements'!G118 &gt; 1), 1.1, 'Rate of Improvements'!G118)</f>
        <v>0</v>
      </c>
      <c r="H118" s="2">
        <f t="shared" ref="H118:J118" si="235">IF(OR(E118&gt;B118, And(EQ(E118, "Inf"), NOT(EQ(B118, "Inf")))), 1, 0)</f>
        <v>0</v>
      </c>
      <c r="I118" s="2">
        <f t="shared" si="235"/>
        <v>0</v>
      </c>
      <c r="J118" s="2">
        <f t="shared" si="235"/>
        <v>0</v>
      </c>
      <c r="K118" s="2">
        <f t="shared" ref="K118:M118" si="236">IF(OR(E118&lt;B118, And(EQ(B118, "Inf"), NOT(EQ(E118, "Inf")))), 1, 0)</f>
        <v>0</v>
      </c>
      <c r="L118" s="2">
        <f t="shared" si="236"/>
        <v>0</v>
      </c>
      <c r="M118" s="2">
        <f t="shared" si="236"/>
        <v>0</v>
      </c>
    </row>
    <row r="119">
      <c r="A119" s="52" t="s">
        <v>669</v>
      </c>
      <c r="B119" s="9">
        <f>IF(OR(EQ('Rate of Improvements'!B119, "Inf"), 'Rate of Improvements'!B119 &gt; 1), 1.1, 'Rate of Improvements'!B119)</f>
        <v>0</v>
      </c>
      <c r="C119" s="9">
        <f>IF(OR(EQ('Rate of Improvements'!C119, "Inf"), 'Rate of Improvements'!C119 &gt; 1), 1.1, 'Rate of Improvements'!C119)</f>
        <v>0</v>
      </c>
      <c r="D119" s="9">
        <f>IF(OR(EQ('Rate of Improvements'!D119, "Inf"), 'Rate of Improvements'!D119 &gt; 1), 1.1, 'Rate of Improvements'!D119)</f>
        <v>0</v>
      </c>
      <c r="E119" s="9">
        <f>IF(OR(EQ('Rate of Improvements'!E119, "Inf"), 'Rate of Improvements'!E119 &gt; 1), 1.1, 'Rate of Improvements'!E119)</f>
        <v>0</v>
      </c>
      <c r="F119" s="9">
        <f>IF(OR(EQ('Rate of Improvements'!F119, "Inf"), 'Rate of Improvements'!F119 &gt; 1), 1.1, 'Rate of Improvements'!F119)</f>
        <v>0</v>
      </c>
      <c r="G119" s="9">
        <f>IF(OR(EQ('Rate of Improvements'!G119, "Inf"), 'Rate of Improvements'!G119 &gt; 1), 1.1, 'Rate of Improvements'!G119)</f>
        <v>0</v>
      </c>
      <c r="H119" s="2">
        <f t="shared" ref="H119:J119" si="237">IF(OR(E119&gt;B119, And(EQ(E119, "Inf"), NOT(EQ(B119, "Inf")))), 1, 0)</f>
        <v>0</v>
      </c>
      <c r="I119" s="2">
        <f t="shared" si="237"/>
        <v>0</v>
      </c>
      <c r="J119" s="2">
        <f t="shared" si="237"/>
        <v>0</v>
      </c>
      <c r="K119" s="2">
        <f t="shared" ref="K119:M119" si="238">IF(OR(E119&lt;B119, And(EQ(B119, "Inf"), NOT(EQ(E119, "Inf")))), 1, 0)</f>
        <v>0</v>
      </c>
      <c r="L119" s="2">
        <f t="shared" si="238"/>
        <v>0</v>
      </c>
      <c r="M119" s="2">
        <f t="shared" si="238"/>
        <v>0</v>
      </c>
    </row>
    <row r="120">
      <c r="A120" s="72"/>
    </row>
    <row r="121">
      <c r="A121" s="72"/>
    </row>
    <row r="122">
      <c r="A122" s="72"/>
    </row>
    <row r="123">
      <c r="A123" s="72"/>
    </row>
    <row r="124">
      <c r="A124" s="72"/>
    </row>
    <row r="125">
      <c r="A125" s="72"/>
    </row>
    <row r="126">
      <c r="A126" s="72"/>
    </row>
    <row r="127">
      <c r="A127" s="72"/>
    </row>
    <row r="128">
      <c r="A128" s="72"/>
    </row>
    <row r="129">
      <c r="A129" s="72"/>
    </row>
    <row r="130">
      <c r="A130" s="72"/>
    </row>
    <row r="131">
      <c r="A131" s="72"/>
    </row>
    <row r="132">
      <c r="A132" s="72"/>
    </row>
    <row r="133">
      <c r="A133" s="72"/>
    </row>
    <row r="134">
      <c r="A134" s="72"/>
    </row>
    <row r="135">
      <c r="A135" s="72"/>
    </row>
    <row r="136">
      <c r="A136" s="72"/>
    </row>
    <row r="137">
      <c r="A137" s="72"/>
    </row>
    <row r="138">
      <c r="A138" s="72"/>
    </row>
    <row r="139">
      <c r="A139" s="72"/>
    </row>
    <row r="140">
      <c r="A140" s="72"/>
    </row>
    <row r="141">
      <c r="A141" s="72"/>
    </row>
    <row r="142">
      <c r="A142" s="72"/>
    </row>
    <row r="143">
      <c r="A143" s="72"/>
    </row>
    <row r="144">
      <c r="A144" s="72"/>
    </row>
    <row r="145">
      <c r="A145" s="72"/>
    </row>
    <row r="146">
      <c r="A146" s="72"/>
    </row>
    <row r="147">
      <c r="A147" s="72"/>
    </row>
    <row r="148">
      <c r="A148" s="72"/>
    </row>
    <row r="149">
      <c r="A149" s="72"/>
    </row>
    <row r="150">
      <c r="A150" s="72"/>
    </row>
    <row r="151">
      <c r="A151" s="72"/>
    </row>
    <row r="152">
      <c r="A152" s="72"/>
    </row>
    <row r="153">
      <c r="A153" s="72"/>
    </row>
    <row r="154">
      <c r="A154" s="72"/>
    </row>
    <row r="155">
      <c r="A155" s="72"/>
    </row>
    <row r="156">
      <c r="A156" s="72"/>
    </row>
    <row r="157">
      <c r="A157" s="72"/>
    </row>
    <row r="158">
      <c r="A158" s="72"/>
    </row>
    <row r="159">
      <c r="A159" s="72"/>
    </row>
    <row r="160">
      <c r="A160" s="72"/>
    </row>
    <row r="161">
      <c r="A161" s="72"/>
    </row>
    <row r="162">
      <c r="A162" s="72"/>
    </row>
    <row r="163">
      <c r="A163" s="72"/>
    </row>
    <row r="164">
      <c r="A164" s="72"/>
    </row>
    <row r="165">
      <c r="A165" s="72"/>
    </row>
    <row r="166">
      <c r="A166" s="72"/>
    </row>
    <row r="167">
      <c r="A167" s="72"/>
    </row>
    <row r="168">
      <c r="A168" s="72"/>
    </row>
    <row r="169">
      <c r="A169" s="72"/>
    </row>
    <row r="170">
      <c r="A170" s="72"/>
    </row>
    <row r="171">
      <c r="A171" s="72"/>
    </row>
    <row r="172">
      <c r="A172" s="72"/>
    </row>
    <row r="173">
      <c r="A173" s="72"/>
    </row>
    <row r="174">
      <c r="A174" s="72"/>
    </row>
    <row r="175">
      <c r="A175" s="72"/>
    </row>
    <row r="176">
      <c r="A176" s="72"/>
    </row>
    <row r="177">
      <c r="A177" s="72"/>
    </row>
    <row r="178">
      <c r="A178" s="72"/>
    </row>
    <row r="179">
      <c r="A179" s="72"/>
    </row>
    <row r="180">
      <c r="A180" s="72"/>
    </row>
    <row r="181">
      <c r="A181" s="72"/>
    </row>
    <row r="182">
      <c r="A182" s="72"/>
    </row>
    <row r="183">
      <c r="A183" s="72"/>
    </row>
    <row r="184">
      <c r="A184" s="72"/>
    </row>
    <row r="185">
      <c r="A185" s="72"/>
    </row>
    <row r="186">
      <c r="A186" s="72"/>
    </row>
    <row r="187">
      <c r="A187" s="72"/>
    </row>
    <row r="188">
      <c r="A188" s="72"/>
    </row>
    <row r="189">
      <c r="A189" s="72"/>
    </row>
    <row r="190">
      <c r="A190" s="72"/>
    </row>
    <row r="191">
      <c r="A191" s="72"/>
    </row>
    <row r="192">
      <c r="A192" s="72"/>
    </row>
    <row r="193">
      <c r="A193" s="72"/>
    </row>
    <row r="194">
      <c r="A194" s="72"/>
    </row>
    <row r="195">
      <c r="A195" s="72"/>
    </row>
    <row r="196">
      <c r="A196" s="72"/>
    </row>
    <row r="197">
      <c r="A197" s="72"/>
    </row>
    <row r="198">
      <c r="A198" s="72"/>
    </row>
    <row r="199">
      <c r="A199" s="72"/>
    </row>
    <row r="200">
      <c r="A200" s="72"/>
    </row>
    <row r="201">
      <c r="A201" s="72"/>
    </row>
    <row r="202">
      <c r="A202" s="72"/>
    </row>
    <row r="203">
      <c r="A203" s="72"/>
    </row>
    <row r="204">
      <c r="A204" s="72"/>
    </row>
    <row r="205">
      <c r="A205" s="72"/>
    </row>
    <row r="206">
      <c r="A206" s="72"/>
    </row>
    <row r="207">
      <c r="A207" s="72"/>
    </row>
    <row r="208">
      <c r="A208" s="72"/>
    </row>
    <row r="209">
      <c r="A209" s="72"/>
    </row>
    <row r="210">
      <c r="A210" s="72"/>
    </row>
    <row r="211">
      <c r="A211" s="72"/>
    </row>
    <row r="212">
      <c r="A212" s="72"/>
    </row>
    <row r="213">
      <c r="A213" s="72"/>
    </row>
    <row r="214">
      <c r="A214" s="72"/>
    </row>
    <row r="215">
      <c r="A215" s="72"/>
    </row>
    <row r="216">
      <c r="A216" s="72"/>
    </row>
    <row r="217">
      <c r="A217" s="72"/>
    </row>
    <row r="218">
      <c r="A218" s="72"/>
    </row>
    <row r="219">
      <c r="A219" s="72"/>
    </row>
    <row r="220">
      <c r="A220" s="72"/>
    </row>
    <row r="221">
      <c r="A221" s="72"/>
    </row>
    <row r="222">
      <c r="A222" s="72"/>
    </row>
    <row r="223">
      <c r="A223" s="72"/>
    </row>
    <row r="224">
      <c r="A224" s="72"/>
    </row>
    <row r="225">
      <c r="A225" s="72"/>
    </row>
    <row r="226">
      <c r="A226" s="72"/>
    </row>
    <row r="227">
      <c r="A227" s="72"/>
    </row>
    <row r="228">
      <c r="A228" s="72"/>
    </row>
    <row r="229">
      <c r="A229" s="72"/>
    </row>
    <row r="230">
      <c r="A230" s="72"/>
    </row>
    <row r="231">
      <c r="A231" s="72"/>
    </row>
    <row r="232">
      <c r="A232" s="72"/>
    </row>
    <row r="233">
      <c r="A233" s="72"/>
    </row>
    <row r="234">
      <c r="A234" s="72"/>
    </row>
    <row r="235">
      <c r="A235" s="72"/>
    </row>
    <row r="236">
      <c r="A236" s="72"/>
    </row>
    <row r="237">
      <c r="A237" s="72"/>
    </row>
    <row r="238">
      <c r="A238" s="72"/>
    </row>
    <row r="239">
      <c r="A239" s="72"/>
    </row>
    <row r="240">
      <c r="A240" s="72"/>
    </row>
    <row r="241">
      <c r="A241" s="72"/>
    </row>
    <row r="242">
      <c r="A242" s="72"/>
    </row>
    <row r="243">
      <c r="A243" s="72"/>
    </row>
    <row r="244">
      <c r="A244" s="72"/>
    </row>
    <row r="245">
      <c r="A245" s="72"/>
    </row>
    <row r="246">
      <c r="A246" s="72"/>
    </row>
    <row r="247">
      <c r="A247" s="72"/>
    </row>
    <row r="248">
      <c r="A248" s="72"/>
    </row>
    <row r="249">
      <c r="A249" s="72"/>
    </row>
    <row r="250">
      <c r="A250" s="72"/>
    </row>
    <row r="251">
      <c r="A251" s="72"/>
    </row>
    <row r="252">
      <c r="A252" s="72"/>
    </row>
    <row r="253">
      <c r="A253" s="72"/>
    </row>
    <row r="254">
      <c r="A254" s="72"/>
    </row>
    <row r="255">
      <c r="A255" s="72"/>
    </row>
    <row r="256">
      <c r="A256" s="72"/>
    </row>
    <row r="257">
      <c r="A257" s="72"/>
    </row>
    <row r="258">
      <c r="A258" s="72"/>
    </row>
    <row r="259">
      <c r="A259" s="72"/>
    </row>
    <row r="260">
      <c r="A260" s="72"/>
    </row>
    <row r="261">
      <c r="A261" s="72"/>
    </row>
    <row r="262">
      <c r="A262" s="72"/>
    </row>
    <row r="263">
      <c r="A263" s="72"/>
    </row>
    <row r="264">
      <c r="A264" s="72"/>
    </row>
    <row r="265">
      <c r="A265" s="72"/>
    </row>
    <row r="266">
      <c r="A266" s="72"/>
    </row>
    <row r="267">
      <c r="A267" s="72"/>
    </row>
    <row r="268">
      <c r="A268" s="72"/>
    </row>
    <row r="269">
      <c r="A269" s="72"/>
    </row>
    <row r="270">
      <c r="A270" s="72"/>
    </row>
    <row r="271">
      <c r="A271" s="72"/>
    </row>
    <row r="272">
      <c r="A272" s="72"/>
    </row>
    <row r="273">
      <c r="A273" s="72"/>
    </row>
    <row r="274">
      <c r="A274" s="72"/>
    </row>
    <row r="275">
      <c r="A275" s="72"/>
    </row>
    <row r="276">
      <c r="A276" s="72"/>
    </row>
    <row r="277">
      <c r="A277" s="72"/>
    </row>
    <row r="278">
      <c r="A278" s="72"/>
    </row>
    <row r="279">
      <c r="A279" s="72"/>
    </row>
    <row r="280">
      <c r="A280" s="72"/>
    </row>
    <row r="281">
      <c r="A281" s="72"/>
    </row>
    <row r="282">
      <c r="A282" s="72"/>
    </row>
    <row r="283">
      <c r="A283" s="72"/>
    </row>
    <row r="284">
      <c r="A284" s="72"/>
    </row>
    <row r="285">
      <c r="A285" s="72"/>
    </row>
    <row r="286">
      <c r="A286" s="72"/>
    </row>
    <row r="287">
      <c r="A287" s="72"/>
    </row>
    <row r="288">
      <c r="A288" s="72"/>
    </row>
    <row r="289">
      <c r="A289" s="72"/>
    </row>
    <row r="290">
      <c r="A290" s="72"/>
    </row>
    <row r="291">
      <c r="A291" s="72"/>
    </row>
    <row r="292">
      <c r="A292" s="72"/>
    </row>
    <row r="293">
      <c r="A293" s="72"/>
    </row>
    <row r="294">
      <c r="A294" s="72"/>
    </row>
    <row r="295">
      <c r="A295" s="72"/>
    </row>
    <row r="296">
      <c r="A296" s="72"/>
    </row>
    <row r="297">
      <c r="A297" s="72"/>
    </row>
    <row r="298">
      <c r="A298" s="72"/>
    </row>
    <row r="299">
      <c r="A299" s="72"/>
    </row>
    <row r="300">
      <c r="A300" s="72"/>
    </row>
    <row r="301">
      <c r="A301" s="72"/>
    </row>
    <row r="302">
      <c r="A302" s="72"/>
    </row>
    <row r="303">
      <c r="A303" s="72"/>
    </row>
    <row r="304">
      <c r="A304" s="72"/>
    </row>
    <row r="305">
      <c r="A305" s="72"/>
    </row>
    <row r="306">
      <c r="A306" s="72"/>
    </row>
    <row r="307">
      <c r="A307" s="72"/>
    </row>
    <row r="308">
      <c r="A308" s="72"/>
    </row>
    <row r="309">
      <c r="A309" s="72"/>
    </row>
    <row r="310">
      <c r="A310" s="72"/>
    </row>
    <row r="311">
      <c r="A311" s="72"/>
    </row>
    <row r="312">
      <c r="A312" s="72"/>
    </row>
    <row r="313">
      <c r="A313" s="72"/>
    </row>
    <row r="314">
      <c r="A314" s="72"/>
    </row>
    <row r="315">
      <c r="A315" s="72"/>
    </row>
    <row r="316">
      <c r="A316" s="72"/>
    </row>
    <row r="317">
      <c r="A317" s="72"/>
    </row>
    <row r="318">
      <c r="A318" s="72"/>
    </row>
    <row r="319">
      <c r="A319" s="72"/>
    </row>
    <row r="320">
      <c r="A320" s="72"/>
    </row>
    <row r="321">
      <c r="A321" s="72"/>
    </row>
    <row r="322">
      <c r="A322" s="72"/>
    </row>
    <row r="323">
      <c r="A323" s="72"/>
    </row>
    <row r="324">
      <c r="A324" s="72"/>
    </row>
    <row r="325">
      <c r="A325" s="72"/>
    </row>
    <row r="326">
      <c r="A326" s="72"/>
    </row>
    <row r="327">
      <c r="A327" s="72"/>
    </row>
    <row r="328">
      <c r="A328" s="72"/>
    </row>
    <row r="329">
      <c r="A329" s="72"/>
    </row>
    <row r="330">
      <c r="A330" s="72"/>
    </row>
    <row r="331">
      <c r="A331" s="72"/>
    </row>
    <row r="332">
      <c r="A332" s="72"/>
    </row>
    <row r="333">
      <c r="A333" s="72"/>
    </row>
    <row r="334">
      <c r="A334" s="72"/>
    </row>
    <row r="335">
      <c r="A335" s="72"/>
    </row>
    <row r="336">
      <c r="A336" s="72"/>
    </row>
    <row r="337">
      <c r="A337" s="72"/>
    </row>
    <row r="338">
      <c r="A338" s="72"/>
    </row>
    <row r="339">
      <c r="A339" s="72"/>
    </row>
    <row r="340">
      <c r="A340" s="72"/>
    </row>
    <row r="341">
      <c r="A341" s="72"/>
    </row>
    <row r="342">
      <c r="A342" s="72"/>
    </row>
    <row r="343">
      <c r="A343" s="72"/>
    </row>
    <row r="344">
      <c r="A344" s="72"/>
    </row>
    <row r="345">
      <c r="A345" s="72"/>
    </row>
    <row r="346">
      <c r="A346" s="72"/>
    </row>
    <row r="347">
      <c r="A347" s="72"/>
    </row>
    <row r="348">
      <c r="A348" s="72"/>
    </row>
    <row r="349">
      <c r="A349" s="72"/>
    </row>
    <row r="350">
      <c r="A350" s="72"/>
    </row>
    <row r="351">
      <c r="A351" s="72"/>
    </row>
    <row r="352">
      <c r="A352" s="72"/>
    </row>
    <row r="353">
      <c r="A353" s="72"/>
    </row>
    <row r="354">
      <c r="A354" s="72"/>
    </row>
    <row r="355">
      <c r="A355" s="72"/>
    </row>
    <row r="356">
      <c r="A356" s="72"/>
    </row>
    <row r="357">
      <c r="A357" s="72"/>
    </row>
    <row r="358">
      <c r="A358" s="72"/>
    </row>
    <row r="359">
      <c r="A359" s="72"/>
    </row>
    <row r="360">
      <c r="A360" s="72"/>
    </row>
    <row r="361">
      <c r="A361" s="72"/>
    </row>
    <row r="362">
      <c r="A362" s="72"/>
    </row>
    <row r="363">
      <c r="A363" s="72"/>
    </row>
    <row r="364">
      <c r="A364" s="72"/>
    </row>
    <row r="365">
      <c r="A365" s="72"/>
    </row>
    <row r="366">
      <c r="A366" s="72"/>
    </row>
    <row r="367">
      <c r="A367" s="72"/>
    </row>
    <row r="368">
      <c r="A368" s="72"/>
    </row>
    <row r="369">
      <c r="A369" s="72"/>
    </row>
    <row r="370">
      <c r="A370" s="72"/>
    </row>
    <row r="371">
      <c r="A371" s="72"/>
    </row>
    <row r="372">
      <c r="A372" s="72"/>
    </row>
    <row r="373">
      <c r="A373" s="72"/>
    </row>
    <row r="374">
      <c r="A374" s="72"/>
    </row>
    <row r="375">
      <c r="A375" s="72"/>
    </row>
    <row r="376">
      <c r="A376" s="72"/>
    </row>
    <row r="377">
      <c r="A377" s="72"/>
    </row>
    <row r="378">
      <c r="A378" s="72"/>
    </row>
    <row r="379">
      <c r="A379" s="72"/>
    </row>
    <row r="380">
      <c r="A380" s="72"/>
    </row>
    <row r="381">
      <c r="A381" s="72"/>
    </row>
    <row r="382">
      <c r="A382" s="72"/>
    </row>
    <row r="383">
      <c r="A383" s="72"/>
    </row>
    <row r="384">
      <c r="A384" s="72"/>
    </row>
    <row r="385">
      <c r="A385" s="72"/>
    </row>
    <row r="386">
      <c r="A386" s="72"/>
    </row>
    <row r="387">
      <c r="A387" s="72"/>
    </row>
    <row r="388">
      <c r="A388" s="72"/>
    </row>
    <row r="389">
      <c r="A389" s="72"/>
    </row>
    <row r="390">
      <c r="A390" s="72"/>
    </row>
    <row r="391">
      <c r="A391" s="72"/>
    </row>
    <row r="392">
      <c r="A392" s="72"/>
    </row>
    <row r="393">
      <c r="A393" s="72"/>
    </row>
    <row r="394">
      <c r="A394" s="72"/>
    </row>
    <row r="395">
      <c r="A395" s="72"/>
    </row>
    <row r="396">
      <c r="A396" s="72"/>
    </row>
    <row r="397">
      <c r="A397" s="72"/>
    </row>
    <row r="398">
      <c r="A398" s="72"/>
    </row>
    <row r="399">
      <c r="A399" s="72"/>
    </row>
    <row r="400">
      <c r="A400" s="72"/>
    </row>
    <row r="401">
      <c r="A401" s="72"/>
    </row>
    <row r="402">
      <c r="A402" s="72"/>
    </row>
    <row r="403">
      <c r="A403" s="72"/>
    </row>
    <row r="404">
      <c r="A404" s="72"/>
    </row>
    <row r="405">
      <c r="A405" s="72"/>
    </row>
    <row r="406">
      <c r="A406" s="72"/>
    </row>
    <row r="407">
      <c r="A407" s="72"/>
    </row>
    <row r="408">
      <c r="A408" s="72"/>
    </row>
    <row r="409">
      <c r="A409" s="72"/>
    </row>
    <row r="410">
      <c r="A410" s="72"/>
    </row>
    <row r="411">
      <c r="A411" s="72"/>
    </row>
    <row r="412">
      <c r="A412" s="72"/>
    </row>
    <row r="413">
      <c r="A413" s="72"/>
    </row>
    <row r="414">
      <c r="A414" s="72"/>
    </row>
    <row r="415">
      <c r="A415" s="72"/>
    </row>
    <row r="416">
      <c r="A416" s="72"/>
    </row>
    <row r="417">
      <c r="A417" s="72"/>
    </row>
    <row r="418">
      <c r="A418" s="72"/>
    </row>
    <row r="419">
      <c r="A419" s="72"/>
    </row>
    <row r="420">
      <c r="A420" s="72"/>
    </row>
    <row r="421">
      <c r="A421" s="72"/>
    </row>
    <row r="422">
      <c r="A422" s="72"/>
    </row>
    <row r="423">
      <c r="A423" s="72"/>
    </row>
    <row r="424">
      <c r="A424" s="72"/>
    </row>
    <row r="425">
      <c r="A425" s="72"/>
    </row>
    <row r="426">
      <c r="A426" s="72"/>
    </row>
    <row r="427">
      <c r="A427" s="72"/>
    </row>
    <row r="428">
      <c r="A428" s="72"/>
    </row>
    <row r="429">
      <c r="A429" s="72"/>
    </row>
    <row r="430">
      <c r="A430" s="72"/>
    </row>
    <row r="431">
      <c r="A431" s="72"/>
    </row>
    <row r="432">
      <c r="A432" s="72"/>
    </row>
    <row r="433">
      <c r="A433" s="72"/>
    </row>
    <row r="434">
      <c r="A434" s="72"/>
    </row>
    <row r="435">
      <c r="A435" s="72"/>
    </row>
    <row r="436">
      <c r="A436" s="72"/>
    </row>
    <row r="437">
      <c r="A437" s="72"/>
    </row>
    <row r="438">
      <c r="A438" s="72"/>
    </row>
    <row r="439">
      <c r="A439" s="72"/>
    </row>
    <row r="440">
      <c r="A440" s="72"/>
    </row>
    <row r="441">
      <c r="A441" s="72"/>
    </row>
    <row r="442">
      <c r="A442" s="72"/>
    </row>
    <row r="443">
      <c r="A443" s="72"/>
    </row>
    <row r="444">
      <c r="A444" s="72"/>
    </row>
    <row r="445">
      <c r="A445" s="72"/>
    </row>
    <row r="446">
      <c r="A446" s="72"/>
    </row>
    <row r="447">
      <c r="A447" s="72"/>
    </row>
    <row r="448">
      <c r="A448" s="72"/>
    </row>
    <row r="449">
      <c r="A449" s="72"/>
    </row>
    <row r="450">
      <c r="A450" s="72"/>
    </row>
    <row r="451">
      <c r="A451" s="72"/>
    </row>
    <row r="452">
      <c r="A452" s="72"/>
    </row>
    <row r="453">
      <c r="A453" s="72"/>
    </row>
    <row r="454">
      <c r="A454" s="72"/>
    </row>
    <row r="455">
      <c r="A455" s="72"/>
    </row>
    <row r="456">
      <c r="A456" s="72"/>
    </row>
    <row r="457">
      <c r="A457" s="72"/>
    </row>
    <row r="458">
      <c r="A458" s="72"/>
    </row>
    <row r="459">
      <c r="A459" s="72"/>
    </row>
    <row r="460">
      <c r="A460" s="72"/>
    </row>
    <row r="461">
      <c r="A461" s="72"/>
    </row>
    <row r="462">
      <c r="A462" s="72"/>
    </row>
    <row r="463">
      <c r="A463" s="72"/>
    </row>
    <row r="464">
      <c r="A464" s="72"/>
    </row>
    <row r="465">
      <c r="A465" s="72"/>
    </row>
    <row r="466">
      <c r="A466" s="72"/>
    </row>
    <row r="467">
      <c r="A467" s="72"/>
    </row>
    <row r="468">
      <c r="A468" s="72"/>
    </row>
    <row r="469">
      <c r="A469" s="72"/>
    </row>
    <row r="470">
      <c r="A470" s="72"/>
    </row>
    <row r="471">
      <c r="A471" s="72"/>
    </row>
    <row r="472">
      <c r="A472" s="72"/>
    </row>
    <row r="473">
      <c r="A473" s="72"/>
    </row>
    <row r="474">
      <c r="A474" s="72"/>
    </row>
    <row r="475">
      <c r="A475" s="72"/>
    </row>
    <row r="476">
      <c r="A476" s="72"/>
    </row>
    <row r="477">
      <c r="A477" s="72"/>
    </row>
    <row r="478">
      <c r="A478" s="72"/>
    </row>
    <row r="479">
      <c r="A479" s="72"/>
    </row>
    <row r="480">
      <c r="A480" s="72"/>
    </row>
    <row r="481">
      <c r="A481" s="72"/>
    </row>
    <row r="482">
      <c r="A482" s="72"/>
    </row>
    <row r="483">
      <c r="A483" s="72"/>
    </row>
    <row r="484">
      <c r="A484" s="72"/>
    </row>
    <row r="485">
      <c r="A485" s="72"/>
    </row>
    <row r="486">
      <c r="A486" s="72"/>
    </row>
    <row r="487">
      <c r="A487" s="72"/>
    </row>
    <row r="488">
      <c r="A488" s="72"/>
    </row>
    <row r="489">
      <c r="A489" s="72"/>
    </row>
    <row r="490">
      <c r="A490" s="72"/>
    </row>
    <row r="491">
      <c r="A491" s="72"/>
    </row>
    <row r="492">
      <c r="A492" s="72"/>
    </row>
    <row r="493">
      <c r="A493" s="72"/>
    </row>
    <row r="494">
      <c r="A494" s="72"/>
    </row>
    <row r="495">
      <c r="A495" s="72"/>
    </row>
    <row r="496">
      <c r="A496" s="72"/>
    </row>
    <row r="497">
      <c r="A497" s="72"/>
    </row>
    <row r="498">
      <c r="A498" s="72"/>
    </row>
    <row r="499">
      <c r="A499" s="72"/>
    </row>
    <row r="500">
      <c r="A500" s="72"/>
    </row>
    <row r="501">
      <c r="A501" s="72"/>
    </row>
    <row r="502">
      <c r="A502" s="72"/>
    </row>
    <row r="503">
      <c r="A503" s="72"/>
    </row>
    <row r="504">
      <c r="A504" s="72"/>
    </row>
    <row r="505">
      <c r="A505" s="72"/>
    </row>
    <row r="506">
      <c r="A506" s="72"/>
    </row>
    <row r="507">
      <c r="A507" s="72"/>
    </row>
    <row r="508">
      <c r="A508" s="72"/>
    </row>
    <row r="509">
      <c r="A509" s="72"/>
    </row>
    <row r="510">
      <c r="A510" s="72"/>
    </row>
    <row r="511">
      <c r="A511" s="72"/>
    </row>
    <row r="512">
      <c r="A512" s="72"/>
    </row>
    <row r="513">
      <c r="A513" s="72"/>
    </row>
    <row r="514">
      <c r="A514" s="72"/>
    </row>
    <row r="515">
      <c r="A515" s="72"/>
    </row>
    <row r="516">
      <c r="A516" s="72"/>
    </row>
    <row r="517">
      <c r="A517" s="72"/>
    </row>
    <row r="518">
      <c r="A518" s="72"/>
    </row>
    <row r="519">
      <c r="A519" s="72"/>
    </row>
    <row r="520">
      <c r="A520" s="72"/>
    </row>
    <row r="521">
      <c r="A521" s="72"/>
    </row>
    <row r="522">
      <c r="A522" s="72"/>
    </row>
    <row r="523">
      <c r="A523" s="72"/>
    </row>
    <row r="524">
      <c r="A524" s="72"/>
    </row>
    <row r="525">
      <c r="A525" s="72"/>
    </row>
    <row r="526">
      <c r="A526" s="72"/>
    </row>
    <row r="527">
      <c r="A527" s="72"/>
    </row>
    <row r="528">
      <c r="A528" s="72"/>
    </row>
    <row r="529">
      <c r="A529" s="72"/>
    </row>
    <row r="530">
      <c r="A530" s="72"/>
    </row>
    <row r="531">
      <c r="A531" s="72"/>
    </row>
    <row r="532">
      <c r="A532" s="72"/>
    </row>
    <row r="533">
      <c r="A533" s="72"/>
    </row>
    <row r="534">
      <c r="A534" s="72"/>
    </row>
    <row r="535">
      <c r="A535" s="72"/>
    </row>
    <row r="536">
      <c r="A536" s="72"/>
    </row>
    <row r="537">
      <c r="A537" s="72"/>
    </row>
    <row r="538">
      <c r="A538" s="72"/>
    </row>
    <row r="539">
      <c r="A539" s="72"/>
    </row>
    <row r="540">
      <c r="A540" s="72"/>
    </row>
    <row r="541">
      <c r="A541" s="72"/>
    </row>
    <row r="542">
      <c r="A542" s="72"/>
    </row>
    <row r="543">
      <c r="A543" s="72"/>
    </row>
    <row r="544">
      <c r="A544" s="72"/>
    </row>
    <row r="545">
      <c r="A545" s="72"/>
    </row>
    <row r="546">
      <c r="A546" s="72"/>
    </row>
    <row r="547">
      <c r="A547" s="72"/>
    </row>
    <row r="548">
      <c r="A548" s="72"/>
    </row>
    <row r="549">
      <c r="A549" s="72"/>
    </row>
    <row r="550">
      <c r="A550" s="72"/>
    </row>
    <row r="551">
      <c r="A551" s="72"/>
    </row>
    <row r="552">
      <c r="A552" s="72"/>
    </row>
    <row r="553">
      <c r="A553" s="72"/>
    </row>
    <row r="554">
      <c r="A554" s="72"/>
    </row>
    <row r="555">
      <c r="A555" s="72"/>
    </row>
    <row r="556">
      <c r="A556" s="72"/>
    </row>
    <row r="557">
      <c r="A557" s="72"/>
    </row>
    <row r="558">
      <c r="A558" s="72"/>
    </row>
    <row r="559">
      <c r="A559" s="72"/>
    </row>
    <row r="560">
      <c r="A560" s="72"/>
    </row>
    <row r="561">
      <c r="A561" s="72"/>
    </row>
    <row r="562">
      <c r="A562" s="72"/>
    </row>
    <row r="563">
      <c r="A563" s="72"/>
    </row>
    <row r="564">
      <c r="A564" s="72"/>
    </row>
    <row r="565">
      <c r="A565" s="72"/>
    </row>
    <row r="566">
      <c r="A566" s="72"/>
    </row>
    <row r="567">
      <c r="A567" s="72"/>
    </row>
    <row r="568">
      <c r="A568" s="72"/>
    </row>
    <row r="569">
      <c r="A569" s="72"/>
    </row>
    <row r="570">
      <c r="A570" s="72"/>
    </row>
    <row r="571">
      <c r="A571" s="72"/>
    </row>
    <row r="572">
      <c r="A572" s="72"/>
    </row>
    <row r="573">
      <c r="A573" s="72"/>
    </row>
    <row r="574">
      <c r="A574" s="72"/>
    </row>
    <row r="575">
      <c r="A575" s="72"/>
    </row>
    <row r="576">
      <c r="A576" s="72"/>
    </row>
    <row r="577">
      <c r="A577" s="72"/>
    </row>
    <row r="578">
      <c r="A578" s="72"/>
    </row>
    <row r="579">
      <c r="A579" s="72"/>
    </row>
    <row r="580">
      <c r="A580" s="72"/>
    </row>
    <row r="581">
      <c r="A581" s="72"/>
    </row>
    <row r="582">
      <c r="A582" s="72"/>
    </row>
    <row r="583">
      <c r="A583" s="72"/>
    </row>
    <row r="584">
      <c r="A584" s="72"/>
    </row>
    <row r="585">
      <c r="A585" s="72"/>
    </row>
    <row r="586">
      <c r="A586" s="72"/>
    </row>
    <row r="587">
      <c r="A587" s="72"/>
    </row>
    <row r="588">
      <c r="A588" s="72"/>
    </row>
    <row r="589">
      <c r="A589" s="72"/>
    </row>
    <row r="590">
      <c r="A590" s="72"/>
    </row>
    <row r="591">
      <c r="A591" s="72"/>
    </row>
    <row r="592">
      <c r="A592" s="72"/>
    </row>
    <row r="593">
      <c r="A593" s="72"/>
    </row>
    <row r="594">
      <c r="A594" s="72"/>
    </row>
    <row r="595">
      <c r="A595" s="72"/>
    </row>
    <row r="596">
      <c r="A596" s="72"/>
    </row>
    <row r="597">
      <c r="A597" s="72"/>
    </row>
    <row r="598">
      <c r="A598" s="72"/>
    </row>
    <row r="599">
      <c r="A599" s="72"/>
    </row>
    <row r="600">
      <c r="A600" s="72"/>
    </row>
    <row r="601">
      <c r="A601" s="72"/>
    </row>
    <row r="602">
      <c r="A602" s="72"/>
    </row>
    <row r="603">
      <c r="A603" s="72"/>
    </row>
    <row r="604">
      <c r="A604" s="72"/>
    </row>
    <row r="605">
      <c r="A605" s="72"/>
    </row>
    <row r="606">
      <c r="A606" s="72"/>
    </row>
    <row r="607">
      <c r="A607" s="72"/>
    </row>
    <row r="608">
      <c r="A608" s="72"/>
    </row>
    <row r="609">
      <c r="A609" s="72"/>
    </row>
    <row r="610">
      <c r="A610" s="72"/>
    </row>
    <row r="611">
      <c r="A611" s="72"/>
    </row>
    <row r="612">
      <c r="A612" s="72"/>
    </row>
    <row r="613">
      <c r="A613" s="72"/>
    </row>
    <row r="614">
      <c r="A614" s="72"/>
    </row>
    <row r="615">
      <c r="A615" s="72"/>
    </row>
    <row r="616">
      <c r="A616" s="72"/>
    </row>
    <row r="617">
      <c r="A617" s="72"/>
    </row>
    <row r="618">
      <c r="A618" s="72"/>
    </row>
    <row r="619">
      <c r="A619" s="72"/>
    </row>
    <row r="620">
      <c r="A620" s="72"/>
    </row>
    <row r="621">
      <c r="A621" s="72"/>
    </row>
    <row r="622">
      <c r="A622" s="72"/>
    </row>
    <row r="623">
      <c r="A623" s="72"/>
    </row>
    <row r="624">
      <c r="A624" s="72"/>
    </row>
    <row r="625">
      <c r="A625" s="72"/>
    </row>
    <row r="626">
      <c r="A626" s="72"/>
    </row>
    <row r="627">
      <c r="A627" s="72"/>
    </row>
    <row r="628">
      <c r="A628" s="72"/>
    </row>
    <row r="629">
      <c r="A629" s="72"/>
    </row>
    <row r="630">
      <c r="A630" s="72"/>
    </row>
    <row r="631">
      <c r="A631" s="72"/>
    </row>
    <row r="632">
      <c r="A632" s="72"/>
    </row>
    <row r="633">
      <c r="A633" s="72"/>
    </row>
    <row r="634">
      <c r="A634" s="72"/>
    </row>
    <row r="635">
      <c r="A635" s="72"/>
    </row>
    <row r="636">
      <c r="A636" s="72"/>
    </row>
    <row r="637">
      <c r="A637" s="72"/>
    </row>
    <row r="638">
      <c r="A638" s="72"/>
    </row>
    <row r="639">
      <c r="A639" s="72"/>
    </row>
    <row r="640">
      <c r="A640" s="72"/>
    </row>
    <row r="641">
      <c r="A641" s="72"/>
    </row>
    <row r="642">
      <c r="A642" s="72"/>
    </row>
    <row r="643">
      <c r="A643" s="72"/>
    </row>
    <row r="644">
      <c r="A644" s="72"/>
    </row>
    <row r="645">
      <c r="A645" s="72"/>
    </row>
    <row r="646">
      <c r="A646" s="72"/>
    </row>
    <row r="647">
      <c r="A647" s="72"/>
    </row>
    <row r="648">
      <c r="A648" s="72"/>
    </row>
    <row r="649">
      <c r="A649" s="72"/>
    </row>
    <row r="650">
      <c r="A650" s="72"/>
    </row>
    <row r="651">
      <c r="A651" s="72"/>
    </row>
    <row r="652">
      <c r="A652" s="72"/>
    </row>
    <row r="653">
      <c r="A653" s="72"/>
    </row>
    <row r="654">
      <c r="A654" s="72"/>
    </row>
    <row r="655">
      <c r="A655" s="72"/>
    </row>
    <row r="656">
      <c r="A656" s="72"/>
    </row>
    <row r="657">
      <c r="A657" s="72"/>
    </row>
    <row r="658">
      <c r="A658" s="72"/>
    </row>
    <row r="659">
      <c r="A659" s="72"/>
    </row>
    <row r="660">
      <c r="A660" s="72"/>
    </row>
    <row r="661">
      <c r="A661" s="72"/>
    </row>
    <row r="662">
      <c r="A662" s="72"/>
    </row>
    <row r="663">
      <c r="A663" s="72"/>
    </row>
    <row r="664">
      <c r="A664" s="72"/>
    </row>
    <row r="665">
      <c r="A665" s="72"/>
    </row>
    <row r="666">
      <c r="A666" s="72"/>
    </row>
    <row r="667">
      <c r="A667" s="72"/>
    </row>
    <row r="668">
      <c r="A668" s="72"/>
    </row>
    <row r="669">
      <c r="A669" s="72"/>
    </row>
    <row r="670">
      <c r="A670" s="72"/>
    </row>
    <row r="671">
      <c r="A671" s="72"/>
    </row>
    <row r="672">
      <c r="A672" s="72"/>
    </row>
    <row r="673">
      <c r="A673" s="72"/>
    </row>
    <row r="674">
      <c r="A674" s="72"/>
    </row>
    <row r="675">
      <c r="A675" s="72"/>
    </row>
    <row r="676">
      <c r="A676" s="72"/>
    </row>
    <row r="677">
      <c r="A677" s="72"/>
    </row>
    <row r="678">
      <c r="A678" s="72"/>
    </row>
    <row r="679">
      <c r="A679" s="72"/>
    </row>
    <row r="680">
      <c r="A680" s="72"/>
    </row>
    <row r="681">
      <c r="A681" s="72"/>
    </row>
    <row r="682">
      <c r="A682" s="72"/>
    </row>
    <row r="683">
      <c r="A683" s="72"/>
    </row>
    <row r="684">
      <c r="A684" s="72"/>
    </row>
    <row r="685">
      <c r="A685" s="72"/>
    </row>
    <row r="686">
      <c r="A686" s="72"/>
    </row>
    <row r="687">
      <c r="A687" s="72"/>
    </row>
    <row r="688">
      <c r="A688" s="72"/>
    </row>
    <row r="689">
      <c r="A689" s="72"/>
    </row>
    <row r="690">
      <c r="A690" s="72"/>
    </row>
    <row r="691">
      <c r="A691" s="72"/>
    </row>
    <row r="692">
      <c r="A692" s="72"/>
    </row>
    <row r="693">
      <c r="A693" s="72"/>
    </row>
    <row r="694">
      <c r="A694" s="72"/>
    </row>
    <row r="695">
      <c r="A695" s="72"/>
    </row>
    <row r="696">
      <c r="A696" s="72"/>
    </row>
    <row r="697">
      <c r="A697" s="72"/>
    </row>
    <row r="698">
      <c r="A698" s="72"/>
    </row>
    <row r="699">
      <c r="A699" s="72"/>
    </row>
    <row r="700">
      <c r="A700" s="72"/>
    </row>
    <row r="701">
      <c r="A701" s="72"/>
    </row>
    <row r="702">
      <c r="A702" s="72"/>
    </row>
    <row r="703">
      <c r="A703" s="72"/>
    </row>
    <row r="704">
      <c r="A704" s="72"/>
    </row>
    <row r="705">
      <c r="A705" s="72"/>
    </row>
    <row r="706">
      <c r="A706" s="72"/>
    </row>
    <row r="707">
      <c r="A707" s="72"/>
    </row>
    <row r="708">
      <c r="A708" s="72"/>
    </row>
    <row r="709">
      <c r="A709" s="72"/>
    </row>
    <row r="710">
      <c r="A710" s="72"/>
    </row>
    <row r="711">
      <c r="A711" s="72"/>
    </row>
    <row r="712">
      <c r="A712" s="72"/>
    </row>
    <row r="713">
      <c r="A713" s="72"/>
    </row>
    <row r="714">
      <c r="A714" s="72"/>
    </row>
    <row r="715">
      <c r="A715" s="72"/>
    </row>
    <row r="716">
      <c r="A716" s="72"/>
    </row>
    <row r="717">
      <c r="A717" s="72"/>
    </row>
    <row r="718">
      <c r="A718" s="72"/>
    </row>
    <row r="719">
      <c r="A719" s="72"/>
    </row>
    <row r="720">
      <c r="A720" s="72"/>
    </row>
    <row r="721">
      <c r="A721" s="72"/>
    </row>
    <row r="722">
      <c r="A722" s="72"/>
    </row>
    <row r="723">
      <c r="A723" s="72"/>
    </row>
    <row r="724">
      <c r="A724" s="72"/>
    </row>
    <row r="725">
      <c r="A725" s="72"/>
    </row>
    <row r="726">
      <c r="A726" s="72"/>
    </row>
    <row r="727">
      <c r="A727" s="72"/>
    </row>
    <row r="728">
      <c r="A728" s="72"/>
    </row>
    <row r="729">
      <c r="A729" s="72"/>
    </row>
    <row r="730">
      <c r="A730" s="72"/>
    </row>
    <row r="731">
      <c r="A731" s="72"/>
    </row>
    <row r="732">
      <c r="A732" s="72"/>
    </row>
    <row r="733">
      <c r="A733" s="72"/>
    </row>
    <row r="734">
      <c r="A734" s="72"/>
    </row>
    <row r="735">
      <c r="A735" s="72"/>
    </row>
    <row r="736">
      <c r="A736" s="72"/>
    </row>
    <row r="737">
      <c r="A737" s="72"/>
    </row>
    <row r="738">
      <c r="A738" s="72"/>
    </row>
    <row r="739">
      <c r="A739" s="72"/>
    </row>
    <row r="740">
      <c r="A740" s="72"/>
    </row>
    <row r="741">
      <c r="A741" s="72"/>
    </row>
    <row r="742">
      <c r="A742" s="72"/>
    </row>
    <row r="743">
      <c r="A743" s="72"/>
    </row>
    <row r="744">
      <c r="A744" s="72"/>
    </row>
    <row r="745">
      <c r="A745" s="72"/>
    </row>
    <row r="746">
      <c r="A746" s="72"/>
    </row>
    <row r="747">
      <c r="A747" s="72"/>
    </row>
    <row r="748">
      <c r="A748" s="72"/>
    </row>
    <row r="749">
      <c r="A749" s="72"/>
    </row>
    <row r="750">
      <c r="A750" s="72"/>
    </row>
    <row r="751">
      <c r="A751" s="72"/>
    </row>
    <row r="752">
      <c r="A752" s="72"/>
    </row>
    <row r="753">
      <c r="A753" s="72"/>
    </row>
    <row r="754">
      <c r="A754" s="72"/>
    </row>
    <row r="755">
      <c r="A755" s="72"/>
    </row>
    <row r="756">
      <c r="A756" s="72"/>
    </row>
    <row r="757">
      <c r="A757" s="72"/>
    </row>
    <row r="758">
      <c r="A758" s="72"/>
    </row>
    <row r="759">
      <c r="A759" s="72"/>
    </row>
    <row r="760">
      <c r="A760" s="72"/>
    </row>
    <row r="761">
      <c r="A761" s="72"/>
    </row>
    <row r="762">
      <c r="A762" s="72"/>
    </row>
    <row r="763">
      <c r="A763" s="72"/>
    </row>
    <row r="764">
      <c r="A764" s="72"/>
    </row>
    <row r="765">
      <c r="A765" s="72"/>
    </row>
    <row r="766">
      <c r="A766" s="72"/>
    </row>
    <row r="767">
      <c r="A767" s="72"/>
    </row>
    <row r="768">
      <c r="A768" s="72"/>
    </row>
    <row r="769">
      <c r="A769" s="72"/>
    </row>
    <row r="770">
      <c r="A770" s="72"/>
    </row>
    <row r="771">
      <c r="A771" s="72"/>
    </row>
    <row r="772">
      <c r="A772" s="72"/>
    </row>
    <row r="773">
      <c r="A773" s="72"/>
    </row>
    <row r="774">
      <c r="A774" s="72"/>
    </row>
    <row r="775">
      <c r="A775" s="72"/>
    </row>
    <row r="776">
      <c r="A776" s="72"/>
    </row>
    <row r="777">
      <c r="A777" s="72"/>
    </row>
    <row r="778">
      <c r="A778" s="72"/>
    </row>
    <row r="779">
      <c r="A779" s="72"/>
    </row>
    <row r="780">
      <c r="A780" s="72"/>
    </row>
    <row r="781">
      <c r="A781" s="72"/>
    </row>
    <row r="782">
      <c r="A782" s="72"/>
    </row>
    <row r="783">
      <c r="A783" s="72"/>
    </row>
    <row r="784">
      <c r="A784" s="72"/>
    </row>
    <row r="785">
      <c r="A785" s="72"/>
    </row>
    <row r="786">
      <c r="A786" s="72"/>
    </row>
    <row r="787">
      <c r="A787" s="72"/>
    </row>
    <row r="788">
      <c r="A788" s="72"/>
    </row>
    <row r="789">
      <c r="A789" s="72"/>
    </row>
    <row r="790">
      <c r="A790" s="72"/>
    </row>
    <row r="791">
      <c r="A791" s="72"/>
    </row>
    <row r="792">
      <c r="A792" s="72"/>
    </row>
    <row r="793">
      <c r="A793" s="72"/>
    </row>
    <row r="794">
      <c r="A794" s="72"/>
    </row>
    <row r="795">
      <c r="A795" s="72"/>
    </row>
    <row r="796">
      <c r="A796" s="72"/>
    </row>
    <row r="797">
      <c r="A797" s="72"/>
    </row>
    <row r="798">
      <c r="A798" s="72"/>
    </row>
    <row r="799">
      <c r="A799" s="72"/>
    </row>
    <row r="800">
      <c r="A800" s="72"/>
    </row>
    <row r="801">
      <c r="A801" s="72"/>
    </row>
    <row r="802">
      <c r="A802" s="72"/>
    </row>
    <row r="803">
      <c r="A803" s="72"/>
    </row>
    <row r="804">
      <c r="A804" s="72"/>
    </row>
    <row r="805">
      <c r="A805" s="72"/>
    </row>
    <row r="806">
      <c r="A806" s="72"/>
    </row>
    <row r="807">
      <c r="A807" s="72"/>
    </row>
    <row r="808">
      <c r="A808" s="72"/>
    </row>
    <row r="809">
      <c r="A809" s="72"/>
    </row>
    <row r="810">
      <c r="A810" s="72"/>
    </row>
    <row r="811">
      <c r="A811" s="72"/>
    </row>
    <row r="812">
      <c r="A812" s="72"/>
    </row>
    <row r="813">
      <c r="A813" s="72"/>
    </row>
    <row r="814">
      <c r="A814" s="72"/>
    </row>
    <row r="815">
      <c r="A815" s="72"/>
    </row>
    <row r="816">
      <c r="A816" s="72"/>
    </row>
    <row r="817">
      <c r="A817" s="72"/>
    </row>
    <row r="818">
      <c r="A818" s="72"/>
    </row>
    <row r="819">
      <c r="A819" s="72"/>
    </row>
    <row r="820">
      <c r="A820" s="72"/>
    </row>
    <row r="821">
      <c r="A821" s="72"/>
    </row>
    <row r="822">
      <c r="A822" s="72"/>
    </row>
    <row r="823">
      <c r="A823" s="72"/>
    </row>
    <row r="824">
      <c r="A824" s="72"/>
    </row>
    <row r="825">
      <c r="A825" s="72"/>
    </row>
    <row r="826">
      <c r="A826" s="72"/>
    </row>
    <row r="827">
      <c r="A827" s="72"/>
    </row>
    <row r="828">
      <c r="A828" s="72"/>
    </row>
    <row r="829">
      <c r="A829" s="72"/>
    </row>
    <row r="830">
      <c r="A830" s="72"/>
    </row>
    <row r="831">
      <c r="A831" s="72"/>
    </row>
    <row r="832">
      <c r="A832" s="72"/>
    </row>
    <row r="833">
      <c r="A833" s="72"/>
    </row>
    <row r="834">
      <c r="A834" s="72"/>
    </row>
    <row r="835">
      <c r="A835" s="72"/>
    </row>
    <row r="836">
      <c r="A836" s="72"/>
    </row>
    <row r="837">
      <c r="A837" s="72"/>
    </row>
    <row r="838">
      <c r="A838" s="72"/>
    </row>
    <row r="839">
      <c r="A839" s="72"/>
    </row>
    <row r="840">
      <c r="A840" s="72"/>
    </row>
    <row r="841">
      <c r="A841" s="72"/>
    </row>
    <row r="842">
      <c r="A842" s="72"/>
    </row>
    <row r="843">
      <c r="A843" s="72"/>
    </row>
    <row r="844">
      <c r="A844" s="72"/>
    </row>
    <row r="845">
      <c r="A845" s="72"/>
    </row>
    <row r="846">
      <c r="A846" s="72"/>
    </row>
    <row r="847">
      <c r="A847" s="72"/>
    </row>
    <row r="848">
      <c r="A848" s="72"/>
    </row>
    <row r="849">
      <c r="A849" s="72"/>
    </row>
    <row r="850">
      <c r="A850" s="72"/>
    </row>
    <row r="851">
      <c r="A851" s="72"/>
    </row>
    <row r="852">
      <c r="A852" s="72"/>
    </row>
    <row r="853">
      <c r="A853" s="72"/>
    </row>
    <row r="854">
      <c r="A854" s="72"/>
    </row>
    <row r="855">
      <c r="A855" s="72"/>
    </row>
    <row r="856">
      <c r="A856" s="72"/>
    </row>
    <row r="857">
      <c r="A857" s="72"/>
    </row>
    <row r="858">
      <c r="A858" s="72"/>
    </row>
    <row r="859">
      <c r="A859" s="72"/>
    </row>
    <row r="860">
      <c r="A860" s="72"/>
    </row>
    <row r="861">
      <c r="A861" s="72"/>
    </row>
    <row r="862">
      <c r="A862" s="72"/>
    </row>
    <row r="863">
      <c r="A863" s="72"/>
    </row>
    <row r="864">
      <c r="A864" s="72"/>
    </row>
    <row r="865">
      <c r="A865" s="72"/>
    </row>
    <row r="866">
      <c r="A866" s="72"/>
    </row>
    <row r="867">
      <c r="A867" s="72"/>
    </row>
    <row r="868">
      <c r="A868" s="72"/>
    </row>
    <row r="869">
      <c r="A869" s="72"/>
    </row>
    <row r="870">
      <c r="A870" s="72"/>
    </row>
    <row r="871">
      <c r="A871" s="72"/>
    </row>
    <row r="872">
      <c r="A872" s="72"/>
    </row>
    <row r="873">
      <c r="A873" s="72"/>
    </row>
    <row r="874">
      <c r="A874" s="72"/>
    </row>
    <row r="875">
      <c r="A875" s="72"/>
    </row>
    <row r="876">
      <c r="A876" s="72"/>
    </row>
    <row r="877">
      <c r="A877" s="72"/>
    </row>
    <row r="878">
      <c r="A878" s="72"/>
    </row>
    <row r="879">
      <c r="A879" s="72"/>
    </row>
    <row r="880">
      <c r="A880" s="72"/>
    </row>
    <row r="881">
      <c r="A881" s="72"/>
    </row>
    <row r="882">
      <c r="A882" s="72"/>
    </row>
    <row r="883">
      <c r="A883" s="72"/>
    </row>
    <row r="884">
      <c r="A884" s="72"/>
    </row>
    <row r="885">
      <c r="A885" s="72"/>
    </row>
    <row r="886">
      <c r="A886" s="72"/>
    </row>
    <row r="887">
      <c r="A887" s="72"/>
    </row>
    <row r="888">
      <c r="A888" s="72"/>
    </row>
    <row r="889">
      <c r="A889" s="72"/>
    </row>
    <row r="890">
      <c r="A890" s="72"/>
    </row>
    <row r="891">
      <c r="A891" s="72"/>
    </row>
    <row r="892">
      <c r="A892" s="72"/>
    </row>
    <row r="893">
      <c r="A893" s="72"/>
    </row>
    <row r="894">
      <c r="A894" s="72"/>
    </row>
    <row r="895">
      <c r="A895" s="72"/>
    </row>
    <row r="896">
      <c r="A896" s="72"/>
    </row>
    <row r="897">
      <c r="A897" s="72"/>
    </row>
    <row r="898">
      <c r="A898" s="72"/>
    </row>
    <row r="899">
      <c r="A899" s="72"/>
    </row>
    <row r="900">
      <c r="A900" s="72"/>
    </row>
    <row r="901">
      <c r="A901" s="72"/>
    </row>
    <row r="902">
      <c r="A902" s="72"/>
    </row>
    <row r="903">
      <c r="A903" s="72"/>
    </row>
    <row r="904">
      <c r="A904" s="72"/>
    </row>
    <row r="905">
      <c r="A905" s="72"/>
    </row>
    <row r="906">
      <c r="A906" s="72"/>
    </row>
    <row r="907">
      <c r="A907" s="72"/>
    </row>
    <row r="908">
      <c r="A908" s="72"/>
    </row>
    <row r="909">
      <c r="A909" s="72"/>
    </row>
    <row r="910">
      <c r="A910" s="72"/>
    </row>
    <row r="911">
      <c r="A911" s="72"/>
    </row>
    <row r="912">
      <c r="A912" s="72"/>
    </row>
    <row r="913">
      <c r="A913" s="72"/>
    </row>
    <row r="914">
      <c r="A914" s="72"/>
    </row>
    <row r="915">
      <c r="A915" s="72"/>
    </row>
    <row r="916">
      <c r="A916" s="72"/>
    </row>
    <row r="917">
      <c r="A917" s="72"/>
    </row>
    <row r="918">
      <c r="A918" s="72"/>
    </row>
    <row r="919">
      <c r="A919" s="72"/>
    </row>
    <row r="920">
      <c r="A920" s="72"/>
    </row>
    <row r="921">
      <c r="A921" s="72"/>
    </row>
    <row r="922">
      <c r="A922" s="72"/>
    </row>
    <row r="923">
      <c r="A923" s="72"/>
    </row>
    <row r="924">
      <c r="A924" s="72"/>
    </row>
    <row r="925">
      <c r="A925" s="72"/>
    </row>
    <row r="926">
      <c r="A926" s="72"/>
    </row>
    <row r="927">
      <c r="A927" s="72"/>
    </row>
    <row r="928">
      <c r="A928" s="72"/>
    </row>
    <row r="929">
      <c r="A929" s="72"/>
    </row>
    <row r="930">
      <c r="A930" s="72"/>
    </row>
    <row r="931">
      <c r="A931" s="72"/>
    </row>
    <row r="932">
      <c r="A932" s="72"/>
    </row>
    <row r="933">
      <c r="A933" s="72"/>
    </row>
    <row r="934">
      <c r="A934" s="72"/>
    </row>
    <row r="935">
      <c r="A935" s="72"/>
    </row>
    <row r="936">
      <c r="A936" s="72"/>
    </row>
    <row r="937">
      <c r="A937" s="72"/>
    </row>
    <row r="938">
      <c r="A938" s="72"/>
    </row>
    <row r="939">
      <c r="A939" s="72"/>
    </row>
    <row r="940">
      <c r="A940" s="72"/>
    </row>
    <row r="941">
      <c r="A941" s="72"/>
    </row>
    <row r="942">
      <c r="A942" s="72"/>
    </row>
    <row r="943">
      <c r="A943" s="72"/>
    </row>
    <row r="944">
      <c r="A944" s="72"/>
    </row>
    <row r="945">
      <c r="A945" s="72"/>
    </row>
    <row r="946">
      <c r="A946" s="72"/>
    </row>
    <row r="947">
      <c r="A947" s="72"/>
    </row>
    <row r="948">
      <c r="A948" s="72"/>
    </row>
    <row r="949">
      <c r="A949" s="72"/>
    </row>
    <row r="950">
      <c r="A950" s="72"/>
    </row>
    <row r="951">
      <c r="A951" s="72"/>
    </row>
    <row r="952">
      <c r="A952" s="72"/>
    </row>
    <row r="953">
      <c r="A953" s="72"/>
    </row>
    <row r="954">
      <c r="A954" s="72"/>
    </row>
    <row r="955">
      <c r="A955" s="72"/>
    </row>
    <row r="956">
      <c r="A956" s="72"/>
    </row>
    <row r="957">
      <c r="A957" s="72"/>
    </row>
    <row r="958">
      <c r="A958" s="72"/>
    </row>
    <row r="959">
      <c r="A959" s="72"/>
    </row>
    <row r="960">
      <c r="A960" s="72"/>
    </row>
    <row r="961">
      <c r="A961" s="72"/>
    </row>
    <row r="962">
      <c r="A962" s="72"/>
    </row>
    <row r="963">
      <c r="A963" s="72"/>
    </row>
    <row r="964">
      <c r="A964" s="72"/>
    </row>
    <row r="965">
      <c r="A965" s="72"/>
    </row>
    <row r="966">
      <c r="A966" s="72"/>
    </row>
    <row r="967">
      <c r="A967" s="72"/>
    </row>
    <row r="968">
      <c r="A968" s="72"/>
    </row>
    <row r="969">
      <c r="A969" s="72"/>
    </row>
    <row r="970">
      <c r="A970" s="72"/>
    </row>
    <row r="971">
      <c r="A971" s="72"/>
    </row>
    <row r="972">
      <c r="A972" s="72"/>
    </row>
    <row r="973">
      <c r="A973" s="72"/>
    </row>
    <row r="974">
      <c r="A974" s="72"/>
    </row>
    <row r="975">
      <c r="A975" s="72"/>
    </row>
    <row r="976">
      <c r="A976" s="72"/>
    </row>
    <row r="977">
      <c r="A977" s="72"/>
    </row>
    <row r="978">
      <c r="A978" s="72"/>
    </row>
    <row r="979">
      <c r="A979" s="72"/>
    </row>
    <row r="980">
      <c r="A980" s="72"/>
    </row>
    <row r="981">
      <c r="A981" s="72"/>
    </row>
    <row r="982">
      <c r="A982" s="72"/>
    </row>
    <row r="983">
      <c r="A983" s="72"/>
    </row>
    <row r="984">
      <c r="A984" s="72"/>
    </row>
    <row r="985">
      <c r="A985" s="72"/>
    </row>
    <row r="986">
      <c r="A986" s="72"/>
    </row>
    <row r="987">
      <c r="A987" s="72"/>
    </row>
    <row r="988">
      <c r="A988" s="72"/>
    </row>
    <row r="989">
      <c r="A989" s="72"/>
    </row>
    <row r="990">
      <c r="A990" s="72"/>
    </row>
    <row r="991">
      <c r="A991" s="72"/>
    </row>
    <row r="992">
      <c r="A992" s="72"/>
    </row>
    <row r="993">
      <c r="A993" s="72"/>
    </row>
    <row r="994">
      <c r="A994" s="72"/>
    </row>
    <row r="995">
      <c r="A995" s="72"/>
    </row>
    <row r="996">
      <c r="A996" s="72"/>
    </row>
    <row r="997">
      <c r="A997" s="72"/>
    </row>
    <row r="998">
      <c r="A998" s="72"/>
    </row>
    <row r="999">
      <c r="A999" s="72"/>
    </row>
    <row r="1000">
      <c r="A1000" s="72"/>
    </row>
    <row r="1001">
      <c r="A1001" s="7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400" t="s">
        <v>8624</v>
      </c>
      <c r="B1" s="401" t="s">
        <v>2</v>
      </c>
      <c r="C1" s="401" t="s">
        <v>0</v>
      </c>
      <c r="D1" s="402" t="s">
        <v>3</v>
      </c>
      <c r="E1" s="401" t="s">
        <v>1696</v>
      </c>
      <c r="F1" s="401" t="s">
        <v>1704</v>
      </c>
      <c r="G1" s="401" t="s">
        <v>1705</v>
      </c>
      <c r="H1" s="401" t="s">
        <v>1706</v>
      </c>
    </row>
    <row r="2">
      <c r="A2" s="111" t="s">
        <v>8625</v>
      </c>
      <c r="B2" s="242">
        <v>7.0</v>
      </c>
      <c r="C2" s="173" t="s">
        <v>1261</v>
      </c>
      <c r="D2" s="210" t="s">
        <v>1276</v>
      </c>
      <c r="E2" s="98">
        <v>90.0</v>
      </c>
      <c r="F2" s="69" t="s">
        <v>3711</v>
      </c>
      <c r="G2" s="98">
        <v>1986.0</v>
      </c>
      <c r="H2" s="208" t="s">
        <v>3712</v>
      </c>
    </row>
    <row r="3">
      <c r="A3" s="111" t="s">
        <v>8625</v>
      </c>
      <c r="B3" s="242">
        <v>7.0</v>
      </c>
      <c r="C3" s="173" t="s">
        <v>1261</v>
      </c>
      <c r="D3" s="210" t="s">
        <v>1276</v>
      </c>
      <c r="E3" s="98">
        <v>91.0</v>
      </c>
      <c r="F3" s="69" t="s">
        <v>3715</v>
      </c>
      <c r="G3" s="98">
        <v>1999.0</v>
      </c>
      <c r="H3" s="183" t="s">
        <v>3716</v>
      </c>
    </row>
    <row r="4">
      <c r="A4" s="111" t="s">
        <v>8625</v>
      </c>
      <c r="B4" s="242">
        <v>7.0</v>
      </c>
      <c r="C4" s="173" t="s">
        <v>1261</v>
      </c>
      <c r="D4" s="210" t="s">
        <v>1276</v>
      </c>
      <c r="E4" s="98">
        <v>92.0</v>
      </c>
      <c r="F4" s="69" t="s">
        <v>3718</v>
      </c>
      <c r="G4" s="98">
        <v>1998.0</v>
      </c>
      <c r="H4" s="183" t="s">
        <v>3719</v>
      </c>
    </row>
    <row r="5">
      <c r="A5" s="111" t="s">
        <v>8625</v>
      </c>
      <c r="B5" s="242">
        <v>7.0</v>
      </c>
      <c r="C5" s="173" t="s">
        <v>1261</v>
      </c>
      <c r="D5" s="210" t="s">
        <v>1276</v>
      </c>
      <c r="E5" s="98">
        <v>93.0</v>
      </c>
      <c r="F5" s="69" t="s">
        <v>3721</v>
      </c>
      <c r="G5" s="98">
        <v>1988.0</v>
      </c>
      <c r="H5" s="183" t="s">
        <v>3722</v>
      </c>
    </row>
    <row r="6">
      <c r="A6" s="111" t="s">
        <v>8625</v>
      </c>
      <c r="B6" s="242">
        <v>40.0</v>
      </c>
      <c r="C6" s="173" t="s">
        <v>568</v>
      </c>
      <c r="D6" s="210"/>
      <c r="E6" s="98">
        <v>359.0</v>
      </c>
      <c r="F6" s="69" t="s">
        <v>4141</v>
      </c>
      <c r="G6" s="98">
        <v>1980.0</v>
      </c>
      <c r="H6" s="183" t="s">
        <v>2529</v>
      </c>
    </row>
    <row r="7">
      <c r="A7" s="111" t="s">
        <v>8625</v>
      </c>
      <c r="B7" s="242">
        <v>40.0</v>
      </c>
      <c r="C7" s="173" t="s">
        <v>568</v>
      </c>
      <c r="D7" s="210"/>
      <c r="E7" s="98">
        <v>360.0</v>
      </c>
      <c r="F7" s="69" t="s">
        <v>4144</v>
      </c>
      <c r="G7" s="98">
        <v>2004.0</v>
      </c>
      <c r="H7" s="183" t="s">
        <v>4145</v>
      </c>
      <c r="M7" s="83"/>
    </row>
    <row r="8">
      <c r="A8" s="111" t="s">
        <v>8625</v>
      </c>
      <c r="B8" s="242">
        <v>54.0</v>
      </c>
      <c r="C8" s="173" t="s">
        <v>669</v>
      </c>
      <c r="D8" s="210"/>
      <c r="E8" s="98">
        <v>446.0</v>
      </c>
      <c r="F8" s="69" t="s">
        <v>4379</v>
      </c>
      <c r="G8" s="98">
        <v>1980.0</v>
      </c>
      <c r="H8" s="183" t="s">
        <v>4380</v>
      </c>
      <c r="M8" s="83"/>
    </row>
    <row r="9">
      <c r="A9" s="111" t="s">
        <v>8625</v>
      </c>
      <c r="B9" s="98">
        <v>59.0</v>
      </c>
      <c r="C9" s="69" t="s">
        <v>709</v>
      </c>
      <c r="D9" s="210"/>
      <c r="E9" s="98">
        <v>473.0</v>
      </c>
      <c r="F9" s="69" t="s">
        <v>4491</v>
      </c>
      <c r="G9" s="98">
        <v>2006.0</v>
      </c>
      <c r="H9" s="208" t="s">
        <v>4492</v>
      </c>
    </row>
    <row r="10">
      <c r="A10" s="111" t="s">
        <v>8625</v>
      </c>
      <c r="B10" s="98">
        <v>103.0</v>
      </c>
      <c r="C10" s="69" t="s">
        <v>1035</v>
      </c>
      <c r="D10" s="210" t="s">
        <v>1035</v>
      </c>
      <c r="E10" s="98">
        <v>807.0</v>
      </c>
      <c r="F10" s="69" t="s">
        <v>5323</v>
      </c>
      <c r="G10" s="98">
        <v>1996.0</v>
      </c>
      <c r="H10" s="183" t="s">
        <v>5324</v>
      </c>
    </row>
    <row r="11">
      <c r="A11" s="111" t="s">
        <v>8626</v>
      </c>
      <c r="B11" s="98">
        <v>98.0</v>
      </c>
      <c r="C11" s="69" t="s">
        <v>1002</v>
      </c>
      <c r="D11" s="210" t="s">
        <v>1003</v>
      </c>
      <c r="E11" s="98">
        <v>772.0</v>
      </c>
      <c r="F11" s="69" t="s">
        <v>2584</v>
      </c>
      <c r="G11" s="98">
        <v>2006.0</v>
      </c>
      <c r="H11" s="183" t="s">
        <v>2585</v>
      </c>
    </row>
    <row r="12">
      <c r="A12" s="111" t="s">
        <v>8626</v>
      </c>
      <c r="B12" s="98">
        <v>61.0</v>
      </c>
      <c r="C12" s="69" t="s">
        <v>743</v>
      </c>
      <c r="D12" s="210"/>
      <c r="E12" s="98">
        <v>493.0</v>
      </c>
      <c r="F12" s="69" t="s">
        <v>3430</v>
      </c>
      <c r="G12" s="98">
        <v>2002.0</v>
      </c>
      <c r="H12" s="183" t="s">
        <v>3431</v>
      </c>
    </row>
    <row r="13">
      <c r="A13" s="111" t="s">
        <v>8626</v>
      </c>
      <c r="B13" s="98">
        <v>5.0</v>
      </c>
      <c r="C13" s="69" t="s">
        <v>76</v>
      </c>
      <c r="D13" s="210"/>
      <c r="E13" s="98">
        <v>64.0</v>
      </c>
      <c r="F13" s="69" t="s">
        <v>3708</v>
      </c>
      <c r="G13" s="98">
        <v>1987.0</v>
      </c>
      <c r="H13" s="183" t="s">
        <v>3709</v>
      </c>
    </row>
    <row r="14">
      <c r="A14" s="111" t="s">
        <v>8626</v>
      </c>
      <c r="B14" s="242">
        <v>7.0</v>
      </c>
      <c r="C14" s="173" t="s">
        <v>1261</v>
      </c>
      <c r="D14" s="210" t="s">
        <v>1276</v>
      </c>
      <c r="E14" s="98">
        <v>94.0</v>
      </c>
      <c r="F14" s="69" t="s">
        <v>3724</v>
      </c>
      <c r="G14" s="98">
        <v>1997.0</v>
      </c>
      <c r="H14" s="183" t="s">
        <v>3725</v>
      </c>
    </row>
    <row r="15">
      <c r="A15" s="111" t="s">
        <v>8626</v>
      </c>
      <c r="B15" s="242">
        <v>12.0</v>
      </c>
      <c r="C15" s="173" t="s">
        <v>213</v>
      </c>
      <c r="D15" s="210"/>
      <c r="E15" s="98">
        <v>133.0</v>
      </c>
      <c r="F15" s="69" t="s">
        <v>3726</v>
      </c>
      <c r="G15" s="98">
        <v>1984.0</v>
      </c>
      <c r="H15" s="183" t="s">
        <v>3727</v>
      </c>
    </row>
    <row r="16">
      <c r="A16" s="111" t="s">
        <v>8626</v>
      </c>
      <c r="B16" s="98">
        <v>31.0</v>
      </c>
      <c r="C16" s="69" t="s">
        <v>491</v>
      </c>
      <c r="D16" s="210" t="s">
        <v>497</v>
      </c>
      <c r="E16" s="98">
        <v>309.0</v>
      </c>
      <c r="F16" s="69" t="s">
        <v>3927</v>
      </c>
      <c r="G16" s="98">
        <v>2006.0</v>
      </c>
      <c r="H16" s="183" t="s">
        <v>3928</v>
      </c>
    </row>
    <row r="17">
      <c r="A17" s="111" t="s">
        <v>8626</v>
      </c>
      <c r="B17" s="98">
        <v>31.0</v>
      </c>
      <c r="C17" s="69" t="s">
        <v>491</v>
      </c>
      <c r="D17" s="210" t="s">
        <v>497</v>
      </c>
      <c r="E17" s="98">
        <v>310.0</v>
      </c>
      <c r="F17" s="69" t="s">
        <v>3932</v>
      </c>
      <c r="G17" s="98">
        <v>2003.0</v>
      </c>
      <c r="H17" s="183" t="s">
        <v>3933</v>
      </c>
    </row>
    <row r="18">
      <c r="A18" s="111" t="s">
        <v>8626</v>
      </c>
      <c r="B18" s="98">
        <v>31.0</v>
      </c>
      <c r="C18" s="69" t="s">
        <v>491</v>
      </c>
      <c r="D18" s="210"/>
      <c r="E18" s="98">
        <v>315.0</v>
      </c>
      <c r="F18" s="69" t="s">
        <v>3957</v>
      </c>
      <c r="G18" s="98">
        <v>2000.0</v>
      </c>
      <c r="H18" s="183" t="s">
        <v>3958</v>
      </c>
    </row>
    <row r="19">
      <c r="A19" s="111" t="s">
        <v>8626</v>
      </c>
      <c r="B19" s="98">
        <v>39.0</v>
      </c>
      <c r="C19" s="69" t="s">
        <v>556</v>
      </c>
      <c r="D19" s="210" t="s">
        <v>4117</v>
      </c>
      <c r="E19" s="98">
        <v>356.0</v>
      </c>
      <c r="F19" s="69" t="s">
        <v>4126</v>
      </c>
      <c r="G19" s="98">
        <v>2003.0</v>
      </c>
      <c r="H19" s="183" t="s">
        <v>4127</v>
      </c>
      <c r="I19" s="9" t="s">
        <v>8627</v>
      </c>
    </row>
    <row r="20">
      <c r="A20" s="111" t="s">
        <v>8626</v>
      </c>
      <c r="B20" s="242">
        <v>61.0</v>
      </c>
      <c r="C20" s="173" t="s">
        <v>743</v>
      </c>
      <c r="D20" s="210" t="s">
        <v>744</v>
      </c>
      <c r="E20" s="98">
        <v>487.0</v>
      </c>
      <c r="F20" s="69" t="s">
        <v>4556</v>
      </c>
      <c r="G20" s="98">
        <v>1991.0</v>
      </c>
      <c r="H20" s="183" t="s">
        <v>4557</v>
      </c>
    </row>
    <row r="21">
      <c r="A21" s="111" t="s">
        <v>8626</v>
      </c>
      <c r="B21" s="98">
        <v>70.0</v>
      </c>
      <c r="C21" s="69" t="s">
        <v>784</v>
      </c>
      <c r="D21" s="210" t="s">
        <v>791</v>
      </c>
      <c r="E21" s="98">
        <v>567.0</v>
      </c>
      <c r="F21" s="69" t="s">
        <v>4682</v>
      </c>
      <c r="G21" s="98">
        <v>1977.0</v>
      </c>
      <c r="H21" s="183" t="s">
        <v>4683</v>
      </c>
    </row>
    <row r="22">
      <c r="A22" s="111" t="s">
        <v>8626</v>
      </c>
      <c r="B22" s="98">
        <v>96.0</v>
      </c>
      <c r="C22" s="69" t="s">
        <v>994</v>
      </c>
      <c r="D22" s="210" t="s">
        <v>994</v>
      </c>
      <c r="E22" s="98">
        <v>755.0</v>
      </c>
      <c r="F22" s="69" t="s">
        <v>5158</v>
      </c>
      <c r="G22" s="98">
        <v>1959.0</v>
      </c>
      <c r="H22" s="198"/>
    </row>
    <row r="23">
      <c r="A23" s="111" t="s">
        <v>8626</v>
      </c>
      <c r="B23" s="98">
        <v>96.0</v>
      </c>
      <c r="C23" s="69" t="s">
        <v>994</v>
      </c>
      <c r="D23" s="210" t="s">
        <v>994</v>
      </c>
      <c r="E23" s="98">
        <v>756.0</v>
      </c>
      <c r="F23" s="69" t="s">
        <v>5158</v>
      </c>
      <c r="G23" s="98">
        <v>1960.0</v>
      </c>
      <c r="H23" s="198"/>
    </row>
    <row r="24">
      <c r="A24" s="111" t="s">
        <v>8626</v>
      </c>
      <c r="B24" s="98">
        <v>96.0</v>
      </c>
      <c r="C24" s="69" t="s">
        <v>994</v>
      </c>
      <c r="D24" s="210" t="s">
        <v>994</v>
      </c>
      <c r="E24" s="98">
        <v>758.0</v>
      </c>
      <c r="F24" s="69" t="s">
        <v>5162</v>
      </c>
      <c r="G24" s="98">
        <v>1969.0</v>
      </c>
      <c r="H24" s="208" t="s">
        <v>5163</v>
      </c>
    </row>
    <row r="25">
      <c r="A25" s="111" t="s">
        <v>8626</v>
      </c>
      <c r="B25" s="98">
        <v>96.0</v>
      </c>
      <c r="C25" s="69" t="s">
        <v>994</v>
      </c>
      <c r="D25" s="210" t="s">
        <v>994</v>
      </c>
      <c r="E25" s="98">
        <v>762.0</v>
      </c>
      <c r="F25" s="69" t="s">
        <v>5172</v>
      </c>
      <c r="G25" s="98">
        <v>1999.0</v>
      </c>
      <c r="H25" s="217" t="s">
        <v>5173</v>
      </c>
    </row>
    <row r="26">
      <c r="A26" s="111" t="s">
        <v>8626</v>
      </c>
      <c r="B26" s="98">
        <v>98.0</v>
      </c>
      <c r="C26" s="173" t="s">
        <v>1002</v>
      </c>
      <c r="D26" s="210"/>
      <c r="E26" s="98">
        <v>769.0</v>
      </c>
      <c r="F26" s="69" t="s">
        <v>5190</v>
      </c>
      <c r="G26" s="98">
        <v>1994.0</v>
      </c>
      <c r="H26" s="183" t="s">
        <v>5191</v>
      </c>
    </row>
    <row r="27">
      <c r="A27" s="111" t="s">
        <v>8626</v>
      </c>
      <c r="B27" s="98">
        <v>98.0</v>
      </c>
      <c r="C27" s="173" t="s">
        <v>1002</v>
      </c>
      <c r="D27" s="210"/>
      <c r="E27" s="98">
        <v>770.0</v>
      </c>
      <c r="F27" s="69" t="s">
        <v>5192</v>
      </c>
      <c r="G27" s="98">
        <v>1998.0</v>
      </c>
      <c r="H27" s="183" t="s">
        <v>5193</v>
      </c>
    </row>
    <row r="28">
      <c r="A28" s="111" t="s">
        <v>8626</v>
      </c>
      <c r="B28" s="98">
        <v>98.0</v>
      </c>
      <c r="C28" s="173" t="s">
        <v>1002</v>
      </c>
      <c r="D28" s="210"/>
      <c r="E28" s="98">
        <v>771.0</v>
      </c>
      <c r="F28" s="69" t="s">
        <v>5195</v>
      </c>
      <c r="G28" s="98">
        <v>1997.0</v>
      </c>
      <c r="H28" s="183" t="s">
        <v>5196</v>
      </c>
    </row>
    <row r="29">
      <c r="A29" s="111" t="s">
        <v>8626</v>
      </c>
      <c r="B29" s="98">
        <v>98.0</v>
      </c>
      <c r="C29" s="173" t="s">
        <v>1002</v>
      </c>
      <c r="D29" s="210"/>
      <c r="E29" s="98">
        <v>773.0</v>
      </c>
      <c r="F29" s="69" t="s">
        <v>5200</v>
      </c>
      <c r="G29" s="98">
        <v>2013.0</v>
      </c>
      <c r="H29" s="183" t="s">
        <v>5201</v>
      </c>
    </row>
    <row r="30">
      <c r="A30" s="111" t="s">
        <v>8626</v>
      </c>
      <c r="B30" s="98">
        <v>117.0</v>
      </c>
      <c r="C30" s="69" t="s">
        <v>1086</v>
      </c>
      <c r="D30" s="210" t="s">
        <v>5377</v>
      </c>
      <c r="E30" s="98">
        <v>917.0</v>
      </c>
      <c r="F30" s="69" t="s">
        <v>5392</v>
      </c>
      <c r="G30" s="98">
        <v>2018.0</v>
      </c>
      <c r="H30" s="183" t="s">
        <v>5393</v>
      </c>
    </row>
    <row r="31">
      <c r="A31" s="111" t="s">
        <v>8626</v>
      </c>
      <c r="B31" s="242">
        <v>135.0</v>
      </c>
      <c r="C31" s="173" t="s">
        <v>1183</v>
      </c>
      <c r="D31" s="210" t="s">
        <v>1183</v>
      </c>
      <c r="E31" s="98">
        <v>977.0</v>
      </c>
      <c r="F31" s="182" t="s">
        <v>5603</v>
      </c>
      <c r="G31" s="98">
        <v>2008.0</v>
      </c>
      <c r="H31" s="183" t="s">
        <v>5604</v>
      </c>
    </row>
    <row r="32">
      <c r="A32" s="111" t="s">
        <v>8626</v>
      </c>
      <c r="B32" s="98">
        <v>137.0</v>
      </c>
      <c r="C32" s="69" t="s">
        <v>1193</v>
      </c>
      <c r="D32" s="210"/>
      <c r="E32" s="98">
        <v>979.0</v>
      </c>
      <c r="F32" s="182" t="s">
        <v>2189</v>
      </c>
      <c r="G32" s="98">
        <v>1800.0</v>
      </c>
      <c r="H32" s="198"/>
    </row>
    <row r="33">
      <c r="A33" s="111" t="s">
        <v>8626</v>
      </c>
      <c r="B33" s="242">
        <v>145.0</v>
      </c>
      <c r="C33" s="173" t="s">
        <v>1227</v>
      </c>
      <c r="D33" s="137" t="s">
        <v>8628</v>
      </c>
      <c r="E33" s="98">
        <v>1016.0</v>
      </c>
      <c r="F33" s="182" t="s">
        <v>5715</v>
      </c>
      <c r="G33" s="98">
        <v>1940.0</v>
      </c>
      <c r="H33" s="198"/>
      <c r="I33" s="9" t="s">
        <v>8629</v>
      </c>
    </row>
    <row r="34">
      <c r="A34" s="111" t="s">
        <v>8630</v>
      </c>
      <c r="B34" s="98">
        <v>30.0</v>
      </c>
      <c r="C34" s="69" t="s">
        <v>486</v>
      </c>
      <c r="D34" s="210" t="s">
        <v>3893</v>
      </c>
      <c r="E34" s="98">
        <v>296.0</v>
      </c>
      <c r="F34" s="69" t="s">
        <v>3894</v>
      </c>
      <c r="G34" s="98">
        <v>1963.0</v>
      </c>
      <c r="H34" s="69" t="s">
        <v>1937</v>
      </c>
    </row>
    <row r="35">
      <c r="A35" s="111" t="s">
        <v>8631</v>
      </c>
      <c r="B35" s="98">
        <v>4.0</v>
      </c>
      <c r="C35" s="69" t="s">
        <v>63</v>
      </c>
      <c r="D35" s="210" t="s">
        <v>64</v>
      </c>
      <c r="E35" s="98">
        <v>45.0</v>
      </c>
      <c r="F35" s="69" t="s">
        <v>3668</v>
      </c>
      <c r="G35" s="98">
        <v>1995.0</v>
      </c>
      <c r="H35" s="183" t="s">
        <v>8632</v>
      </c>
    </row>
    <row r="36">
      <c r="A36" s="111" t="s">
        <v>8631</v>
      </c>
      <c r="B36" s="98">
        <v>88.0</v>
      </c>
      <c r="C36" s="69" t="s">
        <v>965</v>
      </c>
      <c r="D36" s="210" t="s">
        <v>965</v>
      </c>
      <c r="E36" s="98">
        <v>674.0</v>
      </c>
      <c r="F36" s="69" t="s">
        <v>5036</v>
      </c>
      <c r="G36" s="98">
        <v>1964.0</v>
      </c>
      <c r="H36" s="69"/>
      <c r="I36" s="9" t="s">
        <v>8633</v>
      </c>
    </row>
    <row r="37">
      <c r="A37" s="111" t="s">
        <v>8631</v>
      </c>
      <c r="B37" s="98">
        <v>88.0</v>
      </c>
      <c r="C37" s="69" t="s">
        <v>965</v>
      </c>
      <c r="D37" s="210" t="s">
        <v>965</v>
      </c>
      <c r="E37" s="98">
        <v>678.0</v>
      </c>
      <c r="F37" s="69" t="s">
        <v>5047</v>
      </c>
      <c r="G37" s="98">
        <v>2002.0</v>
      </c>
      <c r="H37" s="69"/>
      <c r="I37" s="9" t="s">
        <v>8634</v>
      </c>
    </row>
    <row r="38">
      <c r="A38" s="111" t="s">
        <v>8631</v>
      </c>
      <c r="B38" s="98">
        <v>99.0</v>
      </c>
      <c r="C38" s="69" t="s">
        <v>1012</v>
      </c>
      <c r="D38" s="210" t="s">
        <v>1012</v>
      </c>
      <c r="E38" s="98">
        <v>781.0</v>
      </c>
      <c r="F38" s="69" t="s">
        <v>5234</v>
      </c>
      <c r="G38" s="98">
        <v>1988.0</v>
      </c>
      <c r="H38" s="217" t="s">
        <v>2441</v>
      </c>
    </row>
    <row r="39">
      <c r="A39" s="111" t="s">
        <v>8631</v>
      </c>
      <c r="B39" s="98">
        <v>153.0</v>
      </c>
      <c r="C39" s="69" t="s">
        <v>1021</v>
      </c>
      <c r="D39" s="210" t="s">
        <v>1021</v>
      </c>
      <c r="E39" s="98">
        <v>795.0</v>
      </c>
      <c r="F39" s="198" t="s">
        <v>5268</v>
      </c>
      <c r="G39" s="98">
        <v>1998.0</v>
      </c>
      <c r="H39" s="183" t="s">
        <v>5269</v>
      </c>
    </row>
    <row r="40">
      <c r="A40" s="111" t="s">
        <v>8635</v>
      </c>
      <c r="B40" s="98">
        <v>86.0</v>
      </c>
      <c r="C40" s="403" t="s">
        <v>934</v>
      </c>
      <c r="D40" s="210"/>
      <c r="E40" s="98">
        <v>666.0</v>
      </c>
      <c r="F40" s="69" t="s">
        <v>4980</v>
      </c>
      <c r="G40" s="98">
        <v>2017.0</v>
      </c>
      <c r="H40" s="69" t="s">
        <v>5004</v>
      </c>
    </row>
    <row r="41">
      <c r="A41" s="111" t="s">
        <v>8636</v>
      </c>
      <c r="B41" s="98">
        <v>20.0</v>
      </c>
      <c r="C41" s="69" t="s">
        <v>393</v>
      </c>
      <c r="D41" s="210"/>
      <c r="E41" s="98">
        <v>208.0</v>
      </c>
      <c r="F41" s="69" t="s">
        <v>3259</v>
      </c>
      <c r="G41" s="98">
        <v>1975.0</v>
      </c>
      <c r="H41" s="69"/>
    </row>
    <row r="42">
      <c r="A42" s="111" t="s">
        <v>8636</v>
      </c>
      <c r="B42" s="98">
        <v>20.0</v>
      </c>
      <c r="C42" s="69" t="s">
        <v>393</v>
      </c>
      <c r="D42" s="210"/>
      <c r="E42" s="98">
        <v>213.0</v>
      </c>
      <c r="F42" s="69" t="s">
        <v>3269</v>
      </c>
      <c r="G42" s="98">
        <v>2006.0</v>
      </c>
      <c r="H42" s="69"/>
      <c r="I42" s="9" t="s">
        <v>8637</v>
      </c>
    </row>
    <row r="43">
      <c r="A43" s="111" t="s">
        <v>8636</v>
      </c>
      <c r="B43" s="98">
        <v>21.0</v>
      </c>
      <c r="C43" s="69" t="s">
        <v>402</v>
      </c>
      <c r="D43" s="210"/>
      <c r="E43" s="98">
        <v>219.0</v>
      </c>
      <c r="F43" s="69" t="s">
        <v>3278</v>
      </c>
      <c r="G43" s="98">
        <v>1968.0</v>
      </c>
      <c r="H43" s="69"/>
    </row>
    <row r="44">
      <c r="A44" s="111" t="s">
        <v>8636</v>
      </c>
      <c r="B44" s="98">
        <v>53.0</v>
      </c>
      <c r="C44" s="69" t="s">
        <v>659</v>
      </c>
      <c r="D44" s="210"/>
      <c r="E44" s="98">
        <v>442.0</v>
      </c>
      <c r="F44" s="69" t="s">
        <v>4367</v>
      </c>
      <c r="G44" s="98">
        <v>1983.0</v>
      </c>
      <c r="H44" s="69"/>
    </row>
    <row r="45">
      <c r="A45" s="111" t="s">
        <v>8636</v>
      </c>
      <c r="B45" s="98">
        <v>65.0</v>
      </c>
      <c r="C45" s="69" t="s">
        <v>771</v>
      </c>
      <c r="D45" s="210" t="s">
        <v>771</v>
      </c>
      <c r="E45" s="98">
        <v>538.0</v>
      </c>
      <c r="F45" s="69" t="s">
        <v>4647</v>
      </c>
      <c r="G45" s="98">
        <v>1999.0</v>
      </c>
      <c r="H45" s="69"/>
    </row>
    <row r="46">
      <c r="A46" s="111" t="s">
        <v>8636</v>
      </c>
      <c r="B46" s="98">
        <v>69.0</v>
      </c>
      <c r="C46" s="69" t="s">
        <v>804</v>
      </c>
      <c r="D46" s="210"/>
      <c r="E46" s="98">
        <v>557.0</v>
      </c>
      <c r="F46" s="69" t="s">
        <v>4672</v>
      </c>
      <c r="G46" s="98">
        <v>1967.0</v>
      </c>
      <c r="H46" s="69"/>
      <c r="I46" s="9" t="s">
        <v>8638</v>
      </c>
    </row>
    <row r="47">
      <c r="A47" s="111" t="s">
        <v>8636</v>
      </c>
      <c r="B47" s="98">
        <v>69.0</v>
      </c>
      <c r="C47" s="69" t="s">
        <v>804</v>
      </c>
      <c r="D47" s="210"/>
      <c r="E47" s="98">
        <v>558.0</v>
      </c>
      <c r="F47" s="69" t="s">
        <v>4673</v>
      </c>
      <c r="G47" s="98">
        <v>1972.0</v>
      </c>
      <c r="H47" s="69"/>
    </row>
    <row r="48">
      <c r="A48" s="111" t="s">
        <v>8636</v>
      </c>
      <c r="B48" s="98">
        <v>69.0</v>
      </c>
      <c r="C48" s="69" t="s">
        <v>804</v>
      </c>
      <c r="D48" s="210"/>
      <c r="E48" s="98">
        <v>559.0</v>
      </c>
      <c r="F48" s="69" t="s">
        <v>4674</v>
      </c>
      <c r="G48" s="98">
        <v>1983.0</v>
      </c>
      <c r="H48" s="69"/>
    </row>
    <row r="49">
      <c r="A49" s="111" t="s">
        <v>8636</v>
      </c>
      <c r="B49" s="98">
        <v>69.0</v>
      </c>
      <c r="C49" s="69" t="s">
        <v>804</v>
      </c>
      <c r="D49" s="210"/>
      <c r="E49" s="98">
        <v>560.0</v>
      </c>
      <c r="F49" s="69" t="s">
        <v>4675</v>
      </c>
      <c r="G49" s="98">
        <v>1989.0</v>
      </c>
      <c r="H49" s="69"/>
    </row>
    <row r="50">
      <c r="A50" s="111" t="s">
        <v>8636</v>
      </c>
      <c r="B50" s="98">
        <v>69.0</v>
      </c>
      <c r="C50" s="69" t="s">
        <v>804</v>
      </c>
      <c r="D50" s="210"/>
      <c r="E50" s="98">
        <v>561.0</v>
      </c>
      <c r="F50" s="69" t="s">
        <v>4676</v>
      </c>
      <c r="G50" s="98">
        <v>2000.0</v>
      </c>
      <c r="H50" s="69"/>
    </row>
    <row r="51">
      <c r="A51" s="111" t="s">
        <v>8636</v>
      </c>
      <c r="B51" s="98">
        <v>69.0</v>
      </c>
      <c r="C51" s="69" t="s">
        <v>804</v>
      </c>
      <c r="D51" s="210"/>
      <c r="E51" s="98">
        <v>562.0</v>
      </c>
      <c r="F51" s="69" t="s">
        <v>4677</v>
      </c>
      <c r="G51" s="98">
        <v>2001.0</v>
      </c>
      <c r="H51" s="69"/>
    </row>
    <row r="52">
      <c r="A52" s="111" t="s">
        <v>8636</v>
      </c>
      <c r="B52" s="98">
        <v>69.0</v>
      </c>
      <c r="C52" s="69" t="s">
        <v>804</v>
      </c>
      <c r="D52" s="210"/>
      <c r="E52" s="98">
        <v>563.0</v>
      </c>
      <c r="F52" s="69" t="s">
        <v>2150</v>
      </c>
      <c r="G52" s="98">
        <v>1956.0</v>
      </c>
      <c r="H52" s="69"/>
    </row>
    <row r="53">
      <c r="A53" s="111" t="s">
        <v>8636</v>
      </c>
      <c r="B53" s="98">
        <v>69.0</v>
      </c>
      <c r="C53" s="69" t="s">
        <v>804</v>
      </c>
      <c r="D53" s="210"/>
      <c r="E53" s="98">
        <v>564.0</v>
      </c>
      <c r="F53" s="69" t="s">
        <v>4678</v>
      </c>
      <c r="G53" s="98">
        <v>2004.0</v>
      </c>
      <c r="H53" s="69"/>
    </row>
    <row r="54">
      <c r="A54" s="111" t="s">
        <v>8636</v>
      </c>
      <c r="B54" s="98">
        <v>81.0</v>
      </c>
      <c r="C54" s="69" t="s">
        <v>910</v>
      </c>
      <c r="D54" s="210" t="s">
        <v>910</v>
      </c>
      <c r="E54" s="98">
        <v>632.0</v>
      </c>
      <c r="F54" s="69" t="s">
        <v>4904</v>
      </c>
      <c r="G54" s="98">
        <v>1973.0</v>
      </c>
      <c r="H54" s="69" t="s">
        <v>1937</v>
      </c>
    </row>
    <row r="55">
      <c r="A55" s="111" t="s">
        <v>8636</v>
      </c>
      <c r="B55" s="98">
        <v>117.0</v>
      </c>
      <c r="C55" s="69" t="s">
        <v>1086</v>
      </c>
      <c r="D55" s="210" t="s">
        <v>1086</v>
      </c>
      <c r="E55" s="98">
        <v>912.0</v>
      </c>
      <c r="F55" s="69" t="s">
        <v>5376</v>
      </c>
      <c r="G55" s="98">
        <v>1975.0</v>
      </c>
      <c r="H55" s="198"/>
    </row>
    <row r="56">
      <c r="A56" s="111" t="s">
        <v>8636</v>
      </c>
      <c r="B56" s="242">
        <v>132.0</v>
      </c>
      <c r="C56" s="173" t="s">
        <v>1157</v>
      </c>
      <c r="D56" s="210" t="s">
        <v>5564</v>
      </c>
      <c r="E56" s="98">
        <v>967.0</v>
      </c>
      <c r="F56" s="182" t="s">
        <v>5575</v>
      </c>
      <c r="G56" s="98">
        <v>1850.0</v>
      </c>
      <c r="H56" s="198"/>
    </row>
    <row r="57">
      <c r="A57" s="111" t="s">
        <v>8639</v>
      </c>
      <c r="B57" s="98">
        <v>17.0</v>
      </c>
      <c r="C57" s="69" t="s">
        <v>342</v>
      </c>
      <c r="D57" s="210" t="s">
        <v>3175</v>
      </c>
      <c r="E57" s="98">
        <v>188.0</v>
      </c>
      <c r="F57" s="69" t="s">
        <v>3177</v>
      </c>
      <c r="G57" s="98">
        <v>2002.0</v>
      </c>
      <c r="H57" s="183" t="s">
        <v>3178</v>
      </c>
      <c r="I57" s="9" t="s">
        <v>8640</v>
      </c>
      <c r="J57" s="9" t="s">
        <v>8641</v>
      </c>
    </row>
    <row r="58">
      <c r="A58" s="111" t="s">
        <v>8639</v>
      </c>
      <c r="B58" s="98">
        <v>59.0</v>
      </c>
      <c r="C58" s="69" t="s">
        <v>709</v>
      </c>
      <c r="D58" s="210"/>
      <c r="E58" s="98">
        <v>472.0</v>
      </c>
      <c r="F58" s="69" t="s">
        <v>4486</v>
      </c>
      <c r="G58" s="98">
        <v>1997.0</v>
      </c>
      <c r="H58" s="208" t="s">
        <v>4487</v>
      </c>
      <c r="I58" s="9" t="s">
        <v>8642</v>
      </c>
      <c r="J58" s="9" t="s">
        <v>8643</v>
      </c>
    </row>
    <row r="59">
      <c r="A59" s="111" t="s">
        <v>8644</v>
      </c>
      <c r="B59" s="98">
        <v>61.0</v>
      </c>
      <c r="C59" s="69" t="s">
        <v>743</v>
      </c>
      <c r="D59" s="210"/>
      <c r="E59" s="98">
        <v>492.0</v>
      </c>
      <c r="F59" s="69" t="s">
        <v>3426</v>
      </c>
      <c r="G59" s="98">
        <v>1997.0</v>
      </c>
      <c r="H59" s="183" t="s">
        <v>3427</v>
      </c>
      <c r="J59" s="9" t="s">
        <v>8645</v>
      </c>
      <c r="L59" s="9" t="s">
        <v>8646</v>
      </c>
    </row>
    <row r="60">
      <c r="A60" s="111" t="s">
        <v>8647</v>
      </c>
      <c r="B60" s="242">
        <v>61.0</v>
      </c>
      <c r="C60" s="173" t="s">
        <v>743</v>
      </c>
      <c r="D60" s="210" t="s">
        <v>744</v>
      </c>
      <c r="E60" s="98">
        <v>486.0</v>
      </c>
      <c r="F60" s="69" t="s">
        <v>4553</v>
      </c>
      <c r="G60" s="98">
        <v>1985.0</v>
      </c>
      <c r="H60" s="183" t="s">
        <v>4554</v>
      </c>
      <c r="I60" s="9" t="s">
        <v>8648</v>
      </c>
    </row>
    <row r="61">
      <c r="A61" s="111" t="s">
        <v>8649</v>
      </c>
      <c r="B61" s="98">
        <v>89.0</v>
      </c>
      <c r="C61" s="69" t="s">
        <v>970</v>
      </c>
      <c r="D61" s="210" t="s">
        <v>970</v>
      </c>
      <c r="E61" s="98">
        <v>681.0</v>
      </c>
      <c r="F61" s="69" t="s">
        <v>8650</v>
      </c>
      <c r="G61" s="98">
        <v>1994.0</v>
      </c>
      <c r="H61" s="208" t="s">
        <v>5062</v>
      </c>
      <c r="I61" s="9" t="s">
        <v>8648</v>
      </c>
      <c r="J61" s="9" t="s">
        <v>8651</v>
      </c>
    </row>
    <row r="62">
      <c r="A62" s="111" t="s">
        <v>8649</v>
      </c>
      <c r="B62" s="98">
        <v>89.0</v>
      </c>
      <c r="C62" s="69" t="s">
        <v>970</v>
      </c>
      <c r="D62" s="210" t="s">
        <v>970</v>
      </c>
      <c r="E62" s="98">
        <v>682.0</v>
      </c>
      <c r="F62" s="69" t="s">
        <v>8652</v>
      </c>
      <c r="G62" s="98">
        <v>2003.0</v>
      </c>
      <c r="H62" s="183" t="s">
        <v>5064</v>
      </c>
      <c r="I62" s="9" t="s">
        <v>8648</v>
      </c>
      <c r="L62" s="32" t="s">
        <v>972</v>
      </c>
    </row>
    <row r="63">
      <c r="A63" s="111" t="s">
        <v>8649</v>
      </c>
      <c r="B63" s="98">
        <v>89.0</v>
      </c>
      <c r="C63" s="69" t="s">
        <v>970</v>
      </c>
      <c r="D63" s="210" t="s">
        <v>970</v>
      </c>
      <c r="E63" s="98">
        <v>683.0</v>
      </c>
      <c r="F63" s="69" t="s">
        <v>8653</v>
      </c>
      <c r="G63" s="98">
        <v>1968.0</v>
      </c>
      <c r="H63" s="69"/>
      <c r="I63" s="9" t="s">
        <v>8648</v>
      </c>
    </row>
    <row r="64">
      <c r="A64" s="111" t="s">
        <v>8654</v>
      </c>
      <c r="B64" s="98">
        <v>61.0</v>
      </c>
      <c r="C64" s="69" t="s">
        <v>743</v>
      </c>
      <c r="D64" s="210" t="s">
        <v>755</v>
      </c>
      <c r="E64" s="98">
        <v>491.0</v>
      </c>
      <c r="F64" s="69" t="s">
        <v>3424</v>
      </c>
      <c r="G64" s="98">
        <v>2006.0</v>
      </c>
      <c r="H64" s="183" t="s">
        <v>3425</v>
      </c>
      <c r="I64" s="9" t="s">
        <v>8655</v>
      </c>
    </row>
    <row r="65">
      <c r="A65" s="111" t="s">
        <v>8656</v>
      </c>
      <c r="B65" s="98">
        <v>64.0</v>
      </c>
      <c r="C65" s="69" t="s">
        <v>768</v>
      </c>
      <c r="D65" s="210"/>
      <c r="E65" s="98">
        <v>530.0</v>
      </c>
      <c r="F65" s="69" t="s">
        <v>4629</v>
      </c>
      <c r="G65" s="98">
        <v>1987.0</v>
      </c>
      <c r="H65" s="404" t="s">
        <v>8657</v>
      </c>
    </row>
    <row r="66">
      <c r="A66" s="111" t="s">
        <v>8658</v>
      </c>
      <c r="B66" s="98">
        <v>59.0</v>
      </c>
      <c r="C66" s="69" t="s">
        <v>709</v>
      </c>
      <c r="D66" s="210"/>
      <c r="E66" s="98">
        <v>470.0</v>
      </c>
      <c r="F66" s="69" t="s">
        <v>4476</v>
      </c>
      <c r="G66" s="98">
        <v>1983.0</v>
      </c>
      <c r="H66" s="183" t="s">
        <v>4477</v>
      </c>
      <c r="I66" s="9" t="s">
        <v>8659</v>
      </c>
    </row>
    <row r="67">
      <c r="A67" s="111" t="s">
        <v>8660</v>
      </c>
      <c r="B67" s="98">
        <v>7.0</v>
      </c>
      <c r="C67" s="69" t="s">
        <v>1261</v>
      </c>
      <c r="D67" s="130" t="s">
        <v>2513</v>
      </c>
      <c r="E67" s="98">
        <v>95.0</v>
      </c>
      <c r="F67" s="69" t="s">
        <v>2515</v>
      </c>
      <c r="G67" s="98">
        <v>1997.0</v>
      </c>
      <c r="H67" s="183" t="s">
        <v>2516</v>
      </c>
      <c r="I67" s="9" t="s">
        <v>8661</v>
      </c>
    </row>
    <row r="68">
      <c r="A68" s="198"/>
      <c r="B68" s="198"/>
      <c r="C68" s="198"/>
      <c r="D68" s="210"/>
      <c r="E68" s="198"/>
      <c r="F68" s="198"/>
      <c r="G68" s="98"/>
      <c r="H68" s="198"/>
    </row>
    <row r="69">
      <c r="A69" s="198"/>
      <c r="B69" s="198"/>
      <c r="C69" s="198"/>
      <c r="D69" s="210"/>
      <c r="E69" s="198"/>
      <c r="F69" s="198"/>
      <c r="G69" s="98"/>
      <c r="H69" s="198"/>
    </row>
    <row r="70">
      <c r="A70" s="198"/>
      <c r="B70" s="198"/>
      <c r="C70" s="198"/>
      <c r="D70" s="210"/>
      <c r="E70" s="198"/>
      <c r="F70" s="198"/>
      <c r="G70" s="98"/>
      <c r="H70" s="198"/>
    </row>
    <row r="71">
      <c r="A71" s="198"/>
      <c r="B71" s="198"/>
      <c r="C71" s="198"/>
      <c r="D71" s="210"/>
      <c r="E71" s="198"/>
      <c r="F71" s="198"/>
      <c r="G71" s="98"/>
      <c r="H71" s="198"/>
    </row>
    <row r="72">
      <c r="A72" s="198"/>
      <c r="B72" s="198"/>
      <c r="C72" s="198"/>
      <c r="D72" s="210"/>
      <c r="E72" s="198"/>
      <c r="F72" s="198"/>
      <c r="G72" s="98"/>
      <c r="H72" s="198"/>
    </row>
    <row r="73">
      <c r="A73" s="198"/>
      <c r="B73" s="198"/>
      <c r="C73" s="198"/>
      <c r="D73" s="210"/>
      <c r="E73" s="198"/>
      <c r="F73" s="198"/>
      <c r="G73" s="98"/>
      <c r="H73" s="198"/>
    </row>
    <row r="74">
      <c r="A74" s="198"/>
      <c r="B74" s="198"/>
      <c r="C74" s="198"/>
      <c r="D74" s="210"/>
      <c r="E74" s="198"/>
      <c r="F74" s="198"/>
      <c r="G74" s="98"/>
      <c r="H74" s="198"/>
    </row>
    <row r="75">
      <c r="A75" s="198"/>
      <c r="B75" s="198"/>
      <c r="C75" s="198"/>
      <c r="D75" s="210"/>
      <c r="E75" s="198"/>
      <c r="F75" s="198"/>
      <c r="G75" s="98"/>
      <c r="H75" s="198"/>
    </row>
    <row r="76">
      <c r="A76" s="198"/>
      <c r="B76" s="198"/>
      <c r="C76" s="198"/>
      <c r="D76" s="210"/>
      <c r="E76" s="198"/>
      <c r="F76" s="198"/>
      <c r="G76" s="98"/>
      <c r="H76" s="198"/>
    </row>
    <row r="77">
      <c r="A77" s="198"/>
      <c r="B77" s="198"/>
      <c r="C77" s="198"/>
      <c r="D77" s="210"/>
      <c r="E77" s="198"/>
      <c r="F77" s="198"/>
      <c r="G77" s="98"/>
      <c r="H77" s="198"/>
    </row>
    <row r="78">
      <c r="A78" s="198"/>
      <c r="B78" s="198"/>
      <c r="C78" s="198"/>
      <c r="D78" s="210"/>
      <c r="E78" s="198"/>
      <c r="F78" s="198"/>
      <c r="G78" s="98"/>
      <c r="H78" s="198"/>
    </row>
    <row r="79">
      <c r="A79" s="198"/>
      <c r="B79" s="198"/>
      <c r="C79" s="198"/>
      <c r="D79" s="210"/>
      <c r="E79" s="198"/>
      <c r="F79" s="198"/>
      <c r="G79" s="98"/>
      <c r="H79" s="198"/>
    </row>
    <row r="80">
      <c r="A80" s="198"/>
      <c r="B80" s="198"/>
      <c r="C80" s="198"/>
      <c r="D80" s="210"/>
      <c r="E80" s="198"/>
      <c r="F80" s="198"/>
      <c r="G80" s="98"/>
      <c r="H80" s="198"/>
    </row>
    <row r="81">
      <c r="A81" s="198"/>
      <c r="B81" s="198"/>
      <c r="C81" s="198"/>
      <c r="D81" s="210"/>
      <c r="E81" s="198"/>
      <c r="F81" s="198"/>
      <c r="G81" s="98"/>
      <c r="H81" s="198"/>
    </row>
    <row r="82">
      <c r="A82" s="198"/>
      <c r="B82" s="198"/>
      <c r="C82" s="198"/>
      <c r="D82" s="210"/>
      <c r="E82" s="198"/>
      <c r="F82" s="198"/>
      <c r="G82" s="98"/>
      <c r="H82" s="198"/>
    </row>
    <row r="83">
      <c r="A83" s="198"/>
      <c r="B83" s="198"/>
      <c r="C83" s="198"/>
      <c r="D83" s="210"/>
      <c r="E83" s="198"/>
      <c r="F83" s="198"/>
      <c r="G83" s="98"/>
      <c r="H83" s="198"/>
    </row>
    <row r="84">
      <c r="A84" s="198"/>
      <c r="B84" s="198"/>
      <c r="C84" s="198"/>
      <c r="D84" s="210"/>
      <c r="E84" s="198"/>
      <c r="F84" s="198"/>
      <c r="G84" s="98"/>
      <c r="H84" s="198"/>
    </row>
    <row r="85">
      <c r="A85" s="198"/>
      <c r="B85" s="198"/>
      <c r="C85" s="198"/>
      <c r="D85" s="210"/>
      <c r="E85" s="198"/>
      <c r="F85" s="198"/>
      <c r="G85" s="98"/>
      <c r="H85" s="198"/>
    </row>
    <row r="86">
      <c r="A86" s="198"/>
      <c r="B86" s="198"/>
      <c r="C86" s="198"/>
      <c r="D86" s="210"/>
      <c r="E86" s="198"/>
      <c r="F86" s="198"/>
      <c r="G86" s="98"/>
      <c r="H86" s="198"/>
    </row>
    <row r="87">
      <c r="A87" s="198"/>
      <c r="B87" s="198"/>
      <c r="C87" s="198"/>
      <c r="D87" s="210"/>
      <c r="E87" s="198"/>
      <c r="F87" s="198"/>
      <c r="G87" s="98"/>
      <c r="H87" s="198"/>
    </row>
    <row r="88">
      <c r="A88" s="198"/>
      <c r="B88" s="198"/>
      <c r="C88" s="198"/>
      <c r="D88" s="210"/>
      <c r="E88" s="198"/>
      <c r="F88" s="198"/>
      <c r="G88" s="98"/>
      <c r="H88" s="198"/>
    </row>
    <row r="89">
      <c r="A89" s="198"/>
      <c r="B89" s="198"/>
      <c r="C89" s="198"/>
      <c r="D89" s="210"/>
      <c r="E89" s="198"/>
      <c r="F89" s="198"/>
      <c r="G89" s="98"/>
      <c r="H89" s="198"/>
    </row>
    <row r="90">
      <c r="A90" s="198"/>
      <c r="B90" s="198"/>
      <c r="C90" s="198"/>
      <c r="D90" s="210"/>
      <c r="E90" s="198"/>
      <c r="F90" s="198"/>
      <c r="G90" s="98"/>
      <c r="H90" s="198"/>
    </row>
    <row r="91">
      <c r="A91" s="198"/>
      <c r="B91" s="198"/>
      <c r="C91" s="198"/>
      <c r="D91" s="210"/>
      <c r="E91" s="198"/>
      <c r="F91" s="198"/>
      <c r="G91" s="98"/>
      <c r="H91" s="198"/>
    </row>
    <row r="92">
      <c r="A92" s="198"/>
      <c r="B92" s="198"/>
      <c r="C92" s="198"/>
      <c r="D92" s="210"/>
      <c r="E92" s="198"/>
      <c r="F92" s="198"/>
      <c r="G92" s="98"/>
      <c r="H92" s="198"/>
    </row>
    <row r="93">
      <c r="A93" s="198"/>
      <c r="B93" s="198"/>
      <c r="C93" s="198"/>
      <c r="D93" s="210"/>
      <c r="E93" s="198"/>
      <c r="F93" s="198"/>
      <c r="G93" s="98"/>
      <c r="H93" s="198"/>
    </row>
    <row r="94">
      <c r="A94" s="198"/>
      <c r="B94" s="198"/>
      <c r="C94" s="198"/>
      <c r="D94" s="210"/>
      <c r="E94" s="198"/>
      <c r="F94" s="198"/>
      <c r="G94" s="98"/>
      <c r="H94" s="198"/>
    </row>
    <row r="95">
      <c r="A95" s="198"/>
      <c r="B95" s="198"/>
      <c r="C95" s="198"/>
      <c r="D95" s="210"/>
      <c r="E95" s="198"/>
      <c r="F95" s="198"/>
      <c r="G95" s="98"/>
      <c r="H95" s="198"/>
    </row>
    <row r="96">
      <c r="A96" s="198"/>
      <c r="B96" s="198"/>
      <c r="C96" s="198"/>
      <c r="D96" s="210"/>
      <c r="E96" s="198"/>
      <c r="F96" s="198"/>
      <c r="G96" s="98"/>
      <c r="H96" s="198"/>
    </row>
    <row r="97">
      <c r="A97" s="198"/>
      <c r="B97" s="198"/>
      <c r="C97" s="198"/>
      <c r="D97" s="210"/>
      <c r="E97" s="198"/>
      <c r="F97" s="198"/>
      <c r="G97" s="98"/>
      <c r="H97" s="198"/>
    </row>
    <row r="98">
      <c r="A98" s="198"/>
      <c r="B98" s="198"/>
      <c r="C98" s="198"/>
      <c r="D98" s="210"/>
      <c r="E98" s="198"/>
      <c r="F98" s="198"/>
      <c r="G98" s="98"/>
      <c r="H98" s="198"/>
    </row>
    <row r="99">
      <c r="A99" s="198"/>
      <c r="B99" s="198"/>
      <c r="C99" s="198"/>
      <c r="D99" s="210"/>
      <c r="E99" s="198"/>
      <c r="F99" s="198"/>
      <c r="G99" s="98"/>
      <c r="H99" s="198"/>
    </row>
    <row r="100">
      <c r="A100" s="198"/>
      <c r="B100" s="198"/>
      <c r="C100" s="198"/>
      <c r="D100" s="210"/>
      <c r="E100" s="198"/>
      <c r="F100" s="198"/>
      <c r="G100" s="98"/>
      <c r="H100" s="198"/>
    </row>
    <row r="101">
      <c r="A101" s="198"/>
      <c r="B101" s="198"/>
      <c r="C101" s="198"/>
      <c r="D101" s="210"/>
      <c r="E101" s="198"/>
      <c r="F101" s="198"/>
      <c r="G101" s="98"/>
      <c r="H101" s="198"/>
    </row>
    <row r="102">
      <c r="A102" s="198"/>
      <c r="B102" s="198"/>
      <c r="C102" s="198"/>
      <c r="D102" s="210"/>
      <c r="E102" s="198"/>
      <c r="F102" s="198"/>
      <c r="G102" s="98"/>
      <c r="H102" s="198"/>
    </row>
    <row r="103">
      <c r="A103" s="198"/>
      <c r="B103" s="198"/>
      <c r="C103" s="198"/>
      <c r="D103" s="210"/>
      <c r="E103" s="198"/>
      <c r="F103" s="198"/>
      <c r="G103" s="98"/>
      <c r="H103" s="198"/>
    </row>
    <row r="104">
      <c r="A104" s="198"/>
      <c r="B104" s="198"/>
      <c r="C104" s="198"/>
      <c r="D104" s="210"/>
      <c r="E104" s="198"/>
      <c r="F104" s="198"/>
      <c r="G104" s="98"/>
      <c r="H104" s="198"/>
    </row>
    <row r="105">
      <c r="A105" s="198"/>
      <c r="B105" s="198"/>
      <c r="C105" s="198"/>
      <c r="D105" s="210"/>
      <c r="E105" s="198"/>
      <c r="F105" s="198"/>
      <c r="G105" s="98"/>
      <c r="H105" s="198"/>
    </row>
    <row r="106">
      <c r="A106" s="198"/>
      <c r="B106" s="198"/>
      <c r="C106" s="198"/>
      <c r="D106" s="210"/>
      <c r="E106" s="198"/>
      <c r="F106" s="198"/>
      <c r="G106" s="98"/>
      <c r="H106" s="198"/>
    </row>
    <row r="107">
      <c r="A107" s="198"/>
      <c r="B107" s="198"/>
      <c r="C107" s="198"/>
      <c r="D107" s="210"/>
      <c r="E107" s="198"/>
      <c r="F107" s="198"/>
      <c r="G107" s="98"/>
      <c r="H107" s="198"/>
    </row>
    <row r="108">
      <c r="A108" s="198"/>
      <c r="B108" s="198"/>
      <c r="C108" s="198"/>
      <c r="D108" s="210"/>
      <c r="E108" s="198"/>
      <c r="F108" s="198"/>
      <c r="G108" s="98"/>
      <c r="H108" s="198"/>
    </row>
    <row r="109">
      <c r="A109" s="198"/>
      <c r="B109" s="198"/>
      <c r="C109" s="198"/>
      <c r="D109" s="210"/>
      <c r="E109" s="198"/>
      <c r="F109" s="198"/>
      <c r="G109" s="98"/>
      <c r="H109" s="198"/>
    </row>
    <row r="110">
      <c r="A110" s="198"/>
      <c r="B110" s="198"/>
      <c r="C110" s="198"/>
      <c r="D110" s="210"/>
      <c r="E110" s="198"/>
      <c r="F110" s="198"/>
      <c r="G110" s="98"/>
      <c r="H110" s="198"/>
    </row>
    <row r="111">
      <c r="A111" s="198"/>
      <c r="B111" s="198"/>
      <c r="C111" s="198"/>
      <c r="D111" s="210"/>
      <c r="E111" s="198"/>
      <c r="F111" s="198"/>
      <c r="G111" s="98"/>
      <c r="H111" s="198"/>
    </row>
    <row r="112">
      <c r="A112" s="198"/>
      <c r="B112" s="198"/>
      <c r="C112" s="198"/>
      <c r="D112" s="210"/>
      <c r="E112" s="198"/>
      <c r="F112" s="198"/>
      <c r="G112" s="98"/>
      <c r="H112" s="198"/>
    </row>
    <row r="113">
      <c r="A113" s="198"/>
      <c r="B113" s="198"/>
      <c r="C113" s="198"/>
      <c r="D113" s="210"/>
      <c r="E113" s="198"/>
      <c r="F113" s="198"/>
      <c r="G113" s="98"/>
      <c r="H113" s="198"/>
    </row>
    <row r="114">
      <c r="A114" s="198"/>
      <c r="B114" s="198"/>
      <c r="C114" s="198"/>
      <c r="D114" s="210"/>
      <c r="E114" s="198"/>
      <c r="F114" s="198"/>
      <c r="G114" s="98"/>
      <c r="H114" s="198"/>
    </row>
    <row r="115">
      <c r="A115" s="198"/>
      <c r="B115" s="198"/>
      <c r="C115" s="198"/>
      <c r="D115" s="210"/>
      <c r="E115" s="198"/>
      <c r="F115" s="198"/>
      <c r="G115" s="98"/>
      <c r="H115" s="198"/>
    </row>
    <row r="116">
      <c r="A116" s="198"/>
      <c r="B116" s="198"/>
      <c r="C116" s="198"/>
      <c r="D116" s="210"/>
      <c r="E116" s="198"/>
      <c r="F116" s="198"/>
      <c r="G116" s="98"/>
      <c r="H116" s="198"/>
    </row>
    <row r="117">
      <c r="A117" s="198"/>
      <c r="B117" s="198"/>
      <c r="C117" s="198"/>
      <c r="D117" s="210"/>
      <c r="E117" s="198"/>
      <c r="F117" s="198"/>
      <c r="G117" s="98"/>
      <c r="H117" s="198"/>
    </row>
    <row r="118">
      <c r="A118" s="198"/>
      <c r="B118" s="198"/>
      <c r="C118" s="198"/>
      <c r="D118" s="210"/>
      <c r="E118" s="198"/>
      <c r="F118" s="198"/>
      <c r="G118" s="98"/>
      <c r="H118" s="198"/>
    </row>
    <row r="119">
      <c r="A119" s="198"/>
      <c r="B119" s="198"/>
      <c r="C119" s="198"/>
      <c r="D119" s="210"/>
      <c r="E119" s="198"/>
      <c r="F119" s="198"/>
      <c r="G119" s="98"/>
      <c r="H119" s="198"/>
    </row>
    <row r="120">
      <c r="A120" s="198"/>
      <c r="B120" s="198"/>
      <c r="C120" s="198"/>
      <c r="D120" s="210"/>
      <c r="E120" s="198"/>
      <c r="F120" s="198"/>
      <c r="G120" s="98"/>
      <c r="H120" s="198"/>
    </row>
    <row r="121">
      <c r="A121" s="198"/>
      <c r="B121" s="198"/>
      <c r="C121" s="198"/>
      <c r="D121" s="210"/>
      <c r="E121" s="198"/>
      <c r="F121" s="198"/>
      <c r="G121" s="98"/>
      <c r="H121" s="198"/>
    </row>
    <row r="122">
      <c r="A122" s="198"/>
      <c r="B122" s="198"/>
      <c r="C122" s="198"/>
      <c r="D122" s="210"/>
      <c r="E122" s="198"/>
      <c r="F122" s="198"/>
      <c r="G122" s="98"/>
      <c r="H122" s="198"/>
    </row>
    <row r="123">
      <c r="A123" s="198"/>
      <c r="B123" s="198"/>
      <c r="C123" s="198"/>
      <c r="D123" s="210"/>
      <c r="E123" s="198"/>
      <c r="F123" s="198"/>
      <c r="G123" s="98"/>
      <c r="H123" s="198"/>
    </row>
    <row r="124">
      <c r="A124" s="198"/>
      <c r="B124" s="198"/>
      <c r="C124" s="198"/>
      <c r="D124" s="210"/>
      <c r="E124" s="198"/>
      <c r="F124" s="198"/>
      <c r="G124" s="98"/>
      <c r="H124" s="198"/>
    </row>
    <row r="125">
      <c r="A125" s="198"/>
      <c r="B125" s="198"/>
      <c r="C125" s="198"/>
      <c r="D125" s="210"/>
      <c r="E125" s="198"/>
      <c r="F125" s="198"/>
      <c r="G125" s="98"/>
      <c r="H125" s="198"/>
    </row>
    <row r="126">
      <c r="A126" s="198"/>
      <c r="B126" s="198"/>
      <c r="C126" s="198"/>
      <c r="D126" s="210"/>
      <c r="E126" s="198"/>
      <c r="F126" s="198"/>
      <c r="G126" s="98"/>
      <c r="H126" s="198"/>
    </row>
    <row r="127">
      <c r="A127" s="198"/>
      <c r="B127" s="198"/>
      <c r="C127" s="198"/>
      <c r="D127" s="210"/>
      <c r="E127" s="198"/>
      <c r="F127" s="198"/>
      <c r="G127" s="98"/>
      <c r="H127" s="198"/>
    </row>
    <row r="128">
      <c r="A128" s="198"/>
      <c r="B128" s="198"/>
      <c r="C128" s="198"/>
      <c r="D128" s="210"/>
      <c r="E128" s="198"/>
      <c r="F128" s="198"/>
      <c r="G128" s="98"/>
      <c r="H128" s="198"/>
    </row>
    <row r="129">
      <c r="A129" s="198"/>
      <c r="B129" s="198"/>
      <c r="C129" s="198"/>
      <c r="D129" s="210"/>
      <c r="E129" s="198"/>
      <c r="F129" s="198"/>
      <c r="G129" s="98"/>
      <c r="H129" s="198"/>
    </row>
    <row r="130">
      <c r="A130" s="198"/>
      <c r="B130" s="198"/>
      <c r="C130" s="198"/>
      <c r="D130" s="210"/>
      <c r="E130" s="198"/>
      <c r="F130" s="198"/>
      <c r="G130" s="98"/>
      <c r="H130" s="198"/>
    </row>
    <row r="131">
      <c r="A131" s="198"/>
      <c r="B131" s="198"/>
      <c r="C131" s="198"/>
      <c r="D131" s="210"/>
      <c r="E131" s="198"/>
      <c r="F131" s="198"/>
      <c r="G131" s="98"/>
      <c r="H131" s="198"/>
    </row>
    <row r="132">
      <c r="A132" s="198"/>
      <c r="B132" s="198"/>
      <c r="C132" s="198"/>
      <c r="D132" s="210"/>
      <c r="E132" s="198"/>
      <c r="F132" s="198"/>
      <c r="G132" s="98"/>
      <c r="H132" s="198"/>
    </row>
    <row r="133">
      <c r="A133" s="198"/>
      <c r="B133" s="198"/>
      <c r="C133" s="198"/>
      <c r="D133" s="210"/>
      <c r="E133" s="198"/>
      <c r="F133" s="198"/>
      <c r="G133" s="98"/>
      <c r="H133" s="198"/>
    </row>
    <row r="134">
      <c r="A134" s="198"/>
      <c r="B134" s="198"/>
      <c r="C134" s="198"/>
      <c r="D134" s="210"/>
      <c r="E134" s="198"/>
      <c r="F134" s="198"/>
      <c r="G134" s="98"/>
      <c r="H134" s="198"/>
    </row>
    <row r="135">
      <c r="A135" s="198"/>
      <c r="B135" s="198"/>
      <c r="C135" s="198"/>
      <c r="D135" s="210"/>
      <c r="E135" s="198"/>
      <c r="F135" s="198"/>
      <c r="G135" s="98"/>
      <c r="H135" s="198"/>
    </row>
    <row r="136">
      <c r="A136" s="198"/>
      <c r="B136" s="198"/>
      <c r="C136" s="198"/>
      <c r="D136" s="210"/>
      <c r="E136" s="198"/>
      <c r="F136" s="198"/>
      <c r="G136" s="98"/>
      <c r="H136" s="198"/>
    </row>
    <row r="137">
      <c r="A137" s="198"/>
      <c r="B137" s="198"/>
      <c r="C137" s="198"/>
      <c r="D137" s="210"/>
      <c r="E137" s="198"/>
      <c r="F137" s="198"/>
      <c r="G137" s="98"/>
      <c r="H137" s="198"/>
    </row>
    <row r="138">
      <c r="A138" s="198"/>
      <c r="B138" s="198"/>
      <c r="C138" s="198"/>
      <c r="D138" s="210"/>
      <c r="E138" s="198"/>
      <c r="F138" s="198"/>
      <c r="G138" s="98"/>
      <c r="H138" s="198"/>
    </row>
    <row r="139">
      <c r="A139" s="198"/>
      <c r="B139" s="198"/>
      <c r="C139" s="198"/>
      <c r="D139" s="210"/>
      <c r="E139" s="198"/>
      <c r="F139" s="198"/>
      <c r="G139" s="98"/>
      <c r="H139" s="198"/>
    </row>
    <row r="140">
      <c r="A140" s="198"/>
      <c r="B140" s="198"/>
      <c r="C140" s="198"/>
      <c r="D140" s="210"/>
      <c r="E140" s="198"/>
      <c r="F140" s="198"/>
      <c r="G140" s="98"/>
      <c r="H140" s="198"/>
    </row>
    <row r="141">
      <c r="A141" s="198"/>
      <c r="B141" s="198"/>
      <c r="C141" s="198"/>
      <c r="D141" s="210"/>
      <c r="E141" s="198"/>
      <c r="F141" s="198"/>
      <c r="G141" s="98"/>
      <c r="H141" s="198"/>
    </row>
    <row r="142">
      <c r="A142" s="198"/>
      <c r="B142" s="198"/>
      <c r="C142" s="198"/>
      <c r="D142" s="210"/>
      <c r="E142" s="198"/>
      <c r="F142" s="198"/>
      <c r="G142" s="98"/>
      <c r="H142" s="198"/>
    </row>
    <row r="143">
      <c r="A143" s="198"/>
      <c r="B143" s="198"/>
      <c r="C143" s="198"/>
      <c r="D143" s="210"/>
      <c r="E143" s="198"/>
      <c r="F143" s="198"/>
      <c r="G143" s="98"/>
      <c r="H143" s="198"/>
    </row>
    <row r="144">
      <c r="A144" s="198"/>
      <c r="B144" s="198"/>
      <c r="C144" s="198"/>
      <c r="D144" s="210"/>
      <c r="E144" s="198"/>
      <c r="F144" s="198"/>
      <c r="G144" s="98"/>
      <c r="H144" s="198"/>
    </row>
    <row r="145">
      <c r="A145" s="198"/>
      <c r="B145" s="198"/>
      <c r="C145" s="198"/>
      <c r="D145" s="210"/>
      <c r="E145" s="198"/>
      <c r="F145" s="198"/>
      <c r="G145" s="98"/>
      <c r="H145" s="198"/>
    </row>
    <row r="146">
      <c r="A146" s="198"/>
      <c r="B146" s="198"/>
      <c r="C146" s="198"/>
      <c r="D146" s="210"/>
      <c r="E146" s="198"/>
      <c r="F146" s="198"/>
      <c r="G146" s="98"/>
      <c r="H146" s="198"/>
    </row>
    <row r="147">
      <c r="A147" s="198"/>
      <c r="B147" s="198"/>
      <c r="C147" s="198"/>
      <c r="D147" s="210"/>
      <c r="E147" s="198"/>
      <c r="F147" s="198"/>
      <c r="G147" s="98"/>
      <c r="H147" s="198"/>
    </row>
    <row r="148">
      <c r="A148" s="198"/>
      <c r="B148" s="198"/>
      <c r="C148" s="198"/>
      <c r="D148" s="210"/>
      <c r="E148" s="198"/>
      <c r="F148" s="198"/>
      <c r="G148" s="98"/>
      <c r="H148" s="198"/>
    </row>
    <row r="149">
      <c r="A149" s="198"/>
      <c r="B149" s="198"/>
      <c r="C149" s="198"/>
      <c r="D149" s="210"/>
      <c r="E149" s="198"/>
      <c r="F149" s="198"/>
      <c r="G149" s="98"/>
      <c r="H149" s="198"/>
    </row>
    <row r="150">
      <c r="A150" s="198"/>
      <c r="B150" s="198"/>
      <c r="C150" s="198"/>
      <c r="D150" s="210"/>
      <c r="E150" s="198"/>
      <c r="F150" s="198"/>
      <c r="G150" s="98"/>
      <c r="H150" s="198"/>
    </row>
    <row r="151">
      <c r="A151" s="198"/>
      <c r="B151" s="198"/>
      <c r="C151" s="198"/>
      <c r="D151" s="210"/>
      <c r="E151" s="198"/>
      <c r="F151" s="198"/>
      <c r="G151" s="98"/>
      <c r="H151" s="198"/>
    </row>
    <row r="152">
      <c r="A152" s="198"/>
      <c r="B152" s="198"/>
      <c r="C152" s="198"/>
      <c r="D152" s="210"/>
      <c r="E152" s="198"/>
      <c r="F152" s="198"/>
      <c r="G152" s="98"/>
      <c r="H152" s="198"/>
    </row>
    <row r="153">
      <c r="A153" s="198"/>
      <c r="B153" s="198"/>
      <c r="C153" s="198"/>
      <c r="D153" s="210"/>
      <c r="E153" s="198"/>
      <c r="F153" s="198"/>
      <c r="G153" s="98"/>
      <c r="H153" s="198"/>
    </row>
    <row r="154">
      <c r="A154" s="198"/>
      <c r="B154" s="198"/>
      <c r="C154" s="198"/>
      <c r="D154" s="210"/>
      <c r="E154" s="198"/>
      <c r="F154" s="198"/>
      <c r="G154" s="98"/>
      <c r="H154" s="198"/>
    </row>
    <row r="155">
      <c r="A155" s="198"/>
      <c r="B155" s="198"/>
      <c r="C155" s="198"/>
      <c r="D155" s="210"/>
      <c r="E155" s="198"/>
      <c r="F155" s="198"/>
      <c r="G155" s="98"/>
      <c r="H155" s="198"/>
    </row>
    <row r="156">
      <c r="A156" s="198"/>
      <c r="B156" s="198"/>
      <c r="C156" s="198"/>
      <c r="D156" s="210"/>
      <c r="E156" s="198"/>
      <c r="F156" s="198"/>
      <c r="G156" s="98"/>
      <c r="H156" s="198"/>
    </row>
    <row r="157">
      <c r="A157" s="198"/>
      <c r="B157" s="198"/>
      <c r="C157" s="198"/>
      <c r="D157" s="210"/>
      <c r="E157" s="198"/>
      <c r="F157" s="198"/>
      <c r="G157" s="98"/>
      <c r="H157" s="198"/>
    </row>
    <row r="158">
      <c r="A158" s="198"/>
      <c r="B158" s="198"/>
      <c r="C158" s="198"/>
      <c r="D158" s="210"/>
      <c r="E158" s="198"/>
      <c r="F158" s="198"/>
      <c r="G158" s="98"/>
      <c r="H158" s="198"/>
    </row>
    <row r="159">
      <c r="A159" s="198"/>
      <c r="B159" s="198"/>
      <c r="C159" s="198"/>
      <c r="D159" s="210"/>
      <c r="E159" s="198"/>
      <c r="F159" s="198"/>
      <c r="G159" s="98"/>
      <c r="H159" s="198"/>
    </row>
    <row r="160">
      <c r="A160" s="198"/>
      <c r="B160" s="198"/>
      <c r="C160" s="198"/>
      <c r="D160" s="210"/>
      <c r="E160" s="198"/>
      <c r="F160" s="198"/>
      <c r="G160" s="98"/>
      <c r="H160" s="198"/>
    </row>
    <row r="161">
      <c r="A161" s="198"/>
      <c r="B161" s="198"/>
      <c r="C161" s="198"/>
      <c r="D161" s="210"/>
      <c r="E161" s="198"/>
      <c r="F161" s="198"/>
      <c r="G161" s="98"/>
      <c r="H161" s="198"/>
    </row>
    <row r="162">
      <c r="A162" s="198"/>
      <c r="B162" s="198"/>
      <c r="C162" s="198"/>
      <c r="D162" s="210"/>
      <c r="E162" s="198"/>
      <c r="F162" s="198"/>
      <c r="G162" s="98"/>
      <c r="H162" s="198"/>
    </row>
    <row r="163">
      <c r="A163" s="198"/>
      <c r="B163" s="198"/>
      <c r="C163" s="198"/>
      <c r="D163" s="210"/>
      <c r="E163" s="198"/>
      <c r="F163" s="198"/>
      <c r="G163" s="98"/>
      <c r="H163" s="198"/>
    </row>
    <row r="164">
      <c r="A164" s="198"/>
      <c r="B164" s="198"/>
      <c r="C164" s="198"/>
      <c r="D164" s="210"/>
      <c r="E164" s="198"/>
      <c r="F164" s="198"/>
      <c r="G164" s="98"/>
      <c r="H164" s="198"/>
    </row>
    <row r="165">
      <c r="A165" s="198"/>
      <c r="B165" s="198"/>
      <c r="C165" s="198"/>
      <c r="D165" s="210"/>
      <c r="E165" s="198"/>
      <c r="F165" s="198"/>
      <c r="G165" s="98"/>
      <c r="H165" s="198"/>
    </row>
    <row r="166">
      <c r="A166" s="198"/>
      <c r="B166" s="198"/>
      <c r="C166" s="198"/>
      <c r="D166" s="210"/>
      <c r="E166" s="198"/>
      <c r="F166" s="198"/>
      <c r="G166" s="98"/>
      <c r="H166" s="198"/>
    </row>
    <row r="167">
      <c r="A167" s="198"/>
      <c r="B167" s="198"/>
      <c r="C167" s="198"/>
      <c r="D167" s="210"/>
      <c r="E167" s="198"/>
      <c r="F167" s="198"/>
      <c r="G167" s="98"/>
      <c r="H167" s="198"/>
    </row>
    <row r="168">
      <c r="A168" s="198"/>
      <c r="B168" s="198"/>
      <c r="C168" s="198"/>
      <c r="D168" s="210"/>
      <c r="E168" s="198"/>
      <c r="F168" s="198"/>
      <c r="G168" s="98"/>
      <c r="H168" s="198"/>
    </row>
    <row r="169">
      <c r="A169" s="198"/>
      <c r="B169" s="198"/>
      <c r="C169" s="198"/>
      <c r="D169" s="210"/>
      <c r="E169" s="198"/>
      <c r="F169" s="198"/>
      <c r="G169" s="98"/>
      <c r="H169" s="198"/>
    </row>
    <row r="170">
      <c r="A170" s="198"/>
      <c r="B170" s="198"/>
      <c r="C170" s="198"/>
      <c r="D170" s="210"/>
      <c r="E170" s="198"/>
      <c r="F170" s="198"/>
      <c r="G170" s="98"/>
      <c r="H170" s="198"/>
    </row>
    <row r="171">
      <c r="A171" s="198"/>
      <c r="B171" s="198"/>
      <c r="C171" s="198"/>
      <c r="D171" s="210"/>
      <c r="E171" s="198"/>
      <c r="F171" s="198"/>
      <c r="G171" s="98"/>
      <c r="H171" s="198"/>
    </row>
    <row r="172">
      <c r="A172" s="198"/>
      <c r="B172" s="198"/>
      <c r="C172" s="198"/>
      <c r="D172" s="210"/>
      <c r="E172" s="198"/>
      <c r="F172" s="198"/>
      <c r="G172" s="98"/>
      <c r="H172" s="198"/>
    </row>
    <row r="173">
      <c r="A173" s="198"/>
      <c r="B173" s="198"/>
      <c r="C173" s="198"/>
      <c r="D173" s="210"/>
      <c r="E173" s="198"/>
      <c r="F173" s="198"/>
      <c r="G173" s="98"/>
      <c r="H173" s="198"/>
    </row>
    <row r="174">
      <c r="A174" s="198"/>
      <c r="B174" s="198"/>
      <c r="C174" s="198"/>
      <c r="D174" s="210"/>
      <c r="E174" s="198"/>
      <c r="F174" s="198"/>
      <c r="G174" s="98"/>
      <c r="H174" s="198"/>
    </row>
    <row r="175">
      <c r="A175" s="198"/>
      <c r="B175" s="198"/>
      <c r="C175" s="198"/>
      <c r="D175" s="210"/>
      <c r="E175" s="198"/>
      <c r="F175" s="198"/>
      <c r="G175" s="98"/>
      <c r="H175" s="198"/>
    </row>
    <row r="176">
      <c r="A176" s="198"/>
      <c r="B176" s="198"/>
      <c r="C176" s="198"/>
      <c r="D176" s="210"/>
      <c r="E176" s="198"/>
      <c r="F176" s="198"/>
      <c r="G176" s="98"/>
      <c r="H176" s="198"/>
    </row>
    <row r="177">
      <c r="A177" s="198"/>
      <c r="B177" s="198"/>
      <c r="C177" s="198"/>
      <c r="D177" s="210"/>
      <c r="E177" s="198"/>
      <c r="F177" s="198"/>
      <c r="G177" s="98"/>
      <c r="H177" s="198"/>
    </row>
    <row r="178">
      <c r="A178" s="198"/>
      <c r="B178" s="198"/>
      <c r="C178" s="198"/>
      <c r="D178" s="210"/>
      <c r="E178" s="198"/>
      <c r="F178" s="198"/>
      <c r="G178" s="98"/>
      <c r="H178" s="198"/>
    </row>
    <row r="179">
      <c r="A179" s="198"/>
      <c r="B179" s="198"/>
      <c r="C179" s="198"/>
      <c r="D179" s="210"/>
      <c r="E179" s="198"/>
      <c r="F179" s="198"/>
      <c r="G179" s="98"/>
      <c r="H179" s="198"/>
    </row>
    <row r="180">
      <c r="A180" s="198"/>
      <c r="B180" s="198"/>
      <c r="C180" s="198"/>
      <c r="D180" s="210"/>
      <c r="E180" s="198"/>
      <c r="F180" s="198"/>
      <c r="G180" s="98"/>
      <c r="H180" s="198"/>
    </row>
    <row r="181">
      <c r="A181" s="198"/>
      <c r="B181" s="198"/>
      <c r="C181" s="198"/>
      <c r="D181" s="210"/>
      <c r="E181" s="198"/>
      <c r="F181" s="198"/>
      <c r="G181" s="98"/>
      <c r="H181" s="198"/>
    </row>
    <row r="182">
      <c r="A182" s="198"/>
      <c r="B182" s="198"/>
      <c r="C182" s="198"/>
      <c r="D182" s="210"/>
      <c r="E182" s="198"/>
      <c r="F182" s="198"/>
      <c r="G182" s="98"/>
      <c r="H182" s="198"/>
    </row>
    <row r="183">
      <c r="A183" s="198"/>
      <c r="B183" s="198"/>
      <c r="C183" s="198"/>
      <c r="D183" s="210"/>
      <c r="E183" s="198"/>
      <c r="F183" s="198"/>
      <c r="G183" s="98"/>
      <c r="H183" s="198"/>
    </row>
    <row r="184">
      <c r="A184" s="198"/>
      <c r="B184" s="198"/>
      <c r="C184" s="198"/>
      <c r="D184" s="210"/>
      <c r="E184" s="198"/>
      <c r="F184" s="198"/>
      <c r="G184" s="98"/>
      <c r="H184" s="198"/>
    </row>
    <row r="185">
      <c r="A185" s="198"/>
      <c r="B185" s="198"/>
      <c r="C185" s="198"/>
      <c r="D185" s="210"/>
      <c r="E185" s="198"/>
      <c r="F185" s="198"/>
      <c r="G185" s="98"/>
      <c r="H185" s="198"/>
    </row>
    <row r="186">
      <c r="A186" s="198"/>
      <c r="B186" s="198"/>
      <c r="C186" s="198"/>
      <c r="D186" s="210"/>
      <c r="E186" s="198"/>
      <c r="F186" s="198"/>
      <c r="G186" s="98"/>
      <c r="H186" s="198"/>
    </row>
    <row r="187">
      <c r="A187" s="198"/>
      <c r="B187" s="198"/>
      <c r="C187" s="198"/>
      <c r="D187" s="210"/>
      <c r="E187" s="198"/>
      <c r="F187" s="198"/>
      <c r="G187" s="98"/>
      <c r="H187" s="198"/>
    </row>
    <row r="188">
      <c r="A188" s="198"/>
      <c r="B188" s="198"/>
      <c r="C188" s="198"/>
      <c r="D188" s="210"/>
      <c r="E188" s="198"/>
      <c r="F188" s="198"/>
      <c r="G188" s="98"/>
      <c r="H188" s="198"/>
    </row>
    <row r="189">
      <c r="A189" s="198"/>
      <c r="B189" s="198"/>
      <c r="C189" s="198"/>
      <c r="D189" s="210"/>
      <c r="E189" s="198"/>
      <c r="F189" s="198"/>
      <c r="G189" s="98"/>
      <c r="H189" s="198"/>
    </row>
    <row r="190">
      <c r="A190" s="198"/>
      <c r="B190" s="198"/>
      <c r="C190" s="198"/>
      <c r="D190" s="210"/>
      <c r="E190" s="198"/>
      <c r="F190" s="198"/>
      <c r="G190" s="98"/>
      <c r="H190" s="198"/>
    </row>
    <row r="191">
      <c r="A191" s="198"/>
      <c r="B191" s="198"/>
      <c r="C191" s="198"/>
      <c r="D191" s="210"/>
      <c r="E191" s="198"/>
      <c r="F191" s="198"/>
      <c r="G191" s="98"/>
      <c r="H191" s="198"/>
    </row>
    <row r="192">
      <c r="A192" s="198"/>
      <c r="B192" s="198"/>
      <c r="C192" s="198"/>
      <c r="D192" s="210"/>
      <c r="E192" s="198"/>
      <c r="F192" s="198"/>
      <c r="G192" s="98"/>
      <c r="H192" s="198"/>
    </row>
    <row r="193">
      <c r="A193" s="198"/>
      <c r="B193" s="198"/>
      <c r="C193" s="198"/>
      <c r="D193" s="210"/>
      <c r="E193" s="198"/>
      <c r="F193" s="198"/>
      <c r="G193" s="98"/>
      <c r="H193" s="198"/>
    </row>
    <row r="194">
      <c r="A194" s="198"/>
      <c r="B194" s="198"/>
      <c r="C194" s="198"/>
      <c r="D194" s="210"/>
      <c r="E194" s="198"/>
      <c r="F194" s="198"/>
      <c r="G194" s="98"/>
      <c r="H194" s="198"/>
    </row>
    <row r="195">
      <c r="A195" s="198"/>
      <c r="B195" s="198"/>
      <c r="C195" s="198"/>
      <c r="D195" s="210"/>
      <c r="E195" s="198"/>
      <c r="F195" s="198"/>
      <c r="G195" s="98"/>
      <c r="H195" s="198"/>
    </row>
    <row r="196">
      <c r="A196" s="198"/>
      <c r="B196" s="198"/>
      <c r="C196" s="198"/>
      <c r="D196" s="210"/>
      <c r="E196" s="198"/>
      <c r="F196" s="198"/>
      <c r="G196" s="98"/>
      <c r="H196" s="198"/>
    </row>
    <row r="197">
      <c r="A197" s="198"/>
      <c r="B197" s="198"/>
      <c r="C197" s="198"/>
      <c r="D197" s="210"/>
      <c r="E197" s="198"/>
      <c r="F197" s="198"/>
      <c r="G197" s="98"/>
      <c r="H197" s="198"/>
    </row>
    <row r="198">
      <c r="A198" s="198"/>
      <c r="B198" s="198"/>
      <c r="C198" s="198"/>
      <c r="D198" s="210"/>
      <c r="E198" s="198"/>
      <c r="F198" s="198"/>
      <c r="G198" s="98"/>
      <c r="H198" s="198"/>
    </row>
    <row r="199">
      <c r="A199" s="198"/>
      <c r="B199" s="198"/>
      <c r="C199" s="198"/>
      <c r="D199" s="210"/>
      <c r="E199" s="198"/>
      <c r="F199" s="198"/>
      <c r="G199" s="98"/>
      <c r="H199" s="198"/>
    </row>
    <row r="200">
      <c r="A200" s="198"/>
      <c r="B200" s="198"/>
      <c r="C200" s="198"/>
      <c r="D200" s="210"/>
      <c r="E200" s="198"/>
      <c r="F200" s="198"/>
      <c r="G200" s="98"/>
      <c r="H200" s="198"/>
    </row>
    <row r="201">
      <c r="A201" s="198"/>
      <c r="B201" s="198"/>
      <c r="C201" s="198"/>
      <c r="D201" s="210"/>
      <c r="E201" s="198"/>
      <c r="F201" s="198"/>
      <c r="G201" s="98"/>
      <c r="H201" s="198"/>
    </row>
    <row r="202">
      <c r="A202" s="198"/>
      <c r="B202" s="198"/>
      <c r="C202" s="198"/>
      <c r="D202" s="210"/>
      <c r="E202" s="198"/>
      <c r="F202" s="198"/>
      <c r="G202" s="98"/>
      <c r="H202" s="198"/>
    </row>
    <row r="203">
      <c r="A203" s="198"/>
      <c r="B203" s="198"/>
      <c r="C203" s="198"/>
      <c r="D203" s="210"/>
      <c r="E203" s="198"/>
      <c r="F203" s="198"/>
      <c r="G203" s="98"/>
      <c r="H203" s="198"/>
    </row>
    <row r="204">
      <c r="A204" s="198"/>
      <c r="B204" s="198"/>
      <c r="C204" s="198"/>
      <c r="D204" s="210"/>
      <c r="E204" s="198"/>
      <c r="F204" s="198"/>
      <c r="G204" s="98"/>
      <c r="H204" s="198"/>
    </row>
    <row r="205">
      <c r="A205" s="198"/>
      <c r="B205" s="198"/>
      <c r="C205" s="198"/>
      <c r="D205" s="210"/>
      <c r="E205" s="198"/>
      <c r="F205" s="198"/>
      <c r="G205" s="98"/>
      <c r="H205" s="198"/>
    </row>
    <row r="206">
      <c r="A206" s="198"/>
      <c r="B206" s="198"/>
      <c r="C206" s="198"/>
      <c r="D206" s="210"/>
      <c r="E206" s="198"/>
      <c r="F206" s="198"/>
      <c r="G206" s="98"/>
      <c r="H206" s="198"/>
    </row>
    <row r="207">
      <c r="A207" s="198"/>
      <c r="B207" s="198"/>
      <c r="C207" s="198"/>
      <c r="D207" s="210"/>
      <c r="E207" s="198"/>
      <c r="F207" s="198"/>
      <c r="G207" s="98"/>
      <c r="H207" s="198"/>
    </row>
    <row r="208">
      <c r="A208" s="198"/>
      <c r="B208" s="198"/>
      <c r="C208" s="198"/>
      <c r="D208" s="210"/>
      <c r="E208" s="198"/>
      <c r="F208" s="198"/>
      <c r="G208" s="98"/>
      <c r="H208" s="198"/>
    </row>
    <row r="209">
      <c r="A209" s="198"/>
      <c r="B209" s="198"/>
      <c r="C209" s="198"/>
      <c r="D209" s="210"/>
      <c r="E209" s="198"/>
      <c r="F209" s="198"/>
      <c r="G209" s="98"/>
      <c r="H209" s="198"/>
    </row>
    <row r="210">
      <c r="A210" s="198"/>
      <c r="B210" s="198"/>
      <c r="C210" s="198"/>
      <c r="D210" s="210"/>
      <c r="E210" s="198"/>
      <c r="F210" s="198"/>
      <c r="G210" s="98"/>
      <c r="H210" s="198"/>
    </row>
    <row r="211">
      <c r="A211" s="198"/>
      <c r="B211" s="198"/>
      <c r="C211" s="198"/>
      <c r="D211" s="210"/>
      <c r="E211" s="198"/>
      <c r="F211" s="198"/>
      <c r="G211" s="98"/>
      <c r="H211" s="198"/>
    </row>
    <row r="212">
      <c r="A212" s="198"/>
      <c r="B212" s="198"/>
      <c r="C212" s="198"/>
      <c r="D212" s="210"/>
      <c r="E212" s="198"/>
      <c r="F212" s="198"/>
      <c r="G212" s="98"/>
      <c r="H212" s="198"/>
    </row>
    <row r="213">
      <c r="A213" s="198"/>
      <c r="B213" s="198"/>
      <c r="C213" s="198"/>
      <c r="D213" s="210"/>
      <c r="E213" s="198"/>
      <c r="F213" s="198"/>
      <c r="G213" s="98"/>
      <c r="H213" s="198"/>
    </row>
    <row r="214">
      <c r="A214" s="198"/>
      <c r="B214" s="198"/>
      <c r="C214" s="198"/>
      <c r="D214" s="210"/>
      <c r="E214" s="198"/>
      <c r="F214" s="198"/>
      <c r="G214" s="98"/>
      <c r="H214" s="198"/>
    </row>
    <row r="215">
      <c r="A215" s="198"/>
      <c r="B215" s="198"/>
      <c r="C215" s="198"/>
      <c r="D215" s="210"/>
      <c r="E215" s="198"/>
      <c r="F215" s="198"/>
      <c r="G215" s="98"/>
      <c r="H215" s="198"/>
    </row>
    <row r="216">
      <c r="A216" s="198"/>
      <c r="B216" s="198"/>
      <c r="C216" s="198"/>
      <c r="D216" s="210"/>
      <c r="E216" s="198"/>
      <c r="F216" s="198"/>
      <c r="G216" s="98"/>
      <c r="H216" s="198"/>
    </row>
    <row r="217">
      <c r="A217" s="198"/>
      <c r="B217" s="198"/>
      <c r="C217" s="198"/>
      <c r="D217" s="210"/>
      <c r="E217" s="198"/>
      <c r="F217" s="198"/>
      <c r="G217" s="98"/>
      <c r="H217" s="198"/>
    </row>
    <row r="218">
      <c r="A218" s="198"/>
      <c r="B218" s="198"/>
      <c r="C218" s="198"/>
      <c r="D218" s="210"/>
      <c r="E218" s="198"/>
      <c r="F218" s="198"/>
      <c r="G218" s="98"/>
      <c r="H218" s="198"/>
    </row>
    <row r="219">
      <c r="A219" s="198"/>
      <c r="B219" s="198"/>
      <c r="C219" s="198"/>
      <c r="D219" s="210"/>
      <c r="E219" s="198"/>
      <c r="F219" s="198"/>
      <c r="G219" s="98"/>
      <c r="H219" s="198"/>
    </row>
    <row r="220">
      <c r="A220" s="198"/>
      <c r="B220" s="198"/>
      <c r="C220" s="198"/>
      <c r="D220" s="210"/>
      <c r="E220" s="198"/>
      <c r="F220" s="198"/>
      <c r="G220" s="98"/>
      <c r="H220" s="198"/>
    </row>
    <row r="221">
      <c r="A221" s="198"/>
      <c r="B221" s="198"/>
      <c r="C221" s="198"/>
      <c r="D221" s="210"/>
      <c r="E221" s="198"/>
      <c r="F221" s="198"/>
      <c r="G221" s="98"/>
      <c r="H221" s="198"/>
    </row>
    <row r="222">
      <c r="A222" s="198"/>
      <c r="B222" s="198"/>
      <c r="C222" s="198"/>
      <c r="D222" s="210"/>
      <c r="E222" s="198"/>
      <c r="F222" s="198"/>
      <c r="G222" s="98"/>
      <c r="H222" s="198"/>
    </row>
    <row r="223">
      <c r="A223" s="198"/>
      <c r="B223" s="198"/>
      <c r="C223" s="198"/>
      <c r="D223" s="210"/>
      <c r="E223" s="198"/>
      <c r="F223" s="198"/>
      <c r="G223" s="98"/>
      <c r="H223" s="198"/>
    </row>
    <row r="224">
      <c r="A224" s="198"/>
      <c r="B224" s="198"/>
      <c r="C224" s="198"/>
      <c r="D224" s="210"/>
      <c r="E224" s="198"/>
      <c r="F224" s="198"/>
      <c r="G224" s="98"/>
      <c r="H224" s="198"/>
    </row>
    <row r="225">
      <c r="A225" s="198"/>
      <c r="B225" s="198"/>
      <c r="C225" s="198"/>
      <c r="D225" s="210"/>
      <c r="E225" s="198"/>
      <c r="F225" s="198"/>
      <c r="G225" s="98"/>
      <c r="H225" s="198"/>
    </row>
    <row r="226">
      <c r="A226" s="198"/>
      <c r="B226" s="198"/>
      <c r="C226" s="198"/>
      <c r="D226" s="210"/>
      <c r="E226" s="198"/>
      <c r="F226" s="198"/>
      <c r="G226" s="98"/>
      <c r="H226" s="198"/>
    </row>
    <row r="227">
      <c r="A227" s="198"/>
      <c r="B227" s="198"/>
      <c r="C227" s="198"/>
      <c r="D227" s="210"/>
      <c r="E227" s="198"/>
      <c r="F227" s="198"/>
      <c r="G227" s="98"/>
      <c r="H227" s="198"/>
    </row>
    <row r="228">
      <c r="A228" s="198"/>
      <c r="B228" s="198"/>
      <c r="C228" s="198"/>
      <c r="D228" s="210"/>
      <c r="E228" s="198"/>
      <c r="F228" s="198"/>
      <c r="G228" s="98"/>
      <c r="H228" s="198"/>
    </row>
    <row r="229">
      <c r="A229" s="198"/>
      <c r="B229" s="198"/>
      <c r="C229" s="198"/>
      <c r="D229" s="210"/>
      <c r="E229" s="198"/>
      <c r="F229" s="198"/>
      <c r="G229" s="98"/>
      <c r="H229" s="198"/>
    </row>
    <row r="230">
      <c r="A230" s="198"/>
      <c r="B230" s="198"/>
      <c r="C230" s="198"/>
      <c r="D230" s="210"/>
      <c r="E230" s="198"/>
      <c r="F230" s="198"/>
      <c r="G230" s="98"/>
      <c r="H230" s="198"/>
    </row>
    <row r="231">
      <c r="A231" s="198"/>
      <c r="B231" s="198"/>
      <c r="C231" s="198"/>
      <c r="D231" s="210"/>
      <c r="E231" s="198"/>
      <c r="F231" s="198"/>
      <c r="G231" s="98"/>
      <c r="H231" s="198"/>
    </row>
    <row r="232">
      <c r="A232" s="198"/>
      <c r="B232" s="198"/>
      <c r="C232" s="198"/>
      <c r="D232" s="210"/>
      <c r="E232" s="198"/>
      <c r="F232" s="198"/>
      <c r="G232" s="98"/>
      <c r="H232" s="198"/>
    </row>
    <row r="233">
      <c r="A233" s="198"/>
      <c r="B233" s="198"/>
      <c r="C233" s="198"/>
      <c r="D233" s="210"/>
      <c r="E233" s="198"/>
      <c r="F233" s="198"/>
      <c r="G233" s="98"/>
      <c r="H233" s="198"/>
    </row>
    <row r="234">
      <c r="A234" s="198"/>
      <c r="B234" s="198"/>
      <c r="C234" s="198"/>
      <c r="D234" s="210"/>
      <c r="E234" s="198"/>
      <c r="F234" s="198"/>
      <c r="G234" s="98"/>
      <c r="H234" s="198"/>
    </row>
    <row r="235">
      <c r="A235" s="198"/>
      <c r="B235" s="198"/>
      <c r="C235" s="198"/>
      <c r="D235" s="210"/>
      <c r="E235" s="198"/>
      <c r="F235" s="198"/>
      <c r="G235" s="98"/>
      <c r="H235" s="198"/>
    </row>
    <row r="236">
      <c r="A236" s="198"/>
      <c r="B236" s="198"/>
      <c r="C236" s="198"/>
      <c r="D236" s="210"/>
      <c r="E236" s="198"/>
      <c r="F236" s="198"/>
      <c r="G236" s="98"/>
      <c r="H236" s="198"/>
    </row>
    <row r="237">
      <c r="A237" s="198"/>
      <c r="B237" s="198"/>
      <c r="C237" s="198"/>
      <c r="D237" s="210"/>
      <c r="E237" s="198"/>
      <c r="F237" s="198"/>
      <c r="G237" s="98"/>
      <c r="H237" s="198"/>
    </row>
    <row r="238">
      <c r="A238" s="198"/>
      <c r="B238" s="198"/>
      <c r="C238" s="198"/>
      <c r="D238" s="210"/>
      <c r="E238" s="198"/>
      <c r="F238" s="198"/>
      <c r="G238" s="98"/>
      <c r="H238" s="198"/>
    </row>
    <row r="239">
      <c r="A239" s="198"/>
      <c r="B239" s="198"/>
      <c r="C239" s="198"/>
      <c r="D239" s="210"/>
      <c r="E239" s="198"/>
      <c r="F239" s="198"/>
      <c r="G239" s="98"/>
      <c r="H239" s="198"/>
    </row>
    <row r="240">
      <c r="A240" s="198"/>
      <c r="B240" s="198"/>
      <c r="C240" s="198"/>
      <c r="D240" s="210"/>
      <c r="E240" s="198"/>
      <c r="F240" s="198"/>
      <c r="G240" s="98"/>
      <c r="H240" s="198"/>
    </row>
    <row r="241">
      <c r="A241" s="198"/>
      <c r="B241" s="198"/>
      <c r="C241" s="198"/>
      <c r="D241" s="210"/>
      <c r="E241" s="198"/>
      <c r="F241" s="198"/>
      <c r="G241" s="98"/>
      <c r="H241" s="198"/>
    </row>
    <row r="242">
      <c r="A242" s="198"/>
      <c r="B242" s="198"/>
      <c r="C242" s="198"/>
      <c r="D242" s="210"/>
      <c r="E242" s="198"/>
      <c r="F242" s="198"/>
      <c r="G242" s="98"/>
      <c r="H242" s="198"/>
    </row>
    <row r="243">
      <c r="A243" s="198"/>
      <c r="B243" s="198"/>
      <c r="C243" s="198"/>
      <c r="D243" s="210"/>
      <c r="E243" s="198"/>
      <c r="F243" s="198"/>
      <c r="G243" s="98"/>
      <c r="H243" s="198"/>
    </row>
    <row r="244">
      <c r="A244" s="198"/>
      <c r="B244" s="198"/>
      <c r="C244" s="198"/>
      <c r="D244" s="210"/>
      <c r="E244" s="198"/>
      <c r="F244" s="198"/>
      <c r="G244" s="98"/>
      <c r="H244" s="198"/>
    </row>
    <row r="245">
      <c r="A245" s="198"/>
      <c r="B245" s="198"/>
      <c r="C245" s="198"/>
      <c r="D245" s="210"/>
      <c r="E245" s="198"/>
      <c r="F245" s="198"/>
      <c r="G245" s="98"/>
      <c r="H245" s="198"/>
    </row>
    <row r="246">
      <c r="A246" s="198"/>
      <c r="B246" s="198"/>
      <c r="C246" s="198"/>
      <c r="D246" s="210"/>
      <c r="E246" s="198"/>
      <c r="F246" s="198"/>
      <c r="G246" s="98"/>
      <c r="H246" s="198"/>
    </row>
    <row r="247">
      <c r="A247" s="198"/>
      <c r="B247" s="198"/>
      <c r="C247" s="198"/>
      <c r="D247" s="210"/>
      <c r="E247" s="198"/>
      <c r="F247" s="198"/>
      <c r="G247" s="98"/>
      <c r="H247" s="198"/>
    </row>
    <row r="248">
      <c r="A248" s="198"/>
      <c r="B248" s="198"/>
      <c r="C248" s="198"/>
      <c r="D248" s="210"/>
      <c r="E248" s="198"/>
      <c r="F248" s="198"/>
      <c r="G248" s="98"/>
      <c r="H248" s="198"/>
    </row>
    <row r="249">
      <c r="A249" s="198"/>
      <c r="B249" s="198"/>
      <c r="C249" s="198"/>
      <c r="D249" s="210"/>
      <c r="E249" s="198"/>
      <c r="F249" s="198"/>
      <c r="G249" s="98"/>
      <c r="H249" s="198"/>
    </row>
    <row r="250">
      <c r="A250" s="198"/>
      <c r="B250" s="198"/>
      <c r="C250" s="198"/>
      <c r="D250" s="210"/>
      <c r="E250" s="198"/>
      <c r="F250" s="198"/>
      <c r="G250" s="98"/>
      <c r="H250" s="198"/>
    </row>
    <row r="251">
      <c r="A251" s="198"/>
      <c r="B251" s="198"/>
      <c r="C251" s="198"/>
      <c r="D251" s="210"/>
      <c r="E251" s="198"/>
      <c r="F251" s="198"/>
      <c r="G251" s="98"/>
      <c r="H251" s="198"/>
    </row>
    <row r="252">
      <c r="A252" s="198"/>
      <c r="B252" s="198"/>
      <c r="C252" s="198"/>
      <c r="D252" s="210"/>
      <c r="E252" s="198"/>
      <c r="F252" s="198"/>
      <c r="G252" s="98"/>
      <c r="H252" s="198"/>
    </row>
    <row r="253">
      <c r="A253" s="198"/>
      <c r="B253" s="198"/>
      <c r="C253" s="198"/>
      <c r="D253" s="210"/>
      <c r="E253" s="198"/>
      <c r="F253" s="198"/>
      <c r="G253" s="98"/>
      <c r="H253" s="198"/>
    </row>
    <row r="254">
      <c r="A254" s="198"/>
      <c r="B254" s="198"/>
      <c r="C254" s="198"/>
      <c r="D254" s="210"/>
      <c r="E254" s="198"/>
      <c r="F254" s="198"/>
      <c r="G254" s="98"/>
      <c r="H254" s="198"/>
    </row>
    <row r="255">
      <c r="A255" s="198"/>
      <c r="B255" s="198"/>
      <c r="C255" s="198"/>
      <c r="D255" s="210"/>
      <c r="E255" s="198"/>
      <c r="F255" s="198"/>
      <c r="G255" s="98"/>
      <c r="H255" s="198"/>
    </row>
    <row r="256">
      <c r="A256" s="198"/>
      <c r="B256" s="198"/>
      <c r="C256" s="198"/>
      <c r="D256" s="210"/>
      <c r="E256" s="198"/>
      <c r="F256" s="198"/>
      <c r="G256" s="98"/>
      <c r="H256" s="198"/>
    </row>
    <row r="257">
      <c r="A257" s="198"/>
      <c r="B257" s="198"/>
      <c r="C257" s="198"/>
      <c r="D257" s="210"/>
      <c r="E257" s="198"/>
      <c r="F257" s="198"/>
      <c r="G257" s="98"/>
      <c r="H257" s="198"/>
    </row>
    <row r="258">
      <c r="A258" s="198"/>
      <c r="B258" s="198"/>
      <c r="C258" s="198"/>
      <c r="D258" s="210"/>
      <c r="E258" s="198"/>
      <c r="F258" s="198"/>
      <c r="G258" s="98"/>
      <c r="H258" s="198"/>
    </row>
    <row r="259">
      <c r="A259" s="198"/>
      <c r="B259" s="198"/>
      <c r="C259" s="198"/>
      <c r="D259" s="210"/>
      <c r="E259" s="198"/>
      <c r="F259" s="198"/>
      <c r="G259" s="98"/>
      <c r="H259" s="198"/>
    </row>
    <row r="260">
      <c r="A260" s="198"/>
      <c r="B260" s="198"/>
      <c r="C260" s="198"/>
      <c r="D260" s="210"/>
      <c r="E260" s="198"/>
      <c r="F260" s="198"/>
      <c r="G260" s="98"/>
      <c r="H260" s="198"/>
    </row>
    <row r="261">
      <c r="A261" s="198"/>
      <c r="B261" s="198"/>
      <c r="C261" s="198"/>
      <c r="D261" s="210"/>
      <c r="E261" s="198"/>
      <c r="F261" s="198"/>
      <c r="G261" s="98"/>
      <c r="H261" s="198"/>
    </row>
    <row r="262">
      <c r="A262" s="198"/>
      <c r="B262" s="198"/>
      <c r="C262" s="198"/>
      <c r="D262" s="210"/>
      <c r="E262" s="198"/>
      <c r="F262" s="198"/>
      <c r="G262" s="98"/>
      <c r="H262" s="198"/>
    </row>
    <row r="263">
      <c r="A263" s="198"/>
      <c r="B263" s="198"/>
      <c r="C263" s="198"/>
      <c r="D263" s="210"/>
      <c r="E263" s="198"/>
      <c r="F263" s="198"/>
      <c r="G263" s="98"/>
      <c r="H263" s="198"/>
    </row>
    <row r="264">
      <c r="A264" s="198"/>
      <c r="B264" s="198"/>
      <c r="C264" s="198"/>
      <c r="D264" s="210"/>
      <c r="E264" s="198"/>
      <c r="F264" s="198"/>
      <c r="G264" s="98"/>
      <c r="H264" s="198"/>
    </row>
    <row r="265">
      <c r="A265" s="198"/>
      <c r="B265" s="198"/>
      <c r="C265" s="198"/>
      <c r="D265" s="210"/>
      <c r="E265" s="198"/>
      <c r="F265" s="198"/>
      <c r="G265" s="98"/>
      <c r="H265" s="198"/>
    </row>
    <row r="266">
      <c r="A266" s="198"/>
      <c r="B266" s="198"/>
      <c r="C266" s="198"/>
      <c r="D266" s="210"/>
      <c r="E266" s="198"/>
      <c r="F266" s="198"/>
      <c r="G266" s="98"/>
      <c r="H266" s="198"/>
    </row>
    <row r="267">
      <c r="A267" s="198"/>
      <c r="B267" s="198"/>
      <c r="C267" s="198"/>
      <c r="D267" s="210"/>
      <c r="E267" s="198"/>
      <c r="F267" s="198"/>
      <c r="G267" s="98"/>
      <c r="H267" s="198"/>
    </row>
    <row r="268">
      <c r="A268" s="198"/>
      <c r="B268" s="198"/>
      <c r="C268" s="198"/>
      <c r="D268" s="210"/>
      <c r="E268" s="198"/>
      <c r="F268" s="198"/>
      <c r="G268" s="98"/>
      <c r="H268" s="198"/>
    </row>
    <row r="269">
      <c r="A269" s="198"/>
      <c r="B269" s="198"/>
      <c r="C269" s="198"/>
      <c r="D269" s="210"/>
      <c r="E269" s="198"/>
      <c r="F269" s="198"/>
      <c r="G269" s="98"/>
      <c r="H269" s="198"/>
    </row>
    <row r="270">
      <c r="A270" s="198"/>
      <c r="B270" s="198"/>
      <c r="C270" s="198"/>
      <c r="D270" s="210"/>
      <c r="E270" s="198"/>
      <c r="F270" s="198"/>
      <c r="G270" s="98"/>
      <c r="H270" s="198"/>
    </row>
    <row r="271">
      <c r="A271" s="198"/>
      <c r="B271" s="198"/>
      <c r="C271" s="198"/>
      <c r="D271" s="210"/>
      <c r="E271" s="198"/>
      <c r="F271" s="198"/>
      <c r="G271" s="98"/>
      <c r="H271" s="198"/>
    </row>
    <row r="272">
      <c r="A272" s="198"/>
      <c r="B272" s="198"/>
      <c r="C272" s="198"/>
      <c r="D272" s="210"/>
      <c r="E272" s="198"/>
      <c r="F272" s="198"/>
      <c r="G272" s="98"/>
      <c r="H272" s="198"/>
    </row>
    <row r="273">
      <c r="A273" s="198"/>
      <c r="B273" s="198"/>
      <c r="C273" s="198"/>
      <c r="D273" s="210"/>
      <c r="E273" s="198"/>
      <c r="F273" s="198"/>
      <c r="G273" s="98"/>
      <c r="H273" s="198"/>
    </row>
    <row r="274">
      <c r="A274" s="198"/>
      <c r="B274" s="198"/>
      <c r="C274" s="198"/>
      <c r="D274" s="210"/>
      <c r="E274" s="198"/>
      <c r="F274" s="198"/>
      <c r="G274" s="98"/>
      <c r="H274" s="198"/>
    </row>
    <row r="275">
      <c r="A275" s="198"/>
      <c r="B275" s="198"/>
      <c r="C275" s="198"/>
      <c r="D275" s="210"/>
      <c r="E275" s="198"/>
      <c r="F275" s="198"/>
      <c r="G275" s="98"/>
      <c r="H275" s="198"/>
    </row>
    <row r="276">
      <c r="A276" s="198"/>
      <c r="B276" s="198"/>
      <c r="C276" s="198"/>
      <c r="D276" s="210"/>
      <c r="E276" s="198"/>
      <c r="F276" s="198"/>
      <c r="G276" s="98"/>
      <c r="H276" s="198"/>
    </row>
    <row r="277">
      <c r="A277" s="198"/>
      <c r="B277" s="198"/>
      <c r="C277" s="198"/>
      <c r="D277" s="210"/>
      <c r="E277" s="198"/>
      <c r="F277" s="198"/>
      <c r="G277" s="98"/>
      <c r="H277" s="198"/>
    </row>
    <row r="278">
      <c r="A278" s="198"/>
      <c r="B278" s="198"/>
      <c r="C278" s="198"/>
      <c r="D278" s="210"/>
      <c r="E278" s="198"/>
      <c r="F278" s="198"/>
      <c r="G278" s="98"/>
      <c r="H278" s="198"/>
    </row>
    <row r="279">
      <c r="A279" s="198"/>
      <c r="B279" s="198"/>
      <c r="C279" s="198"/>
      <c r="D279" s="210"/>
      <c r="E279" s="198"/>
      <c r="F279" s="198"/>
      <c r="G279" s="98"/>
      <c r="H279" s="198"/>
    </row>
    <row r="280">
      <c r="A280" s="198"/>
      <c r="B280" s="198"/>
      <c r="C280" s="198"/>
      <c r="D280" s="210"/>
      <c r="E280" s="198"/>
      <c r="F280" s="198"/>
      <c r="G280" s="98"/>
      <c r="H280" s="198"/>
    </row>
    <row r="281">
      <c r="A281" s="198"/>
      <c r="B281" s="198"/>
      <c r="C281" s="198"/>
      <c r="D281" s="210"/>
      <c r="E281" s="198"/>
      <c r="F281" s="198"/>
      <c r="G281" s="98"/>
      <c r="H281" s="198"/>
    </row>
    <row r="282">
      <c r="A282" s="198"/>
      <c r="B282" s="198"/>
      <c r="C282" s="198"/>
      <c r="D282" s="210"/>
      <c r="E282" s="198"/>
      <c r="F282" s="198"/>
      <c r="G282" s="98"/>
      <c r="H282" s="198"/>
    </row>
    <row r="283">
      <c r="A283" s="198"/>
      <c r="B283" s="198"/>
      <c r="C283" s="198"/>
      <c r="D283" s="210"/>
      <c r="E283" s="198"/>
      <c r="F283" s="198"/>
      <c r="G283" s="98"/>
      <c r="H283" s="198"/>
    </row>
    <row r="284">
      <c r="A284" s="198"/>
      <c r="B284" s="198"/>
      <c r="C284" s="198"/>
      <c r="D284" s="210"/>
      <c r="E284" s="198"/>
      <c r="F284" s="198"/>
      <c r="G284" s="98"/>
      <c r="H284" s="198"/>
    </row>
    <row r="285">
      <c r="A285" s="198"/>
      <c r="B285" s="198"/>
      <c r="C285" s="198"/>
      <c r="D285" s="210"/>
      <c r="E285" s="198"/>
      <c r="F285" s="198"/>
      <c r="G285" s="98"/>
      <c r="H285" s="198"/>
    </row>
    <row r="286">
      <c r="A286" s="198"/>
      <c r="B286" s="198"/>
      <c r="C286" s="198"/>
      <c r="D286" s="210"/>
      <c r="E286" s="198"/>
      <c r="F286" s="198"/>
      <c r="G286" s="98"/>
      <c r="H286" s="198"/>
    </row>
    <row r="287">
      <c r="A287" s="198"/>
      <c r="B287" s="198"/>
      <c r="C287" s="198"/>
      <c r="D287" s="210"/>
      <c r="E287" s="198"/>
      <c r="F287" s="198"/>
      <c r="G287" s="98"/>
      <c r="H287" s="198"/>
    </row>
    <row r="288">
      <c r="A288" s="198"/>
      <c r="B288" s="198"/>
      <c r="C288" s="198"/>
      <c r="D288" s="210"/>
      <c r="E288" s="198"/>
      <c r="F288" s="198"/>
      <c r="G288" s="98"/>
      <c r="H288" s="198"/>
    </row>
    <row r="289">
      <c r="A289" s="198"/>
      <c r="B289" s="198"/>
      <c r="C289" s="198"/>
      <c r="D289" s="210"/>
      <c r="E289" s="198"/>
      <c r="F289" s="198"/>
      <c r="G289" s="98"/>
      <c r="H289" s="198"/>
    </row>
    <row r="290">
      <c r="A290" s="198"/>
      <c r="B290" s="198"/>
      <c r="C290" s="198"/>
      <c r="D290" s="210"/>
      <c r="E290" s="198"/>
      <c r="F290" s="198"/>
      <c r="G290" s="98"/>
      <c r="H290" s="198"/>
    </row>
    <row r="291">
      <c r="A291" s="198"/>
      <c r="B291" s="198"/>
      <c r="C291" s="198"/>
      <c r="D291" s="210"/>
      <c r="E291" s="198"/>
      <c r="F291" s="198"/>
      <c r="G291" s="98"/>
      <c r="H291" s="198"/>
    </row>
    <row r="292">
      <c r="A292" s="198"/>
      <c r="B292" s="198"/>
      <c r="C292" s="198"/>
      <c r="D292" s="210"/>
      <c r="E292" s="198"/>
      <c r="F292" s="198"/>
      <c r="G292" s="98"/>
      <c r="H292" s="198"/>
    </row>
    <row r="293">
      <c r="A293" s="198"/>
      <c r="B293" s="198"/>
      <c r="C293" s="198"/>
      <c r="D293" s="210"/>
      <c r="E293" s="198"/>
      <c r="F293" s="198"/>
      <c r="G293" s="98"/>
      <c r="H293" s="198"/>
    </row>
    <row r="294">
      <c r="A294" s="198"/>
      <c r="B294" s="198"/>
      <c r="C294" s="198"/>
      <c r="D294" s="210"/>
      <c r="E294" s="198"/>
      <c r="F294" s="198"/>
      <c r="G294" s="98"/>
      <c r="H294" s="198"/>
    </row>
    <row r="295">
      <c r="A295" s="198"/>
      <c r="B295" s="198"/>
      <c r="C295" s="198"/>
      <c r="D295" s="210"/>
      <c r="E295" s="198"/>
      <c r="F295" s="198"/>
      <c r="G295" s="98"/>
      <c r="H295" s="198"/>
    </row>
    <row r="296">
      <c r="A296" s="198"/>
      <c r="B296" s="198"/>
      <c r="C296" s="198"/>
      <c r="D296" s="210"/>
      <c r="E296" s="198"/>
      <c r="F296" s="198"/>
      <c r="G296" s="98"/>
      <c r="H296" s="198"/>
    </row>
    <row r="297">
      <c r="A297" s="198"/>
      <c r="B297" s="198"/>
      <c r="C297" s="198"/>
      <c r="D297" s="210"/>
      <c r="E297" s="198"/>
      <c r="F297" s="198"/>
      <c r="G297" s="98"/>
      <c r="H297" s="198"/>
    </row>
    <row r="298">
      <c r="A298" s="198"/>
      <c r="B298" s="198"/>
      <c r="C298" s="198"/>
      <c r="D298" s="210"/>
      <c r="E298" s="198"/>
      <c r="F298" s="198"/>
      <c r="G298" s="98"/>
      <c r="H298" s="198"/>
    </row>
    <row r="299">
      <c r="A299" s="198"/>
      <c r="B299" s="198"/>
      <c r="C299" s="198"/>
      <c r="D299" s="210"/>
      <c r="E299" s="198"/>
      <c r="F299" s="198"/>
      <c r="G299" s="98"/>
      <c r="H299" s="198"/>
    </row>
    <row r="300">
      <c r="A300" s="198"/>
      <c r="B300" s="198"/>
      <c r="C300" s="198"/>
      <c r="D300" s="210"/>
      <c r="E300" s="198"/>
      <c r="F300" s="198"/>
      <c r="G300" s="98"/>
      <c r="H300" s="198"/>
    </row>
    <row r="301">
      <c r="A301" s="198"/>
      <c r="B301" s="198"/>
      <c r="C301" s="198"/>
      <c r="D301" s="210"/>
      <c r="E301" s="198"/>
      <c r="F301" s="198"/>
      <c r="G301" s="98"/>
      <c r="H301" s="198"/>
    </row>
    <row r="302">
      <c r="A302" s="198"/>
      <c r="B302" s="198"/>
      <c r="C302" s="198"/>
      <c r="D302" s="210"/>
      <c r="E302" s="198"/>
      <c r="F302" s="198"/>
      <c r="G302" s="98"/>
      <c r="H302" s="198"/>
    </row>
    <row r="303">
      <c r="A303" s="198"/>
      <c r="B303" s="198"/>
      <c r="C303" s="198"/>
      <c r="D303" s="210"/>
      <c r="E303" s="198"/>
      <c r="F303" s="198"/>
      <c r="G303" s="98"/>
      <c r="H303" s="198"/>
    </row>
    <row r="304">
      <c r="A304" s="198"/>
      <c r="B304" s="198"/>
      <c r="C304" s="198"/>
      <c r="D304" s="210"/>
      <c r="E304" s="198"/>
      <c r="F304" s="198"/>
      <c r="G304" s="98"/>
      <c r="H304" s="198"/>
    </row>
    <row r="305">
      <c r="A305" s="198"/>
      <c r="B305" s="198"/>
      <c r="C305" s="198"/>
      <c r="D305" s="210"/>
      <c r="E305" s="198"/>
      <c r="F305" s="198"/>
      <c r="G305" s="98"/>
      <c r="H305" s="198"/>
    </row>
    <row r="306">
      <c r="A306" s="198"/>
      <c r="B306" s="198"/>
      <c r="C306" s="198"/>
      <c r="D306" s="210"/>
      <c r="E306" s="198"/>
      <c r="F306" s="198"/>
      <c r="G306" s="98"/>
      <c r="H306" s="198"/>
    </row>
    <row r="307">
      <c r="A307" s="198"/>
      <c r="B307" s="198"/>
      <c r="C307" s="198"/>
      <c r="D307" s="210"/>
      <c r="E307" s="198"/>
      <c r="F307" s="198"/>
      <c r="G307" s="98"/>
      <c r="H307" s="198"/>
    </row>
    <row r="308">
      <c r="A308" s="198"/>
      <c r="B308" s="198"/>
      <c r="C308" s="198"/>
      <c r="D308" s="210"/>
      <c r="E308" s="198"/>
      <c r="F308" s="198"/>
      <c r="G308" s="98"/>
      <c r="H308" s="198"/>
    </row>
    <row r="309">
      <c r="A309" s="198"/>
      <c r="B309" s="198"/>
      <c r="C309" s="198"/>
      <c r="D309" s="210"/>
      <c r="E309" s="198"/>
      <c r="F309" s="198"/>
      <c r="G309" s="98"/>
      <c r="H309" s="198"/>
    </row>
    <row r="310">
      <c r="A310" s="198"/>
      <c r="B310" s="198"/>
      <c r="C310" s="198"/>
      <c r="D310" s="210"/>
      <c r="E310" s="198"/>
      <c r="F310" s="198"/>
      <c r="G310" s="98"/>
      <c r="H310" s="198"/>
    </row>
    <row r="311">
      <c r="A311" s="198"/>
      <c r="B311" s="198"/>
      <c r="C311" s="198"/>
      <c r="D311" s="210"/>
      <c r="E311" s="198"/>
      <c r="F311" s="198"/>
      <c r="G311" s="98"/>
      <c r="H311" s="198"/>
    </row>
    <row r="312">
      <c r="A312" s="198"/>
      <c r="B312" s="198"/>
      <c r="C312" s="198"/>
      <c r="D312" s="210"/>
      <c r="E312" s="198"/>
      <c r="F312" s="198"/>
      <c r="G312" s="98"/>
      <c r="H312" s="198"/>
    </row>
  </sheetData>
  <hyperlinks>
    <hyperlink r:id="rId2" ref="H2"/>
    <hyperlink r:id="rId3" ref="H3"/>
    <hyperlink r:id="rId4" ref="H4"/>
    <hyperlink r:id="rId5" ref="H5"/>
    <hyperlink r:id="rId6" ref="H6"/>
    <hyperlink r:id="rId7" ref="H7"/>
    <hyperlink r:id="rId8" ref="H8"/>
    <hyperlink r:id="rId9" ref="H9"/>
    <hyperlink r:id="rId10" ref="H10"/>
    <hyperlink r:id="rId11" ref="H11"/>
    <hyperlink r:id="rId12" ref="H12"/>
    <hyperlink r:id="rId13" ref="H13"/>
    <hyperlink r:id="rId14" ref="H14"/>
    <hyperlink r:id="rId15" ref="H15"/>
    <hyperlink r:id="rId16" ref="H16"/>
    <hyperlink r:id="rId17" ref="H17"/>
    <hyperlink r:id="rId18" ref="H18"/>
    <hyperlink r:id="rId19" ref="H19"/>
    <hyperlink r:id="rId20" ref="H20"/>
    <hyperlink r:id="rId21" ref="H21"/>
    <hyperlink r:id="rId22" ref="H24"/>
    <hyperlink r:id="rId23" ref="H25"/>
    <hyperlink r:id="rId24" ref="H26"/>
    <hyperlink r:id="rId25" ref="H27"/>
    <hyperlink r:id="rId26" ref="H28"/>
    <hyperlink r:id="rId27" ref="H29"/>
    <hyperlink r:id="rId28" ref="H30"/>
    <hyperlink r:id="rId29" ref="H31"/>
    <hyperlink r:id="rId30" ref="H35"/>
    <hyperlink r:id="rId31" ref="H38"/>
    <hyperlink r:id="rId32" ref="H39"/>
    <hyperlink r:id="rId33" ref="H57"/>
    <hyperlink r:id="rId34" ref="H58"/>
    <hyperlink r:id="rId35" ref="H59"/>
    <hyperlink r:id="rId36" ref="H60"/>
    <hyperlink r:id="rId37" ref="H61"/>
    <hyperlink r:id="rId38" ref="H62"/>
    <hyperlink r:id="rId39" ref="L62"/>
    <hyperlink r:id="rId40" ref="H64"/>
    <hyperlink r:id="rId41" ref="H65"/>
    <hyperlink r:id="rId42" ref="H66"/>
    <hyperlink r:id="rId43" ref="H67"/>
  </hyperlinks>
  <drawing r:id="rId44"/>
  <legacyDrawing r:id="rId45"/>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3.38"/>
    <col customWidth="1" min="2" max="2" width="14.13"/>
    <col customWidth="1" min="3" max="3" width="11.75"/>
    <col customWidth="1" min="4" max="4" width="43.63"/>
    <col customWidth="1" min="5" max="5" width="19.5"/>
    <col customWidth="1" min="6" max="6" width="45.88"/>
    <col customWidth="1" min="8" max="8" width="25.75"/>
    <col customWidth="1" min="10" max="10" width="16.13"/>
    <col customWidth="1" min="11" max="11" width="16.75"/>
  </cols>
  <sheetData>
    <row r="1" ht="54.0" customHeight="1">
      <c r="A1" s="1" t="s">
        <v>8662</v>
      </c>
      <c r="B1" s="1" t="s">
        <v>4</v>
      </c>
      <c r="C1" s="1" t="s">
        <v>8663</v>
      </c>
      <c r="D1" s="1" t="s">
        <v>7975</v>
      </c>
      <c r="E1" s="1" t="s">
        <v>8664</v>
      </c>
      <c r="F1" s="1" t="s">
        <v>8612</v>
      </c>
      <c r="G1" s="1" t="s">
        <v>7373</v>
      </c>
      <c r="H1" s="1" t="s">
        <v>8665</v>
      </c>
      <c r="I1" s="1" t="s">
        <v>1707</v>
      </c>
      <c r="J1" s="405" t="s">
        <v>8666</v>
      </c>
      <c r="K1" s="405" t="s">
        <v>8667</v>
      </c>
      <c r="L1" s="1" t="s">
        <v>8668</v>
      </c>
      <c r="M1" s="1" t="s">
        <v>8669</v>
      </c>
      <c r="N1" s="1" t="s">
        <v>8670</v>
      </c>
      <c r="O1" s="1" t="s">
        <v>7976</v>
      </c>
      <c r="P1" s="1" t="s">
        <v>1705</v>
      </c>
      <c r="Q1" s="1" t="s">
        <v>8671</v>
      </c>
      <c r="R1" s="390"/>
      <c r="S1" s="390"/>
      <c r="T1" s="390"/>
      <c r="U1" s="390"/>
      <c r="V1" s="390"/>
      <c r="W1" s="390"/>
      <c r="X1" s="390"/>
      <c r="Y1" s="390"/>
      <c r="Z1" s="390"/>
      <c r="AA1" s="390"/>
      <c r="AB1" s="390"/>
      <c r="AC1" s="390"/>
      <c r="AD1" s="390"/>
      <c r="AE1" s="390"/>
      <c r="AF1" s="390"/>
      <c r="AG1" s="390"/>
      <c r="AH1" s="390"/>
    </row>
    <row r="2">
      <c r="A2" s="9" t="s">
        <v>8672</v>
      </c>
      <c r="B2" s="9" t="s">
        <v>8673</v>
      </c>
      <c r="C2" s="9">
        <v>1.0</v>
      </c>
      <c r="D2" s="9" t="s">
        <v>8674</v>
      </c>
      <c r="E2" s="9" t="s">
        <v>1321</v>
      </c>
      <c r="F2" s="406" t="s">
        <v>8675</v>
      </c>
      <c r="H2" s="65" t="s">
        <v>8676</v>
      </c>
      <c r="I2" s="9"/>
      <c r="J2" s="6" t="s">
        <v>8677</v>
      </c>
      <c r="K2" s="6" t="s">
        <v>8678</v>
      </c>
      <c r="L2" s="9" t="s">
        <v>6531</v>
      </c>
      <c r="O2" s="9" t="s">
        <v>8679</v>
      </c>
    </row>
    <row r="3">
      <c r="A3" s="9" t="s">
        <v>8680</v>
      </c>
      <c r="B3" s="9" t="s">
        <v>1345</v>
      </c>
      <c r="C3" s="9">
        <v>2.0</v>
      </c>
      <c r="D3" s="9" t="s">
        <v>8681</v>
      </c>
      <c r="E3" s="9" t="s">
        <v>1338</v>
      </c>
      <c r="F3" s="9" t="s">
        <v>8682</v>
      </c>
      <c r="G3" s="9"/>
      <c r="H3" s="65" t="s">
        <v>8676</v>
      </c>
      <c r="I3" s="9"/>
      <c r="J3" s="6" t="s">
        <v>8683</v>
      </c>
      <c r="K3" s="6" t="s">
        <v>8684</v>
      </c>
      <c r="L3" s="9" t="s">
        <v>6531</v>
      </c>
      <c r="M3" s="63" t="s">
        <v>1413</v>
      </c>
      <c r="N3" s="9"/>
      <c r="O3" s="9" t="s">
        <v>8685</v>
      </c>
    </row>
    <row r="4">
      <c r="A4" s="9" t="s">
        <v>8686</v>
      </c>
      <c r="B4" s="9" t="s">
        <v>8687</v>
      </c>
      <c r="C4" s="9">
        <v>3.0</v>
      </c>
      <c r="D4" s="9" t="s">
        <v>8688</v>
      </c>
      <c r="E4" s="9" t="s">
        <v>1388</v>
      </c>
      <c r="F4" s="9" t="s">
        <v>8689</v>
      </c>
      <c r="H4" s="407"/>
      <c r="I4" s="9"/>
      <c r="J4" s="6" t="s">
        <v>8690</v>
      </c>
      <c r="K4" s="6" t="s">
        <v>8691</v>
      </c>
      <c r="L4" s="9" t="s">
        <v>6531</v>
      </c>
      <c r="M4" s="63" t="s">
        <v>1413</v>
      </c>
      <c r="N4" s="408"/>
      <c r="O4" s="63" t="s">
        <v>1413</v>
      </c>
    </row>
    <row r="5">
      <c r="A5" s="9" t="s">
        <v>8692</v>
      </c>
      <c r="B5" s="9" t="s">
        <v>1416</v>
      </c>
      <c r="C5" s="9">
        <v>4.0</v>
      </c>
      <c r="D5" s="9" t="s">
        <v>8693</v>
      </c>
      <c r="E5" s="9" t="s">
        <v>1411</v>
      </c>
      <c r="F5" s="9" t="s">
        <v>8694</v>
      </c>
      <c r="H5" s="407"/>
      <c r="I5" s="9"/>
      <c r="J5" s="6" t="s">
        <v>8695</v>
      </c>
      <c r="K5" s="6" t="s">
        <v>8687</v>
      </c>
      <c r="L5" s="9" t="s">
        <v>6531</v>
      </c>
      <c r="M5" s="20" t="s">
        <v>1413</v>
      </c>
      <c r="N5" s="9"/>
      <c r="O5" s="32" t="s">
        <v>1413</v>
      </c>
    </row>
    <row r="6">
      <c r="A6" s="9" t="s">
        <v>1403</v>
      </c>
      <c r="C6" s="9">
        <v>5.0</v>
      </c>
      <c r="D6" s="9" t="s">
        <v>8696</v>
      </c>
      <c r="E6" s="9" t="s">
        <v>1390</v>
      </c>
      <c r="F6" s="9" t="s">
        <v>8697</v>
      </c>
      <c r="H6" s="65" t="s">
        <v>8676</v>
      </c>
      <c r="I6" s="9"/>
      <c r="J6" s="6"/>
      <c r="K6" s="6"/>
      <c r="L6" s="9" t="s">
        <v>6531</v>
      </c>
      <c r="M6" s="9"/>
      <c r="N6" s="9"/>
      <c r="O6" s="9" t="s">
        <v>8698</v>
      </c>
    </row>
    <row r="7">
      <c r="A7" s="9" t="s">
        <v>731</v>
      </c>
      <c r="C7" s="9">
        <v>6.0</v>
      </c>
      <c r="D7" s="9" t="s">
        <v>8699</v>
      </c>
      <c r="E7" s="9" t="s">
        <v>8700</v>
      </c>
      <c r="F7" s="9" t="s">
        <v>730</v>
      </c>
      <c r="H7" s="65" t="s">
        <v>8676</v>
      </c>
      <c r="I7" s="9" t="s">
        <v>8701</v>
      </c>
      <c r="J7" s="6"/>
      <c r="K7" s="6"/>
      <c r="L7" s="9" t="s">
        <v>6531</v>
      </c>
      <c r="M7" s="9"/>
      <c r="N7" s="9"/>
      <c r="O7" s="9" t="s">
        <v>8702</v>
      </c>
    </row>
    <row r="8">
      <c r="A8" s="9" t="s">
        <v>1685</v>
      </c>
      <c r="B8" s="9" t="s">
        <v>8703</v>
      </c>
      <c r="C8" s="9">
        <v>7.0</v>
      </c>
      <c r="D8" s="9" t="s">
        <v>8704</v>
      </c>
      <c r="E8" s="9" t="s">
        <v>8705</v>
      </c>
      <c r="F8" s="71" t="s">
        <v>8706</v>
      </c>
      <c r="H8" s="65" t="s">
        <v>8676</v>
      </c>
      <c r="J8" s="13"/>
      <c r="K8" s="13"/>
      <c r="L8" s="9" t="s">
        <v>6531</v>
      </c>
      <c r="O8" s="9" t="s">
        <v>8707</v>
      </c>
    </row>
    <row r="9">
      <c r="A9" s="9" t="s">
        <v>8708</v>
      </c>
      <c r="B9" s="9" t="s">
        <v>8709</v>
      </c>
      <c r="C9" s="9">
        <v>8.0</v>
      </c>
      <c r="D9" s="9" t="s">
        <v>8710</v>
      </c>
      <c r="E9" s="9" t="s">
        <v>343</v>
      </c>
      <c r="F9" s="9" t="s">
        <v>8711</v>
      </c>
      <c r="H9" s="65" t="s">
        <v>8676</v>
      </c>
      <c r="J9" s="13"/>
      <c r="K9" s="13"/>
      <c r="L9" s="9" t="s">
        <v>6531</v>
      </c>
      <c r="O9" s="9" t="s">
        <v>8712</v>
      </c>
    </row>
    <row r="10">
      <c r="A10" s="9" t="s">
        <v>8713</v>
      </c>
      <c r="B10" s="9" t="s">
        <v>8714</v>
      </c>
      <c r="C10" s="9">
        <v>9.0</v>
      </c>
      <c r="D10" s="9" t="s">
        <v>8715</v>
      </c>
      <c r="E10" s="9" t="s">
        <v>8716</v>
      </c>
      <c r="F10" s="9" t="s">
        <v>1008</v>
      </c>
      <c r="H10" s="65" t="s">
        <v>8676</v>
      </c>
      <c r="J10" s="13"/>
      <c r="K10" s="13"/>
      <c r="L10" s="9" t="s">
        <v>6531</v>
      </c>
      <c r="O10" s="9" t="s">
        <v>8717</v>
      </c>
    </row>
    <row r="11">
      <c r="A11" s="9" t="s">
        <v>738</v>
      </c>
      <c r="C11" s="9">
        <v>10.0</v>
      </c>
      <c r="D11" s="9" t="s">
        <v>8718</v>
      </c>
      <c r="E11" s="9" t="s">
        <v>8719</v>
      </c>
      <c r="F11" s="9" t="s">
        <v>734</v>
      </c>
      <c r="H11" s="64" t="s">
        <v>8720</v>
      </c>
      <c r="J11" s="6" t="s">
        <v>8721</v>
      </c>
      <c r="K11" s="13"/>
      <c r="L11" s="9" t="s">
        <v>6531</v>
      </c>
      <c r="O11" s="9" t="s">
        <v>8722</v>
      </c>
    </row>
    <row r="12">
      <c r="A12" s="9" t="s">
        <v>735</v>
      </c>
      <c r="C12" s="9">
        <v>11.0</v>
      </c>
      <c r="D12" s="9" t="s">
        <v>8723</v>
      </c>
      <c r="E12" s="9" t="s">
        <v>8724</v>
      </c>
      <c r="F12" s="9" t="s">
        <v>734</v>
      </c>
      <c r="H12" s="64" t="s">
        <v>8720</v>
      </c>
      <c r="J12" s="6" t="s">
        <v>8687</v>
      </c>
      <c r="K12" s="13"/>
      <c r="L12" s="9" t="s">
        <v>6531</v>
      </c>
      <c r="O12" s="9" t="s">
        <v>8725</v>
      </c>
    </row>
    <row r="13">
      <c r="A13" s="9" t="s">
        <v>8726</v>
      </c>
      <c r="B13" s="9" t="s">
        <v>129</v>
      </c>
      <c r="C13" s="9">
        <v>12.0</v>
      </c>
      <c r="D13" s="9" t="s">
        <v>8727</v>
      </c>
      <c r="E13" s="9" t="s">
        <v>8728</v>
      </c>
      <c r="F13" s="9" t="s">
        <v>1602</v>
      </c>
      <c r="H13" s="64" t="s">
        <v>8720</v>
      </c>
      <c r="J13" s="13"/>
      <c r="K13" s="13"/>
      <c r="L13" s="9" t="s">
        <v>6531</v>
      </c>
      <c r="O13" s="9" t="s">
        <v>8729</v>
      </c>
      <c r="Q13" s="9" t="s">
        <v>8730</v>
      </c>
    </row>
    <row r="14">
      <c r="A14" s="9" t="s">
        <v>8731</v>
      </c>
      <c r="B14" s="9" t="s">
        <v>1603</v>
      </c>
      <c r="C14" s="9">
        <v>13.0</v>
      </c>
      <c r="D14" s="9" t="s">
        <v>8732</v>
      </c>
      <c r="E14" s="9" t="s">
        <v>8733</v>
      </c>
      <c r="F14" s="9" t="s">
        <v>8734</v>
      </c>
      <c r="H14" s="64" t="s">
        <v>8720</v>
      </c>
      <c r="J14" s="13"/>
      <c r="K14" s="13"/>
      <c r="L14" s="9" t="s">
        <v>6531</v>
      </c>
      <c r="O14" s="9" t="s">
        <v>8735</v>
      </c>
    </row>
    <row r="15">
      <c r="A15" s="9" t="s">
        <v>8736</v>
      </c>
      <c r="B15" s="9" t="s">
        <v>8737</v>
      </c>
      <c r="C15" s="9">
        <v>14.0</v>
      </c>
      <c r="D15" s="9" t="s">
        <v>8738</v>
      </c>
      <c r="H15" s="64"/>
      <c r="J15" s="6" t="s">
        <v>1345</v>
      </c>
      <c r="K15" s="13"/>
      <c r="L15" s="9" t="s">
        <v>8739</v>
      </c>
      <c r="O15" s="9" t="s">
        <v>8740</v>
      </c>
    </row>
    <row r="16">
      <c r="A16" s="9" t="s">
        <v>8741</v>
      </c>
      <c r="B16" s="9" t="s">
        <v>8677</v>
      </c>
      <c r="C16" s="9">
        <v>15.0</v>
      </c>
      <c r="D16" s="9" t="s">
        <v>8742</v>
      </c>
      <c r="E16" s="9" t="s">
        <v>1338</v>
      </c>
      <c r="F16" s="9" t="s">
        <v>8743</v>
      </c>
      <c r="H16" s="64" t="s">
        <v>8720</v>
      </c>
      <c r="J16" s="6" t="s">
        <v>8673</v>
      </c>
      <c r="K16" s="6" t="s">
        <v>8744</v>
      </c>
      <c r="L16" s="9" t="s">
        <v>6531</v>
      </c>
      <c r="O16" s="32" t="s">
        <v>8745</v>
      </c>
    </row>
    <row r="17">
      <c r="A17" s="9" t="s">
        <v>8746</v>
      </c>
      <c r="C17" s="9">
        <v>16.0</v>
      </c>
      <c r="D17" s="9" t="s">
        <v>8747</v>
      </c>
      <c r="E17" s="9" t="s">
        <v>1474</v>
      </c>
      <c r="F17" s="9" t="s">
        <v>8748</v>
      </c>
      <c r="H17" s="64" t="s">
        <v>8720</v>
      </c>
      <c r="J17" s="13"/>
      <c r="K17" s="13"/>
      <c r="L17" s="9" t="s">
        <v>6531</v>
      </c>
      <c r="O17" s="409" t="s">
        <v>8749</v>
      </c>
      <c r="P17" s="9">
        <v>2014.0</v>
      </c>
    </row>
    <row r="18">
      <c r="A18" s="9" t="s">
        <v>8750</v>
      </c>
      <c r="C18" s="9">
        <v>17.0</v>
      </c>
      <c r="D18" s="9" t="s">
        <v>8751</v>
      </c>
      <c r="E18" s="9" t="s">
        <v>1474</v>
      </c>
      <c r="F18" s="9" t="s">
        <v>8752</v>
      </c>
      <c r="H18" s="64" t="s">
        <v>8720</v>
      </c>
      <c r="J18" s="13"/>
      <c r="K18" s="13"/>
      <c r="L18" s="9" t="s">
        <v>6531</v>
      </c>
      <c r="O18" s="410"/>
    </row>
    <row r="19">
      <c r="A19" s="9" t="s">
        <v>8753</v>
      </c>
      <c r="B19" s="9" t="s">
        <v>8754</v>
      </c>
      <c r="C19" s="9">
        <v>18.0</v>
      </c>
      <c r="D19" s="9" t="s">
        <v>8755</v>
      </c>
      <c r="E19" s="9" t="s">
        <v>8756</v>
      </c>
      <c r="F19" s="9" t="s">
        <v>8757</v>
      </c>
      <c r="J19" s="13"/>
      <c r="K19" s="13"/>
      <c r="L19" s="9" t="s">
        <v>6531</v>
      </c>
      <c r="O19" s="32" t="s">
        <v>8758</v>
      </c>
      <c r="P19" s="9">
        <v>2017.0</v>
      </c>
    </row>
    <row r="20">
      <c r="A20" s="9" t="s">
        <v>8759</v>
      </c>
      <c r="B20" s="9" t="s">
        <v>8760</v>
      </c>
      <c r="C20" s="9">
        <v>19.0</v>
      </c>
      <c r="D20" s="9" t="s">
        <v>8761</v>
      </c>
      <c r="E20" s="9" t="s">
        <v>8756</v>
      </c>
      <c r="F20" s="9" t="s">
        <v>8757</v>
      </c>
      <c r="J20" s="13"/>
      <c r="K20" s="13"/>
      <c r="L20" s="9" t="s">
        <v>6531</v>
      </c>
      <c r="O20" s="9" t="s">
        <v>8762</v>
      </c>
    </row>
    <row r="21">
      <c r="J21" s="13"/>
      <c r="K21" s="13"/>
    </row>
    <row r="22">
      <c r="J22" s="13"/>
      <c r="K22" s="13"/>
    </row>
    <row r="23">
      <c r="J23" s="13"/>
      <c r="K23" s="13"/>
    </row>
    <row r="24">
      <c r="J24" s="13"/>
      <c r="K24" s="13"/>
    </row>
    <row r="25">
      <c r="J25" s="13"/>
      <c r="K25" s="13"/>
    </row>
    <row r="26">
      <c r="J26" s="13"/>
      <c r="K26" s="13"/>
    </row>
    <row r="27">
      <c r="J27" s="13"/>
      <c r="K27" s="13"/>
    </row>
    <row r="28">
      <c r="J28" s="13"/>
      <c r="K28" s="13"/>
    </row>
    <row r="29">
      <c r="J29" s="13"/>
      <c r="K29" s="13"/>
    </row>
    <row r="30">
      <c r="J30" s="13"/>
      <c r="K30" s="13"/>
    </row>
    <row r="31">
      <c r="J31" s="13"/>
      <c r="K31" s="13"/>
    </row>
    <row r="32">
      <c r="J32" s="13"/>
      <c r="K32" s="13"/>
    </row>
    <row r="33">
      <c r="J33" s="13"/>
      <c r="K33" s="13"/>
    </row>
    <row r="34">
      <c r="J34" s="13"/>
      <c r="K34" s="13"/>
    </row>
    <row r="35">
      <c r="J35" s="13"/>
      <c r="K35" s="13"/>
    </row>
    <row r="36">
      <c r="J36" s="13"/>
      <c r="K36" s="13"/>
    </row>
    <row r="37">
      <c r="J37" s="13"/>
      <c r="K37" s="13"/>
    </row>
    <row r="38">
      <c r="J38" s="13"/>
      <c r="K38" s="13"/>
    </row>
    <row r="39">
      <c r="J39" s="13"/>
      <c r="K39" s="13"/>
    </row>
    <row r="40">
      <c r="J40" s="13"/>
      <c r="K40" s="13"/>
    </row>
    <row r="41">
      <c r="J41" s="13"/>
      <c r="K41" s="13"/>
    </row>
    <row r="42">
      <c r="J42" s="13"/>
      <c r="K42" s="13"/>
    </row>
    <row r="43">
      <c r="J43" s="13"/>
      <c r="K43" s="13"/>
    </row>
    <row r="44">
      <c r="J44" s="13"/>
      <c r="K44" s="13"/>
    </row>
    <row r="45">
      <c r="J45" s="13"/>
      <c r="K45" s="13"/>
    </row>
    <row r="46">
      <c r="J46" s="13"/>
      <c r="K46" s="13"/>
    </row>
    <row r="47">
      <c r="J47" s="13"/>
      <c r="K47" s="13"/>
    </row>
    <row r="48">
      <c r="J48" s="13"/>
      <c r="K48" s="13"/>
    </row>
    <row r="49">
      <c r="J49" s="13"/>
      <c r="K49" s="13"/>
    </row>
    <row r="50">
      <c r="J50" s="13"/>
      <c r="K50" s="13"/>
    </row>
    <row r="51">
      <c r="J51" s="13"/>
      <c r="K51" s="13"/>
    </row>
    <row r="52">
      <c r="J52" s="13"/>
      <c r="K52" s="13"/>
    </row>
    <row r="53">
      <c r="J53" s="13"/>
      <c r="K53" s="13"/>
    </row>
    <row r="54">
      <c r="J54" s="13"/>
      <c r="K54" s="13"/>
    </row>
    <row r="55">
      <c r="J55" s="13"/>
      <c r="K55" s="13"/>
    </row>
    <row r="56">
      <c r="J56" s="13"/>
      <c r="K56" s="13"/>
    </row>
    <row r="57">
      <c r="J57" s="13"/>
      <c r="K57" s="13"/>
    </row>
    <row r="58">
      <c r="J58" s="13"/>
      <c r="K58" s="13"/>
    </row>
    <row r="59">
      <c r="J59" s="13"/>
      <c r="K59" s="13"/>
    </row>
    <row r="60">
      <c r="J60" s="13"/>
      <c r="K60" s="13"/>
    </row>
    <row r="61">
      <c r="J61" s="13"/>
      <c r="K61" s="13"/>
    </row>
    <row r="62">
      <c r="J62" s="13"/>
      <c r="K62" s="13"/>
    </row>
    <row r="63">
      <c r="J63" s="13"/>
      <c r="K63" s="13"/>
    </row>
    <row r="64">
      <c r="J64" s="13"/>
      <c r="K64" s="13"/>
    </row>
    <row r="65">
      <c r="J65" s="13"/>
      <c r="K65" s="13"/>
    </row>
    <row r="66">
      <c r="J66" s="13"/>
      <c r="K66" s="13"/>
    </row>
    <row r="67">
      <c r="J67" s="13"/>
      <c r="K67" s="13"/>
    </row>
    <row r="68">
      <c r="J68" s="13"/>
      <c r="K68" s="13"/>
    </row>
    <row r="69">
      <c r="J69" s="13"/>
      <c r="K69" s="13"/>
    </row>
    <row r="70">
      <c r="J70" s="13"/>
      <c r="K70" s="13"/>
    </row>
    <row r="71">
      <c r="J71" s="13"/>
      <c r="K71" s="13"/>
    </row>
    <row r="72">
      <c r="J72" s="13"/>
      <c r="K72" s="13"/>
    </row>
    <row r="73">
      <c r="J73" s="13"/>
      <c r="K73" s="13"/>
    </row>
    <row r="74">
      <c r="J74" s="13"/>
      <c r="K74" s="13"/>
    </row>
    <row r="75">
      <c r="J75" s="13"/>
      <c r="K75" s="13"/>
    </row>
    <row r="76">
      <c r="J76" s="13"/>
      <c r="K76" s="13"/>
    </row>
    <row r="77">
      <c r="J77" s="13"/>
      <c r="K77" s="13"/>
    </row>
    <row r="78">
      <c r="J78" s="13"/>
      <c r="K78" s="13"/>
    </row>
    <row r="79">
      <c r="J79" s="13"/>
      <c r="K79" s="13"/>
    </row>
    <row r="80">
      <c r="J80" s="13"/>
      <c r="K80" s="13"/>
    </row>
    <row r="81">
      <c r="J81" s="13"/>
      <c r="K81" s="13"/>
    </row>
    <row r="82">
      <c r="J82" s="13"/>
      <c r="K82" s="13"/>
    </row>
    <row r="83">
      <c r="J83" s="13"/>
      <c r="K83" s="13"/>
    </row>
    <row r="84">
      <c r="J84" s="13"/>
      <c r="K84" s="13"/>
    </row>
    <row r="85">
      <c r="J85" s="13"/>
      <c r="K85" s="13"/>
    </row>
    <row r="86">
      <c r="J86" s="13"/>
      <c r="K86" s="13"/>
    </row>
    <row r="87">
      <c r="J87" s="13"/>
      <c r="K87" s="13"/>
    </row>
    <row r="88">
      <c r="J88" s="13"/>
      <c r="K88" s="13"/>
    </row>
    <row r="89">
      <c r="J89" s="13"/>
      <c r="K89" s="13"/>
    </row>
    <row r="90">
      <c r="J90" s="13"/>
      <c r="K90" s="13"/>
    </row>
    <row r="91">
      <c r="J91" s="13"/>
      <c r="K91" s="13"/>
    </row>
    <row r="92">
      <c r="J92" s="13"/>
      <c r="K92" s="13"/>
    </row>
    <row r="93">
      <c r="J93" s="13"/>
      <c r="K93" s="13"/>
    </row>
    <row r="94">
      <c r="J94" s="13"/>
      <c r="K94" s="13"/>
    </row>
    <row r="95">
      <c r="J95" s="13"/>
      <c r="K95" s="13"/>
    </row>
    <row r="96">
      <c r="J96" s="13"/>
      <c r="K96" s="13"/>
    </row>
    <row r="97">
      <c r="J97" s="13"/>
      <c r="K97" s="13"/>
    </row>
    <row r="98">
      <c r="J98" s="13"/>
      <c r="K98" s="13"/>
    </row>
    <row r="99">
      <c r="J99" s="13"/>
      <c r="K99" s="13"/>
    </row>
    <row r="100">
      <c r="J100" s="13"/>
      <c r="K100" s="13"/>
    </row>
    <row r="101">
      <c r="J101" s="13"/>
      <c r="K101" s="13"/>
    </row>
    <row r="102">
      <c r="J102" s="13"/>
      <c r="K102" s="13"/>
    </row>
    <row r="103">
      <c r="J103" s="13"/>
      <c r="K103" s="13"/>
    </row>
    <row r="104">
      <c r="J104" s="13"/>
      <c r="K104" s="13"/>
    </row>
    <row r="105">
      <c r="J105" s="13"/>
      <c r="K105" s="13"/>
    </row>
    <row r="106">
      <c r="J106" s="13"/>
      <c r="K106" s="13"/>
    </row>
    <row r="107">
      <c r="J107" s="13"/>
      <c r="K107" s="13"/>
    </row>
    <row r="108">
      <c r="J108" s="13"/>
      <c r="K108" s="13"/>
    </row>
    <row r="109">
      <c r="J109" s="13"/>
      <c r="K109" s="13"/>
    </row>
    <row r="110">
      <c r="J110" s="13"/>
      <c r="K110" s="13"/>
    </row>
    <row r="111">
      <c r="J111" s="13"/>
      <c r="K111" s="13"/>
    </row>
    <row r="112">
      <c r="J112" s="13"/>
      <c r="K112" s="13"/>
    </row>
    <row r="113">
      <c r="J113" s="13"/>
      <c r="K113" s="13"/>
    </row>
    <row r="114">
      <c r="J114" s="13"/>
      <c r="K114" s="13"/>
    </row>
    <row r="115">
      <c r="J115" s="13"/>
      <c r="K115" s="13"/>
    </row>
    <row r="116">
      <c r="J116" s="13"/>
      <c r="K116" s="13"/>
    </row>
    <row r="117">
      <c r="J117" s="13"/>
      <c r="K117" s="13"/>
    </row>
    <row r="118">
      <c r="J118" s="13"/>
      <c r="K118" s="13"/>
    </row>
    <row r="119">
      <c r="J119" s="13"/>
      <c r="K119" s="13"/>
    </row>
    <row r="120">
      <c r="J120" s="13"/>
      <c r="K120" s="13"/>
    </row>
    <row r="121">
      <c r="J121" s="13"/>
      <c r="K121" s="13"/>
    </row>
    <row r="122">
      <c r="J122" s="13"/>
      <c r="K122" s="13"/>
    </row>
    <row r="123">
      <c r="J123" s="13"/>
      <c r="K123" s="13"/>
    </row>
    <row r="124">
      <c r="J124" s="13"/>
      <c r="K124" s="13"/>
    </row>
    <row r="125">
      <c r="J125" s="13"/>
      <c r="K125" s="13"/>
    </row>
    <row r="126">
      <c r="J126" s="13"/>
      <c r="K126" s="13"/>
    </row>
    <row r="127">
      <c r="J127" s="13"/>
      <c r="K127" s="13"/>
    </row>
    <row r="128">
      <c r="J128" s="13"/>
      <c r="K128" s="13"/>
    </row>
    <row r="129">
      <c r="J129" s="13"/>
      <c r="K129" s="13"/>
    </row>
    <row r="130">
      <c r="J130" s="13"/>
      <c r="K130" s="13"/>
    </row>
    <row r="131">
      <c r="J131" s="13"/>
      <c r="K131" s="13"/>
    </row>
    <row r="132">
      <c r="J132" s="13"/>
      <c r="K132" s="13"/>
    </row>
    <row r="133">
      <c r="J133" s="13"/>
      <c r="K133" s="13"/>
    </row>
    <row r="134">
      <c r="J134" s="13"/>
      <c r="K134" s="13"/>
    </row>
    <row r="135">
      <c r="J135" s="13"/>
      <c r="K135" s="13"/>
    </row>
    <row r="136">
      <c r="J136" s="13"/>
      <c r="K136" s="13"/>
    </row>
    <row r="137">
      <c r="J137" s="13"/>
      <c r="K137" s="13"/>
    </row>
    <row r="138">
      <c r="J138" s="13"/>
      <c r="K138" s="13"/>
    </row>
    <row r="139">
      <c r="J139" s="13"/>
      <c r="K139" s="13"/>
    </row>
    <row r="140">
      <c r="J140" s="13"/>
      <c r="K140" s="13"/>
    </row>
    <row r="141">
      <c r="J141" s="13"/>
      <c r="K141" s="13"/>
    </row>
    <row r="142">
      <c r="J142" s="13"/>
      <c r="K142" s="13"/>
    </row>
    <row r="143">
      <c r="J143" s="13"/>
      <c r="K143" s="13"/>
    </row>
    <row r="144">
      <c r="J144" s="13"/>
      <c r="K144" s="13"/>
    </row>
    <row r="145">
      <c r="J145" s="13"/>
      <c r="K145" s="13"/>
    </row>
    <row r="146">
      <c r="J146" s="13"/>
      <c r="K146" s="13"/>
    </row>
    <row r="147">
      <c r="J147" s="13"/>
      <c r="K147" s="13"/>
    </row>
    <row r="148">
      <c r="J148" s="13"/>
      <c r="K148" s="13"/>
    </row>
    <row r="149">
      <c r="J149" s="13"/>
      <c r="K149" s="13"/>
    </row>
    <row r="150">
      <c r="J150" s="13"/>
      <c r="K150" s="13"/>
    </row>
    <row r="151">
      <c r="J151" s="13"/>
      <c r="K151" s="13"/>
    </row>
    <row r="152">
      <c r="J152" s="13"/>
      <c r="K152" s="13"/>
    </row>
    <row r="153">
      <c r="J153" s="13"/>
      <c r="K153" s="13"/>
    </row>
    <row r="154">
      <c r="J154" s="13"/>
      <c r="K154" s="13"/>
    </row>
    <row r="155">
      <c r="J155" s="13"/>
      <c r="K155" s="13"/>
    </row>
    <row r="156">
      <c r="J156" s="13"/>
      <c r="K156" s="13"/>
    </row>
    <row r="157">
      <c r="J157" s="13"/>
      <c r="K157" s="13"/>
    </row>
    <row r="158">
      <c r="J158" s="13"/>
      <c r="K158" s="13"/>
    </row>
    <row r="159">
      <c r="J159" s="13"/>
      <c r="K159" s="13"/>
    </row>
    <row r="160">
      <c r="J160" s="13"/>
      <c r="K160" s="13"/>
    </row>
    <row r="161">
      <c r="J161" s="13"/>
      <c r="K161" s="13"/>
    </row>
    <row r="162">
      <c r="J162" s="13"/>
      <c r="K162" s="13"/>
    </row>
    <row r="163">
      <c r="J163" s="13"/>
      <c r="K163" s="13"/>
    </row>
    <row r="164">
      <c r="J164" s="13"/>
      <c r="K164" s="13"/>
    </row>
    <row r="165">
      <c r="J165" s="13"/>
      <c r="K165" s="13"/>
    </row>
    <row r="166">
      <c r="J166" s="13"/>
      <c r="K166" s="13"/>
    </row>
    <row r="167">
      <c r="J167" s="13"/>
      <c r="K167" s="13"/>
    </row>
    <row r="168">
      <c r="J168" s="13"/>
      <c r="K168" s="13"/>
    </row>
    <row r="169">
      <c r="J169" s="13"/>
      <c r="K169" s="13"/>
    </row>
    <row r="170">
      <c r="J170" s="13"/>
      <c r="K170" s="13"/>
    </row>
    <row r="171">
      <c r="J171" s="13"/>
      <c r="K171" s="13"/>
    </row>
    <row r="172">
      <c r="J172" s="13"/>
      <c r="K172" s="13"/>
    </row>
    <row r="173">
      <c r="J173" s="13"/>
      <c r="K173" s="13"/>
    </row>
    <row r="174">
      <c r="J174" s="13"/>
      <c r="K174" s="13"/>
    </row>
    <row r="175">
      <c r="J175" s="13"/>
      <c r="K175" s="13"/>
    </row>
    <row r="176">
      <c r="J176" s="13"/>
      <c r="K176" s="13"/>
    </row>
    <row r="177">
      <c r="J177" s="13"/>
      <c r="K177" s="13"/>
    </row>
    <row r="178">
      <c r="J178" s="13"/>
      <c r="K178" s="13"/>
    </row>
    <row r="179">
      <c r="J179" s="13"/>
      <c r="K179" s="13"/>
    </row>
    <row r="180">
      <c r="J180" s="13"/>
      <c r="K180" s="13"/>
    </row>
    <row r="181">
      <c r="J181" s="13"/>
      <c r="K181" s="13"/>
    </row>
    <row r="182">
      <c r="J182" s="13"/>
      <c r="K182" s="13"/>
    </row>
    <row r="183">
      <c r="J183" s="13"/>
      <c r="K183" s="13"/>
    </row>
    <row r="184">
      <c r="J184" s="13"/>
      <c r="K184" s="13"/>
    </row>
    <row r="185">
      <c r="J185" s="13"/>
      <c r="K185" s="13"/>
    </row>
    <row r="186">
      <c r="J186" s="13"/>
      <c r="K186" s="13"/>
    </row>
    <row r="187">
      <c r="J187" s="13"/>
      <c r="K187" s="13"/>
    </row>
    <row r="188">
      <c r="J188" s="13"/>
      <c r="K188" s="13"/>
    </row>
    <row r="189">
      <c r="J189" s="13"/>
      <c r="K189" s="13"/>
    </row>
    <row r="190">
      <c r="J190" s="13"/>
      <c r="K190" s="13"/>
    </row>
    <row r="191">
      <c r="J191" s="13"/>
      <c r="K191" s="13"/>
    </row>
    <row r="192">
      <c r="J192" s="13"/>
      <c r="K192" s="13"/>
    </row>
    <row r="193">
      <c r="J193" s="13"/>
      <c r="K193" s="13"/>
    </row>
    <row r="194">
      <c r="J194" s="13"/>
      <c r="K194" s="13"/>
    </row>
    <row r="195">
      <c r="J195" s="13"/>
      <c r="K195" s="13"/>
    </row>
    <row r="196">
      <c r="J196" s="13"/>
      <c r="K196" s="13"/>
    </row>
    <row r="197">
      <c r="J197" s="13"/>
      <c r="K197" s="13"/>
    </row>
    <row r="198">
      <c r="J198" s="13"/>
      <c r="K198" s="13"/>
    </row>
    <row r="199">
      <c r="J199" s="13"/>
      <c r="K199" s="13"/>
    </row>
    <row r="200">
      <c r="J200" s="13"/>
      <c r="K200" s="13"/>
    </row>
    <row r="201">
      <c r="J201" s="13"/>
      <c r="K201" s="13"/>
    </row>
    <row r="202">
      <c r="J202" s="13"/>
      <c r="K202" s="13"/>
    </row>
    <row r="203">
      <c r="J203" s="13"/>
      <c r="K203" s="13"/>
    </row>
    <row r="204">
      <c r="J204" s="13"/>
      <c r="K204" s="13"/>
    </row>
    <row r="205">
      <c r="J205" s="13"/>
      <c r="K205" s="13"/>
    </row>
    <row r="206">
      <c r="J206" s="13"/>
      <c r="K206" s="13"/>
    </row>
    <row r="207">
      <c r="J207" s="13"/>
      <c r="K207" s="13"/>
    </row>
    <row r="208">
      <c r="J208" s="13"/>
      <c r="K208" s="13"/>
    </row>
    <row r="209">
      <c r="J209" s="13"/>
      <c r="K209" s="13"/>
    </row>
    <row r="210">
      <c r="J210" s="13"/>
      <c r="K210" s="13"/>
    </row>
    <row r="211">
      <c r="J211" s="13"/>
      <c r="K211" s="13"/>
    </row>
    <row r="212">
      <c r="J212" s="13"/>
      <c r="K212" s="13"/>
    </row>
    <row r="213">
      <c r="J213" s="13"/>
      <c r="K213" s="13"/>
    </row>
    <row r="214">
      <c r="J214" s="13"/>
      <c r="K214" s="13"/>
    </row>
    <row r="215">
      <c r="J215" s="13"/>
      <c r="K215" s="13"/>
    </row>
    <row r="216">
      <c r="J216" s="13"/>
      <c r="K216" s="13"/>
    </row>
    <row r="217">
      <c r="J217" s="13"/>
      <c r="K217" s="13"/>
    </row>
    <row r="218">
      <c r="J218" s="13"/>
      <c r="K218" s="13"/>
    </row>
    <row r="219">
      <c r="J219" s="13"/>
      <c r="K219" s="13"/>
    </row>
    <row r="220">
      <c r="J220" s="13"/>
      <c r="K220" s="13"/>
    </row>
    <row r="221">
      <c r="J221" s="13"/>
      <c r="K221" s="13"/>
    </row>
    <row r="222">
      <c r="J222" s="13"/>
      <c r="K222" s="13"/>
    </row>
    <row r="223">
      <c r="J223" s="13"/>
      <c r="K223" s="13"/>
    </row>
    <row r="224">
      <c r="J224" s="13"/>
      <c r="K224" s="13"/>
    </row>
    <row r="225">
      <c r="J225" s="13"/>
      <c r="K225" s="13"/>
    </row>
    <row r="226">
      <c r="J226" s="13"/>
      <c r="K226" s="13"/>
    </row>
    <row r="227">
      <c r="J227" s="13"/>
      <c r="K227" s="13"/>
    </row>
    <row r="228">
      <c r="J228" s="13"/>
      <c r="K228" s="13"/>
    </row>
    <row r="229">
      <c r="J229" s="13"/>
      <c r="K229" s="13"/>
    </row>
    <row r="230">
      <c r="J230" s="13"/>
      <c r="K230" s="13"/>
    </row>
    <row r="231">
      <c r="J231" s="13"/>
      <c r="K231" s="13"/>
    </row>
    <row r="232">
      <c r="J232" s="13"/>
      <c r="K232" s="13"/>
    </row>
    <row r="233">
      <c r="J233" s="13"/>
      <c r="K233" s="13"/>
    </row>
    <row r="234">
      <c r="J234" s="13"/>
      <c r="K234" s="13"/>
    </row>
    <row r="235">
      <c r="J235" s="13"/>
      <c r="K235" s="13"/>
    </row>
    <row r="236">
      <c r="J236" s="13"/>
      <c r="K236" s="13"/>
    </row>
    <row r="237">
      <c r="J237" s="13"/>
      <c r="K237" s="13"/>
    </row>
    <row r="238">
      <c r="J238" s="13"/>
      <c r="K238" s="13"/>
    </row>
    <row r="239">
      <c r="J239" s="13"/>
      <c r="K239" s="13"/>
    </row>
    <row r="240">
      <c r="J240" s="13"/>
      <c r="K240" s="13"/>
    </row>
    <row r="241">
      <c r="J241" s="13"/>
      <c r="K241" s="13"/>
    </row>
    <row r="242">
      <c r="J242" s="13"/>
      <c r="K242" s="13"/>
    </row>
    <row r="243">
      <c r="J243" s="13"/>
      <c r="K243" s="13"/>
    </row>
    <row r="244">
      <c r="J244" s="13"/>
      <c r="K244" s="13"/>
    </row>
    <row r="245">
      <c r="J245" s="13"/>
      <c r="K245" s="13"/>
    </row>
    <row r="246">
      <c r="J246" s="13"/>
      <c r="K246" s="13"/>
    </row>
    <row r="247">
      <c r="J247" s="13"/>
      <c r="K247" s="13"/>
    </row>
    <row r="248">
      <c r="J248" s="13"/>
      <c r="K248" s="13"/>
    </row>
    <row r="249">
      <c r="J249" s="13"/>
      <c r="K249" s="13"/>
    </row>
    <row r="250">
      <c r="J250" s="13"/>
      <c r="K250" s="13"/>
    </row>
    <row r="251">
      <c r="J251" s="13"/>
      <c r="K251" s="13"/>
    </row>
    <row r="252">
      <c r="J252" s="13"/>
      <c r="K252" s="13"/>
    </row>
    <row r="253">
      <c r="J253" s="13"/>
      <c r="K253" s="13"/>
    </row>
    <row r="254">
      <c r="J254" s="13"/>
      <c r="K254" s="13"/>
    </row>
    <row r="255">
      <c r="J255" s="13"/>
      <c r="K255" s="13"/>
    </row>
    <row r="256">
      <c r="J256" s="13"/>
      <c r="K256" s="13"/>
    </row>
    <row r="257">
      <c r="J257" s="13"/>
      <c r="K257" s="13"/>
    </row>
    <row r="258">
      <c r="J258" s="13"/>
      <c r="K258" s="13"/>
    </row>
    <row r="259">
      <c r="J259" s="13"/>
      <c r="K259" s="13"/>
    </row>
    <row r="260">
      <c r="J260" s="13"/>
      <c r="K260" s="13"/>
    </row>
    <row r="261">
      <c r="J261" s="13"/>
      <c r="K261" s="13"/>
    </row>
    <row r="262">
      <c r="J262" s="13"/>
      <c r="K262" s="13"/>
    </row>
    <row r="263">
      <c r="J263" s="13"/>
      <c r="K263" s="13"/>
    </row>
    <row r="264">
      <c r="J264" s="13"/>
      <c r="K264" s="13"/>
    </row>
    <row r="265">
      <c r="J265" s="13"/>
      <c r="K265" s="13"/>
    </row>
    <row r="266">
      <c r="J266" s="13"/>
      <c r="K266" s="13"/>
    </row>
    <row r="267">
      <c r="J267" s="13"/>
      <c r="K267" s="13"/>
    </row>
    <row r="268">
      <c r="J268" s="13"/>
      <c r="K268" s="13"/>
    </row>
    <row r="269">
      <c r="J269" s="13"/>
      <c r="K269" s="13"/>
    </row>
    <row r="270">
      <c r="J270" s="13"/>
      <c r="K270" s="13"/>
    </row>
    <row r="271">
      <c r="J271" s="13"/>
      <c r="K271" s="13"/>
    </row>
    <row r="272">
      <c r="J272" s="13"/>
      <c r="K272" s="13"/>
    </row>
    <row r="273">
      <c r="J273" s="13"/>
      <c r="K273" s="13"/>
    </row>
    <row r="274">
      <c r="J274" s="13"/>
      <c r="K274" s="13"/>
    </row>
    <row r="275">
      <c r="J275" s="13"/>
      <c r="K275" s="13"/>
    </row>
    <row r="276">
      <c r="J276" s="13"/>
      <c r="K276" s="13"/>
    </row>
    <row r="277">
      <c r="J277" s="13"/>
      <c r="K277" s="13"/>
    </row>
    <row r="278">
      <c r="J278" s="13"/>
      <c r="K278" s="13"/>
    </row>
    <row r="279">
      <c r="J279" s="13"/>
      <c r="K279" s="13"/>
    </row>
    <row r="280">
      <c r="J280" s="13"/>
      <c r="K280" s="13"/>
    </row>
    <row r="281">
      <c r="J281" s="13"/>
      <c r="K281" s="13"/>
    </row>
    <row r="282">
      <c r="J282" s="13"/>
      <c r="K282" s="13"/>
    </row>
    <row r="283">
      <c r="J283" s="13"/>
      <c r="K283" s="13"/>
    </row>
    <row r="284">
      <c r="J284" s="13"/>
      <c r="K284" s="13"/>
    </row>
    <row r="285">
      <c r="J285" s="13"/>
      <c r="K285" s="13"/>
    </row>
    <row r="286">
      <c r="J286" s="13"/>
      <c r="K286" s="13"/>
    </row>
    <row r="287">
      <c r="J287" s="13"/>
      <c r="K287" s="13"/>
    </row>
    <row r="288">
      <c r="J288" s="13"/>
      <c r="K288" s="13"/>
    </row>
    <row r="289">
      <c r="J289" s="13"/>
      <c r="K289" s="13"/>
    </row>
    <row r="290">
      <c r="J290" s="13"/>
      <c r="K290" s="13"/>
    </row>
    <row r="291">
      <c r="J291" s="13"/>
      <c r="K291" s="13"/>
    </row>
    <row r="292">
      <c r="J292" s="13"/>
      <c r="K292" s="13"/>
    </row>
    <row r="293">
      <c r="J293" s="13"/>
      <c r="K293" s="13"/>
    </row>
    <row r="294">
      <c r="J294" s="13"/>
      <c r="K294" s="13"/>
    </row>
    <row r="295">
      <c r="J295" s="13"/>
      <c r="K295" s="13"/>
    </row>
    <row r="296">
      <c r="J296" s="13"/>
      <c r="K296" s="13"/>
    </row>
    <row r="297">
      <c r="J297" s="13"/>
      <c r="K297" s="13"/>
    </row>
    <row r="298">
      <c r="J298" s="13"/>
      <c r="K298" s="13"/>
    </row>
    <row r="299">
      <c r="J299" s="13"/>
      <c r="K299" s="13"/>
    </row>
    <row r="300">
      <c r="J300" s="13"/>
      <c r="K300" s="13"/>
    </row>
    <row r="301">
      <c r="J301" s="13"/>
      <c r="K301" s="13"/>
    </row>
    <row r="302">
      <c r="J302" s="13"/>
      <c r="K302" s="13"/>
    </row>
    <row r="303">
      <c r="J303" s="13"/>
      <c r="K303" s="13"/>
    </row>
    <row r="304">
      <c r="J304" s="13"/>
      <c r="K304" s="13"/>
    </row>
    <row r="305">
      <c r="J305" s="13"/>
      <c r="K305" s="13"/>
    </row>
    <row r="306">
      <c r="J306" s="13"/>
      <c r="K306" s="13"/>
    </row>
    <row r="307">
      <c r="J307" s="13"/>
      <c r="K307" s="13"/>
    </row>
    <row r="308">
      <c r="J308" s="13"/>
      <c r="K308" s="13"/>
    </row>
    <row r="309">
      <c r="J309" s="13"/>
      <c r="K309" s="13"/>
    </row>
    <row r="310">
      <c r="J310" s="13"/>
      <c r="K310" s="13"/>
    </row>
    <row r="311">
      <c r="J311" s="13"/>
      <c r="K311" s="13"/>
    </row>
    <row r="312">
      <c r="J312" s="13"/>
      <c r="K312" s="13"/>
    </row>
    <row r="313">
      <c r="J313" s="13"/>
      <c r="K313" s="13"/>
    </row>
    <row r="314">
      <c r="J314" s="13"/>
      <c r="K314" s="13"/>
    </row>
    <row r="315">
      <c r="J315" s="13"/>
      <c r="K315" s="13"/>
    </row>
    <row r="316">
      <c r="J316" s="13"/>
      <c r="K316" s="13"/>
    </row>
    <row r="317">
      <c r="J317" s="13"/>
      <c r="K317" s="13"/>
    </row>
    <row r="318">
      <c r="J318" s="13"/>
      <c r="K318" s="13"/>
    </row>
    <row r="319">
      <c r="J319" s="13"/>
      <c r="K319" s="13"/>
    </row>
    <row r="320">
      <c r="J320" s="13"/>
      <c r="K320" s="13"/>
    </row>
    <row r="321">
      <c r="J321" s="13"/>
      <c r="K321" s="13"/>
    </row>
    <row r="322">
      <c r="J322" s="13"/>
      <c r="K322" s="13"/>
    </row>
    <row r="323">
      <c r="J323" s="13"/>
      <c r="K323" s="13"/>
    </row>
    <row r="324">
      <c r="J324" s="13"/>
      <c r="K324" s="13"/>
    </row>
    <row r="325">
      <c r="J325" s="13"/>
      <c r="K325" s="13"/>
    </row>
    <row r="326">
      <c r="J326" s="13"/>
      <c r="K326" s="13"/>
    </row>
    <row r="327">
      <c r="J327" s="13"/>
      <c r="K327" s="13"/>
    </row>
    <row r="328">
      <c r="J328" s="13"/>
      <c r="K328" s="13"/>
    </row>
    <row r="329">
      <c r="J329" s="13"/>
      <c r="K329" s="13"/>
    </row>
    <row r="330">
      <c r="J330" s="13"/>
      <c r="K330" s="13"/>
    </row>
    <row r="331">
      <c r="J331" s="13"/>
      <c r="K331" s="13"/>
    </row>
    <row r="332">
      <c r="J332" s="13"/>
      <c r="K332" s="13"/>
    </row>
    <row r="333">
      <c r="J333" s="13"/>
      <c r="K333" s="13"/>
    </row>
    <row r="334">
      <c r="J334" s="13"/>
      <c r="K334" s="13"/>
    </row>
    <row r="335">
      <c r="J335" s="13"/>
      <c r="K335" s="13"/>
    </row>
    <row r="336">
      <c r="J336" s="13"/>
      <c r="K336" s="13"/>
    </row>
    <row r="337">
      <c r="J337" s="13"/>
      <c r="K337" s="13"/>
    </row>
    <row r="338">
      <c r="J338" s="13"/>
      <c r="K338" s="13"/>
    </row>
    <row r="339">
      <c r="J339" s="13"/>
      <c r="K339" s="13"/>
    </row>
    <row r="340">
      <c r="J340" s="13"/>
      <c r="K340" s="13"/>
    </row>
    <row r="341">
      <c r="J341" s="13"/>
      <c r="K341" s="13"/>
    </row>
    <row r="342">
      <c r="J342" s="13"/>
      <c r="K342" s="13"/>
    </row>
    <row r="343">
      <c r="J343" s="13"/>
      <c r="K343" s="13"/>
    </row>
    <row r="344">
      <c r="J344" s="13"/>
      <c r="K344" s="13"/>
    </row>
    <row r="345">
      <c r="J345" s="13"/>
      <c r="K345" s="13"/>
    </row>
    <row r="346">
      <c r="J346" s="13"/>
      <c r="K346" s="13"/>
    </row>
    <row r="347">
      <c r="J347" s="13"/>
      <c r="K347" s="13"/>
    </row>
    <row r="348">
      <c r="J348" s="13"/>
      <c r="K348" s="13"/>
    </row>
    <row r="349">
      <c r="J349" s="13"/>
      <c r="K349" s="13"/>
    </row>
    <row r="350">
      <c r="J350" s="13"/>
      <c r="K350" s="13"/>
    </row>
    <row r="351">
      <c r="J351" s="13"/>
      <c r="K351" s="13"/>
    </row>
    <row r="352">
      <c r="J352" s="13"/>
      <c r="K352" s="13"/>
    </row>
    <row r="353">
      <c r="J353" s="13"/>
      <c r="K353" s="13"/>
    </row>
    <row r="354">
      <c r="J354" s="13"/>
      <c r="K354" s="13"/>
    </row>
    <row r="355">
      <c r="J355" s="13"/>
      <c r="K355" s="13"/>
    </row>
    <row r="356">
      <c r="J356" s="13"/>
      <c r="K356" s="13"/>
    </row>
    <row r="357">
      <c r="J357" s="13"/>
      <c r="K357" s="13"/>
    </row>
    <row r="358">
      <c r="J358" s="13"/>
      <c r="K358" s="13"/>
    </row>
    <row r="359">
      <c r="J359" s="13"/>
      <c r="K359" s="13"/>
    </row>
    <row r="360">
      <c r="J360" s="13"/>
      <c r="K360" s="13"/>
    </row>
    <row r="361">
      <c r="J361" s="13"/>
      <c r="K361" s="13"/>
    </row>
    <row r="362">
      <c r="J362" s="13"/>
      <c r="K362" s="13"/>
    </row>
    <row r="363">
      <c r="J363" s="13"/>
      <c r="K363" s="13"/>
    </row>
    <row r="364">
      <c r="J364" s="13"/>
      <c r="K364" s="13"/>
    </row>
    <row r="365">
      <c r="J365" s="13"/>
      <c r="K365" s="13"/>
    </row>
    <row r="366">
      <c r="J366" s="13"/>
      <c r="K366" s="13"/>
    </row>
    <row r="367">
      <c r="J367" s="13"/>
      <c r="K367" s="13"/>
    </row>
    <row r="368">
      <c r="J368" s="13"/>
      <c r="K368" s="13"/>
    </row>
    <row r="369">
      <c r="J369" s="13"/>
      <c r="K369" s="13"/>
    </row>
    <row r="370">
      <c r="J370" s="13"/>
      <c r="K370" s="13"/>
    </row>
    <row r="371">
      <c r="J371" s="13"/>
      <c r="K371" s="13"/>
    </row>
    <row r="372">
      <c r="J372" s="13"/>
      <c r="K372" s="13"/>
    </row>
    <row r="373">
      <c r="J373" s="13"/>
      <c r="K373" s="13"/>
    </row>
    <row r="374">
      <c r="J374" s="13"/>
      <c r="K374" s="13"/>
    </row>
    <row r="375">
      <c r="J375" s="13"/>
      <c r="K375" s="13"/>
    </row>
    <row r="376">
      <c r="J376" s="13"/>
      <c r="K376" s="13"/>
    </row>
    <row r="377">
      <c r="J377" s="13"/>
      <c r="K377" s="13"/>
    </row>
    <row r="378">
      <c r="J378" s="13"/>
      <c r="K378" s="13"/>
    </row>
    <row r="379">
      <c r="J379" s="13"/>
      <c r="K379" s="13"/>
    </row>
    <row r="380">
      <c r="J380" s="13"/>
      <c r="K380" s="13"/>
    </row>
    <row r="381">
      <c r="J381" s="13"/>
      <c r="K381" s="13"/>
    </row>
    <row r="382">
      <c r="J382" s="13"/>
      <c r="K382" s="13"/>
    </row>
    <row r="383">
      <c r="J383" s="13"/>
      <c r="K383" s="13"/>
    </row>
    <row r="384">
      <c r="J384" s="13"/>
      <c r="K384" s="13"/>
    </row>
    <row r="385">
      <c r="J385" s="13"/>
      <c r="K385" s="13"/>
    </row>
    <row r="386">
      <c r="J386" s="13"/>
      <c r="K386" s="13"/>
    </row>
    <row r="387">
      <c r="J387" s="13"/>
      <c r="K387" s="13"/>
    </row>
    <row r="388">
      <c r="J388" s="13"/>
      <c r="K388" s="13"/>
    </row>
    <row r="389">
      <c r="J389" s="13"/>
      <c r="K389" s="13"/>
    </row>
    <row r="390">
      <c r="J390" s="13"/>
      <c r="K390" s="13"/>
    </row>
    <row r="391">
      <c r="J391" s="13"/>
      <c r="K391" s="13"/>
    </row>
    <row r="392">
      <c r="J392" s="13"/>
      <c r="K392" s="13"/>
    </row>
    <row r="393">
      <c r="J393" s="13"/>
      <c r="K393" s="13"/>
    </row>
    <row r="394">
      <c r="J394" s="13"/>
      <c r="K394" s="13"/>
    </row>
    <row r="395">
      <c r="J395" s="13"/>
      <c r="K395" s="13"/>
    </row>
    <row r="396">
      <c r="J396" s="13"/>
      <c r="K396" s="13"/>
    </row>
    <row r="397">
      <c r="J397" s="13"/>
      <c r="K397" s="13"/>
    </row>
    <row r="398">
      <c r="J398" s="13"/>
      <c r="K398" s="13"/>
    </row>
    <row r="399">
      <c r="J399" s="13"/>
      <c r="K399" s="13"/>
    </row>
    <row r="400">
      <c r="J400" s="13"/>
      <c r="K400" s="13"/>
    </row>
    <row r="401">
      <c r="J401" s="13"/>
      <c r="K401" s="13"/>
    </row>
    <row r="402">
      <c r="J402" s="13"/>
      <c r="K402" s="13"/>
    </row>
    <row r="403">
      <c r="J403" s="13"/>
      <c r="K403" s="13"/>
    </row>
    <row r="404">
      <c r="J404" s="13"/>
      <c r="K404" s="13"/>
    </row>
    <row r="405">
      <c r="J405" s="13"/>
      <c r="K405" s="13"/>
    </row>
    <row r="406">
      <c r="J406" s="13"/>
      <c r="K406" s="13"/>
    </row>
    <row r="407">
      <c r="J407" s="13"/>
      <c r="K407" s="13"/>
    </row>
    <row r="408">
      <c r="J408" s="13"/>
      <c r="K408" s="13"/>
    </row>
    <row r="409">
      <c r="J409" s="13"/>
      <c r="K409" s="13"/>
    </row>
    <row r="410">
      <c r="J410" s="13"/>
      <c r="K410" s="13"/>
    </row>
    <row r="411">
      <c r="J411" s="13"/>
      <c r="K411" s="13"/>
    </row>
    <row r="412">
      <c r="J412" s="13"/>
      <c r="K412" s="13"/>
    </row>
    <row r="413">
      <c r="J413" s="13"/>
      <c r="K413" s="13"/>
    </row>
    <row r="414">
      <c r="J414" s="13"/>
      <c r="K414" s="13"/>
    </row>
    <row r="415">
      <c r="J415" s="13"/>
      <c r="K415" s="13"/>
    </row>
    <row r="416">
      <c r="J416" s="13"/>
      <c r="K416" s="13"/>
    </row>
    <row r="417">
      <c r="J417" s="13"/>
      <c r="K417" s="13"/>
    </row>
    <row r="418">
      <c r="J418" s="13"/>
      <c r="K418" s="13"/>
    </row>
    <row r="419">
      <c r="J419" s="13"/>
      <c r="K419" s="13"/>
    </row>
    <row r="420">
      <c r="J420" s="13"/>
      <c r="K420" s="13"/>
    </row>
    <row r="421">
      <c r="J421" s="13"/>
      <c r="K421" s="13"/>
    </row>
    <row r="422">
      <c r="J422" s="13"/>
      <c r="K422" s="13"/>
    </row>
    <row r="423">
      <c r="J423" s="13"/>
      <c r="K423" s="13"/>
    </row>
    <row r="424">
      <c r="J424" s="13"/>
      <c r="K424" s="13"/>
    </row>
    <row r="425">
      <c r="J425" s="13"/>
      <c r="K425" s="13"/>
    </row>
    <row r="426">
      <c r="J426" s="13"/>
      <c r="K426" s="13"/>
    </row>
    <row r="427">
      <c r="J427" s="13"/>
      <c r="K427" s="13"/>
    </row>
    <row r="428">
      <c r="J428" s="13"/>
      <c r="K428" s="13"/>
    </row>
    <row r="429">
      <c r="J429" s="13"/>
      <c r="K429" s="13"/>
    </row>
    <row r="430">
      <c r="J430" s="13"/>
      <c r="K430" s="13"/>
    </row>
    <row r="431">
      <c r="J431" s="13"/>
      <c r="K431" s="13"/>
    </row>
    <row r="432">
      <c r="J432" s="13"/>
      <c r="K432" s="13"/>
    </row>
    <row r="433">
      <c r="J433" s="13"/>
      <c r="K433" s="13"/>
    </row>
    <row r="434">
      <c r="J434" s="13"/>
      <c r="K434" s="13"/>
    </row>
    <row r="435">
      <c r="J435" s="13"/>
      <c r="K435" s="13"/>
    </row>
    <row r="436">
      <c r="J436" s="13"/>
      <c r="K436" s="13"/>
    </row>
    <row r="437">
      <c r="J437" s="13"/>
      <c r="K437" s="13"/>
    </row>
    <row r="438">
      <c r="J438" s="13"/>
      <c r="K438" s="13"/>
    </row>
    <row r="439">
      <c r="J439" s="13"/>
      <c r="K439" s="13"/>
    </row>
    <row r="440">
      <c r="J440" s="13"/>
      <c r="K440" s="13"/>
    </row>
    <row r="441">
      <c r="J441" s="13"/>
      <c r="K441" s="13"/>
    </row>
    <row r="442">
      <c r="J442" s="13"/>
      <c r="K442" s="13"/>
    </row>
    <row r="443">
      <c r="J443" s="13"/>
      <c r="K443" s="13"/>
    </row>
    <row r="444">
      <c r="J444" s="13"/>
      <c r="K444" s="13"/>
    </row>
    <row r="445">
      <c r="J445" s="13"/>
      <c r="K445" s="13"/>
    </row>
    <row r="446">
      <c r="J446" s="13"/>
      <c r="K446" s="13"/>
    </row>
    <row r="447">
      <c r="J447" s="13"/>
      <c r="K447" s="13"/>
    </row>
    <row r="448">
      <c r="J448" s="13"/>
      <c r="K448" s="13"/>
    </row>
    <row r="449">
      <c r="J449" s="13"/>
      <c r="K449" s="13"/>
    </row>
    <row r="450">
      <c r="J450" s="13"/>
      <c r="K450" s="13"/>
    </row>
    <row r="451">
      <c r="J451" s="13"/>
      <c r="K451" s="13"/>
    </row>
    <row r="452">
      <c r="J452" s="13"/>
      <c r="K452" s="13"/>
    </row>
    <row r="453">
      <c r="J453" s="13"/>
      <c r="K453" s="13"/>
    </row>
    <row r="454">
      <c r="J454" s="13"/>
      <c r="K454" s="13"/>
    </row>
    <row r="455">
      <c r="J455" s="13"/>
      <c r="K455" s="13"/>
    </row>
    <row r="456">
      <c r="J456" s="13"/>
      <c r="K456" s="13"/>
    </row>
    <row r="457">
      <c r="J457" s="13"/>
      <c r="K457" s="13"/>
    </row>
    <row r="458">
      <c r="J458" s="13"/>
      <c r="K458" s="13"/>
    </row>
    <row r="459">
      <c r="J459" s="13"/>
      <c r="K459" s="13"/>
    </row>
    <row r="460">
      <c r="J460" s="13"/>
      <c r="K460" s="13"/>
    </row>
    <row r="461">
      <c r="J461" s="13"/>
      <c r="K461" s="13"/>
    </row>
    <row r="462">
      <c r="J462" s="13"/>
      <c r="K462" s="13"/>
    </row>
    <row r="463">
      <c r="J463" s="13"/>
      <c r="K463" s="13"/>
    </row>
    <row r="464">
      <c r="J464" s="13"/>
      <c r="K464" s="13"/>
    </row>
    <row r="465">
      <c r="J465" s="13"/>
      <c r="K465" s="13"/>
    </row>
    <row r="466">
      <c r="J466" s="13"/>
      <c r="K466" s="13"/>
    </row>
    <row r="467">
      <c r="J467" s="13"/>
      <c r="K467" s="13"/>
    </row>
    <row r="468">
      <c r="J468" s="13"/>
      <c r="K468" s="13"/>
    </row>
    <row r="469">
      <c r="J469" s="13"/>
      <c r="K469" s="13"/>
    </row>
    <row r="470">
      <c r="J470" s="13"/>
      <c r="K470" s="13"/>
    </row>
    <row r="471">
      <c r="J471" s="13"/>
      <c r="K471" s="13"/>
    </row>
    <row r="472">
      <c r="J472" s="13"/>
      <c r="K472" s="13"/>
    </row>
    <row r="473">
      <c r="J473" s="13"/>
      <c r="K473" s="13"/>
    </row>
    <row r="474">
      <c r="J474" s="13"/>
      <c r="K474" s="13"/>
    </row>
    <row r="475">
      <c r="J475" s="13"/>
      <c r="K475" s="13"/>
    </row>
    <row r="476">
      <c r="J476" s="13"/>
      <c r="K476" s="13"/>
    </row>
    <row r="477">
      <c r="J477" s="13"/>
      <c r="K477" s="13"/>
    </row>
    <row r="478">
      <c r="J478" s="13"/>
      <c r="K478" s="13"/>
    </row>
    <row r="479">
      <c r="J479" s="13"/>
      <c r="K479" s="13"/>
    </row>
    <row r="480">
      <c r="J480" s="13"/>
      <c r="K480" s="13"/>
    </row>
    <row r="481">
      <c r="J481" s="13"/>
      <c r="K481" s="13"/>
    </row>
    <row r="482">
      <c r="J482" s="13"/>
      <c r="K482" s="13"/>
    </row>
    <row r="483">
      <c r="J483" s="13"/>
      <c r="K483" s="13"/>
    </row>
    <row r="484">
      <c r="J484" s="13"/>
      <c r="K484" s="13"/>
    </row>
    <row r="485">
      <c r="J485" s="13"/>
      <c r="K485" s="13"/>
    </row>
    <row r="486">
      <c r="J486" s="13"/>
      <c r="K486" s="13"/>
    </row>
    <row r="487">
      <c r="J487" s="13"/>
      <c r="K487" s="13"/>
    </row>
    <row r="488">
      <c r="J488" s="13"/>
      <c r="K488" s="13"/>
    </row>
    <row r="489">
      <c r="J489" s="13"/>
      <c r="K489" s="13"/>
    </row>
    <row r="490">
      <c r="J490" s="13"/>
      <c r="K490" s="13"/>
    </row>
    <row r="491">
      <c r="J491" s="13"/>
      <c r="K491" s="13"/>
    </row>
    <row r="492">
      <c r="J492" s="13"/>
      <c r="K492" s="13"/>
    </row>
    <row r="493">
      <c r="J493" s="13"/>
      <c r="K493" s="13"/>
    </row>
    <row r="494">
      <c r="J494" s="13"/>
      <c r="K494" s="13"/>
    </row>
    <row r="495">
      <c r="J495" s="13"/>
      <c r="K495" s="13"/>
    </row>
    <row r="496">
      <c r="J496" s="13"/>
      <c r="K496" s="13"/>
    </row>
    <row r="497">
      <c r="J497" s="13"/>
      <c r="K497" s="13"/>
    </row>
    <row r="498">
      <c r="J498" s="13"/>
      <c r="K498" s="13"/>
    </row>
    <row r="499">
      <c r="J499" s="13"/>
      <c r="K499" s="13"/>
    </row>
    <row r="500">
      <c r="J500" s="13"/>
      <c r="K500" s="13"/>
    </row>
    <row r="501">
      <c r="J501" s="13"/>
      <c r="K501" s="13"/>
    </row>
    <row r="502">
      <c r="J502" s="13"/>
      <c r="K502" s="13"/>
    </row>
    <row r="503">
      <c r="J503" s="13"/>
      <c r="K503" s="13"/>
    </row>
    <row r="504">
      <c r="J504" s="13"/>
      <c r="K504" s="13"/>
    </row>
    <row r="505">
      <c r="J505" s="13"/>
      <c r="K505" s="13"/>
    </row>
    <row r="506">
      <c r="J506" s="13"/>
      <c r="K506" s="13"/>
    </row>
    <row r="507">
      <c r="J507" s="13"/>
      <c r="K507" s="13"/>
    </row>
    <row r="508">
      <c r="J508" s="13"/>
      <c r="K508" s="13"/>
    </row>
    <row r="509">
      <c r="J509" s="13"/>
      <c r="K509" s="13"/>
    </row>
    <row r="510">
      <c r="J510" s="13"/>
      <c r="K510" s="13"/>
    </row>
    <row r="511">
      <c r="J511" s="13"/>
      <c r="K511" s="13"/>
    </row>
    <row r="512">
      <c r="J512" s="13"/>
      <c r="K512" s="13"/>
    </row>
    <row r="513">
      <c r="J513" s="13"/>
      <c r="K513" s="13"/>
    </row>
    <row r="514">
      <c r="J514" s="13"/>
      <c r="K514" s="13"/>
    </row>
    <row r="515">
      <c r="J515" s="13"/>
      <c r="K515" s="13"/>
    </row>
    <row r="516">
      <c r="J516" s="13"/>
      <c r="K516" s="13"/>
    </row>
    <row r="517">
      <c r="J517" s="13"/>
      <c r="K517" s="13"/>
    </row>
    <row r="518">
      <c r="J518" s="13"/>
      <c r="K518" s="13"/>
    </row>
    <row r="519">
      <c r="J519" s="13"/>
      <c r="K519" s="13"/>
    </row>
    <row r="520">
      <c r="J520" s="13"/>
      <c r="K520" s="13"/>
    </row>
    <row r="521">
      <c r="J521" s="13"/>
      <c r="K521" s="13"/>
    </row>
    <row r="522">
      <c r="J522" s="13"/>
      <c r="K522" s="13"/>
    </row>
    <row r="523">
      <c r="J523" s="13"/>
      <c r="K523" s="13"/>
    </row>
    <row r="524">
      <c r="J524" s="13"/>
      <c r="K524" s="13"/>
    </row>
    <row r="525">
      <c r="J525" s="13"/>
      <c r="K525" s="13"/>
    </row>
    <row r="526">
      <c r="J526" s="13"/>
      <c r="K526" s="13"/>
    </row>
    <row r="527">
      <c r="J527" s="13"/>
      <c r="K527" s="13"/>
    </row>
    <row r="528">
      <c r="J528" s="13"/>
      <c r="K528" s="13"/>
    </row>
    <row r="529">
      <c r="J529" s="13"/>
      <c r="K529" s="13"/>
    </row>
    <row r="530">
      <c r="J530" s="13"/>
      <c r="K530" s="13"/>
    </row>
    <row r="531">
      <c r="J531" s="13"/>
      <c r="K531" s="13"/>
    </row>
    <row r="532">
      <c r="J532" s="13"/>
      <c r="K532" s="13"/>
    </row>
    <row r="533">
      <c r="J533" s="13"/>
      <c r="K533" s="13"/>
    </row>
    <row r="534">
      <c r="J534" s="13"/>
      <c r="K534" s="13"/>
    </row>
    <row r="535">
      <c r="J535" s="13"/>
      <c r="K535" s="13"/>
    </row>
    <row r="536">
      <c r="J536" s="13"/>
      <c r="K536" s="13"/>
    </row>
    <row r="537">
      <c r="J537" s="13"/>
      <c r="K537" s="13"/>
    </row>
    <row r="538">
      <c r="J538" s="13"/>
      <c r="K538" s="13"/>
    </row>
    <row r="539">
      <c r="J539" s="13"/>
      <c r="K539" s="13"/>
    </row>
    <row r="540">
      <c r="J540" s="13"/>
      <c r="K540" s="13"/>
    </row>
    <row r="541">
      <c r="J541" s="13"/>
      <c r="K541" s="13"/>
    </row>
    <row r="542">
      <c r="J542" s="13"/>
      <c r="K542" s="13"/>
    </row>
    <row r="543">
      <c r="J543" s="13"/>
      <c r="K543" s="13"/>
    </row>
    <row r="544">
      <c r="J544" s="13"/>
      <c r="K544" s="13"/>
    </row>
    <row r="545">
      <c r="J545" s="13"/>
      <c r="K545" s="13"/>
    </row>
    <row r="546">
      <c r="J546" s="13"/>
      <c r="K546" s="13"/>
    </row>
    <row r="547">
      <c r="J547" s="13"/>
      <c r="K547" s="13"/>
    </row>
    <row r="548">
      <c r="J548" s="13"/>
      <c r="K548" s="13"/>
    </row>
    <row r="549">
      <c r="J549" s="13"/>
      <c r="K549" s="13"/>
    </row>
    <row r="550">
      <c r="J550" s="13"/>
      <c r="K550" s="13"/>
    </row>
    <row r="551">
      <c r="J551" s="13"/>
      <c r="K551" s="13"/>
    </row>
    <row r="552">
      <c r="J552" s="13"/>
      <c r="K552" s="13"/>
    </row>
    <row r="553">
      <c r="J553" s="13"/>
      <c r="K553" s="13"/>
    </row>
    <row r="554">
      <c r="J554" s="13"/>
      <c r="K554" s="13"/>
    </row>
    <row r="555">
      <c r="J555" s="13"/>
      <c r="K555" s="13"/>
    </row>
    <row r="556">
      <c r="J556" s="13"/>
      <c r="K556" s="13"/>
    </row>
    <row r="557">
      <c r="J557" s="13"/>
      <c r="K557" s="13"/>
    </row>
    <row r="558">
      <c r="J558" s="13"/>
      <c r="K558" s="13"/>
    </row>
    <row r="559">
      <c r="J559" s="13"/>
      <c r="K559" s="13"/>
    </row>
    <row r="560">
      <c r="J560" s="13"/>
      <c r="K560" s="13"/>
    </row>
    <row r="561">
      <c r="J561" s="13"/>
      <c r="K561" s="13"/>
    </row>
    <row r="562">
      <c r="J562" s="13"/>
      <c r="K562" s="13"/>
    </row>
    <row r="563">
      <c r="J563" s="13"/>
      <c r="K563" s="13"/>
    </row>
    <row r="564">
      <c r="J564" s="13"/>
      <c r="K564" s="13"/>
    </row>
    <row r="565">
      <c r="J565" s="13"/>
      <c r="K565" s="13"/>
    </row>
    <row r="566">
      <c r="J566" s="13"/>
      <c r="K566" s="13"/>
    </row>
    <row r="567">
      <c r="J567" s="13"/>
      <c r="K567" s="13"/>
    </row>
    <row r="568">
      <c r="J568" s="13"/>
      <c r="K568" s="13"/>
    </row>
    <row r="569">
      <c r="J569" s="13"/>
      <c r="K569" s="13"/>
    </row>
    <row r="570">
      <c r="J570" s="13"/>
      <c r="K570" s="13"/>
    </row>
    <row r="571">
      <c r="J571" s="13"/>
      <c r="K571" s="13"/>
    </row>
    <row r="572">
      <c r="J572" s="13"/>
      <c r="K572" s="13"/>
    </row>
    <row r="573">
      <c r="J573" s="13"/>
      <c r="K573" s="13"/>
    </row>
    <row r="574">
      <c r="J574" s="13"/>
      <c r="K574" s="13"/>
    </row>
    <row r="575">
      <c r="J575" s="13"/>
      <c r="K575" s="13"/>
    </row>
    <row r="576">
      <c r="J576" s="13"/>
      <c r="K576" s="13"/>
    </row>
    <row r="577">
      <c r="J577" s="13"/>
      <c r="K577" s="13"/>
    </row>
    <row r="578">
      <c r="J578" s="13"/>
      <c r="K578" s="13"/>
    </row>
    <row r="579">
      <c r="J579" s="13"/>
      <c r="K579" s="13"/>
    </row>
    <row r="580">
      <c r="J580" s="13"/>
      <c r="K580" s="13"/>
    </row>
    <row r="581">
      <c r="J581" s="13"/>
      <c r="K581" s="13"/>
    </row>
    <row r="582">
      <c r="J582" s="13"/>
      <c r="K582" s="13"/>
    </row>
    <row r="583">
      <c r="J583" s="13"/>
      <c r="K583" s="13"/>
    </row>
    <row r="584">
      <c r="J584" s="13"/>
      <c r="K584" s="13"/>
    </row>
    <row r="585">
      <c r="J585" s="13"/>
      <c r="K585" s="13"/>
    </row>
    <row r="586">
      <c r="J586" s="13"/>
      <c r="K586" s="13"/>
    </row>
    <row r="587">
      <c r="J587" s="13"/>
      <c r="K587" s="13"/>
    </row>
    <row r="588">
      <c r="J588" s="13"/>
      <c r="K588" s="13"/>
    </row>
    <row r="589">
      <c r="J589" s="13"/>
      <c r="K589" s="13"/>
    </row>
    <row r="590">
      <c r="J590" s="13"/>
      <c r="K590" s="13"/>
    </row>
    <row r="591">
      <c r="J591" s="13"/>
      <c r="K591" s="13"/>
    </row>
    <row r="592">
      <c r="J592" s="13"/>
      <c r="K592" s="13"/>
    </row>
    <row r="593">
      <c r="J593" s="13"/>
      <c r="K593" s="13"/>
    </row>
    <row r="594">
      <c r="J594" s="13"/>
      <c r="K594" s="13"/>
    </row>
    <row r="595">
      <c r="J595" s="13"/>
      <c r="K595" s="13"/>
    </row>
    <row r="596">
      <c r="J596" s="13"/>
      <c r="K596" s="13"/>
    </row>
    <row r="597">
      <c r="J597" s="13"/>
      <c r="K597" s="13"/>
    </row>
    <row r="598">
      <c r="J598" s="13"/>
      <c r="K598" s="13"/>
    </row>
    <row r="599">
      <c r="J599" s="13"/>
      <c r="K599" s="13"/>
    </row>
    <row r="600">
      <c r="J600" s="13"/>
      <c r="K600" s="13"/>
    </row>
    <row r="601">
      <c r="J601" s="13"/>
      <c r="K601" s="13"/>
    </row>
    <row r="602">
      <c r="J602" s="13"/>
      <c r="K602" s="13"/>
    </row>
    <row r="603">
      <c r="J603" s="13"/>
      <c r="K603" s="13"/>
    </row>
    <row r="604">
      <c r="J604" s="13"/>
      <c r="K604" s="13"/>
    </row>
    <row r="605">
      <c r="J605" s="13"/>
      <c r="K605" s="13"/>
    </row>
    <row r="606">
      <c r="J606" s="13"/>
      <c r="K606" s="13"/>
    </row>
    <row r="607">
      <c r="J607" s="13"/>
      <c r="K607" s="13"/>
    </row>
    <row r="608">
      <c r="J608" s="13"/>
      <c r="K608" s="13"/>
    </row>
    <row r="609">
      <c r="J609" s="13"/>
      <c r="K609" s="13"/>
    </row>
    <row r="610">
      <c r="J610" s="13"/>
      <c r="K610" s="13"/>
    </row>
    <row r="611">
      <c r="J611" s="13"/>
      <c r="K611" s="13"/>
    </row>
    <row r="612">
      <c r="J612" s="13"/>
      <c r="K612" s="13"/>
    </row>
    <row r="613">
      <c r="J613" s="13"/>
      <c r="K613" s="13"/>
    </row>
    <row r="614">
      <c r="J614" s="13"/>
      <c r="K614" s="13"/>
    </row>
    <row r="615">
      <c r="J615" s="13"/>
      <c r="K615" s="13"/>
    </row>
    <row r="616">
      <c r="J616" s="13"/>
      <c r="K616" s="13"/>
    </row>
    <row r="617">
      <c r="J617" s="13"/>
      <c r="K617" s="13"/>
    </row>
    <row r="618">
      <c r="J618" s="13"/>
      <c r="K618" s="13"/>
    </row>
    <row r="619">
      <c r="J619" s="13"/>
      <c r="K619" s="13"/>
    </row>
    <row r="620">
      <c r="J620" s="13"/>
      <c r="K620" s="13"/>
    </row>
    <row r="621">
      <c r="J621" s="13"/>
      <c r="K621" s="13"/>
    </row>
    <row r="622">
      <c r="J622" s="13"/>
      <c r="K622" s="13"/>
    </row>
    <row r="623">
      <c r="J623" s="13"/>
      <c r="K623" s="13"/>
    </row>
    <row r="624">
      <c r="J624" s="13"/>
      <c r="K624" s="13"/>
    </row>
    <row r="625">
      <c r="J625" s="13"/>
      <c r="K625" s="13"/>
    </row>
    <row r="626">
      <c r="J626" s="13"/>
      <c r="K626" s="13"/>
    </row>
    <row r="627">
      <c r="J627" s="13"/>
      <c r="K627" s="13"/>
    </row>
    <row r="628">
      <c r="J628" s="13"/>
      <c r="K628" s="13"/>
    </row>
    <row r="629">
      <c r="J629" s="13"/>
      <c r="K629" s="13"/>
    </row>
    <row r="630">
      <c r="J630" s="13"/>
      <c r="K630" s="13"/>
    </row>
    <row r="631">
      <c r="J631" s="13"/>
      <c r="K631" s="13"/>
    </row>
    <row r="632">
      <c r="J632" s="13"/>
      <c r="K632" s="13"/>
    </row>
    <row r="633">
      <c r="J633" s="13"/>
      <c r="K633" s="13"/>
    </row>
    <row r="634">
      <c r="J634" s="13"/>
      <c r="K634" s="13"/>
    </row>
    <row r="635">
      <c r="J635" s="13"/>
      <c r="K635" s="13"/>
    </row>
    <row r="636">
      <c r="J636" s="13"/>
      <c r="K636" s="13"/>
    </row>
    <row r="637">
      <c r="J637" s="13"/>
      <c r="K637" s="13"/>
    </row>
    <row r="638">
      <c r="J638" s="13"/>
      <c r="K638" s="13"/>
    </row>
    <row r="639">
      <c r="J639" s="13"/>
      <c r="K639" s="13"/>
    </row>
    <row r="640">
      <c r="J640" s="13"/>
      <c r="K640" s="13"/>
    </row>
    <row r="641">
      <c r="J641" s="13"/>
      <c r="K641" s="13"/>
    </row>
    <row r="642">
      <c r="J642" s="13"/>
      <c r="K642" s="13"/>
    </row>
    <row r="643">
      <c r="J643" s="13"/>
      <c r="K643" s="13"/>
    </row>
    <row r="644">
      <c r="J644" s="13"/>
      <c r="K644" s="13"/>
    </row>
    <row r="645">
      <c r="J645" s="13"/>
      <c r="K645" s="13"/>
    </row>
    <row r="646">
      <c r="J646" s="13"/>
      <c r="K646" s="13"/>
    </row>
    <row r="647">
      <c r="J647" s="13"/>
      <c r="K647" s="13"/>
    </row>
    <row r="648">
      <c r="J648" s="13"/>
      <c r="K648" s="13"/>
    </row>
    <row r="649">
      <c r="J649" s="13"/>
      <c r="K649" s="13"/>
    </row>
    <row r="650">
      <c r="J650" s="13"/>
      <c r="K650" s="13"/>
    </row>
    <row r="651">
      <c r="J651" s="13"/>
      <c r="K651" s="13"/>
    </row>
    <row r="652">
      <c r="J652" s="13"/>
      <c r="K652" s="13"/>
    </row>
    <row r="653">
      <c r="J653" s="13"/>
      <c r="K653" s="13"/>
    </row>
    <row r="654">
      <c r="J654" s="13"/>
      <c r="K654" s="13"/>
    </row>
    <row r="655">
      <c r="J655" s="13"/>
      <c r="K655" s="13"/>
    </row>
    <row r="656">
      <c r="J656" s="13"/>
      <c r="K656" s="13"/>
    </row>
    <row r="657">
      <c r="J657" s="13"/>
      <c r="K657" s="13"/>
    </row>
    <row r="658">
      <c r="J658" s="13"/>
      <c r="K658" s="13"/>
    </row>
    <row r="659">
      <c r="J659" s="13"/>
      <c r="K659" s="13"/>
    </row>
    <row r="660">
      <c r="J660" s="13"/>
      <c r="K660" s="13"/>
    </row>
    <row r="661">
      <c r="J661" s="13"/>
      <c r="K661" s="13"/>
    </row>
    <row r="662">
      <c r="J662" s="13"/>
      <c r="K662" s="13"/>
    </row>
    <row r="663">
      <c r="J663" s="13"/>
      <c r="K663" s="13"/>
    </row>
    <row r="664">
      <c r="J664" s="13"/>
      <c r="K664" s="13"/>
    </row>
    <row r="665">
      <c r="J665" s="13"/>
      <c r="K665" s="13"/>
    </row>
    <row r="666">
      <c r="J666" s="13"/>
      <c r="K666" s="13"/>
    </row>
    <row r="667">
      <c r="J667" s="13"/>
      <c r="K667" s="13"/>
    </row>
    <row r="668">
      <c r="J668" s="13"/>
      <c r="K668" s="13"/>
    </row>
    <row r="669">
      <c r="J669" s="13"/>
      <c r="K669" s="13"/>
    </row>
    <row r="670">
      <c r="J670" s="13"/>
      <c r="K670" s="13"/>
    </row>
    <row r="671">
      <c r="J671" s="13"/>
      <c r="K671" s="13"/>
    </row>
    <row r="672">
      <c r="J672" s="13"/>
      <c r="K672" s="13"/>
    </row>
    <row r="673">
      <c r="J673" s="13"/>
      <c r="K673" s="13"/>
    </row>
    <row r="674">
      <c r="J674" s="13"/>
      <c r="K674" s="13"/>
    </row>
    <row r="675">
      <c r="J675" s="13"/>
      <c r="K675" s="13"/>
    </row>
    <row r="676">
      <c r="J676" s="13"/>
      <c r="K676" s="13"/>
    </row>
    <row r="677">
      <c r="J677" s="13"/>
      <c r="K677" s="13"/>
    </row>
    <row r="678">
      <c r="J678" s="13"/>
      <c r="K678" s="13"/>
    </row>
    <row r="679">
      <c r="J679" s="13"/>
      <c r="K679" s="13"/>
    </row>
    <row r="680">
      <c r="J680" s="13"/>
      <c r="K680" s="13"/>
    </row>
    <row r="681">
      <c r="J681" s="13"/>
      <c r="K681" s="13"/>
    </row>
    <row r="682">
      <c r="J682" s="13"/>
      <c r="K682" s="13"/>
    </row>
    <row r="683">
      <c r="J683" s="13"/>
      <c r="K683" s="13"/>
    </row>
    <row r="684">
      <c r="J684" s="13"/>
      <c r="K684" s="13"/>
    </row>
    <row r="685">
      <c r="J685" s="13"/>
      <c r="K685" s="13"/>
    </row>
    <row r="686">
      <c r="J686" s="13"/>
      <c r="K686" s="13"/>
    </row>
    <row r="687">
      <c r="J687" s="13"/>
      <c r="K687" s="13"/>
    </row>
    <row r="688">
      <c r="J688" s="13"/>
      <c r="K688" s="13"/>
    </row>
    <row r="689">
      <c r="J689" s="13"/>
      <c r="K689" s="13"/>
    </row>
    <row r="690">
      <c r="J690" s="13"/>
      <c r="K690" s="13"/>
    </row>
    <row r="691">
      <c r="J691" s="13"/>
      <c r="K691" s="13"/>
    </row>
    <row r="692">
      <c r="J692" s="13"/>
      <c r="K692" s="13"/>
    </row>
    <row r="693">
      <c r="J693" s="13"/>
      <c r="K693" s="13"/>
    </row>
    <row r="694">
      <c r="J694" s="13"/>
      <c r="K694" s="13"/>
    </row>
    <row r="695">
      <c r="J695" s="13"/>
      <c r="K695" s="13"/>
    </row>
    <row r="696">
      <c r="J696" s="13"/>
      <c r="K696" s="13"/>
    </row>
    <row r="697">
      <c r="J697" s="13"/>
      <c r="K697" s="13"/>
    </row>
    <row r="698">
      <c r="J698" s="13"/>
      <c r="K698" s="13"/>
    </row>
    <row r="699">
      <c r="J699" s="13"/>
      <c r="K699" s="13"/>
    </row>
    <row r="700">
      <c r="J700" s="13"/>
      <c r="K700" s="13"/>
    </row>
    <row r="701">
      <c r="J701" s="13"/>
      <c r="K701" s="13"/>
    </row>
    <row r="702">
      <c r="J702" s="13"/>
      <c r="K702" s="13"/>
    </row>
    <row r="703">
      <c r="J703" s="13"/>
      <c r="K703" s="13"/>
    </row>
    <row r="704">
      <c r="J704" s="13"/>
      <c r="K704" s="13"/>
    </row>
    <row r="705">
      <c r="J705" s="13"/>
      <c r="K705" s="13"/>
    </row>
    <row r="706">
      <c r="J706" s="13"/>
      <c r="K706" s="13"/>
    </row>
    <row r="707">
      <c r="J707" s="13"/>
      <c r="K707" s="13"/>
    </row>
    <row r="708">
      <c r="J708" s="13"/>
      <c r="K708" s="13"/>
    </row>
    <row r="709">
      <c r="J709" s="13"/>
      <c r="K709" s="13"/>
    </row>
    <row r="710">
      <c r="J710" s="13"/>
      <c r="K710" s="13"/>
    </row>
    <row r="711">
      <c r="J711" s="13"/>
      <c r="K711" s="13"/>
    </row>
    <row r="712">
      <c r="J712" s="13"/>
      <c r="K712" s="13"/>
    </row>
    <row r="713">
      <c r="J713" s="13"/>
      <c r="K713" s="13"/>
    </row>
    <row r="714">
      <c r="J714" s="13"/>
      <c r="K714" s="13"/>
    </row>
    <row r="715">
      <c r="J715" s="13"/>
      <c r="K715" s="13"/>
    </row>
    <row r="716">
      <c r="J716" s="13"/>
      <c r="K716" s="13"/>
    </row>
    <row r="717">
      <c r="J717" s="13"/>
      <c r="K717" s="13"/>
    </row>
    <row r="718">
      <c r="J718" s="13"/>
      <c r="K718" s="13"/>
    </row>
    <row r="719">
      <c r="J719" s="13"/>
      <c r="K719" s="13"/>
    </row>
    <row r="720">
      <c r="J720" s="13"/>
      <c r="K720" s="13"/>
    </row>
    <row r="721">
      <c r="J721" s="13"/>
      <c r="K721" s="13"/>
    </row>
    <row r="722">
      <c r="J722" s="13"/>
      <c r="K722" s="13"/>
    </row>
    <row r="723">
      <c r="J723" s="13"/>
      <c r="K723" s="13"/>
    </row>
    <row r="724">
      <c r="J724" s="13"/>
      <c r="K724" s="13"/>
    </row>
    <row r="725">
      <c r="J725" s="13"/>
      <c r="K725" s="13"/>
    </row>
    <row r="726">
      <c r="J726" s="13"/>
      <c r="K726" s="13"/>
    </row>
    <row r="727">
      <c r="J727" s="13"/>
      <c r="K727" s="13"/>
    </row>
    <row r="728">
      <c r="J728" s="13"/>
      <c r="K728" s="13"/>
    </row>
    <row r="729">
      <c r="J729" s="13"/>
      <c r="K729" s="13"/>
    </row>
    <row r="730">
      <c r="J730" s="13"/>
      <c r="K730" s="13"/>
    </row>
    <row r="731">
      <c r="J731" s="13"/>
      <c r="K731" s="13"/>
    </row>
    <row r="732">
      <c r="J732" s="13"/>
      <c r="K732" s="13"/>
    </row>
    <row r="733">
      <c r="J733" s="13"/>
      <c r="K733" s="13"/>
    </row>
    <row r="734">
      <c r="J734" s="13"/>
      <c r="K734" s="13"/>
    </row>
    <row r="735">
      <c r="J735" s="13"/>
      <c r="K735" s="13"/>
    </row>
    <row r="736">
      <c r="J736" s="13"/>
      <c r="K736" s="13"/>
    </row>
    <row r="737">
      <c r="J737" s="13"/>
      <c r="K737" s="13"/>
    </row>
    <row r="738">
      <c r="J738" s="13"/>
      <c r="K738" s="13"/>
    </row>
    <row r="739">
      <c r="J739" s="13"/>
      <c r="K739" s="13"/>
    </row>
    <row r="740">
      <c r="J740" s="13"/>
      <c r="K740" s="13"/>
    </row>
    <row r="741">
      <c r="J741" s="13"/>
      <c r="K741" s="13"/>
    </row>
    <row r="742">
      <c r="J742" s="13"/>
      <c r="K742" s="13"/>
    </row>
    <row r="743">
      <c r="J743" s="13"/>
      <c r="K743" s="13"/>
    </row>
    <row r="744">
      <c r="J744" s="13"/>
      <c r="K744" s="13"/>
    </row>
    <row r="745">
      <c r="J745" s="13"/>
      <c r="K745" s="13"/>
    </row>
    <row r="746">
      <c r="J746" s="13"/>
      <c r="K746" s="13"/>
    </row>
    <row r="747">
      <c r="J747" s="13"/>
      <c r="K747" s="13"/>
    </row>
    <row r="748">
      <c r="J748" s="13"/>
      <c r="K748" s="13"/>
    </row>
    <row r="749">
      <c r="J749" s="13"/>
      <c r="K749" s="13"/>
    </row>
    <row r="750">
      <c r="J750" s="13"/>
      <c r="K750" s="13"/>
    </row>
    <row r="751">
      <c r="J751" s="13"/>
      <c r="K751" s="13"/>
    </row>
    <row r="752">
      <c r="J752" s="13"/>
      <c r="K752" s="13"/>
    </row>
    <row r="753">
      <c r="J753" s="13"/>
      <c r="K753" s="13"/>
    </row>
    <row r="754">
      <c r="J754" s="13"/>
      <c r="K754" s="13"/>
    </row>
    <row r="755">
      <c r="J755" s="13"/>
      <c r="K755" s="13"/>
    </row>
    <row r="756">
      <c r="J756" s="13"/>
      <c r="K756" s="13"/>
    </row>
    <row r="757">
      <c r="J757" s="13"/>
      <c r="K757" s="13"/>
    </row>
    <row r="758">
      <c r="J758" s="13"/>
      <c r="K758" s="13"/>
    </row>
    <row r="759">
      <c r="J759" s="13"/>
      <c r="K759" s="13"/>
    </row>
    <row r="760">
      <c r="J760" s="13"/>
      <c r="K760" s="13"/>
    </row>
    <row r="761">
      <c r="J761" s="13"/>
      <c r="K761" s="13"/>
    </row>
    <row r="762">
      <c r="J762" s="13"/>
      <c r="K762" s="13"/>
    </row>
    <row r="763">
      <c r="J763" s="13"/>
      <c r="K763" s="13"/>
    </row>
    <row r="764">
      <c r="J764" s="13"/>
      <c r="K764" s="13"/>
    </row>
    <row r="765">
      <c r="J765" s="13"/>
      <c r="K765" s="13"/>
    </row>
    <row r="766">
      <c r="J766" s="13"/>
      <c r="K766" s="13"/>
    </row>
    <row r="767">
      <c r="J767" s="13"/>
      <c r="K767" s="13"/>
    </row>
    <row r="768">
      <c r="J768" s="13"/>
      <c r="K768" s="13"/>
    </row>
    <row r="769">
      <c r="J769" s="13"/>
      <c r="K769" s="13"/>
    </row>
    <row r="770">
      <c r="J770" s="13"/>
      <c r="K770" s="13"/>
    </row>
    <row r="771">
      <c r="J771" s="13"/>
      <c r="K771" s="13"/>
    </row>
    <row r="772">
      <c r="J772" s="13"/>
      <c r="K772" s="13"/>
    </row>
    <row r="773">
      <c r="J773" s="13"/>
      <c r="K773" s="13"/>
    </row>
    <row r="774">
      <c r="J774" s="13"/>
      <c r="K774" s="13"/>
    </row>
    <row r="775">
      <c r="J775" s="13"/>
      <c r="K775" s="13"/>
    </row>
    <row r="776">
      <c r="J776" s="13"/>
      <c r="K776" s="13"/>
    </row>
    <row r="777">
      <c r="J777" s="13"/>
      <c r="K777" s="13"/>
    </row>
    <row r="778">
      <c r="J778" s="13"/>
      <c r="K778" s="13"/>
    </row>
    <row r="779">
      <c r="J779" s="13"/>
      <c r="K779" s="13"/>
    </row>
    <row r="780">
      <c r="J780" s="13"/>
      <c r="K780" s="13"/>
    </row>
    <row r="781">
      <c r="J781" s="13"/>
      <c r="K781" s="13"/>
    </row>
    <row r="782">
      <c r="J782" s="13"/>
      <c r="K782" s="13"/>
    </row>
    <row r="783">
      <c r="J783" s="13"/>
      <c r="K783" s="13"/>
    </row>
    <row r="784">
      <c r="J784" s="13"/>
      <c r="K784" s="13"/>
    </row>
    <row r="785">
      <c r="J785" s="13"/>
      <c r="K785" s="13"/>
    </row>
    <row r="786">
      <c r="J786" s="13"/>
      <c r="K786" s="13"/>
    </row>
    <row r="787">
      <c r="J787" s="13"/>
      <c r="K787" s="13"/>
    </row>
    <row r="788">
      <c r="J788" s="13"/>
      <c r="K788" s="13"/>
    </row>
    <row r="789">
      <c r="J789" s="13"/>
      <c r="K789" s="13"/>
    </row>
    <row r="790">
      <c r="J790" s="13"/>
      <c r="K790" s="13"/>
    </row>
    <row r="791">
      <c r="J791" s="13"/>
      <c r="K791" s="13"/>
    </row>
    <row r="792">
      <c r="J792" s="13"/>
      <c r="K792" s="13"/>
    </row>
    <row r="793">
      <c r="J793" s="13"/>
      <c r="K793" s="13"/>
    </row>
    <row r="794">
      <c r="J794" s="13"/>
      <c r="K794" s="13"/>
    </row>
    <row r="795">
      <c r="J795" s="13"/>
      <c r="K795" s="13"/>
    </row>
    <row r="796">
      <c r="J796" s="13"/>
      <c r="K796" s="13"/>
    </row>
    <row r="797">
      <c r="J797" s="13"/>
      <c r="K797" s="13"/>
    </row>
    <row r="798">
      <c r="J798" s="13"/>
      <c r="K798" s="13"/>
    </row>
    <row r="799">
      <c r="J799" s="13"/>
      <c r="K799" s="13"/>
    </row>
    <row r="800">
      <c r="J800" s="13"/>
      <c r="K800" s="13"/>
    </row>
    <row r="801">
      <c r="J801" s="13"/>
      <c r="K801" s="13"/>
    </row>
    <row r="802">
      <c r="J802" s="13"/>
      <c r="K802" s="13"/>
    </row>
    <row r="803">
      <c r="J803" s="13"/>
      <c r="K803" s="13"/>
    </row>
    <row r="804">
      <c r="J804" s="13"/>
      <c r="K804" s="13"/>
    </row>
    <row r="805">
      <c r="J805" s="13"/>
      <c r="K805" s="13"/>
    </row>
    <row r="806">
      <c r="J806" s="13"/>
      <c r="K806" s="13"/>
    </row>
    <row r="807">
      <c r="J807" s="13"/>
      <c r="K807" s="13"/>
    </row>
    <row r="808">
      <c r="J808" s="13"/>
      <c r="K808" s="13"/>
    </row>
    <row r="809">
      <c r="J809" s="13"/>
      <c r="K809" s="13"/>
    </row>
    <row r="810">
      <c r="J810" s="13"/>
      <c r="K810" s="13"/>
    </row>
    <row r="811">
      <c r="J811" s="13"/>
      <c r="K811" s="13"/>
    </row>
    <row r="812">
      <c r="J812" s="13"/>
      <c r="K812" s="13"/>
    </row>
    <row r="813">
      <c r="J813" s="13"/>
      <c r="K813" s="13"/>
    </row>
    <row r="814">
      <c r="J814" s="13"/>
      <c r="K814" s="13"/>
    </row>
    <row r="815">
      <c r="J815" s="13"/>
      <c r="K815" s="13"/>
    </row>
    <row r="816">
      <c r="J816" s="13"/>
      <c r="K816" s="13"/>
    </row>
    <row r="817">
      <c r="J817" s="13"/>
      <c r="K817" s="13"/>
    </row>
    <row r="818">
      <c r="J818" s="13"/>
      <c r="K818" s="13"/>
    </row>
    <row r="819">
      <c r="J819" s="13"/>
      <c r="K819" s="13"/>
    </row>
    <row r="820">
      <c r="J820" s="13"/>
      <c r="K820" s="13"/>
    </row>
    <row r="821">
      <c r="J821" s="13"/>
      <c r="K821" s="13"/>
    </row>
    <row r="822">
      <c r="J822" s="13"/>
      <c r="K822" s="13"/>
    </row>
    <row r="823">
      <c r="J823" s="13"/>
      <c r="K823" s="13"/>
    </row>
    <row r="824">
      <c r="J824" s="13"/>
      <c r="K824" s="13"/>
    </row>
    <row r="825">
      <c r="J825" s="13"/>
      <c r="K825" s="13"/>
    </row>
    <row r="826">
      <c r="J826" s="13"/>
      <c r="K826" s="13"/>
    </row>
    <row r="827">
      <c r="J827" s="13"/>
      <c r="K827" s="13"/>
    </row>
    <row r="828">
      <c r="J828" s="13"/>
      <c r="K828" s="13"/>
    </row>
    <row r="829">
      <c r="J829" s="13"/>
      <c r="K829" s="13"/>
    </row>
    <row r="830">
      <c r="J830" s="13"/>
      <c r="K830" s="13"/>
    </row>
    <row r="831">
      <c r="J831" s="13"/>
      <c r="K831" s="13"/>
    </row>
    <row r="832">
      <c r="J832" s="13"/>
      <c r="K832" s="13"/>
    </row>
    <row r="833">
      <c r="J833" s="13"/>
      <c r="K833" s="13"/>
    </row>
    <row r="834">
      <c r="J834" s="13"/>
      <c r="K834" s="13"/>
    </row>
    <row r="835">
      <c r="J835" s="13"/>
      <c r="K835" s="13"/>
    </row>
    <row r="836">
      <c r="J836" s="13"/>
      <c r="K836" s="13"/>
    </row>
    <row r="837">
      <c r="J837" s="13"/>
      <c r="K837" s="13"/>
    </row>
    <row r="838">
      <c r="J838" s="13"/>
      <c r="K838" s="13"/>
    </row>
    <row r="839">
      <c r="J839" s="13"/>
      <c r="K839" s="13"/>
    </row>
    <row r="840">
      <c r="J840" s="13"/>
      <c r="K840" s="13"/>
    </row>
    <row r="841">
      <c r="J841" s="13"/>
      <c r="K841" s="13"/>
    </row>
    <row r="842">
      <c r="J842" s="13"/>
      <c r="K842" s="13"/>
    </row>
    <row r="843">
      <c r="J843" s="13"/>
      <c r="K843" s="13"/>
    </row>
    <row r="844">
      <c r="J844" s="13"/>
      <c r="K844" s="13"/>
    </row>
    <row r="845">
      <c r="J845" s="13"/>
      <c r="K845" s="13"/>
    </row>
    <row r="846">
      <c r="J846" s="13"/>
      <c r="K846" s="13"/>
    </row>
    <row r="847">
      <c r="J847" s="13"/>
      <c r="K847" s="13"/>
    </row>
    <row r="848">
      <c r="J848" s="13"/>
      <c r="K848" s="13"/>
    </row>
    <row r="849">
      <c r="J849" s="13"/>
      <c r="K849" s="13"/>
    </row>
    <row r="850">
      <c r="J850" s="13"/>
      <c r="K850" s="13"/>
    </row>
    <row r="851">
      <c r="J851" s="13"/>
      <c r="K851" s="13"/>
    </row>
    <row r="852">
      <c r="J852" s="13"/>
      <c r="K852" s="13"/>
    </row>
    <row r="853">
      <c r="J853" s="13"/>
      <c r="K853" s="13"/>
    </row>
    <row r="854">
      <c r="J854" s="13"/>
      <c r="K854" s="13"/>
    </row>
    <row r="855">
      <c r="J855" s="13"/>
      <c r="K855" s="13"/>
    </row>
    <row r="856">
      <c r="J856" s="13"/>
      <c r="K856" s="13"/>
    </row>
    <row r="857">
      <c r="J857" s="13"/>
      <c r="K857" s="13"/>
    </row>
    <row r="858">
      <c r="J858" s="13"/>
      <c r="K858" s="13"/>
    </row>
    <row r="859">
      <c r="J859" s="13"/>
      <c r="K859" s="13"/>
    </row>
    <row r="860">
      <c r="J860" s="13"/>
      <c r="K860" s="13"/>
    </row>
    <row r="861">
      <c r="J861" s="13"/>
      <c r="K861" s="13"/>
    </row>
    <row r="862">
      <c r="J862" s="13"/>
      <c r="K862" s="13"/>
    </row>
    <row r="863">
      <c r="J863" s="13"/>
      <c r="K863" s="13"/>
    </row>
    <row r="864">
      <c r="J864" s="13"/>
      <c r="K864" s="13"/>
    </row>
    <row r="865">
      <c r="J865" s="13"/>
      <c r="K865" s="13"/>
    </row>
    <row r="866">
      <c r="J866" s="13"/>
      <c r="K866" s="13"/>
    </row>
    <row r="867">
      <c r="J867" s="13"/>
      <c r="K867" s="13"/>
    </row>
    <row r="868">
      <c r="J868" s="13"/>
      <c r="K868" s="13"/>
    </row>
    <row r="869">
      <c r="J869" s="13"/>
      <c r="K869" s="13"/>
    </row>
    <row r="870">
      <c r="J870" s="13"/>
      <c r="K870" s="13"/>
    </row>
    <row r="871">
      <c r="J871" s="13"/>
      <c r="K871" s="13"/>
    </row>
    <row r="872">
      <c r="J872" s="13"/>
      <c r="K872" s="13"/>
    </row>
    <row r="873">
      <c r="J873" s="13"/>
      <c r="K873" s="13"/>
    </row>
    <row r="874">
      <c r="J874" s="13"/>
      <c r="K874" s="13"/>
    </row>
    <row r="875">
      <c r="J875" s="13"/>
      <c r="K875" s="13"/>
    </row>
    <row r="876">
      <c r="J876" s="13"/>
      <c r="K876" s="13"/>
    </row>
    <row r="877">
      <c r="J877" s="13"/>
      <c r="K877" s="13"/>
    </row>
    <row r="878">
      <c r="J878" s="13"/>
      <c r="K878" s="13"/>
    </row>
    <row r="879">
      <c r="J879" s="13"/>
      <c r="K879" s="13"/>
    </row>
    <row r="880">
      <c r="J880" s="13"/>
      <c r="K880" s="13"/>
    </row>
    <row r="881">
      <c r="J881" s="13"/>
      <c r="K881" s="13"/>
    </row>
    <row r="882">
      <c r="J882" s="13"/>
      <c r="K882" s="13"/>
    </row>
    <row r="883">
      <c r="J883" s="13"/>
      <c r="K883" s="13"/>
    </row>
    <row r="884">
      <c r="J884" s="13"/>
      <c r="K884" s="13"/>
    </row>
    <row r="885">
      <c r="J885" s="13"/>
      <c r="K885" s="13"/>
    </row>
    <row r="886">
      <c r="J886" s="13"/>
      <c r="K886" s="13"/>
    </row>
    <row r="887">
      <c r="J887" s="13"/>
      <c r="K887" s="13"/>
    </row>
    <row r="888">
      <c r="J888" s="13"/>
      <c r="K888" s="13"/>
    </row>
    <row r="889">
      <c r="J889" s="13"/>
      <c r="K889" s="13"/>
    </row>
    <row r="890">
      <c r="J890" s="13"/>
      <c r="K890" s="13"/>
    </row>
    <row r="891">
      <c r="J891" s="13"/>
      <c r="K891" s="13"/>
    </row>
    <row r="892">
      <c r="J892" s="13"/>
      <c r="K892" s="13"/>
    </row>
    <row r="893">
      <c r="J893" s="13"/>
      <c r="K893" s="13"/>
    </row>
    <row r="894">
      <c r="J894" s="13"/>
      <c r="K894" s="13"/>
    </row>
    <row r="895">
      <c r="J895" s="13"/>
      <c r="K895" s="13"/>
    </row>
    <row r="896">
      <c r="J896" s="13"/>
      <c r="K896" s="13"/>
    </row>
    <row r="897">
      <c r="J897" s="13"/>
      <c r="K897" s="13"/>
    </row>
    <row r="898">
      <c r="J898" s="13"/>
      <c r="K898" s="13"/>
    </row>
    <row r="899">
      <c r="J899" s="13"/>
      <c r="K899" s="13"/>
    </row>
    <row r="900">
      <c r="J900" s="13"/>
      <c r="K900" s="13"/>
    </row>
    <row r="901">
      <c r="J901" s="13"/>
      <c r="K901" s="13"/>
    </row>
    <row r="902">
      <c r="J902" s="13"/>
      <c r="K902" s="13"/>
    </row>
    <row r="903">
      <c r="J903" s="13"/>
      <c r="K903" s="13"/>
    </row>
    <row r="904">
      <c r="J904" s="13"/>
      <c r="K904" s="13"/>
    </row>
    <row r="905">
      <c r="J905" s="13"/>
      <c r="K905" s="13"/>
    </row>
    <row r="906">
      <c r="J906" s="13"/>
      <c r="K906" s="13"/>
    </row>
    <row r="907">
      <c r="J907" s="13"/>
      <c r="K907" s="13"/>
    </row>
    <row r="908">
      <c r="J908" s="13"/>
      <c r="K908" s="13"/>
    </row>
    <row r="909">
      <c r="J909" s="13"/>
      <c r="K909" s="13"/>
    </row>
    <row r="910">
      <c r="J910" s="13"/>
      <c r="K910" s="13"/>
    </row>
    <row r="911">
      <c r="J911" s="13"/>
      <c r="K911" s="13"/>
    </row>
    <row r="912">
      <c r="J912" s="13"/>
      <c r="K912" s="13"/>
    </row>
    <row r="913">
      <c r="J913" s="13"/>
      <c r="K913" s="13"/>
    </row>
    <row r="914">
      <c r="J914" s="13"/>
      <c r="K914" s="13"/>
    </row>
    <row r="915">
      <c r="J915" s="13"/>
      <c r="K915" s="13"/>
    </row>
    <row r="916">
      <c r="J916" s="13"/>
      <c r="K916" s="13"/>
    </row>
    <row r="917">
      <c r="J917" s="13"/>
      <c r="K917" s="13"/>
    </row>
    <row r="918">
      <c r="J918" s="13"/>
      <c r="K918" s="13"/>
    </row>
    <row r="919">
      <c r="J919" s="13"/>
      <c r="K919" s="13"/>
    </row>
    <row r="920">
      <c r="J920" s="13"/>
      <c r="K920" s="13"/>
    </row>
    <row r="921">
      <c r="J921" s="13"/>
      <c r="K921" s="13"/>
    </row>
    <row r="922">
      <c r="J922" s="13"/>
      <c r="K922" s="13"/>
    </row>
    <row r="923">
      <c r="J923" s="13"/>
      <c r="K923" s="13"/>
    </row>
    <row r="924">
      <c r="J924" s="13"/>
      <c r="K924" s="13"/>
    </row>
    <row r="925">
      <c r="J925" s="13"/>
      <c r="K925" s="13"/>
    </row>
    <row r="926">
      <c r="J926" s="13"/>
      <c r="K926" s="13"/>
    </row>
    <row r="927">
      <c r="J927" s="13"/>
      <c r="K927" s="13"/>
    </row>
    <row r="928">
      <c r="J928" s="13"/>
      <c r="K928" s="13"/>
    </row>
    <row r="929">
      <c r="J929" s="13"/>
      <c r="K929" s="13"/>
    </row>
    <row r="930">
      <c r="J930" s="13"/>
      <c r="K930" s="13"/>
    </row>
    <row r="931">
      <c r="J931" s="13"/>
      <c r="K931" s="13"/>
    </row>
    <row r="932">
      <c r="J932" s="13"/>
      <c r="K932" s="13"/>
    </row>
    <row r="933">
      <c r="J933" s="13"/>
      <c r="K933" s="13"/>
    </row>
    <row r="934">
      <c r="J934" s="13"/>
      <c r="K934" s="13"/>
    </row>
    <row r="935">
      <c r="J935" s="13"/>
      <c r="K935" s="13"/>
    </row>
    <row r="936">
      <c r="J936" s="13"/>
      <c r="K936" s="13"/>
    </row>
    <row r="937">
      <c r="J937" s="13"/>
      <c r="K937" s="13"/>
    </row>
    <row r="938">
      <c r="J938" s="13"/>
      <c r="K938" s="13"/>
    </row>
    <row r="939">
      <c r="J939" s="13"/>
      <c r="K939" s="13"/>
    </row>
    <row r="940">
      <c r="J940" s="13"/>
      <c r="K940" s="13"/>
    </row>
    <row r="941">
      <c r="J941" s="13"/>
      <c r="K941" s="13"/>
    </row>
    <row r="942">
      <c r="J942" s="13"/>
      <c r="K942" s="13"/>
    </row>
    <row r="943">
      <c r="J943" s="13"/>
      <c r="K943" s="13"/>
    </row>
    <row r="944">
      <c r="J944" s="13"/>
      <c r="K944" s="13"/>
    </row>
    <row r="945">
      <c r="J945" s="13"/>
      <c r="K945" s="13"/>
    </row>
    <row r="946">
      <c r="J946" s="13"/>
      <c r="K946" s="13"/>
    </row>
    <row r="947">
      <c r="J947" s="13"/>
      <c r="K947" s="13"/>
    </row>
    <row r="948">
      <c r="J948" s="13"/>
      <c r="K948" s="13"/>
    </row>
    <row r="949">
      <c r="J949" s="13"/>
      <c r="K949" s="13"/>
    </row>
    <row r="950">
      <c r="J950" s="13"/>
      <c r="K950" s="13"/>
    </row>
    <row r="951">
      <c r="J951" s="13"/>
      <c r="K951" s="13"/>
    </row>
    <row r="952">
      <c r="J952" s="13"/>
      <c r="K952" s="13"/>
    </row>
    <row r="953">
      <c r="J953" s="13"/>
      <c r="K953" s="13"/>
    </row>
    <row r="954">
      <c r="J954" s="13"/>
      <c r="K954" s="13"/>
    </row>
    <row r="955">
      <c r="J955" s="13"/>
      <c r="K955" s="13"/>
    </row>
    <row r="956">
      <c r="J956" s="13"/>
      <c r="K956" s="13"/>
    </row>
    <row r="957">
      <c r="J957" s="13"/>
      <c r="K957" s="13"/>
    </row>
    <row r="958">
      <c r="J958" s="13"/>
      <c r="K958" s="13"/>
    </row>
    <row r="959">
      <c r="J959" s="13"/>
      <c r="K959" s="13"/>
    </row>
    <row r="960">
      <c r="J960" s="13"/>
      <c r="K960" s="13"/>
    </row>
    <row r="961">
      <c r="J961" s="13"/>
      <c r="K961" s="13"/>
    </row>
    <row r="962">
      <c r="J962" s="13"/>
      <c r="K962" s="13"/>
    </row>
    <row r="963">
      <c r="J963" s="13"/>
      <c r="K963" s="13"/>
    </row>
    <row r="964">
      <c r="J964" s="13"/>
      <c r="K964" s="13"/>
    </row>
    <row r="965">
      <c r="J965" s="13"/>
      <c r="K965" s="13"/>
    </row>
    <row r="966">
      <c r="J966" s="13"/>
      <c r="K966" s="13"/>
    </row>
    <row r="967">
      <c r="J967" s="13"/>
      <c r="K967" s="13"/>
    </row>
    <row r="968">
      <c r="J968" s="13"/>
      <c r="K968" s="13"/>
    </row>
    <row r="969">
      <c r="J969" s="13"/>
      <c r="K969" s="13"/>
    </row>
    <row r="970">
      <c r="J970" s="13"/>
      <c r="K970" s="13"/>
    </row>
    <row r="971">
      <c r="J971" s="13"/>
      <c r="K971" s="13"/>
    </row>
    <row r="972">
      <c r="J972" s="13"/>
      <c r="K972" s="13"/>
    </row>
    <row r="973">
      <c r="J973" s="13"/>
      <c r="K973" s="13"/>
    </row>
    <row r="974">
      <c r="J974" s="13"/>
      <c r="K974" s="13"/>
    </row>
    <row r="975">
      <c r="J975" s="13"/>
      <c r="K975" s="13"/>
    </row>
    <row r="976">
      <c r="J976" s="13"/>
      <c r="K976" s="13"/>
    </row>
    <row r="977">
      <c r="J977" s="13"/>
      <c r="K977" s="13"/>
    </row>
    <row r="978">
      <c r="J978" s="13"/>
      <c r="K978" s="13"/>
    </row>
    <row r="979">
      <c r="J979" s="13"/>
      <c r="K979" s="13"/>
    </row>
    <row r="980">
      <c r="J980" s="13"/>
      <c r="K980" s="13"/>
    </row>
    <row r="981">
      <c r="J981" s="13"/>
      <c r="K981" s="13"/>
    </row>
    <row r="982">
      <c r="J982" s="13"/>
      <c r="K982" s="13"/>
    </row>
    <row r="983">
      <c r="J983" s="13"/>
      <c r="K983" s="13"/>
    </row>
    <row r="984">
      <c r="J984" s="13"/>
      <c r="K984" s="13"/>
    </row>
    <row r="985">
      <c r="J985" s="13"/>
      <c r="K985" s="13"/>
    </row>
    <row r="986">
      <c r="J986" s="13"/>
      <c r="K986" s="13"/>
    </row>
    <row r="987">
      <c r="J987" s="13"/>
      <c r="K987" s="13"/>
    </row>
    <row r="988">
      <c r="J988" s="13"/>
      <c r="K988" s="13"/>
    </row>
    <row r="989">
      <c r="J989" s="13"/>
      <c r="K989" s="13"/>
    </row>
    <row r="990">
      <c r="J990" s="13"/>
      <c r="K990" s="13"/>
    </row>
    <row r="991">
      <c r="J991" s="13"/>
      <c r="K991" s="13"/>
    </row>
    <row r="992">
      <c r="J992" s="13"/>
      <c r="K992" s="13"/>
    </row>
    <row r="993">
      <c r="J993" s="13"/>
      <c r="K993" s="13"/>
    </row>
    <row r="994">
      <c r="J994" s="13"/>
      <c r="K994" s="13"/>
    </row>
    <row r="995">
      <c r="J995" s="13"/>
      <c r="K995" s="13"/>
    </row>
    <row r="996">
      <c r="J996" s="13"/>
      <c r="K996" s="13"/>
    </row>
    <row r="997">
      <c r="J997" s="13"/>
      <c r="K997" s="13"/>
    </row>
    <row r="998">
      <c r="J998" s="13"/>
      <c r="K998" s="13"/>
    </row>
    <row r="999">
      <c r="J999" s="13"/>
      <c r="K999" s="13"/>
    </row>
    <row r="1000">
      <c r="J1000" s="13"/>
      <c r="K1000" s="13"/>
    </row>
    <row r="1001">
      <c r="J1001" s="13"/>
      <c r="K1001" s="13"/>
    </row>
  </sheetData>
  <hyperlinks>
    <hyperlink r:id="rId2" ref="M3"/>
    <hyperlink r:id="rId3" ref="M4"/>
    <hyperlink r:id="rId4" ref="O4"/>
    <hyperlink r:id="rId5" ref="M5"/>
    <hyperlink r:id="rId6" ref="O5"/>
    <hyperlink r:id="rId7" ref="O16"/>
    <hyperlink r:id="rId8" ref="O19"/>
  </hyperlinks>
  <drawing r:id="rId9"/>
  <legacyDrawing r:id="rId10"/>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38"/>
    <col customWidth="1" min="2" max="2" width="42.25"/>
    <col customWidth="1" min="3" max="3" width="32.88"/>
    <col customWidth="1" min="4" max="4" width="28.63"/>
  </cols>
  <sheetData>
    <row r="1" ht="39.0" customHeight="1">
      <c r="A1" s="1" t="s">
        <v>8662</v>
      </c>
      <c r="B1" s="1" t="s">
        <v>8763</v>
      </c>
      <c r="C1" s="1" t="s">
        <v>8764</v>
      </c>
      <c r="D1" s="1" t="s">
        <v>8765</v>
      </c>
      <c r="E1" s="1" t="s">
        <v>7976</v>
      </c>
      <c r="F1" s="1" t="s">
        <v>8671</v>
      </c>
      <c r="G1" s="390"/>
      <c r="H1" s="390"/>
      <c r="I1" s="390"/>
      <c r="J1" s="390"/>
      <c r="K1" s="390"/>
      <c r="L1" s="390"/>
      <c r="M1" s="390"/>
      <c r="N1" s="390"/>
      <c r="O1" s="390"/>
      <c r="P1" s="390"/>
      <c r="Q1" s="390"/>
      <c r="R1" s="390"/>
      <c r="S1" s="390"/>
      <c r="T1" s="390"/>
      <c r="U1" s="390"/>
      <c r="V1" s="390"/>
      <c r="W1" s="390"/>
      <c r="X1" s="390"/>
      <c r="Y1" s="390"/>
      <c r="Z1" s="390"/>
    </row>
    <row r="2">
      <c r="A2" s="9" t="s">
        <v>8766</v>
      </c>
      <c r="B2" s="9" t="s">
        <v>8767</v>
      </c>
      <c r="C2" s="9" t="s">
        <v>8768</v>
      </c>
    </row>
    <row r="3">
      <c r="A3" s="9" t="s">
        <v>8769</v>
      </c>
      <c r="B3" s="9" t="s">
        <v>8770</v>
      </c>
    </row>
    <row r="4">
      <c r="A4" s="9" t="s">
        <v>8771</v>
      </c>
      <c r="B4" s="9" t="s">
        <v>8772</v>
      </c>
      <c r="C4" s="9" t="s">
        <v>8773</v>
      </c>
      <c r="D4" s="9" t="s">
        <v>8774</v>
      </c>
      <c r="E4" s="20" t="s">
        <v>8775</v>
      </c>
      <c r="F4" s="9" t="s">
        <v>8776</v>
      </c>
    </row>
    <row r="5">
      <c r="A5" s="9" t="s">
        <v>8777</v>
      </c>
      <c r="B5" s="9" t="s">
        <v>8778</v>
      </c>
      <c r="C5" s="9" t="s">
        <v>8779</v>
      </c>
      <c r="E5" s="20" t="s">
        <v>8780</v>
      </c>
    </row>
    <row r="6">
      <c r="A6" s="9" t="s">
        <v>8781</v>
      </c>
      <c r="B6" s="9" t="s">
        <v>8782</v>
      </c>
      <c r="C6" s="9" t="s">
        <v>8783</v>
      </c>
      <c r="D6" s="9" t="s">
        <v>8784</v>
      </c>
      <c r="E6" s="20" t="s">
        <v>8785</v>
      </c>
    </row>
  </sheetData>
  <hyperlinks>
    <hyperlink r:id="rId1" ref="E4"/>
    <hyperlink r:id="rId2" ref="E5"/>
    <hyperlink r:id="rId3" ref="E6"/>
  </hyperlinks>
  <drawing r:id="rId4"/>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25"/>
    <col customWidth="1" min="2" max="2" width="17.88"/>
    <col customWidth="1" min="3" max="3" width="13.88"/>
    <col customWidth="1" min="4" max="4" width="17.38"/>
    <col customWidth="1" min="5" max="5" width="14.63"/>
    <col customWidth="1" min="8" max="8" width="6.5"/>
    <col customWidth="1" min="9" max="9" width="6.25"/>
    <col customWidth="1" min="10" max="10" width="3.63"/>
    <col customWidth="1" min="11" max="11" width="9.75"/>
    <col customWidth="1" min="12" max="12" width="9.13"/>
    <col customWidth="1" min="13" max="14" width="28.38"/>
  </cols>
  <sheetData>
    <row r="1" ht="35.25" customHeight="1">
      <c r="A1" s="411" t="s">
        <v>7975</v>
      </c>
      <c r="B1" s="411" t="s">
        <v>8786</v>
      </c>
      <c r="C1" s="411" t="s">
        <v>8787</v>
      </c>
      <c r="D1" s="412" t="s">
        <v>8788</v>
      </c>
      <c r="E1" s="411" t="s">
        <v>8789</v>
      </c>
      <c r="F1" s="412" t="s">
        <v>8790</v>
      </c>
      <c r="G1" s="412" t="s">
        <v>8791</v>
      </c>
      <c r="H1" s="412" t="s">
        <v>8792</v>
      </c>
      <c r="I1" s="412" t="s">
        <v>8793</v>
      </c>
      <c r="J1" s="412" t="s">
        <v>8794</v>
      </c>
      <c r="K1" s="412" t="s">
        <v>8795</v>
      </c>
      <c r="L1" s="412" t="s">
        <v>8796</v>
      </c>
      <c r="M1" s="413" t="s">
        <v>8764</v>
      </c>
      <c r="N1" s="412" t="s">
        <v>8797</v>
      </c>
      <c r="O1" s="412" t="s">
        <v>8798</v>
      </c>
      <c r="P1" s="412" t="s">
        <v>6882</v>
      </c>
      <c r="Q1" s="412" t="s">
        <v>1705</v>
      </c>
      <c r="R1" s="412" t="s">
        <v>8799</v>
      </c>
      <c r="S1" s="412" t="s">
        <v>8671</v>
      </c>
      <c r="T1" s="390"/>
      <c r="U1" s="390"/>
      <c r="V1" s="390"/>
      <c r="W1" s="390"/>
      <c r="X1" s="390"/>
      <c r="Y1" s="390"/>
      <c r="Z1" s="390"/>
      <c r="AA1" s="390"/>
      <c r="AB1" s="390"/>
      <c r="AC1" s="390"/>
      <c r="AD1" s="390"/>
      <c r="AE1" s="390"/>
      <c r="AF1" s="390"/>
      <c r="AG1" s="390"/>
      <c r="AH1" s="390"/>
      <c r="AI1" s="390"/>
      <c r="AJ1" s="390"/>
    </row>
    <row r="2" ht="28.5" customHeight="1">
      <c r="A2" s="82"/>
      <c r="B2" s="7" t="s">
        <v>1303</v>
      </c>
      <c r="C2" s="7" t="s">
        <v>1311</v>
      </c>
      <c r="D2" s="65" t="s">
        <v>1387</v>
      </c>
      <c r="E2" s="7" t="s">
        <v>1390</v>
      </c>
      <c r="F2" s="65">
        <v>1.0</v>
      </c>
      <c r="G2" s="407"/>
      <c r="H2" s="407"/>
      <c r="I2" s="407"/>
      <c r="J2" s="407"/>
      <c r="K2" s="407"/>
      <c r="L2" s="65" t="s">
        <v>1345</v>
      </c>
      <c r="M2" s="414" t="s">
        <v>8800</v>
      </c>
      <c r="N2" s="65" t="s">
        <v>6614</v>
      </c>
      <c r="O2" s="65" t="s">
        <v>8801</v>
      </c>
      <c r="P2" s="65"/>
      <c r="Q2" s="65">
        <v>2005.0</v>
      </c>
      <c r="R2" s="407"/>
      <c r="S2" s="407"/>
    </row>
    <row r="3" ht="28.5" customHeight="1">
      <c r="A3" s="82"/>
      <c r="B3" s="7" t="s">
        <v>1387</v>
      </c>
      <c r="C3" s="7" t="s">
        <v>1388</v>
      </c>
      <c r="D3" s="6" t="s">
        <v>1417</v>
      </c>
      <c r="E3" s="7" t="s">
        <v>1427</v>
      </c>
      <c r="F3" s="65">
        <v>2.0</v>
      </c>
      <c r="G3" s="407"/>
      <c r="H3" s="407"/>
      <c r="I3" s="407"/>
      <c r="J3" s="407"/>
      <c r="K3" s="407"/>
      <c r="L3" s="65" t="s">
        <v>1404</v>
      </c>
      <c r="M3" s="414" t="s">
        <v>8802</v>
      </c>
      <c r="N3" s="65">
        <v>2.0</v>
      </c>
      <c r="O3" s="65" t="s">
        <v>8803</v>
      </c>
      <c r="P3" s="415" t="s">
        <v>1431</v>
      </c>
      <c r="Q3" s="65">
        <v>2013.0</v>
      </c>
      <c r="R3" s="407"/>
      <c r="S3" s="65" t="s">
        <v>8804</v>
      </c>
    </row>
    <row r="4" ht="28.5" customHeight="1">
      <c r="A4" s="82"/>
      <c r="B4" s="7" t="s">
        <v>1387</v>
      </c>
      <c r="C4" s="7" t="s">
        <v>1404</v>
      </c>
      <c r="D4" s="6" t="s">
        <v>1417</v>
      </c>
      <c r="E4" s="7" t="s">
        <v>1433</v>
      </c>
      <c r="F4" s="65">
        <v>3.0</v>
      </c>
      <c r="G4" s="407"/>
      <c r="H4" s="407"/>
      <c r="I4" s="407"/>
      <c r="J4" s="407"/>
      <c r="K4" s="407"/>
      <c r="L4" s="65" t="s">
        <v>1409</v>
      </c>
      <c r="M4" s="414" t="s">
        <v>8805</v>
      </c>
      <c r="N4" s="65">
        <v>1.5</v>
      </c>
      <c r="O4" s="65" t="s">
        <v>8806</v>
      </c>
      <c r="P4" s="416" t="s">
        <v>8807</v>
      </c>
      <c r="Q4" s="65">
        <v>2018.0</v>
      </c>
      <c r="R4" s="407"/>
      <c r="S4" s="170" t="s">
        <v>8808</v>
      </c>
    </row>
    <row r="5" ht="28.5" customHeight="1">
      <c r="A5" s="82"/>
      <c r="B5" s="7" t="s">
        <v>1387</v>
      </c>
      <c r="C5" s="7" t="s">
        <v>1388</v>
      </c>
      <c r="D5" s="65" t="s">
        <v>8809</v>
      </c>
      <c r="E5" s="7" t="s">
        <v>8810</v>
      </c>
      <c r="F5" s="65">
        <v>4.0</v>
      </c>
      <c r="G5" s="407"/>
      <c r="H5" s="407"/>
      <c r="I5" s="407"/>
      <c r="J5" s="407"/>
      <c r="K5" s="407"/>
      <c r="L5" s="65" t="s">
        <v>1345</v>
      </c>
      <c r="M5" s="414" t="s">
        <v>8811</v>
      </c>
      <c r="N5" s="65">
        <v>2.0</v>
      </c>
      <c r="O5" s="65" t="s">
        <v>8812</v>
      </c>
      <c r="P5" s="415" t="s">
        <v>8813</v>
      </c>
      <c r="Q5" s="65">
        <v>2014.0</v>
      </c>
      <c r="R5" s="407"/>
      <c r="S5" s="65" t="s">
        <v>8814</v>
      </c>
    </row>
    <row r="6" ht="28.5" customHeight="1">
      <c r="A6" s="82"/>
      <c r="B6" s="7" t="s">
        <v>1303</v>
      </c>
      <c r="C6" s="7" t="s">
        <v>1311</v>
      </c>
      <c r="D6" s="65" t="s">
        <v>1494</v>
      </c>
      <c r="E6" s="7" t="s">
        <v>1494</v>
      </c>
      <c r="F6" s="65">
        <v>5.0</v>
      </c>
      <c r="G6" s="407"/>
      <c r="H6" s="407"/>
      <c r="I6" s="407"/>
      <c r="J6" s="407"/>
      <c r="K6" s="407"/>
      <c r="L6" s="65" t="s">
        <v>1345</v>
      </c>
      <c r="M6" s="414" t="s">
        <v>8815</v>
      </c>
      <c r="N6" s="65">
        <v>2.0</v>
      </c>
      <c r="O6" s="65" t="s">
        <v>8816</v>
      </c>
      <c r="P6" s="415" t="s">
        <v>1496</v>
      </c>
      <c r="Q6" s="65">
        <v>2014.0</v>
      </c>
      <c r="R6" s="407"/>
      <c r="S6" s="407"/>
    </row>
    <row r="7" ht="28.5" customHeight="1">
      <c r="A7" s="82"/>
      <c r="B7" s="7" t="s">
        <v>1387</v>
      </c>
      <c r="C7" s="7" t="s">
        <v>1411</v>
      </c>
      <c r="D7" s="7" t="s">
        <v>1499</v>
      </c>
      <c r="E7" s="7" t="s">
        <v>1499</v>
      </c>
      <c r="F7" s="65">
        <v>6.0</v>
      </c>
      <c r="G7" s="407"/>
      <c r="H7" s="407"/>
      <c r="I7" s="407"/>
      <c r="J7" s="407"/>
      <c r="K7" s="407"/>
      <c r="L7" s="65" t="s">
        <v>1416</v>
      </c>
      <c r="M7" s="414" t="s">
        <v>8817</v>
      </c>
      <c r="N7" s="65">
        <v>2.0</v>
      </c>
      <c r="O7" s="407"/>
      <c r="P7" s="415" t="s">
        <v>1413</v>
      </c>
      <c r="Q7" s="65">
        <v>2015.0</v>
      </c>
      <c r="R7" s="407"/>
      <c r="S7" s="407"/>
    </row>
    <row r="8" ht="28.5" customHeight="1">
      <c r="A8" s="82"/>
      <c r="B8" s="7" t="s">
        <v>1387</v>
      </c>
      <c r="C8" s="7" t="s">
        <v>1411</v>
      </c>
      <c r="D8" s="16" t="s">
        <v>63</v>
      </c>
      <c r="E8" s="7" t="s">
        <v>63</v>
      </c>
      <c r="F8" s="65">
        <v>7.0</v>
      </c>
      <c r="G8" s="407"/>
      <c r="H8" s="407"/>
      <c r="I8" s="407"/>
      <c r="J8" s="407"/>
      <c r="K8" s="407"/>
      <c r="L8" s="65" t="s">
        <v>1416</v>
      </c>
      <c r="M8" s="414" t="s">
        <v>8817</v>
      </c>
      <c r="N8" s="65">
        <v>2.0</v>
      </c>
      <c r="O8" s="407"/>
      <c r="P8" s="415" t="s">
        <v>1413</v>
      </c>
      <c r="Q8" s="65">
        <v>2015.0</v>
      </c>
      <c r="R8" s="407"/>
      <c r="S8" s="407"/>
    </row>
    <row r="9" ht="28.5" customHeight="1">
      <c r="A9" s="82"/>
      <c r="B9" s="7" t="s">
        <v>1387</v>
      </c>
      <c r="C9" s="7" t="s">
        <v>1388</v>
      </c>
      <c r="D9" s="65" t="s">
        <v>1502</v>
      </c>
      <c r="E9" s="7" t="s">
        <v>1502</v>
      </c>
      <c r="F9" s="65">
        <v>8.0</v>
      </c>
      <c r="G9" s="407"/>
      <c r="H9" s="407"/>
      <c r="I9" s="407"/>
      <c r="J9" s="407"/>
      <c r="K9" s="407"/>
      <c r="L9" s="65" t="s">
        <v>8687</v>
      </c>
      <c r="M9" s="414" t="s">
        <v>8818</v>
      </c>
      <c r="N9" s="65">
        <v>2.0</v>
      </c>
      <c r="O9" s="65" t="s">
        <v>8819</v>
      </c>
      <c r="P9" s="415" t="s">
        <v>1504</v>
      </c>
      <c r="Q9" s="65">
        <v>2020.0</v>
      </c>
      <c r="R9" s="407"/>
      <c r="S9" s="407"/>
    </row>
    <row r="10" ht="28.5" customHeight="1">
      <c r="A10" s="82"/>
      <c r="B10" s="7" t="s">
        <v>1502</v>
      </c>
      <c r="C10" s="7" t="s">
        <v>1502</v>
      </c>
      <c r="D10" s="65" t="s">
        <v>1387</v>
      </c>
      <c r="E10" s="7" t="s">
        <v>1388</v>
      </c>
      <c r="F10" s="65">
        <v>9.0</v>
      </c>
      <c r="G10" s="407"/>
      <c r="H10" s="407"/>
      <c r="I10" s="407"/>
      <c r="J10" s="407"/>
      <c r="K10" s="407"/>
      <c r="L10" s="65" t="s">
        <v>8687</v>
      </c>
      <c r="M10" s="414" t="s">
        <v>8818</v>
      </c>
      <c r="N10" s="65">
        <v>2.0</v>
      </c>
      <c r="O10" s="65" t="s">
        <v>8819</v>
      </c>
      <c r="P10" s="415" t="s">
        <v>1504</v>
      </c>
      <c r="Q10" s="65">
        <v>2020.0</v>
      </c>
      <c r="R10" s="407"/>
      <c r="S10" s="407"/>
    </row>
    <row r="11" ht="28.5" customHeight="1">
      <c r="A11" s="82"/>
      <c r="B11" s="7" t="s">
        <v>1678</v>
      </c>
      <c r="C11" s="7" t="s">
        <v>1678</v>
      </c>
      <c r="D11" s="7" t="s">
        <v>1678</v>
      </c>
      <c r="E11" s="7" t="s">
        <v>1690</v>
      </c>
      <c r="F11" s="65">
        <v>10.0</v>
      </c>
      <c r="G11" s="407"/>
      <c r="H11" s="407"/>
      <c r="I11" s="407"/>
      <c r="J11" s="407"/>
      <c r="K11" s="65" t="s">
        <v>8820</v>
      </c>
      <c r="L11" s="65" t="s">
        <v>1685</v>
      </c>
      <c r="M11" s="414" t="s">
        <v>8821</v>
      </c>
      <c r="N11" s="65">
        <v>2.0</v>
      </c>
      <c r="O11" s="65" t="s">
        <v>8822</v>
      </c>
      <c r="P11" s="415" t="s">
        <v>1512</v>
      </c>
      <c r="Q11" s="65">
        <v>1995.0</v>
      </c>
      <c r="R11" s="407"/>
      <c r="S11" s="407"/>
    </row>
    <row r="12" ht="28.5" customHeight="1">
      <c r="A12" s="82"/>
      <c r="B12" s="7" t="s">
        <v>1678</v>
      </c>
      <c r="C12" s="7" t="s">
        <v>1690</v>
      </c>
      <c r="D12" s="7" t="s">
        <v>1678</v>
      </c>
      <c r="E12" s="7" t="s">
        <v>1678</v>
      </c>
      <c r="F12" s="65">
        <v>11.0</v>
      </c>
      <c r="G12" s="407"/>
      <c r="H12" s="407"/>
      <c r="I12" s="407"/>
      <c r="J12" s="407"/>
      <c r="K12" s="65" t="s">
        <v>8820</v>
      </c>
      <c r="L12" s="65" t="s">
        <v>1685</v>
      </c>
      <c r="M12" s="414" t="s">
        <v>8821</v>
      </c>
      <c r="N12" s="65">
        <v>2.0</v>
      </c>
      <c r="O12" s="65" t="s">
        <v>8822</v>
      </c>
      <c r="P12" s="415" t="s">
        <v>1512</v>
      </c>
      <c r="Q12" s="65">
        <v>1995.0</v>
      </c>
      <c r="R12" s="407"/>
      <c r="S12" s="407"/>
    </row>
    <row r="13" ht="28.5" customHeight="1">
      <c r="A13" s="82"/>
      <c r="B13" s="7" t="s">
        <v>1678</v>
      </c>
      <c r="C13" s="7" t="s">
        <v>1690</v>
      </c>
      <c r="D13" s="6" t="s">
        <v>1566</v>
      </c>
      <c r="E13" s="7" t="s">
        <v>1567</v>
      </c>
      <c r="F13" s="65">
        <v>12.0</v>
      </c>
      <c r="G13" s="407"/>
      <c r="H13" s="407"/>
      <c r="I13" s="407"/>
      <c r="J13" s="407"/>
      <c r="K13" s="65" t="s">
        <v>8820</v>
      </c>
      <c r="L13" s="65" t="s">
        <v>1685</v>
      </c>
      <c r="M13" s="414" t="s">
        <v>8821</v>
      </c>
      <c r="N13" s="65">
        <v>2.0</v>
      </c>
      <c r="O13" s="65" t="s">
        <v>8822</v>
      </c>
      <c r="P13" s="415" t="s">
        <v>1512</v>
      </c>
      <c r="Q13" s="65">
        <v>1995.0</v>
      </c>
      <c r="R13" s="407"/>
      <c r="S13" s="407"/>
    </row>
    <row r="14" ht="28.5" customHeight="1">
      <c r="A14" s="82"/>
      <c r="B14" s="6" t="s">
        <v>1566</v>
      </c>
      <c r="C14" s="7" t="s">
        <v>1567</v>
      </c>
      <c r="D14" s="7" t="s">
        <v>1678</v>
      </c>
      <c r="E14" s="7" t="s">
        <v>1690</v>
      </c>
      <c r="F14" s="65">
        <v>13.0</v>
      </c>
      <c r="G14" s="407"/>
      <c r="H14" s="407"/>
      <c r="I14" s="407"/>
      <c r="J14" s="407"/>
      <c r="K14" s="65" t="s">
        <v>8820</v>
      </c>
      <c r="L14" s="65" t="s">
        <v>1685</v>
      </c>
      <c r="M14" s="414" t="s">
        <v>8821</v>
      </c>
      <c r="N14" s="65">
        <v>2.0</v>
      </c>
      <c r="O14" s="65" t="s">
        <v>8822</v>
      </c>
      <c r="P14" s="415" t="s">
        <v>1512</v>
      </c>
      <c r="Q14" s="65">
        <v>1995.0</v>
      </c>
      <c r="R14" s="407"/>
      <c r="S14" s="407"/>
    </row>
    <row r="15" ht="28.5" customHeight="1">
      <c r="A15" s="82"/>
      <c r="B15" s="7" t="s">
        <v>1678</v>
      </c>
      <c r="C15" s="7" t="s">
        <v>1678</v>
      </c>
      <c r="D15" s="6" t="s">
        <v>1509</v>
      </c>
      <c r="E15" s="7" t="s">
        <v>1510</v>
      </c>
      <c r="F15" s="65">
        <v>14.0</v>
      </c>
      <c r="G15" s="407"/>
      <c r="H15" s="407"/>
      <c r="I15" s="407"/>
      <c r="J15" s="407"/>
      <c r="K15" s="65" t="s">
        <v>8820</v>
      </c>
      <c r="L15" s="65" t="s">
        <v>1685</v>
      </c>
      <c r="M15" s="414" t="s">
        <v>8821</v>
      </c>
      <c r="N15" s="65">
        <v>2.0</v>
      </c>
      <c r="O15" s="65" t="s">
        <v>8822</v>
      </c>
      <c r="P15" s="415" t="s">
        <v>1512</v>
      </c>
      <c r="Q15" s="65">
        <v>1995.0</v>
      </c>
      <c r="R15" s="407"/>
      <c r="S15" s="407"/>
    </row>
    <row r="16" ht="28.5" customHeight="1">
      <c r="A16" s="82"/>
      <c r="B16" s="6" t="s">
        <v>1509</v>
      </c>
      <c r="C16" s="7" t="s">
        <v>1510</v>
      </c>
      <c r="D16" s="6" t="s">
        <v>1509</v>
      </c>
      <c r="E16" s="7" t="s">
        <v>1513</v>
      </c>
      <c r="F16" s="65">
        <v>15.0</v>
      </c>
      <c r="G16" s="407"/>
      <c r="H16" s="407"/>
      <c r="I16" s="407"/>
      <c r="J16" s="407"/>
      <c r="K16" s="65" t="s">
        <v>8820</v>
      </c>
      <c r="L16" s="65" t="s">
        <v>1685</v>
      </c>
      <c r="M16" s="414" t="s">
        <v>8821</v>
      </c>
      <c r="N16" s="65">
        <v>2.0</v>
      </c>
      <c r="O16" s="65" t="s">
        <v>8822</v>
      </c>
      <c r="P16" s="415" t="s">
        <v>1512</v>
      </c>
      <c r="Q16" s="65">
        <v>1995.0</v>
      </c>
      <c r="R16" s="407"/>
      <c r="S16" s="407"/>
    </row>
    <row r="17" ht="28.5" customHeight="1">
      <c r="A17" s="82"/>
      <c r="B17" s="6" t="s">
        <v>1509</v>
      </c>
      <c r="C17" s="7" t="s">
        <v>1513</v>
      </c>
      <c r="D17" s="6" t="s">
        <v>1509</v>
      </c>
      <c r="E17" s="7" t="s">
        <v>1510</v>
      </c>
      <c r="F17" s="65">
        <v>16.0</v>
      </c>
      <c r="G17" s="407"/>
      <c r="H17" s="407"/>
      <c r="I17" s="407"/>
      <c r="J17" s="407"/>
      <c r="K17" s="65" t="s">
        <v>8820</v>
      </c>
      <c r="L17" s="65" t="s">
        <v>1685</v>
      </c>
      <c r="M17" s="414" t="s">
        <v>8821</v>
      </c>
      <c r="N17" s="65">
        <v>2.0</v>
      </c>
      <c r="O17" s="65" t="s">
        <v>8822</v>
      </c>
      <c r="P17" s="415" t="s">
        <v>1512</v>
      </c>
      <c r="Q17" s="65">
        <v>1995.0</v>
      </c>
      <c r="R17" s="407"/>
      <c r="S17" s="407"/>
    </row>
    <row r="18" ht="28.5" customHeight="1">
      <c r="A18" s="82"/>
      <c r="B18" s="6" t="s">
        <v>1566</v>
      </c>
      <c r="C18" s="7" t="s">
        <v>1567</v>
      </c>
      <c r="D18" s="6" t="s">
        <v>1515</v>
      </c>
      <c r="E18" s="7" t="s">
        <v>1516</v>
      </c>
      <c r="F18" s="65">
        <v>17.0</v>
      </c>
      <c r="G18" s="407"/>
      <c r="H18" s="407"/>
      <c r="I18" s="407"/>
      <c r="J18" s="407"/>
      <c r="K18" s="65" t="s">
        <v>8820</v>
      </c>
      <c r="L18" s="65" t="s">
        <v>1685</v>
      </c>
      <c r="M18" s="414" t="s">
        <v>8821</v>
      </c>
      <c r="N18" s="65">
        <v>2.0</v>
      </c>
      <c r="O18" s="65" t="s">
        <v>8822</v>
      </c>
      <c r="P18" s="415" t="s">
        <v>1512</v>
      </c>
      <c r="Q18" s="65">
        <v>1995.0</v>
      </c>
      <c r="R18" s="407"/>
      <c r="S18" s="407"/>
    </row>
    <row r="19" ht="28.5" customHeight="1">
      <c r="A19" s="82"/>
      <c r="B19" s="6" t="s">
        <v>1566</v>
      </c>
      <c r="C19" s="7" t="s">
        <v>1567</v>
      </c>
      <c r="D19" s="6" t="s">
        <v>1515</v>
      </c>
      <c r="E19" s="7" t="s">
        <v>1519</v>
      </c>
      <c r="F19" s="65">
        <v>18.0</v>
      </c>
      <c r="G19" s="407"/>
      <c r="H19" s="407"/>
      <c r="I19" s="407"/>
      <c r="J19" s="407"/>
      <c r="K19" s="65" t="s">
        <v>8820</v>
      </c>
      <c r="L19" s="65" t="s">
        <v>1685</v>
      </c>
      <c r="M19" s="414" t="s">
        <v>8821</v>
      </c>
      <c r="N19" s="65">
        <v>2.0</v>
      </c>
      <c r="O19" s="65" t="s">
        <v>8822</v>
      </c>
      <c r="P19" s="415" t="s">
        <v>1512</v>
      </c>
      <c r="Q19" s="65">
        <v>1995.0</v>
      </c>
      <c r="R19" s="407"/>
      <c r="S19" s="407"/>
    </row>
    <row r="20" ht="28.5" customHeight="1">
      <c r="A20" s="82"/>
      <c r="B20" s="6" t="s">
        <v>1566</v>
      </c>
      <c r="C20" s="7" t="s">
        <v>1567</v>
      </c>
      <c r="D20" s="6" t="s">
        <v>1521</v>
      </c>
      <c r="E20" s="7" t="s">
        <v>1522</v>
      </c>
      <c r="F20" s="65">
        <v>19.0</v>
      </c>
      <c r="G20" s="407"/>
      <c r="H20" s="407"/>
      <c r="I20" s="407"/>
      <c r="J20" s="407"/>
      <c r="K20" s="65" t="s">
        <v>8820</v>
      </c>
      <c r="L20" s="65" t="s">
        <v>1685</v>
      </c>
      <c r="M20" s="414" t="s">
        <v>8821</v>
      </c>
      <c r="N20" s="65">
        <v>2.0</v>
      </c>
      <c r="O20" s="65" t="s">
        <v>8822</v>
      </c>
      <c r="P20" s="415" t="s">
        <v>1512</v>
      </c>
      <c r="Q20" s="65">
        <v>1995.0</v>
      </c>
      <c r="R20" s="407"/>
      <c r="S20" s="407"/>
    </row>
    <row r="21" ht="28.5" customHeight="1">
      <c r="A21" s="82"/>
      <c r="B21" s="6" t="s">
        <v>1521</v>
      </c>
      <c r="C21" s="7" t="s">
        <v>1522</v>
      </c>
      <c r="D21" s="6" t="s">
        <v>1521</v>
      </c>
      <c r="E21" s="7" t="s">
        <v>1525</v>
      </c>
      <c r="F21" s="65">
        <v>20.0</v>
      </c>
      <c r="G21" s="407"/>
      <c r="H21" s="407"/>
      <c r="I21" s="407"/>
      <c r="J21" s="407"/>
      <c r="K21" s="65" t="s">
        <v>8820</v>
      </c>
      <c r="L21" s="65" t="s">
        <v>1685</v>
      </c>
      <c r="M21" s="414" t="s">
        <v>8821</v>
      </c>
      <c r="N21" s="65">
        <v>2.0</v>
      </c>
      <c r="O21" s="65" t="s">
        <v>8822</v>
      </c>
      <c r="P21" s="415" t="s">
        <v>1512</v>
      </c>
      <c r="Q21" s="65">
        <v>1995.0</v>
      </c>
      <c r="R21" s="407"/>
      <c r="S21" s="407"/>
    </row>
    <row r="22" ht="28.5" customHeight="1">
      <c r="A22" s="82"/>
      <c r="B22" s="6" t="s">
        <v>1521</v>
      </c>
      <c r="C22" s="7" t="s">
        <v>1525</v>
      </c>
      <c r="D22" s="6" t="s">
        <v>1521</v>
      </c>
      <c r="E22" s="7" t="s">
        <v>1528</v>
      </c>
      <c r="F22" s="65">
        <v>21.0</v>
      </c>
      <c r="G22" s="407"/>
      <c r="H22" s="407"/>
      <c r="I22" s="407"/>
      <c r="J22" s="407"/>
      <c r="K22" s="65" t="s">
        <v>8820</v>
      </c>
      <c r="L22" s="65" t="s">
        <v>1685</v>
      </c>
      <c r="M22" s="414" t="s">
        <v>8821</v>
      </c>
      <c r="N22" s="65">
        <v>2.0</v>
      </c>
      <c r="O22" s="65" t="s">
        <v>8822</v>
      </c>
      <c r="P22" s="415" t="s">
        <v>1512</v>
      </c>
      <c r="Q22" s="65">
        <v>1995.0</v>
      </c>
      <c r="R22" s="407"/>
      <c r="S22" s="407"/>
    </row>
    <row r="23" ht="28.5" customHeight="1">
      <c r="A23" s="82"/>
      <c r="B23" s="6" t="s">
        <v>1521</v>
      </c>
      <c r="C23" s="7" t="s">
        <v>1528</v>
      </c>
      <c r="D23" s="6" t="s">
        <v>1521</v>
      </c>
      <c r="E23" s="7" t="s">
        <v>1525</v>
      </c>
      <c r="F23" s="65">
        <v>22.0</v>
      </c>
      <c r="G23" s="407"/>
      <c r="H23" s="407"/>
      <c r="I23" s="407"/>
      <c r="J23" s="407"/>
      <c r="K23" s="65" t="s">
        <v>8820</v>
      </c>
      <c r="L23" s="65" t="s">
        <v>1685</v>
      </c>
      <c r="M23" s="414" t="s">
        <v>8821</v>
      </c>
      <c r="N23" s="65">
        <v>2.0</v>
      </c>
      <c r="O23" s="65" t="s">
        <v>8822</v>
      </c>
      <c r="P23" s="415" t="s">
        <v>1512</v>
      </c>
      <c r="Q23" s="65">
        <v>1995.0</v>
      </c>
      <c r="R23" s="407"/>
      <c r="S23" s="407"/>
    </row>
    <row r="24" ht="28.5" customHeight="1">
      <c r="A24" s="82"/>
      <c r="B24" s="6" t="s">
        <v>1521</v>
      </c>
      <c r="C24" s="7" t="s">
        <v>1525</v>
      </c>
      <c r="D24" s="6" t="s">
        <v>1521</v>
      </c>
      <c r="E24" s="7" t="s">
        <v>1530</v>
      </c>
      <c r="F24" s="65">
        <v>23.0</v>
      </c>
      <c r="G24" s="407"/>
      <c r="H24" s="407"/>
      <c r="I24" s="407"/>
      <c r="J24" s="407"/>
      <c r="K24" s="65" t="s">
        <v>8820</v>
      </c>
      <c r="L24" s="65" t="s">
        <v>1685</v>
      </c>
      <c r="M24" s="414" t="s">
        <v>8821</v>
      </c>
      <c r="N24" s="65">
        <v>2.0</v>
      </c>
      <c r="O24" s="65" t="s">
        <v>8822</v>
      </c>
      <c r="P24" s="415" t="s">
        <v>1512</v>
      </c>
      <c r="Q24" s="65">
        <v>1995.0</v>
      </c>
      <c r="R24" s="407"/>
      <c r="S24" s="407"/>
    </row>
    <row r="25" ht="28.5" customHeight="1">
      <c r="A25" s="82"/>
      <c r="B25" s="6" t="s">
        <v>1521</v>
      </c>
      <c r="C25" s="7" t="s">
        <v>1522</v>
      </c>
      <c r="D25" s="6" t="s">
        <v>1521</v>
      </c>
      <c r="E25" s="7" t="s">
        <v>1532</v>
      </c>
      <c r="F25" s="65">
        <v>24.0</v>
      </c>
      <c r="G25" s="407"/>
      <c r="H25" s="407"/>
      <c r="I25" s="407"/>
      <c r="J25" s="407"/>
      <c r="K25" s="65" t="s">
        <v>8820</v>
      </c>
      <c r="L25" s="65" t="s">
        <v>1685</v>
      </c>
      <c r="M25" s="414" t="s">
        <v>8821</v>
      </c>
      <c r="N25" s="65">
        <v>2.0</v>
      </c>
      <c r="O25" s="65" t="s">
        <v>8822</v>
      </c>
      <c r="P25" s="415" t="s">
        <v>1512</v>
      </c>
      <c r="Q25" s="65">
        <v>1995.0</v>
      </c>
      <c r="R25" s="407"/>
      <c r="S25" s="407"/>
    </row>
    <row r="26" ht="28.5" customHeight="1">
      <c r="A26" s="82"/>
      <c r="B26" s="6" t="s">
        <v>1566</v>
      </c>
      <c r="C26" s="7" t="s">
        <v>1567</v>
      </c>
      <c r="D26" s="6" t="s">
        <v>1546</v>
      </c>
      <c r="E26" s="7" t="s">
        <v>1547</v>
      </c>
      <c r="F26" s="65">
        <v>25.0</v>
      </c>
      <c r="G26" s="407"/>
      <c r="H26" s="407"/>
      <c r="I26" s="407"/>
      <c r="J26" s="407"/>
      <c r="K26" s="65" t="s">
        <v>8820</v>
      </c>
      <c r="L26" s="65" t="s">
        <v>1685</v>
      </c>
      <c r="M26" s="414" t="s">
        <v>8821</v>
      </c>
      <c r="N26" s="65">
        <v>2.0</v>
      </c>
      <c r="O26" s="65" t="s">
        <v>8822</v>
      </c>
      <c r="P26" s="415" t="s">
        <v>1512</v>
      </c>
      <c r="Q26" s="65">
        <v>1995.0</v>
      </c>
      <c r="R26" s="407"/>
      <c r="S26" s="407"/>
    </row>
    <row r="27" ht="28.5" customHeight="1">
      <c r="A27" s="82"/>
      <c r="B27" s="6" t="s">
        <v>1566</v>
      </c>
      <c r="C27" s="7" t="s">
        <v>1567</v>
      </c>
      <c r="D27" s="6" t="s">
        <v>1546</v>
      </c>
      <c r="E27" s="7" t="s">
        <v>1550</v>
      </c>
      <c r="F27" s="65">
        <v>26.0</v>
      </c>
      <c r="G27" s="407"/>
      <c r="H27" s="407"/>
      <c r="I27" s="407"/>
      <c r="J27" s="407"/>
      <c r="K27" s="65" t="s">
        <v>8820</v>
      </c>
      <c r="L27" s="65" t="s">
        <v>1685</v>
      </c>
      <c r="M27" s="414" t="s">
        <v>8821</v>
      </c>
      <c r="N27" s="65">
        <v>2.0</v>
      </c>
      <c r="O27" s="65" t="s">
        <v>8822</v>
      </c>
      <c r="P27" s="415" t="s">
        <v>1512</v>
      </c>
      <c r="Q27" s="65">
        <v>1995.0</v>
      </c>
      <c r="R27" s="407"/>
      <c r="S27" s="407"/>
    </row>
    <row r="28" ht="28.5" customHeight="1">
      <c r="A28" s="82"/>
      <c r="B28" s="6" t="s">
        <v>1521</v>
      </c>
      <c r="C28" s="7" t="s">
        <v>1525</v>
      </c>
      <c r="D28" s="6" t="s">
        <v>1546</v>
      </c>
      <c r="E28" s="7" t="s">
        <v>1553</v>
      </c>
      <c r="F28" s="65">
        <v>27.0</v>
      </c>
      <c r="G28" s="407"/>
      <c r="H28" s="407"/>
      <c r="I28" s="407"/>
      <c r="J28" s="407"/>
      <c r="K28" s="65" t="s">
        <v>8820</v>
      </c>
      <c r="L28" s="65" t="s">
        <v>1685</v>
      </c>
      <c r="M28" s="414" t="s">
        <v>8821</v>
      </c>
      <c r="N28" s="65">
        <v>2.0</v>
      </c>
      <c r="O28" s="65" t="s">
        <v>8822</v>
      </c>
      <c r="P28" s="415" t="s">
        <v>1512</v>
      </c>
      <c r="Q28" s="65">
        <v>1995.0</v>
      </c>
      <c r="R28" s="407"/>
      <c r="S28" s="407"/>
    </row>
    <row r="29" ht="28.5" customHeight="1">
      <c r="A29" s="82"/>
      <c r="B29" s="6" t="s">
        <v>1546</v>
      </c>
      <c r="C29" s="7" t="s">
        <v>1553</v>
      </c>
      <c r="D29" s="6" t="s">
        <v>1521</v>
      </c>
      <c r="E29" s="7" t="s">
        <v>1525</v>
      </c>
      <c r="F29" s="65">
        <v>28.0</v>
      </c>
      <c r="G29" s="407"/>
      <c r="H29" s="407"/>
      <c r="I29" s="407"/>
      <c r="J29" s="407"/>
      <c r="K29" s="65" t="s">
        <v>8820</v>
      </c>
      <c r="L29" s="65" t="s">
        <v>1685</v>
      </c>
      <c r="M29" s="414" t="s">
        <v>8821</v>
      </c>
      <c r="N29" s="65">
        <v>2.0</v>
      </c>
      <c r="O29" s="65" t="s">
        <v>8822</v>
      </c>
      <c r="P29" s="415" t="s">
        <v>1512</v>
      </c>
      <c r="Q29" s="65">
        <v>1995.0</v>
      </c>
      <c r="R29" s="407"/>
      <c r="S29" s="407"/>
    </row>
    <row r="30" ht="28.5" customHeight="1">
      <c r="A30" s="82"/>
      <c r="B30" s="6" t="s">
        <v>1566</v>
      </c>
      <c r="C30" s="7" t="s">
        <v>1567</v>
      </c>
      <c r="D30" s="6" t="s">
        <v>1556</v>
      </c>
      <c r="E30" s="7" t="s">
        <v>1557</v>
      </c>
      <c r="F30" s="65">
        <v>29.0</v>
      </c>
      <c r="G30" s="407"/>
      <c r="H30" s="407"/>
      <c r="I30" s="407"/>
      <c r="J30" s="407"/>
      <c r="K30" s="65" t="s">
        <v>8820</v>
      </c>
      <c r="L30" s="65" t="s">
        <v>1685</v>
      </c>
      <c r="M30" s="414" t="s">
        <v>8821</v>
      </c>
      <c r="N30" s="65">
        <v>2.0</v>
      </c>
      <c r="O30" s="65" t="s">
        <v>8822</v>
      </c>
      <c r="P30" s="415" t="s">
        <v>1512</v>
      </c>
      <c r="Q30" s="65">
        <v>1995.0</v>
      </c>
      <c r="R30" s="407"/>
      <c r="S30" s="407"/>
    </row>
    <row r="31" ht="28.5" customHeight="1">
      <c r="A31" s="82"/>
      <c r="B31" s="6" t="s">
        <v>1521</v>
      </c>
      <c r="C31" s="7" t="s">
        <v>1525</v>
      </c>
      <c r="D31" s="6" t="s">
        <v>1556</v>
      </c>
      <c r="E31" s="7" t="s">
        <v>1561</v>
      </c>
      <c r="F31" s="65">
        <v>30.0</v>
      </c>
      <c r="G31" s="407"/>
      <c r="H31" s="407"/>
      <c r="I31" s="407"/>
      <c r="J31" s="407"/>
      <c r="K31" s="65" t="s">
        <v>8820</v>
      </c>
      <c r="L31" s="65" t="s">
        <v>1685</v>
      </c>
      <c r="M31" s="414" t="s">
        <v>8821</v>
      </c>
      <c r="N31" s="65">
        <v>2.0</v>
      </c>
      <c r="O31" s="65" t="s">
        <v>8822</v>
      </c>
      <c r="P31" s="415" t="s">
        <v>1512</v>
      </c>
      <c r="Q31" s="65">
        <v>1995.0</v>
      </c>
      <c r="R31" s="407"/>
      <c r="S31" s="407"/>
    </row>
    <row r="32" ht="28.5" customHeight="1">
      <c r="A32" s="82"/>
      <c r="B32" s="7" t="s">
        <v>1678</v>
      </c>
      <c r="C32" s="7" t="s">
        <v>1690</v>
      </c>
      <c r="D32" s="7" t="s">
        <v>1661</v>
      </c>
      <c r="E32" s="7" t="s">
        <v>1662</v>
      </c>
      <c r="F32" s="65">
        <v>31.0</v>
      </c>
      <c r="G32" s="407"/>
      <c r="H32" s="407"/>
      <c r="I32" s="407"/>
      <c r="J32" s="407"/>
      <c r="K32" s="65" t="s">
        <v>8820</v>
      </c>
      <c r="L32" s="65" t="s">
        <v>1685</v>
      </c>
      <c r="M32" s="414" t="s">
        <v>8821</v>
      </c>
      <c r="N32" s="65">
        <v>2.0</v>
      </c>
      <c r="O32" s="65" t="s">
        <v>8823</v>
      </c>
      <c r="P32" s="417" t="s">
        <v>1664</v>
      </c>
      <c r="Q32" s="65">
        <v>2003.0</v>
      </c>
      <c r="R32" s="407"/>
      <c r="S32" s="407"/>
    </row>
    <row r="33">
      <c r="A33" s="13"/>
      <c r="B33" s="7" t="s">
        <v>1678</v>
      </c>
      <c r="C33" s="6" t="s">
        <v>1678</v>
      </c>
      <c r="D33" s="9" t="s">
        <v>1569</v>
      </c>
      <c r="E33" s="6" t="s">
        <v>1569</v>
      </c>
      <c r="F33" s="65">
        <v>32.0</v>
      </c>
      <c r="K33" s="9" t="s">
        <v>8824</v>
      </c>
      <c r="L33" s="9" t="s">
        <v>1685</v>
      </c>
      <c r="M33" s="52" t="s">
        <v>8825</v>
      </c>
      <c r="N33" s="9">
        <v>2.0</v>
      </c>
      <c r="O33" s="418" t="s">
        <v>8826</v>
      </c>
      <c r="P33" s="32" t="s">
        <v>74</v>
      </c>
      <c r="Q33" s="9">
        <v>2014.0</v>
      </c>
    </row>
    <row r="34">
      <c r="A34" s="13"/>
      <c r="B34" s="6" t="s">
        <v>1303</v>
      </c>
      <c r="C34" s="6" t="s">
        <v>1311</v>
      </c>
      <c r="D34" s="9" t="s">
        <v>1569</v>
      </c>
      <c r="E34" s="6" t="s">
        <v>1569</v>
      </c>
      <c r="F34" s="65">
        <v>33.0</v>
      </c>
      <c r="L34" s="9" t="s">
        <v>1345</v>
      </c>
      <c r="M34" s="52" t="s">
        <v>8827</v>
      </c>
      <c r="N34" s="9">
        <v>2.0</v>
      </c>
      <c r="O34" s="418" t="s">
        <v>8826</v>
      </c>
      <c r="P34" s="32" t="s">
        <v>74</v>
      </c>
      <c r="Q34" s="9">
        <v>2014.0</v>
      </c>
    </row>
    <row r="35">
      <c r="A35" s="13"/>
      <c r="B35" s="6" t="s">
        <v>1303</v>
      </c>
      <c r="C35" s="6" t="s">
        <v>1311</v>
      </c>
      <c r="D35" s="16" t="s">
        <v>63</v>
      </c>
      <c r="E35" s="16" t="s">
        <v>72</v>
      </c>
      <c r="F35" s="65">
        <v>34.0</v>
      </c>
      <c r="L35" s="9" t="s">
        <v>1345</v>
      </c>
      <c r="M35" s="52" t="s">
        <v>8828</v>
      </c>
      <c r="N35" s="9">
        <v>2.0</v>
      </c>
      <c r="O35" s="418" t="s">
        <v>8826</v>
      </c>
      <c r="P35" s="32" t="s">
        <v>74</v>
      </c>
      <c r="Q35" s="9">
        <v>2014.0</v>
      </c>
    </row>
    <row r="36">
      <c r="A36" s="13"/>
      <c r="B36" s="6" t="s">
        <v>1303</v>
      </c>
      <c r="C36" s="6" t="s">
        <v>1311</v>
      </c>
      <c r="D36" s="9" t="s">
        <v>1569</v>
      </c>
      <c r="E36" s="6" t="s">
        <v>1572</v>
      </c>
      <c r="F36" s="65">
        <v>35.0</v>
      </c>
      <c r="L36" s="9" t="s">
        <v>1345</v>
      </c>
      <c r="M36" s="52" t="s">
        <v>8829</v>
      </c>
      <c r="N36" s="9" t="s">
        <v>6614</v>
      </c>
      <c r="O36" s="418" t="s">
        <v>8826</v>
      </c>
      <c r="P36" s="32" t="s">
        <v>74</v>
      </c>
      <c r="Q36" s="9">
        <v>2014.0</v>
      </c>
    </row>
    <row r="37">
      <c r="A37" s="13"/>
      <c r="B37" s="6" t="s">
        <v>342</v>
      </c>
      <c r="C37" s="6" t="s">
        <v>8830</v>
      </c>
      <c r="D37" s="6" t="s">
        <v>1472</v>
      </c>
      <c r="E37" s="6" t="s">
        <v>1473</v>
      </c>
      <c r="F37" s="65">
        <v>36.0</v>
      </c>
      <c r="G37" s="9" t="s">
        <v>8831</v>
      </c>
      <c r="H37" s="9" t="s">
        <v>8832</v>
      </c>
      <c r="L37" s="9" t="s">
        <v>8709</v>
      </c>
      <c r="M37" s="52" t="s">
        <v>8833</v>
      </c>
      <c r="N37" s="9">
        <v>3.0</v>
      </c>
      <c r="O37" s="9" t="s">
        <v>8834</v>
      </c>
      <c r="P37" s="32" t="s">
        <v>125</v>
      </c>
      <c r="Q37" s="9">
        <v>2018.0</v>
      </c>
    </row>
    <row r="38">
      <c r="A38" s="13"/>
      <c r="B38" s="6" t="s">
        <v>828</v>
      </c>
      <c r="C38" s="6" t="s">
        <v>829</v>
      </c>
      <c r="D38" s="16" t="s">
        <v>109</v>
      </c>
      <c r="E38" s="6" t="s">
        <v>8728</v>
      </c>
      <c r="F38" s="65">
        <v>37.0</v>
      </c>
      <c r="G38" s="9" t="s">
        <v>8835</v>
      </c>
      <c r="M38" s="52" t="s">
        <v>8836</v>
      </c>
      <c r="N38" s="9">
        <v>3.0</v>
      </c>
      <c r="O38" s="9" t="s">
        <v>8837</v>
      </c>
      <c r="P38" s="32" t="s">
        <v>8838</v>
      </c>
      <c r="Q38" s="9">
        <v>1975.0</v>
      </c>
    </row>
    <row r="39">
      <c r="A39" s="13"/>
      <c r="B39" s="16" t="s">
        <v>109</v>
      </c>
      <c r="C39" s="6" t="s">
        <v>8728</v>
      </c>
      <c r="D39" s="9" t="s">
        <v>828</v>
      </c>
      <c r="E39" s="6" t="s">
        <v>829</v>
      </c>
      <c r="F39" s="65">
        <v>38.0</v>
      </c>
      <c r="G39" s="9" t="s">
        <v>8835</v>
      </c>
      <c r="M39" s="52" t="s">
        <v>8839</v>
      </c>
      <c r="N39" s="9">
        <v>3.0</v>
      </c>
      <c r="O39" s="9" t="s">
        <v>8840</v>
      </c>
      <c r="P39" s="32" t="s">
        <v>8841</v>
      </c>
      <c r="Q39" s="9">
        <v>2002.0</v>
      </c>
    </row>
    <row r="40">
      <c r="A40" s="13"/>
      <c r="B40" s="6" t="s">
        <v>1472</v>
      </c>
      <c r="C40" s="6" t="s">
        <v>1473</v>
      </c>
      <c r="D40" s="16" t="s">
        <v>109</v>
      </c>
      <c r="E40" s="6" t="s">
        <v>130</v>
      </c>
      <c r="F40" s="65">
        <v>39.0</v>
      </c>
      <c r="G40" s="9" t="s">
        <v>8842</v>
      </c>
      <c r="M40" s="52" t="s">
        <v>8843</v>
      </c>
      <c r="N40" s="9">
        <v>3.0</v>
      </c>
      <c r="O40" s="9" t="s">
        <v>8844</v>
      </c>
      <c r="P40" s="20" t="s">
        <v>8845</v>
      </c>
      <c r="Q40" s="9">
        <v>2018.0</v>
      </c>
    </row>
    <row r="41">
      <c r="A41" s="6" t="s">
        <v>8846</v>
      </c>
      <c r="B41" s="16" t="s">
        <v>109</v>
      </c>
      <c r="C41" s="6" t="s">
        <v>109</v>
      </c>
      <c r="D41" s="6" t="s">
        <v>1472</v>
      </c>
      <c r="E41" s="6" t="s">
        <v>1473</v>
      </c>
      <c r="F41" s="65">
        <v>40.0</v>
      </c>
      <c r="G41" s="9" t="s">
        <v>8842</v>
      </c>
      <c r="M41" s="52" t="s">
        <v>8847</v>
      </c>
      <c r="N41" s="9">
        <v>3.0</v>
      </c>
      <c r="O41" s="9" t="s">
        <v>8848</v>
      </c>
      <c r="P41" s="63" t="s">
        <v>8849</v>
      </c>
      <c r="Q41" s="9">
        <v>2018.0</v>
      </c>
    </row>
    <row r="42">
      <c r="A42" s="13"/>
      <c r="B42" s="6" t="s">
        <v>1472</v>
      </c>
      <c r="C42" s="6" t="s">
        <v>1476</v>
      </c>
      <c r="D42" s="6" t="s">
        <v>1472</v>
      </c>
      <c r="E42" s="6" t="s">
        <v>1473</v>
      </c>
      <c r="F42" s="65">
        <v>41.0</v>
      </c>
      <c r="G42" s="9" t="s">
        <v>8842</v>
      </c>
      <c r="M42" s="52" t="s">
        <v>8850</v>
      </c>
      <c r="N42" s="9">
        <v>3.0</v>
      </c>
      <c r="O42" s="9" t="s">
        <v>8851</v>
      </c>
      <c r="P42" s="20" t="s">
        <v>8852</v>
      </c>
      <c r="Q42" s="9">
        <v>2018.0</v>
      </c>
    </row>
    <row r="43">
      <c r="A43" s="13"/>
      <c r="B43" s="6" t="s">
        <v>1472</v>
      </c>
      <c r="C43" s="6" t="s">
        <v>1478</v>
      </c>
      <c r="D43" s="6" t="s">
        <v>1472</v>
      </c>
      <c r="E43" s="6" t="s">
        <v>1473</v>
      </c>
      <c r="F43" s="65">
        <v>42.0</v>
      </c>
      <c r="G43" s="9" t="s">
        <v>8842</v>
      </c>
      <c r="M43" s="52" t="s">
        <v>8853</v>
      </c>
      <c r="N43" s="9">
        <v>3.0</v>
      </c>
      <c r="O43" s="9" t="s">
        <v>8854</v>
      </c>
      <c r="P43" s="20" t="s">
        <v>8855</v>
      </c>
      <c r="Q43" s="9">
        <v>2018.0</v>
      </c>
    </row>
    <row r="44">
      <c r="A44" s="6" t="s">
        <v>8856</v>
      </c>
      <c r="B44" s="16" t="s">
        <v>109</v>
      </c>
      <c r="C44" s="6" t="s">
        <v>109</v>
      </c>
      <c r="D44" s="6" t="s">
        <v>1472</v>
      </c>
      <c r="E44" s="6" t="s">
        <v>1473</v>
      </c>
      <c r="F44" s="65">
        <v>43.0</v>
      </c>
      <c r="G44" s="9" t="s">
        <v>8842</v>
      </c>
      <c r="M44" s="52" t="s">
        <v>8857</v>
      </c>
      <c r="N44" s="9">
        <v>3.0</v>
      </c>
      <c r="O44" s="9" t="s">
        <v>8858</v>
      </c>
      <c r="P44" s="419" t="s">
        <v>8859</v>
      </c>
      <c r="Q44" s="9">
        <v>2018.0</v>
      </c>
    </row>
    <row r="45">
      <c r="A45" s="6" t="s">
        <v>8860</v>
      </c>
      <c r="B45" s="16" t="s">
        <v>109</v>
      </c>
      <c r="C45" s="6" t="s">
        <v>109</v>
      </c>
      <c r="D45" s="6" t="s">
        <v>1472</v>
      </c>
      <c r="E45" s="6" t="s">
        <v>1473</v>
      </c>
      <c r="F45" s="65">
        <v>44.0</v>
      </c>
      <c r="G45" s="9" t="s">
        <v>8842</v>
      </c>
      <c r="M45" s="52" t="s">
        <v>8861</v>
      </c>
      <c r="N45" s="9">
        <v>3.0</v>
      </c>
      <c r="O45" s="9" t="s">
        <v>8862</v>
      </c>
      <c r="P45" s="20" t="s">
        <v>8863</v>
      </c>
      <c r="Q45" s="9">
        <v>2018.0</v>
      </c>
    </row>
    <row r="46">
      <c r="A46" s="13"/>
      <c r="B46" s="6" t="s">
        <v>889</v>
      </c>
      <c r="C46" s="6" t="s">
        <v>890</v>
      </c>
      <c r="D46" s="16" t="s">
        <v>109</v>
      </c>
      <c r="E46" s="6" t="s">
        <v>132</v>
      </c>
      <c r="F46" s="65">
        <v>45.0</v>
      </c>
      <c r="M46" s="52" t="s">
        <v>8864</v>
      </c>
      <c r="N46" s="9">
        <v>3.0</v>
      </c>
      <c r="O46" s="9" t="s">
        <v>8865</v>
      </c>
      <c r="P46" s="32" t="s">
        <v>8866</v>
      </c>
      <c r="Q46" s="9">
        <v>1998.0</v>
      </c>
    </row>
    <row r="47">
      <c r="A47" s="6" t="s">
        <v>8867</v>
      </c>
      <c r="B47" s="16" t="s">
        <v>109</v>
      </c>
      <c r="C47" s="6" t="s">
        <v>109</v>
      </c>
      <c r="D47" s="6" t="s">
        <v>1472</v>
      </c>
      <c r="E47" s="6" t="s">
        <v>1473</v>
      </c>
      <c r="F47" s="65">
        <v>46.0</v>
      </c>
      <c r="G47" s="9" t="s">
        <v>8868</v>
      </c>
      <c r="M47" s="52" t="s">
        <v>8869</v>
      </c>
      <c r="N47" s="9"/>
      <c r="O47" s="9" t="s">
        <v>8870</v>
      </c>
      <c r="P47" s="20" t="s">
        <v>8871</v>
      </c>
      <c r="Q47" s="9">
        <v>2018.0</v>
      </c>
    </row>
    <row r="48">
      <c r="A48" s="13"/>
      <c r="B48" s="6" t="s">
        <v>1576</v>
      </c>
      <c r="C48" s="6" t="s">
        <v>1577</v>
      </c>
      <c r="D48" s="6" t="s">
        <v>1472</v>
      </c>
      <c r="E48" s="6" t="s">
        <v>1473</v>
      </c>
      <c r="F48" s="65">
        <v>47.0</v>
      </c>
      <c r="M48" s="52" t="s">
        <v>8872</v>
      </c>
      <c r="N48" s="9"/>
      <c r="O48" s="9" t="s">
        <v>8873</v>
      </c>
      <c r="P48" s="20" t="s">
        <v>8874</v>
      </c>
      <c r="Q48" s="9">
        <v>2018.0</v>
      </c>
    </row>
    <row r="49">
      <c r="A49" s="13"/>
      <c r="B49" s="6" t="s">
        <v>1576</v>
      </c>
      <c r="C49" s="6" t="s">
        <v>8875</v>
      </c>
      <c r="D49" s="6" t="s">
        <v>1472</v>
      </c>
      <c r="E49" s="6" t="s">
        <v>1473</v>
      </c>
      <c r="F49" s="65">
        <v>48.0</v>
      </c>
      <c r="M49" s="52" t="s">
        <v>8876</v>
      </c>
      <c r="N49" s="9"/>
      <c r="O49" s="9" t="s">
        <v>8877</v>
      </c>
      <c r="P49" s="20" t="s">
        <v>8878</v>
      </c>
      <c r="Q49" s="9">
        <v>2018.0</v>
      </c>
    </row>
    <row r="50">
      <c r="A50" s="13"/>
      <c r="B50" s="6" t="s">
        <v>342</v>
      </c>
      <c r="C50" s="6" t="s">
        <v>8879</v>
      </c>
      <c r="D50" s="6" t="s">
        <v>342</v>
      </c>
      <c r="E50" s="6" t="s">
        <v>8830</v>
      </c>
      <c r="F50" s="65">
        <v>49.0</v>
      </c>
      <c r="G50" s="9" t="s">
        <v>8831</v>
      </c>
      <c r="M50" s="52" t="s">
        <v>8880</v>
      </c>
      <c r="N50" s="9">
        <v>3.0</v>
      </c>
      <c r="O50" s="9" t="s">
        <v>8881</v>
      </c>
      <c r="P50" s="20" t="s">
        <v>8882</v>
      </c>
      <c r="Q50" s="9">
        <v>2018.0</v>
      </c>
    </row>
    <row r="51">
      <c r="A51" s="13"/>
      <c r="B51" s="6" t="s">
        <v>342</v>
      </c>
      <c r="C51" s="6" t="s">
        <v>8830</v>
      </c>
      <c r="D51" s="6" t="s">
        <v>342</v>
      </c>
      <c r="E51" s="6" t="s">
        <v>8879</v>
      </c>
      <c r="F51" s="65">
        <v>50.0</v>
      </c>
      <c r="G51" s="9" t="s">
        <v>8831</v>
      </c>
      <c r="L51" s="9" t="s">
        <v>8709</v>
      </c>
      <c r="M51" s="52" t="s">
        <v>8883</v>
      </c>
      <c r="N51" s="9">
        <v>3.0</v>
      </c>
      <c r="O51" s="9" t="s">
        <v>8884</v>
      </c>
      <c r="P51" s="20" t="s">
        <v>8885</v>
      </c>
      <c r="Q51" s="9">
        <v>2018.0</v>
      </c>
    </row>
    <row r="52">
      <c r="A52" s="13"/>
      <c r="B52" s="6" t="s">
        <v>1491</v>
      </c>
      <c r="C52" s="6" t="s">
        <v>1491</v>
      </c>
      <c r="D52" s="6" t="s">
        <v>1472</v>
      </c>
      <c r="E52" s="6" t="s">
        <v>1473</v>
      </c>
      <c r="F52" s="65">
        <v>51.0</v>
      </c>
      <c r="G52" s="9" t="s">
        <v>8831</v>
      </c>
      <c r="M52" s="52" t="s">
        <v>8886</v>
      </c>
      <c r="N52" s="9">
        <v>3.0</v>
      </c>
      <c r="O52" s="9" t="s">
        <v>8887</v>
      </c>
      <c r="P52" s="20" t="s">
        <v>8888</v>
      </c>
      <c r="Q52" s="9">
        <v>2018.0</v>
      </c>
    </row>
    <row r="53">
      <c r="A53" s="13"/>
      <c r="B53" s="6" t="s">
        <v>1472</v>
      </c>
      <c r="C53" s="6" t="s">
        <v>1473</v>
      </c>
      <c r="D53" s="9" t="s">
        <v>1491</v>
      </c>
      <c r="E53" s="6" t="s">
        <v>1491</v>
      </c>
      <c r="F53" s="65">
        <v>52.0</v>
      </c>
      <c r="G53" s="9" t="s">
        <v>8831</v>
      </c>
      <c r="M53" s="52" t="s">
        <v>8889</v>
      </c>
      <c r="N53" s="9">
        <v>3.0</v>
      </c>
      <c r="O53" s="9" t="s">
        <v>8890</v>
      </c>
      <c r="P53" s="20" t="s">
        <v>8891</v>
      </c>
      <c r="Q53" s="9">
        <v>2018.0</v>
      </c>
    </row>
    <row r="54">
      <c r="A54" s="13"/>
      <c r="B54" s="6" t="s">
        <v>1472</v>
      </c>
      <c r="C54" s="6" t="s">
        <v>1473</v>
      </c>
      <c r="D54" s="9" t="s">
        <v>1586</v>
      </c>
      <c r="E54" s="6" t="s">
        <v>1587</v>
      </c>
      <c r="F54" s="65">
        <v>53.0</v>
      </c>
      <c r="G54" s="9" t="s">
        <v>8831</v>
      </c>
      <c r="M54" s="52" t="s">
        <v>8892</v>
      </c>
      <c r="N54" s="9">
        <v>3.0</v>
      </c>
      <c r="O54" s="9" t="s">
        <v>8893</v>
      </c>
      <c r="P54" s="20" t="s">
        <v>8894</v>
      </c>
      <c r="Q54" s="9">
        <v>2018.0</v>
      </c>
      <c r="S54" s="9" t="s">
        <v>8895</v>
      </c>
    </row>
    <row r="55">
      <c r="A55" s="13"/>
      <c r="B55" s="6" t="s">
        <v>1472</v>
      </c>
      <c r="C55" s="6" t="s">
        <v>1473</v>
      </c>
      <c r="D55" s="9" t="s">
        <v>889</v>
      </c>
      <c r="E55" s="6" t="s">
        <v>890</v>
      </c>
      <c r="F55" s="65">
        <v>54.0</v>
      </c>
      <c r="G55" s="9" t="s">
        <v>8831</v>
      </c>
      <c r="I55" s="9" t="s">
        <v>61</v>
      </c>
      <c r="M55" s="72"/>
      <c r="N55" s="9">
        <v>3.0</v>
      </c>
      <c r="O55" s="9" t="s">
        <v>8896</v>
      </c>
      <c r="P55" s="20" t="s">
        <v>8897</v>
      </c>
      <c r="Q55" s="9">
        <v>2018.0</v>
      </c>
    </row>
    <row r="56">
      <c r="A56" s="13"/>
      <c r="B56" s="6" t="s">
        <v>889</v>
      </c>
      <c r="C56" s="6" t="s">
        <v>890</v>
      </c>
      <c r="D56" s="6" t="s">
        <v>1472</v>
      </c>
      <c r="E56" s="6" t="s">
        <v>1473</v>
      </c>
      <c r="F56" s="65">
        <v>55.0</v>
      </c>
      <c r="G56" s="9" t="s">
        <v>8831</v>
      </c>
      <c r="M56" s="72"/>
      <c r="N56" s="9">
        <v>3.0</v>
      </c>
      <c r="O56" s="9" t="s">
        <v>8898</v>
      </c>
      <c r="P56" s="20" t="s">
        <v>8866</v>
      </c>
      <c r="Q56" s="9">
        <v>1998.0</v>
      </c>
      <c r="S56" s="9" t="s">
        <v>8899</v>
      </c>
    </row>
    <row r="57">
      <c r="A57" s="13"/>
      <c r="B57" s="6" t="s">
        <v>1472</v>
      </c>
      <c r="C57" s="6" t="s">
        <v>8900</v>
      </c>
      <c r="D57" s="16" t="s">
        <v>8901</v>
      </c>
      <c r="E57" s="6" t="s">
        <v>326</v>
      </c>
      <c r="F57" s="65">
        <v>56.0</v>
      </c>
      <c r="G57" s="9" t="s">
        <v>8831</v>
      </c>
      <c r="M57" s="52" t="s">
        <v>8902</v>
      </c>
      <c r="N57" s="9">
        <v>3.0</v>
      </c>
      <c r="O57" s="9" t="s">
        <v>8903</v>
      </c>
      <c r="P57" s="20" t="s">
        <v>8904</v>
      </c>
      <c r="Q57" s="9">
        <v>2018.0</v>
      </c>
    </row>
    <row r="58">
      <c r="A58" s="13"/>
      <c r="B58" s="16" t="s">
        <v>109</v>
      </c>
      <c r="C58" s="6" t="s">
        <v>132</v>
      </c>
      <c r="D58" s="16" t="s">
        <v>8901</v>
      </c>
      <c r="E58" s="6" t="s">
        <v>326</v>
      </c>
      <c r="F58" s="65">
        <v>57.0</v>
      </c>
      <c r="G58" s="9" t="s">
        <v>8831</v>
      </c>
      <c r="M58" s="52" t="s">
        <v>8905</v>
      </c>
      <c r="N58" s="9">
        <v>3.0</v>
      </c>
      <c r="O58" s="9" t="s">
        <v>8906</v>
      </c>
      <c r="P58" s="20" t="s">
        <v>8907</v>
      </c>
      <c r="Q58" s="9">
        <v>2018.0</v>
      </c>
    </row>
    <row r="59">
      <c r="A59" s="13"/>
      <c r="B59" s="6" t="s">
        <v>342</v>
      </c>
      <c r="C59" s="6" t="s">
        <v>8830</v>
      </c>
      <c r="D59" s="16" t="s">
        <v>8901</v>
      </c>
      <c r="E59" s="6" t="s">
        <v>326</v>
      </c>
      <c r="F59" s="65">
        <v>58.0</v>
      </c>
      <c r="G59" s="9" t="s">
        <v>8831</v>
      </c>
      <c r="L59" s="9" t="s">
        <v>8709</v>
      </c>
      <c r="M59" s="52" t="s">
        <v>8908</v>
      </c>
      <c r="N59" s="9">
        <v>3.0</v>
      </c>
      <c r="O59" s="9" t="s">
        <v>8909</v>
      </c>
      <c r="P59" s="20" t="s">
        <v>8910</v>
      </c>
      <c r="Q59" s="9">
        <v>2018.0</v>
      </c>
    </row>
    <row r="60">
      <c r="A60" s="13"/>
      <c r="B60" s="6" t="s">
        <v>342</v>
      </c>
      <c r="C60" s="6" t="s">
        <v>8830</v>
      </c>
      <c r="D60" s="16" t="s">
        <v>8901</v>
      </c>
      <c r="E60" s="6" t="s">
        <v>8911</v>
      </c>
      <c r="F60" s="65">
        <v>59.0</v>
      </c>
      <c r="G60" s="9" t="s">
        <v>8831</v>
      </c>
      <c r="L60" s="9" t="s">
        <v>8709</v>
      </c>
      <c r="M60" s="52" t="s">
        <v>8912</v>
      </c>
      <c r="N60" s="9">
        <v>3.0</v>
      </c>
      <c r="O60" s="9" t="s">
        <v>8913</v>
      </c>
      <c r="P60" s="20" t="s">
        <v>8914</v>
      </c>
      <c r="Q60" s="9">
        <v>2018.0</v>
      </c>
    </row>
    <row r="61">
      <c r="A61" s="13"/>
      <c r="B61" s="6" t="s">
        <v>1472</v>
      </c>
      <c r="C61" s="6" t="s">
        <v>1474</v>
      </c>
      <c r="D61" s="6" t="s">
        <v>1582</v>
      </c>
      <c r="E61" s="6" t="s">
        <v>1582</v>
      </c>
      <c r="F61" s="65">
        <v>60.0</v>
      </c>
      <c r="M61" s="52" t="s">
        <v>8915</v>
      </c>
      <c r="N61" s="9">
        <v>2.0</v>
      </c>
      <c r="O61" s="9" t="s">
        <v>8916</v>
      </c>
      <c r="P61" s="20" t="s">
        <v>8917</v>
      </c>
      <c r="Q61" s="9">
        <v>2018.0</v>
      </c>
      <c r="U61" s="9" t="s">
        <v>8918</v>
      </c>
    </row>
    <row r="62">
      <c r="A62" s="13"/>
      <c r="B62" s="16" t="s">
        <v>109</v>
      </c>
      <c r="C62" s="6" t="s">
        <v>8728</v>
      </c>
      <c r="D62" s="6" t="s">
        <v>1582</v>
      </c>
      <c r="E62" s="6" t="s">
        <v>1582</v>
      </c>
      <c r="F62" s="65">
        <v>61.0</v>
      </c>
      <c r="M62" s="52" t="s">
        <v>8915</v>
      </c>
      <c r="N62" s="9">
        <v>2.0</v>
      </c>
      <c r="O62" s="9" t="s">
        <v>8919</v>
      </c>
      <c r="P62" s="20" t="s">
        <v>8920</v>
      </c>
      <c r="Q62" s="9">
        <v>2018.0</v>
      </c>
    </row>
    <row r="63">
      <c r="A63" s="13"/>
      <c r="B63" s="6" t="s">
        <v>1472</v>
      </c>
      <c r="C63" s="6" t="s">
        <v>1473</v>
      </c>
      <c r="D63" s="9" t="s">
        <v>1584</v>
      </c>
      <c r="E63" s="6" t="s">
        <v>1584</v>
      </c>
      <c r="F63" s="65">
        <v>62.0</v>
      </c>
      <c r="M63" s="52" t="s">
        <v>8921</v>
      </c>
      <c r="N63" s="9">
        <v>2.0</v>
      </c>
      <c r="O63" s="9" t="s">
        <v>8922</v>
      </c>
      <c r="P63" s="20" t="s">
        <v>8923</v>
      </c>
      <c r="Q63" s="9">
        <v>2018.0</v>
      </c>
    </row>
    <row r="64">
      <c r="A64" s="13"/>
      <c r="B64" s="6" t="s">
        <v>1472</v>
      </c>
      <c r="C64" s="6" t="s">
        <v>1480</v>
      </c>
      <c r="D64" s="6" t="s">
        <v>1472</v>
      </c>
      <c r="E64" s="6" t="s">
        <v>1484</v>
      </c>
      <c r="F64" s="65">
        <v>63.0</v>
      </c>
      <c r="G64" s="9" t="s">
        <v>8842</v>
      </c>
      <c r="M64" s="52" t="s">
        <v>8924</v>
      </c>
      <c r="N64" s="9">
        <v>3.0</v>
      </c>
      <c r="O64" s="9" t="s">
        <v>8925</v>
      </c>
      <c r="P64" s="20" t="s">
        <v>8926</v>
      </c>
      <c r="Q64" s="9">
        <v>2018.0</v>
      </c>
    </row>
    <row r="65">
      <c r="A65" s="13"/>
      <c r="B65" s="6" t="s">
        <v>109</v>
      </c>
      <c r="C65" s="6" t="s">
        <v>135</v>
      </c>
      <c r="D65" s="6" t="s">
        <v>1472</v>
      </c>
      <c r="E65" s="6" t="s">
        <v>1484</v>
      </c>
      <c r="F65" s="65">
        <v>64.0</v>
      </c>
      <c r="G65" s="9" t="s">
        <v>8842</v>
      </c>
      <c r="M65" s="52" t="s">
        <v>8927</v>
      </c>
      <c r="N65" s="9">
        <v>3.0</v>
      </c>
      <c r="O65" s="9" t="s">
        <v>8928</v>
      </c>
      <c r="P65" s="20" t="s">
        <v>8929</v>
      </c>
      <c r="Q65" s="9">
        <v>2018.0</v>
      </c>
    </row>
    <row r="66">
      <c r="A66" s="13"/>
      <c r="B66" s="7" t="s">
        <v>1678</v>
      </c>
      <c r="C66" s="6" t="s">
        <v>1693</v>
      </c>
      <c r="D66" s="7" t="s">
        <v>1678</v>
      </c>
      <c r="E66" s="6" t="s">
        <v>1678</v>
      </c>
      <c r="F66" s="65">
        <v>65.0</v>
      </c>
      <c r="G66" s="9" t="s">
        <v>8930</v>
      </c>
      <c r="L66" s="9" t="s">
        <v>8705</v>
      </c>
      <c r="M66" s="52" t="s">
        <v>8931</v>
      </c>
      <c r="N66" s="9">
        <v>2.0</v>
      </c>
      <c r="O66" s="9" t="s">
        <v>8932</v>
      </c>
      <c r="P66" s="20" t="s">
        <v>8933</v>
      </c>
      <c r="Q66" s="9">
        <v>2018.0</v>
      </c>
    </row>
    <row r="67">
      <c r="A67" s="13"/>
      <c r="B67" s="7" t="s">
        <v>1678</v>
      </c>
      <c r="C67" s="6" t="s">
        <v>1678</v>
      </c>
      <c r="D67" s="7" t="s">
        <v>1678</v>
      </c>
      <c r="E67" s="6" t="s">
        <v>1693</v>
      </c>
      <c r="F67" s="65">
        <v>66.0</v>
      </c>
      <c r="G67" s="9" t="s">
        <v>8930</v>
      </c>
      <c r="L67" s="9" t="s">
        <v>8705</v>
      </c>
      <c r="M67" s="52" t="s">
        <v>8934</v>
      </c>
      <c r="N67" s="9">
        <v>2.0</v>
      </c>
      <c r="O67" s="9" t="s">
        <v>1017</v>
      </c>
      <c r="P67" s="237"/>
    </row>
    <row r="68">
      <c r="A68" s="13"/>
      <c r="B68" s="6" t="s">
        <v>1417</v>
      </c>
      <c r="C68" s="6" t="s">
        <v>8935</v>
      </c>
      <c r="D68" s="6" t="s">
        <v>342</v>
      </c>
      <c r="E68" s="6" t="s">
        <v>8830</v>
      </c>
      <c r="F68" s="65">
        <v>67.0</v>
      </c>
      <c r="G68" s="9" t="s">
        <v>8831</v>
      </c>
      <c r="M68" s="72"/>
      <c r="N68" s="9">
        <v>3.0</v>
      </c>
      <c r="O68" s="9" t="s">
        <v>8936</v>
      </c>
      <c r="P68" s="20" t="s">
        <v>8937</v>
      </c>
      <c r="Q68" s="9">
        <v>2015.0</v>
      </c>
    </row>
    <row r="69">
      <c r="A69" s="13"/>
      <c r="B69" s="6" t="s">
        <v>1417</v>
      </c>
      <c r="C69" s="6" t="s">
        <v>8938</v>
      </c>
      <c r="D69" s="6" t="s">
        <v>342</v>
      </c>
      <c r="E69" s="6" t="s">
        <v>8879</v>
      </c>
      <c r="F69" s="65">
        <v>68.0</v>
      </c>
      <c r="G69" s="9" t="s">
        <v>8831</v>
      </c>
      <c r="M69" s="72"/>
      <c r="N69" s="9">
        <v>3.0</v>
      </c>
      <c r="O69" s="9" t="s">
        <v>8936</v>
      </c>
      <c r="P69" s="20" t="s">
        <v>8939</v>
      </c>
      <c r="Q69" s="9">
        <v>2015.0</v>
      </c>
    </row>
    <row r="70">
      <c r="A70" s="13"/>
      <c r="B70" s="6" t="s">
        <v>1417</v>
      </c>
      <c r="C70" s="6" t="s">
        <v>8940</v>
      </c>
      <c r="D70" s="6" t="s">
        <v>342</v>
      </c>
      <c r="E70" s="6" t="s">
        <v>8830</v>
      </c>
      <c r="F70" s="65">
        <v>69.0</v>
      </c>
      <c r="G70" s="9" t="s">
        <v>8831</v>
      </c>
      <c r="M70" s="72"/>
      <c r="N70" s="9">
        <v>3.0</v>
      </c>
      <c r="O70" s="9" t="s">
        <v>8936</v>
      </c>
      <c r="P70" s="20" t="s">
        <v>8941</v>
      </c>
      <c r="Q70" s="9">
        <v>2015.0</v>
      </c>
    </row>
    <row r="71">
      <c r="A71" s="13"/>
      <c r="B71" s="6" t="s">
        <v>1417</v>
      </c>
      <c r="C71" s="6" t="s">
        <v>8942</v>
      </c>
      <c r="D71" s="6" t="s">
        <v>342</v>
      </c>
      <c r="E71" s="6" t="s">
        <v>8879</v>
      </c>
      <c r="F71" s="65">
        <v>70.0</v>
      </c>
      <c r="G71" s="9" t="s">
        <v>8831</v>
      </c>
      <c r="M71" s="72"/>
      <c r="N71" s="9">
        <v>3.0</v>
      </c>
      <c r="O71" s="9" t="s">
        <v>8936</v>
      </c>
      <c r="P71" s="20" t="s">
        <v>8943</v>
      </c>
      <c r="Q71" s="9">
        <v>2015.0</v>
      </c>
    </row>
    <row r="72">
      <c r="A72" s="13"/>
      <c r="B72" s="6" t="s">
        <v>1446</v>
      </c>
      <c r="C72" s="6" t="s">
        <v>8232</v>
      </c>
      <c r="D72" s="6" t="s">
        <v>342</v>
      </c>
      <c r="E72" s="6" t="s">
        <v>8830</v>
      </c>
      <c r="F72" s="65">
        <v>71.0</v>
      </c>
      <c r="G72" s="9" t="s">
        <v>8831</v>
      </c>
      <c r="M72" s="72"/>
      <c r="N72" s="9">
        <v>3.0</v>
      </c>
      <c r="O72" s="9" t="s">
        <v>8936</v>
      </c>
      <c r="P72" s="20" t="s">
        <v>8944</v>
      </c>
      <c r="Q72" s="9">
        <v>2015.0</v>
      </c>
    </row>
    <row r="73">
      <c r="A73" s="13"/>
      <c r="B73" s="6" t="s">
        <v>1446</v>
      </c>
      <c r="C73" s="6" t="s">
        <v>8232</v>
      </c>
      <c r="D73" s="6" t="s">
        <v>342</v>
      </c>
      <c r="E73" s="6" t="s">
        <v>8879</v>
      </c>
      <c r="F73" s="65">
        <v>72.0</v>
      </c>
      <c r="G73" s="9" t="s">
        <v>8831</v>
      </c>
      <c r="M73" s="72"/>
      <c r="N73" s="9">
        <v>3.0</v>
      </c>
      <c r="O73" s="9" t="s">
        <v>8936</v>
      </c>
      <c r="P73" s="20" t="s">
        <v>8945</v>
      </c>
      <c r="Q73" s="9">
        <v>2015.0</v>
      </c>
    </row>
    <row r="74">
      <c r="A74" s="13"/>
      <c r="B74" s="6" t="s">
        <v>1446</v>
      </c>
      <c r="C74" s="6" t="s">
        <v>1463</v>
      </c>
      <c r="D74" s="9" t="s">
        <v>1417</v>
      </c>
      <c r="E74" s="6" t="s">
        <v>1424</v>
      </c>
      <c r="F74" s="65">
        <v>73.0</v>
      </c>
      <c r="G74" s="9" t="s">
        <v>8831</v>
      </c>
      <c r="M74" s="72"/>
      <c r="N74" s="9">
        <v>3.0</v>
      </c>
      <c r="O74" s="9" t="s">
        <v>8936</v>
      </c>
      <c r="P74" s="20" t="s">
        <v>8946</v>
      </c>
      <c r="Q74" s="9">
        <v>2015.0</v>
      </c>
    </row>
    <row r="75">
      <c r="A75" s="13"/>
      <c r="B75" s="6" t="s">
        <v>1303</v>
      </c>
      <c r="C75" s="6" t="s">
        <v>1311</v>
      </c>
      <c r="D75" s="9" t="s">
        <v>1417</v>
      </c>
      <c r="E75" s="6" t="s">
        <v>1429</v>
      </c>
      <c r="F75" s="65">
        <v>74.0</v>
      </c>
      <c r="L75" s="9" t="s">
        <v>1345</v>
      </c>
      <c r="M75" s="52" t="s">
        <v>8947</v>
      </c>
      <c r="N75" s="9">
        <v>2.0</v>
      </c>
      <c r="O75" s="65" t="s">
        <v>8948</v>
      </c>
      <c r="P75" s="415" t="s">
        <v>1431</v>
      </c>
      <c r="Q75" s="9">
        <v>2013.0</v>
      </c>
    </row>
    <row r="76">
      <c r="A76" s="13"/>
      <c r="B76" s="6" t="s">
        <v>1472</v>
      </c>
      <c r="C76" s="6" t="s">
        <v>1473</v>
      </c>
      <c r="D76" s="9" t="s">
        <v>1446</v>
      </c>
      <c r="E76" s="6" t="s">
        <v>8232</v>
      </c>
      <c r="F76" s="65">
        <v>75.0</v>
      </c>
      <c r="M76" s="52" t="s">
        <v>8949</v>
      </c>
      <c r="N76" s="9"/>
      <c r="O76" s="9" t="s">
        <v>8936</v>
      </c>
      <c r="P76" s="20" t="s">
        <v>8950</v>
      </c>
      <c r="Q76" s="9">
        <v>2015.0</v>
      </c>
    </row>
    <row r="77">
      <c r="A77" s="13"/>
      <c r="B77" s="6" t="s">
        <v>1472</v>
      </c>
      <c r="C77" s="6" t="s">
        <v>1473</v>
      </c>
      <c r="D77" s="9" t="s">
        <v>1417</v>
      </c>
      <c r="E77" s="6" t="s">
        <v>1421</v>
      </c>
      <c r="F77" s="65">
        <v>76.0</v>
      </c>
      <c r="M77" s="52" t="s">
        <v>8951</v>
      </c>
      <c r="N77" s="9"/>
      <c r="O77" s="9" t="s">
        <v>8936</v>
      </c>
      <c r="P77" s="20" t="s">
        <v>8952</v>
      </c>
      <c r="Q77" s="9">
        <v>2015.0</v>
      </c>
    </row>
    <row r="78">
      <c r="A78" s="13"/>
      <c r="B78" s="6" t="s">
        <v>1472</v>
      </c>
      <c r="C78" s="6" t="s">
        <v>1473</v>
      </c>
      <c r="D78" s="9" t="s">
        <v>1417</v>
      </c>
      <c r="E78" s="6" t="s">
        <v>1418</v>
      </c>
      <c r="F78" s="65">
        <v>77.0</v>
      </c>
      <c r="M78" s="52" t="s">
        <v>8953</v>
      </c>
      <c r="N78" s="9"/>
      <c r="O78" s="9" t="s">
        <v>8936</v>
      </c>
      <c r="P78" s="20" t="s">
        <v>8954</v>
      </c>
      <c r="Q78" s="9">
        <v>2015.0</v>
      </c>
    </row>
    <row r="79">
      <c r="A79" s="13"/>
      <c r="B79" s="6" t="s">
        <v>1472</v>
      </c>
      <c r="C79" s="6" t="s">
        <v>1473</v>
      </c>
      <c r="D79" s="9" t="s">
        <v>1446</v>
      </c>
      <c r="E79" s="6" t="s">
        <v>1448</v>
      </c>
      <c r="F79" s="65">
        <v>78.0</v>
      </c>
      <c r="M79" s="52" t="s">
        <v>8953</v>
      </c>
      <c r="N79" s="9"/>
      <c r="O79" s="9" t="s">
        <v>8936</v>
      </c>
      <c r="P79" s="20" t="s">
        <v>8955</v>
      </c>
      <c r="Q79" s="9">
        <v>2015.0</v>
      </c>
    </row>
    <row r="80">
      <c r="A80" s="13"/>
      <c r="B80" s="6" t="s">
        <v>342</v>
      </c>
      <c r="C80" s="6" t="s">
        <v>8830</v>
      </c>
      <c r="D80" s="9" t="s">
        <v>1446</v>
      </c>
      <c r="E80" s="6" t="s">
        <v>1448</v>
      </c>
      <c r="F80" s="65">
        <v>79.0</v>
      </c>
      <c r="L80" s="9" t="s">
        <v>1345</v>
      </c>
      <c r="M80" s="52" t="s">
        <v>8956</v>
      </c>
      <c r="N80" s="9">
        <v>3.0</v>
      </c>
      <c r="O80" s="9" t="s">
        <v>8936</v>
      </c>
      <c r="P80" s="20" t="s">
        <v>8957</v>
      </c>
      <c r="Q80" s="9">
        <v>2015.0</v>
      </c>
    </row>
    <row r="81">
      <c r="A81" s="13"/>
      <c r="B81" s="6" t="s">
        <v>342</v>
      </c>
      <c r="C81" s="6" t="s">
        <v>8879</v>
      </c>
      <c r="D81" s="9" t="s">
        <v>1446</v>
      </c>
      <c r="E81" s="6" t="s">
        <v>1448</v>
      </c>
      <c r="F81" s="65">
        <v>80.0</v>
      </c>
      <c r="L81" s="9" t="s">
        <v>1345</v>
      </c>
      <c r="M81" s="52" t="s">
        <v>8956</v>
      </c>
      <c r="N81" s="9">
        <v>3.0</v>
      </c>
      <c r="O81" s="9" t="s">
        <v>8936</v>
      </c>
      <c r="P81" s="20" t="s">
        <v>8958</v>
      </c>
      <c r="Q81" s="9">
        <v>2015.0</v>
      </c>
    </row>
    <row r="82">
      <c r="A82" s="13"/>
      <c r="B82" s="6" t="s">
        <v>1417</v>
      </c>
      <c r="C82" s="6" t="s">
        <v>1424</v>
      </c>
      <c r="D82" s="9" t="s">
        <v>1446</v>
      </c>
      <c r="E82" s="6" t="s">
        <v>1463</v>
      </c>
      <c r="F82" s="65">
        <v>81.0</v>
      </c>
      <c r="G82" s="9" t="s">
        <v>8831</v>
      </c>
      <c r="L82" s="9" t="s">
        <v>8709</v>
      </c>
      <c r="M82" s="52" t="s">
        <v>8959</v>
      </c>
      <c r="N82" s="9">
        <v>3.0</v>
      </c>
      <c r="O82" s="9" t="s">
        <v>8936</v>
      </c>
      <c r="P82" s="20" t="s">
        <v>8960</v>
      </c>
      <c r="Q82" s="9">
        <v>2015.0</v>
      </c>
    </row>
    <row r="83">
      <c r="A83" s="6" t="s">
        <v>8961</v>
      </c>
      <c r="B83" s="6" t="s">
        <v>1446</v>
      </c>
      <c r="C83" s="6" t="s">
        <v>1463</v>
      </c>
      <c r="D83" s="9" t="s">
        <v>1417</v>
      </c>
      <c r="E83" s="6" t="s">
        <v>1424</v>
      </c>
      <c r="F83" s="65">
        <v>82.0</v>
      </c>
      <c r="G83" s="9" t="s">
        <v>8831</v>
      </c>
      <c r="L83" s="9" t="s">
        <v>8709</v>
      </c>
      <c r="M83" s="52" t="s">
        <v>8962</v>
      </c>
      <c r="N83" s="9">
        <v>3.0</v>
      </c>
      <c r="O83" s="9" t="s">
        <v>8936</v>
      </c>
      <c r="P83" s="20" t="s">
        <v>8963</v>
      </c>
      <c r="Q83" s="9">
        <v>2015.0</v>
      </c>
    </row>
    <row r="84">
      <c r="A84" s="13"/>
      <c r="B84" s="6" t="s">
        <v>1417</v>
      </c>
      <c r="C84" s="6" t="s">
        <v>1424</v>
      </c>
      <c r="D84" s="9" t="s">
        <v>1446</v>
      </c>
      <c r="E84" s="6" t="s">
        <v>1457</v>
      </c>
      <c r="F84" s="65">
        <v>83.0</v>
      </c>
      <c r="L84" s="9" t="s">
        <v>8709</v>
      </c>
      <c r="M84" s="52" t="s">
        <v>8959</v>
      </c>
      <c r="N84" s="9">
        <v>3.0</v>
      </c>
      <c r="O84" s="9" t="s">
        <v>8936</v>
      </c>
      <c r="P84" s="20" t="s">
        <v>8964</v>
      </c>
      <c r="Q84" s="9">
        <v>2015.0</v>
      </c>
    </row>
    <row r="85">
      <c r="A85" s="13"/>
      <c r="B85" s="6" t="s">
        <v>1446</v>
      </c>
      <c r="C85" s="6" t="s">
        <v>1457</v>
      </c>
      <c r="D85" s="9" t="s">
        <v>1417</v>
      </c>
      <c r="E85" s="6" t="s">
        <v>1424</v>
      </c>
      <c r="F85" s="65">
        <v>84.0</v>
      </c>
      <c r="L85" s="9" t="s">
        <v>8709</v>
      </c>
      <c r="M85" s="52" t="s">
        <v>8965</v>
      </c>
      <c r="N85" s="9">
        <v>3.0</v>
      </c>
      <c r="O85" s="9" t="s">
        <v>8936</v>
      </c>
      <c r="P85" s="20" t="s">
        <v>8966</v>
      </c>
      <c r="Q85" s="9">
        <v>2015.0</v>
      </c>
    </row>
    <row r="86">
      <c r="A86" s="13"/>
      <c r="B86" s="6" t="s">
        <v>1446</v>
      </c>
      <c r="C86" s="6" t="s">
        <v>1463</v>
      </c>
      <c r="D86" s="9" t="s">
        <v>1446</v>
      </c>
      <c r="E86" s="6" t="s">
        <v>1457</v>
      </c>
      <c r="F86" s="65">
        <v>85.0</v>
      </c>
      <c r="M86" s="52" t="s">
        <v>8959</v>
      </c>
      <c r="N86" s="9">
        <v>3.0</v>
      </c>
      <c r="O86" s="9" t="s">
        <v>8936</v>
      </c>
      <c r="P86" s="20" t="s">
        <v>8967</v>
      </c>
      <c r="Q86" s="9">
        <v>2015.0</v>
      </c>
    </row>
    <row r="87">
      <c r="A87" s="13"/>
      <c r="B87" s="6" t="s">
        <v>1472</v>
      </c>
      <c r="C87" s="6" t="s">
        <v>1473</v>
      </c>
      <c r="D87" s="9" t="s">
        <v>1446</v>
      </c>
      <c r="E87" s="6" t="s">
        <v>8968</v>
      </c>
      <c r="F87" s="65">
        <v>86.0</v>
      </c>
      <c r="M87" s="52" t="s">
        <v>8969</v>
      </c>
      <c r="N87" s="9">
        <v>3.0</v>
      </c>
      <c r="O87" s="9" t="s">
        <v>8936</v>
      </c>
      <c r="P87" s="20" t="s">
        <v>8970</v>
      </c>
      <c r="Q87" s="9">
        <v>2015.0</v>
      </c>
    </row>
    <row r="88">
      <c r="A88" s="13"/>
      <c r="B88" s="6" t="s">
        <v>342</v>
      </c>
      <c r="C88" s="6" t="s">
        <v>8830</v>
      </c>
      <c r="D88" s="9" t="s">
        <v>1446</v>
      </c>
      <c r="E88" s="6" t="s">
        <v>1459</v>
      </c>
      <c r="F88" s="65">
        <v>87.0</v>
      </c>
      <c r="L88" s="9" t="s">
        <v>8709</v>
      </c>
      <c r="M88" s="52" t="s">
        <v>8956</v>
      </c>
      <c r="N88" s="9">
        <v>3.0</v>
      </c>
      <c r="O88" s="9" t="s">
        <v>8936</v>
      </c>
      <c r="P88" s="20" t="s">
        <v>8971</v>
      </c>
      <c r="Q88" s="9">
        <v>2015.0</v>
      </c>
    </row>
    <row r="89">
      <c r="A89" s="13"/>
      <c r="B89" s="6" t="s">
        <v>342</v>
      </c>
      <c r="C89" s="6" t="s">
        <v>8879</v>
      </c>
      <c r="D89" s="9" t="s">
        <v>1446</v>
      </c>
      <c r="E89" s="6" t="s">
        <v>1461</v>
      </c>
      <c r="F89" s="65">
        <v>88.0</v>
      </c>
      <c r="L89" s="9" t="s">
        <v>8709</v>
      </c>
      <c r="M89" s="52" t="s">
        <v>8956</v>
      </c>
      <c r="N89" s="9">
        <v>3.0</v>
      </c>
      <c r="O89" s="9" t="s">
        <v>8936</v>
      </c>
      <c r="P89" s="20" t="s">
        <v>8972</v>
      </c>
      <c r="Q89" s="9">
        <v>2015.0</v>
      </c>
    </row>
    <row r="90">
      <c r="A90" s="13"/>
      <c r="B90" s="6" t="s">
        <v>342</v>
      </c>
      <c r="C90" s="6" t="s">
        <v>8830</v>
      </c>
      <c r="D90" s="9" t="s">
        <v>1446</v>
      </c>
      <c r="E90" s="6" t="s">
        <v>1466</v>
      </c>
      <c r="F90" s="65">
        <v>89.0</v>
      </c>
      <c r="L90" s="9" t="s">
        <v>8709</v>
      </c>
      <c r="M90" s="52" t="s">
        <v>8956</v>
      </c>
      <c r="N90" s="9">
        <v>3.0</v>
      </c>
      <c r="O90" s="9" t="s">
        <v>8936</v>
      </c>
      <c r="P90" s="20" t="s">
        <v>8973</v>
      </c>
      <c r="Q90" s="9">
        <v>2015.0</v>
      </c>
    </row>
    <row r="91">
      <c r="A91" s="13"/>
      <c r="B91" s="6" t="s">
        <v>342</v>
      </c>
      <c r="C91" s="6" t="s">
        <v>8879</v>
      </c>
      <c r="D91" s="9" t="s">
        <v>1446</v>
      </c>
      <c r="E91" s="6" t="s">
        <v>1468</v>
      </c>
      <c r="F91" s="65">
        <v>90.0</v>
      </c>
      <c r="L91" s="9" t="s">
        <v>8709</v>
      </c>
      <c r="M91" s="52" t="s">
        <v>8956</v>
      </c>
      <c r="N91" s="9">
        <v>3.0</v>
      </c>
      <c r="O91" s="9" t="s">
        <v>8936</v>
      </c>
      <c r="P91" s="20" t="s">
        <v>8974</v>
      </c>
      <c r="Q91" s="9">
        <v>2015.0</v>
      </c>
    </row>
    <row r="92">
      <c r="A92" s="6" t="s">
        <v>8975</v>
      </c>
      <c r="B92" s="6" t="s">
        <v>1417</v>
      </c>
      <c r="C92" s="6" t="s">
        <v>1424</v>
      </c>
      <c r="D92" s="9" t="s">
        <v>1446</v>
      </c>
      <c r="E92" s="6" t="s">
        <v>1455</v>
      </c>
      <c r="F92" s="65">
        <v>91.0</v>
      </c>
      <c r="G92" s="9" t="s">
        <v>8976</v>
      </c>
      <c r="L92" s="9" t="s">
        <v>8709</v>
      </c>
      <c r="M92" s="72"/>
      <c r="N92" s="9">
        <v>3.0</v>
      </c>
      <c r="O92" s="9" t="s">
        <v>8936</v>
      </c>
      <c r="P92" s="20" t="s">
        <v>8977</v>
      </c>
      <c r="Q92" s="9">
        <v>2015.0</v>
      </c>
    </row>
    <row r="93">
      <c r="A93" s="6" t="s">
        <v>8975</v>
      </c>
      <c r="B93" s="6" t="s">
        <v>1446</v>
      </c>
      <c r="C93" s="6" t="s">
        <v>1455</v>
      </c>
      <c r="D93" s="9" t="s">
        <v>1417</v>
      </c>
      <c r="E93" s="6" t="s">
        <v>1424</v>
      </c>
      <c r="F93" s="65">
        <v>92.0</v>
      </c>
      <c r="G93" s="9" t="s">
        <v>8976</v>
      </c>
      <c r="L93" s="9" t="s">
        <v>8709</v>
      </c>
      <c r="M93" s="72"/>
      <c r="N93" s="9">
        <v>3.0</v>
      </c>
      <c r="O93" s="9" t="s">
        <v>8936</v>
      </c>
      <c r="P93" s="20" t="s">
        <v>8978</v>
      </c>
      <c r="Q93" s="9">
        <v>2015.0</v>
      </c>
    </row>
    <row r="94">
      <c r="A94" s="13"/>
      <c r="B94" s="6" t="s">
        <v>1446</v>
      </c>
      <c r="C94" s="6" t="s">
        <v>8232</v>
      </c>
      <c r="D94" s="9" t="s">
        <v>1417</v>
      </c>
      <c r="E94" s="6" t="s">
        <v>1424</v>
      </c>
      <c r="F94" s="65">
        <v>93.0</v>
      </c>
      <c r="L94" s="9" t="s">
        <v>8709</v>
      </c>
      <c r="M94" s="52" t="s">
        <v>8979</v>
      </c>
      <c r="N94" s="9">
        <v>3.0</v>
      </c>
      <c r="O94" s="9" t="s">
        <v>8936</v>
      </c>
      <c r="P94" s="20" t="s">
        <v>8980</v>
      </c>
      <c r="Q94" s="9">
        <v>2015.0</v>
      </c>
    </row>
    <row r="95">
      <c r="A95" s="6" t="s">
        <v>8981</v>
      </c>
      <c r="B95" s="6" t="s">
        <v>1303</v>
      </c>
      <c r="C95" s="6" t="s">
        <v>1311</v>
      </c>
      <c r="D95" s="9" t="s">
        <v>1446</v>
      </c>
      <c r="E95" s="6" t="s">
        <v>1457</v>
      </c>
      <c r="F95" s="65">
        <v>94.0</v>
      </c>
      <c r="L95" s="9" t="s">
        <v>1345</v>
      </c>
      <c r="M95" s="52" t="s">
        <v>8982</v>
      </c>
      <c r="N95" s="9">
        <v>2.0</v>
      </c>
      <c r="O95" s="9" t="s">
        <v>8936</v>
      </c>
      <c r="P95" s="20" t="s">
        <v>8983</v>
      </c>
      <c r="Q95" s="9">
        <v>2015.0</v>
      </c>
    </row>
    <row r="96">
      <c r="A96" s="6" t="s">
        <v>8984</v>
      </c>
      <c r="B96" s="6" t="s">
        <v>1303</v>
      </c>
      <c r="C96" s="6" t="s">
        <v>1311</v>
      </c>
      <c r="D96" s="9" t="s">
        <v>1446</v>
      </c>
      <c r="E96" s="6" t="s">
        <v>1455</v>
      </c>
      <c r="F96" s="65">
        <v>95.0</v>
      </c>
      <c r="L96" s="9" t="s">
        <v>1345</v>
      </c>
      <c r="M96" s="52" t="s">
        <v>8982</v>
      </c>
      <c r="N96" s="9">
        <v>2.0</v>
      </c>
      <c r="O96" s="9" t="s">
        <v>8936</v>
      </c>
      <c r="P96" s="20" t="s">
        <v>8985</v>
      </c>
      <c r="Q96" s="9">
        <v>2015.0</v>
      </c>
    </row>
    <row r="97">
      <c r="A97" s="6" t="s">
        <v>8984</v>
      </c>
      <c r="B97" s="6" t="s">
        <v>1303</v>
      </c>
      <c r="C97" s="6" t="s">
        <v>1311</v>
      </c>
      <c r="D97" s="9" t="s">
        <v>1446</v>
      </c>
      <c r="E97" s="6" t="s">
        <v>1470</v>
      </c>
      <c r="F97" s="65">
        <v>96.0</v>
      </c>
      <c r="L97" s="9" t="s">
        <v>1345</v>
      </c>
      <c r="M97" s="52" t="s">
        <v>8982</v>
      </c>
      <c r="N97" s="9">
        <v>2.0</v>
      </c>
      <c r="O97" s="9" t="s">
        <v>8936</v>
      </c>
      <c r="P97" s="20" t="s">
        <v>8986</v>
      </c>
      <c r="Q97" s="9">
        <v>2015.0</v>
      </c>
    </row>
    <row r="98">
      <c r="A98" s="6" t="s">
        <v>8987</v>
      </c>
      <c r="B98" s="6" t="s">
        <v>1303</v>
      </c>
      <c r="C98" s="6" t="s">
        <v>1311</v>
      </c>
      <c r="D98" s="9" t="s">
        <v>1446</v>
      </c>
      <c r="E98" s="6" t="s">
        <v>1470</v>
      </c>
      <c r="F98" s="65">
        <v>97.0</v>
      </c>
      <c r="L98" s="9" t="s">
        <v>1345</v>
      </c>
      <c r="M98" s="52" t="s">
        <v>8988</v>
      </c>
      <c r="N98" s="9">
        <v>2.0</v>
      </c>
      <c r="O98" s="9" t="s">
        <v>8936</v>
      </c>
      <c r="P98" s="20" t="s">
        <v>8989</v>
      </c>
      <c r="Q98" s="9">
        <v>2015.0</v>
      </c>
    </row>
    <row r="99">
      <c r="A99" s="13"/>
      <c r="B99" s="6" t="s">
        <v>8990</v>
      </c>
      <c r="C99" s="6" t="s">
        <v>736</v>
      </c>
      <c r="D99" s="9" t="s">
        <v>1586</v>
      </c>
      <c r="E99" s="6" t="s">
        <v>8991</v>
      </c>
      <c r="F99" s="65">
        <v>98.0</v>
      </c>
      <c r="L99" s="9" t="s">
        <v>738</v>
      </c>
      <c r="M99" s="52" t="s">
        <v>8992</v>
      </c>
      <c r="N99" s="9"/>
      <c r="O99" s="9" t="s">
        <v>8993</v>
      </c>
      <c r="P99" s="20" t="s">
        <v>8994</v>
      </c>
      <c r="Q99" s="9">
        <v>2018.0</v>
      </c>
      <c r="S99" s="9" t="s">
        <v>8995</v>
      </c>
    </row>
    <row r="100">
      <c r="A100" s="13"/>
      <c r="B100" s="6" t="s">
        <v>1586</v>
      </c>
      <c r="C100" s="6" t="s">
        <v>8991</v>
      </c>
      <c r="D100" s="9" t="s">
        <v>1090</v>
      </c>
      <c r="E100" s="6" t="s">
        <v>1097</v>
      </c>
      <c r="F100" s="65">
        <v>99.0</v>
      </c>
      <c r="L100" s="9" t="s">
        <v>738</v>
      </c>
      <c r="M100" s="52" t="s">
        <v>8996</v>
      </c>
      <c r="N100" s="9"/>
      <c r="O100" s="9" t="s">
        <v>8997</v>
      </c>
      <c r="P100" s="20" t="s">
        <v>8998</v>
      </c>
      <c r="Q100" s="9">
        <v>2018.0</v>
      </c>
    </row>
    <row r="101">
      <c r="A101" s="13"/>
      <c r="B101" s="6" t="s">
        <v>1303</v>
      </c>
      <c r="C101" s="6" t="s">
        <v>1311</v>
      </c>
      <c r="D101" s="6" t="s">
        <v>1446</v>
      </c>
      <c r="E101" s="6" t="s">
        <v>1611</v>
      </c>
      <c r="F101" s="65">
        <v>100.0</v>
      </c>
      <c r="L101" s="9" t="s">
        <v>1345</v>
      </c>
      <c r="M101" s="52" t="s">
        <v>8999</v>
      </c>
      <c r="N101" s="9">
        <v>1.0</v>
      </c>
      <c r="O101" s="420" t="s">
        <v>9000</v>
      </c>
      <c r="P101" s="32" t="s">
        <v>244</v>
      </c>
      <c r="Q101" s="9">
        <v>2014.0</v>
      </c>
      <c r="S101" s="9" t="s">
        <v>9001</v>
      </c>
    </row>
    <row r="102">
      <c r="A102" s="13"/>
      <c r="B102" s="6" t="s">
        <v>1303</v>
      </c>
      <c r="C102" s="6" t="s">
        <v>1311</v>
      </c>
      <c r="D102" s="16" t="s">
        <v>241</v>
      </c>
      <c r="E102" s="6" t="s">
        <v>258</v>
      </c>
      <c r="F102" s="65">
        <v>101.0</v>
      </c>
      <c r="L102" s="9" t="s">
        <v>1345</v>
      </c>
      <c r="M102" s="52" t="s">
        <v>8999</v>
      </c>
      <c r="N102" s="9">
        <v>1.0</v>
      </c>
      <c r="O102" s="420" t="s">
        <v>9000</v>
      </c>
      <c r="P102" s="32" t="s">
        <v>244</v>
      </c>
      <c r="Q102" s="9">
        <v>2014.0</v>
      </c>
      <c r="S102" s="9" t="s">
        <v>9002</v>
      </c>
    </row>
    <row r="103">
      <c r="A103" s="13"/>
      <c r="B103" s="6" t="s">
        <v>1303</v>
      </c>
      <c r="C103" s="6" t="s">
        <v>1311</v>
      </c>
      <c r="D103" s="16" t="s">
        <v>241</v>
      </c>
      <c r="E103" s="6" t="s">
        <v>9003</v>
      </c>
      <c r="F103" s="65">
        <v>102.0</v>
      </c>
      <c r="L103" s="9" t="s">
        <v>1345</v>
      </c>
      <c r="M103" s="52" t="s">
        <v>8999</v>
      </c>
      <c r="N103" s="9">
        <v>1.0</v>
      </c>
      <c r="O103" s="420" t="s">
        <v>9000</v>
      </c>
      <c r="P103" s="32" t="s">
        <v>244</v>
      </c>
      <c r="Q103" s="9">
        <v>2014.0</v>
      </c>
      <c r="S103" s="9" t="s">
        <v>9004</v>
      </c>
    </row>
    <row r="104">
      <c r="A104" s="13"/>
      <c r="B104" s="6" t="s">
        <v>1303</v>
      </c>
      <c r="C104" s="6" t="s">
        <v>1311</v>
      </c>
      <c r="D104" s="16" t="s">
        <v>241</v>
      </c>
      <c r="E104" s="6" t="s">
        <v>9005</v>
      </c>
      <c r="F104" s="65">
        <v>103.0</v>
      </c>
      <c r="L104" s="9" t="s">
        <v>1345</v>
      </c>
      <c r="M104" s="52" t="s">
        <v>8999</v>
      </c>
      <c r="N104" s="9">
        <v>1.0</v>
      </c>
      <c r="O104" s="420" t="s">
        <v>9000</v>
      </c>
      <c r="P104" s="32" t="s">
        <v>244</v>
      </c>
      <c r="Q104" s="9">
        <v>2014.0</v>
      </c>
      <c r="S104" s="9" t="s">
        <v>9006</v>
      </c>
    </row>
    <row r="105">
      <c r="A105" s="13"/>
      <c r="B105" s="6" t="s">
        <v>1303</v>
      </c>
      <c r="C105" s="6" t="s">
        <v>1311</v>
      </c>
      <c r="D105" s="6" t="s">
        <v>1417</v>
      </c>
      <c r="E105" s="6" t="s">
        <v>9007</v>
      </c>
      <c r="F105" s="65">
        <v>104.0</v>
      </c>
      <c r="L105" s="9" t="s">
        <v>1345</v>
      </c>
      <c r="M105" s="52" t="s">
        <v>9008</v>
      </c>
      <c r="N105" s="9">
        <v>2.0</v>
      </c>
      <c r="O105" s="420" t="s">
        <v>9000</v>
      </c>
      <c r="P105" s="32" t="s">
        <v>244</v>
      </c>
      <c r="Q105" s="9">
        <v>2014.0</v>
      </c>
      <c r="S105" s="9" t="s">
        <v>9009</v>
      </c>
    </row>
    <row r="106">
      <c r="A106" s="13"/>
      <c r="B106" s="6" t="s">
        <v>1303</v>
      </c>
      <c r="C106" s="6" t="s">
        <v>1311</v>
      </c>
      <c r="D106" s="9" t="s">
        <v>1610</v>
      </c>
      <c r="E106" s="6" t="s">
        <v>9010</v>
      </c>
      <c r="F106" s="65">
        <v>105.0</v>
      </c>
      <c r="L106" s="9" t="s">
        <v>1345</v>
      </c>
      <c r="M106" s="52" t="s">
        <v>9008</v>
      </c>
      <c r="N106" s="9">
        <v>2.0</v>
      </c>
      <c r="O106" s="420" t="s">
        <v>9000</v>
      </c>
      <c r="P106" s="32" t="s">
        <v>244</v>
      </c>
      <c r="Q106" s="9">
        <v>2014.0</v>
      </c>
      <c r="S106" s="9" t="s">
        <v>9011</v>
      </c>
    </row>
    <row r="107">
      <c r="A107" s="13"/>
      <c r="B107" s="6" t="s">
        <v>1472</v>
      </c>
      <c r="C107" s="6" t="s">
        <v>1474</v>
      </c>
      <c r="D107" s="9" t="s">
        <v>1610</v>
      </c>
      <c r="E107" s="6" t="s">
        <v>9012</v>
      </c>
      <c r="F107" s="65">
        <v>106.0</v>
      </c>
      <c r="L107" s="9" t="s">
        <v>9013</v>
      </c>
      <c r="M107" s="52" t="s">
        <v>9014</v>
      </c>
      <c r="N107" s="9"/>
      <c r="O107" s="420" t="s">
        <v>9000</v>
      </c>
      <c r="P107" s="32" t="s">
        <v>244</v>
      </c>
      <c r="Q107" s="9">
        <v>2014.0</v>
      </c>
      <c r="S107" s="9" t="s">
        <v>9015</v>
      </c>
    </row>
    <row r="108">
      <c r="A108" s="13"/>
      <c r="B108" s="6" t="s">
        <v>1472</v>
      </c>
      <c r="C108" s="6" t="s">
        <v>1474</v>
      </c>
      <c r="D108" s="16" t="s">
        <v>241</v>
      </c>
      <c r="E108" s="16" t="s">
        <v>9016</v>
      </c>
      <c r="F108" s="65">
        <v>107.0</v>
      </c>
      <c r="L108" s="9" t="s">
        <v>9013</v>
      </c>
      <c r="M108" s="52" t="s">
        <v>9017</v>
      </c>
      <c r="N108" s="9"/>
      <c r="O108" s="420" t="s">
        <v>9000</v>
      </c>
      <c r="P108" s="32" t="s">
        <v>244</v>
      </c>
      <c r="Q108" s="9">
        <v>2014.0</v>
      </c>
      <c r="S108" s="9" t="s">
        <v>9018</v>
      </c>
    </row>
    <row r="109">
      <c r="A109" s="13"/>
      <c r="B109" s="6" t="s">
        <v>1472</v>
      </c>
      <c r="C109" s="6" t="s">
        <v>1474</v>
      </c>
      <c r="D109" s="16" t="s">
        <v>568</v>
      </c>
      <c r="E109" s="6" t="s">
        <v>9019</v>
      </c>
      <c r="F109" s="65">
        <v>108.0</v>
      </c>
      <c r="L109" s="9" t="s">
        <v>9013</v>
      </c>
      <c r="M109" s="52" t="s">
        <v>9017</v>
      </c>
      <c r="N109" s="9"/>
      <c r="O109" s="420" t="s">
        <v>9000</v>
      </c>
      <c r="P109" s="32" t="s">
        <v>244</v>
      </c>
      <c r="Q109" s="9">
        <v>2014.0</v>
      </c>
      <c r="S109" s="9" t="s">
        <v>9020</v>
      </c>
    </row>
    <row r="110">
      <c r="A110" s="13"/>
      <c r="B110" s="6" t="s">
        <v>342</v>
      </c>
      <c r="C110" s="6" t="s">
        <v>8830</v>
      </c>
      <c r="D110" s="16" t="s">
        <v>8901</v>
      </c>
      <c r="E110" s="6" t="s">
        <v>9021</v>
      </c>
      <c r="F110" s="65">
        <v>109.0</v>
      </c>
      <c r="L110" s="9" t="s">
        <v>8709</v>
      </c>
      <c r="M110" s="52" t="s">
        <v>9022</v>
      </c>
      <c r="N110" s="9">
        <v>2.0</v>
      </c>
      <c r="O110" s="420" t="s">
        <v>9000</v>
      </c>
      <c r="P110" s="32" t="s">
        <v>244</v>
      </c>
      <c r="Q110" s="9">
        <v>2014.0</v>
      </c>
      <c r="S110" s="9" t="s">
        <v>9023</v>
      </c>
    </row>
    <row r="111">
      <c r="A111" s="13"/>
      <c r="B111" s="6" t="s">
        <v>342</v>
      </c>
      <c r="C111" s="6" t="s">
        <v>8830</v>
      </c>
      <c r="D111" s="16" t="s">
        <v>568</v>
      </c>
      <c r="E111" s="6" t="s">
        <v>9019</v>
      </c>
      <c r="F111" s="65">
        <v>110.0</v>
      </c>
      <c r="L111" s="9" t="s">
        <v>8709</v>
      </c>
      <c r="M111" s="52" t="s">
        <v>9022</v>
      </c>
      <c r="N111" s="9">
        <v>2.0</v>
      </c>
      <c r="O111" s="420" t="s">
        <v>9000</v>
      </c>
      <c r="P111" s="32" t="s">
        <v>244</v>
      </c>
      <c r="Q111" s="9">
        <v>2014.0</v>
      </c>
      <c r="S111" s="9" t="s">
        <v>9024</v>
      </c>
    </row>
    <row r="112">
      <c r="A112" s="13"/>
      <c r="B112" s="6" t="s">
        <v>1303</v>
      </c>
      <c r="C112" s="6" t="s">
        <v>1385</v>
      </c>
      <c r="D112" s="16" t="s">
        <v>76</v>
      </c>
      <c r="E112" s="6" t="s">
        <v>77</v>
      </c>
      <c r="F112" s="65">
        <v>111.0</v>
      </c>
      <c r="L112" s="9" t="s">
        <v>1345</v>
      </c>
      <c r="M112" s="52" t="s">
        <v>9014</v>
      </c>
      <c r="N112" s="9"/>
      <c r="O112" s="420" t="s">
        <v>9025</v>
      </c>
      <c r="P112" s="32" t="s">
        <v>79</v>
      </c>
      <c r="Q112" s="9">
        <v>2018.0</v>
      </c>
    </row>
    <row r="113">
      <c r="A113" s="13"/>
      <c r="B113" s="6" t="s">
        <v>1303</v>
      </c>
      <c r="C113" s="6" t="s">
        <v>1385</v>
      </c>
      <c r="D113" s="16" t="s">
        <v>76</v>
      </c>
      <c r="E113" s="6" t="s">
        <v>104</v>
      </c>
      <c r="F113" s="65">
        <v>112.0</v>
      </c>
      <c r="L113" s="9" t="s">
        <v>1345</v>
      </c>
      <c r="M113" s="52" t="s">
        <v>9026</v>
      </c>
      <c r="N113" s="9">
        <v>3.0</v>
      </c>
      <c r="O113" s="420" t="s">
        <v>9025</v>
      </c>
      <c r="P113" s="32" t="s">
        <v>79</v>
      </c>
      <c r="Q113" s="9">
        <v>2018.0</v>
      </c>
    </row>
    <row r="114">
      <c r="A114" s="13"/>
      <c r="B114" s="6" t="s">
        <v>1303</v>
      </c>
      <c r="C114" s="6" t="s">
        <v>1385</v>
      </c>
      <c r="D114" s="16" t="s">
        <v>76</v>
      </c>
      <c r="E114" s="6" t="s">
        <v>104</v>
      </c>
      <c r="F114" s="65">
        <v>113.0</v>
      </c>
      <c r="L114" s="9" t="s">
        <v>1345</v>
      </c>
      <c r="M114" s="52" t="s">
        <v>9014</v>
      </c>
      <c r="N114" s="9"/>
      <c r="O114" s="420" t="s">
        <v>9025</v>
      </c>
      <c r="P114" s="32" t="s">
        <v>79</v>
      </c>
      <c r="Q114" s="9">
        <v>2018.0</v>
      </c>
    </row>
    <row r="115">
      <c r="A115" s="13"/>
      <c r="B115" s="6" t="s">
        <v>1303</v>
      </c>
      <c r="C115" s="6" t="s">
        <v>1385</v>
      </c>
      <c r="D115" s="16" t="s">
        <v>76</v>
      </c>
      <c r="E115" s="6" t="s">
        <v>77</v>
      </c>
      <c r="F115" s="65">
        <v>114.0</v>
      </c>
      <c r="L115" s="9" t="s">
        <v>1345</v>
      </c>
      <c r="M115" s="52" t="s">
        <v>9026</v>
      </c>
      <c r="N115" s="9">
        <v>3.0</v>
      </c>
      <c r="O115" s="420" t="s">
        <v>9025</v>
      </c>
      <c r="P115" s="32" t="s">
        <v>79</v>
      </c>
      <c r="Q115" s="9">
        <v>2018.0</v>
      </c>
    </row>
    <row r="116">
      <c r="A116" s="13"/>
      <c r="B116" s="6" t="s">
        <v>1303</v>
      </c>
      <c r="C116" s="6" t="s">
        <v>1385</v>
      </c>
      <c r="D116" s="16" t="s">
        <v>76</v>
      </c>
      <c r="E116" s="6" t="s">
        <v>106</v>
      </c>
      <c r="F116" s="65">
        <v>115.0</v>
      </c>
      <c r="L116" s="9" t="s">
        <v>1345</v>
      </c>
      <c r="M116" s="52" t="s">
        <v>9027</v>
      </c>
      <c r="N116" s="9">
        <v>2.0</v>
      </c>
      <c r="O116" s="420" t="s">
        <v>9025</v>
      </c>
      <c r="P116" s="32" t="s">
        <v>79</v>
      </c>
      <c r="Q116" s="9">
        <v>2018.0</v>
      </c>
    </row>
    <row r="117">
      <c r="A117" s="13"/>
      <c r="B117" s="6" t="s">
        <v>1594</v>
      </c>
      <c r="C117" s="6" t="s">
        <v>1605</v>
      </c>
      <c r="D117" s="35" t="s">
        <v>9028</v>
      </c>
      <c r="E117" s="34" t="s">
        <v>471</v>
      </c>
      <c r="F117" s="65">
        <v>116.0</v>
      </c>
      <c r="L117" s="9" t="s">
        <v>9029</v>
      </c>
      <c r="M117" s="52" t="s">
        <v>9030</v>
      </c>
      <c r="N117" s="9">
        <v>2.0</v>
      </c>
      <c r="O117" s="420" t="s">
        <v>9031</v>
      </c>
      <c r="P117" s="32" t="s">
        <v>1490</v>
      </c>
      <c r="Q117" s="9">
        <v>2016.0</v>
      </c>
    </row>
    <row r="118">
      <c r="A118" s="13"/>
      <c r="B118" s="6" t="s">
        <v>1303</v>
      </c>
      <c r="C118" s="6" t="s">
        <v>1311</v>
      </c>
      <c r="D118" s="16" t="s">
        <v>76</v>
      </c>
      <c r="E118" s="6" t="s">
        <v>9032</v>
      </c>
      <c r="F118" s="65">
        <v>117.0</v>
      </c>
      <c r="L118" s="9" t="s">
        <v>1345</v>
      </c>
      <c r="M118" s="52" t="s">
        <v>9033</v>
      </c>
      <c r="N118" s="9">
        <v>1.0</v>
      </c>
      <c r="O118" s="420" t="s">
        <v>9031</v>
      </c>
      <c r="P118" s="32" t="s">
        <v>1490</v>
      </c>
      <c r="Q118" s="9">
        <v>2016.0</v>
      </c>
    </row>
    <row r="119">
      <c r="A119" s="13"/>
      <c r="B119" s="6" t="s">
        <v>1594</v>
      </c>
      <c r="C119" s="6" t="s">
        <v>1605</v>
      </c>
      <c r="D119" s="16" t="s">
        <v>76</v>
      </c>
      <c r="E119" s="6" t="s">
        <v>9032</v>
      </c>
      <c r="F119" s="65">
        <v>118.0</v>
      </c>
      <c r="L119" s="9" t="s">
        <v>9029</v>
      </c>
      <c r="M119" s="52" t="s">
        <v>9034</v>
      </c>
      <c r="N119" s="9">
        <v>1.0</v>
      </c>
      <c r="O119" s="420" t="s">
        <v>9031</v>
      </c>
      <c r="P119" s="32" t="s">
        <v>1490</v>
      </c>
      <c r="Q119" s="9">
        <v>2016.0</v>
      </c>
    </row>
    <row r="120">
      <c r="A120" s="13"/>
      <c r="B120" s="6" t="s">
        <v>1472</v>
      </c>
      <c r="C120" s="6" t="s">
        <v>1487</v>
      </c>
      <c r="D120" s="9" t="s">
        <v>1417</v>
      </c>
      <c r="E120" s="6" t="s">
        <v>9035</v>
      </c>
      <c r="F120" s="65">
        <v>119.0</v>
      </c>
      <c r="L120" s="9" t="s">
        <v>9036</v>
      </c>
      <c r="M120" s="52" t="s">
        <v>9037</v>
      </c>
      <c r="N120" s="9">
        <v>0.5</v>
      </c>
      <c r="O120" s="420" t="s">
        <v>9031</v>
      </c>
      <c r="P120" s="32" t="s">
        <v>1490</v>
      </c>
      <c r="Q120" s="9">
        <v>2016.0</v>
      </c>
    </row>
    <row r="121">
      <c r="A121" s="13"/>
      <c r="B121" s="6" t="s">
        <v>1472</v>
      </c>
      <c r="C121" s="6" t="s">
        <v>1487</v>
      </c>
      <c r="D121" s="9" t="s">
        <v>1417</v>
      </c>
      <c r="E121" s="6" t="s">
        <v>9035</v>
      </c>
      <c r="F121" s="65">
        <v>120.0</v>
      </c>
      <c r="L121" s="9" t="s">
        <v>9036</v>
      </c>
      <c r="M121" s="52" t="s">
        <v>9038</v>
      </c>
      <c r="N121" s="9">
        <v>0.5</v>
      </c>
      <c r="O121" s="420" t="s">
        <v>9031</v>
      </c>
      <c r="P121" s="32" t="s">
        <v>1490</v>
      </c>
      <c r="Q121" s="9">
        <v>2016.0</v>
      </c>
    </row>
    <row r="122">
      <c r="A122" s="13"/>
      <c r="B122" s="6" t="s">
        <v>1472</v>
      </c>
      <c r="C122" s="6" t="s">
        <v>1487</v>
      </c>
      <c r="D122" s="9" t="s">
        <v>1417</v>
      </c>
      <c r="E122" s="6" t="s">
        <v>9035</v>
      </c>
      <c r="F122" s="65">
        <v>121.0</v>
      </c>
      <c r="L122" s="9" t="s">
        <v>9036</v>
      </c>
      <c r="M122" s="52" t="s">
        <v>9039</v>
      </c>
      <c r="N122" s="9">
        <v>0.5</v>
      </c>
      <c r="O122" s="420" t="s">
        <v>9031</v>
      </c>
      <c r="P122" s="32" t="s">
        <v>1490</v>
      </c>
      <c r="Q122" s="9">
        <v>2016.0</v>
      </c>
    </row>
    <row r="123">
      <c r="A123" s="13"/>
      <c r="B123" s="16" t="s">
        <v>109</v>
      </c>
      <c r="C123" s="6" t="s">
        <v>8728</v>
      </c>
      <c r="D123" s="9" t="s">
        <v>1610</v>
      </c>
      <c r="E123" s="6" t="s">
        <v>1624</v>
      </c>
      <c r="F123" s="65">
        <v>122.0</v>
      </c>
      <c r="L123" s="9" t="s">
        <v>129</v>
      </c>
      <c r="M123" s="52" t="s">
        <v>9040</v>
      </c>
      <c r="N123" s="9">
        <v>2.0</v>
      </c>
      <c r="O123" s="420" t="s">
        <v>9041</v>
      </c>
      <c r="P123" s="32" t="s">
        <v>330</v>
      </c>
      <c r="Q123" s="9">
        <v>2017.0</v>
      </c>
    </row>
    <row r="124">
      <c r="A124" s="13"/>
      <c r="B124" s="16" t="s">
        <v>109</v>
      </c>
      <c r="C124" s="6" t="s">
        <v>8728</v>
      </c>
      <c r="D124" s="9" t="s">
        <v>1610</v>
      </c>
      <c r="E124" s="6" t="s">
        <v>1622</v>
      </c>
      <c r="F124" s="65">
        <v>123.0</v>
      </c>
      <c r="L124" s="9" t="s">
        <v>129</v>
      </c>
      <c r="M124" s="52" t="s">
        <v>9040</v>
      </c>
      <c r="N124" s="9">
        <v>2.0</v>
      </c>
      <c r="O124" s="420" t="s">
        <v>9041</v>
      </c>
      <c r="P124" s="32" t="s">
        <v>330</v>
      </c>
      <c r="Q124" s="9">
        <v>2017.0</v>
      </c>
    </row>
    <row r="125">
      <c r="A125" s="13"/>
      <c r="B125" s="16" t="s">
        <v>109</v>
      </c>
      <c r="C125" s="6" t="s">
        <v>8728</v>
      </c>
      <c r="D125" s="9" t="s">
        <v>1610</v>
      </c>
      <c r="E125" s="6" t="s">
        <v>1626</v>
      </c>
      <c r="F125" s="65">
        <v>124.0</v>
      </c>
      <c r="L125" s="9" t="s">
        <v>129</v>
      </c>
      <c r="M125" s="52" t="s">
        <v>9040</v>
      </c>
      <c r="N125" s="9">
        <v>2.0</v>
      </c>
      <c r="O125" s="420" t="s">
        <v>9041</v>
      </c>
      <c r="P125" s="32" t="s">
        <v>330</v>
      </c>
      <c r="Q125" s="9">
        <v>2017.0</v>
      </c>
    </row>
    <row r="126">
      <c r="A126" s="13"/>
      <c r="B126" s="16" t="s">
        <v>109</v>
      </c>
      <c r="C126" s="6" t="s">
        <v>8728</v>
      </c>
      <c r="D126" s="16" t="s">
        <v>8901</v>
      </c>
      <c r="E126" s="6" t="s">
        <v>333</v>
      </c>
      <c r="F126" s="65">
        <v>125.0</v>
      </c>
      <c r="L126" s="9" t="s">
        <v>129</v>
      </c>
      <c r="M126" s="52" t="s">
        <v>9042</v>
      </c>
      <c r="N126" s="9">
        <v>2.0</v>
      </c>
      <c r="O126" s="420" t="s">
        <v>9041</v>
      </c>
      <c r="P126" s="32" t="s">
        <v>330</v>
      </c>
      <c r="Q126" s="9">
        <v>2017.0</v>
      </c>
    </row>
    <row r="127">
      <c r="A127" s="13"/>
      <c r="B127" s="16" t="s">
        <v>109</v>
      </c>
      <c r="C127" s="6" t="s">
        <v>8728</v>
      </c>
      <c r="D127" s="16" t="s">
        <v>8901</v>
      </c>
      <c r="E127" s="6" t="s">
        <v>331</v>
      </c>
      <c r="F127" s="65">
        <v>126.0</v>
      </c>
      <c r="L127" s="9" t="s">
        <v>129</v>
      </c>
      <c r="M127" s="52" t="s">
        <v>9042</v>
      </c>
      <c r="N127" s="9">
        <v>2.0</v>
      </c>
      <c r="O127" s="420" t="s">
        <v>9041</v>
      </c>
      <c r="P127" s="32" t="s">
        <v>330</v>
      </c>
      <c r="Q127" s="9">
        <v>2017.0</v>
      </c>
    </row>
    <row r="128">
      <c r="A128" s="13"/>
      <c r="B128" s="16" t="s">
        <v>109</v>
      </c>
      <c r="C128" s="6" t="s">
        <v>8728</v>
      </c>
      <c r="D128" s="16" t="s">
        <v>8901</v>
      </c>
      <c r="E128" s="6" t="s">
        <v>375</v>
      </c>
      <c r="F128" s="65">
        <v>127.0</v>
      </c>
      <c r="L128" s="9" t="s">
        <v>129</v>
      </c>
      <c r="M128" s="52" t="s">
        <v>9040</v>
      </c>
      <c r="N128" s="9">
        <v>2.0</v>
      </c>
      <c r="O128" s="420" t="s">
        <v>9041</v>
      </c>
      <c r="P128" s="32" t="s">
        <v>330</v>
      </c>
      <c r="Q128" s="9">
        <v>2017.0</v>
      </c>
    </row>
    <row r="129">
      <c r="A129" s="13"/>
      <c r="B129" s="16" t="s">
        <v>109</v>
      </c>
      <c r="C129" s="6" t="s">
        <v>8728</v>
      </c>
      <c r="D129" s="6" t="s">
        <v>1417</v>
      </c>
      <c r="E129" s="6" t="s">
        <v>1438</v>
      </c>
      <c r="F129" s="65">
        <v>128.0</v>
      </c>
      <c r="L129" s="9" t="s">
        <v>129</v>
      </c>
      <c r="M129" s="52" t="s">
        <v>9042</v>
      </c>
      <c r="N129" s="9">
        <v>2.0</v>
      </c>
      <c r="O129" s="420" t="s">
        <v>9041</v>
      </c>
      <c r="P129" s="32" t="s">
        <v>330</v>
      </c>
      <c r="Q129" s="9">
        <v>2017.0</v>
      </c>
    </row>
    <row r="130">
      <c r="A130" s="13"/>
      <c r="B130" s="16" t="s">
        <v>109</v>
      </c>
      <c r="C130" s="6" t="s">
        <v>8728</v>
      </c>
      <c r="D130" s="6" t="s">
        <v>1417</v>
      </c>
      <c r="E130" s="6" t="s">
        <v>1444</v>
      </c>
      <c r="F130" s="65">
        <v>129.0</v>
      </c>
      <c r="L130" s="9" t="s">
        <v>129</v>
      </c>
      <c r="M130" s="52" t="s">
        <v>9040</v>
      </c>
      <c r="N130" s="9">
        <v>2.0</v>
      </c>
      <c r="O130" s="420" t="s">
        <v>9041</v>
      </c>
      <c r="P130" s="32" t="s">
        <v>330</v>
      </c>
      <c r="Q130" s="9">
        <v>2017.0</v>
      </c>
    </row>
    <row r="131">
      <c r="A131" s="13"/>
      <c r="B131" s="16" t="s">
        <v>109</v>
      </c>
      <c r="C131" s="6" t="s">
        <v>8728</v>
      </c>
      <c r="D131" s="16" t="s">
        <v>8901</v>
      </c>
      <c r="E131" s="6" t="s">
        <v>335</v>
      </c>
      <c r="F131" s="65">
        <v>130.0</v>
      </c>
      <c r="L131" s="9" t="s">
        <v>129</v>
      </c>
      <c r="M131" s="52" t="s">
        <v>9043</v>
      </c>
      <c r="N131" s="9">
        <v>1.0</v>
      </c>
      <c r="O131" s="420" t="s">
        <v>9041</v>
      </c>
      <c r="P131" s="32" t="s">
        <v>330</v>
      </c>
      <c r="Q131" s="9">
        <v>2017.0</v>
      </c>
    </row>
    <row r="132">
      <c r="A132" s="13"/>
      <c r="B132" s="16" t="s">
        <v>8901</v>
      </c>
      <c r="C132" s="6" t="s">
        <v>8911</v>
      </c>
      <c r="D132" s="16" t="s">
        <v>8901</v>
      </c>
      <c r="E132" s="6" t="s">
        <v>335</v>
      </c>
      <c r="F132" s="65">
        <v>131.0</v>
      </c>
      <c r="L132" s="9" t="s">
        <v>8709</v>
      </c>
      <c r="M132" s="52" t="s">
        <v>9044</v>
      </c>
      <c r="N132" s="9">
        <v>2.0</v>
      </c>
      <c r="O132" s="420" t="s">
        <v>9041</v>
      </c>
      <c r="P132" s="32" t="s">
        <v>330</v>
      </c>
      <c r="Q132" s="9">
        <v>2017.0</v>
      </c>
    </row>
    <row r="133">
      <c r="A133" s="13"/>
      <c r="B133" s="6" t="s">
        <v>342</v>
      </c>
      <c r="C133" s="6" t="s">
        <v>8830</v>
      </c>
      <c r="D133" s="16" t="s">
        <v>8901</v>
      </c>
      <c r="E133" s="6" t="s">
        <v>337</v>
      </c>
      <c r="F133" s="65">
        <v>132.0</v>
      </c>
      <c r="L133" s="9" t="s">
        <v>8709</v>
      </c>
      <c r="M133" s="52" t="s">
        <v>9045</v>
      </c>
      <c r="N133" s="9">
        <v>2.0</v>
      </c>
      <c r="O133" s="420" t="s">
        <v>9041</v>
      </c>
      <c r="P133" s="32" t="s">
        <v>330</v>
      </c>
      <c r="Q133" s="9">
        <v>2017.0</v>
      </c>
    </row>
    <row r="134">
      <c r="A134" s="13"/>
      <c r="B134" s="6" t="s">
        <v>342</v>
      </c>
      <c r="C134" s="6" t="s">
        <v>8830</v>
      </c>
      <c r="D134" s="6" t="s">
        <v>1417</v>
      </c>
      <c r="E134" s="6" t="s">
        <v>1439</v>
      </c>
      <c r="F134" s="65">
        <v>133.0</v>
      </c>
      <c r="L134" s="9" t="s">
        <v>8709</v>
      </c>
      <c r="M134" s="52" t="s">
        <v>9045</v>
      </c>
      <c r="N134" s="9">
        <v>2.0</v>
      </c>
      <c r="O134" s="420" t="s">
        <v>9041</v>
      </c>
      <c r="P134" s="32" t="s">
        <v>330</v>
      </c>
      <c r="Q134" s="9">
        <v>2017.0</v>
      </c>
    </row>
    <row r="135">
      <c r="A135" s="13"/>
      <c r="B135" s="6" t="s">
        <v>9046</v>
      </c>
      <c r="C135" s="6" t="s">
        <v>1311</v>
      </c>
      <c r="D135" s="9" t="s">
        <v>1610</v>
      </c>
      <c r="E135" s="6" t="s">
        <v>1613</v>
      </c>
      <c r="F135" s="65">
        <v>134.0</v>
      </c>
      <c r="L135" s="9" t="s">
        <v>1345</v>
      </c>
      <c r="M135" s="52" t="s">
        <v>9047</v>
      </c>
      <c r="N135" s="9">
        <v>1.0</v>
      </c>
      <c r="O135" s="420" t="s">
        <v>9041</v>
      </c>
      <c r="P135" s="32" t="s">
        <v>330</v>
      </c>
      <c r="Q135" s="9">
        <v>2017.0</v>
      </c>
    </row>
    <row r="136">
      <c r="A136" s="13"/>
      <c r="B136" s="6" t="s">
        <v>9046</v>
      </c>
      <c r="C136" s="6" t="s">
        <v>1311</v>
      </c>
      <c r="D136" s="6" t="s">
        <v>1417</v>
      </c>
      <c r="E136" s="6" t="s">
        <v>1442</v>
      </c>
      <c r="F136" s="65">
        <v>135.0</v>
      </c>
      <c r="L136" s="9" t="s">
        <v>1345</v>
      </c>
      <c r="M136" s="52" t="s">
        <v>9047</v>
      </c>
      <c r="N136" s="9">
        <v>1.0</v>
      </c>
      <c r="O136" s="420" t="s">
        <v>9041</v>
      </c>
      <c r="P136" s="32" t="s">
        <v>330</v>
      </c>
      <c r="Q136" s="9">
        <v>2017.0</v>
      </c>
    </row>
    <row r="137">
      <c r="A137" s="13"/>
      <c r="B137" s="6" t="s">
        <v>9046</v>
      </c>
      <c r="C137" s="6" t="s">
        <v>1311</v>
      </c>
      <c r="D137" s="9" t="s">
        <v>1610</v>
      </c>
      <c r="E137" s="6" t="s">
        <v>9048</v>
      </c>
      <c r="F137" s="65">
        <v>136.0</v>
      </c>
      <c r="L137" s="9" t="s">
        <v>1345</v>
      </c>
      <c r="M137" s="52" t="s">
        <v>9047</v>
      </c>
      <c r="N137" s="9">
        <v>1.0</v>
      </c>
      <c r="O137" s="420" t="s">
        <v>9041</v>
      </c>
      <c r="P137" s="32" t="s">
        <v>330</v>
      </c>
      <c r="Q137" s="9">
        <v>2017.0</v>
      </c>
    </row>
    <row r="138">
      <c r="A138" s="13"/>
      <c r="B138" s="6" t="s">
        <v>1387</v>
      </c>
      <c r="C138" s="6" t="s">
        <v>1388</v>
      </c>
      <c r="D138" s="6" t="s">
        <v>1670</v>
      </c>
      <c r="E138" s="6" t="s">
        <v>1670</v>
      </c>
      <c r="F138" s="65">
        <v>137.0</v>
      </c>
      <c r="L138" s="9" t="s">
        <v>8687</v>
      </c>
      <c r="M138" s="52" t="s">
        <v>9049</v>
      </c>
      <c r="N138" s="9">
        <v>2.0</v>
      </c>
      <c r="O138" s="420" t="s">
        <v>9050</v>
      </c>
      <c r="P138" s="32" t="s">
        <v>9051</v>
      </c>
      <c r="Q138" s="9">
        <v>2015.0</v>
      </c>
    </row>
    <row r="139">
      <c r="A139" s="13"/>
      <c r="B139" s="6" t="s">
        <v>8990</v>
      </c>
      <c r="C139" s="6" t="s">
        <v>724</v>
      </c>
      <c r="D139" s="9" t="s">
        <v>828</v>
      </c>
      <c r="E139" s="6" t="s">
        <v>836</v>
      </c>
      <c r="F139" s="65">
        <v>138.0</v>
      </c>
      <c r="L139" s="9" t="s">
        <v>731</v>
      </c>
      <c r="M139" s="52" t="s">
        <v>9052</v>
      </c>
      <c r="N139" s="9" t="s">
        <v>9053</v>
      </c>
      <c r="O139" s="420" t="s">
        <v>9054</v>
      </c>
      <c r="P139" s="32" t="s">
        <v>9055</v>
      </c>
      <c r="Q139" s="9">
        <v>2017.0</v>
      </c>
    </row>
    <row r="140">
      <c r="A140" s="13"/>
      <c r="B140" s="6" t="s">
        <v>8990</v>
      </c>
      <c r="C140" s="6" t="s">
        <v>724</v>
      </c>
      <c r="D140" s="9" t="s">
        <v>1628</v>
      </c>
      <c r="E140" s="6" t="s">
        <v>1628</v>
      </c>
      <c r="F140" s="65">
        <v>139.0</v>
      </c>
      <c r="L140" s="9" t="s">
        <v>731</v>
      </c>
      <c r="M140" s="52" t="s">
        <v>9052</v>
      </c>
      <c r="N140" s="9" t="s">
        <v>9053</v>
      </c>
      <c r="O140" s="420" t="s">
        <v>9054</v>
      </c>
      <c r="P140" s="32" t="s">
        <v>9055</v>
      </c>
      <c r="Q140" s="9">
        <v>2017.0</v>
      </c>
    </row>
    <row r="141">
      <c r="A141" s="13"/>
      <c r="B141" s="6" t="s">
        <v>8990</v>
      </c>
      <c r="C141" s="6" t="s">
        <v>724</v>
      </c>
      <c r="D141" s="9" t="s">
        <v>828</v>
      </c>
      <c r="E141" s="6" t="s">
        <v>836</v>
      </c>
      <c r="F141" s="65">
        <v>140.0</v>
      </c>
      <c r="K141" s="9" t="s">
        <v>9056</v>
      </c>
      <c r="L141" s="9" t="s">
        <v>731</v>
      </c>
      <c r="M141" s="52" t="s">
        <v>9057</v>
      </c>
      <c r="N141" s="9">
        <v>3.0</v>
      </c>
      <c r="O141" s="420" t="s">
        <v>9054</v>
      </c>
      <c r="P141" s="32" t="s">
        <v>9055</v>
      </c>
      <c r="Q141" s="9">
        <v>2017.0</v>
      </c>
    </row>
    <row r="142">
      <c r="A142" s="13"/>
      <c r="B142" s="6" t="s">
        <v>8990</v>
      </c>
      <c r="C142" s="6" t="s">
        <v>724</v>
      </c>
      <c r="D142" s="9" t="s">
        <v>1628</v>
      </c>
      <c r="E142" s="6" t="s">
        <v>1628</v>
      </c>
      <c r="F142" s="65">
        <v>141.0</v>
      </c>
      <c r="K142" s="9" t="s">
        <v>9056</v>
      </c>
      <c r="L142" s="9" t="s">
        <v>731</v>
      </c>
      <c r="M142" s="52" t="s">
        <v>9057</v>
      </c>
      <c r="N142" s="9">
        <v>3.0</v>
      </c>
      <c r="O142" s="420" t="s">
        <v>9054</v>
      </c>
      <c r="P142" s="32" t="s">
        <v>9055</v>
      </c>
      <c r="Q142" s="9">
        <v>2017.0</v>
      </c>
    </row>
    <row r="143">
      <c r="A143" s="13"/>
      <c r="B143" s="6" t="s">
        <v>1303</v>
      </c>
      <c r="C143" s="6" t="s">
        <v>1338</v>
      </c>
      <c r="D143" s="16" t="s">
        <v>775</v>
      </c>
      <c r="E143" s="6" t="s">
        <v>776</v>
      </c>
      <c r="F143" s="65">
        <v>142.0</v>
      </c>
      <c r="L143" s="9" t="s">
        <v>1345</v>
      </c>
      <c r="M143" s="52" t="s">
        <v>9058</v>
      </c>
      <c r="N143" s="9"/>
      <c r="O143" s="420" t="s">
        <v>9059</v>
      </c>
      <c r="P143" s="63" t="s">
        <v>9060</v>
      </c>
      <c r="Q143" s="9">
        <v>2022.0</v>
      </c>
    </row>
    <row r="144">
      <c r="A144" s="13"/>
      <c r="B144" s="6" t="s">
        <v>1387</v>
      </c>
      <c r="C144" s="6" t="s">
        <v>1388</v>
      </c>
      <c r="D144" s="16" t="s">
        <v>934</v>
      </c>
      <c r="E144" s="6" t="s">
        <v>952</v>
      </c>
      <c r="F144" s="65">
        <v>143.0</v>
      </c>
      <c r="L144" s="9" t="s">
        <v>8687</v>
      </c>
      <c r="M144" s="52" t="s">
        <v>9061</v>
      </c>
      <c r="N144" s="9">
        <v>2.0</v>
      </c>
      <c r="O144" s="420" t="s">
        <v>9062</v>
      </c>
      <c r="P144" s="421" t="s">
        <v>954</v>
      </c>
      <c r="Q144" s="9">
        <v>2018.0</v>
      </c>
    </row>
    <row r="145">
      <c r="A145" s="13"/>
      <c r="B145" s="6" t="s">
        <v>1387</v>
      </c>
      <c r="C145" s="6" t="s">
        <v>1388</v>
      </c>
      <c r="D145" s="16" t="s">
        <v>934</v>
      </c>
      <c r="E145" s="6" t="s">
        <v>947</v>
      </c>
      <c r="F145" s="65">
        <v>144.0</v>
      </c>
      <c r="L145" s="9" t="s">
        <v>8687</v>
      </c>
      <c r="M145" s="52" t="s">
        <v>9063</v>
      </c>
      <c r="N145" s="9">
        <v>2.0</v>
      </c>
      <c r="O145" s="420" t="s">
        <v>9062</v>
      </c>
      <c r="P145" s="421" t="s">
        <v>954</v>
      </c>
      <c r="Q145" s="9">
        <v>2018.0</v>
      </c>
    </row>
    <row r="146">
      <c r="A146" s="13"/>
      <c r="B146" s="6" t="s">
        <v>1472</v>
      </c>
      <c r="C146" s="6" t="s">
        <v>1474</v>
      </c>
      <c r="D146" s="6" t="s">
        <v>1636</v>
      </c>
      <c r="E146" s="6" t="s">
        <v>1656</v>
      </c>
      <c r="F146" s="65">
        <v>145.0</v>
      </c>
      <c r="L146" s="9" t="s">
        <v>9013</v>
      </c>
      <c r="M146" s="52" t="s">
        <v>9064</v>
      </c>
      <c r="N146" s="9">
        <v>3.0</v>
      </c>
      <c r="O146" s="420" t="s">
        <v>9065</v>
      </c>
      <c r="P146" s="32" t="s">
        <v>9066</v>
      </c>
      <c r="Q146" s="9">
        <v>2016.0</v>
      </c>
    </row>
    <row r="147">
      <c r="A147" s="13"/>
      <c r="B147" s="6" t="s">
        <v>1387</v>
      </c>
      <c r="C147" s="6" t="s">
        <v>1388</v>
      </c>
      <c r="D147" s="6" t="s">
        <v>1636</v>
      </c>
      <c r="E147" s="6" t="s">
        <v>1658</v>
      </c>
      <c r="F147" s="65">
        <v>146.0</v>
      </c>
      <c r="L147" s="9" t="s">
        <v>8687</v>
      </c>
      <c r="M147" s="52" t="s">
        <v>9067</v>
      </c>
      <c r="N147" s="9">
        <v>2.0</v>
      </c>
      <c r="O147" s="420" t="s">
        <v>9065</v>
      </c>
      <c r="P147" s="32" t="s">
        <v>9066</v>
      </c>
      <c r="Q147" s="9">
        <v>2016.0</v>
      </c>
    </row>
    <row r="148">
      <c r="A148" s="13"/>
      <c r="B148" s="6" t="s">
        <v>1472</v>
      </c>
      <c r="C148" s="6" t="s">
        <v>1474</v>
      </c>
      <c r="D148" s="6" t="s">
        <v>1636</v>
      </c>
      <c r="E148" s="6" t="s">
        <v>1641</v>
      </c>
      <c r="F148" s="65">
        <v>147.0</v>
      </c>
      <c r="L148" s="9" t="s">
        <v>9013</v>
      </c>
      <c r="M148" s="52" t="s">
        <v>9068</v>
      </c>
      <c r="N148" s="9">
        <v>3.0</v>
      </c>
      <c r="O148" s="420" t="s">
        <v>9069</v>
      </c>
      <c r="P148" s="32" t="s">
        <v>1639</v>
      </c>
      <c r="Q148" s="9">
        <v>2016.0</v>
      </c>
    </row>
    <row r="149">
      <c r="A149" s="13"/>
      <c r="B149" s="6" t="s">
        <v>1387</v>
      </c>
      <c r="C149" s="6" t="s">
        <v>1388</v>
      </c>
      <c r="D149" s="6" t="s">
        <v>1636</v>
      </c>
      <c r="E149" s="6" t="s">
        <v>1641</v>
      </c>
      <c r="F149" s="65">
        <v>148.0</v>
      </c>
      <c r="L149" s="9" t="s">
        <v>9013</v>
      </c>
      <c r="M149" s="52" t="s">
        <v>9070</v>
      </c>
      <c r="N149" s="9">
        <v>2.0</v>
      </c>
      <c r="O149" s="420" t="s">
        <v>9069</v>
      </c>
      <c r="P149" s="32" t="s">
        <v>1639</v>
      </c>
      <c r="Q149" s="9">
        <v>2016.0</v>
      </c>
    </row>
    <row r="150">
      <c r="A150" s="13"/>
      <c r="B150" s="6" t="s">
        <v>1472</v>
      </c>
      <c r="C150" s="6" t="s">
        <v>1474</v>
      </c>
      <c r="D150" s="6" t="s">
        <v>1636</v>
      </c>
      <c r="E150" s="6" t="s">
        <v>1654</v>
      </c>
      <c r="F150" s="65">
        <v>149.0</v>
      </c>
      <c r="K150" s="9" t="s">
        <v>9056</v>
      </c>
      <c r="L150" s="9" t="s">
        <v>9013</v>
      </c>
      <c r="M150" s="52" t="s">
        <v>9071</v>
      </c>
      <c r="N150" s="9">
        <v>3.0</v>
      </c>
      <c r="O150" s="420" t="s">
        <v>9069</v>
      </c>
      <c r="P150" s="32" t="s">
        <v>1639</v>
      </c>
      <c r="Q150" s="9">
        <v>2016.0</v>
      </c>
    </row>
    <row r="151">
      <c r="A151" s="13"/>
      <c r="B151" s="6" t="s">
        <v>1387</v>
      </c>
      <c r="C151" s="6" t="s">
        <v>1388</v>
      </c>
      <c r="D151" s="6" t="s">
        <v>1636</v>
      </c>
      <c r="E151" s="6" t="s">
        <v>1654</v>
      </c>
      <c r="F151" s="65">
        <v>150.0</v>
      </c>
      <c r="L151" s="9" t="s">
        <v>8687</v>
      </c>
      <c r="M151" s="52" t="s">
        <v>9072</v>
      </c>
      <c r="N151" s="9">
        <v>2.0</v>
      </c>
      <c r="O151" s="420" t="s">
        <v>9069</v>
      </c>
      <c r="P151" s="32" t="s">
        <v>1639</v>
      </c>
      <c r="Q151" s="9">
        <v>2016.0</v>
      </c>
    </row>
    <row r="152">
      <c r="A152" s="13"/>
      <c r="B152" s="6" t="s">
        <v>1632</v>
      </c>
      <c r="C152" s="6" t="s">
        <v>1632</v>
      </c>
      <c r="D152" s="9" t="s">
        <v>9073</v>
      </c>
      <c r="E152" s="6" t="s">
        <v>876</v>
      </c>
      <c r="F152" s="65">
        <v>151.0</v>
      </c>
      <c r="L152" s="9" t="s">
        <v>8687</v>
      </c>
      <c r="M152" s="52" t="s">
        <v>9074</v>
      </c>
      <c r="N152" s="9">
        <v>2.0</v>
      </c>
      <c r="O152" s="420" t="s">
        <v>9075</v>
      </c>
      <c r="P152" s="32" t="s">
        <v>878</v>
      </c>
      <c r="Q152" s="9">
        <v>2016.0</v>
      </c>
    </row>
    <row r="153">
      <c r="A153" s="13"/>
      <c r="B153" s="6" t="s">
        <v>1632</v>
      </c>
      <c r="C153" s="6" t="s">
        <v>1632</v>
      </c>
      <c r="D153" s="9" t="s">
        <v>9073</v>
      </c>
      <c r="E153" s="6" t="s">
        <v>881</v>
      </c>
      <c r="F153" s="65">
        <v>152.0</v>
      </c>
      <c r="L153" s="9" t="s">
        <v>8687</v>
      </c>
      <c r="M153" s="52" t="s">
        <v>9076</v>
      </c>
      <c r="N153" s="9">
        <v>2.0</v>
      </c>
      <c r="O153" s="420" t="s">
        <v>9075</v>
      </c>
      <c r="P153" s="32" t="s">
        <v>878</v>
      </c>
      <c r="Q153" s="9">
        <v>2016.0</v>
      </c>
    </row>
    <row r="154">
      <c r="A154" s="13"/>
      <c r="B154" s="6" t="s">
        <v>1632</v>
      </c>
      <c r="C154" s="6" t="s">
        <v>1632</v>
      </c>
      <c r="D154" s="9" t="s">
        <v>9073</v>
      </c>
      <c r="E154" s="6" t="s">
        <v>883</v>
      </c>
      <c r="F154" s="65">
        <v>153.0</v>
      </c>
      <c r="L154" s="9" t="s">
        <v>8687</v>
      </c>
      <c r="M154" s="52" t="s">
        <v>9077</v>
      </c>
      <c r="N154" s="9">
        <v>2.0</v>
      </c>
      <c r="O154" s="420" t="s">
        <v>9075</v>
      </c>
      <c r="P154" s="32" t="s">
        <v>878</v>
      </c>
      <c r="Q154" s="9">
        <v>2016.0</v>
      </c>
    </row>
    <row r="155">
      <c r="A155" s="13"/>
      <c r="B155" s="6" t="s">
        <v>1632</v>
      </c>
      <c r="C155" s="6" t="s">
        <v>1632</v>
      </c>
      <c r="D155" s="9" t="s">
        <v>9073</v>
      </c>
      <c r="E155" s="6" t="s">
        <v>883</v>
      </c>
      <c r="F155" s="65">
        <v>154.0</v>
      </c>
      <c r="K155" s="9" t="s">
        <v>9078</v>
      </c>
      <c r="L155" s="9" t="s">
        <v>8737</v>
      </c>
      <c r="M155" s="52" t="s">
        <v>9079</v>
      </c>
      <c r="N155" s="9">
        <v>2.0</v>
      </c>
      <c r="O155" s="420" t="s">
        <v>9075</v>
      </c>
      <c r="P155" s="32" t="s">
        <v>878</v>
      </c>
      <c r="Q155" s="9">
        <v>2016.0</v>
      </c>
    </row>
    <row r="156">
      <c r="A156" s="13"/>
      <c r="B156" s="6" t="s">
        <v>1632</v>
      </c>
      <c r="C156" s="6" t="s">
        <v>1632</v>
      </c>
      <c r="D156" s="9" t="s">
        <v>9073</v>
      </c>
      <c r="E156" s="6" t="s">
        <v>883</v>
      </c>
      <c r="F156" s="65">
        <v>155.0</v>
      </c>
      <c r="K156" s="9" t="s">
        <v>9080</v>
      </c>
      <c r="L156" s="9" t="s">
        <v>8737</v>
      </c>
      <c r="M156" s="52" t="s">
        <v>9081</v>
      </c>
      <c r="N156" s="9">
        <v>2.0</v>
      </c>
      <c r="O156" s="420" t="s">
        <v>9075</v>
      </c>
      <c r="P156" s="32" t="s">
        <v>878</v>
      </c>
      <c r="Q156" s="9">
        <v>2016.0</v>
      </c>
    </row>
    <row r="157">
      <c r="A157" s="13"/>
      <c r="B157" s="6" t="s">
        <v>1670</v>
      </c>
      <c r="C157" s="6" t="s">
        <v>1670</v>
      </c>
      <c r="D157" s="9" t="s">
        <v>1675</v>
      </c>
      <c r="E157" s="6" t="s">
        <v>1676</v>
      </c>
      <c r="F157" s="65">
        <v>156.0</v>
      </c>
      <c r="L157" s="9" t="s">
        <v>1345</v>
      </c>
      <c r="M157" s="52" t="s">
        <v>9082</v>
      </c>
      <c r="N157" s="9">
        <v>2.0</v>
      </c>
      <c r="O157" s="420" t="s">
        <v>9083</v>
      </c>
      <c r="P157" s="32" t="s">
        <v>1673</v>
      </c>
      <c r="Q157" s="9">
        <v>2017.0</v>
      </c>
    </row>
    <row r="158">
      <c r="A158" s="13"/>
      <c r="B158" s="6" t="s">
        <v>8990</v>
      </c>
      <c r="C158" s="6" t="s">
        <v>739</v>
      </c>
      <c r="D158" s="9" t="s">
        <v>1521</v>
      </c>
      <c r="E158" s="6" t="s">
        <v>1535</v>
      </c>
      <c r="F158" s="65">
        <v>157.0</v>
      </c>
      <c r="L158" s="9" t="s">
        <v>731</v>
      </c>
      <c r="M158" s="52" t="s">
        <v>9084</v>
      </c>
      <c r="N158" s="9" t="s">
        <v>406</v>
      </c>
      <c r="O158" s="420" t="s">
        <v>9085</v>
      </c>
      <c r="P158" s="32" t="s">
        <v>741</v>
      </c>
      <c r="Q158" s="9">
        <v>2016.0</v>
      </c>
    </row>
    <row r="159">
      <c r="A159" s="13"/>
      <c r="B159" s="6" t="s">
        <v>1472</v>
      </c>
      <c r="C159" s="6" t="s">
        <v>1473</v>
      </c>
      <c r="D159" s="6" t="s">
        <v>889</v>
      </c>
      <c r="E159" s="6" t="s">
        <v>901</v>
      </c>
      <c r="F159" s="65">
        <v>158.0</v>
      </c>
      <c r="L159" s="9" t="s">
        <v>343</v>
      </c>
      <c r="M159" s="52" t="s">
        <v>9086</v>
      </c>
      <c r="N159" s="9">
        <v>3.0</v>
      </c>
      <c r="O159" s="420" t="s">
        <v>9085</v>
      </c>
      <c r="P159" s="32" t="s">
        <v>741</v>
      </c>
      <c r="Q159" s="9">
        <v>2016.0</v>
      </c>
    </row>
    <row r="160">
      <c r="A160" s="13"/>
      <c r="B160" s="6" t="s">
        <v>342</v>
      </c>
      <c r="C160" s="6" t="s">
        <v>8879</v>
      </c>
      <c r="D160" s="6" t="s">
        <v>889</v>
      </c>
      <c r="E160" s="6" t="s">
        <v>901</v>
      </c>
      <c r="F160" s="65">
        <v>159.0</v>
      </c>
      <c r="L160" s="9" t="s">
        <v>343</v>
      </c>
      <c r="M160" s="52" t="s">
        <v>9087</v>
      </c>
      <c r="N160" s="9">
        <v>3.0</v>
      </c>
      <c r="O160" s="420" t="s">
        <v>9085</v>
      </c>
      <c r="P160" s="32" t="s">
        <v>741</v>
      </c>
      <c r="Q160" s="9">
        <v>2016.0</v>
      </c>
    </row>
    <row r="161">
      <c r="A161" s="13"/>
      <c r="B161" s="6" t="s">
        <v>8990</v>
      </c>
      <c r="C161" s="6" t="s">
        <v>739</v>
      </c>
      <c r="D161" s="6" t="s">
        <v>889</v>
      </c>
      <c r="E161" s="6" t="s">
        <v>890</v>
      </c>
      <c r="F161" s="65">
        <v>160.0</v>
      </c>
      <c r="L161" s="9" t="s">
        <v>731</v>
      </c>
      <c r="M161" s="52" t="s">
        <v>9088</v>
      </c>
      <c r="N161" s="9" t="s">
        <v>9089</v>
      </c>
      <c r="O161" s="420" t="s">
        <v>9085</v>
      </c>
      <c r="P161" s="32" t="s">
        <v>741</v>
      </c>
      <c r="Q161" s="9">
        <v>2016.0</v>
      </c>
    </row>
    <row r="162">
      <c r="A162" s="13"/>
      <c r="B162" s="6" t="s">
        <v>8990</v>
      </c>
      <c r="C162" s="6" t="s">
        <v>739</v>
      </c>
      <c r="D162" s="6" t="s">
        <v>889</v>
      </c>
      <c r="E162" s="6" t="s">
        <v>908</v>
      </c>
      <c r="F162" s="65">
        <v>161.0</v>
      </c>
      <c r="L162" s="9" t="s">
        <v>731</v>
      </c>
      <c r="M162" s="52" t="s">
        <v>9090</v>
      </c>
      <c r="N162" s="9" t="s">
        <v>9091</v>
      </c>
      <c r="O162" s="420" t="s">
        <v>9085</v>
      </c>
      <c r="P162" s="32" t="s">
        <v>741</v>
      </c>
      <c r="Q162" s="9">
        <v>2016.0</v>
      </c>
    </row>
    <row r="163">
      <c r="A163" s="13"/>
      <c r="B163" s="6" t="s">
        <v>8990</v>
      </c>
      <c r="C163" s="6" t="s">
        <v>739</v>
      </c>
      <c r="D163" s="6" t="s">
        <v>1521</v>
      </c>
      <c r="E163" s="6" t="s">
        <v>1540</v>
      </c>
      <c r="F163" s="65">
        <v>162.0</v>
      </c>
      <c r="L163" s="9" t="s">
        <v>731</v>
      </c>
      <c r="M163" s="52" t="s">
        <v>9092</v>
      </c>
      <c r="N163" s="9" t="s">
        <v>9089</v>
      </c>
      <c r="O163" s="420" t="s">
        <v>9085</v>
      </c>
      <c r="P163" s="32" t="s">
        <v>741</v>
      </c>
      <c r="Q163" s="9">
        <v>2016.0</v>
      </c>
    </row>
    <row r="164">
      <c r="A164" s="13"/>
      <c r="B164" s="7" t="s">
        <v>1387</v>
      </c>
      <c r="C164" s="7" t="s">
        <v>1388</v>
      </c>
      <c r="D164" s="7" t="s">
        <v>1387</v>
      </c>
      <c r="E164" s="7" t="s">
        <v>1390</v>
      </c>
      <c r="F164" s="65">
        <v>163.0</v>
      </c>
      <c r="G164" s="9" t="s">
        <v>9093</v>
      </c>
      <c r="L164" s="9" t="s">
        <v>1390</v>
      </c>
      <c r="M164" s="52" t="s">
        <v>9094</v>
      </c>
      <c r="N164" s="9">
        <v>2.0</v>
      </c>
    </row>
    <row r="165">
      <c r="A165" s="13"/>
      <c r="B165" s="7" t="s">
        <v>1387</v>
      </c>
      <c r="C165" s="7" t="s">
        <v>1404</v>
      </c>
      <c r="D165" s="7" t="s">
        <v>1387</v>
      </c>
      <c r="E165" s="7" t="s">
        <v>1390</v>
      </c>
      <c r="F165" s="65">
        <v>164.0</v>
      </c>
      <c r="G165" s="9" t="s">
        <v>9093</v>
      </c>
      <c r="L165" s="72"/>
      <c r="M165" s="52" t="s">
        <v>9095</v>
      </c>
      <c r="N165" s="9">
        <v>3.0</v>
      </c>
    </row>
    <row r="166">
      <c r="A166" s="13"/>
      <c r="B166" s="9" t="s">
        <v>1387</v>
      </c>
      <c r="C166" s="7" t="s">
        <v>1390</v>
      </c>
      <c r="D166" s="7" t="s">
        <v>1417</v>
      </c>
      <c r="E166" s="7" t="s">
        <v>9096</v>
      </c>
      <c r="F166" s="65"/>
    </row>
    <row r="167">
      <c r="A167" s="13"/>
      <c r="B167" s="6" t="s">
        <v>8990</v>
      </c>
      <c r="C167" s="6" t="s">
        <v>724</v>
      </c>
      <c r="D167" s="6" t="s">
        <v>8990</v>
      </c>
      <c r="E167" s="6" t="s">
        <v>739</v>
      </c>
      <c r="G167" s="9" t="s">
        <v>9093</v>
      </c>
      <c r="M167" s="72"/>
    </row>
    <row r="168">
      <c r="A168" s="13"/>
      <c r="B168" s="6" t="s">
        <v>8990</v>
      </c>
      <c r="C168" s="6" t="s">
        <v>724</v>
      </c>
      <c r="D168" s="6" t="s">
        <v>8990</v>
      </c>
      <c r="E168" s="6" t="s">
        <v>736</v>
      </c>
      <c r="G168" s="9" t="s">
        <v>9093</v>
      </c>
      <c r="M168" s="72"/>
    </row>
    <row r="169">
      <c r="A169" s="13"/>
      <c r="B169" s="7" t="s">
        <v>1303</v>
      </c>
      <c r="C169" s="7" t="s">
        <v>1311</v>
      </c>
      <c r="D169" s="7" t="s">
        <v>1303</v>
      </c>
      <c r="E169" s="7" t="s">
        <v>9097</v>
      </c>
      <c r="G169" s="9" t="s">
        <v>9093</v>
      </c>
      <c r="M169" s="72"/>
    </row>
    <row r="170">
      <c r="A170" s="13"/>
      <c r="B170" s="13"/>
      <c r="C170" s="13"/>
      <c r="E170" s="13"/>
      <c r="M170" s="72"/>
    </row>
    <row r="171">
      <c r="A171" s="13"/>
      <c r="B171" s="13"/>
      <c r="C171" s="13"/>
      <c r="E171" s="13"/>
      <c r="M171" s="72"/>
    </row>
    <row r="172">
      <c r="A172" s="13"/>
      <c r="B172" s="13"/>
      <c r="C172" s="13"/>
      <c r="E172" s="13"/>
      <c r="M172" s="72"/>
    </row>
    <row r="173">
      <c r="A173" s="13"/>
      <c r="B173" s="13"/>
      <c r="C173" s="13"/>
      <c r="E173" s="13"/>
      <c r="M173" s="72"/>
    </row>
    <row r="174">
      <c r="A174" s="13"/>
      <c r="B174" s="13"/>
      <c r="C174" s="13"/>
      <c r="E174" s="13"/>
      <c r="M174" s="72"/>
    </row>
    <row r="175">
      <c r="A175" s="13"/>
      <c r="B175" s="13"/>
      <c r="C175" s="13"/>
      <c r="E175" s="13"/>
      <c r="M175" s="72"/>
    </row>
    <row r="176">
      <c r="A176" s="13"/>
      <c r="B176" s="13"/>
      <c r="C176" s="13"/>
      <c r="E176" s="13"/>
      <c r="M176" s="72"/>
    </row>
    <row r="177">
      <c r="A177" s="13"/>
      <c r="B177" s="13"/>
      <c r="C177" s="13"/>
      <c r="E177" s="13"/>
      <c r="M177" s="72"/>
    </row>
    <row r="178">
      <c r="A178" s="13"/>
      <c r="B178" s="13"/>
      <c r="C178" s="13"/>
      <c r="E178" s="13"/>
      <c r="M178" s="72"/>
    </row>
    <row r="179">
      <c r="A179" s="13"/>
      <c r="B179" s="13"/>
      <c r="C179" s="13"/>
      <c r="E179" s="13"/>
      <c r="M179" s="72"/>
    </row>
    <row r="180">
      <c r="A180" s="13"/>
      <c r="B180" s="13"/>
      <c r="C180" s="13"/>
      <c r="E180" s="13"/>
      <c r="M180" s="72"/>
    </row>
    <row r="181">
      <c r="A181" s="13"/>
      <c r="B181" s="13"/>
      <c r="C181" s="13"/>
      <c r="E181" s="13"/>
      <c r="M181" s="72"/>
    </row>
    <row r="182">
      <c r="A182" s="13"/>
      <c r="B182" s="13"/>
      <c r="C182" s="13"/>
      <c r="E182" s="13"/>
      <c r="M182" s="72"/>
    </row>
    <row r="183">
      <c r="A183" s="13"/>
      <c r="B183" s="13"/>
      <c r="C183" s="13"/>
      <c r="E183" s="13"/>
      <c r="M183" s="72"/>
    </row>
    <row r="184">
      <c r="A184" s="13"/>
      <c r="B184" s="13"/>
      <c r="C184" s="13"/>
      <c r="E184" s="13"/>
      <c r="M184" s="72"/>
    </row>
    <row r="185">
      <c r="A185" s="13"/>
      <c r="B185" s="13"/>
      <c r="C185" s="13"/>
      <c r="E185" s="13"/>
      <c r="M185" s="72"/>
    </row>
    <row r="186">
      <c r="A186" s="13"/>
      <c r="B186" s="13"/>
      <c r="C186" s="13"/>
      <c r="E186" s="13"/>
      <c r="M186" s="72"/>
    </row>
    <row r="187">
      <c r="A187" s="13"/>
      <c r="B187" s="13"/>
      <c r="C187" s="13"/>
      <c r="E187" s="13"/>
      <c r="M187" s="72"/>
    </row>
    <row r="188">
      <c r="A188" s="13"/>
      <c r="B188" s="13"/>
      <c r="C188" s="13"/>
      <c r="E188" s="13"/>
      <c r="M188" s="72"/>
    </row>
    <row r="189">
      <c r="A189" s="13"/>
      <c r="B189" s="13"/>
      <c r="C189" s="13"/>
      <c r="E189" s="13"/>
      <c r="M189" s="72"/>
    </row>
    <row r="190">
      <c r="A190" s="13"/>
      <c r="B190" s="13"/>
      <c r="C190" s="13"/>
      <c r="E190" s="13"/>
      <c r="M190" s="72"/>
    </row>
    <row r="191">
      <c r="A191" s="13"/>
      <c r="B191" s="13"/>
      <c r="C191" s="13"/>
      <c r="E191" s="13"/>
      <c r="M191" s="72"/>
    </row>
    <row r="192">
      <c r="A192" s="13"/>
      <c r="B192" s="13"/>
      <c r="C192" s="13"/>
      <c r="E192" s="13"/>
      <c r="M192" s="72"/>
    </row>
    <row r="193">
      <c r="A193" s="13"/>
      <c r="B193" s="13"/>
      <c r="C193" s="13"/>
      <c r="E193" s="13"/>
      <c r="M193" s="72"/>
    </row>
    <row r="194">
      <c r="A194" s="13"/>
      <c r="B194" s="13"/>
      <c r="C194" s="13"/>
      <c r="E194" s="13"/>
      <c r="M194" s="72"/>
    </row>
    <row r="195">
      <c r="A195" s="13"/>
      <c r="B195" s="13"/>
      <c r="C195" s="13"/>
      <c r="E195" s="13"/>
      <c r="M195" s="72"/>
    </row>
    <row r="196">
      <c r="A196" s="13"/>
      <c r="B196" s="13"/>
      <c r="C196" s="13"/>
      <c r="E196" s="13"/>
      <c r="M196" s="72"/>
    </row>
    <row r="197">
      <c r="A197" s="13"/>
      <c r="B197" s="13"/>
      <c r="C197" s="13"/>
      <c r="E197" s="13"/>
      <c r="M197" s="72"/>
    </row>
    <row r="198">
      <c r="A198" s="13"/>
      <c r="B198" s="13"/>
      <c r="C198" s="13"/>
      <c r="E198" s="13"/>
      <c r="M198" s="72"/>
    </row>
    <row r="199">
      <c r="A199" s="13"/>
      <c r="B199" s="13"/>
      <c r="C199" s="13"/>
      <c r="E199" s="13"/>
      <c r="M199" s="72"/>
    </row>
    <row r="200">
      <c r="A200" s="13"/>
      <c r="B200" s="13"/>
      <c r="C200" s="13"/>
      <c r="E200" s="13"/>
      <c r="M200" s="72"/>
    </row>
    <row r="201">
      <c r="A201" s="13"/>
      <c r="B201" s="13"/>
      <c r="C201" s="13"/>
      <c r="E201" s="13"/>
      <c r="M201" s="72"/>
    </row>
    <row r="202">
      <c r="A202" s="13"/>
      <c r="B202" s="13"/>
      <c r="C202" s="13"/>
      <c r="E202" s="13"/>
      <c r="M202" s="72"/>
    </row>
    <row r="203">
      <c r="A203" s="13"/>
      <c r="B203" s="13"/>
      <c r="C203" s="13"/>
      <c r="E203" s="13"/>
      <c r="M203" s="72"/>
    </row>
    <row r="204">
      <c r="A204" s="13"/>
      <c r="B204" s="13"/>
      <c r="C204" s="13"/>
      <c r="E204" s="13"/>
      <c r="M204" s="72"/>
    </row>
    <row r="205">
      <c r="A205" s="13"/>
      <c r="B205" s="13"/>
      <c r="C205" s="13"/>
      <c r="E205" s="13"/>
      <c r="M205" s="72"/>
    </row>
    <row r="206">
      <c r="A206" s="13"/>
      <c r="B206" s="13"/>
      <c r="C206" s="13"/>
      <c r="E206" s="13"/>
      <c r="M206" s="72"/>
    </row>
    <row r="207">
      <c r="A207" s="13"/>
      <c r="B207" s="13"/>
      <c r="C207" s="13"/>
      <c r="E207" s="13"/>
      <c r="M207" s="72"/>
    </row>
    <row r="208">
      <c r="A208" s="13"/>
      <c r="B208" s="13"/>
      <c r="C208" s="13"/>
      <c r="E208" s="13"/>
      <c r="M208" s="72"/>
    </row>
    <row r="209">
      <c r="A209" s="13"/>
      <c r="B209" s="13"/>
      <c r="C209" s="13"/>
      <c r="E209" s="13"/>
      <c r="M209" s="72"/>
    </row>
    <row r="210">
      <c r="A210" s="13"/>
      <c r="B210" s="13"/>
      <c r="C210" s="13"/>
      <c r="E210" s="13"/>
      <c r="M210" s="72"/>
    </row>
    <row r="211">
      <c r="A211" s="13"/>
      <c r="B211" s="13"/>
      <c r="C211" s="13"/>
      <c r="E211" s="13"/>
      <c r="M211" s="72"/>
    </row>
    <row r="212">
      <c r="A212" s="13"/>
      <c r="B212" s="13"/>
      <c r="C212" s="13"/>
      <c r="E212" s="13"/>
      <c r="M212" s="72"/>
    </row>
    <row r="213">
      <c r="A213" s="13"/>
      <c r="B213" s="13"/>
      <c r="C213" s="13"/>
      <c r="E213" s="13"/>
      <c r="M213" s="72"/>
    </row>
    <row r="214">
      <c r="A214" s="13"/>
      <c r="B214" s="13"/>
      <c r="C214" s="13"/>
      <c r="E214" s="13"/>
      <c r="M214" s="72"/>
    </row>
    <row r="215">
      <c r="A215" s="13"/>
      <c r="B215" s="13"/>
      <c r="C215" s="13"/>
      <c r="E215" s="13"/>
      <c r="M215" s="72"/>
    </row>
    <row r="216">
      <c r="A216" s="13"/>
      <c r="B216" s="13"/>
      <c r="C216" s="13"/>
      <c r="E216" s="13"/>
      <c r="M216" s="72"/>
    </row>
    <row r="217">
      <c r="A217" s="13"/>
      <c r="B217" s="13"/>
      <c r="C217" s="13"/>
      <c r="E217" s="13"/>
      <c r="M217" s="72"/>
    </row>
    <row r="218">
      <c r="A218" s="13"/>
      <c r="B218" s="13"/>
      <c r="C218" s="13"/>
      <c r="E218" s="13"/>
      <c r="M218" s="72"/>
    </row>
    <row r="219">
      <c r="A219" s="13"/>
      <c r="B219" s="13"/>
      <c r="C219" s="13"/>
      <c r="E219" s="13"/>
      <c r="M219" s="72"/>
    </row>
    <row r="220">
      <c r="A220" s="13"/>
      <c r="B220" s="13"/>
      <c r="C220" s="13"/>
      <c r="E220" s="13"/>
      <c r="M220" s="72"/>
    </row>
    <row r="221">
      <c r="A221" s="13"/>
      <c r="B221" s="13"/>
      <c r="C221" s="13"/>
      <c r="E221" s="13"/>
      <c r="M221" s="72"/>
    </row>
    <row r="222">
      <c r="A222" s="13"/>
      <c r="B222" s="13"/>
      <c r="C222" s="13"/>
      <c r="E222" s="13"/>
      <c r="M222" s="72"/>
    </row>
    <row r="223">
      <c r="A223" s="13"/>
      <c r="B223" s="13"/>
      <c r="C223" s="13"/>
      <c r="E223" s="13"/>
      <c r="M223" s="72"/>
    </row>
    <row r="224">
      <c r="A224" s="13"/>
      <c r="B224" s="13"/>
      <c r="C224" s="13"/>
      <c r="E224" s="13"/>
      <c r="M224" s="72"/>
    </row>
    <row r="225">
      <c r="A225" s="13"/>
      <c r="B225" s="13"/>
      <c r="C225" s="13"/>
      <c r="E225" s="13"/>
      <c r="M225" s="72"/>
    </row>
    <row r="226">
      <c r="A226" s="13"/>
      <c r="B226" s="13"/>
      <c r="C226" s="13"/>
      <c r="E226" s="13"/>
      <c r="M226" s="72"/>
    </row>
    <row r="227">
      <c r="A227" s="13"/>
      <c r="B227" s="13"/>
      <c r="C227" s="13"/>
      <c r="E227" s="13"/>
      <c r="M227" s="72"/>
    </row>
    <row r="228">
      <c r="A228" s="13"/>
      <c r="B228" s="13"/>
      <c r="C228" s="13"/>
      <c r="E228" s="13"/>
      <c r="M228" s="72"/>
    </row>
    <row r="229">
      <c r="A229" s="13"/>
      <c r="B229" s="13"/>
      <c r="C229" s="13"/>
      <c r="E229" s="13"/>
      <c r="M229" s="72"/>
    </row>
    <row r="230">
      <c r="A230" s="13"/>
      <c r="B230" s="13"/>
      <c r="C230" s="13"/>
      <c r="E230" s="13"/>
      <c r="M230" s="72"/>
    </row>
    <row r="231">
      <c r="A231" s="13"/>
      <c r="B231" s="13"/>
      <c r="C231" s="13"/>
      <c r="E231" s="13"/>
      <c r="M231" s="72"/>
    </row>
    <row r="232">
      <c r="A232" s="13"/>
      <c r="B232" s="13"/>
      <c r="C232" s="13"/>
      <c r="E232" s="13"/>
      <c r="M232" s="72"/>
    </row>
    <row r="233">
      <c r="A233" s="13"/>
      <c r="B233" s="13"/>
      <c r="C233" s="13"/>
      <c r="E233" s="13"/>
      <c r="M233" s="72"/>
    </row>
    <row r="234">
      <c r="A234" s="13"/>
      <c r="B234" s="13"/>
      <c r="C234" s="13"/>
      <c r="E234" s="13"/>
      <c r="M234" s="72"/>
    </row>
    <row r="235">
      <c r="A235" s="13"/>
      <c r="B235" s="13"/>
      <c r="C235" s="13"/>
      <c r="E235" s="13"/>
      <c r="M235" s="72"/>
    </row>
    <row r="236">
      <c r="A236" s="13"/>
      <c r="B236" s="13"/>
      <c r="C236" s="13"/>
      <c r="E236" s="13"/>
      <c r="M236" s="72"/>
    </row>
    <row r="237">
      <c r="A237" s="13"/>
      <c r="B237" s="13"/>
      <c r="C237" s="13"/>
      <c r="E237" s="13"/>
      <c r="M237" s="72"/>
    </row>
    <row r="238">
      <c r="A238" s="13"/>
      <c r="B238" s="13"/>
      <c r="C238" s="13"/>
      <c r="E238" s="13"/>
      <c r="M238" s="72"/>
    </row>
    <row r="239">
      <c r="A239" s="13"/>
      <c r="B239" s="13"/>
      <c r="C239" s="13"/>
      <c r="E239" s="13"/>
      <c r="M239" s="72"/>
    </row>
    <row r="240">
      <c r="A240" s="13"/>
      <c r="B240" s="13"/>
      <c r="C240" s="13"/>
      <c r="E240" s="13"/>
      <c r="M240" s="72"/>
    </row>
    <row r="241">
      <c r="A241" s="13"/>
      <c r="B241" s="13"/>
      <c r="C241" s="13"/>
      <c r="E241" s="13"/>
      <c r="M241" s="72"/>
    </row>
    <row r="242">
      <c r="A242" s="13"/>
      <c r="B242" s="13"/>
      <c r="C242" s="13"/>
      <c r="E242" s="13"/>
      <c r="M242" s="72"/>
    </row>
    <row r="243">
      <c r="A243" s="13"/>
      <c r="B243" s="13"/>
      <c r="C243" s="13"/>
      <c r="E243" s="13"/>
      <c r="M243" s="72"/>
    </row>
    <row r="244">
      <c r="A244" s="13"/>
      <c r="B244" s="13"/>
      <c r="C244" s="13"/>
      <c r="E244" s="13"/>
      <c r="M244" s="72"/>
    </row>
    <row r="245">
      <c r="A245" s="13"/>
      <c r="B245" s="13"/>
      <c r="C245" s="13"/>
      <c r="E245" s="13"/>
      <c r="M245" s="72"/>
    </row>
    <row r="246">
      <c r="A246" s="13"/>
      <c r="B246" s="13"/>
      <c r="C246" s="13"/>
      <c r="E246" s="13"/>
      <c r="M246" s="72"/>
    </row>
    <row r="247">
      <c r="A247" s="13"/>
      <c r="B247" s="13"/>
      <c r="C247" s="13"/>
      <c r="E247" s="13"/>
      <c r="M247" s="72"/>
    </row>
    <row r="248">
      <c r="A248" s="13"/>
      <c r="B248" s="13"/>
      <c r="C248" s="13"/>
      <c r="E248" s="13"/>
      <c r="M248" s="72"/>
    </row>
    <row r="249">
      <c r="A249" s="13"/>
      <c r="B249" s="13"/>
      <c r="C249" s="13"/>
      <c r="E249" s="13"/>
      <c r="M249" s="72"/>
    </row>
    <row r="250">
      <c r="A250" s="13"/>
      <c r="B250" s="13"/>
      <c r="C250" s="13"/>
      <c r="E250" s="13"/>
      <c r="M250" s="72"/>
    </row>
    <row r="251">
      <c r="A251" s="13"/>
      <c r="B251" s="13"/>
      <c r="C251" s="13"/>
      <c r="E251" s="13"/>
      <c r="M251" s="72"/>
    </row>
    <row r="252">
      <c r="A252" s="13"/>
      <c r="B252" s="13"/>
      <c r="C252" s="13"/>
      <c r="E252" s="13"/>
      <c r="M252" s="72"/>
    </row>
    <row r="253">
      <c r="A253" s="13"/>
      <c r="B253" s="13"/>
      <c r="C253" s="13"/>
      <c r="E253" s="13"/>
      <c r="M253" s="72"/>
    </row>
    <row r="254">
      <c r="A254" s="13"/>
      <c r="B254" s="13"/>
      <c r="C254" s="13"/>
      <c r="E254" s="13"/>
      <c r="M254" s="72"/>
    </row>
    <row r="255">
      <c r="A255" s="13"/>
      <c r="B255" s="13"/>
      <c r="C255" s="13"/>
      <c r="E255" s="13"/>
      <c r="M255" s="72"/>
    </row>
    <row r="256">
      <c r="A256" s="13"/>
      <c r="B256" s="13"/>
      <c r="C256" s="13"/>
      <c r="E256" s="13"/>
      <c r="M256" s="72"/>
    </row>
    <row r="257">
      <c r="A257" s="13"/>
      <c r="B257" s="13"/>
      <c r="C257" s="13"/>
      <c r="E257" s="13"/>
      <c r="M257" s="72"/>
    </row>
    <row r="258">
      <c r="A258" s="13"/>
      <c r="B258" s="13"/>
      <c r="C258" s="13"/>
      <c r="E258" s="13"/>
      <c r="M258" s="72"/>
    </row>
    <row r="259">
      <c r="A259" s="13"/>
      <c r="B259" s="13"/>
      <c r="C259" s="13"/>
      <c r="E259" s="13"/>
      <c r="M259" s="72"/>
    </row>
    <row r="260">
      <c r="A260" s="13"/>
      <c r="B260" s="13"/>
      <c r="C260" s="13"/>
      <c r="E260" s="13"/>
      <c r="M260" s="72"/>
    </row>
    <row r="261">
      <c r="A261" s="13"/>
      <c r="B261" s="13"/>
      <c r="C261" s="13"/>
      <c r="E261" s="13"/>
      <c r="M261" s="72"/>
    </row>
    <row r="262">
      <c r="A262" s="13"/>
      <c r="B262" s="13"/>
      <c r="C262" s="13"/>
      <c r="E262" s="13"/>
      <c r="M262" s="72"/>
    </row>
    <row r="263">
      <c r="A263" s="13"/>
      <c r="B263" s="13"/>
      <c r="C263" s="13"/>
      <c r="E263" s="13"/>
      <c r="M263" s="72"/>
    </row>
    <row r="264">
      <c r="A264" s="13"/>
      <c r="B264" s="13"/>
      <c r="C264" s="13"/>
      <c r="E264" s="13"/>
      <c r="M264" s="72"/>
    </row>
    <row r="265">
      <c r="A265" s="13"/>
      <c r="B265" s="13"/>
      <c r="C265" s="13"/>
      <c r="E265" s="13"/>
      <c r="M265" s="72"/>
    </row>
    <row r="266">
      <c r="A266" s="13"/>
      <c r="B266" s="13"/>
      <c r="C266" s="13"/>
      <c r="E266" s="13"/>
      <c r="M266" s="72"/>
    </row>
    <row r="267">
      <c r="A267" s="13"/>
      <c r="B267" s="13"/>
      <c r="C267" s="13"/>
      <c r="E267" s="13"/>
      <c r="M267" s="72"/>
    </row>
    <row r="268">
      <c r="A268" s="13"/>
      <c r="B268" s="13"/>
      <c r="C268" s="13"/>
      <c r="E268" s="13"/>
      <c r="M268" s="72"/>
    </row>
    <row r="269">
      <c r="A269" s="13"/>
      <c r="B269" s="13"/>
      <c r="C269" s="13"/>
      <c r="E269" s="13"/>
      <c r="M269" s="72"/>
    </row>
    <row r="270">
      <c r="A270" s="13"/>
      <c r="B270" s="13"/>
      <c r="C270" s="13"/>
      <c r="E270" s="13"/>
      <c r="M270" s="72"/>
    </row>
    <row r="271">
      <c r="A271" s="13"/>
      <c r="B271" s="13"/>
      <c r="C271" s="13"/>
      <c r="E271" s="13"/>
      <c r="M271" s="72"/>
    </row>
    <row r="272">
      <c r="A272" s="13"/>
      <c r="B272" s="13"/>
      <c r="C272" s="13"/>
      <c r="E272" s="13"/>
      <c r="M272" s="72"/>
    </row>
    <row r="273">
      <c r="A273" s="13"/>
      <c r="B273" s="13"/>
      <c r="C273" s="13"/>
      <c r="E273" s="13"/>
      <c r="M273" s="72"/>
    </row>
    <row r="274">
      <c r="A274" s="13"/>
      <c r="B274" s="13"/>
      <c r="C274" s="13"/>
      <c r="E274" s="13"/>
      <c r="M274" s="72"/>
    </row>
    <row r="275">
      <c r="A275" s="13"/>
      <c r="B275" s="13"/>
      <c r="C275" s="13"/>
      <c r="E275" s="13"/>
      <c r="M275" s="72"/>
    </row>
    <row r="276">
      <c r="A276" s="13"/>
      <c r="B276" s="13"/>
      <c r="C276" s="13"/>
      <c r="E276" s="13"/>
      <c r="M276" s="72"/>
    </row>
    <row r="277">
      <c r="A277" s="13"/>
      <c r="B277" s="13"/>
      <c r="C277" s="13"/>
      <c r="E277" s="13"/>
      <c r="M277" s="72"/>
    </row>
    <row r="278">
      <c r="A278" s="13"/>
      <c r="B278" s="13"/>
      <c r="C278" s="13"/>
      <c r="E278" s="13"/>
      <c r="M278" s="72"/>
    </row>
    <row r="279">
      <c r="A279" s="13"/>
      <c r="B279" s="13"/>
      <c r="C279" s="13"/>
      <c r="E279" s="13"/>
      <c r="M279" s="72"/>
    </row>
    <row r="280">
      <c r="A280" s="13"/>
      <c r="B280" s="13"/>
      <c r="C280" s="13"/>
      <c r="E280" s="13"/>
      <c r="M280" s="72"/>
    </row>
    <row r="281">
      <c r="A281" s="13"/>
      <c r="B281" s="13"/>
      <c r="C281" s="13"/>
      <c r="E281" s="13"/>
      <c r="M281" s="72"/>
    </row>
    <row r="282">
      <c r="A282" s="13"/>
      <c r="B282" s="13"/>
      <c r="C282" s="13"/>
      <c r="E282" s="13"/>
      <c r="M282" s="72"/>
    </row>
    <row r="283">
      <c r="A283" s="13"/>
      <c r="B283" s="13"/>
      <c r="C283" s="13"/>
      <c r="E283" s="13"/>
      <c r="M283" s="72"/>
    </row>
    <row r="284">
      <c r="A284" s="13"/>
      <c r="B284" s="13"/>
      <c r="C284" s="13"/>
      <c r="E284" s="13"/>
      <c r="M284" s="72"/>
    </row>
    <row r="285">
      <c r="A285" s="13"/>
      <c r="B285" s="13"/>
      <c r="C285" s="13"/>
      <c r="E285" s="13"/>
      <c r="M285" s="72"/>
    </row>
    <row r="286">
      <c r="A286" s="13"/>
      <c r="B286" s="13"/>
      <c r="C286" s="13"/>
      <c r="E286" s="13"/>
      <c r="M286" s="72"/>
    </row>
    <row r="287">
      <c r="A287" s="13"/>
      <c r="B287" s="13"/>
      <c r="C287" s="13"/>
      <c r="E287" s="13"/>
      <c r="M287" s="72"/>
    </row>
    <row r="288">
      <c r="A288" s="13"/>
      <c r="B288" s="13"/>
      <c r="C288" s="13"/>
      <c r="E288" s="13"/>
      <c r="M288" s="72"/>
    </row>
    <row r="289">
      <c r="A289" s="13"/>
      <c r="B289" s="13"/>
      <c r="C289" s="13"/>
      <c r="E289" s="13"/>
      <c r="M289" s="72"/>
    </row>
    <row r="290">
      <c r="A290" s="13"/>
      <c r="B290" s="13"/>
      <c r="C290" s="13"/>
      <c r="E290" s="13"/>
      <c r="M290" s="72"/>
    </row>
    <row r="291">
      <c r="A291" s="13"/>
      <c r="B291" s="13"/>
      <c r="C291" s="13"/>
      <c r="E291" s="13"/>
      <c r="M291" s="72"/>
    </row>
    <row r="292">
      <c r="A292" s="13"/>
      <c r="B292" s="13"/>
      <c r="C292" s="13"/>
      <c r="E292" s="13"/>
      <c r="M292" s="72"/>
    </row>
    <row r="293">
      <c r="A293" s="13"/>
      <c r="B293" s="13"/>
      <c r="C293" s="13"/>
      <c r="E293" s="13"/>
      <c r="M293" s="72"/>
    </row>
    <row r="294">
      <c r="A294" s="13"/>
      <c r="B294" s="13"/>
      <c r="C294" s="13"/>
      <c r="E294" s="13"/>
      <c r="M294" s="72"/>
    </row>
    <row r="295">
      <c r="A295" s="13"/>
      <c r="B295" s="13"/>
      <c r="C295" s="13"/>
      <c r="E295" s="13"/>
      <c r="M295" s="72"/>
    </row>
    <row r="296">
      <c r="A296" s="13"/>
      <c r="B296" s="13"/>
      <c r="C296" s="13"/>
      <c r="E296" s="13"/>
      <c r="M296" s="72"/>
    </row>
    <row r="297">
      <c r="A297" s="13"/>
      <c r="B297" s="13"/>
      <c r="C297" s="13"/>
      <c r="E297" s="13"/>
      <c r="M297" s="72"/>
    </row>
    <row r="298">
      <c r="A298" s="13"/>
      <c r="B298" s="13"/>
      <c r="C298" s="13"/>
      <c r="E298" s="13"/>
      <c r="M298" s="72"/>
    </row>
    <row r="299">
      <c r="A299" s="13"/>
      <c r="B299" s="13"/>
      <c r="C299" s="13"/>
      <c r="E299" s="13"/>
      <c r="M299" s="72"/>
    </row>
    <row r="300">
      <c r="A300" s="13"/>
      <c r="B300" s="13"/>
      <c r="C300" s="13"/>
      <c r="E300" s="13"/>
      <c r="M300" s="72"/>
    </row>
    <row r="301">
      <c r="A301" s="13"/>
      <c r="B301" s="13"/>
      <c r="C301" s="13"/>
      <c r="E301" s="13"/>
      <c r="M301" s="72"/>
    </row>
    <row r="302">
      <c r="A302" s="13"/>
      <c r="B302" s="13"/>
      <c r="C302" s="13"/>
      <c r="E302" s="13"/>
      <c r="M302" s="72"/>
    </row>
    <row r="303">
      <c r="A303" s="13"/>
      <c r="B303" s="13"/>
      <c r="C303" s="13"/>
      <c r="E303" s="13"/>
      <c r="M303" s="72"/>
    </row>
    <row r="304">
      <c r="A304" s="13"/>
      <c r="B304" s="13"/>
      <c r="C304" s="13"/>
      <c r="E304" s="13"/>
      <c r="M304" s="72"/>
    </row>
    <row r="305">
      <c r="A305" s="13"/>
      <c r="B305" s="13"/>
      <c r="C305" s="13"/>
      <c r="E305" s="13"/>
      <c r="M305" s="72"/>
    </row>
    <row r="306">
      <c r="A306" s="13"/>
      <c r="B306" s="13"/>
      <c r="C306" s="13"/>
      <c r="E306" s="13"/>
      <c r="M306" s="72"/>
    </row>
    <row r="307">
      <c r="A307" s="13"/>
      <c r="B307" s="13"/>
      <c r="C307" s="13"/>
      <c r="E307" s="13"/>
      <c r="M307" s="72"/>
    </row>
    <row r="308">
      <c r="A308" s="13"/>
      <c r="B308" s="13"/>
      <c r="C308" s="13"/>
      <c r="E308" s="13"/>
      <c r="M308" s="72"/>
    </row>
    <row r="309">
      <c r="A309" s="13"/>
      <c r="B309" s="13"/>
      <c r="C309" s="13"/>
      <c r="E309" s="13"/>
      <c r="M309" s="72"/>
    </row>
    <row r="310">
      <c r="A310" s="13"/>
      <c r="B310" s="13"/>
      <c r="C310" s="13"/>
      <c r="E310" s="13"/>
      <c r="M310" s="72"/>
    </row>
    <row r="311">
      <c r="A311" s="13"/>
      <c r="B311" s="13"/>
      <c r="C311" s="13"/>
      <c r="E311" s="13"/>
      <c r="M311" s="72"/>
    </row>
    <row r="312">
      <c r="A312" s="13"/>
      <c r="B312" s="13"/>
      <c r="C312" s="13"/>
      <c r="E312" s="13"/>
      <c r="M312" s="72"/>
    </row>
    <row r="313">
      <c r="A313" s="13"/>
      <c r="B313" s="13"/>
      <c r="C313" s="13"/>
      <c r="E313" s="13"/>
      <c r="M313" s="72"/>
    </row>
    <row r="314">
      <c r="A314" s="13"/>
      <c r="B314" s="13"/>
      <c r="C314" s="13"/>
      <c r="E314" s="13"/>
      <c r="M314" s="72"/>
    </row>
    <row r="315">
      <c r="A315" s="13"/>
      <c r="B315" s="13"/>
      <c r="C315" s="13"/>
      <c r="E315" s="13"/>
      <c r="M315" s="72"/>
    </row>
    <row r="316">
      <c r="A316" s="13"/>
      <c r="B316" s="13"/>
      <c r="C316" s="13"/>
      <c r="E316" s="13"/>
      <c r="M316" s="72"/>
    </row>
    <row r="317">
      <c r="A317" s="13"/>
      <c r="B317" s="13"/>
      <c r="C317" s="13"/>
      <c r="E317" s="13"/>
      <c r="M317" s="72"/>
    </row>
    <row r="318">
      <c r="A318" s="13"/>
      <c r="B318" s="13"/>
      <c r="C318" s="13"/>
      <c r="E318" s="13"/>
      <c r="M318" s="72"/>
    </row>
    <row r="319">
      <c r="A319" s="13"/>
      <c r="B319" s="13"/>
      <c r="C319" s="13"/>
      <c r="E319" s="13"/>
      <c r="M319" s="72"/>
    </row>
    <row r="320">
      <c r="A320" s="13"/>
      <c r="B320" s="13"/>
      <c r="C320" s="13"/>
      <c r="E320" s="13"/>
      <c r="M320" s="72"/>
    </row>
    <row r="321">
      <c r="A321" s="13"/>
      <c r="B321" s="13"/>
      <c r="C321" s="13"/>
      <c r="E321" s="13"/>
      <c r="M321" s="72"/>
    </row>
    <row r="322">
      <c r="A322" s="13"/>
      <c r="B322" s="13"/>
      <c r="C322" s="13"/>
      <c r="E322" s="13"/>
      <c r="M322" s="72"/>
    </row>
    <row r="323">
      <c r="A323" s="13"/>
      <c r="B323" s="13"/>
      <c r="C323" s="13"/>
      <c r="E323" s="13"/>
      <c r="M323" s="72"/>
    </row>
    <row r="324">
      <c r="A324" s="13"/>
      <c r="B324" s="13"/>
      <c r="C324" s="13"/>
      <c r="E324" s="13"/>
      <c r="M324" s="72"/>
    </row>
    <row r="325">
      <c r="A325" s="13"/>
      <c r="B325" s="13"/>
      <c r="C325" s="13"/>
      <c r="E325" s="13"/>
      <c r="M325" s="72"/>
    </row>
    <row r="326">
      <c r="A326" s="13"/>
      <c r="B326" s="13"/>
      <c r="C326" s="13"/>
      <c r="E326" s="13"/>
      <c r="M326" s="72"/>
    </row>
    <row r="327">
      <c r="A327" s="13"/>
      <c r="B327" s="13"/>
      <c r="C327" s="13"/>
      <c r="E327" s="13"/>
      <c r="M327" s="72"/>
    </row>
    <row r="328">
      <c r="A328" s="13"/>
      <c r="B328" s="13"/>
      <c r="C328" s="13"/>
      <c r="E328" s="13"/>
      <c r="M328" s="72"/>
    </row>
    <row r="329">
      <c r="A329" s="13"/>
      <c r="B329" s="13"/>
      <c r="C329" s="13"/>
      <c r="E329" s="13"/>
      <c r="M329" s="72"/>
    </row>
    <row r="330">
      <c r="A330" s="13"/>
      <c r="B330" s="13"/>
      <c r="C330" s="13"/>
      <c r="E330" s="13"/>
      <c r="M330" s="72"/>
    </row>
    <row r="331">
      <c r="A331" s="13"/>
      <c r="B331" s="13"/>
      <c r="C331" s="13"/>
      <c r="E331" s="13"/>
      <c r="M331" s="72"/>
    </row>
    <row r="332">
      <c r="A332" s="13"/>
      <c r="B332" s="13"/>
      <c r="C332" s="13"/>
      <c r="E332" s="13"/>
      <c r="M332" s="72"/>
    </row>
    <row r="333">
      <c r="A333" s="13"/>
      <c r="B333" s="13"/>
      <c r="C333" s="13"/>
      <c r="E333" s="13"/>
      <c r="M333" s="72"/>
    </row>
    <row r="334">
      <c r="A334" s="13"/>
      <c r="B334" s="13"/>
      <c r="C334" s="13"/>
      <c r="E334" s="13"/>
      <c r="M334" s="72"/>
    </row>
    <row r="335">
      <c r="A335" s="13"/>
      <c r="B335" s="13"/>
      <c r="C335" s="13"/>
      <c r="E335" s="13"/>
      <c r="M335" s="72"/>
    </row>
    <row r="336">
      <c r="A336" s="13"/>
      <c r="B336" s="13"/>
      <c r="C336" s="13"/>
      <c r="E336" s="13"/>
      <c r="M336" s="72"/>
    </row>
    <row r="337">
      <c r="A337" s="13"/>
      <c r="B337" s="13"/>
      <c r="C337" s="13"/>
      <c r="E337" s="13"/>
      <c r="M337" s="72"/>
    </row>
    <row r="338">
      <c r="A338" s="13"/>
      <c r="B338" s="13"/>
      <c r="C338" s="13"/>
      <c r="E338" s="13"/>
      <c r="M338" s="72"/>
    </row>
    <row r="339">
      <c r="A339" s="13"/>
      <c r="B339" s="13"/>
      <c r="C339" s="13"/>
      <c r="E339" s="13"/>
      <c r="M339" s="72"/>
    </row>
    <row r="340">
      <c r="A340" s="13"/>
      <c r="B340" s="13"/>
      <c r="C340" s="13"/>
      <c r="E340" s="13"/>
      <c r="M340" s="72"/>
    </row>
    <row r="341">
      <c r="A341" s="13"/>
      <c r="B341" s="13"/>
      <c r="C341" s="13"/>
      <c r="E341" s="13"/>
      <c r="M341" s="72"/>
    </row>
    <row r="342">
      <c r="A342" s="13"/>
      <c r="B342" s="13"/>
      <c r="C342" s="13"/>
      <c r="E342" s="13"/>
      <c r="M342" s="72"/>
    </row>
    <row r="343">
      <c r="A343" s="13"/>
      <c r="B343" s="13"/>
      <c r="C343" s="13"/>
      <c r="E343" s="13"/>
      <c r="M343" s="72"/>
    </row>
    <row r="344">
      <c r="A344" s="13"/>
      <c r="B344" s="13"/>
      <c r="C344" s="13"/>
      <c r="E344" s="13"/>
      <c r="M344" s="72"/>
    </row>
    <row r="345">
      <c r="A345" s="13"/>
      <c r="B345" s="13"/>
      <c r="C345" s="13"/>
      <c r="E345" s="13"/>
      <c r="M345" s="72"/>
    </row>
    <row r="346">
      <c r="A346" s="13"/>
      <c r="B346" s="13"/>
      <c r="C346" s="13"/>
      <c r="E346" s="13"/>
      <c r="M346" s="72"/>
    </row>
    <row r="347">
      <c r="A347" s="13"/>
      <c r="B347" s="13"/>
      <c r="C347" s="13"/>
      <c r="E347" s="13"/>
      <c r="M347" s="72"/>
    </row>
    <row r="348">
      <c r="A348" s="13"/>
      <c r="B348" s="13"/>
      <c r="C348" s="13"/>
      <c r="E348" s="13"/>
      <c r="M348" s="72"/>
    </row>
    <row r="349">
      <c r="A349" s="13"/>
      <c r="B349" s="13"/>
      <c r="C349" s="13"/>
      <c r="E349" s="13"/>
      <c r="M349" s="72"/>
    </row>
    <row r="350">
      <c r="A350" s="13"/>
      <c r="B350" s="13"/>
      <c r="C350" s="13"/>
      <c r="E350" s="13"/>
      <c r="M350" s="72"/>
    </row>
    <row r="351">
      <c r="A351" s="13"/>
      <c r="B351" s="13"/>
      <c r="C351" s="13"/>
      <c r="E351" s="13"/>
      <c r="M351" s="72"/>
    </row>
    <row r="352">
      <c r="A352" s="13"/>
      <c r="B352" s="13"/>
      <c r="C352" s="13"/>
      <c r="E352" s="13"/>
      <c r="M352" s="72"/>
    </row>
    <row r="353">
      <c r="A353" s="13"/>
      <c r="B353" s="13"/>
      <c r="C353" s="13"/>
      <c r="E353" s="13"/>
      <c r="M353" s="72"/>
    </row>
    <row r="354">
      <c r="A354" s="13"/>
      <c r="B354" s="13"/>
      <c r="C354" s="13"/>
      <c r="E354" s="13"/>
      <c r="M354" s="72"/>
    </row>
    <row r="355">
      <c r="A355" s="13"/>
      <c r="B355" s="13"/>
      <c r="C355" s="13"/>
      <c r="E355" s="13"/>
      <c r="M355" s="72"/>
    </row>
    <row r="356">
      <c r="A356" s="13"/>
      <c r="B356" s="13"/>
      <c r="C356" s="13"/>
      <c r="E356" s="13"/>
      <c r="M356" s="72"/>
    </row>
    <row r="357">
      <c r="A357" s="13"/>
      <c r="B357" s="13"/>
      <c r="C357" s="13"/>
      <c r="E357" s="13"/>
      <c r="M357" s="72"/>
    </row>
    <row r="358">
      <c r="A358" s="13"/>
      <c r="B358" s="13"/>
      <c r="C358" s="13"/>
      <c r="E358" s="13"/>
      <c r="M358" s="72"/>
    </row>
    <row r="359">
      <c r="A359" s="13"/>
      <c r="B359" s="13"/>
      <c r="C359" s="13"/>
      <c r="E359" s="13"/>
      <c r="M359" s="72"/>
    </row>
    <row r="360">
      <c r="A360" s="13"/>
      <c r="B360" s="13"/>
      <c r="C360" s="13"/>
      <c r="E360" s="13"/>
      <c r="M360" s="72"/>
    </row>
    <row r="361">
      <c r="A361" s="13"/>
      <c r="B361" s="13"/>
      <c r="C361" s="13"/>
      <c r="E361" s="13"/>
      <c r="M361" s="72"/>
    </row>
    <row r="362">
      <c r="A362" s="13"/>
      <c r="B362" s="13"/>
      <c r="C362" s="13"/>
      <c r="E362" s="13"/>
      <c r="M362" s="72"/>
    </row>
    <row r="363">
      <c r="A363" s="13"/>
      <c r="B363" s="13"/>
      <c r="C363" s="13"/>
      <c r="E363" s="13"/>
      <c r="M363" s="72"/>
    </row>
    <row r="364">
      <c r="A364" s="13"/>
      <c r="B364" s="13"/>
      <c r="C364" s="13"/>
      <c r="E364" s="13"/>
      <c r="M364" s="72"/>
    </row>
    <row r="365">
      <c r="A365" s="13"/>
      <c r="B365" s="13"/>
      <c r="C365" s="13"/>
      <c r="E365" s="13"/>
      <c r="M365" s="72"/>
    </row>
    <row r="366">
      <c r="A366" s="13"/>
      <c r="B366" s="13"/>
      <c r="C366" s="13"/>
      <c r="E366" s="13"/>
      <c r="M366" s="72"/>
    </row>
    <row r="367">
      <c r="A367" s="13"/>
      <c r="B367" s="13"/>
      <c r="C367" s="13"/>
      <c r="E367" s="13"/>
      <c r="M367" s="72"/>
    </row>
    <row r="368">
      <c r="A368" s="13"/>
      <c r="B368" s="13"/>
      <c r="C368" s="13"/>
      <c r="E368" s="13"/>
      <c r="M368" s="72"/>
    </row>
    <row r="369">
      <c r="A369" s="13"/>
      <c r="B369" s="13"/>
      <c r="C369" s="13"/>
      <c r="E369" s="13"/>
      <c r="M369" s="72"/>
    </row>
    <row r="370">
      <c r="A370" s="13"/>
      <c r="B370" s="13"/>
      <c r="C370" s="13"/>
      <c r="E370" s="13"/>
      <c r="M370" s="72"/>
    </row>
    <row r="371">
      <c r="A371" s="13"/>
      <c r="B371" s="13"/>
      <c r="C371" s="13"/>
      <c r="E371" s="13"/>
      <c r="M371" s="72"/>
    </row>
    <row r="372">
      <c r="A372" s="13"/>
      <c r="B372" s="13"/>
      <c r="C372" s="13"/>
      <c r="E372" s="13"/>
      <c r="M372" s="72"/>
    </row>
    <row r="373">
      <c r="A373" s="13"/>
      <c r="B373" s="13"/>
      <c r="C373" s="13"/>
      <c r="E373" s="13"/>
      <c r="M373" s="72"/>
    </row>
    <row r="374">
      <c r="A374" s="13"/>
      <c r="B374" s="13"/>
      <c r="C374" s="13"/>
      <c r="E374" s="13"/>
      <c r="M374" s="72"/>
    </row>
    <row r="375">
      <c r="A375" s="13"/>
      <c r="B375" s="13"/>
      <c r="C375" s="13"/>
      <c r="E375" s="13"/>
      <c r="M375" s="72"/>
    </row>
    <row r="376">
      <c r="A376" s="13"/>
      <c r="B376" s="13"/>
      <c r="C376" s="13"/>
      <c r="E376" s="13"/>
      <c r="M376" s="72"/>
    </row>
    <row r="377">
      <c r="A377" s="13"/>
      <c r="B377" s="13"/>
      <c r="C377" s="13"/>
      <c r="E377" s="13"/>
      <c r="M377" s="72"/>
    </row>
    <row r="378">
      <c r="A378" s="13"/>
      <c r="B378" s="13"/>
      <c r="C378" s="13"/>
      <c r="E378" s="13"/>
      <c r="M378" s="72"/>
    </row>
    <row r="379">
      <c r="A379" s="13"/>
      <c r="B379" s="13"/>
      <c r="C379" s="13"/>
      <c r="E379" s="13"/>
      <c r="M379" s="72"/>
    </row>
    <row r="380">
      <c r="A380" s="13"/>
      <c r="B380" s="13"/>
      <c r="C380" s="13"/>
      <c r="E380" s="13"/>
      <c r="M380" s="72"/>
    </row>
    <row r="381">
      <c r="A381" s="13"/>
      <c r="B381" s="13"/>
      <c r="C381" s="13"/>
      <c r="E381" s="13"/>
      <c r="M381" s="72"/>
    </row>
    <row r="382">
      <c r="A382" s="13"/>
      <c r="B382" s="13"/>
      <c r="C382" s="13"/>
      <c r="E382" s="13"/>
      <c r="M382" s="72"/>
    </row>
    <row r="383">
      <c r="A383" s="13"/>
      <c r="B383" s="13"/>
      <c r="C383" s="13"/>
      <c r="E383" s="13"/>
      <c r="M383" s="72"/>
    </row>
    <row r="384">
      <c r="A384" s="13"/>
      <c r="B384" s="13"/>
      <c r="C384" s="13"/>
      <c r="E384" s="13"/>
      <c r="M384" s="72"/>
    </row>
    <row r="385">
      <c r="A385" s="13"/>
      <c r="B385" s="13"/>
      <c r="C385" s="13"/>
      <c r="E385" s="13"/>
      <c r="M385" s="72"/>
    </row>
    <row r="386">
      <c r="A386" s="13"/>
      <c r="B386" s="13"/>
      <c r="C386" s="13"/>
      <c r="E386" s="13"/>
      <c r="M386" s="72"/>
    </row>
    <row r="387">
      <c r="A387" s="13"/>
      <c r="B387" s="13"/>
      <c r="C387" s="13"/>
      <c r="E387" s="13"/>
      <c r="M387" s="72"/>
    </row>
    <row r="388">
      <c r="A388" s="13"/>
      <c r="B388" s="13"/>
      <c r="C388" s="13"/>
      <c r="E388" s="13"/>
      <c r="M388" s="72"/>
    </row>
    <row r="389">
      <c r="A389" s="13"/>
      <c r="B389" s="13"/>
      <c r="C389" s="13"/>
      <c r="E389" s="13"/>
      <c r="M389" s="72"/>
    </row>
    <row r="390">
      <c r="A390" s="13"/>
      <c r="B390" s="13"/>
      <c r="C390" s="13"/>
      <c r="E390" s="13"/>
      <c r="M390" s="72"/>
    </row>
    <row r="391">
      <c r="A391" s="13"/>
      <c r="B391" s="13"/>
      <c r="C391" s="13"/>
      <c r="E391" s="13"/>
      <c r="M391" s="72"/>
    </row>
    <row r="392">
      <c r="A392" s="13"/>
      <c r="B392" s="13"/>
      <c r="C392" s="13"/>
      <c r="E392" s="13"/>
      <c r="M392" s="72"/>
    </row>
    <row r="393">
      <c r="A393" s="13"/>
      <c r="B393" s="13"/>
      <c r="C393" s="13"/>
      <c r="E393" s="13"/>
      <c r="M393" s="72"/>
    </row>
    <row r="394">
      <c r="A394" s="13"/>
      <c r="B394" s="13"/>
      <c r="C394" s="13"/>
      <c r="E394" s="13"/>
      <c r="M394" s="72"/>
    </row>
    <row r="395">
      <c r="A395" s="13"/>
      <c r="B395" s="13"/>
      <c r="C395" s="13"/>
      <c r="E395" s="13"/>
      <c r="M395" s="72"/>
    </row>
    <row r="396">
      <c r="A396" s="13"/>
      <c r="B396" s="13"/>
      <c r="C396" s="13"/>
      <c r="E396" s="13"/>
      <c r="M396" s="72"/>
    </row>
    <row r="397">
      <c r="A397" s="13"/>
      <c r="B397" s="13"/>
      <c r="C397" s="13"/>
      <c r="E397" s="13"/>
      <c r="M397" s="72"/>
    </row>
    <row r="398">
      <c r="A398" s="13"/>
      <c r="B398" s="13"/>
      <c r="C398" s="13"/>
      <c r="E398" s="13"/>
      <c r="M398" s="72"/>
    </row>
    <row r="399">
      <c r="A399" s="13"/>
      <c r="B399" s="13"/>
      <c r="C399" s="13"/>
      <c r="E399" s="13"/>
      <c r="M399" s="72"/>
    </row>
    <row r="400">
      <c r="A400" s="13"/>
      <c r="B400" s="13"/>
      <c r="C400" s="13"/>
      <c r="E400" s="13"/>
      <c r="M400" s="72"/>
    </row>
    <row r="401">
      <c r="A401" s="13"/>
      <c r="B401" s="13"/>
      <c r="C401" s="13"/>
      <c r="E401" s="13"/>
      <c r="M401" s="72"/>
    </row>
    <row r="402">
      <c r="A402" s="13"/>
      <c r="B402" s="13"/>
      <c r="C402" s="13"/>
      <c r="E402" s="13"/>
      <c r="M402" s="72"/>
    </row>
    <row r="403">
      <c r="A403" s="13"/>
      <c r="B403" s="13"/>
      <c r="C403" s="13"/>
      <c r="E403" s="13"/>
      <c r="M403" s="72"/>
    </row>
    <row r="404">
      <c r="A404" s="13"/>
      <c r="B404" s="13"/>
      <c r="C404" s="13"/>
      <c r="E404" s="13"/>
      <c r="M404" s="72"/>
    </row>
    <row r="405">
      <c r="A405" s="13"/>
      <c r="B405" s="13"/>
      <c r="C405" s="13"/>
      <c r="E405" s="13"/>
      <c r="M405" s="72"/>
    </row>
    <row r="406">
      <c r="A406" s="13"/>
      <c r="B406" s="13"/>
      <c r="C406" s="13"/>
      <c r="E406" s="13"/>
      <c r="M406" s="72"/>
    </row>
    <row r="407">
      <c r="A407" s="13"/>
      <c r="B407" s="13"/>
      <c r="C407" s="13"/>
      <c r="E407" s="13"/>
      <c r="M407" s="72"/>
    </row>
    <row r="408">
      <c r="A408" s="13"/>
      <c r="B408" s="13"/>
      <c r="C408" s="13"/>
      <c r="E408" s="13"/>
      <c r="M408" s="72"/>
    </row>
    <row r="409">
      <c r="A409" s="13"/>
      <c r="B409" s="13"/>
      <c r="C409" s="13"/>
      <c r="E409" s="13"/>
      <c r="M409" s="72"/>
    </row>
    <row r="410">
      <c r="A410" s="13"/>
      <c r="B410" s="13"/>
      <c r="C410" s="13"/>
      <c r="E410" s="13"/>
      <c r="M410" s="72"/>
    </row>
    <row r="411">
      <c r="A411" s="13"/>
      <c r="B411" s="13"/>
      <c r="C411" s="13"/>
      <c r="E411" s="13"/>
      <c r="M411" s="72"/>
    </row>
    <row r="412">
      <c r="A412" s="13"/>
      <c r="B412" s="13"/>
      <c r="C412" s="13"/>
      <c r="E412" s="13"/>
      <c r="M412" s="72"/>
    </row>
    <row r="413">
      <c r="A413" s="13"/>
      <c r="B413" s="13"/>
      <c r="C413" s="13"/>
      <c r="E413" s="13"/>
      <c r="M413" s="72"/>
    </row>
    <row r="414">
      <c r="A414" s="13"/>
      <c r="B414" s="13"/>
      <c r="C414" s="13"/>
      <c r="E414" s="13"/>
      <c r="M414" s="72"/>
    </row>
    <row r="415">
      <c r="A415" s="13"/>
      <c r="B415" s="13"/>
      <c r="C415" s="13"/>
      <c r="E415" s="13"/>
      <c r="M415" s="72"/>
    </row>
    <row r="416">
      <c r="A416" s="13"/>
      <c r="B416" s="13"/>
      <c r="C416" s="13"/>
      <c r="E416" s="13"/>
      <c r="M416" s="72"/>
    </row>
    <row r="417">
      <c r="A417" s="13"/>
      <c r="B417" s="13"/>
      <c r="C417" s="13"/>
      <c r="E417" s="13"/>
      <c r="M417" s="72"/>
    </row>
    <row r="418">
      <c r="A418" s="13"/>
      <c r="B418" s="13"/>
      <c r="C418" s="13"/>
      <c r="E418" s="13"/>
      <c r="M418" s="72"/>
    </row>
    <row r="419">
      <c r="A419" s="13"/>
      <c r="B419" s="13"/>
      <c r="C419" s="13"/>
      <c r="E419" s="13"/>
      <c r="M419" s="72"/>
    </row>
    <row r="420">
      <c r="A420" s="13"/>
      <c r="B420" s="13"/>
      <c r="C420" s="13"/>
      <c r="E420" s="13"/>
      <c r="M420" s="72"/>
    </row>
    <row r="421">
      <c r="A421" s="13"/>
      <c r="B421" s="13"/>
      <c r="C421" s="13"/>
      <c r="E421" s="13"/>
      <c r="M421" s="72"/>
    </row>
    <row r="422">
      <c r="A422" s="13"/>
      <c r="B422" s="13"/>
      <c r="C422" s="13"/>
      <c r="E422" s="13"/>
      <c r="M422" s="72"/>
    </row>
    <row r="423">
      <c r="A423" s="13"/>
      <c r="B423" s="13"/>
      <c r="C423" s="13"/>
      <c r="E423" s="13"/>
      <c r="M423" s="72"/>
    </row>
    <row r="424">
      <c r="A424" s="13"/>
      <c r="B424" s="13"/>
      <c r="C424" s="13"/>
      <c r="E424" s="13"/>
      <c r="M424" s="72"/>
    </row>
    <row r="425">
      <c r="A425" s="13"/>
      <c r="B425" s="13"/>
      <c r="C425" s="13"/>
      <c r="E425" s="13"/>
      <c r="M425" s="72"/>
    </row>
    <row r="426">
      <c r="A426" s="13"/>
      <c r="B426" s="13"/>
      <c r="C426" s="13"/>
      <c r="E426" s="13"/>
      <c r="M426" s="72"/>
    </row>
    <row r="427">
      <c r="A427" s="13"/>
      <c r="B427" s="13"/>
      <c r="C427" s="13"/>
      <c r="E427" s="13"/>
      <c r="M427" s="72"/>
    </row>
    <row r="428">
      <c r="A428" s="13"/>
      <c r="B428" s="13"/>
      <c r="C428" s="13"/>
      <c r="E428" s="13"/>
      <c r="M428" s="72"/>
    </row>
    <row r="429">
      <c r="A429" s="13"/>
      <c r="B429" s="13"/>
      <c r="C429" s="13"/>
      <c r="E429" s="13"/>
      <c r="M429" s="72"/>
    </row>
    <row r="430">
      <c r="A430" s="13"/>
      <c r="B430" s="13"/>
      <c r="C430" s="13"/>
      <c r="E430" s="13"/>
      <c r="M430" s="72"/>
    </row>
    <row r="431">
      <c r="A431" s="13"/>
      <c r="B431" s="13"/>
      <c r="C431" s="13"/>
      <c r="E431" s="13"/>
      <c r="M431" s="72"/>
    </row>
    <row r="432">
      <c r="A432" s="13"/>
      <c r="B432" s="13"/>
      <c r="C432" s="13"/>
      <c r="E432" s="13"/>
      <c r="M432" s="72"/>
    </row>
    <row r="433">
      <c r="A433" s="13"/>
      <c r="B433" s="13"/>
      <c r="C433" s="13"/>
      <c r="E433" s="13"/>
      <c r="M433" s="72"/>
    </row>
    <row r="434">
      <c r="A434" s="13"/>
      <c r="B434" s="13"/>
      <c r="C434" s="13"/>
      <c r="E434" s="13"/>
      <c r="M434" s="72"/>
    </row>
    <row r="435">
      <c r="A435" s="13"/>
      <c r="B435" s="13"/>
      <c r="C435" s="13"/>
      <c r="E435" s="13"/>
      <c r="M435" s="72"/>
    </row>
    <row r="436">
      <c r="A436" s="13"/>
      <c r="B436" s="13"/>
      <c r="C436" s="13"/>
      <c r="E436" s="13"/>
      <c r="M436" s="72"/>
    </row>
    <row r="437">
      <c r="A437" s="13"/>
      <c r="B437" s="13"/>
      <c r="C437" s="13"/>
      <c r="E437" s="13"/>
      <c r="M437" s="72"/>
    </row>
    <row r="438">
      <c r="A438" s="13"/>
      <c r="B438" s="13"/>
      <c r="C438" s="13"/>
      <c r="E438" s="13"/>
      <c r="M438" s="72"/>
    </row>
    <row r="439">
      <c r="A439" s="13"/>
      <c r="B439" s="13"/>
      <c r="C439" s="13"/>
      <c r="E439" s="13"/>
      <c r="M439" s="72"/>
    </row>
    <row r="440">
      <c r="A440" s="13"/>
      <c r="B440" s="13"/>
      <c r="C440" s="13"/>
      <c r="E440" s="13"/>
      <c r="M440" s="72"/>
    </row>
    <row r="441">
      <c r="A441" s="13"/>
      <c r="B441" s="13"/>
      <c r="C441" s="13"/>
      <c r="E441" s="13"/>
      <c r="M441" s="72"/>
    </row>
    <row r="442">
      <c r="A442" s="13"/>
      <c r="B442" s="13"/>
      <c r="C442" s="13"/>
      <c r="E442" s="13"/>
      <c r="M442" s="72"/>
    </row>
    <row r="443">
      <c r="A443" s="13"/>
      <c r="B443" s="13"/>
      <c r="C443" s="13"/>
      <c r="E443" s="13"/>
      <c r="M443" s="72"/>
    </row>
    <row r="444">
      <c r="A444" s="13"/>
      <c r="B444" s="13"/>
      <c r="C444" s="13"/>
      <c r="E444" s="13"/>
      <c r="M444" s="72"/>
    </row>
    <row r="445">
      <c r="A445" s="13"/>
      <c r="B445" s="13"/>
      <c r="C445" s="13"/>
      <c r="E445" s="13"/>
      <c r="M445" s="72"/>
    </row>
    <row r="446">
      <c r="A446" s="13"/>
      <c r="B446" s="13"/>
      <c r="C446" s="13"/>
      <c r="E446" s="13"/>
      <c r="M446" s="72"/>
    </row>
    <row r="447">
      <c r="A447" s="13"/>
      <c r="B447" s="13"/>
      <c r="C447" s="13"/>
      <c r="E447" s="13"/>
      <c r="M447" s="72"/>
    </row>
    <row r="448">
      <c r="A448" s="13"/>
      <c r="B448" s="13"/>
      <c r="C448" s="13"/>
      <c r="E448" s="13"/>
      <c r="M448" s="72"/>
    </row>
    <row r="449">
      <c r="A449" s="13"/>
      <c r="B449" s="13"/>
      <c r="C449" s="13"/>
      <c r="E449" s="13"/>
      <c r="M449" s="72"/>
    </row>
    <row r="450">
      <c r="A450" s="13"/>
      <c r="B450" s="13"/>
      <c r="C450" s="13"/>
      <c r="E450" s="13"/>
      <c r="M450" s="72"/>
    </row>
    <row r="451">
      <c r="A451" s="13"/>
      <c r="B451" s="13"/>
      <c r="C451" s="13"/>
      <c r="E451" s="13"/>
      <c r="M451" s="72"/>
    </row>
    <row r="452">
      <c r="A452" s="13"/>
      <c r="B452" s="13"/>
      <c r="C452" s="13"/>
      <c r="E452" s="13"/>
      <c r="M452" s="72"/>
    </row>
    <row r="453">
      <c r="A453" s="13"/>
      <c r="B453" s="13"/>
      <c r="C453" s="13"/>
      <c r="E453" s="13"/>
      <c r="M453" s="72"/>
    </row>
    <row r="454">
      <c r="A454" s="13"/>
      <c r="B454" s="13"/>
      <c r="C454" s="13"/>
      <c r="E454" s="13"/>
      <c r="M454" s="72"/>
    </row>
    <row r="455">
      <c r="A455" s="13"/>
      <c r="B455" s="13"/>
      <c r="C455" s="13"/>
      <c r="E455" s="13"/>
      <c r="M455" s="72"/>
    </row>
    <row r="456">
      <c r="A456" s="13"/>
      <c r="B456" s="13"/>
      <c r="C456" s="13"/>
      <c r="E456" s="13"/>
      <c r="M456" s="72"/>
    </row>
    <row r="457">
      <c r="A457" s="13"/>
      <c r="B457" s="13"/>
      <c r="C457" s="13"/>
      <c r="E457" s="13"/>
      <c r="M457" s="72"/>
    </row>
    <row r="458">
      <c r="A458" s="13"/>
      <c r="B458" s="13"/>
      <c r="C458" s="13"/>
      <c r="E458" s="13"/>
      <c r="M458" s="72"/>
    </row>
    <row r="459">
      <c r="A459" s="13"/>
      <c r="B459" s="13"/>
      <c r="C459" s="13"/>
      <c r="E459" s="13"/>
      <c r="M459" s="72"/>
    </row>
    <row r="460">
      <c r="A460" s="13"/>
      <c r="B460" s="13"/>
      <c r="C460" s="13"/>
      <c r="E460" s="13"/>
      <c r="M460" s="72"/>
    </row>
    <row r="461">
      <c r="A461" s="13"/>
      <c r="B461" s="13"/>
      <c r="C461" s="13"/>
      <c r="E461" s="13"/>
      <c r="M461" s="72"/>
    </row>
    <row r="462">
      <c r="A462" s="13"/>
      <c r="B462" s="13"/>
      <c r="C462" s="13"/>
      <c r="E462" s="13"/>
      <c r="M462" s="72"/>
    </row>
    <row r="463">
      <c r="A463" s="13"/>
      <c r="B463" s="13"/>
      <c r="C463" s="13"/>
      <c r="E463" s="13"/>
      <c r="M463" s="72"/>
    </row>
    <row r="464">
      <c r="A464" s="13"/>
      <c r="B464" s="13"/>
      <c r="C464" s="13"/>
      <c r="E464" s="13"/>
      <c r="M464" s="72"/>
    </row>
    <row r="465">
      <c r="A465" s="13"/>
      <c r="B465" s="13"/>
      <c r="C465" s="13"/>
      <c r="E465" s="13"/>
      <c r="M465" s="72"/>
    </row>
    <row r="466">
      <c r="A466" s="13"/>
      <c r="B466" s="13"/>
      <c r="C466" s="13"/>
      <c r="E466" s="13"/>
      <c r="M466" s="72"/>
    </row>
    <row r="467">
      <c r="A467" s="13"/>
      <c r="B467" s="13"/>
      <c r="C467" s="13"/>
      <c r="E467" s="13"/>
      <c r="M467" s="72"/>
    </row>
    <row r="468">
      <c r="A468" s="13"/>
      <c r="B468" s="13"/>
      <c r="C468" s="13"/>
      <c r="E468" s="13"/>
      <c r="M468" s="72"/>
    </row>
    <row r="469">
      <c r="A469" s="13"/>
      <c r="B469" s="13"/>
      <c r="C469" s="13"/>
      <c r="E469" s="13"/>
      <c r="M469" s="72"/>
    </row>
    <row r="470">
      <c r="A470" s="13"/>
      <c r="B470" s="13"/>
      <c r="C470" s="13"/>
      <c r="E470" s="13"/>
      <c r="M470" s="72"/>
    </row>
    <row r="471">
      <c r="A471" s="13"/>
      <c r="B471" s="13"/>
      <c r="C471" s="13"/>
      <c r="E471" s="13"/>
      <c r="M471" s="72"/>
    </row>
    <row r="472">
      <c r="A472" s="13"/>
      <c r="B472" s="13"/>
      <c r="C472" s="13"/>
      <c r="E472" s="13"/>
      <c r="M472" s="72"/>
    </row>
    <row r="473">
      <c r="A473" s="13"/>
      <c r="B473" s="13"/>
      <c r="C473" s="13"/>
      <c r="E473" s="13"/>
      <c r="M473" s="72"/>
    </row>
    <row r="474">
      <c r="A474" s="13"/>
      <c r="B474" s="13"/>
      <c r="C474" s="13"/>
      <c r="E474" s="13"/>
      <c r="M474" s="72"/>
    </row>
    <row r="475">
      <c r="A475" s="13"/>
      <c r="B475" s="13"/>
      <c r="C475" s="13"/>
      <c r="E475" s="13"/>
      <c r="M475" s="72"/>
    </row>
    <row r="476">
      <c r="A476" s="13"/>
      <c r="B476" s="13"/>
      <c r="C476" s="13"/>
      <c r="E476" s="13"/>
      <c r="M476" s="72"/>
    </row>
    <row r="477">
      <c r="A477" s="13"/>
      <c r="B477" s="13"/>
      <c r="C477" s="13"/>
      <c r="E477" s="13"/>
      <c r="M477" s="72"/>
    </row>
    <row r="478">
      <c r="A478" s="13"/>
      <c r="B478" s="13"/>
      <c r="C478" s="13"/>
      <c r="E478" s="13"/>
      <c r="M478" s="72"/>
    </row>
    <row r="479">
      <c r="A479" s="13"/>
      <c r="B479" s="13"/>
      <c r="C479" s="13"/>
      <c r="E479" s="13"/>
      <c r="M479" s="72"/>
    </row>
    <row r="480">
      <c r="A480" s="13"/>
      <c r="B480" s="13"/>
      <c r="C480" s="13"/>
      <c r="E480" s="13"/>
      <c r="M480" s="72"/>
    </row>
    <row r="481">
      <c r="A481" s="13"/>
      <c r="B481" s="13"/>
      <c r="C481" s="13"/>
      <c r="E481" s="13"/>
      <c r="M481" s="72"/>
    </row>
    <row r="482">
      <c r="A482" s="13"/>
      <c r="B482" s="13"/>
      <c r="C482" s="13"/>
      <c r="E482" s="13"/>
      <c r="M482" s="72"/>
    </row>
    <row r="483">
      <c r="A483" s="13"/>
      <c r="B483" s="13"/>
      <c r="C483" s="13"/>
      <c r="E483" s="13"/>
      <c r="M483" s="72"/>
    </row>
    <row r="484">
      <c r="A484" s="13"/>
      <c r="B484" s="13"/>
      <c r="C484" s="13"/>
      <c r="E484" s="13"/>
      <c r="M484" s="72"/>
    </row>
    <row r="485">
      <c r="A485" s="13"/>
      <c r="B485" s="13"/>
      <c r="C485" s="13"/>
      <c r="E485" s="13"/>
      <c r="M485" s="72"/>
    </row>
    <row r="486">
      <c r="A486" s="13"/>
      <c r="B486" s="13"/>
      <c r="C486" s="13"/>
      <c r="E486" s="13"/>
      <c r="M486" s="72"/>
    </row>
    <row r="487">
      <c r="A487" s="13"/>
      <c r="B487" s="13"/>
      <c r="C487" s="13"/>
      <c r="E487" s="13"/>
      <c r="M487" s="72"/>
    </row>
    <row r="488">
      <c r="A488" s="13"/>
      <c r="B488" s="13"/>
      <c r="C488" s="13"/>
      <c r="E488" s="13"/>
      <c r="M488" s="72"/>
    </row>
    <row r="489">
      <c r="A489" s="13"/>
      <c r="B489" s="13"/>
      <c r="C489" s="13"/>
      <c r="E489" s="13"/>
      <c r="M489" s="72"/>
    </row>
    <row r="490">
      <c r="A490" s="13"/>
      <c r="B490" s="13"/>
      <c r="C490" s="13"/>
      <c r="E490" s="13"/>
      <c r="M490" s="72"/>
    </row>
    <row r="491">
      <c r="A491" s="13"/>
      <c r="B491" s="13"/>
      <c r="C491" s="13"/>
      <c r="E491" s="13"/>
      <c r="M491" s="72"/>
    </row>
    <row r="492">
      <c r="A492" s="13"/>
      <c r="B492" s="13"/>
      <c r="C492" s="13"/>
      <c r="E492" s="13"/>
      <c r="M492" s="72"/>
    </row>
    <row r="493">
      <c r="A493" s="13"/>
      <c r="B493" s="13"/>
      <c r="C493" s="13"/>
      <c r="E493" s="13"/>
      <c r="M493" s="72"/>
    </row>
    <row r="494">
      <c r="A494" s="13"/>
      <c r="B494" s="13"/>
      <c r="C494" s="13"/>
      <c r="E494" s="13"/>
      <c r="M494" s="72"/>
    </row>
    <row r="495">
      <c r="A495" s="13"/>
      <c r="B495" s="13"/>
      <c r="C495" s="13"/>
      <c r="E495" s="13"/>
      <c r="M495" s="72"/>
    </row>
    <row r="496">
      <c r="A496" s="13"/>
      <c r="B496" s="13"/>
      <c r="C496" s="13"/>
      <c r="E496" s="13"/>
      <c r="M496" s="72"/>
    </row>
    <row r="497">
      <c r="A497" s="13"/>
      <c r="B497" s="13"/>
      <c r="C497" s="13"/>
      <c r="E497" s="13"/>
      <c r="M497" s="72"/>
    </row>
    <row r="498">
      <c r="A498" s="13"/>
      <c r="B498" s="13"/>
      <c r="C498" s="13"/>
      <c r="E498" s="13"/>
      <c r="M498" s="72"/>
    </row>
    <row r="499">
      <c r="A499" s="13"/>
      <c r="B499" s="13"/>
      <c r="C499" s="13"/>
      <c r="E499" s="13"/>
      <c r="M499" s="72"/>
    </row>
    <row r="500">
      <c r="A500" s="13"/>
      <c r="B500" s="13"/>
      <c r="C500" s="13"/>
      <c r="E500" s="13"/>
      <c r="M500" s="72"/>
    </row>
    <row r="501">
      <c r="A501" s="13"/>
      <c r="B501" s="13"/>
      <c r="C501" s="13"/>
      <c r="E501" s="13"/>
      <c r="M501" s="72"/>
    </row>
    <row r="502">
      <c r="A502" s="13"/>
      <c r="B502" s="13"/>
      <c r="C502" s="13"/>
      <c r="E502" s="13"/>
      <c r="M502" s="72"/>
    </row>
    <row r="503">
      <c r="A503" s="13"/>
      <c r="B503" s="13"/>
      <c r="C503" s="13"/>
      <c r="E503" s="13"/>
      <c r="M503" s="72"/>
    </row>
    <row r="504">
      <c r="A504" s="13"/>
      <c r="B504" s="13"/>
      <c r="C504" s="13"/>
      <c r="E504" s="13"/>
      <c r="M504" s="72"/>
    </row>
    <row r="505">
      <c r="A505" s="13"/>
      <c r="B505" s="13"/>
      <c r="C505" s="13"/>
      <c r="E505" s="13"/>
      <c r="M505" s="72"/>
    </row>
    <row r="506">
      <c r="A506" s="13"/>
      <c r="B506" s="13"/>
      <c r="C506" s="13"/>
      <c r="E506" s="13"/>
      <c r="M506" s="72"/>
    </row>
    <row r="507">
      <c r="A507" s="13"/>
      <c r="B507" s="13"/>
      <c r="C507" s="13"/>
      <c r="E507" s="13"/>
      <c r="M507" s="72"/>
    </row>
    <row r="508">
      <c r="A508" s="13"/>
      <c r="B508" s="13"/>
      <c r="C508" s="13"/>
      <c r="E508" s="13"/>
      <c r="M508" s="72"/>
    </row>
    <row r="509">
      <c r="A509" s="13"/>
      <c r="B509" s="13"/>
      <c r="C509" s="13"/>
      <c r="E509" s="13"/>
      <c r="M509" s="72"/>
    </row>
    <row r="510">
      <c r="A510" s="13"/>
      <c r="B510" s="13"/>
      <c r="C510" s="13"/>
      <c r="E510" s="13"/>
      <c r="M510" s="72"/>
    </row>
    <row r="511">
      <c r="A511" s="13"/>
      <c r="B511" s="13"/>
      <c r="C511" s="13"/>
      <c r="E511" s="13"/>
      <c r="M511" s="72"/>
    </row>
    <row r="512">
      <c r="A512" s="13"/>
      <c r="B512" s="13"/>
      <c r="C512" s="13"/>
      <c r="E512" s="13"/>
      <c r="M512" s="72"/>
    </row>
    <row r="513">
      <c r="A513" s="13"/>
      <c r="B513" s="13"/>
      <c r="C513" s="13"/>
      <c r="E513" s="13"/>
      <c r="M513" s="72"/>
    </row>
    <row r="514">
      <c r="A514" s="13"/>
      <c r="B514" s="13"/>
      <c r="C514" s="13"/>
      <c r="E514" s="13"/>
      <c r="M514" s="72"/>
    </row>
    <row r="515">
      <c r="A515" s="13"/>
      <c r="B515" s="13"/>
      <c r="C515" s="13"/>
      <c r="E515" s="13"/>
      <c r="M515" s="72"/>
    </row>
    <row r="516">
      <c r="A516" s="13"/>
      <c r="B516" s="13"/>
      <c r="C516" s="13"/>
      <c r="E516" s="13"/>
      <c r="M516" s="72"/>
    </row>
    <row r="517">
      <c r="A517" s="13"/>
      <c r="B517" s="13"/>
      <c r="C517" s="13"/>
      <c r="E517" s="13"/>
      <c r="M517" s="72"/>
    </row>
    <row r="518">
      <c r="A518" s="13"/>
      <c r="B518" s="13"/>
      <c r="C518" s="13"/>
      <c r="E518" s="13"/>
      <c r="M518" s="72"/>
    </row>
    <row r="519">
      <c r="A519" s="13"/>
      <c r="B519" s="13"/>
      <c r="C519" s="13"/>
      <c r="E519" s="13"/>
      <c r="M519" s="72"/>
    </row>
    <row r="520">
      <c r="A520" s="13"/>
      <c r="B520" s="13"/>
      <c r="C520" s="13"/>
      <c r="E520" s="13"/>
      <c r="M520" s="72"/>
    </row>
    <row r="521">
      <c r="A521" s="13"/>
      <c r="B521" s="13"/>
      <c r="C521" s="13"/>
      <c r="E521" s="13"/>
      <c r="M521" s="72"/>
    </row>
    <row r="522">
      <c r="A522" s="13"/>
      <c r="B522" s="13"/>
      <c r="C522" s="13"/>
      <c r="E522" s="13"/>
      <c r="M522" s="72"/>
    </row>
    <row r="523">
      <c r="A523" s="13"/>
      <c r="B523" s="13"/>
      <c r="C523" s="13"/>
      <c r="E523" s="13"/>
      <c r="M523" s="72"/>
    </row>
    <row r="524">
      <c r="A524" s="13"/>
      <c r="B524" s="13"/>
      <c r="C524" s="13"/>
      <c r="E524" s="13"/>
      <c r="M524" s="72"/>
    </row>
    <row r="525">
      <c r="A525" s="13"/>
      <c r="B525" s="13"/>
      <c r="C525" s="13"/>
      <c r="E525" s="13"/>
      <c r="M525" s="72"/>
    </row>
    <row r="526">
      <c r="A526" s="13"/>
      <c r="B526" s="13"/>
      <c r="C526" s="13"/>
      <c r="E526" s="13"/>
      <c r="M526" s="72"/>
    </row>
    <row r="527">
      <c r="A527" s="13"/>
      <c r="B527" s="13"/>
      <c r="C527" s="13"/>
      <c r="E527" s="13"/>
      <c r="M527" s="72"/>
    </row>
    <row r="528">
      <c r="A528" s="13"/>
      <c r="B528" s="13"/>
      <c r="C528" s="13"/>
      <c r="E528" s="13"/>
      <c r="M528" s="72"/>
    </row>
    <row r="529">
      <c r="A529" s="13"/>
      <c r="B529" s="13"/>
      <c r="C529" s="13"/>
      <c r="E529" s="13"/>
      <c r="M529" s="72"/>
    </row>
    <row r="530">
      <c r="A530" s="13"/>
      <c r="B530" s="13"/>
      <c r="C530" s="13"/>
      <c r="E530" s="13"/>
      <c r="M530" s="72"/>
    </row>
    <row r="531">
      <c r="A531" s="13"/>
      <c r="B531" s="13"/>
      <c r="C531" s="13"/>
      <c r="E531" s="13"/>
      <c r="M531" s="72"/>
    </row>
    <row r="532">
      <c r="A532" s="13"/>
      <c r="B532" s="13"/>
      <c r="C532" s="13"/>
      <c r="E532" s="13"/>
      <c r="M532" s="72"/>
    </row>
    <row r="533">
      <c r="A533" s="13"/>
      <c r="B533" s="13"/>
      <c r="C533" s="13"/>
      <c r="E533" s="13"/>
      <c r="M533" s="72"/>
    </row>
    <row r="534">
      <c r="A534" s="13"/>
      <c r="B534" s="13"/>
      <c r="C534" s="13"/>
      <c r="E534" s="13"/>
      <c r="M534" s="72"/>
    </row>
    <row r="535">
      <c r="A535" s="13"/>
      <c r="B535" s="13"/>
      <c r="C535" s="13"/>
      <c r="E535" s="13"/>
      <c r="M535" s="72"/>
    </row>
    <row r="536">
      <c r="A536" s="13"/>
      <c r="B536" s="13"/>
      <c r="C536" s="13"/>
      <c r="E536" s="13"/>
      <c r="M536" s="72"/>
    </row>
    <row r="537">
      <c r="A537" s="13"/>
      <c r="B537" s="13"/>
      <c r="C537" s="13"/>
      <c r="E537" s="13"/>
      <c r="M537" s="72"/>
    </row>
    <row r="538">
      <c r="A538" s="13"/>
      <c r="B538" s="13"/>
      <c r="C538" s="13"/>
      <c r="E538" s="13"/>
      <c r="M538" s="72"/>
    </row>
    <row r="539">
      <c r="A539" s="13"/>
      <c r="B539" s="13"/>
      <c r="C539" s="13"/>
      <c r="E539" s="13"/>
      <c r="M539" s="72"/>
    </row>
    <row r="540">
      <c r="A540" s="13"/>
      <c r="B540" s="13"/>
      <c r="C540" s="13"/>
      <c r="E540" s="13"/>
      <c r="M540" s="72"/>
    </row>
    <row r="541">
      <c r="A541" s="13"/>
      <c r="B541" s="13"/>
      <c r="C541" s="13"/>
      <c r="E541" s="13"/>
      <c r="M541" s="72"/>
    </row>
    <row r="542">
      <c r="A542" s="13"/>
      <c r="B542" s="13"/>
      <c r="C542" s="13"/>
      <c r="E542" s="13"/>
      <c r="M542" s="72"/>
    </row>
    <row r="543">
      <c r="A543" s="13"/>
      <c r="B543" s="13"/>
      <c r="C543" s="13"/>
      <c r="E543" s="13"/>
      <c r="M543" s="72"/>
    </row>
    <row r="544">
      <c r="A544" s="13"/>
      <c r="B544" s="13"/>
      <c r="C544" s="13"/>
      <c r="E544" s="13"/>
      <c r="M544" s="72"/>
    </row>
    <row r="545">
      <c r="A545" s="13"/>
      <c r="B545" s="13"/>
      <c r="C545" s="13"/>
      <c r="E545" s="13"/>
      <c r="M545" s="72"/>
    </row>
    <row r="546">
      <c r="A546" s="13"/>
      <c r="B546" s="13"/>
      <c r="C546" s="13"/>
      <c r="E546" s="13"/>
      <c r="M546" s="72"/>
    </row>
    <row r="547">
      <c r="A547" s="13"/>
      <c r="B547" s="13"/>
      <c r="C547" s="13"/>
      <c r="E547" s="13"/>
      <c r="M547" s="72"/>
    </row>
    <row r="548">
      <c r="A548" s="13"/>
      <c r="B548" s="13"/>
      <c r="C548" s="13"/>
      <c r="E548" s="13"/>
      <c r="M548" s="72"/>
    </row>
    <row r="549">
      <c r="A549" s="13"/>
      <c r="B549" s="13"/>
      <c r="C549" s="13"/>
      <c r="E549" s="13"/>
      <c r="M549" s="72"/>
    </row>
    <row r="550">
      <c r="A550" s="13"/>
      <c r="B550" s="13"/>
      <c r="C550" s="13"/>
      <c r="E550" s="13"/>
      <c r="M550" s="72"/>
    </row>
    <row r="551">
      <c r="A551" s="13"/>
      <c r="B551" s="13"/>
      <c r="C551" s="13"/>
      <c r="E551" s="13"/>
      <c r="M551" s="72"/>
    </row>
    <row r="552">
      <c r="A552" s="13"/>
      <c r="B552" s="13"/>
      <c r="C552" s="13"/>
      <c r="E552" s="13"/>
      <c r="M552" s="72"/>
    </row>
    <row r="553">
      <c r="A553" s="13"/>
      <c r="B553" s="13"/>
      <c r="C553" s="13"/>
      <c r="E553" s="13"/>
      <c r="M553" s="72"/>
    </row>
    <row r="554">
      <c r="A554" s="13"/>
      <c r="B554" s="13"/>
      <c r="C554" s="13"/>
      <c r="E554" s="13"/>
      <c r="M554" s="72"/>
    </row>
    <row r="555">
      <c r="A555" s="13"/>
      <c r="B555" s="13"/>
      <c r="C555" s="13"/>
      <c r="E555" s="13"/>
      <c r="M555" s="72"/>
    </row>
    <row r="556">
      <c r="A556" s="13"/>
      <c r="B556" s="13"/>
      <c r="C556" s="13"/>
      <c r="E556" s="13"/>
      <c r="M556" s="72"/>
    </row>
    <row r="557">
      <c r="A557" s="13"/>
      <c r="B557" s="13"/>
      <c r="C557" s="13"/>
      <c r="E557" s="13"/>
      <c r="M557" s="72"/>
    </row>
    <row r="558">
      <c r="A558" s="13"/>
      <c r="B558" s="13"/>
      <c r="C558" s="13"/>
      <c r="E558" s="13"/>
      <c r="M558" s="72"/>
    </row>
    <row r="559">
      <c r="A559" s="13"/>
      <c r="B559" s="13"/>
      <c r="C559" s="13"/>
      <c r="E559" s="13"/>
      <c r="M559" s="72"/>
    </row>
    <row r="560">
      <c r="A560" s="13"/>
      <c r="B560" s="13"/>
      <c r="C560" s="13"/>
      <c r="E560" s="13"/>
      <c r="M560" s="72"/>
    </row>
    <row r="561">
      <c r="A561" s="13"/>
      <c r="B561" s="13"/>
      <c r="C561" s="13"/>
      <c r="E561" s="13"/>
      <c r="M561" s="72"/>
    </row>
    <row r="562">
      <c r="A562" s="13"/>
      <c r="B562" s="13"/>
      <c r="C562" s="13"/>
      <c r="E562" s="13"/>
      <c r="M562" s="72"/>
    </row>
    <row r="563">
      <c r="A563" s="13"/>
      <c r="B563" s="13"/>
      <c r="C563" s="13"/>
      <c r="E563" s="13"/>
      <c r="M563" s="72"/>
    </row>
    <row r="564">
      <c r="A564" s="13"/>
      <c r="B564" s="13"/>
      <c r="C564" s="13"/>
      <c r="E564" s="13"/>
      <c r="M564" s="72"/>
    </row>
    <row r="565">
      <c r="A565" s="13"/>
      <c r="B565" s="13"/>
      <c r="C565" s="13"/>
      <c r="E565" s="13"/>
      <c r="M565" s="72"/>
    </row>
    <row r="566">
      <c r="A566" s="13"/>
      <c r="B566" s="13"/>
      <c r="C566" s="13"/>
      <c r="E566" s="13"/>
      <c r="M566" s="72"/>
    </row>
    <row r="567">
      <c r="A567" s="13"/>
      <c r="B567" s="13"/>
      <c r="C567" s="13"/>
      <c r="E567" s="13"/>
      <c r="M567" s="72"/>
    </row>
    <row r="568">
      <c r="A568" s="13"/>
      <c r="B568" s="13"/>
      <c r="C568" s="13"/>
      <c r="E568" s="13"/>
      <c r="M568" s="72"/>
    </row>
    <row r="569">
      <c r="A569" s="13"/>
      <c r="B569" s="13"/>
      <c r="C569" s="13"/>
      <c r="E569" s="13"/>
      <c r="M569" s="72"/>
    </row>
    <row r="570">
      <c r="A570" s="13"/>
      <c r="B570" s="13"/>
      <c r="C570" s="13"/>
      <c r="E570" s="13"/>
      <c r="M570" s="72"/>
    </row>
    <row r="571">
      <c r="A571" s="13"/>
      <c r="B571" s="13"/>
      <c r="C571" s="13"/>
      <c r="E571" s="13"/>
      <c r="M571" s="72"/>
    </row>
    <row r="572">
      <c r="A572" s="13"/>
      <c r="B572" s="13"/>
      <c r="C572" s="13"/>
      <c r="E572" s="13"/>
      <c r="M572" s="72"/>
    </row>
    <row r="573">
      <c r="A573" s="13"/>
      <c r="B573" s="13"/>
      <c r="C573" s="13"/>
      <c r="E573" s="13"/>
      <c r="M573" s="72"/>
    </row>
    <row r="574">
      <c r="A574" s="13"/>
      <c r="B574" s="13"/>
      <c r="C574" s="13"/>
      <c r="E574" s="13"/>
      <c r="M574" s="72"/>
    </row>
    <row r="575">
      <c r="A575" s="13"/>
      <c r="B575" s="13"/>
      <c r="C575" s="13"/>
      <c r="E575" s="13"/>
      <c r="M575" s="72"/>
    </row>
    <row r="576">
      <c r="A576" s="13"/>
      <c r="B576" s="13"/>
      <c r="C576" s="13"/>
      <c r="E576" s="13"/>
      <c r="M576" s="72"/>
    </row>
    <row r="577">
      <c r="A577" s="13"/>
      <c r="B577" s="13"/>
      <c r="C577" s="13"/>
      <c r="E577" s="13"/>
      <c r="M577" s="72"/>
    </row>
    <row r="578">
      <c r="A578" s="13"/>
      <c r="B578" s="13"/>
      <c r="C578" s="13"/>
      <c r="E578" s="13"/>
      <c r="M578" s="72"/>
    </row>
    <row r="579">
      <c r="A579" s="13"/>
      <c r="B579" s="13"/>
      <c r="C579" s="13"/>
      <c r="E579" s="13"/>
      <c r="M579" s="72"/>
    </row>
    <row r="580">
      <c r="A580" s="13"/>
      <c r="B580" s="13"/>
      <c r="C580" s="13"/>
      <c r="E580" s="13"/>
      <c r="M580" s="72"/>
    </row>
    <row r="581">
      <c r="A581" s="13"/>
      <c r="B581" s="13"/>
      <c r="C581" s="13"/>
      <c r="E581" s="13"/>
      <c r="M581" s="72"/>
    </row>
    <row r="582">
      <c r="A582" s="13"/>
      <c r="B582" s="13"/>
      <c r="C582" s="13"/>
      <c r="E582" s="13"/>
      <c r="M582" s="72"/>
    </row>
    <row r="583">
      <c r="A583" s="13"/>
      <c r="B583" s="13"/>
      <c r="C583" s="13"/>
      <c r="E583" s="13"/>
      <c r="M583" s="72"/>
    </row>
    <row r="584">
      <c r="A584" s="13"/>
      <c r="B584" s="13"/>
      <c r="C584" s="13"/>
      <c r="E584" s="13"/>
      <c r="M584" s="72"/>
    </row>
    <row r="585">
      <c r="A585" s="13"/>
      <c r="B585" s="13"/>
      <c r="C585" s="13"/>
      <c r="E585" s="13"/>
      <c r="M585" s="72"/>
    </row>
    <row r="586">
      <c r="A586" s="13"/>
      <c r="B586" s="13"/>
      <c r="C586" s="13"/>
      <c r="E586" s="13"/>
      <c r="M586" s="72"/>
    </row>
    <row r="587">
      <c r="A587" s="13"/>
      <c r="B587" s="13"/>
      <c r="C587" s="13"/>
      <c r="E587" s="13"/>
      <c r="M587" s="72"/>
    </row>
    <row r="588">
      <c r="A588" s="13"/>
      <c r="B588" s="13"/>
      <c r="C588" s="13"/>
      <c r="E588" s="13"/>
      <c r="M588" s="72"/>
    </row>
    <row r="589">
      <c r="A589" s="13"/>
      <c r="B589" s="13"/>
      <c r="C589" s="13"/>
      <c r="E589" s="13"/>
      <c r="M589" s="72"/>
    </row>
    <row r="590">
      <c r="A590" s="13"/>
      <c r="B590" s="13"/>
      <c r="C590" s="13"/>
      <c r="E590" s="13"/>
      <c r="M590" s="72"/>
    </row>
    <row r="591">
      <c r="A591" s="13"/>
      <c r="B591" s="13"/>
      <c r="C591" s="13"/>
      <c r="E591" s="13"/>
      <c r="M591" s="72"/>
    </row>
    <row r="592">
      <c r="A592" s="13"/>
      <c r="B592" s="13"/>
      <c r="C592" s="13"/>
      <c r="E592" s="13"/>
      <c r="M592" s="72"/>
    </row>
    <row r="593">
      <c r="A593" s="13"/>
      <c r="B593" s="13"/>
      <c r="C593" s="13"/>
      <c r="E593" s="13"/>
      <c r="M593" s="72"/>
    </row>
    <row r="594">
      <c r="A594" s="13"/>
      <c r="B594" s="13"/>
      <c r="C594" s="13"/>
      <c r="E594" s="13"/>
      <c r="M594" s="72"/>
    </row>
    <row r="595">
      <c r="A595" s="13"/>
      <c r="B595" s="13"/>
      <c r="C595" s="13"/>
      <c r="E595" s="13"/>
      <c r="M595" s="72"/>
    </row>
    <row r="596">
      <c r="A596" s="13"/>
      <c r="B596" s="13"/>
      <c r="C596" s="13"/>
      <c r="E596" s="13"/>
      <c r="M596" s="72"/>
    </row>
    <row r="597">
      <c r="A597" s="13"/>
      <c r="B597" s="13"/>
      <c r="C597" s="13"/>
      <c r="E597" s="13"/>
      <c r="M597" s="72"/>
    </row>
    <row r="598">
      <c r="A598" s="13"/>
      <c r="B598" s="13"/>
      <c r="C598" s="13"/>
      <c r="E598" s="13"/>
      <c r="M598" s="72"/>
    </row>
    <row r="599">
      <c r="A599" s="13"/>
      <c r="B599" s="13"/>
      <c r="C599" s="13"/>
      <c r="E599" s="13"/>
      <c r="M599" s="72"/>
    </row>
    <row r="600">
      <c r="A600" s="13"/>
      <c r="B600" s="13"/>
      <c r="C600" s="13"/>
      <c r="E600" s="13"/>
      <c r="M600" s="72"/>
    </row>
    <row r="601">
      <c r="A601" s="13"/>
      <c r="B601" s="13"/>
      <c r="C601" s="13"/>
      <c r="E601" s="13"/>
      <c r="M601" s="72"/>
    </row>
    <row r="602">
      <c r="A602" s="13"/>
      <c r="B602" s="13"/>
      <c r="C602" s="13"/>
      <c r="E602" s="13"/>
      <c r="M602" s="72"/>
    </row>
    <row r="603">
      <c r="A603" s="13"/>
      <c r="B603" s="13"/>
      <c r="C603" s="13"/>
      <c r="E603" s="13"/>
      <c r="M603" s="72"/>
    </row>
    <row r="604">
      <c r="A604" s="13"/>
      <c r="B604" s="13"/>
      <c r="C604" s="13"/>
      <c r="E604" s="13"/>
      <c r="M604" s="72"/>
    </row>
    <row r="605">
      <c r="A605" s="13"/>
      <c r="B605" s="13"/>
      <c r="C605" s="13"/>
      <c r="E605" s="13"/>
      <c r="M605" s="72"/>
    </row>
    <row r="606">
      <c r="A606" s="13"/>
      <c r="B606" s="13"/>
      <c r="C606" s="13"/>
      <c r="E606" s="13"/>
      <c r="M606" s="72"/>
    </row>
    <row r="607">
      <c r="A607" s="13"/>
      <c r="B607" s="13"/>
      <c r="C607" s="13"/>
      <c r="E607" s="13"/>
      <c r="M607" s="72"/>
    </row>
    <row r="608">
      <c r="A608" s="13"/>
      <c r="B608" s="13"/>
      <c r="C608" s="13"/>
      <c r="E608" s="13"/>
      <c r="M608" s="72"/>
    </row>
    <row r="609">
      <c r="A609" s="13"/>
      <c r="B609" s="13"/>
      <c r="C609" s="13"/>
      <c r="E609" s="13"/>
      <c r="M609" s="72"/>
    </row>
    <row r="610">
      <c r="A610" s="13"/>
      <c r="B610" s="13"/>
      <c r="C610" s="13"/>
      <c r="E610" s="13"/>
      <c r="M610" s="72"/>
    </row>
    <row r="611">
      <c r="A611" s="13"/>
      <c r="B611" s="13"/>
      <c r="C611" s="13"/>
      <c r="E611" s="13"/>
      <c r="M611" s="72"/>
    </row>
    <row r="612">
      <c r="A612" s="13"/>
      <c r="B612" s="13"/>
      <c r="C612" s="13"/>
      <c r="E612" s="13"/>
      <c r="M612" s="72"/>
    </row>
    <row r="613">
      <c r="A613" s="13"/>
      <c r="B613" s="13"/>
      <c r="C613" s="13"/>
      <c r="E613" s="13"/>
      <c r="M613" s="72"/>
    </row>
    <row r="614">
      <c r="A614" s="13"/>
      <c r="B614" s="13"/>
      <c r="C614" s="13"/>
      <c r="E614" s="13"/>
      <c r="M614" s="72"/>
    </row>
    <row r="615">
      <c r="A615" s="13"/>
      <c r="B615" s="13"/>
      <c r="C615" s="13"/>
      <c r="E615" s="13"/>
      <c r="M615" s="72"/>
    </row>
    <row r="616">
      <c r="A616" s="13"/>
      <c r="B616" s="13"/>
      <c r="C616" s="13"/>
      <c r="E616" s="13"/>
      <c r="M616" s="72"/>
    </row>
    <row r="617">
      <c r="A617" s="13"/>
      <c r="B617" s="13"/>
      <c r="C617" s="13"/>
      <c r="E617" s="13"/>
      <c r="M617" s="72"/>
    </row>
    <row r="618">
      <c r="A618" s="13"/>
      <c r="B618" s="13"/>
      <c r="C618" s="13"/>
      <c r="E618" s="13"/>
      <c r="M618" s="72"/>
    </row>
    <row r="619">
      <c r="A619" s="13"/>
      <c r="B619" s="13"/>
      <c r="C619" s="13"/>
      <c r="E619" s="13"/>
      <c r="M619" s="72"/>
    </row>
    <row r="620">
      <c r="A620" s="13"/>
      <c r="B620" s="13"/>
      <c r="C620" s="13"/>
      <c r="E620" s="13"/>
      <c r="M620" s="72"/>
    </row>
    <row r="621">
      <c r="A621" s="13"/>
      <c r="B621" s="13"/>
      <c r="C621" s="13"/>
      <c r="E621" s="13"/>
      <c r="M621" s="72"/>
    </row>
    <row r="622">
      <c r="A622" s="13"/>
      <c r="B622" s="13"/>
      <c r="C622" s="13"/>
      <c r="E622" s="13"/>
      <c r="M622" s="72"/>
    </row>
    <row r="623">
      <c r="A623" s="13"/>
      <c r="B623" s="13"/>
      <c r="C623" s="13"/>
      <c r="E623" s="13"/>
      <c r="M623" s="72"/>
    </row>
    <row r="624">
      <c r="A624" s="13"/>
      <c r="B624" s="13"/>
      <c r="C624" s="13"/>
      <c r="E624" s="13"/>
      <c r="M624" s="72"/>
    </row>
    <row r="625">
      <c r="A625" s="13"/>
      <c r="B625" s="13"/>
      <c r="C625" s="13"/>
      <c r="E625" s="13"/>
      <c r="M625" s="72"/>
    </row>
    <row r="626">
      <c r="A626" s="13"/>
      <c r="B626" s="13"/>
      <c r="C626" s="13"/>
      <c r="E626" s="13"/>
      <c r="M626" s="72"/>
    </row>
    <row r="627">
      <c r="A627" s="13"/>
      <c r="B627" s="13"/>
      <c r="C627" s="13"/>
      <c r="E627" s="13"/>
      <c r="M627" s="72"/>
    </row>
    <row r="628">
      <c r="A628" s="13"/>
      <c r="B628" s="13"/>
      <c r="C628" s="13"/>
      <c r="E628" s="13"/>
      <c r="M628" s="72"/>
    </row>
    <row r="629">
      <c r="A629" s="13"/>
      <c r="B629" s="13"/>
      <c r="C629" s="13"/>
      <c r="E629" s="13"/>
      <c r="M629" s="72"/>
    </row>
    <row r="630">
      <c r="A630" s="13"/>
      <c r="B630" s="13"/>
      <c r="C630" s="13"/>
      <c r="E630" s="13"/>
      <c r="M630" s="72"/>
    </row>
    <row r="631">
      <c r="A631" s="13"/>
      <c r="B631" s="13"/>
      <c r="C631" s="13"/>
      <c r="E631" s="13"/>
      <c r="M631" s="72"/>
    </row>
    <row r="632">
      <c r="A632" s="13"/>
      <c r="B632" s="13"/>
      <c r="C632" s="13"/>
      <c r="E632" s="13"/>
      <c r="M632" s="72"/>
    </row>
    <row r="633">
      <c r="A633" s="13"/>
      <c r="B633" s="13"/>
      <c r="C633" s="13"/>
      <c r="E633" s="13"/>
      <c r="M633" s="72"/>
    </row>
    <row r="634">
      <c r="A634" s="13"/>
      <c r="B634" s="13"/>
      <c r="C634" s="13"/>
      <c r="E634" s="13"/>
      <c r="M634" s="72"/>
    </row>
    <row r="635">
      <c r="A635" s="13"/>
      <c r="B635" s="13"/>
      <c r="C635" s="13"/>
      <c r="E635" s="13"/>
      <c r="M635" s="72"/>
    </row>
    <row r="636">
      <c r="A636" s="13"/>
      <c r="B636" s="13"/>
      <c r="C636" s="13"/>
      <c r="E636" s="13"/>
      <c r="M636" s="72"/>
    </row>
    <row r="637">
      <c r="A637" s="13"/>
      <c r="B637" s="13"/>
      <c r="C637" s="13"/>
      <c r="E637" s="13"/>
      <c r="M637" s="72"/>
    </row>
    <row r="638">
      <c r="A638" s="13"/>
      <c r="B638" s="13"/>
      <c r="C638" s="13"/>
      <c r="E638" s="13"/>
      <c r="M638" s="72"/>
    </row>
    <row r="639">
      <c r="A639" s="13"/>
      <c r="B639" s="13"/>
      <c r="C639" s="13"/>
      <c r="E639" s="13"/>
      <c r="M639" s="72"/>
    </row>
    <row r="640">
      <c r="A640" s="13"/>
      <c r="B640" s="13"/>
      <c r="C640" s="13"/>
      <c r="E640" s="13"/>
      <c r="M640" s="72"/>
    </row>
    <row r="641">
      <c r="A641" s="13"/>
      <c r="B641" s="13"/>
      <c r="C641" s="13"/>
      <c r="E641" s="13"/>
      <c r="M641" s="72"/>
    </row>
    <row r="642">
      <c r="A642" s="13"/>
      <c r="B642" s="13"/>
      <c r="C642" s="13"/>
      <c r="E642" s="13"/>
      <c r="M642" s="72"/>
    </row>
    <row r="643">
      <c r="A643" s="13"/>
      <c r="B643" s="13"/>
      <c r="C643" s="13"/>
      <c r="E643" s="13"/>
      <c r="M643" s="72"/>
    </row>
    <row r="644">
      <c r="A644" s="13"/>
      <c r="B644" s="13"/>
      <c r="C644" s="13"/>
      <c r="E644" s="13"/>
      <c r="M644" s="72"/>
    </row>
    <row r="645">
      <c r="A645" s="13"/>
      <c r="B645" s="13"/>
      <c r="C645" s="13"/>
      <c r="E645" s="13"/>
      <c r="M645" s="72"/>
    </row>
    <row r="646">
      <c r="A646" s="13"/>
      <c r="B646" s="13"/>
      <c r="C646" s="13"/>
      <c r="E646" s="13"/>
      <c r="M646" s="72"/>
    </row>
    <row r="647">
      <c r="A647" s="13"/>
      <c r="B647" s="13"/>
      <c r="C647" s="13"/>
      <c r="E647" s="13"/>
      <c r="M647" s="72"/>
    </row>
    <row r="648">
      <c r="A648" s="13"/>
      <c r="B648" s="13"/>
      <c r="C648" s="13"/>
      <c r="E648" s="13"/>
      <c r="M648" s="72"/>
    </row>
    <row r="649">
      <c r="A649" s="13"/>
      <c r="B649" s="13"/>
      <c r="C649" s="13"/>
      <c r="E649" s="13"/>
      <c r="M649" s="72"/>
    </row>
    <row r="650">
      <c r="A650" s="13"/>
      <c r="B650" s="13"/>
      <c r="C650" s="13"/>
      <c r="E650" s="13"/>
      <c r="M650" s="72"/>
    </row>
    <row r="651">
      <c r="A651" s="13"/>
      <c r="B651" s="13"/>
      <c r="C651" s="13"/>
      <c r="E651" s="13"/>
      <c r="M651" s="72"/>
    </row>
    <row r="652">
      <c r="A652" s="13"/>
      <c r="B652" s="13"/>
      <c r="C652" s="13"/>
      <c r="E652" s="13"/>
      <c r="M652" s="72"/>
    </row>
    <row r="653">
      <c r="A653" s="13"/>
      <c r="B653" s="13"/>
      <c r="C653" s="13"/>
      <c r="E653" s="13"/>
      <c r="M653" s="72"/>
    </row>
    <row r="654">
      <c r="A654" s="13"/>
      <c r="B654" s="13"/>
      <c r="C654" s="13"/>
      <c r="E654" s="13"/>
      <c r="M654" s="72"/>
    </row>
    <row r="655">
      <c r="A655" s="13"/>
      <c r="B655" s="13"/>
      <c r="C655" s="13"/>
      <c r="E655" s="13"/>
      <c r="M655" s="72"/>
    </row>
    <row r="656">
      <c r="A656" s="13"/>
      <c r="B656" s="13"/>
      <c r="C656" s="13"/>
      <c r="E656" s="13"/>
      <c r="M656" s="72"/>
    </row>
    <row r="657">
      <c r="A657" s="13"/>
      <c r="B657" s="13"/>
      <c r="C657" s="13"/>
      <c r="E657" s="13"/>
      <c r="M657" s="72"/>
    </row>
    <row r="658">
      <c r="A658" s="13"/>
      <c r="B658" s="13"/>
      <c r="C658" s="13"/>
      <c r="E658" s="13"/>
      <c r="M658" s="72"/>
    </row>
    <row r="659">
      <c r="A659" s="13"/>
      <c r="B659" s="13"/>
      <c r="C659" s="13"/>
      <c r="E659" s="13"/>
      <c r="M659" s="72"/>
    </row>
    <row r="660">
      <c r="A660" s="13"/>
      <c r="B660" s="13"/>
      <c r="C660" s="13"/>
      <c r="E660" s="13"/>
      <c r="M660" s="72"/>
    </row>
    <row r="661">
      <c r="A661" s="13"/>
      <c r="B661" s="13"/>
      <c r="C661" s="13"/>
      <c r="E661" s="13"/>
      <c r="M661" s="72"/>
    </row>
    <row r="662">
      <c r="A662" s="13"/>
      <c r="B662" s="13"/>
      <c r="C662" s="13"/>
      <c r="E662" s="13"/>
      <c r="M662" s="72"/>
    </row>
    <row r="663">
      <c r="A663" s="13"/>
      <c r="B663" s="13"/>
      <c r="C663" s="13"/>
      <c r="E663" s="13"/>
      <c r="M663" s="72"/>
    </row>
    <row r="664">
      <c r="A664" s="13"/>
      <c r="B664" s="13"/>
      <c r="C664" s="13"/>
      <c r="E664" s="13"/>
      <c r="M664" s="72"/>
    </row>
    <row r="665">
      <c r="A665" s="13"/>
      <c r="B665" s="13"/>
      <c r="C665" s="13"/>
      <c r="E665" s="13"/>
      <c r="M665" s="72"/>
    </row>
    <row r="666">
      <c r="A666" s="13"/>
      <c r="B666" s="13"/>
      <c r="C666" s="13"/>
      <c r="E666" s="13"/>
      <c r="M666" s="72"/>
    </row>
    <row r="667">
      <c r="A667" s="13"/>
      <c r="B667" s="13"/>
      <c r="C667" s="13"/>
      <c r="E667" s="13"/>
      <c r="M667" s="72"/>
    </row>
    <row r="668">
      <c r="A668" s="13"/>
      <c r="B668" s="13"/>
      <c r="C668" s="13"/>
      <c r="E668" s="13"/>
      <c r="M668" s="72"/>
    </row>
    <row r="669">
      <c r="A669" s="13"/>
      <c r="B669" s="13"/>
      <c r="C669" s="13"/>
      <c r="E669" s="13"/>
      <c r="M669" s="72"/>
    </row>
    <row r="670">
      <c r="A670" s="13"/>
      <c r="B670" s="13"/>
      <c r="C670" s="13"/>
      <c r="E670" s="13"/>
      <c r="M670" s="72"/>
    </row>
    <row r="671">
      <c r="A671" s="13"/>
      <c r="B671" s="13"/>
      <c r="C671" s="13"/>
      <c r="E671" s="13"/>
      <c r="M671" s="72"/>
    </row>
    <row r="672">
      <c r="A672" s="13"/>
      <c r="B672" s="13"/>
      <c r="C672" s="13"/>
      <c r="E672" s="13"/>
      <c r="M672" s="72"/>
    </row>
    <row r="673">
      <c r="A673" s="13"/>
      <c r="B673" s="13"/>
      <c r="C673" s="13"/>
      <c r="E673" s="13"/>
      <c r="M673" s="72"/>
    </row>
    <row r="674">
      <c r="A674" s="13"/>
      <c r="B674" s="13"/>
      <c r="C674" s="13"/>
      <c r="E674" s="13"/>
      <c r="M674" s="72"/>
    </row>
    <row r="675">
      <c r="A675" s="13"/>
      <c r="B675" s="13"/>
      <c r="C675" s="13"/>
      <c r="E675" s="13"/>
      <c r="M675" s="72"/>
    </row>
    <row r="676">
      <c r="A676" s="13"/>
      <c r="B676" s="13"/>
      <c r="C676" s="13"/>
      <c r="E676" s="13"/>
      <c r="M676" s="72"/>
    </row>
    <row r="677">
      <c r="A677" s="13"/>
      <c r="B677" s="13"/>
      <c r="C677" s="13"/>
      <c r="E677" s="13"/>
      <c r="M677" s="72"/>
    </row>
    <row r="678">
      <c r="A678" s="13"/>
      <c r="B678" s="13"/>
      <c r="C678" s="13"/>
      <c r="E678" s="13"/>
      <c r="M678" s="72"/>
    </row>
    <row r="679">
      <c r="A679" s="13"/>
      <c r="B679" s="13"/>
      <c r="C679" s="13"/>
      <c r="E679" s="13"/>
      <c r="M679" s="72"/>
    </row>
    <row r="680">
      <c r="A680" s="13"/>
      <c r="B680" s="13"/>
      <c r="C680" s="13"/>
      <c r="E680" s="13"/>
      <c r="M680" s="72"/>
    </row>
    <row r="681">
      <c r="A681" s="13"/>
      <c r="B681" s="13"/>
      <c r="C681" s="13"/>
      <c r="E681" s="13"/>
      <c r="M681" s="72"/>
    </row>
    <row r="682">
      <c r="A682" s="13"/>
      <c r="B682" s="13"/>
      <c r="C682" s="13"/>
      <c r="E682" s="13"/>
      <c r="M682" s="72"/>
    </row>
    <row r="683">
      <c r="A683" s="13"/>
      <c r="B683" s="13"/>
      <c r="C683" s="13"/>
      <c r="E683" s="13"/>
      <c r="M683" s="72"/>
    </row>
    <row r="684">
      <c r="A684" s="13"/>
      <c r="B684" s="13"/>
      <c r="C684" s="13"/>
      <c r="E684" s="13"/>
      <c r="M684" s="72"/>
    </row>
    <row r="685">
      <c r="A685" s="13"/>
      <c r="B685" s="13"/>
      <c r="C685" s="13"/>
      <c r="E685" s="13"/>
      <c r="M685" s="72"/>
    </row>
    <row r="686">
      <c r="A686" s="13"/>
      <c r="B686" s="13"/>
      <c r="C686" s="13"/>
      <c r="E686" s="13"/>
      <c r="M686" s="72"/>
    </row>
    <row r="687">
      <c r="A687" s="13"/>
      <c r="B687" s="13"/>
      <c r="C687" s="13"/>
      <c r="E687" s="13"/>
      <c r="M687" s="72"/>
    </row>
    <row r="688">
      <c r="A688" s="13"/>
      <c r="B688" s="13"/>
      <c r="C688" s="13"/>
      <c r="E688" s="13"/>
      <c r="M688" s="72"/>
    </row>
    <row r="689">
      <c r="A689" s="13"/>
      <c r="B689" s="13"/>
      <c r="C689" s="13"/>
      <c r="E689" s="13"/>
      <c r="M689" s="72"/>
    </row>
    <row r="690">
      <c r="A690" s="13"/>
      <c r="B690" s="13"/>
      <c r="C690" s="13"/>
      <c r="E690" s="13"/>
      <c r="M690" s="72"/>
    </row>
    <row r="691">
      <c r="A691" s="13"/>
      <c r="B691" s="13"/>
      <c r="C691" s="13"/>
      <c r="E691" s="13"/>
      <c r="M691" s="72"/>
    </row>
    <row r="692">
      <c r="A692" s="13"/>
      <c r="B692" s="13"/>
      <c r="C692" s="13"/>
      <c r="E692" s="13"/>
      <c r="M692" s="72"/>
    </row>
    <row r="693">
      <c r="A693" s="13"/>
      <c r="B693" s="13"/>
      <c r="C693" s="13"/>
      <c r="E693" s="13"/>
      <c r="M693" s="72"/>
    </row>
    <row r="694">
      <c r="A694" s="13"/>
      <c r="B694" s="13"/>
      <c r="C694" s="13"/>
      <c r="E694" s="13"/>
      <c r="M694" s="72"/>
    </row>
    <row r="695">
      <c r="A695" s="13"/>
      <c r="B695" s="13"/>
      <c r="C695" s="13"/>
      <c r="E695" s="13"/>
      <c r="M695" s="72"/>
    </row>
    <row r="696">
      <c r="A696" s="13"/>
      <c r="B696" s="13"/>
      <c r="C696" s="13"/>
      <c r="E696" s="13"/>
      <c r="M696" s="72"/>
    </row>
    <row r="697">
      <c r="A697" s="13"/>
      <c r="B697" s="13"/>
      <c r="C697" s="13"/>
      <c r="E697" s="13"/>
      <c r="M697" s="72"/>
    </row>
    <row r="698">
      <c r="A698" s="13"/>
      <c r="B698" s="13"/>
      <c r="C698" s="13"/>
      <c r="E698" s="13"/>
      <c r="M698" s="72"/>
    </row>
    <row r="699">
      <c r="A699" s="13"/>
      <c r="B699" s="13"/>
      <c r="C699" s="13"/>
      <c r="E699" s="13"/>
      <c r="M699" s="72"/>
    </row>
    <row r="700">
      <c r="A700" s="13"/>
      <c r="B700" s="13"/>
      <c r="C700" s="13"/>
      <c r="E700" s="13"/>
      <c r="M700" s="72"/>
    </row>
    <row r="701">
      <c r="A701" s="13"/>
      <c r="B701" s="13"/>
      <c r="C701" s="13"/>
      <c r="E701" s="13"/>
      <c r="M701" s="72"/>
    </row>
    <row r="702">
      <c r="A702" s="13"/>
      <c r="B702" s="13"/>
      <c r="C702" s="13"/>
      <c r="E702" s="13"/>
      <c r="M702" s="72"/>
    </row>
    <row r="703">
      <c r="A703" s="13"/>
      <c r="B703" s="13"/>
      <c r="C703" s="13"/>
      <c r="E703" s="13"/>
      <c r="M703" s="72"/>
    </row>
    <row r="704">
      <c r="A704" s="13"/>
      <c r="B704" s="13"/>
      <c r="C704" s="13"/>
      <c r="E704" s="13"/>
      <c r="M704" s="72"/>
    </row>
    <row r="705">
      <c r="A705" s="13"/>
      <c r="B705" s="13"/>
      <c r="C705" s="13"/>
      <c r="E705" s="13"/>
      <c r="M705" s="72"/>
    </row>
    <row r="706">
      <c r="A706" s="13"/>
      <c r="B706" s="13"/>
      <c r="C706" s="13"/>
      <c r="E706" s="13"/>
      <c r="M706" s="72"/>
    </row>
    <row r="707">
      <c r="A707" s="13"/>
      <c r="B707" s="13"/>
      <c r="C707" s="13"/>
      <c r="E707" s="13"/>
      <c r="M707" s="72"/>
    </row>
    <row r="708">
      <c r="A708" s="13"/>
      <c r="B708" s="13"/>
      <c r="C708" s="13"/>
      <c r="E708" s="13"/>
      <c r="M708" s="72"/>
    </row>
    <row r="709">
      <c r="A709" s="13"/>
      <c r="B709" s="13"/>
      <c r="C709" s="13"/>
      <c r="E709" s="13"/>
      <c r="M709" s="72"/>
    </row>
    <row r="710">
      <c r="A710" s="13"/>
      <c r="B710" s="13"/>
      <c r="C710" s="13"/>
      <c r="E710" s="13"/>
      <c r="M710" s="72"/>
    </row>
    <row r="711">
      <c r="A711" s="13"/>
      <c r="B711" s="13"/>
      <c r="C711" s="13"/>
      <c r="E711" s="13"/>
      <c r="M711" s="72"/>
    </row>
    <row r="712">
      <c r="A712" s="13"/>
      <c r="B712" s="13"/>
      <c r="C712" s="13"/>
      <c r="E712" s="13"/>
      <c r="M712" s="72"/>
    </row>
    <row r="713">
      <c r="A713" s="13"/>
      <c r="B713" s="13"/>
      <c r="C713" s="13"/>
      <c r="E713" s="13"/>
      <c r="M713" s="72"/>
    </row>
    <row r="714">
      <c r="A714" s="13"/>
      <c r="B714" s="13"/>
      <c r="C714" s="13"/>
      <c r="E714" s="13"/>
      <c r="M714" s="72"/>
    </row>
    <row r="715">
      <c r="A715" s="13"/>
      <c r="B715" s="13"/>
      <c r="C715" s="13"/>
      <c r="E715" s="13"/>
      <c r="M715" s="72"/>
    </row>
    <row r="716">
      <c r="A716" s="13"/>
      <c r="B716" s="13"/>
      <c r="C716" s="13"/>
      <c r="E716" s="13"/>
      <c r="M716" s="72"/>
    </row>
    <row r="717">
      <c r="A717" s="13"/>
      <c r="B717" s="13"/>
      <c r="C717" s="13"/>
      <c r="E717" s="13"/>
      <c r="M717" s="72"/>
    </row>
    <row r="718">
      <c r="A718" s="13"/>
      <c r="B718" s="13"/>
      <c r="C718" s="13"/>
      <c r="E718" s="13"/>
      <c r="M718" s="72"/>
    </row>
    <row r="719">
      <c r="A719" s="13"/>
      <c r="B719" s="13"/>
      <c r="C719" s="13"/>
      <c r="E719" s="13"/>
      <c r="M719" s="72"/>
    </row>
    <row r="720">
      <c r="A720" s="13"/>
      <c r="B720" s="13"/>
      <c r="C720" s="13"/>
      <c r="E720" s="13"/>
      <c r="M720" s="72"/>
    </row>
    <row r="721">
      <c r="A721" s="13"/>
      <c r="B721" s="13"/>
      <c r="C721" s="13"/>
      <c r="E721" s="13"/>
      <c r="M721" s="72"/>
    </row>
    <row r="722">
      <c r="A722" s="13"/>
      <c r="B722" s="13"/>
      <c r="C722" s="13"/>
      <c r="E722" s="13"/>
      <c r="M722" s="72"/>
    </row>
    <row r="723">
      <c r="A723" s="13"/>
      <c r="B723" s="13"/>
      <c r="C723" s="13"/>
      <c r="E723" s="13"/>
      <c r="M723" s="72"/>
    </row>
    <row r="724">
      <c r="A724" s="13"/>
      <c r="B724" s="13"/>
      <c r="C724" s="13"/>
      <c r="E724" s="13"/>
      <c r="M724" s="72"/>
    </row>
    <row r="725">
      <c r="A725" s="13"/>
      <c r="B725" s="13"/>
      <c r="C725" s="13"/>
      <c r="E725" s="13"/>
      <c r="M725" s="72"/>
    </row>
    <row r="726">
      <c r="A726" s="13"/>
      <c r="B726" s="13"/>
      <c r="C726" s="13"/>
      <c r="E726" s="13"/>
      <c r="M726" s="72"/>
    </row>
    <row r="727">
      <c r="A727" s="13"/>
      <c r="B727" s="13"/>
      <c r="C727" s="13"/>
      <c r="E727" s="13"/>
      <c r="M727" s="72"/>
    </row>
    <row r="728">
      <c r="A728" s="13"/>
      <c r="B728" s="13"/>
      <c r="C728" s="13"/>
      <c r="E728" s="13"/>
      <c r="M728" s="72"/>
    </row>
    <row r="729">
      <c r="A729" s="13"/>
      <c r="B729" s="13"/>
      <c r="C729" s="13"/>
      <c r="E729" s="13"/>
      <c r="M729" s="72"/>
    </row>
    <row r="730">
      <c r="A730" s="13"/>
      <c r="B730" s="13"/>
      <c r="C730" s="13"/>
      <c r="E730" s="13"/>
      <c r="M730" s="72"/>
    </row>
    <row r="731">
      <c r="A731" s="13"/>
      <c r="B731" s="13"/>
      <c r="C731" s="13"/>
      <c r="E731" s="13"/>
      <c r="M731" s="72"/>
    </row>
    <row r="732">
      <c r="A732" s="13"/>
      <c r="B732" s="13"/>
      <c r="C732" s="13"/>
      <c r="E732" s="13"/>
      <c r="M732" s="72"/>
    </row>
    <row r="733">
      <c r="A733" s="13"/>
      <c r="B733" s="13"/>
      <c r="C733" s="13"/>
      <c r="E733" s="13"/>
      <c r="M733" s="72"/>
    </row>
    <row r="734">
      <c r="A734" s="13"/>
      <c r="B734" s="13"/>
      <c r="C734" s="13"/>
      <c r="E734" s="13"/>
      <c r="M734" s="72"/>
    </row>
    <row r="735">
      <c r="A735" s="13"/>
      <c r="B735" s="13"/>
      <c r="C735" s="13"/>
      <c r="E735" s="13"/>
      <c r="M735" s="72"/>
    </row>
    <row r="736">
      <c r="A736" s="13"/>
      <c r="B736" s="13"/>
      <c r="C736" s="13"/>
      <c r="E736" s="13"/>
      <c r="M736" s="72"/>
    </row>
    <row r="737">
      <c r="A737" s="13"/>
      <c r="B737" s="13"/>
      <c r="C737" s="13"/>
      <c r="E737" s="13"/>
      <c r="M737" s="72"/>
    </row>
    <row r="738">
      <c r="A738" s="13"/>
      <c r="B738" s="13"/>
      <c r="C738" s="13"/>
      <c r="E738" s="13"/>
      <c r="M738" s="72"/>
    </row>
    <row r="739">
      <c r="A739" s="13"/>
      <c r="B739" s="13"/>
      <c r="C739" s="13"/>
      <c r="E739" s="13"/>
      <c r="M739" s="72"/>
    </row>
    <row r="740">
      <c r="A740" s="13"/>
      <c r="B740" s="13"/>
      <c r="C740" s="13"/>
      <c r="E740" s="13"/>
      <c r="M740" s="72"/>
    </row>
    <row r="741">
      <c r="A741" s="13"/>
      <c r="B741" s="13"/>
      <c r="C741" s="13"/>
      <c r="E741" s="13"/>
      <c r="M741" s="72"/>
    </row>
    <row r="742">
      <c r="A742" s="13"/>
      <c r="B742" s="13"/>
      <c r="C742" s="13"/>
      <c r="E742" s="13"/>
      <c r="M742" s="72"/>
    </row>
    <row r="743">
      <c r="A743" s="13"/>
      <c r="B743" s="13"/>
      <c r="C743" s="13"/>
      <c r="E743" s="13"/>
      <c r="M743" s="72"/>
    </row>
    <row r="744">
      <c r="A744" s="13"/>
      <c r="B744" s="13"/>
      <c r="C744" s="13"/>
      <c r="E744" s="13"/>
      <c r="M744" s="72"/>
    </row>
    <row r="745">
      <c r="A745" s="13"/>
      <c r="B745" s="13"/>
      <c r="C745" s="13"/>
      <c r="E745" s="13"/>
      <c r="M745" s="72"/>
    </row>
    <row r="746">
      <c r="A746" s="13"/>
      <c r="B746" s="13"/>
      <c r="C746" s="13"/>
      <c r="E746" s="13"/>
      <c r="M746" s="72"/>
    </row>
    <row r="747">
      <c r="A747" s="13"/>
      <c r="B747" s="13"/>
      <c r="C747" s="13"/>
      <c r="E747" s="13"/>
      <c r="M747" s="72"/>
    </row>
    <row r="748">
      <c r="A748" s="13"/>
      <c r="B748" s="13"/>
      <c r="C748" s="13"/>
      <c r="E748" s="13"/>
      <c r="M748" s="72"/>
    </row>
    <row r="749">
      <c r="A749" s="13"/>
      <c r="B749" s="13"/>
      <c r="C749" s="13"/>
      <c r="E749" s="13"/>
      <c r="M749" s="72"/>
    </row>
    <row r="750">
      <c r="A750" s="13"/>
      <c r="B750" s="13"/>
      <c r="C750" s="13"/>
      <c r="E750" s="13"/>
      <c r="M750" s="72"/>
    </row>
    <row r="751">
      <c r="A751" s="13"/>
      <c r="B751" s="13"/>
      <c r="C751" s="13"/>
      <c r="E751" s="13"/>
      <c r="M751" s="72"/>
    </row>
    <row r="752">
      <c r="A752" s="13"/>
      <c r="B752" s="13"/>
      <c r="C752" s="13"/>
      <c r="E752" s="13"/>
      <c r="M752" s="72"/>
    </row>
    <row r="753">
      <c r="A753" s="13"/>
      <c r="B753" s="13"/>
      <c r="C753" s="13"/>
      <c r="E753" s="13"/>
      <c r="M753" s="72"/>
    </row>
    <row r="754">
      <c r="A754" s="13"/>
      <c r="B754" s="13"/>
      <c r="C754" s="13"/>
      <c r="E754" s="13"/>
      <c r="M754" s="72"/>
    </row>
    <row r="755">
      <c r="A755" s="13"/>
      <c r="B755" s="13"/>
      <c r="C755" s="13"/>
      <c r="E755" s="13"/>
      <c r="M755" s="72"/>
    </row>
    <row r="756">
      <c r="A756" s="13"/>
      <c r="B756" s="13"/>
      <c r="C756" s="13"/>
      <c r="E756" s="13"/>
      <c r="M756" s="72"/>
    </row>
    <row r="757">
      <c r="A757" s="13"/>
      <c r="B757" s="13"/>
      <c r="C757" s="13"/>
      <c r="E757" s="13"/>
      <c r="M757" s="72"/>
    </row>
    <row r="758">
      <c r="A758" s="13"/>
      <c r="B758" s="13"/>
      <c r="C758" s="13"/>
      <c r="E758" s="13"/>
      <c r="M758" s="72"/>
    </row>
    <row r="759">
      <c r="A759" s="13"/>
      <c r="B759" s="13"/>
      <c r="C759" s="13"/>
      <c r="E759" s="13"/>
      <c r="M759" s="72"/>
    </row>
    <row r="760">
      <c r="A760" s="13"/>
      <c r="B760" s="13"/>
      <c r="C760" s="13"/>
      <c r="E760" s="13"/>
      <c r="M760" s="72"/>
    </row>
    <row r="761">
      <c r="A761" s="13"/>
      <c r="B761" s="13"/>
      <c r="C761" s="13"/>
      <c r="E761" s="13"/>
      <c r="M761" s="72"/>
    </row>
    <row r="762">
      <c r="A762" s="13"/>
      <c r="B762" s="13"/>
      <c r="C762" s="13"/>
      <c r="E762" s="13"/>
      <c r="M762" s="72"/>
    </row>
    <row r="763">
      <c r="A763" s="13"/>
      <c r="B763" s="13"/>
      <c r="C763" s="13"/>
      <c r="E763" s="13"/>
      <c r="M763" s="72"/>
    </row>
    <row r="764">
      <c r="A764" s="13"/>
      <c r="B764" s="13"/>
      <c r="C764" s="13"/>
      <c r="E764" s="13"/>
      <c r="M764" s="72"/>
    </row>
    <row r="765">
      <c r="A765" s="13"/>
      <c r="B765" s="13"/>
      <c r="C765" s="13"/>
      <c r="E765" s="13"/>
      <c r="M765" s="72"/>
    </row>
    <row r="766">
      <c r="A766" s="13"/>
      <c r="B766" s="13"/>
      <c r="C766" s="13"/>
      <c r="E766" s="13"/>
      <c r="M766" s="72"/>
    </row>
    <row r="767">
      <c r="A767" s="13"/>
      <c r="B767" s="13"/>
      <c r="C767" s="13"/>
      <c r="E767" s="13"/>
      <c r="M767" s="72"/>
    </row>
    <row r="768">
      <c r="A768" s="13"/>
      <c r="B768" s="13"/>
      <c r="C768" s="13"/>
      <c r="E768" s="13"/>
      <c r="M768" s="72"/>
    </row>
    <row r="769">
      <c r="A769" s="13"/>
      <c r="B769" s="13"/>
      <c r="C769" s="13"/>
      <c r="E769" s="13"/>
      <c r="M769" s="72"/>
    </row>
    <row r="770">
      <c r="A770" s="13"/>
      <c r="B770" s="13"/>
      <c r="C770" s="13"/>
      <c r="E770" s="13"/>
      <c r="M770" s="72"/>
    </row>
    <row r="771">
      <c r="A771" s="13"/>
      <c r="B771" s="13"/>
      <c r="C771" s="13"/>
      <c r="E771" s="13"/>
      <c r="M771" s="72"/>
    </row>
    <row r="772">
      <c r="A772" s="13"/>
      <c r="B772" s="13"/>
      <c r="C772" s="13"/>
      <c r="E772" s="13"/>
      <c r="M772" s="72"/>
    </row>
    <row r="773">
      <c r="A773" s="13"/>
      <c r="B773" s="13"/>
      <c r="C773" s="13"/>
      <c r="E773" s="13"/>
      <c r="M773" s="72"/>
    </row>
    <row r="774">
      <c r="A774" s="13"/>
      <c r="B774" s="13"/>
      <c r="C774" s="13"/>
      <c r="E774" s="13"/>
      <c r="M774" s="72"/>
    </row>
    <row r="775">
      <c r="A775" s="13"/>
      <c r="B775" s="13"/>
      <c r="C775" s="13"/>
      <c r="E775" s="13"/>
      <c r="M775" s="72"/>
    </row>
    <row r="776">
      <c r="A776" s="13"/>
      <c r="B776" s="13"/>
      <c r="C776" s="13"/>
      <c r="E776" s="13"/>
      <c r="M776" s="72"/>
    </row>
    <row r="777">
      <c r="A777" s="13"/>
      <c r="B777" s="13"/>
      <c r="C777" s="13"/>
      <c r="E777" s="13"/>
      <c r="M777" s="72"/>
    </row>
    <row r="778">
      <c r="A778" s="13"/>
      <c r="B778" s="13"/>
      <c r="C778" s="13"/>
      <c r="E778" s="13"/>
      <c r="M778" s="72"/>
    </row>
    <row r="779">
      <c r="A779" s="13"/>
      <c r="B779" s="13"/>
      <c r="C779" s="13"/>
      <c r="E779" s="13"/>
      <c r="M779" s="72"/>
    </row>
    <row r="780">
      <c r="A780" s="13"/>
      <c r="B780" s="13"/>
      <c r="C780" s="13"/>
      <c r="E780" s="13"/>
      <c r="M780" s="72"/>
    </row>
    <row r="781">
      <c r="A781" s="13"/>
      <c r="B781" s="13"/>
      <c r="C781" s="13"/>
      <c r="E781" s="13"/>
      <c r="M781" s="72"/>
    </row>
    <row r="782">
      <c r="A782" s="13"/>
      <c r="B782" s="13"/>
      <c r="C782" s="13"/>
      <c r="E782" s="13"/>
      <c r="M782" s="72"/>
    </row>
    <row r="783">
      <c r="A783" s="13"/>
      <c r="B783" s="13"/>
      <c r="C783" s="13"/>
      <c r="E783" s="13"/>
      <c r="M783" s="72"/>
    </row>
    <row r="784">
      <c r="A784" s="13"/>
      <c r="B784" s="13"/>
      <c r="C784" s="13"/>
      <c r="E784" s="13"/>
      <c r="M784" s="72"/>
    </row>
    <row r="785">
      <c r="A785" s="13"/>
      <c r="B785" s="13"/>
      <c r="C785" s="13"/>
      <c r="E785" s="13"/>
      <c r="M785" s="72"/>
    </row>
    <row r="786">
      <c r="A786" s="13"/>
      <c r="B786" s="13"/>
      <c r="C786" s="13"/>
      <c r="E786" s="13"/>
      <c r="M786" s="72"/>
    </row>
    <row r="787">
      <c r="A787" s="13"/>
      <c r="B787" s="13"/>
      <c r="C787" s="13"/>
      <c r="E787" s="13"/>
      <c r="M787" s="72"/>
    </row>
    <row r="788">
      <c r="A788" s="13"/>
      <c r="B788" s="13"/>
      <c r="C788" s="13"/>
      <c r="E788" s="13"/>
      <c r="M788" s="72"/>
    </row>
    <row r="789">
      <c r="A789" s="13"/>
      <c r="B789" s="13"/>
      <c r="C789" s="13"/>
      <c r="E789" s="13"/>
      <c r="M789" s="72"/>
    </row>
    <row r="790">
      <c r="A790" s="13"/>
      <c r="B790" s="13"/>
      <c r="C790" s="13"/>
      <c r="E790" s="13"/>
      <c r="M790" s="72"/>
    </row>
    <row r="791">
      <c r="A791" s="13"/>
      <c r="B791" s="13"/>
      <c r="C791" s="13"/>
      <c r="E791" s="13"/>
      <c r="M791" s="72"/>
    </row>
    <row r="792">
      <c r="A792" s="13"/>
      <c r="B792" s="13"/>
      <c r="C792" s="13"/>
      <c r="E792" s="13"/>
      <c r="M792" s="72"/>
    </row>
    <row r="793">
      <c r="A793" s="13"/>
      <c r="B793" s="13"/>
      <c r="C793" s="13"/>
      <c r="E793" s="13"/>
      <c r="M793" s="72"/>
    </row>
    <row r="794">
      <c r="A794" s="13"/>
      <c r="B794" s="13"/>
      <c r="C794" s="13"/>
      <c r="E794" s="13"/>
      <c r="M794" s="72"/>
    </row>
    <row r="795">
      <c r="A795" s="13"/>
      <c r="B795" s="13"/>
      <c r="C795" s="13"/>
      <c r="E795" s="13"/>
      <c r="M795" s="72"/>
    </row>
    <row r="796">
      <c r="A796" s="13"/>
      <c r="B796" s="13"/>
      <c r="C796" s="13"/>
      <c r="E796" s="13"/>
      <c r="M796" s="72"/>
    </row>
    <row r="797">
      <c r="A797" s="13"/>
      <c r="B797" s="13"/>
      <c r="C797" s="13"/>
      <c r="E797" s="13"/>
      <c r="M797" s="72"/>
    </row>
    <row r="798">
      <c r="A798" s="13"/>
      <c r="B798" s="13"/>
      <c r="C798" s="13"/>
      <c r="E798" s="13"/>
      <c r="M798" s="72"/>
    </row>
    <row r="799">
      <c r="A799" s="13"/>
      <c r="B799" s="13"/>
      <c r="C799" s="13"/>
      <c r="E799" s="13"/>
      <c r="M799" s="72"/>
    </row>
    <row r="800">
      <c r="A800" s="13"/>
      <c r="B800" s="13"/>
      <c r="C800" s="13"/>
      <c r="E800" s="13"/>
      <c r="M800" s="72"/>
    </row>
    <row r="801">
      <c r="A801" s="13"/>
      <c r="B801" s="13"/>
      <c r="C801" s="13"/>
      <c r="E801" s="13"/>
      <c r="M801" s="72"/>
    </row>
    <row r="802">
      <c r="A802" s="13"/>
      <c r="B802" s="13"/>
      <c r="C802" s="13"/>
      <c r="E802" s="13"/>
      <c r="M802" s="72"/>
    </row>
    <row r="803">
      <c r="A803" s="13"/>
      <c r="B803" s="13"/>
      <c r="C803" s="13"/>
      <c r="E803" s="13"/>
      <c r="M803" s="72"/>
    </row>
    <row r="804">
      <c r="A804" s="13"/>
      <c r="B804" s="13"/>
      <c r="C804" s="13"/>
      <c r="E804" s="13"/>
      <c r="M804" s="72"/>
    </row>
    <row r="805">
      <c r="A805" s="13"/>
      <c r="B805" s="13"/>
      <c r="C805" s="13"/>
      <c r="E805" s="13"/>
      <c r="M805" s="72"/>
    </row>
    <row r="806">
      <c r="A806" s="13"/>
      <c r="B806" s="13"/>
      <c r="C806" s="13"/>
      <c r="E806" s="13"/>
      <c r="M806" s="72"/>
    </row>
    <row r="807">
      <c r="A807" s="13"/>
      <c r="B807" s="13"/>
      <c r="C807" s="13"/>
      <c r="E807" s="13"/>
      <c r="M807" s="72"/>
    </row>
    <row r="808">
      <c r="A808" s="13"/>
      <c r="B808" s="13"/>
      <c r="C808" s="13"/>
      <c r="E808" s="13"/>
      <c r="M808" s="72"/>
    </row>
    <row r="809">
      <c r="A809" s="13"/>
      <c r="B809" s="13"/>
      <c r="C809" s="13"/>
      <c r="E809" s="13"/>
      <c r="M809" s="72"/>
    </row>
    <row r="810">
      <c r="A810" s="13"/>
      <c r="B810" s="13"/>
      <c r="C810" s="13"/>
      <c r="E810" s="13"/>
      <c r="M810" s="72"/>
    </row>
    <row r="811">
      <c r="A811" s="13"/>
      <c r="B811" s="13"/>
      <c r="C811" s="13"/>
      <c r="E811" s="13"/>
      <c r="M811" s="72"/>
    </row>
    <row r="812">
      <c r="A812" s="13"/>
      <c r="B812" s="13"/>
      <c r="C812" s="13"/>
      <c r="E812" s="13"/>
      <c r="M812" s="72"/>
    </row>
    <row r="813">
      <c r="A813" s="13"/>
      <c r="B813" s="13"/>
      <c r="C813" s="13"/>
      <c r="E813" s="13"/>
      <c r="M813" s="72"/>
    </row>
    <row r="814">
      <c r="A814" s="13"/>
      <c r="B814" s="13"/>
      <c r="C814" s="13"/>
      <c r="E814" s="13"/>
      <c r="M814" s="72"/>
    </row>
    <row r="815">
      <c r="A815" s="13"/>
      <c r="B815" s="13"/>
      <c r="C815" s="13"/>
      <c r="E815" s="13"/>
      <c r="M815" s="72"/>
    </row>
    <row r="816">
      <c r="A816" s="13"/>
      <c r="B816" s="13"/>
      <c r="C816" s="13"/>
      <c r="E816" s="13"/>
      <c r="M816" s="72"/>
    </row>
    <row r="817">
      <c r="A817" s="13"/>
      <c r="B817" s="13"/>
      <c r="C817" s="13"/>
      <c r="E817" s="13"/>
      <c r="M817" s="72"/>
    </row>
    <row r="818">
      <c r="A818" s="13"/>
      <c r="B818" s="13"/>
      <c r="C818" s="13"/>
      <c r="E818" s="13"/>
      <c r="M818" s="72"/>
    </row>
    <row r="819">
      <c r="A819" s="13"/>
      <c r="B819" s="13"/>
      <c r="C819" s="13"/>
      <c r="E819" s="13"/>
      <c r="M819" s="72"/>
    </row>
    <row r="820">
      <c r="A820" s="13"/>
      <c r="B820" s="13"/>
      <c r="C820" s="13"/>
      <c r="E820" s="13"/>
      <c r="M820" s="72"/>
    </row>
    <row r="821">
      <c r="A821" s="13"/>
      <c r="B821" s="13"/>
      <c r="C821" s="13"/>
      <c r="E821" s="13"/>
      <c r="M821" s="72"/>
    </row>
    <row r="822">
      <c r="A822" s="13"/>
      <c r="B822" s="13"/>
      <c r="C822" s="13"/>
      <c r="E822" s="13"/>
      <c r="M822" s="72"/>
    </row>
    <row r="823">
      <c r="A823" s="13"/>
      <c r="B823" s="13"/>
      <c r="C823" s="13"/>
      <c r="E823" s="13"/>
      <c r="M823" s="72"/>
    </row>
    <row r="824">
      <c r="A824" s="13"/>
      <c r="B824" s="13"/>
      <c r="C824" s="13"/>
      <c r="E824" s="13"/>
      <c r="M824" s="72"/>
    </row>
    <row r="825">
      <c r="A825" s="13"/>
      <c r="B825" s="13"/>
      <c r="C825" s="13"/>
      <c r="E825" s="13"/>
      <c r="M825" s="72"/>
    </row>
    <row r="826">
      <c r="A826" s="13"/>
      <c r="B826" s="13"/>
      <c r="C826" s="13"/>
      <c r="E826" s="13"/>
      <c r="M826" s="72"/>
    </row>
    <row r="827">
      <c r="A827" s="13"/>
      <c r="B827" s="13"/>
      <c r="C827" s="13"/>
      <c r="E827" s="13"/>
      <c r="M827" s="72"/>
    </row>
    <row r="828">
      <c r="A828" s="13"/>
      <c r="B828" s="13"/>
      <c r="C828" s="13"/>
      <c r="E828" s="13"/>
      <c r="M828" s="72"/>
    </row>
    <row r="829">
      <c r="A829" s="13"/>
      <c r="B829" s="13"/>
      <c r="C829" s="13"/>
      <c r="E829" s="13"/>
      <c r="M829" s="72"/>
    </row>
    <row r="830">
      <c r="A830" s="13"/>
      <c r="B830" s="13"/>
      <c r="C830" s="13"/>
      <c r="E830" s="13"/>
      <c r="M830" s="72"/>
    </row>
    <row r="831">
      <c r="A831" s="13"/>
      <c r="B831" s="13"/>
      <c r="C831" s="13"/>
      <c r="E831" s="13"/>
      <c r="M831" s="72"/>
    </row>
    <row r="832">
      <c r="A832" s="13"/>
      <c r="B832" s="13"/>
      <c r="C832" s="13"/>
      <c r="E832" s="13"/>
      <c r="M832" s="72"/>
    </row>
    <row r="833">
      <c r="A833" s="13"/>
      <c r="B833" s="13"/>
      <c r="C833" s="13"/>
      <c r="E833" s="13"/>
      <c r="M833" s="72"/>
    </row>
    <row r="834">
      <c r="A834" s="13"/>
      <c r="B834" s="13"/>
      <c r="C834" s="13"/>
      <c r="E834" s="13"/>
      <c r="M834" s="72"/>
    </row>
    <row r="835">
      <c r="A835" s="13"/>
      <c r="B835" s="13"/>
      <c r="C835" s="13"/>
      <c r="E835" s="13"/>
      <c r="M835" s="72"/>
    </row>
    <row r="836">
      <c r="A836" s="13"/>
      <c r="B836" s="13"/>
      <c r="C836" s="13"/>
      <c r="E836" s="13"/>
      <c r="M836" s="72"/>
    </row>
    <row r="837">
      <c r="A837" s="13"/>
      <c r="B837" s="13"/>
      <c r="C837" s="13"/>
      <c r="E837" s="13"/>
      <c r="M837" s="72"/>
    </row>
    <row r="838">
      <c r="A838" s="13"/>
      <c r="B838" s="13"/>
      <c r="C838" s="13"/>
      <c r="E838" s="13"/>
      <c r="M838" s="72"/>
    </row>
    <row r="839">
      <c r="A839" s="13"/>
      <c r="B839" s="13"/>
      <c r="C839" s="13"/>
      <c r="E839" s="13"/>
      <c r="M839" s="72"/>
    </row>
    <row r="840">
      <c r="A840" s="13"/>
      <c r="B840" s="13"/>
      <c r="C840" s="13"/>
      <c r="E840" s="13"/>
      <c r="M840" s="72"/>
    </row>
    <row r="841">
      <c r="A841" s="13"/>
      <c r="B841" s="13"/>
      <c r="C841" s="13"/>
      <c r="E841" s="13"/>
      <c r="M841" s="72"/>
    </row>
    <row r="842">
      <c r="A842" s="13"/>
      <c r="B842" s="13"/>
      <c r="C842" s="13"/>
      <c r="E842" s="13"/>
      <c r="M842" s="72"/>
    </row>
    <row r="843">
      <c r="A843" s="13"/>
      <c r="B843" s="13"/>
      <c r="C843" s="13"/>
      <c r="E843" s="13"/>
      <c r="M843" s="72"/>
    </row>
    <row r="844">
      <c r="A844" s="13"/>
      <c r="B844" s="13"/>
      <c r="C844" s="13"/>
      <c r="E844" s="13"/>
      <c r="M844" s="72"/>
    </row>
    <row r="845">
      <c r="A845" s="13"/>
      <c r="B845" s="13"/>
      <c r="C845" s="13"/>
      <c r="E845" s="13"/>
      <c r="M845" s="72"/>
    </row>
    <row r="846">
      <c r="A846" s="13"/>
      <c r="B846" s="13"/>
      <c r="C846" s="13"/>
      <c r="E846" s="13"/>
      <c r="M846" s="72"/>
    </row>
    <row r="847">
      <c r="A847" s="13"/>
      <c r="B847" s="13"/>
      <c r="C847" s="13"/>
      <c r="E847" s="13"/>
      <c r="M847" s="72"/>
    </row>
    <row r="848">
      <c r="A848" s="13"/>
      <c r="B848" s="13"/>
      <c r="C848" s="13"/>
      <c r="E848" s="13"/>
      <c r="M848" s="72"/>
    </row>
    <row r="849">
      <c r="A849" s="13"/>
      <c r="B849" s="13"/>
      <c r="C849" s="13"/>
      <c r="E849" s="13"/>
      <c r="M849" s="72"/>
    </row>
    <row r="850">
      <c r="A850" s="13"/>
      <c r="B850" s="13"/>
      <c r="C850" s="13"/>
      <c r="E850" s="13"/>
      <c r="M850" s="72"/>
    </row>
    <row r="851">
      <c r="A851" s="13"/>
      <c r="B851" s="13"/>
      <c r="C851" s="13"/>
      <c r="E851" s="13"/>
      <c r="M851" s="72"/>
    </row>
    <row r="852">
      <c r="A852" s="13"/>
      <c r="B852" s="13"/>
      <c r="C852" s="13"/>
      <c r="E852" s="13"/>
      <c r="M852" s="72"/>
    </row>
    <row r="853">
      <c r="A853" s="13"/>
      <c r="B853" s="13"/>
      <c r="C853" s="13"/>
      <c r="E853" s="13"/>
      <c r="M853" s="72"/>
    </row>
    <row r="854">
      <c r="A854" s="13"/>
      <c r="B854" s="13"/>
      <c r="C854" s="13"/>
      <c r="E854" s="13"/>
      <c r="M854" s="72"/>
    </row>
    <row r="855">
      <c r="A855" s="13"/>
      <c r="B855" s="13"/>
      <c r="C855" s="13"/>
      <c r="E855" s="13"/>
      <c r="M855" s="72"/>
    </row>
    <row r="856">
      <c r="A856" s="13"/>
      <c r="B856" s="13"/>
      <c r="C856" s="13"/>
      <c r="E856" s="13"/>
      <c r="M856" s="72"/>
    </row>
    <row r="857">
      <c r="A857" s="13"/>
      <c r="B857" s="13"/>
      <c r="C857" s="13"/>
      <c r="E857" s="13"/>
      <c r="M857" s="72"/>
    </row>
    <row r="858">
      <c r="A858" s="13"/>
      <c r="B858" s="13"/>
      <c r="C858" s="13"/>
      <c r="E858" s="13"/>
      <c r="M858" s="72"/>
    </row>
    <row r="859">
      <c r="A859" s="13"/>
      <c r="B859" s="13"/>
      <c r="C859" s="13"/>
      <c r="E859" s="13"/>
      <c r="M859" s="72"/>
    </row>
    <row r="860">
      <c r="A860" s="13"/>
      <c r="B860" s="13"/>
      <c r="C860" s="13"/>
      <c r="E860" s="13"/>
      <c r="M860" s="72"/>
    </row>
    <row r="861">
      <c r="A861" s="13"/>
      <c r="B861" s="13"/>
      <c r="C861" s="13"/>
      <c r="E861" s="13"/>
      <c r="M861" s="72"/>
    </row>
    <row r="862">
      <c r="A862" s="13"/>
      <c r="B862" s="13"/>
      <c r="C862" s="13"/>
      <c r="E862" s="13"/>
      <c r="M862" s="72"/>
    </row>
    <row r="863">
      <c r="A863" s="13"/>
      <c r="B863" s="13"/>
      <c r="C863" s="13"/>
      <c r="E863" s="13"/>
      <c r="M863" s="72"/>
    </row>
    <row r="864">
      <c r="A864" s="13"/>
      <c r="B864" s="13"/>
      <c r="C864" s="13"/>
      <c r="E864" s="13"/>
      <c r="M864" s="72"/>
    </row>
    <row r="865">
      <c r="A865" s="13"/>
      <c r="B865" s="13"/>
      <c r="C865" s="13"/>
      <c r="E865" s="13"/>
      <c r="M865" s="72"/>
    </row>
    <row r="866">
      <c r="A866" s="13"/>
      <c r="B866" s="13"/>
      <c r="C866" s="13"/>
      <c r="E866" s="13"/>
      <c r="M866" s="72"/>
    </row>
    <row r="867">
      <c r="A867" s="13"/>
      <c r="B867" s="13"/>
      <c r="C867" s="13"/>
      <c r="E867" s="13"/>
      <c r="M867" s="72"/>
    </row>
    <row r="868">
      <c r="A868" s="13"/>
      <c r="B868" s="13"/>
      <c r="C868" s="13"/>
      <c r="E868" s="13"/>
      <c r="M868" s="72"/>
    </row>
    <row r="869">
      <c r="A869" s="13"/>
      <c r="B869" s="13"/>
      <c r="C869" s="13"/>
      <c r="E869" s="13"/>
      <c r="M869" s="72"/>
    </row>
    <row r="870">
      <c r="A870" s="13"/>
      <c r="B870" s="13"/>
      <c r="C870" s="13"/>
      <c r="E870" s="13"/>
      <c r="M870" s="72"/>
    </row>
    <row r="871">
      <c r="A871" s="13"/>
      <c r="B871" s="13"/>
      <c r="C871" s="13"/>
      <c r="E871" s="13"/>
      <c r="M871" s="72"/>
    </row>
    <row r="872">
      <c r="A872" s="13"/>
      <c r="B872" s="13"/>
      <c r="C872" s="13"/>
      <c r="E872" s="13"/>
      <c r="M872" s="72"/>
    </row>
    <row r="873">
      <c r="A873" s="13"/>
      <c r="B873" s="13"/>
      <c r="C873" s="13"/>
      <c r="E873" s="13"/>
      <c r="M873" s="72"/>
    </row>
    <row r="874">
      <c r="A874" s="13"/>
      <c r="B874" s="13"/>
      <c r="C874" s="13"/>
      <c r="E874" s="13"/>
      <c r="M874" s="72"/>
    </row>
    <row r="875">
      <c r="A875" s="13"/>
      <c r="B875" s="13"/>
      <c r="C875" s="13"/>
      <c r="E875" s="13"/>
      <c r="M875" s="72"/>
    </row>
    <row r="876">
      <c r="A876" s="13"/>
      <c r="B876" s="13"/>
      <c r="C876" s="13"/>
      <c r="E876" s="13"/>
      <c r="M876" s="72"/>
    </row>
    <row r="877">
      <c r="A877" s="13"/>
      <c r="B877" s="13"/>
      <c r="C877" s="13"/>
      <c r="E877" s="13"/>
      <c r="M877" s="72"/>
    </row>
    <row r="878">
      <c r="A878" s="13"/>
      <c r="B878" s="13"/>
      <c r="C878" s="13"/>
      <c r="E878" s="13"/>
      <c r="M878" s="72"/>
    </row>
    <row r="879">
      <c r="A879" s="13"/>
      <c r="B879" s="13"/>
      <c r="C879" s="13"/>
      <c r="E879" s="13"/>
      <c r="M879" s="72"/>
    </row>
    <row r="880">
      <c r="A880" s="13"/>
      <c r="B880" s="13"/>
      <c r="C880" s="13"/>
      <c r="E880" s="13"/>
      <c r="M880" s="72"/>
    </row>
    <row r="881">
      <c r="A881" s="13"/>
      <c r="B881" s="13"/>
      <c r="C881" s="13"/>
      <c r="E881" s="13"/>
      <c r="M881" s="72"/>
    </row>
    <row r="882">
      <c r="A882" s="13"/>
      <c r="B882" s="13"/>
      <c r="C882" s="13"/>
      <c r="E882" s="13"/>
      <c r="M882" s="72"/>
    </row>
    <row r="883">
      <c r="A883" s="13"/>
      <c r="B883" s="13"/>
      <c r="C883" s="13"/>
      <c r="E883" s="13"/>
      <c r="M883" s="72"/>
    </row>
    <row r="884">
      <c r="A884" s="13"/>
      <c r="B884" s="13"/>
      <c r="C884" s="13"/>
      <c r="E884" s="13"/>
      <c r="M884" s="72"/>
    </row>
    <row r="885">
      <c r="A885" s="13"/>
      <c r="B885" s="13"/>
      <c r="C885" s="13"/>
      <c r="E885" s="13"/>
      <c r="M885" s="72"/>
    </row>
    <row r="886">
      <c r="A886" s="13"/>
      <c r="B886" s="13"/>
      <c r="C886" s="13"/>
      <c r="E886" s="13"/>
      <c r="M886" s="72"/>
    </row>
    <row r="887">
      <c r="A887" s="13"/>
      <c r="B887" s="13"/>
      <c r="C887" s="13"/>
      <c r="E887" s="13"/>
      <c r="M887" s="72"/>
    </row>
    <row r="888">
      <c r="A888" s="13"/>
      <c r="B888" s="13"/>
      <c r="C888" s="13"/>
      <c r="E888" s="13"/>
      <c r="M888" s="72"/>
    </row>
    <row r="889">
      <c r="A889" s="13"/>
      <c r="B889" s="13"/>
      <c r="C889" s="13"/>
      <c r="E889" s="13"/>
      <c r="M889" s="72"/>
    </row>
    <row r="890">
      <c r="A890" s="13"/>
      <c r="B890" s="13"/>
      <c r="C890" s="13"/>
      <c r="E890" s="13"/>
      <c r="M890" s="72"/>
    </row>
    <row r="891">
      <c r="A891" s="13"/>
      <c r="B891" s="13"/>
      <c r="C891" s="13"/>
      <c r="E891" s="13"/>
      <c r="M891" s="72"/>
    </row>
    <row r="892">
      <c r="A892" s="13"/>
      <c r="B892" s="13"/>
      <c r="C892" s="13"/>
      <c r="E892" s="13"/>
      <c r="M892" s="72"/>
    </row>
    <row r="893">
      <c r="A893" s="13"/>
      <c r="B893" s="13"/>
      <c r="C893" s="13"/>
      <c r="E893" s="13"/>
      <c r="M893" s="72"/>
    </row>
    <row r="894">
      <c r="A894" s="13"/>
      <c r="B894" s="13"/>
      <c r="C894" s="13"/>
      <c r="E894" s="13"/>
      <c r="M894" s="72"/>
    </row>
    <row r="895">
      <c r="A895" s="13"/>
      <c r="B895" s="13"/>
      <c r="C895" s="13"/>
      <c r="E895" s="13"/>
      <c r="M895" s="72"/>
    </row>
    <row r="896">
      <c r="A896" s="13"/>
      <c r="B896" s="13"/>
      <c r="C896" s="13"/>
      <c r="E896" s="13"/>
      <c r="M896" s="72"/>
    </row>
    <row r="897">
      <c r="A897" s="13"/>
      <c r="B897" s="13"/>
      <c r="C897" s="13"/>
      <c r="E897" s="13"/>
      <c r="M897" s="72"/>
    </row>
    <row r="898">
      <c r="A898" s="13"/>
      <c r="B898" s="13"/>
      <c r="C898" s="13"/>
      <c r="E898" s="13"/>
      <c r="M898" s="72"/>
    </row>
    <row r="899">
      <c r="A899" s="13"/>
      <c r="B899" s="13"/>
      <c r="C899" s="13"/>
      <c r="E899" s="13"/>
      <c r="M899" s="72"/>
    </row>
    <row r="900">
      <c r="A900" s="13"/>
      <c r="B900" s="13"/>
      <c r="C900" s="13"/>
      <c r="E900" s="13"/>
      <c r="M900" s="72"/>
    </row>
    <row r="901">
      <c r="A901" s="13"/>
      <c r="B901" s="13"/>
      <c r="C901" s="13"/>
      <c r="E901" s="13"/>
      <c r="M901" s="72"/>
    </row>
    <row r="902">
      <c r="A902" s="13"/>
      <c r="B902" s="13"/>
      <c r="C902" s="13"/>
      <c r="E902" s="13"/>
      <c r="M902" s="72"/>
    </row>
    <row r="903">
      <c r="A903" s="13"/>
      <c r="B903" s="13"/>
      <c r="C903" s="13"/>
      <c r="E903" s="13"/>
      <c r="M903" s="72"/>
    </row>
    <row r="904">
      <c r="A904" s="13"/>
      <c r="B904" s="13"/>
      <c r="C904" s="13"/>
      <c r="E904" s="13"/>
      <c r="M904" s="72"/>
    </row>
    <row r="905">
      <c r="A905" s="13"/>
      <c r="B905" s="13"/>
      <c r="C905" s="13"/>
      <c r="E905" s="13"/>
      <c r="M905" s="72"/>
    </row>
    <row r="906">
      <c r="A906" s="13"/>
      <c r="B906" s="13"/>
      <c r="C906" s="13"/>
      <c r="E906" s="13"/>
      <c r="M906" s="72"/>
    </row>
    <row r="907">
      <c r="A907" s="13"/>
      <c r="B907" s="13"/>
      <c r="C907" s="13"/>
      <c r="E907" s="13"/>
      <c r="M907" s="72"/>
    </row>
    <row r="908">
      <c r="A908" s="13"/>
      <c r="B908" s="13"/>
      <c r="C908" s="13"/>
      <c r="E908" s="13"/>
      <c r="M908" s="72"/>
    </row>
    <row r="909">
      <c r="A909" s="13"/>
      <c r="B909" s="13"/>
      <c r="C909" s="13"/>
      <c r="E909" s="13"/>
      <c r="M909" s="72"/>
    </row>
    <row r="910">
      <c r="A910" s="13"/>
      <c r="B910" s="13"/>
      <c r="C910" s="13"/>
      <c r="E910" s="13"/>
      <c r="M910" s="72"/>
    </row>
    <row r="911">
      <c r="A911" s="13"/>
      <c r="B911" s="13"/>
      <c r="C911" s="13"/>
      <c r="E911" s="13"/>
      <c r="M911" s="72"/>
    </row>
    <row r="912">
      <c r="A912" s="13"/>
      <c r="B912" s="13"/>
      <c r="C912" s="13"/>
      <c r="E912" s="13"/>
      <c r="M912" s="72"/>
    </row>
    <row r="913">
      <c r="A913" s="13"/>
      <c r="B913" s="13"/>
      <c r="C913" s="13"/>
      <c r="E913" s="13"/>
      <c r="M913" s="72"/>
    </row>
    <row r="914">
      <c r="A914" s="13"/>
      <c r="B914" s="13"/>
      <c r="C914" s="13"/>
      <c r="E914" s="13"/>
      <c r="M914" s="72"/>
    </row>
    <row r="915">
      <c r="A915" s="13"/>
      <c r="B915" s="13"/>
      <c r="C915" s="13"/>
      <c r="E915" s="13"/>
      <c r="M915" s="72"/>
    </row>
    <row r="916">
      <c r="A916" s="13"/>
      <c r="B916" s="13"/>
      <c r="C916" s="13"/>
      <c r="E916" s="13"/>
      <c r="M916" s="72"/>
    </row>
    <row r="917">
      <c r="A917" s="13"/>
      <c r="B917" s="13"/>
      <c r="C917" s="13"/>
      <c r="E917" s="13"/>
      <c r="M917" s="72"/>
    </row>
    <row r="918">
      <c r="A918" s="13"/>
      <c r="B918" s="13"/>
      <c r="C918" s="13"/>
      <c r="E918" s="13"/>
      <c r="M918" s="72"/>
    </row>
    <row r="919">
      <c r="A919" s="13"/>
      <c r="B919" s="13"/>
      <c r="C919" s="13"/>
      <c r="E919" s="13"/>
      <c r="M919" s="72"/>
    </row>
    <row r="920">
      <c r="A920" s="13"/>
      <c r="B920" s="13"/>
      <c r="C920" s="13"/>
      <c r="E920" s="13"/>
      <c r="M920" s="72"/>
    </row>
    <row r="921">
      <c r="A921" s="13"/>
      <c r="B921" s="13"/>
      <c r="C921" s="13"/>
      <c r="E921" s="13"/>
      <c r="M921" s="72"/>
    </row>
    <row r="922">
      <c r="A922" s="13"/>
      <c r="B922" s="13"/>
      <c r="C922" s="13"/>
      <c r="E922" s="13"/>
      <c r="M922" s="72"/>
    </row>
    <row r="923">
      <c r="A923" s="13"/>
      <c r="B923" s="13"/>
      <c r="C923" s="13"/>
      <c r="E923" s="13"/>
      <c r="M923" s="72"/>
    </row>
    <row r="924">
      <c r="A924" s="13"/>
      <c r="B924" s="13"/>
      <c r="C924" s="13"/>
      <c r="E924" s="13"/>
      <c r="M924" s="72"/>
    </row>
    <row r="925">
      <c r="A925" s="13"/>
      <c r="B925" s="13"/>
      <c r="C925" s="13"/>
      <c r="E925" s="13"/>
      <c r="M925" s="72"/>
    </row>
    <row r="926">
      <c r="A926" s="13"/>
      <c r="B926" s="13"/>
      <c r="C926" s="13"/>
      <c r="E926" s="13"/>
      <c r="M926" s="72"/>
    </row>
    <row r="927">
      <c r="A927" s="13"/>
      <c r="B927" s="13"/>
      <c r="C927" s="13"/>
      <c r="E927" s="13"/>
      <c r="M927" s="72"/>
    </row>
    <row r="928">
      <c r="A928" s="13"/>
      <c r="B928" s="13"/>
      <c r="C928" s="13"/>
      <c r="E928" s="13"/>
      <c r="M928" s="72"/>
    </row>
    <row r="929">
      <c r="A929" s="13"/>
      <c r="B929" s="13"/>
      <c r="C929" s="13"/>
      <c r="E929" s="13"/>
      <c r="M929" s="72"/>
    </row>
    <row r="930">
      <c r="A930" s="13"/>
      <c r="B930" s="13"/>
      <c r="C930" s="13"/>
      <c r="E930" s="13"/>
      <c r="M930" s="72"/>
    </row>
    <row r="931">
      <c r="A931" s="13"/>
      <c r="B931" s="13"/>
      <c r="C931" s="13"/>
      <c r="E931" s="13"/>
      <c r="M931" s="72"/>
    </row>
    <row r="932">
      <c r="A932" s="13"/>
      <c r="B932" s="13"/>
      <c r="C932" s="13"/>
      <c r="E932" s="13"/>
      <c r="M932" s="72"/>
    </row>
    <row r="933">
      <c r="A933" s="13"/>
      <c r="B933" s="13"/>
      <c r="C933" s="13"/>
      <c r="E933" s="13"/>
      <c r="M933" s="72"/>
    </row>
    <row r="934">
      <c r="A934" s="13"/>
      <c r="B934" s="13"/>
      <c r="C934" s="13"/>
      <c r="E934" s="13"/>
      <c r="M934" s="72"/>
    </row>
    <row r="935">
      <c r="A935" s="13"/>
      <c r="B935" s="13"/>
      <c r="C935" s="13"/>
      <c r="E935" s="13"/>
      <c r="M935" s="72"/>
    </row>
    <row r="936">
      <c r="A936" s="13"/>
      <c r="B936" s="13"/>
      <c r="C936" s="13"/>
      <c r="E936" s="13"/>
      <c r="M936" s="72"/>
    </row>
    <row r="937">
      <c r="A937" s="13"/>
      <c r="B937" s="13"/>
      <c r="C937" s="13"/>
      <c r="E937" s="13"/>
      <c r="M937" s="72"/>
    </row>
    <row r="938">
      <c r="A938" s="13"/>
      <c r="B938" s="13"/>
      <c r="C938" s="13"/>
      <c r="E938" s="13"/>
      <c r="M938" s="72"/>
    </row>
    <row r="939">
      <c r="A939" s="13"/>
      <c r="B939" s="13"/>
      <c r="C939" s="13"/>
      <c r="E939" s="13"/>
      <c r="M939" s="72"/>
    </row>
    <row r="940">
      <c r="A940" s="13"/>
      <c r="B940" s="13"/>
      <c r="C940" s="13"/>
      <c r="E940" s="13"/>
      <c r="M940" s="72"/>
    </row>
    <row r="941">
      <c r="A941" s="13"/>
      <c r="B941" s="13"/>
      <c r="C941" s="13"/>
      <c r="E941" s="13"/>
      <c r="M941" s="72"/>
    </row>
    <row r="942">
      <c r="A942" s="13"/>
      <c r="B942" s="13"/>
      <c r="C942" s="13"/>
      <c r="E942" s="13"/>
      <c r="M942" s="72"/>
    </row>
    <row r="943">
      <c r="A943" s="13"/>
      <c r="B943" s="13"/>
      <c r="C943" s="13"/>
      <c r="E943" s="13"/>
      <c r="M943" s="72"/>
    </row>
    <row r="944">
      <c r="A944" s="13"/>
      <c r="B944" s="13"/>
      <c r="C944" s="13"/>
      <c r="E944" s="13"/>
      <c r="M944" s="72"/>
    </row>
    <row r="945">
      <c r="A945" s="13"/>
      <c r="B945" s="13"/>
      <c r="C945" s="13"/>
      <c r="E945" s="13"/>
      <c r="M945" s="72"/>
    </row>
    <row r="946">
      <c r="A946" s="13"/>
      <c r="B946" s="13"/>
      <c r="C946" s="13"/>
      <c r="E946" s="13"/>
      <c r="M946" s="72"/>
    </row>
    <row r="947">
      <c r="A947" s="13"/>
      <c r="B947" s="13"/>
      <c r="C947" s="13"/>
      <c r="E947" s="13"/>
      <c r="M947" s="72"/>
    </row>
    <row r="948">
      <c r="A948" s="13"/>
      <c r="B948" s="13"/>
      <c r="C948" s="13"/>
      <c r="E948" s="13"/>
      <c r="M948" s="72"/>
    </row>
    <row r="949">
      <c r="A949" s="13"/>
      <c r="B949" s="13"/>
      <c r="C949" s="13"/>
      <c r="E949" s="13"/>
      <c r="M949" s="72"/>
    </row>
    <row r="950">
      <c r="A950" s="13"/>
      <c r="B950" s="13"/>
      <c r="C950" s="13"/>
      <c r="E950" s="13"/>
      <c r="M950" s="72"/>
    </row>
    <row r="951">
      <c r="A951" s="13"/>
      <c r="B951" s="13"/>
      <c r="C951" s="13"/>
      <c r="E951" s="13"/>
      <c r="M951" s="72"/>
    </row>
    <row r="952">
      <c r="A952" s="13"/>
      <c r="B952" s="13"/>
      <c r="C952" s="13"/>
      <c r="E952" s="13"/>
      <c r="M952" s="72"/>
    </row>
    <row r="953">
      <c r="A953" s="13"/>
      <c r="B953" s="13"/>
      <c r="C953" s="13"/>
      <c r="E953" s="13"/>
      <c r="M953" s="72"/>
    </row>
    <row r="954">
      <c r="A954" s="13"/>
      <c r="B954" s="13"/>
      <c r="C954" s="13"/>
      <c r="E954" s="13"/>
      <c r="M954" s="72"/>
    </row>
    <row r="955">
      <c r="A955" s="13"/>
      <c r="B955" s="13"/>
      <c r="C955" s="13"/>
      <c r="E955" s="13"/>
      <c r="M955" s="72"/>
    </row>
    <row r="956">
      <c r="A956" s="13"/>
      <c r="B956" s="13"/>
      <c r="C956" s="13"/>
      <c r="E956" s="13"/>
      <c r="M956" s="72"/>
    </row>
    <row r="957">
      <c r="A957" s="13"/>
      <c r="B957" s="13"/>
      <c r="C957" s="13"/>
      <c r="E957" s="13"/>
      <c r="M957" s="72"/>
    </row>
    <row r="958">
      <c r="A958" s="13"/>
      <c r="B958" s="13"/>
      <c r="C958" s="13"/>
      <c r="E958" s="13"/>
      <c r="M958" s="72"/>
    </row>
    <row r="959">
      <c r="A959" s="13"/>
      <c r="B959" s="13"/>
      <c r="C959" s="13"/>
      <c r="E959" s="13"/>
      <c r="M959" s="72"/>
    </row>
    <row r="960">
      <c r="A960" s="13"/>
      <c r="B960" s="13"/>
      <c r="C960" s="13"/>
      <c r="E960" s="13"/>
      <c r="M960" s="72"/>
    </row>
    <row r="961">
      <c r="A961" s="13"/>
      <c r="B961" s="13"/>
      <c r="C961" s="13"/>
      <c r="E961" s="13"/>
      <c r="M961" s="72"/>
    </row>
    <row r="962">
      <c r="A962" s="13"/>
      <c r="B962" s="13"/>
      <c r="C962" s="13"/>
      <c r="E962" s="13"/>
      <c r="M962" s="72"/>
    </row>
    <row r="963">
      <c r="A963" s="13"/>
      <c r="B963" s="13"/>
      <c r="C963" s="13"/>
      <c r="E963" s="13"/>
      <c r="M963" s="72"/>
    </row>
    <row r="964">
      <c r="A964" s="13"/>
      <c r="B964" s="13"/>
      <c r="C964" s="13"/>
      <c r="E964" s="13"/>
      <c r="M964" s="72"/>
    </row>
    <row r="965">
      <c r="A965" s="13"/>
      <c r="B965" s="13"/>
      <c r="C965" s="13"/>
      <c r="E965" s="13"/>
      <c r="M965" s="72"/>
    </row>
    <row r="966">
      <c r="A966" s="13"/>
      <c r="B966" s="13"/>
      <c r="C966" s="13"/>
      <c r="E966" s="13"/>
      <c r="M966" s="72"/>
    </row>
    <row r="967">
      <c r="A967" s="13"/>
      <c r="B967" s="13"/>
      <c r="C967" s="13"/>
      <c r="E967" s="13"/>
      <c r="M967" s="72"/>
    </row>
    <row r="968">
      <c r="A968" s="13"/>
      <c r="B968" s="13"/>
      <c r="C968" s="13"/>
      <c r="E968" s="13"/>
      <c r="M968" s="72"/>
    </row>
    <row r="969">
      <c r="A969" s="13"/>
      <c r="B969" s="13"/>
      <c r="C969" s="13"/>
      <c r="E969" s="13"/>
      <c r="M969" s="72"/>
    </row>
    <row r="970">
      <c r="A970" s="13"/>
      <c r="B970" s="13"/>
      <c r="C970" s="13"/>
      <c r="E970" s="13"/>
      <c r="M970" s="72"/>
    </row>
    <row r="971">
      <c r="A971" s="13"/>
      <c r="B971" s="13"/>
      <c r="C971" s="13"/>
      <c r="E971" s="13"/>
      <c r="M971" s="72"/>
    </row>
    <row r="972">
      <c r="A972" s="13"/>
      <c r="B972" s="13"/>
      <c r="C972" s="13"/>
      <c r="E972" s="13"/>
      <c r="M972" s="72"/>
    </row>
    <row r="973">
      <c r="A973" s="13"/>
      <c r="B973" s="13"/>
      <c r="C973" s="13"/>
      <c r="E973" s="13"/>
      <c r="M973" s="72"/>
    </row>
    <row r="974">
      <c r="A974" s="13"/>
      <c r="B974" s="13"/>
      <c r="C974" s="13"/>
      <c r="E974" s="13"/>
      <c r="M974" s="72"/>
    </row>
    <row r="975">
      <c r="A975" s="13"/>
      <c r="B975" s="13"/>
      <c r="C975" s="13"/>
      <c r="E975" s="13"/>
      <c r="M975" s="72"/>
    </row>
    <row r="976">
      <c r="A976" s="13"/>
      <c r="B976" s="13"/>
      <c r="C976" s="13"/>
      <c r="E976" s="13"/>
      <c r="M976" s="72"/>
    </row>
    <row r="977">
      <c r="A977" s="13"/>
      <c r="B977" s="13"/>
      <c r="C977" s="13"/>
      <c r="E977" s="13"/>
      <c r="M977" s="72"/>
    </row>
    <row r="978">
      <c r="A978" s="13"/>
      <c r="B978" s="13"/>
      <c r="C978" s="13"/>
      <c r="E978" s="13"/>
      <c r="M978" s="72"/>
    </row>
    <row r="979">
      <c r="A979" s="13"/>
      <c r="B979" s="13"/>
      <c r="C979" s="13"/>
      <c r="E979" s="13"/>
      <c r="M979" s="72"/>
    </row>
    <row r="980">
      <c r="A980" s="13"/>
      <c r="B980" s="13"/>
      <c r="C980" s="13"/>
      <c r="E980" s="13"/>
      <c r="M980" s="72"/>
    </row>
    <row r="981">
      <c r="A981" s="13"/>
      <c r="B981" s="13"/>
      <c r="C981" s="13"/>
      <c r="E981" s="13"/>
      <c r="M981" s="72"/>
    </row>
    <row r="982">
      <c r="A982" s="13"/>
      <c r="B982" s="13"/>
      <c r="C982" s="13"/>
      <c r="E982" s="13"/>
      <c r="M982" s="72"/>
    </row>
    <row r="983">
      <c r="A983" s="13"/>
      <c r="B983" s="13"/>
      <c r="C983" s="13"/>
      <c r="E983" s="13"/>
      <c r="M983" s="72"/>
    </row>
    <row r="984">
      <c r="A984" s="13"/>
      <c r="B984" s="13"/>
      <c r="C984" s="13"/>
      <c r="E984" s="13"/>
      <c r="M984" s="72"/>
    </row>
    <row r="985">
      <c r="A985" s="13"/>
      <c r="B985" s="13"/>
      <c r="C985" s="13"/>
      <c r="E985" s="13"/>
      <c r="M985" s="72"/>
    </row>
    <row r="986">
      <c r="A986" s="13"/>
      <c r="B986" s="13"/>
      <c r="C986" s="13"/>
      <c r="E986" s="13"/>
      <c r="M986" s="72"/>
    </row>
    <row r="987">
      <c r="A987" s="13"/>
      <c r="B987" s="13"/>
      <c r="C987" s="13"/>
      <c r="E987" s="13"/>
      <c r="M987" s="72"/>
    </row>
    <row r="988">
      <c r="A988" s="13"/>
      <c r="B988" s="13"/>
      <c r="C988" s="13"/>
      <c r="E988" s="13"/>
      <c r="M988" s="72"/>
    </row>
    <row r="989">
      <c r="A989" s="13"/>
      <c r="B989" s="13"/>
      <c r="C989" s="13"/>
      <c r="E989" s="13"/>
      <c r="M989" s="72"/>
    </row>
    <row r="990">
      <c r="A990" s="13"/>
      <c r="B990" s="13"/>
      <c r="C990" s="13"/>
      <c r="E990" s="13"/>
      <c r="M990" s="72"/>
    </row>
    <row r="991">
      <c r="A991" s="13"/>
      <c r="B991" s="13"/>
      <c r="C991" s="13"/>
      <c r="E991" s="13"/>
      <c r="M991" s="72"/>
    </row>
    <row r="992">
      <c r="A992" s="13"/>
      <c r="B992" s="13"/>
      <c r="C992" s="13"/>
      <c r="E992" s="13"/>
      <c r="M992" s="72"/>
    </row>
    <row r="993">
      <c r="A993" s="13"/>
      <c r="B993" s="13"/>
      <c r="C993" s="13"/>
      <c r="E993" s="13"/>
      <c r="M993" s="72"/>
    </row>
    <row r="994">
      <c r="A994" s="13"/>
      <c r="B994" s="13"/>
      <c r="C994" s="13"/>
      <c r="E994" s="13"/>
      <c r="M994" s="72"/>
    </row>
    <row r="995">
      <c r="A995" s="13"/>
      <c r="B995" s="13"/>
      <c r="C995" s="13"/>
      <c r="E995" s="13"/>
      <c r="M995" s="72"/>
    </row>
    <row r="996">
      <c r="A996" s="13"/>
      <c r="B996" s="13"/>
      <c r="C996" s="13"/>
      <c r="E996" s="13"/>
      <c r="M996" s="72"/>
    </row>
    <row r="997">
      <c r="A997" s="13"/>
      <c r="B997" s="13"/>
      <c r="C997" s="13"/>
      <c r="E997" s="13"/>
      <c r="M997" s="72"/>
    </row>
    <row r="998">
      <c r="A998" s="13"/>
      <c r="B998" s="13"/>
      <c r="C998" s="13"/>
      <c r="E998" s="13"/>
      <c r="M998" s="72"/>
    </row>
    <row r="999">
      <c r="A999" s="13"/>
      <c r="B999" s="13"/>
      <c r="C999" s="13"/>
      <c r="E999" s="13"/>
      <c r="M999" s="72"/>
    </row>
    <row r="1000">
      <c r="A1000" s="13"/>
      <c r="B1000" s="13"/>
      <c r="C1000" s="13"/>
      <c r="E1000" s="13"/>
      <c r="M1000" s="72"/>
    </row>
    <row r="1001">
      <c r="A1001" s="13"/>
      <c r="B1001" s="13"/>
      <c r="C1001" s="13"/>
      <c r="E1001" s="13"/>
      <c r="M1001" s="72"/>
    </row>
    <row r="1002">
      <c r="A1002" s="13"/>
      <c r="B1002" s="13"/>
      <c r="C1002" s="13"/>
      <c r="E1002" s="13"/>
      <c r="M1002" s="72"/>
    </row>
    <row r="1003">
      <c r="A1003" s="13"/>
      <c r="B1003" s="13"/>
      <c r="C1003" s="13"/>
      <c r="E1003" s="13"/>
      <c r="M1003" s="72"/>
    </row>
    <row r="1004">
      <c r="A1004" s="13"/>
      <c r="B1004" s="13"/>
      <c r="C1004" s="13"/>
      <c r="E1004" s="13"/>
      <c r="M1004" s="72"/>
    </row>
    <row r="1005">
      <c r="A1005" s="13"/>
      <c r="B1005" s="13"/>
      <c r="C1005" s="13"/>
      <c r="E1005" s="13"/>
      <c r="M1005" s="72"/>
    </row>
    <row r="1006">
      <c r="A1006" s="13"/>
      <c r="B1006" s="13"/>
      <c r="C1006" s="13"/>
      <c r="E1006" s="13"/>
      <c r="M1006" s="72"/>
    </row>
    <row r="1007">
      <c r="A1007" s="13"/>
      <c r="B1007" s="13"/>
      <c r="C1007" s="13"/>
      <c r="E1007" s="13"/>
      <c r="M1007" s="72"/>
    </row>
  </sheetData>
  <hyperlinks>
    <hyperlink r:id="rId2" ref="P3"/>
    <hyperlink r:id="rId3" ref="P4"/>
    <hyperlink r:id="rId4" ref="P5"/>
    <hyperlink r:id="rId5" ref="P6"/>
    <hyperlink r:id="rId6" ref="P7"/>
    <hyperlink r:id="rId7" ref="P8"/>
    <hyperlink r:id="rId8" ref="P9"/>
    <hyperlink r:id="rId9" ref="P10"/>
    <hyperlink r:id="rId10" ref="P11"/>
    <hyperlink r:id="rId11" ref="P12"/>
    <hyperlink r:id="rId12" ref="P13"/>
    <hyperlink r:id="rId13" ref="P14"/>
    <hyperlink r:id="rId14" ref="P15"/>
    <hyperlink r:id="rId15" ref="P16"/>
    <hyperlink r:id="rId16" ref="P17"/>
    <hyperlink r:id="rId17" ref="P18"/>
    <hyperlink r:id="rId18" ref="P19"/>
    <hyperlink r:id="rId19" ref="P20"/>
    <hyperlink r:id="rId20" ref="P21"/>
    <hyperlink r:id="rId21" ref="P22"/>
    <hyperlink r:id="rId22" ref="P23"/>
    <hyperlink r:id="rId23" ref="P24"/>
    <hyperlink r:id="rId24" ref="P25"/>
    <hyperlink r:id="rId25" ref="P26"/>
    <hyperlink r:id="rId26" ref="P27"/>
    <hyperlink r:id="rId27" ref="P28"/>
    <hyperlink r:id="rId28" ref="P29"/>
    <hyperlink r:id="rId29" ref="P30"/>
    <hyperlink r:id="rId30" ref="P31"/>
    <hyperlink r:id="rId31" ref="P32"/>
    <hyperlink r:id="rId32" ref="P33"/>
    <hyperlink r:id="rId33" ref="P34"/>
    <hyperlink r:id="rId34" ref="P35"/>
    <hyperlink r:id="rId35" ref="P36"/>
    <hyperlink r:id="rId36" ref="P37"/>
    <hyperlink r:id="rId37" ref="P38"/>
    <hyperlink r:id="rId38" ref="P39"/>
    <hyperlink r:id="rId39" ref="P40"/>
    <hyperlink r:id="rId40" ref="P41"/>
    <hyperlink r:id="rId41" ref="P42"/>
    <hyperlink r:id="rId42" ref="P43"/>
    <hyperlink r:id="rId43" ref="P44"/>
    <hyperlink r:id="rId44" ref="P45"/>
    <hyperlink r:id="rId45" ref="P46"/>
    <hyperlink r:id="rId46" ref="P47"/>
    <hyperlink r:id="rId47" ref="P48"/>
    <hyperlink r:id="rId48" ref="P49"/>
    <hyperlink r:id="rId49" ref="P50"/>
    <hyperlink r:id="rId50" ref="P51"/>
    <hyperlink r:id="rId51" ref="P52"/>
    <hyperlink r:id="rId52" ref="P53"/>
    <hyperlink r:id="rId53" ref="P54"/>
    <hyperlink r:id="rId54" ref="P55"/>
    <hyperlink r:id="rId55" ref="P56"/>
    <hyperlink r:id="rId56" ref="P57"/>
    <hyperlink r:id="rId57" ref="P58"/>
    <hyperlink r:id="rId58" ref="P59"/>
    <hyperlink r:id="rId59" ref="P60"/>
    <hyperlink r:id="rId60" ref="P61"/>
    <hyperlink r:id="rId61" ref="P62"/>
    <hyperlink r:id="rId62" ref="P63"/>
    <hyperlink r:id="rId63" ref="P64"/>
    <hyperlink r:id="rId64" ref="P65"/>
    <hyperlink r:id="rId65" ref="P66"/>
    <hyperlink r:id="rId66" ref="P68"/>
    <hyperlink r:id="rId67" ref="P69"/>
    <hyperlink r:id="rId68" ref="P70"/>
    <hyperlink r:id="rId69" ref="P71"/>
    <hyperlink r:id="rId70" ref="P72"/>
    <hyperlink r:id="rId71" ref="P73"/>
    <hyperlink r:id="rId72" ref="P74"/>
    <hyperlink r:id="rId73" ref="P75"/>
    <hyperlink r:id="rId74" ref="P76"/>
    <hyperlink r:id="rId75" ref="P77"/>
    <hyperlink r:id="rId76" ref="P78"/>
    <hyperlink r:id="rId77" ref="P79"/>
    <hyperlink r:id="rId78" ref="P80"/>
    <hyperlink r:id="rId79" ref="P81"/>
    <hyperlink r:id="rId80" ref="P82"/>
    <hyperlink r:id="rId81" ref="P83"/>
    <hyperlink r:id="rId82" ref="P84"/>
    <hyperlink r:id="rId83" ref="P85"/>
    <hyperlink r:id="rId84" ref="P86"/>
    <hyperlink r:id="rId85" ref="P87"/>
    <hyperlink r:id="rId86" ref="P88"/>
    <hyperlink r:id="rId87" ref="P89"/>
    <hyperlink r:id="rId88" ref="P90"/>
    <hyperlink r:id="rId89" ref="P91"/>
    <hyperlink r:id="rId90" ref="P92"/>
    <hyperlink r:id="rId91" ref="P93"/>
    <hyperlink r:id="rId92" ref="P94"/>
    <hyperlink r:id="rId93" ref="P95"/>
    <hyperlink r:id="rId94" ref="P96"/>
    <hyperlink r:id="rId95" ref="P97"/>
    <hyperlink r:id="rId96" ref="P98"/>
    <hyperlink r:id="rId97" ref="P99"/>
    <hyperlink r:id="rId98" ref="P100"/>
    <hyperlink r:id="rId99" ref="P101"/>
    <hyperlink r:id="rId100" ref="P102"/>
    <hyperlink r:id="rId101" ref="P103"/>
    <hyperlink r:id="rId102" ref="P104"/>
    <hyperlink r:id="rId103" ref="P105"/>
    <hyperlink r:id="rId104" ref="P106"/>
    <hyperlink r:id="rId105" ref="P107"/>
    <hyperlink r:id="rId106" ref="P108"/>
    <hyperlink r:id="rId107" ref="P109"/>
    <hyperlink r:id="rId108" ref="P110"/>
    <hyperlink r:id="rId109" ref="P111"/>
    <hyperlink r:id="rId110" ref="P112"/>
    <hyperlink r:id="rId111" ref="P113"/>
    <hyperlink r:id="rId112" ref="P114"/>
    <hyperlink r:id="rId113" ref="P115"/>
    <hyperlink r:id="rId114" ref="P116"/>
    <hyperlink r:id="rId115" ref="P117"/>
    <hyperlink r:id="rId116" ref="P118"/>
    <hyperlink r:id="rId117" ref="P119"/>
    <hyperlink r:id="rId118" ref="P120"/>
    <hyperlink r:id="rId119" ref="P121"/>
    <hyperlink r:id="rId120" ref="P122"/>
    <hyperlink r:id="rId121" ref="P123"/>
    <hyperlink r:id="rId122" ref="P124"/>
    <hyperlink r:id="rId123" ref="P125"/>
    <hyperlink r:id="rId124" ref="P126"/>
    <hyperlink r:id="rId125" ref="P127"/>
    <hyperlink r:id="rId126" ref="P128"/>
    <hyperlink r:id="rId127" ref="P129"/>
    <hyperlink r:id="rId128" ref="P130"/>
    <hyperlink r:id="rId129" ref="P131"/>
    <hyperlink r:id="rId130" ref="P132"/>
    <hyperlink r:id="rId131" ref="P133"/>
    <hyperlink r:id="rId132" ref="P134"/>
    <hyperlink r:id="rId133" ref="P135"/>
    <hyperlink r:id="rId134" ref="P136"/>
    <hyperlink r:id="rId135" ref="P137"/>
    <hyperlink r:id="rId136" ref="P138"/>
    <hyperlink r:id="rId137" ref="P139"/>
    <hyperlink r:id="rId138" ref="P140"/>
    <hyperlink r:id="rId139" ref="P141"/>
    <hyperlink r:id="rId140" ref="P142"/>
    <hyperlink r:id="rId141" ref="P143"/>
    <hyperlink r:id="rId142" ref="P144"/>
    <hyperlink r:id="rId143" ref="P145"/>
    <hyperlink r:id="rId144" ref="P146"/>
    <hyperlink r:id="rId145" ref="P147"/>
    <hyperlink r:id="rId146" ref="P148"/>
    <hyperlink r:id="rId147" ref="P149"/>
    <hyperlink r:id="rId148" ref="P150"/>
    <hyperlink r:id="rId149" ref="P151"/>
    <hyperlink r:id="rId150" ref="P152"/>
    <hyperlink r:id="rId151" ref="P153"/>
    <hyperlink r:id="rId152" ref="P154"/>
    <hyperlink r:id="rId153" ref="P155"/>
    <hyperlink r:id="rId154" ref="P156"/>
    <hyperlink r:id="rId155" ref="P157"/>
    <hyperlink r:id="rId156" ref="P158"/>
    <hyperlink r:id="rId157" ref="P159"/>
    <hyperlink r:id="rId158" ref="P160"/>
    <hyperlink r:id="rId159" ref="P161"/>
    <hyperlink r:id="rId160" ref="P162"/>
    <hyperlink r:id="rId161" ref="P163"/>
  </hyperlinks>
  <drawing r:id="rId162"/>
  <legacyDrawing r:id="rId16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88"/>
    <col customWidth="1" min="4" max="5" width="18.13"/>
    <col customWidth="1" min="6" max="6" width="28.38"/>
    <col customWidth="1" min="8" max="8" width="26.75"/>
    <col customWidth="1" min="10" max="10" width="16.75"/>
    <col customWidth="1" min="18" max="18" width="17.38"/>
  </cols>
  <sheetData>
    <row r="1">
      <c r="A1" s="422" t="s">
        <v>9098</v>
      </c>
      <c r="B1" s="422" t="s">
        <v>9099</v>
      </c>
      <c r="C1" s="422" t="s">
        <v>9100</v>
      </c>
      <c r="D1" s="422" t="s">
        <v>9101</v>
      </c>
      <c r="E1" s="422" t="s">
        <v>9102</v>
      </c>
      <c r="F1" s="422" t="s">
        <v>9103</v>
      </c>
      <c r="G1" s="422" t="s">
        <v>9104</v>
      </c>
      <c r="H1" s="422" t="s">
        <v>9105</v>
      </c>
      <c r="I1" s="422" t="s">
        <v>9106</v>
      </c>
      <c r="J1" s="422" t="s">
        <v>9107</v>
      </c>
    </row>
    <row r="2">
      <c r="A2" s="9">
        <v>1.0</v>
      </c>
      <c r="B2" s="9">
        <v>1.0</v>
      </c>
      <c r="C2" s="9">
        <v>1.0</v>
      </c>
      <c r="D2" s="170" t="s">
        <v>9108</v>
      </c>
      <c r="E2" s="170" t="s">
        <v>9109</v>
      </c>
      <c r="F2" s="16" t="s">
        <v>9110</v>
      </c>
      <c r="G2" s="63" t="s">
        <v>9111</v>
      </c>
      <c r="H2" s="9" t="s">
        <v>9112</v>
      </c>
      <c r="I2" s="63" t="s">
        <v>9113</v>
      </c>
    </row>
    <row r="3">
      <c r="A3" s="9">
        <v>0.0</v>
      </c>
      <c r="B3" s="9">
        <v>0.0</v>
      </c>
      <c r="C3" s="9">
        <v>1.0</v>
      </c>
      <c r="D3" s="170" t="s">
        <v>9108</v>
      </c>
      <c r="E3" s="170" t="s">
        <v>9109</v>
      </c>
      <c r="F3" s="16" t="s">
        <v>9110</v>
      </c>
      <c r="G3" s="63" t="s">
        <v>9111</v>
      </c>
      <c r="H3" s="9" t="s">
        <v>9112</v>
      </c>
      <c r="I3" s="63" t="s">
        <v>9114</v>
      </c>
    </row>
    <row r="4">
      <c r="A4" s="9">
        <v>0.0</v>
      </c>
      <c r="B4" s="9">
        <v>1.0</v>
      </c>
      <c r="C4" s="9">
        <v>1.0</v>
      </c>
      <c r="D4" s="9" t="s">
        <v>9108</v>
      </c>
      <c r="E4" s="9" t="s">
        <v>8155</v>
      </c>
      <c r="F4" s="9" t="s">
        <v>3119</v>
      </c>
      <c r="G4" s="63" t="s">
        <v>8239</v>
      </c>
      <c r="H4" s="9" t="s">
        <v>9115</v>
      </c>
      <c r="I4" s="423" t="s">
        <v>9116</v>
      </c>
    </row>
    <row r="5">
      <c r="A5" s="9">
        <v>0.0</v>
      </c>
      <c r="B5" s="9">
        <v>0.0</v>
      </c>
      <c r="C5" s="9">
        <v>1.0</v>
      </c>
      <c r="D5" s="9" t="s">
        <v>9117</v>
      </c>
      <c r="E5" s="9" t="s">
        <v>8155</v>
      </c>
      <c r="F5" s="9" t="s">
        <v>3001</v>
      </c>
      <c r="G5" s="424" t="s">
        <v>9118</v>
      </c>
      <c r="H5" s="9" t="s">
        <v>9115</v>
      </c>
      <c r="I5" s="423" t="s">
        <v>9116</v>
      </c>
    </row>
    <row r="6">
      <c r="A6" s="9">
        <v>0.0</v>
      </c>
      <c r="B6" s="9">
        <v>1.0</v>
      </c>
      <c r="C6" s="9">
        <v>0.0</v>
      </c>
      <c r="D6" s="9" t="s">
        <v>2489</v>
      </c>
      <c r="E6" s="9" t="s">
        <v>9109</v>
      </c>
      <c r="F6" s="16" t="s">
        <v>9119</v>
      </c>
      <c r="G6" s="63" t="s">
        <v>8243</v>
      </c>
      <c r="H6" s="9" t="s">
        <v>9115</v>
      </c>
      <c r="I6" s="423" t="s">
        <v>9116</v>
      </c>
    </row>
    <row r="7">
      <c r="A7" s="9">
        <v>0.0</v>
      </c>
      <c r="B7" s="9">
        <v>0.0</v>
      </c>
      <c r="C7" s="9">
        <v>0.0</v>
      </c>
      <c r="D7" s="9" t="s">
        <v>2489</v>
      </c>
      <c r="E7" s="9" t="s">
        <v>9109</v>
      </c>
      <c r="F7" s="16" t="s">
        <v>9120</v>
      </c>
      <c r="G7" s="63" t="s">
        <v>9121</v>
      </c>
      <c r="H7" s="9" t="s">
        <v>9115</v>
      </c>
      <c r="I7" s="423" t="s">
        <v>9116</v>
      </c>
    </row>
    <row r="8">
      <c r="A8" s="9">
        <v>0.0</v>
      </c>
      <c r="B8" s="9">
        <v>1.0</v>
      </c>
      <c r="C8" s="9">
        <v>0.0</v>
      </c>
      <c r="D8" s="9" t="s">
        <v>2489</v>
      </c>
      <c r="E8" s="9" t="s">
        <v>8155</v>
      </c>
      <c r="F8" s="9" t="s">
        <v>3001</v>
      </c>
      <c r="G8" s="9" t="s">
        <v>6856</v>
      </c>
      <c r="H8" s="9" t="s">
        <v>9115</v>
      </c>
      <c r="I8" s="423" t="s">
        <v>9116</v>
      </c>
    </row>
    <row r="9">
      <c r="A9" s="9">
        <v>0.0</v>
      </c>
      <c r="B9" s="9">
        <v>0.0</v>
      </c>
      <c r="C9" s="9">
        <v>0.0</v>
      </c>
      <c r="D9" s="9" t="s">
        <v>2489</v>
      </c>
      <c r="E9" s="9" t="s">
        <v>8155</v>
      </c>
      <c r="F9" s="9" t="s">
        <v>3001</v>
      </c>
      <c r="G9" s="9" t="s">
        <v>6856</v>
      </c>
      <c r="H9" s="9" t="s">
        <v>9115</v>
      </c>
      <c r="I9" s="423" t="s">
        <v>9116</v>
      </c>
    </row>
    <row r="15" ht="63.75" customHeight="1">
      <c r="A15" s="425" t="s">
        <v>9122</v>
      </c>
      <c r="B15" s="425" t="s">
        <v>9099</v>
      </c>
      <c r="C15" s="425" t="s">
        <v>9100</v>
      </c>
      <c r="D15" s="425" t="s">
        <v>9101</v>
      </c>
      <c r="E15" s="425" t="s">
        <v>9102</v>
      </c>
      <c r="F15" s="426" t="s">
        <v>1701</v>
      </c>
      <c r="G15" s="427" t="s">
        <v>1702</v>
      </c>
      <c r="H15" s="422" t="s">
        <v>1703</v>
      </c>
      <c r="I15" s="426" t="s">
        <v>1704</v>
      </c>
      <c r="J15" s="426" t="s">
        <v>1705</v>
      </c>
      <c r="K15" s="426" t="s">
        <v>1706</v>
      </c>
      <c r="L15" s="426" t="s">
        <v>1707</v>
      </c>
      <c r="M15" s="426" t="s">
        <v>1708</v>
      </c>
      <c r="N15" s="425" t="s">
        <v>1709</v>
      </c>
      <c r="O15" s="426" t="s">
        <v>1710</v>
      </c>
      <c r="P15" s="428" t="s">
        <v>1711</v>
      </c>
      <c r="Q15" s="426" t="s">
        <v>1714</v>
      </c>
      <c r="R15" s="425" t="s">
        <v>1715</v>
      </c>
      <c r="S15" s="425" t="s">
        <v>1719</v>
      </c>
      <c r="T15" s="425" t="s">
        <v>1720</v>
      </c>
      <c r="U15" s="425" t="s">
        <v>1723</v>
      </c>
      <c r="V15" s="425" t="s">
        <v>1724</v>
      </c>
      <c r="W15" s="426" t="s">
        <v>1728</v>
      </c>
      <c r="X15" s="425" t="s">
        <v>1729</v>
      </c>
      <c r="Y15" s="426" t="s">
        <v>1730</v>
      </c>
      <c r="Z15" s="425" t="s">
        <v>1731</v>
      </c>
      <c r="AA15" s="426" t="s">
        <v>1732</v>
      </c>
      <c r="AB15" s="426" t="s">
        <v>1733</v>
      </c>
      <c r="AC15" s="426" t="s">
        <v>1734</v>
      </c>
      <c r="AD15" s="426" t="s">
        <v>1735</v>
      </c>
      <c r="AE15" s="426" t="s">
        <v>1736</v>
      </c>
      <c r="AF15" s="426" t="s">
        <v>1737</v>
      </c>
      <c r="AG15" s="426" t="s">
        <v>1738</v>
      </c>
      <c r="AH15" s="426" t="s">
        <v>1739</v>
      </c>
      <c r="AI15" s="426" t="s">
        <v>1740</v>
      </c>
      <c r="AJ15" s="429" t="s">
        <v>1741</v>
      </c>
      <c r="AK15" s="426" t="s">
        <v>1748</v>
      </c>
      <c r="AL15" s="426" t="s">
        <v>1749</v>
      </c>
      <c r="AM15" s="426" t="s">
        <v>1751</v>
      </c>
      <c r="AN15" s="426" t="s">
        <v>1752</v>
      </c>
      <c r="AO15" s="425" t="s">
        <v>1754</v>
      </c>
      <c r="AP15" s="426" t="s">
        <v>1755</v>
      </c>
      <c r="AQ15" s="425" t="s">
        <v>1757</v>
      </c>
      <c r="AR15" s="426" t="s">
        <v>1758</v>
      </c>
      <c r="AS15" s="425" t="s">
        <v>1759</v>
      </c>
      <c r="AT15" s="425" t="s">
        <v>1760</v>
      </c>
    </row>
    <row r="16">
      <c r="A16" s="7">
        <v>184.0</v>
      </c>
      <c r="B16" s="16">
        <v>1.0</v>
      </c>
      <c r="C16" s="16">
        <v>1.0</v>
      </c>
      <c r="D16" s="16" t="s">
        <v>9108</v>
      </c>
      <c r="E16" s="16" t="s">
        <v>9109</v>
      </c>
      <c r="F16" s="16" t="s">
        <v>2545</v>
      </c>
      <c r="G16" s="53"/>
      <c r="H16" s="53"/>
      <c r="I16" s="39" t="s">
        <v>9123</v>
      </c>
      <c r="J16" s="81">
        <v>1953.0</v>
      </c>
      <c r="K16" s="28" t="s">
        <v>3155</v>
      </c>
      <c r="L16" s="7">
        <v>1.0</v>
      </c>
      <c r="M16" s="7">
        <v>1.0</v>
      </c>
      <c r="N16" s="114" t="s">
        <v>3156</v>
      </c>
      <c r="O16" s="81">
        <v>1.0</v>
      </c>
      <c r="P16" s="16">
        <v>0.0</v>
      </c>
      <c r="Q16" s="16" t="s">
        <v>2545</v>
      </c>
      <c r="R16" s="53" t="s">
        <v>8244</v>
      </c>
      <c r="S16" s="53"/>
      <c r="T16" s="53"/>
      <c r="U16" s="53"/>
      <c r="V16" s="53"/>
      <c r="W16" s="81">
        <v>0.0</v>
      </c>
      <c r="X16" s="87"/>
      <c r="Y16" s="81">
        <v>0.0</v>
      </c>
      <c r="Z16" s="90"/>
      <c r="AA16" s="81">
        <v>0.0</v>
      </c>
      <c r="AB16" s="81">
        <v>0.0</v>
      </c>
      <c r="AC16" s="39"/>
      <c r="AD16" s="81">
        <v>0.0</v>
      </c>
      <c r="AE16" s="81">
        <v>0.0</v>
      </c>
      <c r="AF16" s="39"/>
      <c r="AG16" s="7"/>
      <c r="AH16" s="82"/>
      <c r="AI16" s="82"/>
      <c r="AJ16" s="7" t="s">
        <v>3160</v>
      </c>
      <c r="AK16" s="7">
        <v>1.2345679012E10</v>
      </c>
      <c r="AL16" s="82">
        <f>12345679012/AK16</f>
        <v>1</v>
      </c>
      <c r="AM16" s="82">
        <f>pow((1000000/3),4)</f>
        <v>1.23457E+22</v>
      </c>
      <c r="AN16" s="7">
        <v>1.0</v>
      </c>
      <c r="AO16" s="82">
        <f>pow((1000000000/3),4)</f>
        <v>1.23457E+34</v>
      </c>
      <c r="AP16" s="7">
        <v>1.0</v>
      </c>
      <c r="AQ16" s="7">
        <v>2.0</v>
      </c>
      <c r="AR16" s="82"/>
      <c r="AS16" s="7"/>
      <c r="AT16" s="7" t="s">
        <v>23</v>
      </c>
    </row>
    <row r="17">
      <c r="A17" s="7">
        <v>185.0</v>
      </c>
      <c r="B17" s="16">
        <v>2.0</v>
      </c>
      <c r="C17" s="16">
        <v>1.0</v>
      </c>
      <c r="D17" s="16" t="s">
        <v>9108</v>
      </c>
      <c r="E17" s="16" t="s">
        <v>9124</v>
      </c>
      <c r="F17" s="16" t="s">
        <v>2037</v>
      </c>
      <c r="G17" s="53"/>
      <c r="H17" s="53"/>
      <c r="I17" s="39" t="s">
        <v>3161</v>
      </c>
      <c r="J17" s="81">
        <v>1962.0</v>
      </c>
      <c r="K17" s="28" t="s">
        <v>3162</v>
      </c>
      <c r="L17" s="82"/>
      <c r="M17" s="82"/>
      <c r="N17" s="82"/>
      <c r="O17" s="81">
        <v>1.0</v>
      </c>
      <c r="P17" s="16" t="s">
        <v>2019</v>
      </c>
      <c r="Q17" s="16" t="s">
        <v>2037</v>
      </c>
      <c r="R17" s="53" t="s">
        <v>8244</v>
      </c>
      <c r="S17" s="53"/>
      <c r="T17" s="53"/>
      <c r="U17" s="53"/>
      <c r="V17" s="53"/>
      <c r="W17" s="81">
        <v>0.0</v>
      </c>
      <c r="X17" s="87"/>
      <c r="Y17" s="81">
        <v>0.0</v>
      </c>
      <c r="Z17" s="90"/>
      <c r="AA17" s="81">
        <v>0.0</v>
      </c>
      <c r="AB17" s="81">
        <v>0.0</v>
      </c>
      <c r="AC17" s="39"/>
      <c r="AD17" s="81">
        <v>0.0</v>
      </c>
      <c r="AE17" s="81">
        <v>0.0</v>
      </c>
      <c r="AF17" s="39"/>
      <c r="AG17" s="7"/>
      <c r="AH17" s="82"/>
      <c r="AI17" s="82"/>
      <c r="AJ17" s="7" t="s">
        <v>3160</v>
      </c>
      <c r="AK17" s="7">
        <v>3.7037037E7</v>
      </c>
      <c r="AL17" s="82">
        <f>AK16/AK17</f>
        <v>333.3333337</v>
      </c>
      <c r="AM17" s="82">
        <f>POW((1000000/3),3)</f>
        <v>3.7037E+16</v>
      </c>
      <c r="AN17" s="82">
        <f>AM16/AM17</f>
        <v>333333.3333</v>
      </c>
      <c r="AO17" s="82">
        <f>POW((1000000000/3),3)</f>
        <v>3.7037E+25</v>
      </c>
      <c r="AP17" s="82">
        <f>AO16/AO17</f>
        <v>333333333.3</v>
      </c>
      <c r="AQ17" s="7">
        <v>2.0</v>
      </c>
      <c r="AR17" s="82"/>
      <c r="AS17" s="7"/>
      <c r="AT17" s="7" t="s">
        <v>23</v>
      </c>
    </row>
    <row r="18">
      <c r="A18" s="7">
        <v>186.0</v>
      </c>
      <c r="B18" s="16">
        <v>0.0</v>
      </c>
      <c r="C18" s="16">
        <v>0.0</v>
      </c>
      <c r="D18" s="16" t="s">
        <v>2489</v>
      </c>
      <c r="E18" s="16" t="s">
        <v>9124</v>
      </c>
      <c r="F18" s="39" t="s">
        <v>9125</v>
      </c>
      <c r="G18" s="53"/>
      <c r="H18" s="53"/>
      <c r="I18" s="39" t="s">
        <v>3165</v>
      </c>
      <c r="J18" s="81">
        <v>1995.0</v>
      </c>
      <c r="K18" s="28" t="s">
        <v>370</v>
      </c>
      <c r="L18" s="82"/>
      <c r="M18" s="82"/>
      <c r="N18" s="82"/>
      <c r="O18" s="81">
        <v>1.0</v>
      </c>
      <c r="P18" s="16">
        <v>0.0</v>
      </c>
      <c r="Q18" s="39" t="s">
        <v>9125</v>
      </c>
      <c r="R18" s="53" t="s">
        <v>8244</v>
      </c>
      <c r="S18" s="53" t="s">
        <v>9126</v>
      </c>
      <c r="T18" s="53"/>
      <c r="U18" s="53"/>
      <c r="V18" s="53"/>
      <c r="W18" s="81">
        <v>0.0</v>
      </c>
      <c r="X18" s="87"/>
      <c r="Y18" s="81">
        <v>0.0</v>
      </c>
      <c r="Z18" s="90"/>
      <c r="AA18" s="81">
        <v>0.0</v>
      </c>
      <c r="AB18" s="81">
        <v>0.0</v>
      </c>
      <c r="AC18" s="39"/>
      <c r="AD18" s="81">
        <v>0.0</v>
      </c>
      <c r="AE18" s="81">
        <v>0.0</v>
      </c>
      <c r="AF18" s="39"/>
      <c r="AG18" s="7"/>
      <c r="AH18" s="82"/>
      <c r="AI18" s="82"/>
      <c r="AJ18" s="7" t="s">
        <v>3160</v>
      </c>
      <c r="AK18" s="7">
        <v>8100011.0</v>
      </c>
      <c r="AL18" s="82">
        <f>AK16/AK18</f>
        <v>1524.155833</v>
      </c>
      <c r="AM18" s="82">
        <f>POW((1000000/3),2.373)*LOG(1000000/3,2)</f>
        <v>234070670188821</v>
      </c>
      <c r="AN18" s="82">
        <f>AM16/AM18</f>
        <v>52743383.02</v>
      </c>
      <c r="AO18" s="82">
        <f>POW((1000000000/3),2.373)*LOG(1000000000/3,2)</f>
        <v>4.75081E+21</v>
      </c>
      <c r="AP18" s="82">
        <f>AO16/AO18</f>
        <v>2598646354631</v>
      </c>
      <c r="AQ18" s="7">
        <v>2.0</v>
      </c>
      <c r="AR18" s="82"/>
      <c r="AS18" s="7"/>
      <c r="AT18" s="7" t="s">
        <v>23</v>
      </c>
    </row>
    <row r="19">
      <c r="A19" s="7">
        <v>187.0</v>
      </c>
      <c r="B19" s="16">
        <v>1.0</v>
      </c>
      <c r="C19" s="16">
        <v>1.0</v>
      </c>
      <c r="D19" s="16" t="s">
        <v>9108</v>
      </c>
      <c r="E19" s="16" t="s">
        <v>9109</v>
      </c>
      <c r="F19" s="16" t="s">
        <v>8009</v>
      </c>
      <c r="G19" s="53"/>
      <c r="H19" s="53"/>
      <c r="I19" s="39" t="s">
        <v>9127</v>
      </c>
      <c r="J19" s="81">
        <v>2014.0</v>
      </c>
      <c r="K19" s="28" t="s">
        <v>3172</v>
      </c>
      <c r="L19" s="82"/>
      <c r="M19" s="82"/>
      <c r="N19" s="82"/>
      <c r="O19" s="81">
        <v>0.0</v>
      </c>
      <c r="P19" s="16">
        <v>0.0</v>
      </c>
      <c r="Q19" s="16" t="s">
        <v>9128</v>
      </c>
      <c r="R19" s="53" t="s">
        <v>8244</v>
      </c>
      <c r="S19" s="53"/>
      <c r="T19" s="53"/>
      <c r="U19" s="53"/>
      <c r="V19" s="53"/>
      <c r="W19" s="81">
        <v>0.0</v>
      </c>
      <c r="X19" s="87"/>
      <c r="Y19" s="81">
        <v>0.0</v>
      </c>
      <c r="Z19" s="90"/>
      <c r="AA19" s="81">
        <v>0.0</v>
      </c>
      <c r="AB19" s="81">
        <v>0.0</v>
      </c>
      <c r="AC19" s="39"/>
      <c r="AD19" s="81">
        <v>0.0</v>
      </c>
      <c r="AE19" s="81">
        <v>0.0</v>
      </c>
      <c r="AF19" s="39"/>
      <c r="AG19" s="7"/>
      <c r="AH19" s="82"/>
      <c r="AI19" s="82"/>
      <c r="AJ19" s="7" t="s">
        <v>3160</v>
      </c>
      <c r="AK19" s="7">
        <v>4998250.0</v>
      </c>
      <c r="AL19" s="82">
        <f t="shared" ref="AL19:AL23" si="1">12345679012/AK19</f>
        <v>2470.000303</v>
      </c>
      <c r="AM19" s="82"/>
      <c r="AN19" s="82"/>
      <c r="AO19" s="82"/>
      <c r="AP19" s="82"/>
      <c r="AQ19" s="7">
        <v>2.0</v>
      </c>
      <c r="AR19" s="82"/>
      <c r="AS19" s="7"/>
      <c r="AT19" s="7" t="s">
        <v>23</v>
      </c>
    </row>
    <row r="20">
      <c r="A20" s="7">
        <v>188.0</v>
      </c>
      <c r="B20" s="16">
        <v>0.0</v>
      </c>
      <c r="C20" s="16">
        <v>1.0</v>
      </c>
      <c r="D20" s="16" t="s">
        <v>9108</v>
      </c>
      <c r="E20" s="16" t="s">
        <v>9124</v>
      </c>
      <c r="F20" s="39" t="s">
        <v>9129</v>
      </c>
      <c r="G20" s="53"/>
      <c r="H20" s="53"/>
      <c r="I20" s="39" t="s">
        <v>9130</v>
      </c>
      <c r="J20" s="81">
        <v>2002.0</v>
      </c>
      <c r="K20" s="28" t="s">
        <v>3178</v>
      </c>
      <c r="L20" s="82"/>
      <c r="M20" s="82"/>
      <c r="N20" s="82"/>
      <c r="O20" s="81">
        <v>0.0</v>
      </c>
      <c r="P20" s="16">
        <v>0.0</v>
      </c>
      <c r="Q20" s="39" t="s">
        <v>9129</v>
      </c>
      <c r="R20" s="53" t="s">
        <v>2542</v>
      </c>
      <c r="S20" s="53" t="s">
        <v>8640</v>
      </c>
      <c r="T20" s="53"/>
      <c r="U20" s="53"/>
      <c r="V20" s="53"/>
      <c r="W20" s="81">
        <v>0.0</v>
      </c>
      <c r="X20" s="87"/>
      <c r="Y20" s="81">
        <v>0.0</v>
      </c>
      <c r="Z20" s="90"/>
      <c r="AA20" s="81">
        <v>0.0</v>
      </c>
      <c r="AB20" s="81">
        <v>0.0</v>
      </c>
      <c r="AC20" s="39"/>
      <c r="AD20" s="81">
        <v>0.0</v>
      </c>
      <c r="AE20" s="81">
        <v>0.0</v>
      </c>
      <c r="AF20" s="39"/>
      <c r="AG20" s="7"/>
      <c r="AH20" s="82"/>
      <c r="AI20" s="82"/>
      <c r="AJ20" s="7" t="s">
        <v>3160</v>
      </c>
      <c r="AK20" s="7">
        <v>222222.0</v>
      </c>
      <c r="AL20" s="82">
        <f t="shared" si="1"/>
        <v>55555.61111</v>
      </c>
      <c r="AM20" s="82"/>
      <c r="AN20" s="82"/>
      <c r="AO20" s="82"/>
      <c r="AP20" s="82"/>
      <c r="AQ20" s="7">
        <v>2.0</v>
      </c>
      <c r="AR20" s="82"/>
      <c r="AS20" s="7"/>
      <c r="AT20" s="7" t="s">
        <v>23</v>
      </c>
    </row>
    <row r="21">
      <c r="A21" s="7">
        <v>189.0</v>
      </c>
      <c r="B21" s="16">
        <v>0.0</v>
      </c>
      <c r="C21" s="16">
        <v>1.0</v>
      </c>
      <c r="D21" s="16" t="s">
        <v>9131</v>
      </c>
      <c r="E21" s="16" t="s">
        <v>9124</v>
      </c>
      <c r="F21" s="39" t="s">
        <v>8207</v>
      </c>
      <c r="G21" s="53"/>
      <c r="H21" s="53"/>
      <c r="I21" s="39" t="s">
        <v>9132</v>
      </c>
      <c r="J21" s="81">
        <v>1999.0</v>
      </c>
      <c r="K21" s="17" t="s">
        <v>362</v>
      </c>
      <c r="L21" s="7">
        <v>1.0</v>
      </c>
      <c r="M21" s="7">
        <v>1.0</v>
      </c>
      <c r="N21" s="114" t="s">
        <v>3184</v>
      </c>
      <c r="O21" s="81">
        <v>1.0</v>
      </c>
      <c r="P21" s="16" t="s">
        <v>2425</v>
      </c>
      <c r="Q21" s="39" t="s">
        <v>8207</v>
      </c>
      <c r="R21" s="53" t="s">
        <v>2542</v>
      </c>
      <c r="S21" s="53"/>
      <c r="T21" s="53"/>
      <c r="U21" s="53"/>
      <c r="V21" s="53"/>
      <c r="W21" s="81">
        <v>0.0</v>
      </c>
      <c r="X21" s="87"/>
      <c r="Y21" s="81">
        <v>0.0</v>
      </c>
      <c r="Z21" s="90"/>
      <c r="AA21" s="81">
        <v>0.0</v>
      </c>
      <c r="AB21" s="81">
        <v>0.0</v>
      </c>
      <c r="AC21" s="39"/>
      <c r="AD21" s="81">
        <v>0.0</v>
      </c>
      <c r="AE21" s="81">
        <v>0.0</v>
      </c>
      <c r="AF21" s="39"/>
      <c r="AG21" s="7"/>
      <c r="AH21" s="82"/>
      <c r="AI21" s="82"/>
      <c r="AJ21" s="7" t="s">
        <v>3160</v>
      </c>
      <c r="AK21" s="7">
        <v>222222.0</v>
      </c>
      <c r="AL21" s="82">
        <f t="shared" si="1"/>
        <v>55555.61111</v>
      </c>
      <c r="AM21" s="82">
        <f>(2/9)*POW(1000000,2)</f>
        <v>222222222222</v>
      </c>
      <c r="AN21" s="82">
        <f>AM16/AM21</f>
        <v>55555555556</v>
      </c>
      <c r="AO21" s="82">
        <f>(2/9)*POW(1000000000,2)</f>
        <v>2.22222E+17</v>
      </c>
      <c r="AP21" s="82">
        <f>AO16/AO21</f>
        <v>5.55556E+16</v>
      </c>
      <c r="AQ21" s="7">
        <v>2.0</v>
      </c>
      <c r="AR21" s="82"/>
      <c r="AS21" s="7"/>
      <c r="AT21" s="7" t="s">
        <v>23</v>
      </c>
    </row>
    <row r="22">
      <c r="A22" s="7">
        <v>190.0</v>
      </c>
      <c r="B22" s="16">
        <v>2.0</v>
      </c>
      <c r="C22" s="16">
        <v>1.0</v>
      </c>
      <c r="D22" s="16" t="s">
        <v>9133</v>
      </c>
      <c r="E22" s="16" t="s">
        <v>9124</v>
      </c>
      <c r="F22" s="39" t="s">
        <v>9134</v>
      </c>
      <c r="G22" s="53"/>
      <c r="H22" s="53"/>
      <c r="I22" s="430" t="s">
        <v>9135</v>
      </c>
      <c r="J22" s="431">
        <v>2009.0</v>
      </c>
      <c r="K22" s="28" t="s">
        <v>3188</v>
      </c>
      <c r="L22" s="82"/>
      <c r="M22" s="82"/>
      <c r="N22" s="82"/>
      <c r="O22" s="81">
        <v>0.0</v>
      </c>
      <c r="P22" s="16">
        <v>0.0</v>
      </c>
      <c r="Q22" s="39" t="s">
        <v>9134</v>
      </c>
      <c r="R22" s="53" t="s">
        <v>2542</v>
      </c>
      <c r="S22" s="53" t="s">
        <v>1813</v>
      </c>
      <c r="T22" s="53" t="s">
        <v>9136</v>
      </c>
      <c r="U22" s="53"/>
      <c r="V22" s="53"/>
      <c r="W22" s="81">
        <v>0.0</v>
      </c>
      <c r="X22" s="87"/>
      <c r="Y22" s="81">
        <v>0.0</v>
      </c>
      <c r="Z22" s="90"/>
      <c r="AA22" s="81">
        <v>0.0</v>
      </c>
      <c r="AB22" s="81">
        <v>0.0</v>
      </c>
      <c r="AC22" s="39"/>
      <c r="AD22" s="81">
        <v>0.0</v>
      </c>
      <c r="AE22" s="81">
        <v>0.0</v>
      </c>
      <c r="AF22" s="39"/>
      <c r="AG22" s="7"/>
      <c r="AH22" s="82"/>
      <c r="AI22" s="82"/>
      <c r="AJ22" s="7" t="s">
        <v>3160</v>
      </c>
      <c r="AK22" s="7">
        <v>1.496467E7</v>
      </c>
      <c r="AL22" s="82">
        <f t="shared" si="1"/>
        <v>824.9883901</v>
      </c>
      <c r="AM22" s="82"/>
      <c r="AN22" s="82"/>
      <c r="AO22" s="82"/>
      <c r="AP22" s="82"/>
      <c r="AQ22" s="7">
        <v>2.0</v>
      </c>
      <c r="AR22" s="82"/>
      <c r="AS22" s="7"/>
      <c r="AT22" s="7" t="s">
        <v>23</v>
      </c>
    </row>
    <row r="23">
      <c r="A23" s="7">
        <v>191.0</v>
      </c>
      <c r="B23" s="16">
        <v>2.0</v>
      </c>
      <c r="C23" s="16">
        <v>1.0</v>
      </c>
      <c r="D23" s="16" t="s">
        <v>9108</v>
      </c>
      <c r="E23" s="16" t="s">
        <v>9109</v>
      </c>
      <c r="F23" s="39" t="s">
        <v>9137</v>
      </c>
      <c r="G23" s="53"/>
      <c r="H23" s="53"/>
      <c r="I23" s="39" t="s">
        <v>9138</v>
      </c>
      <c r="J23" s="81">
        <v>2009.0</v>
      </c>
      <c r="K23" s="28" t="s">
        <v>3188</v>
      </c>
      <c r="L23" s="82"/>
      <c r="M23" s="82"/>
      <c r="N23" s="82"/>
      <c r="O23" s="81">
        <v>0.0</v>
      </c>
      <c r="P23" s="16">
        <v>0.0</v>
      </c>
      <c r="Q23" s="39" t="s">
        <v>9137</v>
      </c>
      <c r="R23" s="53" t="s">
        <v>2542</v>
      </c>
      <c r="S23" s="53" t="s">
        <v>1813</v>
      </c>
      <c r="T23" s="53" t="s">
        <v>9136</v>
      </c>
      <c r="U23" s="53"/>
      <c r="V23" s="53"/>
      <c r="W23" s="81">
        <v>0.0</v>
      </c>
      <c r="X23" s="87"/>
      <c r="Y23" s="81">
        <v>0.0</v>
      </c>
      <c r="Z23" s="90"/>
      <c r="AA23" s="81">
        <v>0.0</v>
      </c>
      <c r="AB23" s="81">
        <v>0.0</v>
      </c>
      <c r="AC23" s="39"/>
      <c r="AD23" s="81">
        <v>0.0</v>
      </c>
      <c r="AE23" s="81">
        <v>0.0</v>
      </c>
      <c r="AF23" s="39"/>
      <c r="AG23" s="7"/>
      <c r="AH23" s="82"/>
      <c r="AI23" s="82"/>
      <c r="AJ23" s="7" t="s">
        <v>3160</v>
      </c>
      <c r="AK23" s="7">
        <v>1.5111217E7</v>
      </c>
      <c r="AL23" s="82">
        <f t="shared" si="1"/>
        <v>816.9877391</v>
      </c>
      <c r="AM23" s="82"/>
      <c r="AN23" s="82"/>
      <c r="AO23" s="82"/>
      <c r="AP23" s="82"/>
      <c r="AQ23" s="7">
        <v>2.0</v>
      </c>
      <c r="AR23" s="82"/>
      <c r="AS23" s="7"/>
      <c r="AT23" s="7" t="s">
        <v>23</v>
      </c>
    </row>
    <row r="24">
      <c r="A24" s="53"/>
      <c r="B24" s="7">
        <v>1.0</v>
      </c>
      <c r="C24" s="9">
        <v>1.0</v>
      </c>
      <c r="D24" s="9" t="s">
        <v>9108</v>
      </c>
      <c r="E24" s="9" t="s">
        <v>9124</v>
      </c>
      <c r="F24" s="9" t="s">
        <v>8238</v>
      </c>
      <c r="G24" s="53"/>
      <c r="H24" s="53"/>
      <c r="I24" s="9" t="s">
        <v>8239</v>
      </c>
      <c r="J24" s="9">
        <v>1977.0</v>
      </c>
      <c r="K24" s="18" t="s">
        <v>359</v>
      </c>
      <c r="Q24" s="9" t="s">
        <v>9139</v>
      </c>
      <c r="R24" s="53" t="s">
        <v>2542</v>
      </c>
      <c r="S24" s="143"/>
      <c r="T24" s="143"/>
      <c r="U24" s="143"/>
      <c r="V24" s="143"/>
      <c r="X24" s="143"/>
      <c r="Z24" s="143"/>
      <c r="AT24" s="7" t="s">
        <v>23</v>
      </c>
    </row>
    <row r="25">
      <c r="A25" s="53"/>
      <c r="B25" s="7">
        <v>1.0</v>
      </c>
      <c r="C25" s="9">
        <v>0.0</v>
      </c>
      <c r="D25" s="9" t="s">
        <v>2489</v>
      </c>
      <c r="E25" s="9" t="s">
        <v>9124</v>
      </c>
      <c r="F25" s="9" t="s">
        <v>9140</v>
      </c>
      <c r="G25" s="53"/>
      <c r="H25" s="53"/>
      <c r="I25" s="9" t="s">
        <v>8243</v>
      </c>
      <c r="J25" s="9">
        <v>2002.0</v>
      </c>
      <c r="K25" s="18" t="s">
        <v>367</v>
      </c>
      <c r="Q25" s="9" t="s">
        <v>9140</v>
      </c>
      <c r="R25" s="53" t="s">
        <v>8244</v>
      </c>
      <c r="S25" s="143"/>
      <c r="T25" s="143"/>
      <c r="U25" s="143"/>
      <c r="V25" s="143"/>
      <c r="W25" s="9">
        <v>0.0</v>
      </c>
      <c r="X25" s="143"/>
      <c r="Y25" s="9">
        <v>0.0</v>
      </c>
      <c r="Z25" s="143"/>
      <c r="AA25" s="9">
        <v>1.0</v>
      </c>
      <c r="AB25" s="9">
        <v>0.0</v>
      </c>
      <c r="AD25" s="9">
        <v>0.0</v>
      </c>
      <c r="AE25" s="9">
        <v>0.0</v>
      </c>
    </row>
  </sheetData>
  <conditionalFormatting sqref="A15">
    <cfRule type="cellIs" dxfId="0" priority="1" operator="equal">
      <formula>1</formula>
    </cfRule>
  </conditionalFormatting>
  <conditionalFormatting sqref="A15">
    <cfRule type="cellIs" dxfId="1" priority="2" operator="equal">
      <formula>0</formula>
    </cfRule>
  </conditionalFormatting>
  <conditionalFormatting sqref="A15">
    <cfRule type="cellIs" dxfId="2" priority="3" operator="equal">
      <formula>2</formula>
    </cfRule>
  </conditionalFormatting>
  <hyperlinks>
    <hyperlink r:id="rId2" ref="G2"/>
    <hyperlink r:id="rId3" ref="I2"/>
    <hyperlink r:id="rId4" ref="G3"/>
    <hyperlink r:id="rId5" ref="I3"/>
    <hyperlink r:id="rId6" ref="G4"/>
    <hyperlink r:id="rId7" ref="G5"/>
    <hyperlink r:id="rId8" ref="G6"/>
    <hyperlink r:id="rId9" ref="G7"/>
    <hyperlink r:id="rId10" ref="K16"/>
    <hyperlink r:id="rId11" ref="N16"/>
    <hyperlink r:id="rId12" ref="K17"/>
    <hyperlink r:id="rId13" ref="K18"/>
    <hyperlink r:id="rId14" ref="K19"/>
    <hyperlink r:id="rId15" ref="K20"/>
    <hyperlink r:id="rId16" ref="K21"/>
    <hyperlink r:id="rId17" ref="N21"/>
    <hyperlink r:id="rId18" ref="K22"/>
    <hyperlink r:id="rId19" ref="K23"/>
    <hyperlink r:id="rId20" ref="K24"/>
    <hyperlink r:id="rId21" ref="K25"/>
  </hyperlinks>
  <drawing r:id="rId22"/>
  <legacyDrawing r:id="rId2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 t="s">
        <v>9141</v>
      </c>
      <c r="B1" s="9" t="s">
        <v>9142</v>
      </c>
    </row>
    <row r="2">
      <c r="A2" s="432" t="s">
        <v>9143</v>
      </c>
    </row>
    <row r="3">
      <c r="A3" s="432" t="s">
        <v>9144</v>
      </c>
    </row>
    <row r="4">
      <c r="A4" s="432" t="s">
        <v>9145</v>
      </c>
    </row>
    <row r="5">
      <c r="A5" s="9" t="s">
        <v>9146</v>
      </c>
      <c r="B5" s="9" t="s">
        <v>9147</v>
      </c>
    </row>
  </sheetData>
  <hyperlinks>
    <hyperlink r:id="rId1" ref="A2"/>
    <hyperlink r:id="rId2" ref="A3"/>
    <hyperlink r:id="rId3" ref="A4"/>
  </hyperlinks>
  <drawing r:id="rId4"/>
</worksheet>
</file>